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hidePivotFieldList="1"/>
  <mc:AlternateContent xmlns:mc="http://schemas.openxmlformats.org/markup-compatibility/2006">
    <mc:Choice Requires="x15">
      <x15ac:absPath xmlns:x15ac="http://schemas.microsoft.com/office/spreadsheetml/2010/11/ac" url="https://cstj365-my.sharepoint.com/personal/1875009_cstj_qc_ca/Documents/Cégep de Saint-Jérôme (CSTJ)/Session 6/Bureautique pour informaticien/Exercices/Cours 25 (Excel)/TP2 E xcel/"/>
    </mc:Choice>
  </mc:AlternateContent>
  <xr:revisionPtr revIDLastSave="3050" documentId="8_{B7679382-765C-42F2-ACB1-C70CD4E99F8C}" xr6:coauthVersionLast="47" xr6:coauthVersionMax="47" xr10:uidLastSave="{9AE83304-B7E7-4DD2-87A0-D8C7956E2648}"/>
  <bookViews>
    <workbookView xWindow="-28920" yWindow="600" windowWidth="29040" windowHeight="15720" tabRatio="692" xr2:uid="{00000000-000D-0000-FFFF-FFFF00000000}"/>
  </bookViews>
  <sheets>
    <sheet name="Liste des étudiants" sheetId="1" r:id="rId1"/>
    <sheet name="Nombre aléatoires" sheetId="2" r:id="rId2"/>
    <sheet name="Liste des Villes" sheetId="3" r:id="rId3"/>
    <sheet name="Liste des MRC" sheetId="4" r:id="rId4"/>
    <sheet name="Liste des Régions" sheetId="5" r:id="rId5"/>
    <sheet name="Villes en erreur" sheetId="6" r:id="rId6"/>
    <sheet name="Commentaires" sheetId="7" r:id="rId7"/>
    <sheet name="Le nombre d'étudiants par API" sheetId="8" r:id="rId8"/>
    <sheet name="Les 5 plus jeunes étudiants" sheetId="15" r:id="rId9"/>
    <sheet name="Rapport Gars-Filles" sheetId="9" r:id="rId10"/>
    <sheet name="Nombre d'étudiants par région" sheetId="10" r:id="rId11"/>
    <sheet name="Nombre d'élèves par programme" sheetId="11" r:id="rId12"/>
    <sheet name="Ceux qui sont finissants" sheetId="12" r:id="rId13"/>
    <sheet name="Code régional le plus répandu" sheetId="13" r:id="rId14"/>
  </sheets>
  <definedNames>
    <definedName name="_xlnm._FilterDatabase" localSheetId="8" hidden="1">'Les 5 plus jeunes étudiants'!$B$1:$B$4618</definedName>
    <definedName name="_xlnm._FilterDatabase" localSheetId="0" hidden="1">'Liste des étudiants'!$A$1:$AC$4618</definedName>
    <definedName name="TableauVille">#REF!</definedName>
    <definedName name="VilleEnErreur">#REF!</definedName>
  </definedNames>
  <calcPr calcId="191028"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0" i="1" l="1"/>
  <c r="C3" i="13"/>
  <c r="C4" i="13"/>
  <c r="C5" i="13"/>
  <c r="C6" i="13"/>
  <c r="C7" i="13"/>
  <c r="C8" i="13"/>
  <c r="C9" i="13"/>
  <c r="C10" i="13"/>
  <c r="C11" i="13"/>
  <c r="C12" i="13"/>
  <c r="C13" i="13"/>
  <c r="C14" i="13"/>
  <c r="C15" i="13"/>
  <c r="C16" i="13"/>
  <c r="C17" i="13"/>
  <c r="C2" i="13"/>
  <c r="A4" i="13"/>
  <c r="A6" i="13"/>
  <c r="A7" i="13"/>
  <c r="A10" i="13"/>
  <c r="A11" i="13"/>
  <c r="A12" i="13"/>
  <c r="A13" i="13"/>
  <c r="A14" i="13"/>
  <c r="A15" i="13"/>
  <c r="A16" i="13"/>
  <c r="A18" i="13"/>
  <c r="A19" i="13"/>
  <c r="A20" i="13"/>
  <c r="A21" i="13"/>
  <c r="A22" i="13"/>
  <c r="A23" i="13"/>
  <c r="A24" i="13"/>
  <c r="A25" i="13"/>
  <c r="A26" i="13"/>
  <c r="A27" i="13"/>
  <c r="A28" i="13"/>
  <c r="A29" i="13"/>
  <c r="A31" i="13"/>
  <c r="A32" i="13"/>
  <c r="A33" i="13"/>
  <c r="A34" i="13"/>
  <c r="A35" i="13"/>
  <c r="A36" i="13"/>
  <c r="A37" i="13"/>
  <c r="A38" i="13"/>
  <c r="A39" i="13"/>
  <c r="A40" i="13"/>
  <c r="A41" i="13"/>
  <c r="A42" i="13"/>
  <c r="A43" i="13"/>
  <c r="A44" i="13"/>
  <c r="A45" i="13"/>
  <c r="A46" i="13"/>
  <c r="A47" i="13"/>
  <c r="A48" i="13"/>
  <c r="A49" i="13"/>
  <c r="A50" i="13"/>
  <c r="A51" i="13"/>
  <c r="A52"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9" i="13"/>
  <c r="A140" i="13"/>
  <c r="A141" i="13"/>
  <c r="A142" i="13"/>
  <c r="A143" i="13"/>
  <c r="A144" i="13"/>
  <c r="A145" i="13"/>
  <c r="A146" i="13"/>
  <c r="A147" i="13"/>
  <c r="A148" i="13"/>
  <c r="A149"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A1003" i="13"/>
  <c r="A1004" i="13"/>
  <c r="A1005" i="13"/>
  <c r="A1006" i="13"/>
  <c r="A1007" i="13"/>
  <c r="A1008" i="13"/>
  <c r="A1009" i="13"/>
  <c r="A1010" i="13"/>
  <c r="A1011" i="13"/>
  <c r="A1012" i="13"/>
  <c r="A1013" i="13"/>
  <c r="A1014" i="13"/>
  <c r="A1015" i="13"/>
  <c r="A1016" i="13"/>
  <c r="A1017" i="13"/>
  <c r="A1018" i="13"/>
  <c r="A1019" i="13"/>
  <c r="A1020" i="13"/>
  <c r="A1021" i="13"/>
  <c r="A1022" i="13"/>
  <c r="A1023" i="13"/>
  <c r="A1024" i="13"/>
  <c r="A1025" i="13"/>
  <c r="A1026" i="13"/>
  <c r="A1027" i="13"/>
  <c r="A1028" i="13"/>
  <c r="A1029" i="13"/>
  <c r="A1030" i="13"/>
  <c r="A1031" i="13"/>
  <c r="A1032" i="13"/>
  <c r="A1033" i="13"/>
  <c r="A1034" i="13"/>
  <c r="A1035" i="13"/>
  <c r="A1036" i="13"/>
  <c r="A1037" i="13"/>
  <c r="A1038" i="13"/>
  <c r="A1039" i="13"/>
  <c r="A1040" i="13"/>
  <c r="A1041" i="13"/>
  <c r="A1042" i="13"/>
  <c r="A1043" i="13"/>
  <c r="A1044" i="13"/>
  <c r="A1045" i="13"/>
  <c r="A1046" i="13"/>
  <c r="A1047" i="13"/>
  <c r="A1048" i="13"/>
  <c r="A1049" i="13"/>
  <c r="A1050" i="13"/>
  <c r="A1051" i="13"/>
  <c r="A1052" i="13"/>
  <c r="A1053" i="13"/>
  <c r="A1054" i="13"/>
  <c r="A1055" i="13"/>
  <c r="A1056" i="13"/>
  <c r="A1057" i="13"/>
  <c r="A1058" i="13"/>
  <c r="A1059" i="13"/>
  <c r="A1060" i="13"/>
  <c r="A1061" i="13"/>
  <c r="A1062" i="13"/>
  <c r="A1063" i="13"/>
  <c r="A1064" i="13"/>
  <c r="A1065" i="13"/>
  <c r="A1066" i="13"/>
  <c r="A1067" i="13"/>
  <c r="A1068" i="13"/>
  <c r="A1069" i="13"/>
  <c r="A1070" i="13"/>
  <c r="A1071" i="13"/>
  <c r="A1072" i="13"/>
  <c r="A1073" i="13"/>
  <c r="A1074" i="13"/>
  <c r="A1075" i="13"/>
  <c r="A1076" i="13"/>
  <c r="A1077" i="13"/>
  <c r="A1078" i="13"/>
  <c r="A1079" i="13"/>
  <c r="A1080" i="13"/>
  <c r="A1081" i="13"/>
  <c r="A1082" i="13"/>
  <c r="A1083" i="13"/>
  <c r="A1084" i="13"/>
  <c r="A1085" i="13"/>
  <c r="A1086" i="13"/>
  <c r="A1087" i="13"/>
  <c r="A1088" i="13"/>
  <c r="A1089" i="13"/>
  <c r="A1090" i="13"/>
  <c r="A1091" i="13"/>
  <c r="A1092" i="13"/>
  <c r="A1093" i="13"/>
  <c r="A1094" i="13"/>
  <c r="A1095" i="13"/>
  <c r="A1096" i="13"/>
  <c r="A1097" i="13"/>
  <c r="A1098" i="13"/>
  <c r="A1099" i="13"/>
  <c r="A1100" i="13"/>
  <c r="A1101" i="13"/>
  <c r="A1102" i="13"/>
  <c r="A1103" i="13"/>
  <c r="A1104" i="13"/>
  <c r="A1105" i="13"/>
  <c r="A1106" i="13"/>
  <c r="A1107" i="13"/>
  <c r="A1108" i="13"/>
  <c r="A1109" i="13"/>
  <c r="A1110" i="13"/>
  <c r="A1111" i="13"/>
  <c r="A1112" i="13"/>
  <c r="A1113" i="13"/>
  <c r="A1114" i="13"/>
  <c r="A1115" i="13"/>
  <c r="A1116" i="13"/>
  <c r="A1117" i="13"/>
  <c r="A1118" i="13"/>
  <c r="A1119" i="13"/>
  <c r="A1120" i="13"/>
  <c r="A1121" i="13"/>
  <c r="A1122" i="13"/>
  <c r="A1123" i="13"/>
  <c r="A1124" i="13"/>
  <c r="A1125" i="13"/>
  <c r="A1126" i="13"/>
  <c r="A1127" i="13"/>
  <c r="A1128" i="13"/>
  <c r="A1129" i="13"/>
  <c r="A1130" i="13"/>
  <c r="A1131" i="13"/>
  <c r="A1132" i="13"/>
  <c r="A1133" i="13"/>
  <c r="A1134" i="13"/>
  <c r="A1135" i="13"/>
  <c r="A1136" i="13"/>
  <c r="A1137" i="13"/>
  <c r="A1138" i="13"/>
  <c r="A1139" i="13"/>
  <c r="A1140" i="13"/>
  <c r="A1141" i="13"/>
  <c r="A1142" i="13"/>
  <c r="A1143" i="13"/>
  <c r="A1144" i="13"/>
  <c r="A1145" i="13"/>
  <c r="A1146" i="13"/>
  <c r="A1147" i="13"/>
  <c r="A1148" i="13"/>
  <c r="A1149" i="13"/>
  <c r="A1150" i="13"/>
  <c r="A1151" i="13"/>
  <c r="A1152" i="13"/>
  <c r="A1153" i="13"/>
  <c r="A1154" i="13"/>
  <c r="A1155" i="13"/>
  <c r="A1156" i="13"/>
  <c r="A1157" i="13"/>
  <c r="A1158" i="13"/>
  <c r="A1159" i="13"/>
  <c r="A1160" i="13"/>
  <c r="A1161" i="13"/>
  <c r="A1162" i="13"/>
  <c r="A1163" i="13"/>
  <c r="A1164" i="13"/>
  <c r="A1165" i="13"/>
  <c r="A1166" i="13"/>
  <c r="A1167" i="13"/>
  <c r="A1168" i="13"/>
  <c r="A1169" i="13"/>
  <c r="A1170" i="13"/>
  <c r="A1171" i="13"/>
  <c r="A1172" i="13"/>
  <c r="A1173" i="13"/>
  <c r="A1174" i="13"/>
  <c r="A1175" i="13"/>
  <c r="A1176" i="13"/>
  <c r="A1177" i="13"/>
  <c r="A1178" i="13"/>
  <c r="A1179" i="13"/>
  <c r="A1180" i="13"/>
  <c r="A1181" i="13"/>
  <c r="A1182" i="13"/>
  <c r="A1183" i="13"/>
  <c r="A1184" i="13"/>
  <c r="A1185" i="13"/>
  <c r="A1186" i="13"/>
  <c r="A1187" i="13"/>
  <c r="A1188" i="13"/>
  <c r="A1189" i="13"/>
  <c r="A1190" i="13"/>
  <c r="A1191" i="13"/>
  <c r="A1192" i="13"/>
  <c r="A1193" i="13"/>
  <c r="A1194" i="13"/>
  <c r="A1195" i="13"/>
  <c r="A1196" i="13"/>
  <c r="A1197" i="13"/>
  <c r="A1198" i="13"/>
  <c r="A1199" i="13"/>
  <c r="A1200" i="13"/>
  <c r="A1201" i="13"/>
  <c r="A1202" i="13"/>
  <c r="A1203" i="13"/>
  <c r="A1204" i="13"/>
  <c r="A1205" i="13"/>
  <c r="A1206" i="13"/>
  <c r="A1207" i="13"/>
  <c r="A1208" i="13"/>
  <c r="A1209" i="13"/>
  <c r="A1210" i="13"/>
  <c r="A1211" i="13"/>
  <c r="A1212" i="13"/>
  <c r="A1213" i="13"/>
  <c r="A1214" i="13"/>
  <c r="A1215" i="13"/>
  <c r="A1216" i="13"/>
  <c r="A1217" i="13"/>
  <c r="A1218" i="13"/>
  <c r="A1219" i="13"/>
  <c r="A1220" i="13"/>
  <c r="A1221" i="13"/>
  <c r="A1222" i="13"/>
  <c r="A1223" i="13"/>
  <c r="A1224" i="13"/>
  <c r="A1225" i="13"/>
  <c r="A1226" i="13"/>
  <c r="A1227" i="13"/>
  <c r="A1228" i="13"/>
  <c r="A1229" i="13"/>
  <c r="A1230" i="13"/>
  <c r="A1231" i="13"/>
  <c r="A1232" i="13"/>
  <c r="A1233" i="13"/>
  <c r="A1234" i="13"/>
  <c r="A1235" i="13"/>
  <c r="A1236" i="13"/>
  <c r="A1237" i="13"/>
  <c r="A1238" i="13"/>
  <c r="A1239" i="13"/>
  <c r="A1240" i="13"/>
  <c r="A1241" i="13"/>
  <c r="A1242" i="13"/>
  <c r="A1243" i="13"/>
  <c r="A1244" i="13"/>
  <c r="A1245" i="13"/>
  <c r="A1246" i="13"/>
  <c r="A1247" i="13"/>
  <c r="A1248" i="13"/>
  <c r="A1249" i="13"/>
  <c r="A1250" i="13"/>
  <c r="A1251" i="13"/>
  <c r="A1252" i="13"/>
  <c r="A1253" i="13"/>
  <c r="A1254" i="13"/>
  <c r="A1255" i="13"/>
  <c r="A1256" i="13"/>
  <c r="A1257" i="13"/>
  <c r="A1258" i="13"/>
  <c r="A1259" i="13"/>
  <c r="A1260" i="13"/>
  <c r="A1261" i="13"/>
  <c r="A1262" i="13"/>
  <c r="A1263" i="13"/>
  <c r="A1264" i="13"/>
  <c r="A1265" i="13"/>
  <c r="A1266" i="13"/>
  <c r="A1267" i="13"/>
  <c r="A1268" i="13"/>
  <c r="A1269" i="13"/>
  <c r="A1270" i="13"/>
  <c r="A1271" i="13"/>
  <c r="A1272" i="13"/>
  <c r="A1273" i="13"/>
  <c r="A1274" i="13"/>
  <c r="A1275" i="13"/>
  <c r="A1276" i="13"/>
  <c r="A1277" i="13"/>
  <c r="A1278" i="13"/>
  <c r="A1279" i="13"/>
  <c r="A1280" i="13"/>
  <c r="A1281" i="13"/>
  <c r="A1282" i="13"/>
  <c r="A1283" i="13"/>
  <c r="A1284" i="13"/>
  <c r="A1285" i="13"/>
  <c r="A1286" i="13"/>
  <c r="A1287" i="13"/>
  <c r="A1288" i="13"/>
  <c r="A1289" i="13"/>
  <c r="A1290" i="13"/>
  <c r="A1291" i="13"/>
  <c r="A1292" i="13"/>
  <c r="A1293" i="13"/>
  <c r="A1294" i="13"/>
  <c r="A1295" i="13"/>
  <c r="A1296" i="13"/>
  <c r="A1297" i="13"/>
  <c r="A1298" i="13"/>
  <c r="A1299" i="13"/>
  <c r="A1300" i="13"/>
  <c r="A1301" i="13"/>
  <c r="A1302" i="13"/>
  <c r="A1303" i="13"/>
  <c r="A1304" i="13"/>
  <c r="A1305" i="13"/>
  <c r="A1306" i="13"/>
  <c r="A1307" i="13"/>
  <c r="A1308" i="13"/>
  <c r="A1309" i="13"/>
  <c r="A1310" i="13"/>
  <c r="A1311" i="13"/>
  <c r="A1312" i="13"/>
  <c r="A1313" i="13"/>
  <c r="A1314" i="13"/>
  <c r="A1315" i="13"/>
  <c r="A1316" i="13"/>
  <c r="A1317" i="13"/>
  <c r="A1318" i="13"/>
  <c r="A1319" i="13"/>
  <c r="A1320" i="13"/>
  <c r="A1321" i="13"/>
  <c r="A1322" i="13"/>
  <c r="A1323" i="13"/>
  <c r="A1324" i="13"/>
  <c r="A1325" i="13"/>
  <c r="A1326" i="13"/>
  <c r="A1327" i="13"/>
  <c r="A1328" i="13"/>
  <c r="A1329" i="13"/>
  <c r="A1330" i="13"/>
  <c r="A1331" i="13"/>
  <c r="A1332" i="13"/>
  <c r="A1333" i="13"/>
  <c r="A1334" i="13"/>
  <c r="A1335" i="13"/>
  <c r="A1336" i="13"/>
  <c r="A1337" i="13"/>
  <c r="A1338" i="13"/>
  <c r="A1339" i="13"/>
  <c r="A1340" i="13"/>
  <c r="A1341" i="13"/>
  <c r="A1342" i="13"/>
  <c r="A1343" i="13"/>
  <c r="A1344" i="13"/>
  <c r="A1345" i="13"/>
  <c r="A1346" i="13"/>
  <c r="A1347" i="13"/>
  <c r="A1348" i="13"/>
  <c r="A1349" i="13"/>
  <c r="A1350" i="13"/>
  <c r="A1351" i="13"/>
  <c r="A1352" i="13"/>
  <c r="A1353" i="13"/>
  <c r="A1354" i="13"/>
  <c r="A1355" i="13"/>
  <c r="A1356" i="13"/>
  <c r="A1357" i="13"/>
  <c r="A1358" i="13"/>
  <c r="A1359" i="13"/>
  <c r="A1360" i="13"/>
  <c r="A1361" i="13"/>
  <c r="A1362" i="13"/>
  <c r="A1363" i="13"/>
  <c r="A1364" i="13"/>
  <c r="A1365" i="13"/>
  <c r="A1366" i="13"/>
  <c r="A1367" i="13"/>
  <c r="A1368" i="13"/>
  <c r="A1369" i="13"/>
  <c r="A1370" i="13"/>
  <c r="A1371" i="13"/>
  <c r="A1372" i="13"/>
  <c r="A1373" i="13"/>
  <c r="A1374" i="13"/>
  <c r="A1375" i="13"/>
  <c r="A1376" i="13"/>
  <c r="A1377" i="13"/>
  <c r="A1378" i="13"/>
  <c r="A1379" i="13"/>
  <c r="A1380" i="13"/>
  <c r="A1381" i="13"/>
  <c r="A1382" i="13"/>
  <c r="A1383" i="13"/>
  <c r="A1384" i="13"/>
  <c r="A1385" i="13"/>
  <c r="A1386" i="13"/>
  <c r="A1387" i="13"/>
  <c r="A1388" i="13"/>
  <c r="A1389" i="13"/>
  <c r="A1390" i="13"/>
  <c r="A1391" i="13"/>
  <c r="A1392" i="13"/>
  <c r="A1393" i="13"/>
  <c r="A1394" i="13"/>
  <c r="A1395" i="13"/>
  <c r="A1396" i="13"/>
  <c r="A1397" i="13"/>
  <c r="A1398" i="13"/>
  <c r="A1399" i="13"/>
  <c r="A1400" i="13"/>
  <c r="A1401" i="13"/>
  <c r="A1402" i="13"/>
  <c r="A1403" i="13"/>
  <c r="A1404" i="13"/>
  <c r="A1405" i="13"/>
  <c r="A1406" i="13"/>
  <c r="A1407" i="13"/>
  <c r="A1408" i="13"/>
  <c r="A1409" i="13"/>
  <c r="A1410" i="13"/>
  <c r="A1411" i="13"/>
  <c r="A1412" i="13"/>
  <c r="A1413" i="13"/>
  <c r="A1414" i="13"/>
  <c r="A1415" i="13"/>
  <c r="A1416" i="13"/>
  <c r="A1417" i="13"/>
  <c r="A1418" i="13"/>
  <c r="A1419" i="13"/>
  <c r="A1420" i="13"/>
  <c r="A1421" i="13"/>
  <c r="A1422" i="13"/>
  <c r="A1423" i="13"/>
  <c r="A1424" i="13"/>
  <c r="A1425" i="13"/>
  <c r="A1426" i="13"/>
  <c r="A1427" i="13"/>
  <c r="A1428" i="13"/>
  <c r="A1429" i="13"/>
  <c r="A1430" i="13"/>
  <c r="A1431" i="13"/>
  <c r="A1432" i="13"/>
  <c r="A1433" i="13"/>
  <c r="A1434" i="13"/>
  <c r="A1435" i="13"/>
  <c r="A1436" i="13"/>
  <c r="A1437" i="13"/>
  <c r="A1438" i="13"/>
  <c r="A1439" i="13"/>
  <c r="A1440" i="13"/>
  <c r="A1441" i="13"/>
  <c r="A1442" i="13"/>
  <c r="A1443" i="13"/>
  <c r="A1444" i="13"/>
  <c r="A1445" i="13"/>
  <c r="A1446" i="13"/>
  <c r="A1447" i="13"/>
  <c r="A1448" i="13"/>
  <c r="A1449" i="13"/>
  <c r="A1450" i="13"/>
  <c r="A1451" i="13"/>
  <c r="A1452" i="13"/>
  <c r="A1453" i="13"/>
  <c r="A1454" i="13"/>
  <c r="A1455" i="13"/>
  <c r="A1456" i="13"/>
  <c r="A1457" i="13"/>
  <c r="A1458" i="13"/>
  <c r="A1459" i="13"/>
  <c r="A1460" i="13"/>
  <c r="A1461" i="13"/>
  <c r="A1462" i="13"/>
  <c r="A1463" i="13"/>
  <c r="A1464" i="13"/>
  <c r="A1465" i="13"/>
  <c r="A1466" i="13"/>
  <c r="A1467" i="13"/>
  <c r="A1468" i="13"/>
  <c r="A1469" i="13"/>
  <c r="A1470" i="13"/>
  <c r="A1471" i="13"/>
  <c r="A1472" i="13"/>
  <c r="A1473" i="13"/>
  <c r="A1474" i="13"/>
  <c r="A1475" i="13"/>
  <c r="A1476" i="13"/>
  <c r="A1477" i="13"/>
  <c r="A1478" i="13"/>
  <c r="A1479" i="13"/>
  <c r="A1480" i="13"/>
  <c r="A1481" i="13"/>
  <c r="A1482" i="13"/>
  <c r="A1483" i="13"/>
  <c r="A1484" i="13"/>
  <c r="A1485" i="13"/>
  <c r="A1486" i="13"/>
  <c r="A1487" i="13"/>
  <c r="A1488" i="13"/>
  <c r="A1489" i="13"/>
  <c r="A1490" i="13"/>
  <c r="A1491" i="13"/>
  <c r="A1492" i="13"/>
  <c r="A1493" i="13"/>
  <c r="A1494" i="13"/>
  <c r="A1495" i="13"/>
  <c r="A1496" i="13"/>
  <c r="A1497" i="13"/>
  <c r="A1498" i="13"/>
  <c r="A1499" i="13"/>
  <c r="A1500" i="13"/>
  <c r="A1501" i="13"/>
  <c r="A1502" i="13"/>
  <c r="A1503" i="13"/>
  <c r="A1504" i="13"/>
  <c r="A1505" i="13"/>
  <c r="A1506" i="13"/>
  <c r="A1507" i="13"/>
  <c r="A1508" i="13"/>
  <c r="A1509" i="13"/>
  <c r="A1510" i="13"/>
  <c r="A1511" i="13"/>
  <c r="A1512" i="13"/>
  <c r="A1513" i="13"/>
  <c r="A1514" i="13"/>
  <c r="A1515" i="13"/>
  <c r="A1516" i="13"/>
  <c r="A1517" i="13"/>
  <c r="A1518" i="13"/>
  <c r="A1519" i="13"/>
  <c r="A1520" i="13"/>
  <c r="A1521" i="13"/>
  <c r="A1522" i="13"/>
  <c r="A1523" i="13"/>
  <c r="A1524" i="13"/>
  <c r="A1525" i="13"/>
  <c r="A1526" i="13"/>
  <c r="A1527" i="13"/>
  <c r="A1528" i="13"/>
  <c r="A1529" i="13"/>
  <c r="A1530" i="13"/>
  <c r="A1531" i="13"/>
  <c r="A1532" i="13"/>
  <c r="A1533" i="13"/>
  <c r="A1534" i="13"/>
  <c r="A1535" i="13"/>
  <c r="A1536" i="13"/>
  <c r="A1537" i="13"/>
  <c r="A1538" i="13"/>
  <c r="A1539" i="13"/>
  <c r="A1540" i="13"/>
  <c r="A1541" i="13"/>
  <c r="A1542" i="13"/>
  <c r="A1543" i="13"/>
  <c r="A1544" i="13"/>
  <c r="A1545" i="13"/>
  <c r="A1546" i="13"/>
  <c r="A1547" i="13"/>
  <c r="A1548" i="13"/>
  <c r="A1549" i="13"/>
  <c r="A1550" i="13"/>
  <c r="A1551" i="13"/>
  <c r="A1552" i="13"/>
  <c r="A1553" i="13"/>
  <c r="A1554" i="13"/>
  <c r="A1555" i="13"/>
  <c r="A1556" i="13"/>
  <c r="A1557" i="13"/>
  <c r="A1558" i="13"/>
  <c r="A1559" i="13"/>
  <c r="A1560" i="13"/>
  <c r="A1561" i="13"/>
  <c r="A1562" i="13"/>
  <c r="A1563" i="13"/>
  <c r="A1564" i="13"/>
  <c r="A1565" i="13"/>
  <c r="A1566" i="13"/>
  <c r="A1567" i="13"/>
  <c r="A1568" i="13"/>
  <c r="A1569" i="13"/>
  <c r="A1570" i="13"/>
  <c r="A1571" i="13"/>
  <c r="A1572" i="13"/>
  <c r="A1573" i="13"/>
  <c r="A1574" i="13"/>
  <c r="A1575" i="13"/>
  <c r="A1576" i="13"/>
  <c r="A1577" i="13"/>
  <c r="A1578" i="13"/>
  <c r="A1579" i="13"/>
  <c r="A1580" i="13"/>
  <c r="A1581" i="13"/>
  <c r="A1582" i="13"/>
  <c r="A1583" i="13"/>
  <c r="A1584" i="13"/>
  <c r="A1585" i="13"/>
  <c r="A1586" i="13"/>
  <c r="A1587" i="13"/>
  <c r="A1588" i="13"/>
  <c r="A1589" i="13"/>
  <c r="A1590" i="13"/>
  <c r="A1591" i="13"/>
  <c r="A1592" i="13"/>
  <c r="A1593" i="13"/>
  <c r="A1594" i="13"/>
  <c r="A1595" i="13"/>
  <c r="A1596" i="13"/>
  <c r="A1597" i="13"/>
  <c r="A1598" i="13"/>
  <c r="A1599" i="13"/>
  <c r="A1600" i="13"/>
  <c r="A1601" i="13"/>
  <c r="A1602" i="13"/>
  <c r="A1603" i="13"/>
  <c r="A1604" i="13"/>
  <c r="A1605" i="13"/>
  <c r="A1606" i="13"/>
  <c r="A1607" i="13"/>
  <c r="A1608" i="13"/>
  <c r="A1609" i="13"/>
  <c r="A1610" i="13"/>
  <c r="A1611" i="13"/>
  <c r="A1612" i="13"/>
  <c r="A1613" i="13"/>
  <c r="A1614" i="13"/>
  <c r="A1615" i="13"/>
  <c r="A1616" i="13"/>
  <c r="A1617" i="13"/>
  <c r="A1618" i="13"/>
  <c r="A1619" i="13"/>
  <c r="A1620" i="13"/>
  <c r="A1621" i="13"/>
  <c r="A1622" i="13"/>
  <c r="A1623" i="13"/>
  <c r="A1624" i="13"/>
  <c r="A1625" i="13"/>
  <c r="A1626" i="13"/>
  <c r="A1627" i="13"/>
  <c r="A1628" i="13"/>
  <c r="A1629" i="13"/>
  <c r="A1630" i="13"/>
  <c r="A1631" i="13"/>
  <c r="A1632" i="13"/>
  <c r="A1633" i="13"/>
  <c r="A1634" i="13"/>
  <c r="A1635" i="13"/>
  <c r="A1636" i="13"/>
  <c r="A1637" i="13"/>
  <c r="A1638" i="13"/>
  <c r="A1639" i="13"/>
  <c r="A1640" i="13"/>
  <c r="A1641" i="13"/>
  <c r="A1642" i="13"/>
  <c r="A1643" i="13"/>
  <c r="A1644" i="13"/>
  <c r="A1645" i="13"/>
  <c r="A1646" i="13"/>
  <c r="A1647" i="13"/>
  <c r="A1648" i="13"/>
  <c r="A1649" i="13"/>
  <c r="A1650" i="13"/>
  <c r="A1651" i="13"/>
  <c r="A1652" i="13"/>
  <c r="A1653" i="13"/>
  <c r="A1654" i="13"/>
  <c r="A1655" i="13"/>
  <c r="A1656" i="13"/>
  <c r="A1657" i="13"/>
  <c r="A1658" i="13"/>
  <c r="A1659" i="13"/>
  <c r="A1660" i="13"/>
  <c r="A1661" i="13"/>
  <c r="A1662" i="13"/>
  <c r="A1663" i="13"/>
  <c r="A1664" i="13"/>
  <c r="A1665" i="13"/>
  <c r="A1666" i="13"/>
  <c r="A1667" i="13"/>
  <c r="A1668" i="13"/>
  <c r="A1669" i="13"/>
  <c r="A1670" i="13"/>
  <c r="A1671" i="13"/>
  <c r="A1672" i="13"/>
  <c r="A1673" i="13"/>
  <c r="A1674" i="13"/>
  <c r="A1675" i="13"/>
  <c r="A1676" i="13"/>
  <c r="A1677" i="13"/>
  <c r="A1678" i="13"/>
  <c r="A1679" i="13"/>
  <c r="A1680" i="13"/>
  <c r="A1681" i="13"/>
  <c r="A1682" i="13"/>
  <c r="A1683" i="13"/>
  <c r="A1684" i="13"/>
  <c r="A1685" i="13"/>
  <c r="A1686" i="13"/>
  <c r="A1687" i="13"/>
  <c r="A1688" i="13"/>
  <c r="A1689" i="13"/>
  <c r="A1690" i="13"/>
  <c r="A1691" i="13"/>
  <c r="A1692" i="13"/>
  <c r="A1693" i="13"/>
  <c r="A1694" i="13"/>
  <c r="A1695" i="13"/>
  <c r="A1696" i="13"/>
  <c r="A1697" i="13"/>
  <c r="A1698" i="13"/>
  <c r="A1699" i="13"/>
  <c r="A1700" i="13"/>
  <c r="A1701" i="13"/>
  <c r="A1702" i="13"/>
  <c r="A1703" i="13"/>
  <c r="A1704" i="13"/>
  <c r="A1705" i="13"/>
  <c r="A1706" i="13"/>
  <c r="A1707" i="13"/>
  <c r="A1708" i="13"/>
  <c r="A1709" i="13"/>
  <c r="A1710" i="13"/>
  <c r="A1711" i="13"/>
  <c r="A1712" i="13"/>
  <c r="A1713" i="13"/>
  <c r="A1714" i="13"/>
  <c r="A1715" i="13"/>
  <c r="A1716" i="13"/>
  <c r="A1717" i="13"/>
  <c r="A1718" i="13"/>
  <c r="A1719" i="13"/>
  <c r="A1720" i="13"/>
  <c r="A1721" i="13"/>
  <c r="A1722" i="13"/>
  <c r="A1723" i="13"/>
  <c r="A1724" i="13"/>
  <c r="A1725" i="13"/>
  <c r="A1726" i="13"/>
  <c r="A1727" i="13"/>
  <c r="A1728" i="13"/>
  <c r="A1729" i="13"/>
  <c r="A1730" i="13"/>
  <c r="A1731" i="13"/>
  <c r="A1732" i="13"/>
  <c r="A1733" i="13"/>
  <c r="A1734" i="13"/>
  <c r="A1735" i="13"/>
  <c r="A1736" i="13"/>
  <c r="A1737" i="13"/>
  <c r="A1738" i="13"/>
  <c r="A1739" i="13"/>
  <c r="A1740" i="13"/>
  <c r="A1741" i="13"/>
  <c r="A1742" i="13"/>
  <c r="A1743" i="13"/>
  <c r="A1744" i="13"/>
  <c r="A1745" i="13"/>
  <c r="A1746" i="13"/>
  <c r="A1747" i="13"/>
  <c r="A1748" i="13"/>
  <c r="A1749" i="13"/>
  <c r="A1750" i="13"/>
  <c r="A1751" i="13"/>
  <c r="A1752" i="13"/>
  <c r="A1753" i="13"/>
  <c r="A1754" i="13"/>
  <c r="A1755" i="13"/>
  <c r="A1756" i="13"/>
  <c r="A1757" i="13"/>
  <c r="A1758" i="13"/>
  <c r="A1759" i="13"/>
  <c r="A1760" i="13"/>
  <c r="A1761" i="13"/>
  <c r="A1762" i="13"/>
  <c r="A1763" i="13"/>
  <c r="A1764" i="13"/>
  <c r="A1765" i="13"/>
  <c r="A1766" i="13"/>
  <c r="A1767" i="13"/>
  <c r="A1768" i="13"/>
  <c r="A1769" i="13"/>
  <c r="A1770" i="13"/>
  <c r="A1771" i="13"/>
  <c r="A1772" i="13"/>
  <c r="A1773" i="13"/>
  <c r="A1774" i="13"/>
  <c r="A1775" i="13"/>
  <c r="A1776" i="13"/>
  <c r="A1777" i="13"/>
  <c r="A1778" i="13"/>
  <c r="A1779" i="13"/>
  <c r="A1780" i="13"/>
  <c r="A1781" i="13"/>
  <c r="A1782" i="13"/>
  <c r="A1783" i="13"/>
  <c r="A1784" i="13"/>
  <c r="A1785" i="13"/>
  <c r="A1786" i="13"/>
  <c r="A1787" i="13"/>
  <c r="A1788" i="13"/>
  <c r="A1789" i="13"/>
  <c r="A1790" i="13"/>
  <c r="A1791" i="13"/>
  <c r="A1792" i="13"/>
  <c r="A1793" i="13"/>
  <c r="A1794" i="13"/>
  <c r="A1795" i="13"/>
  <c r="A1796" i="13"/>
  <c r="A1797" i="13"/>
  <c r="A1798" i="13"/>
  <c r="A1799" i="13"/>
  <c r="A1800" i="13"/>
  <c r="A1801" i="13"/>
  <c r="A1802" i="13"/>
  <c r="A1803" i="13"/>
  <c r="A1804" i="13"/>
  <c r="A1805" i="13"/>
  <c r="A1806" i="13"/>
  <c r="A1807" i="13"/>
  <c r="A1808" i="13"/>
  <c r="A1809" i="13"/>
  <c r="A1810" i="13"/>
  <c r="A1811" i="13"/>
  <c r="A1812" i="13"/>
  <c r="A1813" i="13"/>
  <c r="A1814" i="13"/>
  <c r="A1815" i="13"/>
  <c r="A1816" i="13"/>
  <c r="A1817" i="13"/>
  <c r="A1818" i="13"/>
  <c r="A1819" i="13"/>
  <c r="A1820" i="13"/>
  <c r="A1821" i="13"/>
  <c r="A1822" i="13"/>
  <c r="A1823" i="13"/>
  <c r="A1824" i="13"/>
  <c r="A1825" i="13"/>
  <c r="A1826" i="13"/>
  <c r="A1827" i="13"/>
  <c r="A1828" i="13"/>
  <c r="A1829" i="13"/>
  <c r="A1830" i="13"/>
  <c r="A1831" i="13"/>
  <c r="A1832" i="13"/>
  <c r="A1833" i="13"/>
  <c r="A1834" i="13"/>
  <c r="A1835" i="13"/>
  <c r="A1836" i="13"/>
  <c r="A1837" i="13"/>
  <c r="A1838" i="13"/>
  <c r="A1839" i="13"/>
  <c r="A1840" i="13"/>
  <c r="A1841" i="13"/>
  <c r="A1842" i="13"/>
  <c r="A1843" i="13"/>
  <c r="A1844" i="13"/>
  <c r="A1845" i="13"/>
  <c r="A1846" i="13"/>
  <c r="A1847" i="13"/>
  <c r="A1848" i="13"/>
  <c r="A1849" i="13"/>
  <c r="A1850" i="13"/>
  <c r="A1851" i="13"/>
  <c r="A1852" i="13"/>
  <c r="A1853" i="13"/>
  <c r="A1854" i="13"/>
  <c r="A1855" i="13"/>
  <c r="A1856" i="13"/>
  <c r="A1857" i="13"/>
  <c r="A1858" i="13"/>
  <c r="A1859" i="13"/>
  <c r="A1860" i="13"/>
  <c r="A1861" i="13"/>
  <c r="A1862" i="13"/>
  <c r="A1863" i="13"/>
  <c r="A1864" i="13"/>
  <c r="A1865" i="13"/>
  <c r="A1866" i="13"/>
  <c r="A1867" i="13"/>
  <c r="A1868" i="13"/>
  <c r="A1869" i="13"/>
  <c r="A1870" i="13"/>
  <c r="A1871" i="13"/>
  <c r="A1872" i="13"/>
  <c r="A1873" i="13"/>
  <c r="A1874" i="13"/>
  <c r="A1875" i="13"/>
  <c r="A1876" i="13"/>
  <c r="A1877" i="13"/>
  <c r="A1878" i="13"/>
  <c r="A1879" i="13"/>
  <c r="A1880" i="13"/>
  <c r="A1881" i="13"/>
  <c r="A1882" i="13"/>
  <c r="A1883" i="13"/>
  <c r="A1884" i="13"/>
  <c r="A1885" i="13"/>
  <c r="A1886" i="13"/>
  <c r="A1887" i="13"/>
  <c r="A1888" i="13"/>
  <c r="A1889" i="13"/>
  <c r="A1890" i="13"/>
  <c r="A1891" i="13"/>
  <c r="A1892" i="13"/>
  <c r="A1893" i="13"/>
  <c r="A1894" i="13"/>
  <c r="A1895" i="13"/>
  <c r="A1896" i="13"/>
  <c r="A1897" i="13"/>
  <c r="A1898" i="13"/>
  <c r="A1899" i="13"/>
  <c r="A1900" i="13"/>
  <c r="A1901" i="13"/>
  <c r="A1902" i="13"/>
  <c r="A1903" i="13"/>
  <c r="A1904" i="13"/>
  <c r="A1905" i="13"/>
  <c r="A1906" i="13"/>
  <c r="A1907" i="13"/>
  <c r="A1908" i="13"/>
  <c r="A1909" i="13"/>
  <c r="A1910" i="13"/>
  <c r="A1911" i="13"/>
  <c r="A1912" i="13"/>
  <c r="A1913" i="13"/>
  <c r="A1914" i="13"/>
  <c r="A1915" i="13"/>
  <c r="A1916" i="13"/>
  <c r="A1917" i="13"/>
  <c r="A1918" i="13"/>
  <c r="A1919" i="13"/>
  <c r="A1920" i="13"/>
  <c r="A1921" i="13"/>
  <c r="A1922" i="13"/>
  <c r="A1923" i="13"/>
  <c r="A1924" i="13"/>
  <c r="A1925" i="13"/>
  <c r="A1926" i="13"/>
  <c r="A1927" i="13"/>
  <c r="A1928" i="13"/>
  <c r="A1929" i="13"/>
  <c r="A1930" i="13"/>
  <c r="A1931" i="13"/>
  <c r="A1932" i="13"/>
  <c r="A1933" i="13"/>
  <c r="A1934" i="13"/>
  <c r="A1935" i="13"/>
  <c r="A1936" i="13"/>
  <c r="A1937" i="13"/>
  <c r="A1938" i="13"/>
  <c r="A1939" i="13"/>
  <c r="A1940" i="13"/>
  <c r="A1941" i="13"/>
  <c r="A1942" i="13"/>
  <c r="A1943" i="13"/>
  <c r="A1944" i="13"/>
  <c r="A1945" i="13"/>
  <c r="A1946" i="13"/>
  <c r="A1947" i="13"/>
  <c r="A1948" i="13"/>
  <c r="A1949" i="13"/>
  <c r="A1950" i="13"/>
  <c r="A1951" i="13"/>
  <c r="A1952" i="13"/>
  <c r="A1953" i="13"/>
  <c r="A1954" i="13"/>
  <c r="A1955" i="13"/>
  <c r="A1956" i="13"/>
  <c r="A1957" i="13"/>
  <c r="A1958" i="13"/>
  <c r="A1959" i="13"/>
  <c r="A1960" i="13"/>
  <c r="A1961" i="13"/>
  <c r="A1962" i="13"/>
  <c r="A1963" i="13"/>
  <c r="A1964" i="13"/>
  <c r="A1965" i="13"/>
  <c r="A1966" i="13"/>
  <c r="A1967" i="13"/>
  <c r="A1968" i="13"/>
  <c r="A1969" i="13"/>
  <c r="A1970" i="13"/>
  <c r="A1971" i="13"/>
  <c r="A1972" i="13"/>
  <c r="A1973" i="13"/>
  <c r="A1974" i="13"/>
  <c r="A1975" i="13"/>
  <c r="A1976" i="13"/>
  <c r="A1977" i="13"/>
  <c r="A1978" i="13"/>
  <c r="A1979" i="13"/>
  <c r="A1980" i="13"/>
  <c r="A1981" i="13"/>
  <c r="A1982" i="13"/>
  <c r="A1983" i="13"/>
  <c r="A1984" i="13"/>
  <c r="A1985" i="13"/>
  <c r="A1986" i="13"/>
  <c r="A1987" i="13"/>
  <c r="A1988" i="13"/>
  <c r="A1989" i="13"/>
  <c r="A1990" i="13"/>
  <c r="A1991" i="13"/>
  <c r="A1992" i="13"/>
  <c r="A1993" i="13"/>
  <c r="A1994" i="13"/>
  <c r="A1995" i="13"/>
  <c r="A1996" i="13"/>
  <c r="A1997" i="13"/>
  <c r="A1998" i="13"/>
  <c r="A1999" i="13"/>
  <c r="A2000" i="13"/>
  <c r="A2001" i="13"/>
  <c r="A2002" i="13"/>
  <c r="A2003" i="13"/>
  <c r="A2004" i="13"/>
  <c r="A2005" i="13"/>
  <c r="A2006" i="13"/>
  <c r="A2007" i="13"/>
  <c r="A2008" i="13"/>
  <c r="A2009" i="13"/>
  <c r="A2010" i="13"/>
  <c r="A2011" i="13"/>
  <c r="A2012" i="13"/>
  <c r="A2013" i="13"/>
  <c r="A2014" i="13"/>
  <c r="A2015" i="13"/>
  <c r="A2016" i="13"/>
  <c r="A2017" i="13"/>
  <c r="A2018" i="13"/>
  <c r="A2019" i="13"/>
  <c r="A2020" i="13"/>
  <c r="A2021" i="13"/>
  <c r="A2022" i="13"/>
  <c r="A2023" i="13"/>
  <c r="A2024" i="13"/>
  <c r="A2025" i="13"/>
  <c r="A2026" i="13"/>
  <c r="A2027" i="13"/>
  <c r="A2028" i="13"/>
  <c r="A2029" i="13"/>
  <c r="A2030" i="13"/>
  <c r="A2031" i="13"/>
  <c r="A2032" i="13"/>
  <c r="A2033" i="13"/>
  <c r="A2034" i="13"/>
  <c r="A2035" i="13"/>
  <c r="A2036" i="13"/>
  <c r="A2037" i="13"/>
  <c r="A2038" i="13"/>
  <c r="A2039" i="13"/>
  <c r="A2040" i="13"/>
  <c r="A2041" i="13"/>
  <c r="A2042" i="13"/>
  <c r="A2043" i="13"/>
  <c r="A2044" i="13"/>
  <c r="A2045" i="13"/>
  <c r="A2046" i="13"/>
  <c r="A2047" i="13"/>
  <c r="A2048" i="13"/>
  <c r="A2049" i="13"/>
  <c r="A2050" i="13"/>
  <c r="A2051" i="13"/>
  <c r="A2052" i="13"/>
  <c r="A2053" i="13"/>
  <c r="A2054" i="13"/>
  <c r="A2055" i="13"/>
  <c r="A2056" i="13"/>
  <c r="A2057" i="13"/>
  <c r="A2058" i="13"/>
  <c r="A2059" i="13"/>
  <c r="A2060" i="13"/>
  <c r="A2061" i="13"/>
  <c r="A2062" i="13"/>
  <c r="A2063" i="13"/>
  <c r="A2064" i="13"/>
  <c r="A2065" i="13"/>
  <c r="A2066" i="13"/>
  <c r="A2067" i="13"/>
  <c r="A2068" i="13"/>
  <c r="A2069" i="13"/>
  <c r="A2070" i="13"/>
  <c r="A2071" i="13"/>
  <c r="A2072" i="13"/>
  <c r="A2073" i="13"/>
  <c r="A2074" i="13"/>
  <c r="A2075" i="13"/>
  <c r="A2076" i="13"/>
  <c r="A2077" i="13"/>
  <c r="A2078" i="13"/>
  <c r="A2079" i="13"/>
  <c r="A2080" i="13"/>
  <c r="A2081" i="13"/>
  <c r="A2082" i="13"/>
  <c r="A2083" i="13"/>
  <c r="A2084" i="13"/>
  <c r="A2085" i="13"/>
  <c r="A2086" i="13"/>
  <c r="A2087" i="13"/>
  <c r="A2088" i="13"/>
  <c r="A2089" i="13"/>
  <c r="A2090" i="13"/>
  <c r="A2091" i="13"/>
  <c r="A2092" i="13"/>
  <c r="A2093" i="13"/>
  <c r="A2094" i="13"/>
  <c r="A2095" i="13"/>
  <c r="A2096" i="13"/>
  <c r="A2097" i="13"/>
  <c r="A2098" i="13"/>
  <c r="A2099" i="13"/>
  <c r="A2100" i="13"/>
  <c r="A2101" i="13"/>
  <c r="A2102" i="13"/>
  <c r="A2103" i="13"/>
  <c r="A2104" i="13"/>
  <c r="A2105" i="13"/>
  <c r="A2106" i="13"/>
  <c r="A2107" i="13"/>
  <c r="A2108" i="13"/>
  <c r="A2109" i="13"/>
  <c r="A2110" i="13"/>
  <c r="A2111" i="13"/>
  <c r="A2112" i="13"/>
  <c r="A2113" i="13"/>
  <c r="A2114" i="13"/>
  <c r="A2115" i="13"/>
  <c r="A2116" i="13"/>
  <c r="A2117" i="13"/>
  <c r="A2118" i="13"/>
  <c r="A2119" i="13"/>
  <c r="A2120" i="13"/>
  <c r="A2121" i="13"/>
  <c r="A2122" i="13"/>
  <c r="A2123" i="13"/>
  <c r="A2124" i="13"/>
  <c r="A2125" i="13"/>
  <c r="A2126" i="13"/>
  <c r="A2127" i="13"/>
  <c r="A2128" i="13"/>
  <c r="A2129" i="13"/>
  <c r="A2130" i="13"/>
  <c r="A2131" i="13"/>
  <c r="A2132" i="13"/>
  <c r="A2133" i="13"/>
  <c r="A2134" i="13"/>
  <c r="A2135" i="13"/>
  <c r="A2136" i="13"/>
  <c r="A2137" i="13"/>
  <c r="A2138" i="13"/>
  <c r="A2139" i="13"/>
  <c r="A2140" i="13"/>
  <c r="A2141" i="13"/>
  <c r="A2142" i="13"/>
  <c r="A2143" i="13"/>
  <c r="A2144" i="13"/>
  <c r="A2145" i="13"/>
  <c r="A2146" i="13"/>
  <c r="A2147" i="13"/>
  <c r="A2148" i="13"/>
  <c r="A2149" i="13"/>
  <c r="A2150" i="13"/>
  <c r="A2151" i="13"/>
  <c r="A2152" i="13"/>
  <c r="A2153" i="13"/>
  <c r="A2154" i="13"/>
  <c r="A2155" i="13"/>
  <c r="A2156" i="13"/>
  <c r="A2157" i="13"/>
  <c r="A2158" i="13"/>
  <c r="A2159" i="13"/>
  <c r="A2160" i="13"/>
  <c r="A2161" i="13"/>
  <c r="A2162" i="13"/>
  <c r="A2163" i="13"/>
  <c r="A2164" i="13"/>
  <c r="A2165" i="13"/>
  <c r="A2166" i="13"/>
  <c r="A2167" i="13"/>
  <c r="A2168" i="13"/>
  <c r="A2169" i="13"/>
  <c r="A2170" i="13"/>
  <c r="A2171" i="13"/>
  <c r="A2172" i="13"/>
  <c r="A2173" i="13"/>
  <c r="A2174" i="13"/>
  <c r="A2175" i="13"/>
  <c r="A2176" i="13"/>
  <c r="A2177" i="13"/>
  <c r="A2178" i="13"/>
  <c r="A2179" i="13"/>
  <c r="A2180" i="13"/>
  <c r="A2181" i="13"/>
  <c r="A2182" i="13"/>
  <c r="A2183" i="13"/>
  <c r="A2184" i="13"/>
  <c r="A2185" i="13"/>
  <c r="A2186" i="13"/>
  <c r="A2187" i="13"/>
  <c r="A2188" i="13"/>
  <c r="A2189" i="13"/>
  <c r="A2190" i="13"/>
  <c r="A2191" i="13"/>
  <c r="A2192" i="13"/>
  <c r="A2193" i="13"/>
  <c r="A2194" i="13"/>
  <c r="A2195" i="13"/>
  <c r="A2196" i="13"/>
  <c r="A2197" i="13"/>
  <c r="A2198" i="13"/>
  <c r="A2199" i="13"/>
  <c r="A2200" i="13"/>
  <c r="A2201" i="13"/>
  <c r="A2202" i="13"/>
  <c r="A2203" i="13"/>
  <c r="A2204" i="13"/>
  <c r="A2205" i="13"/>
  <c r="A2206" i="13"/>
  <c r="A2207" i="13"/>
  <c r="A2208" i="13"/>
  <c r="A2209" i="13"/>
  <c r="A2210" i="13"/>
  <c r="A2211" i="13"/>
  <c r="A2212" i="13"/>
  <c r="A2213" i="13"/>
  <c r="A2214" i="13"/>
  <c r="A2215" i="13"/>
  <c r="A2216" i="13"/>
  <c r="A2217" i="13"/>
  <c r="A2218" i="13"/>
  <c r="A2219" i="13"/>
  <c r="A2220" i="13"/>
  <c r="A2221" i="13"/>
  <c r="A2222" i="13"/>
  <c r="A2223" i="13"/>
  <c r="A2224" i="13"/>
  <c r="A2225" i="13"/>
  <c r="A2226" i="13"/>
  <c r="A2227" i="13"/>
  <c r="A2228" i="13"/>
  <c r="A2229" i="13"/>
  <c r="A2230" i="13"/>
  <c r="A2231" i="13"/>
  <c r="A2232" i="13"/>
  <c r="A2233" i="13"/>
  <c r="A2234" i="13"/>
  <c r="A2235" i="13"/>
  <c r="A2236" i="13"/>
  <c r="A2237" i="13"/>
  <c r="A2238" i="13"/>
  <c r="A2239" i="13"/>
  <c r="A2240" i="13"/>
  <c r="A2241" i="13"/>
  <c r="A2242" i="13"/>
  <c r="A2243" i="13"/>
  <c r="A2244" i="13"/>
  <c r="A2245" i="13"/>
  <c r="A2246" i="13"/>
  <c r="A2247" i="13"/>
  <c r="A2248" i="13"/>
  <c r="A2249" i="13"/>
  <c r="A2250" i="13"/>
  <c r="A2251" i="13"/>
  <c r="A2252" i="13"/>
  <c r="A2253" i="13"/>
  <c r="A2254" i="13"/>
  <c r="A2255" i="13"/>
  <c r="A2256" i="13"/>
  <c r="A2257" i="13"/>
  <c r="A2258" i="13"/>
  <c r="A2259" i="13"/>
  <c r="A2260" i="13"/>
  <c r="A2261" i="13"/>
  <c r="A2262" i="13"/>
  <c r="A2263" i="13"/>
  <c r="A2264" i="13"/>
  <c r="A2265" i="13"/>
  <c r="A2266" i="13"/>
  <c r="A2267" i="13"/>
  <c r="A2268" i="13"/>
  <c r="A2269" i="13"/>
  <c r="A2270" i="13"/>
  <c r="A2271" i="13"/>
  <c r="A2272" i="13"/>
  <c r="A2273" i="13"/>
  <c r="A2274" i="13"/>
  <c r="A2275" i="13"/>
  <c r="A2276" i="13"/>
  <c r="A2277" i="13"/>
  <c r="A2278" i="13"/>
  <c r="A2279" i="13"/>
  <c r="A2280" i="13"/>
  <c r="A2281" i="13"/>
  <c r="A2282" i="13"/>
  <c r="A2283" i="13"/>
  <c r="A2284" i="13"/>
  <c r="A2285" i="13"/>
  <c r="A2286" i="13"/>
  <c r="A2287" i="13"/>
  <c r="A2288" i="13"/>
  <c r="A2289" i="13"/>
  <c r="A2290" i="13"/>
  <c r="A2291" i="13"/>
  <c r="A2292" i="13"/>
  <c r="A2293" i="13"/>
  <c r="A2294" i="13"/>
  <c r="A2295" i="13"/>
  <c r="A2296" i="13"/>
  <c r="A2297" i="13"/>
  <c r="A2298" i="13"/>
  <c r="A2299" i="13"/>
  <c r="A2300" i="13"/>
  <c r="A2301" i="13"/>
  <c r="A2302" i="13"/>
  <c r="A2303" i="13"/>
  <c r="A2304" i="13"/>
  <c r="A2305" i="13"/>
  <c r="A2306" i="13"/>
  <c r="A2307" i="13"/>
  <c r="A2308" i="13"/>
  <c r="A2309" i="13"/>
  <c r="A2310" i="13"/>
  <c r="A2311" i="13"/>
  <c r="A2312" i="13"/>
  <c r="A2313" i="13"/>
  <c r="A2314" i="13"/>
  <c r="A2315" i="13"/>
  <c r="A2316" i="13"/>
  <c r="A2317" i="13"/>
  <c r="A2318" i="13"/>
  <c r="A2319" i="13"/>
  <c r="A2320" i="13"/>
  <c r="A2321" i="13"/>
  <c r="A2322" i="13"/>
  <c r="A2323" i="13"/>
  <c r="A2324" i="13"/>
  <c r="A2325" i="13"/>
  <c r="A2326" i="13"/>
  <c r="A2327" i="13"/>
  <c r="A2328" i="13"/>
  <c r="A2329" i="13"/>
  <c r="A2330" i="13"/>
  <c r="A2331" i="13"/>
  <c r="A2332" i="13"/>
  <c r="A2333" i="13"/>
  <c r="A2334" i="13"/>
  <c r="A2335" i="13"/>
  <c r="A2336" i="13"/>
  <c r="A2337" i="13"/>
  <c r="A2338" i="13"/>
  <c r="A2339" i="13"/>
  <c r="A2340" i="13"/>
  <c r="A2341" i="13"/>
  <c r="A2342" i="13"/>
  <c r="A2343" i="13"/>
  <c r="A2344" i="13"/>
  <c r="A2345" i="13"/>
  <c r="A2346" i="13"/>
  <c r="A2347" i="13"/>
  <c r="A2348" i="13"/>
  <c r="A2349" i="13"/>
  <c r="A2350" i="13"/>
  <c r="A2351" i="13"/>
  <c r="A2352" i="13"/>
  <c r="A2353" i="13"/>
  <c r="A2354" i="13"/>
  <c r="A2355" i="13"/>
  <c r="A2356" i="13"/>
  <c r="A2357" i="13"/>
  <c r="A2358" i="13"/>
  <c r="A2359" i="13"/>
  <c r="A2360" i="13"/>
  <c r="A2361" i="13"/>
  <c r="A2362" i="13"/>
  <c r="A2363" i="13"/>
  <c r="A2364" i="13"/>
  <c r="A2365" i="13"/>
  <c r="A2366" i="13"/>
  <c r="A2367" i="13"/>
  <c r="A2368" i="13"/>
  <c r="A2369" i="13"/>
  <c r="A2370" i="13"/>
  <c r="A2371" i="13"/>
  <c r="A2372" i="13"/>
  <c r="A2373" i="13"/>
  <c r="A2374" i="13"/>
  <c r="A2375" i="13"/>
  <c r="A2376" i="13"/>
  <c r="A2377" i="13"/>
  <c r="A2378" i="13"/>
  <c r="A2379" i="13"/>
  <c r="A2380" i="13"/>
  <c r="A2381" i="13"/>
  <c r="A2382" i="13"/>
  <c r="A2383" i="13"/>
  <c r="A2384" i="13"/>
  <c r="A2385" i="13"/>
  <c r="A2386" i="13"/>
  <c r="A2387" i="13"/>
  <c r="A2388" i="13"/>
  <c r="A2389" i="13"/>
  <c r="A2390" i="13"/>
  <c r="A2391" i="13"/>
  <c r="A2392" i="13"/>
  <c r="A2393" i="13"/>
  <c r="A2394" i="13"/>
  <c r="A2395" i="13"/>
  <c r="A2396" i="13"/>
  <c r="A2397" i="13"/>
  <c r="A2398" i="13"/>
  <c r="A2399" i="13"/>
  <c r="A2400" i="13"/>
  <c r="A2401" i="13"/>
  <c r="A2402" i="13"/>
  <c r="A2403" i="13"/>
  <c r="A2404" i="13"/>
  <c r="A2405" i="13"/>
  <c r="A2406" i="13"/>
  <c r="A2407" i="13"/>
  <c r="A2408" i="13"/>
  <c r="A2409" i="13"/>
  <c r="A2410" i="13"/>
  <c r="A2411" i="13"/>
  <c r="A2412" i="13"/>
  <c r="A2413" i="13"/>
  <c r="A2414" i="13"/>
  <c r="A2415" i="13"/>
  <c r="A2416" i="13"/>
  <c r="A2417" i="13"/>
  <c r="A2418" i="13"/>
  <c r="A2419" i="13"/>
  <c r="A2420" i="13"/>
  <c r="A2421" i="13"/>
  <c r="A2422" i="13"/>
  <c r="A2423" i="13"/>
  <c r="A2424" i="13"/>
  <c r="A2425" i="13"/>
  <c r="A2426" i="13"/>
  <c r="A2427" i="13"/>
  <c r="A2428" i="13"/>
  <c r="A2429" i="13"/>
  <c r="A2430" i="13"/>
  <c r="A2431" i="13"/>
  <c r="A2432" i="13"/>
  <c r="A2433" i="13"/>
  <c r="A2434" i="13"/>
  <c r="A2435" i="13"/>
  <c r="A2436" i="13"/>
  <c r="A2437" i="13"/>
  <c r="A2438" i="13"/>
  <c r="A2439" i="13"/>
  <c r="A2440" i="13"/>
  <c r="A2441" i="13"/>
  <c r="A2442" i="13"/>
  <c r="A2443" i="13"/>
  <c r="A2444" i="13"/>
  <c r="A2445" i="13"/>
  <c r="A2446" i="13"/>
  <c r="A2447" i="13"/>
  <c r="A2448" i="13"/>
  <c r="A2449" i="13"/>
  <c r="A2450" i="13"/>
  <c r="A2451" i="13"/>
  <c r="A2452" i="13"/>
  <c r="A2453" i="13"/>
  <c r="A2454" i="13"/>
  <c r="A2455" i="13"/>
  <c r="A2456" i="13"/>
  <c r="A2457" i="13"/>
  <c r="A2458" i="13"/>
  <c r="A2459" i="13"/>
  <c r="A2460" i="13"/>
  <c r="A2461" i="13"/>
  <c r="A2462" i="13"/>
  <c r="A2463" i="13"/>
  <c r="A2464" i="13"/>
  <c r="A2465" i="13"/>
  <c r="A2466" i="13"/>
  <c r="A2467" i="13"/>
  <c r="A2468" i="13"/>
  <c r="A2469" i="13"/>
  <c r="A2470" i="13"/>
  <c r="A2471" i="13"/>
  <c r="A2472" i="13"/>
  <c r="A2473" i="13"/>
  <c r="A2474" i="13"/>
  <c r="A2475" i="13"/>
  <c r="A2476" i="13"/>
  <c r="A2477" i="13"/>
  <c r="A2478" i="13"/>
  <c r="A2479" i="13"/>
  <c r="A2480" i="13"/>
  <c r="A2481" i="13"/>
  <c r="A2482" i="13"/>
  <c r="A2483" i="13"/>
  <c r="A2484" i="13"/>
  <c r="A2485" i="13"/>
  <c r="A2486" i="13"/>
  <c r="A2487" i="13"/>
  <c r="A2488" i="13"/>
  <c r="A2489" i="13"/>
  <c r="A2490" i="13"/>
  <c r="A2491" i="13"/>
  <c r="A2492" i="13"/>
  <c r="A2493" i="13"/>
  <c r="A2494" i="13"/>
  <c r="A2495" i="13"/>
  <c r="A2496" i="13"/>
  <c r="A2497" i="13"/>
  <c r="A2498" i="13"/>
  <c r="A2499" i="13"/>
  <c r="A2500" i="13"/>
  <c r="A2501" i="13"/>
  <c r="A2502" i="13"/>
  <c r="A2503" i="13"/>
  <c r="A2504" i="13"/>
  <c r="A2505" i="13"/>
  <c r="A2506" i="13"/>
  <c r="A2507" i="13"/>
  <c r="A2508" i="13"/>
  <c r="A2509" i="13"/>
  <c r="A2510" i="13"/>
  <c r="A2511" i="13"/>
  <c r="A2512" i="13"/>
  <c r="A2513" i="13"/>
  <c r="A2514" i="13"/>
  <c r="A2515" i="13"/>
  <c r="A2516" i="13"/>
  <c r="A2517" i="13"/>
  <c r="A2518" i="13"/>
  <c r="A2519" i="13"/>
  <c r="A2520" i="13"/>
  <c r="A2521" i="13"/>
  <c r="A2522" i="13"/>
  <c r="A2523" i="13"/>
  <c r="A2524" i="13"/>
  <c r="A2525" i="13"/>
  <c r="A2526" i="13"/>
  <c r="A2527" i="13"/>
  <c r="A2528" i="13"/>
  <c r="A2529" i="13"/>
  <c r="A2530" i="13"/>
  <c r="A2531" i="13"/>
  <c r="A2532" i="13"/>
  <c r="A2533" i="13"/>
  <c r="A2534" i="13"/>
  <c r="A2535" i="13"/>
  <c r="A2536" i="13"/>
  <c r="A2537" i="13"/>
  <c r="A2538" i="13"/>
  <c r="A2539" i="13"/>
  <c r="A2540" i="13"/>
  <c r="A2541" i="13"/>
  <c r="A2542" i="13"/>
  <c r="A2543" i="13"/>
  <c r="A2544" i="13"/>
  <c r="A2545" i="13"/>
  <c r="A2546" i="13"/>
  <c r="A2547" i="13"/>
  <c r="A2548" i="13"/>
  <c r="A2549" i="13"/>
  <c r="A2550" i="13"/>
  <c r="A2551" i="13"/>
  <c r="A2552" i="13"/>
  <c r="A2553" i="13"/>
  <c r="A2554" i="13"/>
  <c r="A2555" i="13"/>
  <c r="A2556" i="13"/>
  <c r="A2557" i="13"/>
  <c r="A2558" i="13"/>
  <c r="A2559" i="13"/>
  <c r="A2560" i="13"/>
  <c r="A2561" i="13"/>
  <c r="A2562" i="13"/>
  <c r="A2563" i="13"/>
  <c r="A2564" i="13"/>
  <c r="A2565" i="13"/>
  <c r="A2566" i="13"/>
  <c r="A2567" i="13"/>
  <c r="A2568" i="13"/>
  <c r="A2569" i="13"/>
  <c r="A2570" i="13"/>
  <c r="A2571" i="13"/>
  <c r="A2572" i="13"/>
  <c r="A2573" i="13"/>
  <c r="A2574" i="13"/>
  <c r="A2575" i="13"/>
  <c r="A2576" i="13"/>
  <c r="A2577" i="13"/>
  <c r="A2578" i="13"/>
  <c r="A2579" i="13"/>
  <c r="A2580" i="13"/>
  <c r="A2581" i="13"/>
  <c r="A2582" i="13"/>
  <c r="A2583" i="13"/>
  <c r="A2584" i="13"/>
  <c r="A2585" i="13"/>
  <c r="A2586" i="13"/>
  <c r="A2587" i="13"/>
  <c r="A2588" i="13"/>
  <c r="A2589" i="13"/>
  <c r="A2590" i="13"/>
  <c r="A2591" i="13"/>
  <c r="A2592" i="13"/>
  <c r="A2593" i="13"/>
  <c r="A2594" i="13"/>
  <c r="A2595" i="13"/>
  <c r="A2596" i="13"/>
  <c r="A2597" i="13"/>
  <c r="A2598" i="13"/>
  <c r="A2599" i="13"/>
  <c r="A2600" i="13"/>
  <c r="A2601" i="13"/>
  <c r="A2602" i="13"/>
  <c r="A2603" i="13"/>
  <c r="A2604" i="13"/>
  <c r="A2605" i="13"/>
  <c r="A2606" i="13"/>
  <c r="A2607" i="13"/>
  <c r="A2608" i="13"/>
  <c r="A2609" i="13"/>
  <c r="A2610" i="13"/>
  <c r="A2611" i="13"/>
  <c r="A2612" i="13"/>
  <c r="A2613" i="13"/>
  <c r="A2614" i="13"/>
  <c r="A2615" i="13"/>
  <c r="A2616" i="13"/>
  <c r="A2617" i="13"/>
  <c r="A2618" i="13"/>
  <c r="A2619" i="13"/>
  <c r="A2620" i="13"/>
  <c r="A2621" i="13"/>
  <c r="A2622" i="13"/>
  <c r="A2623" i="13"/>
  <c r="A2624" i="13"/>
  <c r="A2625" i="13"/>
  <c r="A2626" i="13"/>
  <c r="A2627" i="13"/>
  <c r="A2628" i="13"/>
  <c r="A2629" i="13"/>
  <c r="A2630" i="13"/>
  <c r="A2631" i="13"/>
  <c r="A2632" i="13"/>
  <c r="A2633" i="13"/>
  <c r="A2634" i="13"/>
  <c r="A2635" i="13"/>
  <c r="A2636" i="13"/>
  <c r="A2637" i="13"/>
  <c r="A2638" i="13"/>
  <c r="A2639" i="13"/>
  <c r="A2640" i="13"/>
  <c r="A2641" i="13"/>
  <c r="A2642" i="13"/>
  <c r="A2643" i="13"/>
  <c r="A2644" i="13"/>
  <c r="A2645" i="13"/>
  <c r="A2646" i="13"/>
  <c r="A2647" i="13"/>
  <c r="A2648" i="13"/>
  <c r="A2649" i="13"/>
  <c r="A2650" i="13"/>
  <c r="A2651" i="13"/>
  <c r="A2652" i="13"/>
  <c r="A2653" i="13"/>
  <c r="A2654" i="13"/>
  <c r="A2655" i="13"/>
  <c r="A2656" i="13"/>
  <c r="A2657" i="13"/>
  <c r="A2658" i="13"/>
  <c r="A2659" i="13"/>
  <c r="A2660" i="13"/>
  <c r="A2661" i="13"/>
  <c r="A2662" i="13"/>
  <c r="A2663" i="13"/>
  <c r="A2664" i="13"/>
  <c r="A2665" i="13"/>
  <c r="A2666" i="13"/>
  <c r="A2667" i="13"/>
  <c r="A2668" i="13"/>
  <c r="A2669" i="13"/>
  <c r="A2670" i="13"/>
  <c r="A2671" i="13"/>
  <c r="A2672" i="13"/>
  <c r="A2673" i="13"/>
  <c r="A2674" i="13"/>
  <c r="A2675" i="13"/>
  <c r="A2676" i="13"/>
  <c r="A2677" i="13"/>
  <c r="A2678" i="13"/>
  <c r="A2679" i="13"/>
  <c r="A2680" i="13"/>
  <c r="A2681" i="13"/>
  <c r="A2682" i="13"/>
  <c r="A2683" i="13"/>
  <c r="A2684" i="13"/>
  <c r="A2685" i="13"/>
  <c r="A2686" i="13"/>
  <c r="A2687" i="13"/>
  <c r="A2688" i="13"/>
  <c r="A2689" i="13"/>
  <c r="A2690" i="13"/>
  <c r="A2691" i="13"/>
  <c r="A2692" i="13"/>
  <c r="A2693" i="13"/>
  <c r="A2694" i="13"/>
  <c r="A2695" i="13"/>
  <c r="A2696" i="13"/>
  <c r="A2697" i="13"/>
  <c r="A2698" i="13"/>
  <c r="A2699" i="13"/>
  <c r="A2700" i="13"/>
  <c r="A2701" i="13"/>
  <c r="A2702" i="13"/>
  <c r="A2703" i="13"/>
  <c r="A2704" i="13"/>
  <c r="A2705" i="13"/>
  <c r="A2706" i="13"/>
  <c r="A2707" i="13"/>
  <c r="A2708" i="13"/>
  <c r="A2709" i="13"/>
  <c r="A2710" i="13"/>
  <c r="A2711" i="13"/>
  <c r="A2712" i="13"/>
  <c r="A2713" i="13"/>
  <c r="A2714" i="13"/>
  <c r="A2715" i="13"/>
  <c r="A2716" i="13"/>
  <c r="A2717" i="13"/>
  <c r="A2718" i="13"/>
  <c r="A2719" i="13"/>
  <c r="A2720" i="13"/>
  <c r="A2721" i="13"/>
  <c r="A2722" i="13"/>
  <c r="A2723" i="13"/>
  <c r="A2724" i="13"/>
  <c r="A2725" i="13"/>
  <c r="A2726" i="13"/>
  <c r="A2727" i="13"/>
  <c r="A2728" i="13"/>
  <c r="A2729" i="13"/>
  <c r="A2730" i="13"/>
  <c r="A2731" i="13"/>
  <c r="A2732" i="13"/>
  <c r="A2733" i="13"/>
  <c r="A2734" i="13"/>
  <c r="A2735" i="13"/>
  <c r="A2736" i="13"/>
  <c r="A2737" i="13"/>
  <c r="A2738" i="13"/>
  <c r="A2739" i="13"/>
  <c r="A2740" i="13"/>
  <c r="A2741" i="13"/>
  <c r="A2742" i="13"/>
  <c r="A2743" i="13"/>
  <c r="A2744" i="13"/>
  <c r="A2745" i="13"/>
  <c r="A2746" i="13"/>
  <c r="A2747" i="13"/>
  <c r="A2748" i="13"/>
  <c r="A2749" i="13"/>
  <c r="A2750" i="13"/>
  <c r="A2751" i="13"/>
  <c r="A2752" i="13"/>
  <c r="A2753" i="13"/>
  <c r="A2754" i="13"/>
  <c r="A2755" i="13"/>
  <c r="A2756" i="13"/>
  <c r="A2757" i="13"/>
  <c r="A2758" i="13"/>
  <c r="A2759" i="13"/>
  <c r="A2760" i="13"/>
  <c r="A2761" i="13"/>
  <c r="A2762" i="13"/>
  <c r="A2763" i="13"/>
  <c r="A2764" i="13"/>
  <c r="A2765" i="13"/>
  <c r="A2766" i="13"/>
  <c r="A2767" i="13"/>
  <c r="A2768" i="13"/>
  <c r="A2769" i="13"/>
  <c r="A2770" i="13"/>
  <c r="A2771" i="13"/>
  <c r="A2772" i="13"/>
  <c r="A2773" i="13"/>
  <c r="A2774" i="13"/>
  <c r="A2775" i="13"/>
  <c r="A2776" i="13"/>
  <c r="A2777" i="13"/>
  <c r="A2778" i="13"/>
  <c r="A2779" i="13"/>
  <c r="A2780" i="13"/>
  <c r="A2781" i="13"/>
  <c r="A2782" i="13"/>
  <c r="A2783" i="13"/>
  <c r="A2784" i="13"/>
  <c r="A2785" i="13"/>
  <c r="A2786" i="13"/>
  <c r="A2787" i="13"/>
  <c r="A2788" i="13"/>
  <c r="A2789" i="13"/>
  <c r="A2790" i="13"/>
  <c r="A2791" i="13"/>
  <c r="A2792" i="13"/>
  <c r="A2793" i="13"/>
  <c r="A2794" i="13"/>
  <c r="A2795" i="13"/>
  <c r="A2796" i="13"/>
  <c r="A2797" i="13"/>
  <c r="A2798" i="13"/>
  <c r="A2799" i="13"/>
  <c r="A2800" i="13"/>
  <c r="A2801" i="13"/>
  <c r="A2802" i="13"/>
  <c r="A2803" i="13"/>
  <c r="A2804" i="13"/>
  <c r="A2805" i="13"/>
  <c r="A2806" i="13"/>
  <c r="A2807" i="13"/>
  <c r="A2808" i="13"/>
  <c r="A2809" i="13"/>
  <c r="A2810" i="13"/>
  <c r="A2811" i="13"/>
  <c r="A2812" i="13"/>
  <c r="A2813" i="13"/>
  <c r="A2814" i="13"/>
  <c r="A2815" i="13"/>
  <c r="A2816" i="13"/>
  <c r="A2817" i="13"/>
  <c r="A2818" i="13"/>
  <c r="A2819" i="13"/>
  <c r="A2820" i="13"/>
  <c r="A2821" i="13"/>
  <c r="A2822" i="13"/>
  <c r="A2823" i="13"/>
  <c r="A2824" i="13"/>
  <c r="A2825" i="13"/>
  <c r="A2826" i="13"/>
  <c r="A2827" i="13"/>
  <c r="A2828" i="13"/>
  <c r="A2829" i="13"/>
  <c r="A2830" i="13"/>
  <c r="A2831" i="13"/>
  <c r="A2832" i="13"/>
  <c r="A2833" i="13"/>
  <c r="A2834" i="13"/>
  <c r="A2835" i="13"/>
  <c r="A2836" i="13"/>
  <c r="A2837" i="13"/>
  <c r="A2838" i="13"/>
  <c r="A2839" i="13"/>
  <c r="A2840" i="13"/>
  <c r="A2841" i="13"/>
  <c r="A2842" i="13"/>
  <c r="A2843" i="13"/>
  <c r="A2844" i="13"/>
  <c r="A2845" i="13"/>
  <c r="A2846" i="13"/>
  <c r="A2847" i="13"/>
  <c r="A2848" i="13"/>
  <c r="A2849" i="13"/>
  <c r="A2850" i="13"/>
  <c r="A2851" i="13"/>
  <c r="A2852" i="13"/>
  <c r="A2853" i="13"/>
  <c r="A2854" i="13"/>
  <c r="A2855" i="13"/>
  <c r="A2856" i="13"/>
  <c r="A2857" i="13"/>
  <c r="A2858" i="13"/>
  <c r="A2859" i="13"/>
  <c r="A2860" i="13"/>
  <c r="A2861" i="13"/>
  <c r="A2862" i="13"/>
  <c r="A2863" i="13"/>
  <c r="A2864" i="13"/>
  <c r="A2865" i="13"/>
  <c r="A2866" i="13"/>
  <c r="A2867" i="13"/>
  <c r="A2868" i="13"/>
  <c r="A2869" i="13"/>
  <c r="A2870" i="13"/>
  <c r="A2871" i="13"/>
  <c r="A2872" i="13"/>
  <c r="A2873" i="13"/>
  <c r="A2874" i="13"/>
  <c r="A2875" i="13"/>
  <c r="A2876" i="13"/>
  <c r="A2877" i="13"/>
  <c r="A2878" i="13"/>
  <c r="A2879" i="13"/>
  <c r="A2880" i="13"/>
  <c r="A2881" i="13"/>
  <c r="A2882" i="13"/>
  <c r="A2883" i="13"/>
  <c r="A2884" i="13"/>
  <c r="A2885" i="13"/>
  <c r="A2886" i="13"/>
  <c r="A2887" i="13"/>
  <c r="A2888" i="13"/>
  <c r="A2889" i="13"/>
  <c r="A2890" i="13"/>
  <c r="A2891" i="13"/>
  <c r="A2892" i="13"/>
  <c r="A2893" i="13"/>
  <c r="A2894" i="13"/>
  <c r="A2895" i="13"/>
  <c r="A2896" i="13"/>
  <c r="A2897" i="13"/>
  <c r="A2898" i="13"/>
  <c r="A2899" i="13"/>
  <c r="A2900" i="13"/>
  <c r="A2901" i="13"/>
  <c r="A2902" i="13"/>
  <c r="A2903" i="13"/>
  <c r="A2904" i="13"/>
  <c r="A2905" i="13"/>
  <c r="A2906" i="13"/>
  <c r="A2907" i="13"/>
  <c r="A2908" i="13"/>
  <c r="A2909" i="13"/>
  <c r="A2910" i="13"/>
  <c r="A2911" i="13"/>
  <c r="A2912" i="13"/>
  <c r="A2913" i="13"/>
  <c r="A2914" i="13"/>
  <c r="A2915" i="13"/>
  <c r="A2916" i="13"/>
  <c r="A2917" i="13"/>
  <c r="A2918" i="13"/>
  <c r="A2919" i="13"/>
  <c r="A2920" i="13"/>
  <c r="A2921" i="13"/>
  <c r="A2922" i="13"/>
  <c r="A2923" i="13"/>
  <c r="A2924" i="13"/>
  <c r="A2925" i="13"/>
  <c r="A2926" i="13"/>
  <c r="A2927" i="13"/>
  <c r="A2928" i="13"/>
  <c r="A2929" i="13"/>
  <c r="A2930" i="13"/>
  <c r="A2931" i="13"/>
  <c r="A2932" i="13"/>
  <c r="A2933" i="13"/>
  <c r="A2934" i="13"/>
  <c r="A2935" i="13"/>
  <c r="A2936" i="13"/>
  <c r="A2937" i="13"/>
  <c r="A2938" i="13"/>
  <c r="A2939" i="13"/>
  <c r="A2940" i="13"/>
  <c r="A2941" i="13"/>
  <c r="A2942" i="13"/>
  <c r="A2943" i="13"/>
  <c r="A2944" i="13"/>
  <c r="A2945" i="13"/>
  <c r="A2946" i="13"/>
  <c r="A2947" i="13"/>
  <c r="A2948" i="13"/>
  <c r="A2949" i="13"/>
  <c r="A2950" i="13"/>
  <c r="A2951" i="13"/>
  <c r="A2952" i="13"/>
  <c r="A2953" i="13"/>
  <c r="A2954" i="13"/>
  <c r="A2955" i="13"/>
  <c r="A2956" i="13"/>
  <c r="A2957" i="13"/>
  <c r="A2958" i="13"/>
  <c r="A2959" i="13"/>
  <c r="A2960" i="13"/>
  <c r="A2961" i="13"/>
  <c r="A2962" i="13"/>
  <c r="A2963" i="13"/>
  <c r="A2964" i="13"/>
  <c r="A2965" i="13"/>
  <c r="A2966" i="13"/>
  <c r="A2967" i="13"/>
  <c r="A2968" i="13"/>
  <c r="A2969" i="13"/>
  <c r="A2970" i="13"/>
  <c r="A2971" i="13"/>
  <c r="A2972" i="13"/>
  <c r="A2973" i="13"/>
  <c r="A2974" i="13"/>
  <c r="A2975" i="13"/>
  <c r="A2976" i="13"/>
  <c r="A2977" i="13"/>
  <c r="A2978" i="13"/>
  <c r="A2979" i="13"/>
  <c r="A2980" i="13"/>
  <c r="A2981" i="13"/>
  <c r="A2982" i="13"/>
  <c r="A2983" i="13"/>
  <c r="A2984" i="13"/>
  <c r="A2985" i="13"/>
  <c r="A2986" i="13"/>
  <c r="A2987" i="13"/>
  <c r="A2988" i="13"/>
  <c r="A2989" i="13"/>
  <c r="A2990" i="13"/>
  <c r="A2991" i="13"/>
  <c r="A2992" i="13"/>
  <c r="A2993" i="13"/>
  <c r="A2994" i="13"/>
  <c r="A2995" i="13"/>
  <c r="A2996" i="13"/>
  <c r="A2997" i="13"/>
  <c r="A2998" i="13"/>
  <c r="A2999" i="13"/>
  <c r="A3000" i="13"/>
  <c r="A3001" i="13"/>
  <c r="A3002" i="13"/>
  <c r="A3003" i="13"/>
  <c r="A3004" i="13"/>
  <c r="A3005" i="13"/>
  <c r="A3006" i="13"/>
  <c r="A3007" i="13"/>
  <c r="A3008" i="13"/>
  <c r="A3009" i="13"/>
  <c r="A3010" i="13"/>
  <c r="A3011" i="13"/>
  <c r="A3012" i="13"/>
  <c r="A3013" i="13"/>
  <c r="A3014" i="13"/>
  <c r="A3015" i="13"/>
  <c r="A3016" i="13"/>
  <c r="A3017" i="13"/>
  <c r="A3018" i="13"/>
  <c r="A3019" i="13"/>
  <c r="A3020" i="13"/>
  <c r="A3021" i="13"/>
  <c r="A3022" i="13"/>
  <c r="A3023" i="13"/>
  <c r="A3024" i="13"/>
  <c r="A3025" i="13"/>
  <c r="A3026" i="13"/>
  <c r="A3027" i="13"/>
  <c r="A3028" i="13"/>
  <c r="A3029" i="13"/>
  <c r="A3030" i="13"/>
  <c r="A3031" i="13"/>
  <c r="A3032" i="13"/>
  <c r="A3033" i="13"/>
  <c r="A3034" i="13"/>
  <c r="A3035" i="13"/>
  <c r="A3036" i="13"/>
  <c r="A3037" i="13"/>
  <c r="A3038" i="13"/>
  <c r="A3039" i="13"/>
  <c r="A3040" i="13"/>
  <c r="A3041" i="13"/>
  <c r="A3042" i="13"/>
  <c r="A3043" i="13"/>
  <c r="A3044" i="13"/>
  <c r="A3045" i="13"/>
  <c r="A3046" i="13"/>
  <c r="A3047" i="13"/>
  <c r="A3048" i="13"/>
  <c r="A3049" i="13"/>
  <c r="A3050" i="13"/>
  <c r="A3051" i="13"/>
  <c r="A3052" i="13"/>
  <c r="A3053" i="13"/>
  <c r="A3054" i="13"/>
  <c r="A3055" i="13"/>
  <c r="A3056" i="13"/>
  <c r="A3057" i="13"/>
  <c r="A3058" i="13"/>
  <c r="A3059" i="13"/>
  <c r="A3060" i="13"/>
  <c r="A3061" i="13"/>
  <c r="A3062" i="13"/>
  <c r="A3063" i="13"/>
  <c r="A3064" i="13"/>
  <c r="A3065" i="13"/>
  <c r="A3066" i="13"/>
  <c r="A3067" i="13"/>
  <c r="A3068" i="13"/>
  <c r="A3069" i="13"/>
  <c r="A3070" i="13"/>
  <c r="A3071" i="13"/>
  <c r="A3072" i="13"/>
  <c r="A3073" i="13"/>
  <c r="A3074" i="13"/>
  <c r="A3075" i="13"/>
  <c r="A3076" i="13"/>
  <c r="A3077" i="13"/>
  <c r="A3078" i="13"/>
  <c r="A3079" i="13"/>
  <c r="A3080" i="13"/>
  <c r="A3081" i="13"/>
  <c r="A3082" i="13"/>
  <c r="A3083" i="13"/>
  <c r="A3084" i="13"/>
  <c r="A3085" i="13"/>
  <c r="A3086" i="13"/>
  <c r="A3087" i="13"/>
  <c r="A3088" i="13"/>
  <c r="A3089" i="13"/>
  <c r="A3090" i="13"/>
  <c r="A3091" i="13"/>
  <c r="A3092" i="13"/>
  <c r="A3093" i="13"/>
  <c r="A3094" i="13"/>
  <c r="A3095" i="13"/>
  <c r="A3096" i="13"/>
  <c r="A3097" i="13"/>
  <c r="A3098" i="13"/>
  <c r="A3099" i="13"/>
  <c r="A3100" i="13"/>
  <c r="A3101" i="13"/>
  <c r="A3102" i="13"/>
  <c r="A3103" i="13"/>
  <c r="A3104" i="13"/>
  <c r="A3105" i="13"/>
  <c r="A3106" i="13"/>
  <c r="A3107" i="13"/>
  <c r="A3108" i="13"/>
  <c r="A3109" i="13"/>
  <c r="A3110" i="13"/>
  <c r="A3111" i="13"/>
  <c r="A3112" i="13"/>
  <c r="A3113" i="13"/>
  <c r="A3114" i="13"/>
  <c r="A3115" i="13"/>
  <c r="A3116" i="13"/>
  <c r="A3117" i="13"/>
  <c r="A3118" i="13"/>
  <c r="A3119" i="13"/>
  <c r="A3120" i="13"/>
  <c r="A3121" i="13"/>
  <c r="A3122" i="13"/>
  <c r="A3123" i="13"/>
  <c r="A3124" i="13"/>
  <c r="A3125" i="13"/>
  <c r="A3126" i="13"/>
  <c r="A3127" i="13"/>
  <c r="A3128" i="13"/>
  <c r="A3129" i="13"/>
  <c r="A3130" i="13"/>
  <c r="A3131" i="13"/>
  <c r="A3132" i="13"/>
  <c r="A3133" i="13"/>
  <c r="A3134" i="13"/>
  <c r="A3135" i="13"/>
  <c r="A3136" i="13"/>
  <c r="A3137" i="13"/>
  <c r="A3138" i="13"/>
  <c r="A3139" i="13"/>
  <c r="A3140" i="13"/>
  <c r="A3141" i="13"/>
  <c r="A3142" i="13"/>
  <c r="A3143" i="13"/>
  <c r="A3144" i="13"/>
  <c r="A3145" i="13"/>
  <c r="A3146" i="13"/>
  <c r="A3147" i="13"/>
  <c r="A3148" i="13"/>
  <c r="A3149" i="13"/>
  <c r="A3150" i="13"/>
  <c r="A3151" i="13"/>
  <c r="A3152" i="13"/>
  <c r="A3153" i="13"/>
  <c r="A3154" i="13"/>
  <c r="A3155" i="13"/>
  <c r="A3156" i="13"/>
  <c r="A3157" i="13"/>
  <c r="A3158" i="13"/>
  <c r="A3159" i="13"/>
  <c r="A3160" i="13"/>
  <c r="A3161" i="13"/>
  <c r="A3162" i="13"/>
  <c r="A3163" i="13"/>
  <c r="A3164" i="13"/>
  <c r="A3165" i="13"/>
  <c r="A3166" i="13"/>
  <c r="A3167" i="13"/>
  <c r="A3168" i="13"/>
  <c r="A3169" i="13"/>
  <c r="A3170" i="13"/>
  <c r="A3171" i="13"/>
  <c r="A3172" i="13"/>
  <c r="A3173" i="13"/>
  <c r="A3174" i="13"/>
  <c r="A3175" i="13"/>
  <c r="A3176" i="13"/>
  <c r="A3177" i="13"/>
  <c r="A3178" i="13"/>
  <c r="A3179" i="13"/>
  <c r="A3180" i="13"/>
  <c r="A3181" i="13"/>
  <c r="A3182" i="13"/>
  <c r="A3183" i="13"/>
  <c r="A3184" i="13"/>
  <c r="A3185" i="13"/>
  <c r="A3186" i="13"/>
  <c r="A3187" i="13"/>
  <c r="A3188" i="13"/>
  <c r="A3189" i="13"/>
  <c r="A3190" i="13"/>
  <c r="A3191" i="13"/>
  <c r="A3192" i="13"/>
  <c r="A3193" i="13"/>
  <c r="A3194" i="13"/>
  <c r="A3195" i="13"/>
  <c r="A3196" i="13"/>
  <c r="A3197" i="13"/>
  <c r="A3198" i="13"/>
  <c r="A3199" i="13"/>
  <c r="A3200" i="13"/>
  <c r="A3201" i="13"/>
  <c r="A3202" i="13"/>
  <c r="A3203" i="13"/>
  <c r="A3204" i="13"/>
  <c r="A3205" i="13"/>
  <c r="A3206" i="13"/>
  <c r="A3207" i="13"/>
  <c r="A3208" i="13"/>
  <c r="A3209" i="13"/>
  <c r="A3210" i="13"/>
  <c r="A3211" i="13"/>
  <c r="A3212" i="13"/>
  <c r="A3213" i="13"/>
  <c r="A3214" i="13"/>
  <c r="A3215" i="13"/>
  <c r="A3216" i="13"/>
  <c r="A3217" i="13"/>
  <c r="A3218" i="13"/>
  <c r="A3219" i="13"/>
  <c r="A3220" i="13"/>
  <c r="A3221" i="13"/>
  <c r="A3222" i="13"/>
  <c r="A3223" i="13"/>
  <c r="A3224" i="13"/>
  <c r="A3225" i="13"/>
  <c r="A3226" i="13"/>
  <c r="A3227" i="13"/>
  <c r="A3228" i="13"/>
  <c r="A3229" i="13"/>
  <c r="A3230" i="13"/>
  <c r="A3231" i="13"/>
  <c r="A3232" i="13"/>
  <c r="A3233" i="13"/>
  <c r="A3234" i="13"/>
  <c r="A3235" i="13"/>
  <c r="A3236" i="13"/>
  <c r="A3237" i="13"/>
  <c r="A3238" i="13"/>
  <c r="A3239" i="13"/>
  <c r="A3240" i="13"/>
  <c r="A3241" i="13"/>
  <c r="A3242" i="13"/>
  <c r="A3243" i="13"/>
  <c r="A3244" i="13"/>
  <c r="A3245" i="13"/>
  <c r="A3246" i="13"/>
  <c r="A3247" i="13"/>
  <c r="A3248" i="13"/>
  <c r="A3249" i="13"/>
  <c r="A3250" i="13"/>
  <c r="A3251" i="13"/>
  <c r="A3252" i="13"/>
  <c r="A3253" i="13"/>
  <c r="A3254" i="13"/>
  <c r="A3255" i="13"/>
  <c r="A3256" i="13"/>
  <c r="A3257" i="13"/>
  <c r="A3258" i="13"/>
  <c r="A3259" i="13"/>
  <c r="A3260" i="13"/>
  <c r="A3261" i="13"/>
  <c r="A3262" i="13"/>
  <c r="A3263" i="13"/>
  <c r="A3264" i="13"/>
  <c r="A3265" i="13"/>
  <c r="A3266" i="13"/>
  <c r="A3267" i="13"/>
  <c r="A3268" i="13"/>
  <c r="A3269" i="13"/>
  <c r="A3270" i="13"/>
  <c r="A3271" i="13"/>
  <c r="A3272" i="13"/>
  <c r="A3273" i="13"/>
  <c r="A3274" i="13"/>
  <c r="A3275" i="13"/>
  <c r="A3276" i="13"/>
  <c r="A3277" i="13"/>
  <c r="A3278" i="13"/>
  <c r="A3279" i="13"/>
  <c r="A3280" i="13"/>
  <c r="A3281" i="13"/>
  <c r="A3282" i="13"/>
  <c r="A3283" i="13"/>
  <c r="A3284" i="13"/>
  <c r="A3285" i="13"/>
  <c r="A3286" i="13"/>
  <c r="A3287" i="13"/>
  <c r="A3288" i="13"/>
  <c r="A3289" i="13"/>
  <c r="A3290" i="13"/>
  <c r="A3291" i="13"/>
  <c r="A3292" i="13"/>
  <c r="A3293" i="13"/>
  <c r="A3294" i="13"/>
  <c r="A3295" i="13"/>
  <c r="A3296" i="13"/>
  <c r="A3297" i="13"/>
  <c r="A3298" i="13"/>
  <c r="A3299" i="13"/>
  <c r="A3300" i="13"/>
  <c r="A3301" i="13"/>
  <c r="A3302" i="13"/>
  <c r="A3303" i="13"/>
  <c r="A3304" i="13"/>
  <c r="A3305" i="13"/>
  <c r="A3306" i="13"/>
  <c r="A3307" i="13"/>
  <c r="A3308" i="13"/>
  <c r="A3309" i="13"/>
  <c r="A3310" i="13"/>
  <c r="A3311" i="13"/>
  <c r="A3312" i="13"/>
  <c r="A3313" i="13"/>
  <c r="A3314" i="13"/>
  <c r="A3315" i="13"/>
  <c r="A3316" i="13"/>
  <c r="A3317" i="13"/>
  <c r="A3318" i="13"/>
  <c r="A3319" i="13"/>
  <c r="A3320" i="13"/>
  <c r="A3321" i="13"/>
  <c r="A3322" i="13"/>
  <c r="A3323" i="13"/>
  <c r="A3324" i="13"/>
  <c r="A3325" i="13"/>
  <c r="A3326" i="13"/>
  <c r="A3327" i="13"/>
  <c r="A3328" i="13"/>
  <c r="A3329" i="13"/>
  <c r="A3330" i="13"/>
  <c r="A3331" i="13"/>
  <c r="A3332" i="13"/>
  <c r="A3333" i="13"/>
  <c r="A3334" i="13"/>
  <c r="A3335" i="13"/>
  <c r="A3336" i="13"/>
  <c r="A3337" i="13"/>
  <c r="A3338" i="13"/>
  <c r="A3339" i="13"/>
  <c r="A3340" i="13"/>
  <c r="A3341" i="13"/>
  <c r="A3342" i="13"/>
  <c r="A3343" i="13"/>
  <c r="A3344" i="13"/>
  <c r="A3345" i="13"/>
  <c r="A3346" i="13"/>
  <c r="A3347" i="13"/>
  <c r="A3348" i="13"/>
  <c r="A3349" i="13"/>
  <c r="A3350" i="13"/>
  <c r="A3351" i="13"/>
  <c r="A3352" i="13"/>
  <c r="A3353" i="13"/>
  <c r="A3354" i="13"/>
  <c r="A3355" i="13"/>
  <c r="A3356" i="13"/>
  <c r="A3357" i="13"/>
  <c r="A3358" i="13"/>
  <c r="A3359" i="13"/>
  <c r="A3360" i="13"/>
  <c r="A3361" i="13"/>
  <c r="A3362" i="13"/>
  <c r="A3363" i="13"/>
  <c r="A3364" i="13"/>
  <c r="A3365" i="13"/>
  <c r="A3366" i="13"/>
  <c r="A3367" i="13"/>
  <c r="A3368" i="13"/>
  <c r="A3369" i="13"/>
  <c r="A3370" i="13"/>
  <c r="A3371" i="13"/>
  <c r="A3372" i="13"/>
  <c r="A3373" i="13"/>
  <c r="A3374" i="13"/>
  <c r="A3375" i="13"/>
  <c r="A3376" i="13"/>
  <c r="A3377" i="13"/>
  <c r="A3378" i="13"/>
  <c r="A3379" i="13"/>
  <c r="A3380" i="13"/>
  <c r="A3381" i="13"/>
  <c r="A3382" i="13"/>
  <c r="A3383" i="13"/>
  <c r="A3384" i="13"/>
  <c r="A3385" i="13"/>
  <c r="A3386" i="13"/>
  <c r="A3387" i="13"/>
  <c r="A3388" i="13"/>
  <c r="A3389" i="13"/>
  <c r="A3390" i="13"/>
  <c r="A3391" i="13"/>
  <c r="A3392" i="13"/>
  <c r="A3393" i="13"/>
  <c r="A3394" i="13"/>
  <c r="A3395" i="13"/>
  <c r="A3396" i="13"/>
  <c r="A3397" i="13"/>
  <c r="A3398" i="13"/>
  <c r="A3399" i="13"/>
  <c r="A3400" i="13"/>
  <c r="A3401" i="13"/>
  <c r="A3402" i="13"/>
  <c r="A3403" i="13"/>
  <c r="A3404" i="13"/>
  <c r="A3405" i="13"/>
  <c r="A3406" i="13"/>
  <c r="A3407" i="13"/>
  <c r="A3408" i="13"/>
  <c r="A3409" i="13"/>
  <c r="A3410" i="13"/>
  <c r="A3411" i="13"/>
  <c r="A3412" i="13"/>
  <c r="A3413" i="13"/>
  <c r="A3414" i="13"/>
  <c r="A3415" i="13"/>
  <c r="A3416" i="13"/>
  <c r="A3417" i="13"/>
  <c r="A3418" i="13"/>
  <c r="A3419" i="13"/>
  <c r="A3420" i="13"/>
  <c r="A3421" i="13"/>
  <c r="A3422" i="13"/>
  <c r="A3423" i="13"/>
  <c r="A3424" i="13"/>
  <c r="A3425" i="13"/>
  <c r="A3426" i="13"/>
  <c r="A3427" i="13"/>
  <c r="A3428" i="13"/>
  <c r="A3429" i="13"/>
  <c r="A3430" i="13"/>
  <c r="A3431" i="13"/>
  <c r="A3432" i="13"/>
  <c r="A3433" i="13"/>
  <c r="A3434" i="13"/>
  <c r="A3435" i="13"/>
  <c r="A3436" i="13"/>
  <c r="A3437" i="13"/>
  <c r="A3438" i="13"/>
  <c r="A3439" i="13"/>
  <c r="A3440" i="13"/>
  <c r="A3441" i="13"/>
  <c r="A3442" i="13"/>
  <c r="A3443" i="13"/>
  <c r="A3444" i="13"/>
  <c r="A3445" i="13"/>
  <c r="A3446" i="13"/>
  <c r="A3447" i="13"/>
  <c r="A3448" i="13"/>
  <c r="A3449" i="13"/>
  <c r="A3450" i="13"/>
  <c r="A3451" i="13"/>
  <c r="A3452" i="13"/>
  <c r="A3453" i="13"/>
  <c r="A3454" i="13"/>
  <c r="A3455" i="13"/>
  <c r="A3456" i="13"/>
  <c r="A3457" i="13"/>
  <c r="A3458" i="13"/>
  <c r="A3459" i="13"/>
  <c r="A3460" i="13"/>
  <c r="A3461" i="13"/>
  <c r="A3462" i="13"/>
  <c r="A3463" i="13"/>
  <c r="A3464" i="13"/>
  <c r="A3465" i="13"/>
  <c r="A3466" i="13"/>
  <c r="A3467" i="13"/>
  <c r="A3468" i="13"/>
  <c r="A3469" i="13"/>
  <c r="A3470" i="13"/>
  <c r="A3471" i="13"/>
  <c r="A3472" i="13"/>
  <c r="A3473" i="13"/>
  <c r="A3474" i="13"/>
  <c r="A3475" i="13"/>
  <c r="A3476" i="13"/>
  <c r="A3477" i="13"/>
  <c r="A3478" i="13"/>
  <c r="A3479" i="13"/>
  <c r="A3480" i="13"/>
  <c r="A3481" i="13"/>
  <c r="A3482" i="13"/>
  <c r="A3483" i="13"/>
  <c r="A3484" i="13"/>
  <c r="A3485" i="13"/>
  <c r="A3486" i="13"/>
  <c r="A3487" i="13"/>
  <c r="A3488" i="13"/>
  <c r="A3489" i="13"/>
  <c r="A3490" i="13"/>
  <c r="A3491" i="13"/>
  <c r="A3492" i="13"/>
  <c r="A3493" i="13"/>
  <c r="A3494" i="13"/>
  <c r="A3495" i="13"/>
  <c r="A3496" i="13"/>
  <c r="A3497" i="13"/>
  <c r="A3498" i="13"/>
  <c r="A3499" i="13"/>
  <c r="A3500" i="13"/>
  <c r="A3501" i="13"/>
  <c r="A3502" i="13"/>
  <c r="A3503" i="13"/>
  <c r="A3504" i="13"/>
  <c r="A3505" i="13"/>
  <c r="A3506" i="13"/>
  <c r="A3507" i="13"/>
  <c r="A3508" i="13"/>
  <c r="A3509" i="13"/>
  <c r="A3510" i="13"/>
  <c r="A3511" i="13"/>
  <c r="A3512" i="13"/>
  <c r="A3513" i="13"/>
  <c r="A3514" i="13"/>
  <c r="A3515" i="13"/>
  <c r="A3516" i="13"/>
  <c r="A3517" i="13"/>
  <c r="A3518" i="13"/>
  <c r="A3519" i="13"/>
  <c r="A3520" i="13"/>
  <c r="A3521" i="13"/>
  <c r="A3522" i="13"/>
  <c r="A3523" i="13"/>
  <c r="A3524" i="13"/>
  <c r="A3525" i="13"/>
  <c r="A3526" i="13"/>
  <c r="A3527" i="13"/>
  <c r="A3528" i="13"/>
  <c r="A3529" i="13"/>
  <c r="A3530" i="13"/>
  <c r="A3531" i="13"/>
  <c r="A3532" i="13"/>
  <c r="A3533" i="13"/>
  <c r="A3534" i="13"/>
  <c r="A3535" i="13"/>
  <c r="A3536" i="13"/>
  <c r="A3537" i="13"/>
  <c r="A3538" i="13"/>
  <c r="A3539" i="13"/>
  <c r="A3540" i="13"/>
  <c r="A3541" i="13"/>
  <c r="A3542" i="13"/>
  <c r="A3543" i="13"/>
  <c r="A3544" i="13"/>
  <c r="A3545" i="13"/>
  <c r="A3546" i="13"/>
  <c r="A3547" i="13"/>
  <c r="A3548" i="13"/>
  <c r="A3549" i="13"/>
  <c r="A3550" i="13"/>
  <c r="A3551" i="13"/>
  <c r="A3552" i="13"/>
  <c r="A3553" i="13"/>
  <c r="A3554" i="13"/>
  <c r="A3555" i="13"/>
  <c r="A3556" i="13"/>
  <c r="A3557" i="13"/>
  <c r="A3558" i="13"/>
  <c r="A3559" i="13"/>
  <c r="A3560" i="13"/>
  <c r="A3561" i="13"/>
  <c r="A3562" i="13"/>
  <c r="A3563" i="13"/>
  <c r="A3564" i="13"/>
  <c r="A3565" i="13"/>
  <c r="A3566" i="13"/>
  <c r="A3567" i="13"/>
  <c r="A3568" i="13"/>
  <c r="A3569" i="13"/>
  <c r="A3570" i="13"/>
  <c r="A3571" i="13"/>
  <c r="A3572" i="13"/>
  <c r="A3573" i="13"/>
  <c r="A3574" i="13"/>
  <c r="A3575" i="13"/>
  <c r="A3576" i="13"/>
  <c r="A3577" i="13"/>
  <c r="A3578" i="13"/>
  <c r="A3579" i="13"/>
  <c r="A3580" i="13"/>
  <c r="A3581" i="13"/>
  <c r="A3582" i="13"/>
  <c r="A3583" i="13"/>
  <c r="A3584" i="13"/>
  <c r="A3585" i="13"/>
  <c r="A3586" i="13"/>
  <c r="A3587" i="13"/>
  <c r="A3588" i="13"/>
  <c r="A3589" i="13"/>
  <c r="A3590" i="13"/>
  <c r="A3591" i="13"/>
  <c r="A3592" i="13"/>
  <c r="A3593" i="13"/>
  <c r="A3594" i="13"/>
  <c r="A3595" i="13"/>
  <c r="A3596" i="13"/>
  <c r="A3597" i="13"/>
  <c r="A3598" i="13"/>
  <c r="A3599" i="13"/>
  <c r="A3600" i="13"/>
  <c r="A3601" i="13"/>
  <c r="A3602" i="13"/>
  <c r="A3603" i="13"/>
  <c r="A3604" i="13"/>
  <c r="A3605" i="13"/>
  <c r="A3606" i="13"/>
  <c r="A3607" i="13"/>
  <c r="A3608" i="13"/>
  <c r="A3609" i="13"/>
  <c r="A3610" i="13"/>
  <c r="A3611" i="13"/>
  <c r="A3612" i="13"/>
  <c r="A3613" i="13"/>
  <c r="A3614" i="13"/>
  <c r="A3615" i="13"/>
  <c r="A3616" i="13"/>
  <c r="A3617" i="13"/>
  <c r="A3618" i="13"/>
  <c r="A3619" i="13"/>
  <c r="A3620" i="13"/>
  <c r="A3621" i="13"/>
  <c r="A3622" i="13"/>
  <c r="A3623" i="13"/>
  <c r="A3624" i="13"/>
  <c r="A3625" i="13"/>
  <c r="A3626" i="13"/>
  <c r="A3627" i="13"/>
  <c r="A3628" i="13"/>
  <c r="A3629" i="13"/>
  <c r="A3630" i="13"/>
  <c r="A3631" i="13"/>
  <c r="A3632" i="13"/>
  <c r="A3633" i="13"/>
  <c r="A3634" i="13"/>
  <c r="A3635" i="13"/>
  <c r="A3636" i="13"/>
  <c r="A3637" i="13"/>
  <c r="A3638" i="13"/>
  <c r="A3639" i="13"/>
  <c r="A3640" i="13"/>
  <c r="A3641" i="13"/>
  <c r="A3642" i="13"/>
  <c r="A3643" i="13"/>
  <c r="A3644" i="13"/>
  <c r="A3645" i="13"/>
  <c r="A3646" i="13"/>
  <c r="A3647" i="13"/>
  <c r="A3648" i="13"/>
  <c r="A3649" i="13"/>
  <c r="A3650" i="13"/>
  <c r="A3651" i="13"/>
  <c r="A3652" i="13"/>
  <c r="A3653" i="13"/>
  <c r="A3654" i="13"/>
  <c r="A3655" i="13"/>
  <c r="A3656" i="13"/>
  <c r="A3657" i="13"/>
  <c r="A3658" i="13"/>
  <c r="A3659" i="13"/>
  <c r="A3660" i="13"/>
  <c r="A3661" i="13"/>
  <c r="A3662" i="13"/>
  <c r="A3663" i="13"/>
  <c r="A3664" i="13"/>
  <c r="A3665" i="13"/>
  <c r="A3666" i="13"/>
  <c r="A3667" i="13"/>
  <c r="A3668" i="13"/>
  <c r="A3669" i="13"/>
  <c r="A3670" i="13"/>
  <c r="A3671" i="13"/>
  <c r="A3672" i="13"/>
  <c r="A3673" i="13"/>
  <c r="A3674" i="13"/>
  <c r="A3675" i="13"/>
  <c r="A3676" i="13"/>
  <c r="A3677" i="13"/>
  <c r="A3678" i="13"/>
  <c r="A3679" i="13"/>
  <c r="A3680" i="13"/>
  <c r="A3681" i="13"/>
  <c r="A3682" i="13"/>
  <c r="A3683" i="13"/>
  <c r="A3684" i="13"/>
  <c r="A3685" i="13"/>
  <c r="A3686" i="13"/>
  <c r="A3687" i="13"/>
  <c r="A3688" i="13"/>
  <c r="A3689" i="13"/>
  <c r="A3690" i="13"/>
  <c r="A3691" i="13"/>
  <c r="A3692" i="13"/>
  <c r="A3693" i="13"/>
  <c r="A3694" i="13"/>
  <c r="A3695" i="13"/>
  <c r="A3696" i="13"/>
  <c r="A3697" i="13"/>
  <c r="A3698" i="13"/>
  <c r="A3699" i="13"/>
  <c r="A3700" i="13"/>
  <c r="A3701" i="13"/>
  <c r="A3702" i="13"/>
  <c r="A3703" i="13"/>
  <c r="A3704" i="13"/>
  <c r="A3705" i="13"/>
  <c r="A3706" i="13"/>
  <c r="A3707" i="13"/>
  <c r="A3708" i="13"/>
  <c r="A3709" i="13"/>
  <c r="A3710" i="13"/>
  <c r="A3711" i="13"/>
  <c r="A3712" i="13"/>
  <c r="A3713" i="13"/>
  <c r="A3714" i="13"/>
  <c r="A3715" i="13"/>
  <c r="A3716" i="13"/>
  <c r="A3717" i="13"/>
  <c r="A3718" i="13"/>
  <c r="A3719" i="13"/>
  <c r="A3720" i="13"/>
  <c r="A3721" i="13"/>
  <c r="A3722" i="13"/>
  <c r="A3723" i="13"/>
  <c r="A3724" i="13"/>
  <c r="A3725" i="13"/>
  <c r="A3726" i="13"/>
  <c r="A3727" i="13"/>
  <c r="A3728" i="13"/>
  <c r="A3729" i="13"/>
  <c r="A3730" i="13"/>
  <c r="A3731" i="13"/>
  <c r="A3732" i="13"/>
  <c r="A3733" i="13"/>
  <c r="A3734" i="13"/>
  <c r="A3735" i="13"/>
  <c r="A3736" i="13"/>
  <c r="A3737" i="13"/>
  <c r="A3738" i="13"/>
  <c r="A3739" i="13"/>
  <c r="A3740" i="13"/>
  <c r="A3741" i="13"/>
  <c r="A3742" i="13"/>
  <c r="A3743" i="13"/>
  <c r="A3744" i="13"/>
  <c r="A3745" i="13"/>
  <c r="A3746" i="13"/>
  <c r="A3747" i="13"/>
  <c r="A3748" i="13"/>
  <c r="A3749" i="13"/>
  <c r="A3750" i="13"/>
  <c r="A3751" i="13"/>
  <c r="A3752" i="13"/>
  <c r="A3753" i="13"/>
  <c r="A3754" i="13"/>
  <c r="A3755" i="13"/>
  <c r="A3756" i="13"/>
  <c r="A3757" i="13"/>
  <c r="A3758" i="13"/>
  <c r="A3759" i="13"/>
  <c r="A3760" i="13"/>
  <c r="A3761" i="13"/>
  <c r="A3762" i="13"/>
  <c r="A3763" i="13"/>
  <c r="A3764" i="13"/>
  <c r="A3765" i="13"/>
  <c r="A3766" i="13"/>
  <c r="A3767" i="13"/>
  <c r="A3768" i="13"/>
  <c r="A3769" i="13"/>
  <c r="A3770" i="13"/>
  <c r="A3771" i="13"/>
  <c r="A3772" i="13"/>
  <c r="A3773" i="13"/>
  <c r="A3774" i="13"/>
  <c r="A3775" i="13"/>
  <c r="A3776" i="13"/>
  <c r="A3777" i="13"/>
  <c r="A3778" i="13"/>
  <c r="A3779" i="13"/>
  <c r="A3780" i="13"/>
  <c r="A3781" i="13"/>
  <c r="A3782" i="13"/>
  <c r="A3783" i="13"/>
  <c r="A3784" i="13"/>
  <c r="A3785" i="13"/>
  <c r="A3786" i="13"/>
  <c r="A3787" i="13"/>
  <c r="A3788" i="13"/>
  <c r="A3789" i="13"/>
  <c r="A3790" i="13"/>
  <c r="A3791" i="13"/>
  <c r="A3792" i="13"/>
  <c r="A3793" i="13"/>
  <c r="A3794" i="13"/>
  <c r="A3795" i="13"/>
  <c r="A3796" i="13"/>
  <c r="A3797" i="13"/>
  <c r="A3798" i="13"/>
  <c r="A3799" i="13"/>
  <c r="A3800" i="13"/>
  <c r="A3801" i="13"/>
  <c r="A3802" i="13"/>
  <c r="A3803" i="13"/>
  <c r="A3804" i="13"/>
  <c r="A3805" i="13"/>
  <c r="A3806" i="13"/>
  <c r="A3807" i="13"/>
  <c r="A3808" i="13"/>
  <c r="A3809" i="13"/>
  <c r="A3810" i="13"/>
  <c r="A3811" i="13"/>
  <c r="A3812" i="13"/>
  <c r="A3813" i="13"/>
  <c r="A3814" i="13"/>
  <c r="A3815" i="13"/>
  <c r="A3816" i="13"/>
  <c r="A3817" i="13"/>
  <c r="A3818" i="13"/>
  <c r="A3819" i="13"/>
  <c r="A3820" i="13"/>
  <c r="A3821" i="13"/>
  <c r="A3822" i="13"/>
  <c r="A3823" i="13"/>
  <c r="A3824" i="13"/>
  <c r="A3825" i="13"/>
  <c r="A3826" i="13"/>
  <c r="A3827" i="13"/>
  <c r="A3828" i="13"/>
  <c r="A3829" i="13"/>
  <c r="A3830" i="13"/>
  <c r="A3831" i="13"/>
  <c r="A3832" i="13"/>
  <c r="A3833" i="13"/>
  <c r="A3834" i="13"/>
  <c r="A3835" i="13"/>
  <c r="A3836" i="13"/>
  <c r="A3837" i="13"/>
  <c r="A3838" i="13"/>
  <c r="A3839" i="13"/>
  <c r="A3840" i="13"/>
  <c r="A3841" i="13"/>
  <c r="A3842" i="13"/>
  <c r="A3843" i="13"/>
  <c r="A3844" i="13"/>
  <c r="A3845" i="13"/>
  <c r="A3846" i="13"/>
  <c r="A3847" i="13"/>
  <c r="A3848" i="13"/>
  <c r="A3849" i="13"/>
  <c r="A3850" i="13"/>
  <c r="A3851" i="13"/>
  <c r="A3852" i="13"/>
  <c r="A3853" i="13"/>
  <c r="A3854" i="13"/>
  <c r="A3855" i="13"/>
  <c r="A3856" i="13"/>
  <c r="A3857" i="13"/>
  <c r="A3858" i="13"/>
  <c r="A3859" i="13"/>
  <c r="A3860" i="13"/>
  <c r="A3861" i="13"/>
  <c r="A3862" i="13"/>
  <c r="A3863" i="13"/>
  <c r="A3864" i="13"/>
  <c r="A3865" i="13"/>
  <c r="A3866" i="13"/>
  <c r="A3867" i="13"/>
  <c r="A3868" i="13"/>
  <c r="A3869" i="13"/>
  <c r="A3870" i="13"/>
  <c r="A3871" i="13"/>
  <c r="A3872" i="13"/>
  <c r="A3873" i="13"/>
  <c r="A3874" i="13"/>
  <c r="A3875" i="13"/>
  <c r="A3876" i="13"/>
  <c r="A3877" i="13"/>
  <c r="A3878" i="13"/>
  <c r="A3879" i="13"/>
  <c r="A3880" i="13"/>
  <c r="A3881" i="13"/>
  <c r="A3882" i="13"/>
  <c r="A3883" i="13"/>
  <c r="A3884" i="13"/>
  <c r="A3885" i="13"/>
  <c r="A3886" i="13"/>
  <c r="A3887" i="13"/>
  <c r="A3888" i="13"/>
  <c r="A3889" i="13"/>
  <c r="A3890" i="13"/>
  <c r="A3891" i="13"/>
  <c r="A3892" i="13"/>
  <c r="A3893" i="13"/>
  <c r="A3894" i="13"/>
  <c r="A3895" i="13"/>
  <c r="A3896" i="13"/>
  <c r="A3897" i="13"/>
  <c r="A3898" i="13"/>
  <c r="A3899" i="13"/>
  <c r="A3900" i="13"/>
  <c r="A3901" i="13"/>
  <c r="A3902" i="13"/>
  <c r="A3903" i="13"/>
  <c r="A3904" i="13"/>
  <c r="A3905" i="13"/>
  <c r="A3906" i="13"/>
  <c r="A3907" i="13"/>
  <c r="A3908" i="13"/>
  <c r="A3909" i="13"/>
  <c r="A3910" i="13"/>
  <c r="A3911" i="13"/>
  <c r="A3912" i="13"/>
  <c r="A3913" i="13"/>
  <c r="A3914" i="13"/>
  <c r="A3915" i="13"/>
  <c r="A3916" i="13"/>
  <c r="A3917" i="13"/>
  <c r="A3918" i="13"/>
  <c r="A3919" i="13"/>
  <c r="A3920" i="13"/>
  <c r="A3921" i="13"/>
  <c r="A3922" i="13"/>
  <c r="A3923" i="13"/>
  <c r="A3924" i="13"/>
  <c r="A3925" i="13"/>
  <c r="A3926" i="13"/>
  <c r="A3927" i="13"/>
  <c r="A3928" i="13"/>
  <c r="A3929" i="13"/>
  <c r="A3930" i="13"/>
  <c r="A3931" i="13"/>
  <c r="A3932" i="13"/>
  <c r="A3933" i="13"/>
  <c r="A3934" i="13"/>
  <c r="A3935" i="13"/>
  <c r="A3936" i="13"/>
  <c r="A3937" i="13"/>
  <c r="A3938" i="13"/>
  <c r="A3939" i="13"/>
  <c r="A3940" i="13"/>
  <c r="A3941" i="13"/>
  <c r="A3942" i="13"/>
  <c r="A3943" i="13"/>
  <c r="A3944" i="13"/>
  <c r="A3945" i="13"/>
  <c r="A3946" i="13"/>
  <c r="A3947" i="13"/>
  <c r="A3948" i="13"/>
  <c r="A3949" i="13"/>
  <c r="A3950" i="13"/>
  <c r="A3951" i="13"/>
  <c r="A3952" i="13"/>
  <c r="A3953" i="13"/>
  <c r="A3954" i="13"/>
  <c r="A3955" i="13"/>
  <c r="A3956" i="13"/>
  <c r="A3957" i="13"/>
  <c r="A3958" i="13"/>
  <c r="A3959" i="13"/>
  <c r="A3960" i="13"/>
  <c r="A3961" i="13"/>
  <c r="A3962" i="13"/>
  <c r="A3963" i="13"/>
  <c r="A3964" i="13"/>
  <c r="A3965" i="13"/>
  <c r="A3966" i="13"/>
  <c r="A3967" i="13"/>
  <c r="A3968" i="13"/>
  <c r="A3969" i="13"/>
  <c r="A3970" i="13"/>
  <c r="A3971" i="13"/>
  <c r="A3972" i="13"/>
  <c r="A3973" i="13"/>
  <c r="A3974" i="13"/>
  <c r="A3975" i="13"/>
  <c r="A3976" i="13"/>
  <c r="A3977" i="13"/>
  <c r="A3978" i="13"/>
  <c r="A3979" i="13"/>
  <c r="A3980" i="13"/>
  <c r="A3981" i="13"/>
  <c r="A3982" i="13"/>
  <c r="A3983" i="13"/>
  <c r="A3984" i="13"/>
  <c r="A3985" i="13"/>
  <c r="A3986" i="13"/>
  <c r="A3987" i="13"/>
  <c r="A3988" i="13"/>
  <c r="A3989" i="13"/>
  <c r="A3990" i="13"/>
  <c r="A3991" i="13"/>
  <c r="A3992" i="13"/>
  <c r="A3993" i="13"/>
  <c r="A3994" i="13"/>
  <c r="A3995" i="13"/>
  <c r="A3996" i="13"/>
  <c r="A3997" i="13"/>
  <c r="A3998" i="13"/>
  <c r="A3999" i="13"/>
  <c r="A4000" i="13"/>
  <c r="A4001" i="13"/>
  <c r="A4002" i="13"/>
  <c r="A4003" i="13"/>
  <c r="A4004" i="13"/>
  <c r="A4005" i="13"/>
  <c r="A4006" i="13"/>
  <c r="A4007" i="13"/>
  <c r="A4008" i="13"/>
  <c r="A4009" i="13"/>
  <c r="A4010" i="13"/>
  <c r="A4011" i="13"/>
  <c r="A4012" i="13"/>
  <c r="A4013" i="13"/>
  <c r="A4014" i="13"/>
  <c r="A4015" i="13"/>
  <c r="A4016" i="13"/>
  <c r="A4017" i="13"/>
  <c r="A4018" i="13"/>
  <c r="A4019" i="13"/>
  <c r="A4020" i="13"/>
  <c r="A4021" i="13"/>
  <c r="A4022" i="13"/>
  <c r="A4023" i="13"/>
  <c r="A4024" i="13"/>
  <c r="A4025" i="13"/>
  <c r="A4026" i="13"/>
  <c r="A4027" i="13"/>
  <c r="A4028" i="13"/>
  <c r="A4029" i="13"/>
  <c r="A4030" i="13"/>
  <c r="A4031" i="13"/>
  <c r="A4032" i="13"/>
  <c r="A4033" i="13"/>
  <c r="A4034" i="13"/>
  <c r="A4035" i="13"/>
  <c r="A4036" i="13"/>
  <c r="A4037" i="13"/>
  <c r="A4038" i="13"/>
  <c r="A4039" i="13"/>
  <c r="A4040" i="13"/>
  <c r="A4041" i="13"/>
  <c r="A4042" i="13"/>
  <c r="A4043" i="13"/>
  <c r="A4044" i="13"/>
  <c r="A4045" i="13"/>
  <c r="A4046" i="13"/>
  <c r="A4047" i="13"/>
  <c r="A4048" i="13"/>
  <c r="A4049" i="13"/>
  <c r="A4050" i="13"/>
  <c r="A4051" i="13"/>
  <c r="A4052" i="13"/>
  <c r="A4053" i="13"/>
  <c r="A4054" i="13"/>
  <c r="A4055" i="13"/>
  <c r="A4056" i="13"/>
  <c r="A4057" i="13"/>
  <c r="A4058" i="13"/>
  <c r="A4059" i="13"/>
  <c r="A4060" i="13"/>
  <c r="A4061" i="13"/>
  <c r="A4062" i="13"/>
  <c r="A4063" i="13"/>
  <c r="A4064" i="13"/>
  <c r="A4065" i="13"/>
  <c r="A4066" i="13"/>
  <c r="A4067" i="13"/>
  <c r="A4068" i="13"/>
  <c r="A4069" i="13"/>
  <c r="A4070" i="13"/>
  <c r="A4071" i="13"/>
  <c r="A4072" i="13"/>
  <c r="A4073" i="13"/>
  <c r="A4074" i="13"/>
  <c r="A4075" i="13"/>
  <c r="A4076" i="13"/>
  <c r="A4077" i="13"/>
  <c r="A4078" i="13"/>
  <c r="A4079" i="13"/>
  <c r="A4080" i="13"/>
  <c r="A4081" i="13"/>
  <c r="A4082" i="13"/>
  <c r="A4083" i="13"/>
  <c r="A4084" i="13"/>
  <c r="A4085" i="13"/>
  <c r="A4086" i="13"/>
  <c r="A4087" i="13"/>
  <c r="A4088" i="13"/>
  <c r="A4089" i="13"/>
  <c r="A4090" i="13"/>
  <c r="A4091" i="13"/>
  <c r="A4092" i="13"/>
  <c r="A4093" i="13"/>
  <c r="A4094" i="13"/>
  <c r="A4095" i="13"/>
  <c r="A4096" i="13"/>
  <c r="A4097" i="13"/>
  <c r="A4098" i="13"/>
  <c r="A4099" i="13"/>
  <c r="A4100" i="13"/>
  <c r="A4101" i="13"/>
  <c r="A4102" i="13"/>
  <c r="A4103" i="13"/>
  <c r="A4104" i="13"/>
  <c r="A4105" i="13"/>
  <c r="A4106" i="13"/>
  <c r="A4107" i="13"/>
  <c r="A4108" i="13"/>
  <c r="A4109" i="13"/>
  <c r="A4110" i="13"/>
  <c r="A4111" i="13"/>
  <c r="A4112" i="13"/>
  <c r="A4113" i="13"/>
  <c r="A4114" i="13"/>
  <c r="A4115" i="13"/>
  <c r="A4116" i="13"/>
  <c r="A4117" i="13"/>
  <c r="A4118" i="13"/>
  <c r="A4119" i="13"/>
  <c r="A4120" i="13"/>
  <c r="A4121" i="13"/>
  <c r="A4122" i="13"/>
  <c r="A4123" i="13"/>
  <c r="A4124" i="13"/>
  <c r="A4125" i="13"/>
  <c r="A4126" i="13"/>
  <c r="A4127" i="13"/>
  <c r="A4128" i="13"/>
  <c r="A4129" i="13"/>
  <c r="A4130" i="13"/>
  <c r="A4131" i="13"/>
  <c r="A4132" i="13"/>
  <c r="A4133" i="13"/>
  <c r="A4134" i="13"/>
  <c r="A4135" i="13"/>
  <c r="A4136" i="13"/>
  <c r="A4137" i="13"/>
  <c r="A4138" i="13"/>
  <c r="A4139" i="13"/>
  <c r="A4140" i="13"/>
  <c r="A4141" i="13"/>
  <c r="A4142" i="13"/>
  <c r="A4143" i="13"/>
  <c r="A4144" i="13"/>
  <c r="A4145" i="13"/>
  <c r="A4146" i="13"/>
  <c r="A4147" i="13"/>
  <c r="A4148" i="13"/>
  <c r="A4149" i="13"/>
  <c r="A4150" i="13"/>
  <c r="A4151" i="13"/>
  <c r="A4152" i="13"/>
  <c r="A4153" i="13"/>
  <c r="A4154" i="13"/>
  <c r="A4155" i="13"/>
  <c r="A4156" i="13"/>
  <c r="A4157" i="13"/>
  <c r="A4158" i="13"/>
  <c r="A4159" i="13"/>
  <c r="A4160" i="13"/>
  <c r="A4161" i="13"/>
  <c r="A4162" i="13"/>
  <c r="A4163" i="13"/>
  <c r="A4164" i="13"/>
  <c r="A4165" i="13"/>
  <c r="A4166" i="13"/>
  <c r="A4167" i="13"/>
  <c r="A4168" i="13"/>
  <c r="A4169" i="13"/>
  <c r="A4170" i="13"/>
  <c r="A4171" i="13"/>
  <c r="A4172" i="13"/>
  <c r="A4173" i="13"/>
  <c r="A4174" i="13"/>
  <c r="A4175" i="13"/>
  <c r="A4176" i="13"/>
  <c r="A4177" i="13"/>
  <c r="A4178" i="13"/>
  <c r="A4179" i="13"/>
  <c r="A4180" i="13"/>
  <c r="A4181" i="13"/>
  <c r="A4182" i="13"/>
  <c r="A4183" i="13"/>
  <c r="A4184" i="13"/>
  <c r="A4185" i="13"/>
  <c r="A4186" i="13"/>
  <c r="A4187" i="13"/>
  <c r="A4188" i="13"/>
  <c r="A4189" i="13"/>
  <c r="A4190" i="13"/>
  <c r="A4191" i="13"/>
  <c r="A4192" i="13"/>
  <c r="A4193" i="13"/>
  <c r="A4194" i="13"/>
  <c r="A4195" i="13"/>
  <c r="A4196" i="13"/>
  <c r="A4197" i="13"/>
  <c r="A4198" i="13"/>
  <c r="A4199" i="13"/>
  <c r="A4200" i="13"/>
  <c r="A4201" i="13"/>
  <c r="A4202" i="13"/>
  <c r="A4203" i="13"/>
  <c r="A4204" i="13"/>
  <c r="A4205" i="13"/>
  <c r="A4206" i="13"/>
  <c r="A4207" i="13"/>
  <c r="A4208" i="13"/>
  <c r="A4209" i="13"/>
  <c r="A4210" i="13"/>
  <c r="A4211" i="13"/>
  <c r="A4212" i="13"/>
  <c r="A4213" i="13"/>
  <c r="A4214" i="13"/>
  <c r="A4215" i="13"/>
  <c r="A4216" i="13"/>
  <c r="A4217" i="13"/>
  <c r="A4218" i="13"/>
  <c r="A4219" i="13"/>
  <c r="A4220" i="13"/>
  <c r="A4221" i="13"/>
  <c r="A4222" i="13"/>
  <c r="A4223" i="13"/>
  <c r="A4224" i="13"/>
  <c r="A4225" i="13"/>
  <c r="A4226" i="13"/>
  <c r="A4227" i="13"/>
  <c r="A4228" i="13"/>
  <c r="A4229" i="13"/>
  <c r="A4230" i="13"/>
  <c r="A4231" i="13"/>
  <c r="A4232" i="13"/>
  <c r="A4233" i="13"/>
  <c r="A4234" i="13"/>
  <c r="A4235" i="13"/>
  <c r="A4236" i="13"/>
  <c r="A4237" i="13"/>
  <c r="A4238" i="13"/>
  <c r="A4239" i="13"/>
  <c r="A4240" i="13"/>
  <c r="A4241" i="13"/>
  <c r="A4242" i="13"/>
  <c r="A4243" i="13"/>
  <c r="A4244" i="13"/>
  <c r="A4245" i="13"/>
  <c r="A4246" i="13"/>
  <c r="A4247" i="13"/>
  <c r="A4248" i="13"/>
  <c r="A4249" i="13"/>
  <c r="A4250" i="13"/>
  <c r="A4251" i="13"/>
  <c r="A4252" i="13"/>
  <c r="A4253" i="13"/>
  <c r="A4254" i="13"/>
  <c r="A4255" i="13"/>
  <c r="A4256" i="13"/>
  <c r="A4257" i="13"/>
  <c r="A4258" i="13"/>
  <c r="A4259" i="13"/>
  <c r="A4260" i="13"/>
  <c r="A4261" i="13"/>
  <c r="A4262" i="13"/>
  <c r="A4263" i="13"/>
  <c r="A4264" i="13"/>
  <c r="A4265" i="13"/>
  <c r="A4266" i="13"/>
  <c r="A4267" i="13"/>
  <c r="A4268" i="13"/>
  <c r="A4269" i="13"/>
  <c r="A4270" i="13"/>
  <c r="A4271" i="13"/>
  <c r="A4272" i="13"/>
  <c r="A4273" i="13"/>
  <c r="A4274" i="13"/>
  <c r="A4275" i="13"/>
  <c r="A4276" i="13"/>
  <c r="A4277" i="13"/>
  <c r="A4278" i="13"/>
  <c r="A4279" i="13"/>
  <c r="A4280" i="13"/>
  <c r="A4281" i="13"/>
  <c r="A4282" i="13"/>
  <c r="A4283" i="13"/>
  <c r="A4284" i="13"/>
  <c r="A4285" i="13"/>
  <c r="A4286" i="13"/>
  <c r="A4287" i="13"/>
  <c r="A4288" i="13"/>
  <c r="A4289" i="13"/>
  <c r="A4290" i="13"/>
  <c r="A4291" i="13"/>
  <c r="A4292" i="13"/>
  <c r="A4293" i="13"/>
  <c r="A4294" i="13"/>
  <c r="A4295" i="13"/>
  <c r="A4296" i="13"/>
  <c r="A4297" i="13"/>
  <c r="A4298" i="13"/>
  <c r="A4299" i="13"/>
  <c r="A4300" i="13"/>
  <c r="A4301" i="13"/>
  <c r="A4302" i="13"/>
  <c r="A4303" i="13"/>
  <c r="A4304" i="13"/>
  <c r="A4305" i="13"/>
  <c r="A4306" i="13"/>
  <c r="A4307" i="13"/>
  <c r="A4308" i="13"/>
  <c r="A4309" i="13"/>
  <c r="A4310" i="13"/>
  <c r="A4311" i="13"/>
  <c r="A4312" i="13"/>
  <c r="A4313" i="13"/>
  <c r="A4314" i="13"/>
  <c r="A4315" i="13"/>
  <c r="A4316" i="13"/>
  <c r="A4317" i="13"/>
  <c r="A4318" i="13"/>
  <c r="A4319" i="13"/>
  <c r="A4320" i="13"/>
  <c r="A4321" i="13"/>
  <c r="A4322" i="13"/>
  <c r="A4323" i="13"/>
  <c r="A4324" i="13"/>
  <c r="A4325" i="13"/>
  <c r="A4326" i="13"/>
  <c r="A4327" i="13"/>
  <c r="A4328" i="13"/>
  <c r="A4329" i="13"/>
  <c r="A4330" i="13"/>
  <c r="A4331" i="13"/>
  <c r="A4332" i="13"/>
  <c r="A4333" i="13"/>
  <c r="A4334" i="13"/>
  <c r="A4335" i="13"/>
  <c r="A4336" i="13"/>
  <c r="A4337" i="13"/>
  <c r="A4338" i="13"/>
  <c r="A4339" i="13"/>
  <c r="A4340" i="13"/>
  <c r="A4341" i="13"/>
  <c r="A4342" i="13"/>
  <c r="A4343" i="13"/>
  <c r="A4344" i="13"/>
  <c r="A4345" i="13"/>
  <c r="A4346" i="13"/>
  <c r="A4347" i="13"/>
  <c r="A4348" i="13"/>
  <c r="A4349" i="13"/>
  <c r="A4350" i="13"/>
  <c r="A4351" i="13"/>
  <c r="A4352" i="13"/>
  <c r="A4353" i="13"/>
  <c r="A4354" i="13"/>
  <c r="A4355" i="13"/>
  <c r="A4356" i="13"/>
  <c r="A4357" i="13"/>
  <c r="A4358" i="13"/>
  <c r="A4359" i="13"/>
  <c r="A4360" i="13"/>
  <c r="A4361" i="13"/>
  <c r="A4362" i="13"/>
  <c r="A4363" i="13"/>
  <c r="A4364" i="13"/>
  <c r="A4365" i="13"/>
  <c r="A4366" i="13"/>
  <c r="A4367" i="13"/>
  <c r="A4368" i="13"/>
  <c r="A4369" i="13"/>
  <c r="A4370" i="13"/>
  <c r="A4371" i="13"/>
  <c r="A4372" i="13"/>
  <c r="A4373" i="13"/>
  <c r="A4374" i="13"/>
  <c r="A4375" i="13"/>
  <c r="A4376" i="13"/>
  <c r="A4377" i="13"/>
  <c r="A4378" i="13"/>
  <c r="A4379" i="13"/>
  <c r="A4380" i="13"/>
  <c r="A4381" i="13"/>
  <c r="A4382" i="13"/>
  <c r="A4383" i="13"/>
  <c r="A4384" i="13"/>
  <c r="A4385" i="13"/>
  <c r="A4386" i="13"/>
  <c r="A4387" i="13"/>
  <c r="A4388" i="13"/>
  <c r="A4389" i="13"/>
  <c r="A4390" i="13"/>
  <c r="A4391" i="13"/>
  <c r="A4392" i="13"/>
  <c r="A4393" i="13"/>
  <c r="A4394" i="13"/>
  <c r="A4395" i="13"/>
  <c r="A4396" i="13"/>
  <c r="A4397" i="13"/>
  <c r="A4398" i="13"/>
  <c r="A4399" i="13"/>
  <c r="A4400" i="13"/>
  <c r="A4401" i="13"/>
  <c r="A4402" i="13"/>
  <c r="A4403" i="13"/>
  <c r="A4404" i="13"/>
  <c r="A4405" i="13"/>
  <c r="A4406" i="13"/>
  <c r="A4407" i="13"/>
  <c r="A4408" i="13"/>
  <c r="A4409" i="13"/>
  <c r="A4410" i="13"/>
  <c r="A4411" i="13"/>
  <c r="A4412" i="13"/>
  <c r="A4413" i="13"/>
  <c r="A4414" i="13"/>
  <c r="A4415" i="13"/>
  <c r="A4416" i="13"/>
  <c r="A4417" i="13"/>
  <c r="A4418" i="13"/>
  <c r="A4419" i="13"/>
  <c r="A4420" i="13"/>
  <c r="A4421" i="13"/>
  <c r="A4422" i="13"/>
  <c r="A4423" i="13"/>
  <c r="A4424" i="13"/>
  <c r="A4425" i="13"/>
  <c r="A4426" i="13"/>
  <c r="A4427" i="13"/>
  <c r="A4428" i="13"/>
  <c r="A4429" i="13"/>
  <c r="A4430" i="13"/>
  <c r="A4431" i="13"/>
  <c r="A4432" i="13"/>
  <c r="A4433" i="13"/>
  <c r="A4434" i="13"/>
  <c r="A4435" i="13"/>
  <c r="A4436" i="13"/>
  <c r="A4437" i="13"/>
  <c r="A4438" i="13"/>
  <c r="A4439" i="13"/>
  <c r="A4440" i="13"/>
  <c r="A4441" i="13"/>
  <c r="A4442" i="13"/>
  <c r="A4443" i="13"/>
  <c r="A4444" i="13"/>
  <c r="A4445" i="13"/>
  <c r="A4446" i="13"/>
  <c r="A4447" i="13"/>
  <c r="A4448" i="13"/>
  <c r="A4449" i="13"/>
  <c r="A4450" i="13"/>
  <c r="A4451" i="13"/>
  <c r="A4452" i="13"/>
  <c r="A4453" i="13"/>
  <c r="A4454" i="13"/>
  <c r="A4455" i="13"/>
  <c r="A4456" i="13"/>
  <c r="A4457" i="13"/>
  <c r="A4458" i="13"/>
  <c r="A4459" i="13"/>
  <c r="A4460" i="13"/>
  <c r="A4461" i="13"/>
  <c r="A4462" i="13"/>
  <c r="A4463" i="13"/>
  <c r="A4464" i="13"/>
  <c r="A4465" i="13"/>
  <c r="A4466" i="13"/>
  <c r="A4467" i="13"/>
  <c r="A4468" i="13"/>
  <c r="A4469" i="13"/>
  <c r="A4470" i="13"/>
  <c r="A4471" i="13"/>
  <c r="A4472" i="13"/>
  <c r="A4473" i="13"/>
  <c r="A4474" i="13"/>
  <c r="A4475" i="13"/>
  <c r="A4476" i="13"/>
  <c r="A4477" i="13"/>
  <c r="A4478" i="13"/>
  <c r="A4479" i="13"/>
  <c r="A4480" i="13"/>
  <c r="A4481" i="13"/>
  <c r="A4482" i="13"/>
  <c r="A4483" i="13"/>
  <c r="A4484" i="13"/>
  <c r="A4485" i="13"/>
  <c r="A4486" i="13"/>
  <c r="A4487" i="13"/>
  <c r="A4488" i="13"/>
  <c r="A4489" i="13"/>
  <c r="A4490" i="13"/>
  <c r="A4491" i="13"/>
  <c r="A4492" i="13"/>
  <c r="A4493" i="13"/>
  <c r="A4494" i="13"/>
  <c r="A4495" i="13"/>
  <c r="A4496" i="13"/>
  <c r="A4497" i="13"/>
  <c r="A4498" i="13"/>
  <c r="A4499" i="13"/>
  <c r="A4500" i="13"/>
  <c r="A4501" i="13"/>
  <c r="A4502" i="13"/>
  <c r="A4503" i="13"/>
  <c r="A4504" i="13"/>
  <c r="A4505" i="13"/>
  <c r="A4506" i="13"/>
  <c r="A4507" i="13"/>
  <c r="A4508" i="13"/>
  <c r="A4509" i="13"/>
  <c r="A4510" i="13"/>
  <c r="A4511" i="13"/>
  <c r="A4512" i="13"/>
  <c r="A4513" i="13"/>
  <c r="A4514" i="13"/>
  <c r="A4515" i="13"/>
  <c r="A4516" i="13"/>
  <c r="A4517" i="13"/>
  <c r="A4518" i="13"/>
  <c r="A4519" i="13"/>
  <c r="A4520" i="13"/>
  <c r="A4521" i="13"/>
  <c r="A4522" i="13"/>
  <c r="A4523" i="13"/>
  <c r="A4524" i="13"/>
  <c r="A4525" i="13"/>
  <c r="A4526" i="13"/>
  <c r="A4527" i="13"/>
  <c r="A4528" i="13"/>
  <c r="A4529" i="13"/>
  <c r="A4530" i="13"/>
  <c r="A4531" i="13"/>
  <c r="A4532" i="13"/>
  <c r="A4533" i="13"/>
  <c r="A4534" i="13"/>
  <c r="A4535" i="13"/>
  <c r="A4536" i="13"/>
  <c r="A4537" i="13"/>
  <c r="A4538" i="13"/>
  <c r="A4539" i="13"/>
  <c r="A4540" i="13"/>
  <c r="A4541" i="13"/>
  <c r="A4542" i="13"/>
  <c r="A4543" i="13"/>
  <c r="A4544" i="13"/>
  <c r="A4545" i="13"/>
  <c r="A4546" i="13"/>
  <c r="A4547" i="13"/>
  <c r="A4548" i="13"/>
  <c r="A4549" i="13"/>
  <c r="A4550" i="13"/>
  <c r="A4551" i="13"/>
  <c r="A4552" i="13"/>
  <c r="A4553" i="13"/>
  <c r="A4554" i="13"/>
  <c r="A4555" i="13"/>
  <c r="A4556" i="13"/>
  <c r="A4557" i="13"/>
  <c r="A4558" i="13"/>
  <c r="A4559" i="13"/>
  <c r="A4560" i="13"/>
  <c r="A4561" i="13"/>
  <c r="A4562" i="13"/>
  <c r="A4563" i="13"/>
  <c r="A4564" i="13"/>
  <c r="A4565" i="13"/>
  <c r="A4566" i="13"/>
  <c r="A4567" i="13"/>
  <c r="A4568" i="13"/>
  <c r="A4569" i="13"/>
  <c r="A4570" i="13"/>
  <c r="A4571" i="13"/>
  <c r="A4572" i="13"/>
  <c r="A4573" i="13"/>
  <c r="A4574" i="13"/>
  <c r="A4575" i="13"/>
  <c r="A4576" i="13"/>
  <c r="A4577" i="13"/>
  <c r="A4578" i="13"/>
  <c r="A4579" i="13"/>
  <c r="A4580" i="13"/>
  <c r="A4581" i="13"/>
  <c r="A4582" i="13"/>
  <c r="A4583" i="13"/>
  <c r="A4584" i="13"/>
  <c r="A4585" i="13"/>
  <c r="A4586" i="13"/>
  <c r="A4587" i="13"/>
  <c r="A4588" i="13"/>
  <c r="A4589" i="13"/>
  <c r="A4590" i="13"/>
  <c r="A4591" i="13"/>
  <c r="A4592" i="13"/>
  <c r="A4593" i="13"/>
  <c r="A4594" i="13"/>
  <c r="A4595" i="13"/>
  <c r="A4596" i="13"/>
  <c r="A4597" i="13"/>
  <c r="A4598" i="13"/>
  <c r="A4599" i="13"/>
  <c r="A4600" i="13"/>
  <c r="A4601" i="13"/>
  <c r="A4602" i="13"/>
  <c r="A4603" i="13"/>
  <c r="A4604" i="13"/>
  <c r="A4605" i="13"/>
  <c r="A4606" i="13"/>
  <c r="A4607" i="13"/>
  <c r="A4608" i="13"/>
  <c r="A4609" i="13"/>
  <c r="A4610" i="13"/>
  <c r="A4611" i="13"/>
  <c r="A4612" i="13"/>
  <c r="A4613" i="13"/>
  <c r="A4614" i="13"/>
  <c r="A4615" i="13"/>
  <c r="A53" i="13"/>
  <c r="A3" i="13"/>
  <c r="A5" i="13"/>
  <c r="A8" i="13"/>
  <c r="A9" i="13"/>
  <c r="A17" i="13"/>
  <c r="A30" i="13"/>
  <c r="A138" i="13"/>
  <c r="A150" i="13"/>
  <c r="A234" i="13"/>
  <c r="A235" i="13"/>
  <c r="A520" i="13"/>
  <c r="A4616" i="13"/>
  <c r="A4617" i="13"/>
  <c r="A4618" i="13"/>
  <c r="A2" i="13"/>
  <c r="A2" i="11" a="1"/>
  <c r="A2" i="11" s="1"/>
  <c r="D6" i="9"/>
  <c r="D7" i="9"/>
  <c r="D8" i="9" s="1"/>
  <c r="B5" i="12" l="1" a="1"/>
  <c r="B5" i="12" s="1"/>
  <c r="C5" i="12" s="1"/>
  <c r="B3" i="10"/>
  <c r="B4" i="10"/>
  <c r="B5" i="10"/>
  <c r="B6" i="10"/>
  <c r="B7" i="10"/>
  <c r="B8" i="10"/>
  <c r="B9" i="10"/>
  <c r="B10" i="10"/>
  <c r="B11" i="10"/>
  <c r="B12" i="10"/>
  <c r="B13" i="10"/>
  <c r="B14" i="10"/>
  <c r="B15" i="10"/>
  <c r="B16" i="10"/>
  <c r="B17" i="10"/>
  <c r="B18" i="10"/>
  <c r="B2" i="10"/>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2" i="11"/>
  <c r="R2" i="1"/>
  <c r="S2" i="1" s="1"/>
  <c r="J4" i="1"/>
  <c r="J6" i="1"/>
  <c r="J7" i="1"/>
  <c r="J8" i="1"/>
  <c r="J11" i="1"/>
  <c r="J12" i="1"/>
  <c r="J13" i="1"/>
  <c r="J14" i="1"/>
  <c r="J17" i="1"/>
  <c r="J18" i="1"/>
  <c r="J19" i="1"/>
  <c r="J20" i="1"/>
  <c r="J21" i="1"/>
  <c r="J22" i="1"/>
  <c r="J23" i="1"/>
  <c r="J25" i="1"/>
  <c r="J27" i="1"/>
  <c r="J28" i="1"/>
  <c r="J29" i="1"/>
  <c r="J31" i="1"/>
  <c r="J32" i="1"/>
  <c r="J33" i="1"/>
  <c r="J34" i="1"/>
  <c r="J35" i="1"/>
  <c r="J36" i="1"/>
  <c r="J37" i="1"/>
  <c r="J38" i="1"/>
  <c r="J39" i="1"/>
  <c r="J40" i="1"/>
  <c r="J41" i="1"/>
  <c r="J42" i="1"/>
  <c r="J43" i="1"/>
  <c r="J44" i="1"/>
  <c r="J45" i="1"/>
  <c r="J46" i="1"/>
  <c r="J47" i="1"/>
  <c r="J48" i="1"/>
  <c r="J49" i="1"/>
  <c r="J50" i="1"/>
  <c r="J51" i="1"/>
  <c r="J52" i="1"/>
  <c r="J55" i="1"/>
  <c r="J56" i="1"/>
  <c r="J57" i="1"/>
  <c r="J58" i="1"/>
  <c r="J59" i="1"/>
  <c r="J60" i="1"/>
  <c r="J61" i="1"/>
  <c r="J62" i="1"/>
  <c r="J63" i="1"/>
  <c r="J64" i="1"/>
  <c r="J65" i="1"/>
  <c r="J66" i="1"/>
  <c r="J67" i="1"/>
  <c r="J68" i="1"/>
  <c r="J69" i="1"/>
  <c r="J70" i="1"/>
  <c r="J71" i="1"/>
  <c r="J72" i="1"/>
  <c r="J73" i="1"/>
  <c r="J74" i="1"/>
  <c r="J75" i="1"/>
  <c r="J76" i="1"/>
  <c r="J77" i="1"/>
  <c r="J78" i="1"/>
  <c r="J79"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5" i="1"/>
  <c r="J236" i="1"/>
  <c r="J240" i="1"/>
  <c r="J243" i="1"/>
  <c r="J244" i="1"/>
  <c r="J246" i="1"/>
  <c r="J247" i="1"/>
  <c r="J248" i="1"/>
  <c r="J249" i="1"/>
  <c r="J250" i="1"/>
  <c r="J251" i="1"/>
  <c r="J253" i="1"/>
  <c r="J254" i="1"/>
  <c r="J255" i="1"/>
  <c r="J256" i="1"/>
  <c r="J257" i="1"/>
  <c r="J258"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3" i="1"/>
  <c r="J305"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6" i="1"/>
  <c r="J407"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3" i="1"/>
  <c r="J514" i="1"/>
  <c r="J515" i="1"/>
  <c r="J516" i="1"/>
  <c r="J517" i="1"/>
  <c r="J518" i="1"/>
  <c r="J519" i="1"/>
  <c r="J521" i="1"/>
  <c r="J522" i="1"/>
  <c r="J523" i="1"/>
  <c r="J524" i="1"/>
  <c r="J527" i="1"/>
  <c r="J529" i="1"/>
  <c r="J530" i="1"/>
  <c r="J531" i="1"/>
  <c r="J532" i="1"/>
  <c r="J533" i="1"/>
  <c r="J534" i="1"/>
  <c r="J535" i="1"/>
  <c r="J536"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L10" i="1"/>
  <c r="X30" i="1"/>
  <c r="Y30" i="1"/>
  <c r="N4612" i="1"/>
  <c r="N4610" i="1"/>
  <c r="N4607" i="1"/>
  <c r="N4606" i="1"/>
  <c r="N4601" i="1"/>
  <c r="N4599" i="1"/>
  <c r="N4597" i="1"/>
  <c r="N4596" i="1"/>
  <c r="N4589" i="1"/>
  <c r="N4586" i="1"/>
  <c r="N4585" i="1"/>
  <c r="N4581" i="1"/>
  <c r="N4578" i="1"/>
  <c r="N4576" i="1"/>
  <c r="N4575" i="1"/>
  <c r="N4573" i="1"/>
  <c r="N4566" i="1"/>
  <c r="N4565" i="1"/>
  <c r="N4562" i="1"/>
  <c r="N4560" i="1"/>
  <c r="N4559" i="1"/>
  <c r="N4558" i="1"/>
  <c r="N4556" i="1"/>
  <c r="N4548" i="1"/>
  <c r="N4547" i="1"/>
  <c r="N4545" i="1"/>
  <c r="N4544" i="1"/>
  <c r="N4543" i="1"/>
  <c r="N4542" i="1"/>
  <c r="N4535" i="1"/>
  <c r="N4534" i="1"/>
  <c r="N4527" i="1"/>
  <c r="N4526" i="1"/>
  <c r="N4525" i="1"/>
  <c r="N4519" i="1"/>
  <c r="N4518" i="1"/>
  <c r="N4517" i="1"/>
  <c r="N4516" i="1"/>
  <c r="N4507" i="1"/>
  <c r="N4506" i="1"/>
  <c r="N4500" i="1"/>
  <c r="N4499" i="1"/>
  <c r="N4497" i="1"/>
  <c r="N4494" i="1"/>
  <c r="N4492" i="1"/>
  <c r="N4490" i="1"/>
  <c r="N4489" i="1"/>
  <c r="N4486" i="1"/>
  <c r="N4484" i="1"/>
  <c r="N4482" i="1"/>
  <c r="N4477" i="1"/>
  <c r="N4472" i="1"/>
  <c r="N4469" i="1"/>
  <c r="N4468" i="1"/>
  <c r="N4464" i="1"/>
  <c r="N4461" i="1"/>
  <c r="N4458" i="1"/>
  <c r="N4456" i="1"/>
  <c r="N4452" i="1"/>
  <c r="N4451" i="1"/>
  <c r="N4449" i="1"/>
  <c r="N4448" i="1"/>
  <c r="N4446" i="1"/>
  <c r="N4443" i="1"/>
  <c r="N4440" i="1"/>
  <c r="N4439" i="1"/>
  <c r="N4437" i="1"/>
  <c r="N4433" i="1"/>
  <c r="N4432" i="1"/>
  <c r="N4431" i="1"/>
  <c r="N4430" i="1"/>
  <c r="N4425" i="1"/>
  <c r="N4423" i="1"/>
  <c r="N4422" i="1"/>
  <c r="N4421" i="1"/>
  <c r="N4420" i="1"/>
  <c r="N4419" i="1"/>
  <c r="N4415" i="1"/>
  <c r="N4413" i="1"/>
  <c r="N4410" i="1"/>
  <c r="N4406" i="1"/>
  <c r="N4405" i="1"/>
  <c r="N4403" i="1"/>
  <c r="N4401" i="1"/>
  <c r="N4399" i="1"/>
  <c r="N4398" i="1"/>
  <c r="N4395" i="1"/>
  <c r="N4389" i="1"/>
  <c r="N4387" i="1"/>
  <c r="N4385" i="1"/>
  <c r="N4384" i="1"/>
  <c r="N4381" i="1"/>
  <c r="N4380" i="1"/>
  <c r="N4379" i="1"/>
  <c r="N4371" i="1"/>
  <c r="N4365" i="1"/>
  <c r="N4361" i="1"/>
  <c r="N4359" i="1"/>
  <c r="N4355" i="1"/>
  <c r="N4347" i="1"/>
  <c r="N4346" i="1"/>
  <c r="N4345" i="1"/>
  <c r="N4344" i="1"/>
  <c r="N4341" i="1"/>
  <c r="N4340" i="1"/>
  <c r="N4338" i="1"/>
  <c r="N4335" i="1"/>
  <c r="N4333" i="1"/>
  <c r="N4332" i="1"/>
  <c r="N4330" i="1"/>
  <c r="N4329" i="1"/>
  <c r="N4323" i="1"/>
  <c r="N4320" i="1"/>
  <c r="N4314" i="1"/>
  <c r="N4313" i="1"/>
  <c r="N4311" i="1"/>
  <c r="N4307" i="1"/>
  <c r="N4296" i="1"/>
  <c r="N4293" i="1"/>
  <c r="N4290" i="1"/>
  <c r="N4289" i="1"/>
  <c r="N4285" i="1"/>
  <c r="N4283" i="1"/>
  <c r="N4282" i="1"/>
  <c r="N4280" i="1"/>
  <c r="N4277" i="1"/>
  <c r="N4276" i="1"/>
  <c r="N4273" i="1"/>
  <c r="N4269" i="1"/>
  <c r="N4262" i="1"/>
  <c r="N4248" i="1"/>
  <c r="N4246" i="1"/>
  <c r="N4243" i="1"/>
  <c r="N4240" i="1"/>
  <c r="N4239" i="1"/>
  <c r="N4238" i="1"/>
  <c r="N4234" i="1"/>
  <c r="N4231" i="1"/>
  <c r="N4183" i="1"/>
  <c r="N4181" i="1"/>
  <c r="N4180" i="1"/>
  <c r="N4174" i="1"/>
  <c r="N4170" i="1"/>
  <c r="N4169" i="1"/>
  <c r="N4168" i="1"/>
  <c r="N4152" i="1"/>
  <c r="N4151" i="1"/>
  <c r="N4150" i="1"/>
  <c r="N4149" i="1"/>
  <c r="N4148" i="1"/>
  <c r="N4147" i="1"/>
  <c r="N4146" i="1"/>
  <c r="N4145" i="1"/>
  <c r="N4144" i="1"/>
  <c r="N4143" i="1"/>
  <c r="N4140" i="1"/>
  <c r="N4139" i="1"/>
  <c r="N4138" i="1"/>
  <c r="N4111" i="1"/>
  <c r="N4108" i="1"/>
  <c r="N4089" i="1"/>
  <c r="N4086" i="1"/>
  <c r="N4076" i="1"/>
  <c r="N4075" i="1"/>
  <c r="N4058" i="1"/>
  <c r="N4046" i="1"/>
  <c r="N4037" i="1"/>
  <c r="N4026" i="1"/>
  <c r="N4024" i="1"/>
  <c r="N4018" i="1"/>
  <c r="N4011" i="1"/>
  <c r="N4009" i="1"/>
  <c r="N4001" i="1"/>
  <c r="N3998" i="1"/>
  <c r="N3987" i="1"/>
  <c r="N3986" i="1"/>
  <c r="N3983" i="1"/>
  <c r="N3974" i="1"/>
  <c r="N3970" i="1"/>
  <c r="N3965" i="1"/>
  <c r="N3964" i="1"/>
  <c r="N3959" i="1"/>
  <c r="N3957" i="1"/>
  <c r="N3950" i="1"/>
  <c r="N3946" i="1"/>
  <c r="N3942" i="1"/>
  <c r="N3941" i="1"/>
  <c r="N3937" i="1"/>
  <c r="N3936" i="1"/>
  <c r="N3922" i="1"/>
  <c r="N3921" i="1"/>
  <c r="N3919" i="1"/>
  <c r="N3916" i="1"/>
  <c r="N3914" i="1"/>
  <c r="N3905" i="1"/>
  <c r="N3904" i="1"/>
  <c r="N3903" i="1"/>
  <c r="N3899" i="1"/>
  <c r="N3898" i="1"/>
  <c r="N3897" i="1"/>
  <c r="N3896" i="1"/>
  <c r="N3893" i="1"/>
  <c r="N3889" i="1"/>
  <c r="N3884" i="1"/>
  <c r="N3879" i="1"/>
  <c r="N3878" i="1"/>
  <c r="N3872" i="1"/>
  <c r="N3871" i="1"/>
  <c r="N3861" i="1"/>
  <c r="N3860" i="1"/>
  <c r="N3857" i="1"/>
  <c r="N3854" i="1"/>
  <c r="N3850" i="1"/>
  <c r="N3849" i="1"/>
  <c r="N3846" i="1"/>
  <c r="N3845" i="1"/>
  <c r="N3844" i="1"/>
  <c r="N3843" i="1"/>
  <c r="N3842" i="1"/>
  <c r="N3841" i="1"/>
  <c r="N3839" i="1"/>
  <c r="N3838" i="1"/>
  <c r="N3837" i="1"/>
  <c r="N3836" i="1"/>
  <c r="N3834" i="1"/>
  <c r="N3832" i="1"/>
  <c r="N3830" i="1"/>
  <c r="N3829" i="1"/>
  <c r="N3826" i="1"/>
  <c r="N3823" i="1"/>
  <c r="N3820" i="1"/>
  <c r="N3819" i="1"/>
  <c r="N3815" i="1"/>
  <c r="N3809" i="1"/>
  <c r="N3804" i="1"/>
  <c r="N3803" i="1"/>
  <c r="N3802" i="1"/>
  <c r="N3800" i="1"/>
  <c r="N3791" i="1"/>
  <c r="N3788" i="1"/>
  <c r="N3787" i="1"/>
  <c r="N3786" i="1"/>
  <c r="N3783" i="1"/>
  <c r="N3779" i="1"/>
  <c r="N3778" i="1"/>
  <c r="N3771" i="1"/>
  <c r="N3769" i="1"/>
  <c r="N3757" i="1"/>
  <c r="N3752" i="1"/>
  <c r="N3738" i="1"/>
  <c r="N3735" i="1"/>
  <c r="N3730" i="1"/>
  <c r="N3728" i="1"/>
  <c r="N3724" i="1"/>
  <c r="N3723" i="1"/>
  <c r="N3720" i="1"/>
  <c r="N3714" i="1"/>
  <c r="N3702" i="1"/>
  <c r="N3693" i="1"/>
  <c r="N3692" i="1"/>
  <c r="N3683" i="1"/>
  <c r="N3681" i="1"/>
  <c r="N3677" i="1"/>
  <c r="N3675" i="1"/>
  <c r="N3673" i="1"/>
  <c r="N3668" i="1"/>
  <c r="N3660" i="1"/>
  <c r="N3657" i="1"/>
  <c r="N3656" i="1"/>
  <c r="N3645" i="1"/>
  <c r="N3630" i="1"/>
  <c r="N3629" i="1"/>
  <c r="N3623" i="1"/>
  <c r="N3622" i="1"/>
  <c r="N3617" i="1"/>
  <c r="N3602" i="1"/>
  <c r="N3600" i="1"/>
  <c r="N3599" i="1"/>
  <c r="N3586" i="1"/>
  <c r="N3585" i="1"/>
  <c r="N3582" i="1"/>
  <c r="N3580" i="1"/>
  <c r="N3579" i="1"/>
  <c r="N3578" i="1"/>
  <c r="N3577" i="1"/>
  <c r="N3574" i="1"/>
  <c r="N3573" i="1"/>
  <c r="N3560" i="1"/>
  <c r="N3555" i="1"/>
  <c r="N3552" i="1"/>
  <c r="N3545" i="1"/>
  <c r="N3531" i="1"/>
  <c r="N3530" i="1"/>
  <c r="N3529" i="1"/>
  <c r="N3528" i="1"/>
  <c r="N3527" i="1"/>
  <c r="N3524" i="1"/>
  <c r="N3520" i="1"/>
  <c r="N3518" i="1"/>
  <c r="N3516" i="1"/>
  <c r="N3515" i="1"/>
  <c r="N3512" i="1"/>
  <c r="N3511" i="1"/>
  <c r="N3510" i="1"/>
  <c r="N3509" i="1"/>
  <c r="N3499" i="1"/>
  <c r="N3493" i="1"/>
  <c r="N3482" i="1"/>
  <c r="N3480" i="1"/>
  <c r="N3472" i="1"/>
  <c r="N3470" i="1"/>
  <c r="N3464" i="1"/>
  <c r="N3454" i="1"/>
  <c r="N3453" i="1"/>
  <c r="N3450" i="1"/>
  <c r="N3448" i="1"/>
  <c r="N3445" i="1"/>
  <c r="N3435" i="1"/>
  <c r="N3432" i="1"/>
  <c r="N3429" i="1"/>
  <c r="N3427" i="1"/>
  <c r="N3422" i="1"/>
  <c r="N3421" i="1"/>
  <c r="N3407" i="1"/>
  <c r="N3405" i="1"/>
  <c r="N3399" i="1"/>
  <c r="N3398" i="1"/>
  <c r="N3393" i="1"/>
  <c r="N3388" i="1"/>
  <c r="N3381" i="1"/>
  <c r="N3380" i="1"/>
  <c r="N3371" i="1"/>
  <c r="N3368" i="1"/>
  <c r="N3360" i="1"/>
  <c r="N3356" i="1"/>
  <c r="N3355" i="1"/>
  <c r="N3351" i="1"/>
  <c r="N3350" i="1"/>
  <c r="N3348" i="1"/>
  <c r="N3342" i="1"/>
  <c r="N3326" i="1"/>
  <c r="N3321" i="1"/>
  <c r="N3319" i="1"/>
  <c r="N3311" i="1"/>
  <c r="N3307" i="1"/>
  <c r="N3302" i="1"/>
  <c r="N3299" i="1"/>
  <c r="N3294" i="1"/>
  <c r="N3293" i="1"/>
  <c r="N3290" i="1"/>
  <c r="N3288" i="1"/>
  <c r="N3287" i="1"/>
  <c r="N3285" i="1"/>
  <c r="N3283" i="1"/>
  <c r="N3281" i="1"/>
  <c r="N3280" i="1"/>
  <c r="N3269" i="1"/>
  <c r="N3249" i="1"/>
  <c r="N3248" i="1"/>
  <c r="N3236" i="1"/>
  <c r="N3233" i="1"/>
  <c r="N3230" i="1"/>
  <c r="N3205" i="1"/>
  <c r="N3202" i="1"/>
  <c r="N3201" i="1"/>
  <c r="N3190" i="1"/>
  <c r="N3189" i="1"/>
  <c r="N3183" i="1"/>
  <c r="N3164" i="1"/>
  <c r="N3163" i="1"/>
  <c r="N3160" i="1"/>
  <c r="N3158" i="1"/>
  <c r="N3157" i="1"/>
  <c r="N3151" i="1"/>
  <c r="N3148" i="1"/>
  <c r="N3141" i="1"/>
  <c r="N3136" i="1"/>
  <c r="N3135" i="1"/>
  <c r="N3132" i="1"/>
  <c r="N3131" i="1"/>
  <c r="N3130" i="1"/>
  <c r="N3129" i="1"/>
  <c r="N3124" i="1"/>
  <c r="N3122" i="1"/>
  <c r="N3120" i="1"/>
  <c r="N3116" i="1"/>
  <c r="N3115" i="1"/>
  <c r="N3113" i="1"/>
  <c r="N3112" i="1"/>
  <c r="N3111" i="1"/>
  <c r="N3110" i="1"/>
  <c r="N3097" i="1"/>
  <c r="N3092" i="1"/>
  <c r="N3091" i="1"/>
  <c r="N3090" i="1"/>
  <c r="N3082" i="1"/>
  <c r="N3079" i="1"/>
  <c r="N3078" i="1"/>
  <c r="N3075" i="1"/>
  <c r="N3074" i="1"/>
  <c r="N3071" i="1"/>
  <c r="N3063" i="1"/>
  <c r="N3060" i="1"/>
  <c r="N3058" i="1"/>
  <c r="N3057" i="1"/>
  <c r="N3050" i="1"/>
  <c r="N3045" i="1"/>
  <c r="N3042" i="1"/>
  <c r="N3041" i="1"/>
  <c r="N3040" i="1"/>
  <c r="N3033" i="1"/>
  <c r="N3031" i="1"/>
  <c r="N3029" i="1"/>
  <c r="N3026" i="1"/>
  <c r="N3023" i="1"/>
  <c r="N3020" i="1"/>
  <c r="N3008" i="1"/>
  <c r="N2999" i="1"/>
  <c r="N2997" i="1"/>
  <c r="N2993" i="1"/>
  <c r="N2990" i="1"/>
  <c r="N2989" i="1"/>
  <c r="N2987" i="1"/>
  <c r="N2985" i="1"/>
  <c r="N2981" i="1"/>
  <c r="N2980" i="1"/>
  <c r="N2977" i="1"/>
  <c r="N2975" i="1"/>
  <c r="N2972" i="1"/>
  <c r="N2968" i="1"/>
  <c r="N2965" i="1"/>
  <c r="N2964" i="1"/>
  <c r="N2961" i="1"/>
  <c r="N2958" i="1"/>
  <c r="N2956" i="1"/>
  <c r="N2952" i="1"/>
  <c r="N2949" i="1"/>
  <c r="N2942" i="1"/>
  <c r="N2937" i="1"/>
  <c r="N2936" i="1"/>
  <c r="N2933" i="1"/>
  <c r="N2922" i="1"/>
  <c r="N2918" i="1"/>
  <c r="N2917" i="1"/>
  <c r="N2916" i="1"/>
  <c r="N2914" i="1"/>
  <c r="N2890" i="1"/>
  <c r="N2872" i="1"/>
  <c r="N2818" i="1"/>
  <c r="N2812" i="1"/>
  <c r="N2759" i="1"/>
  <c r="N2751" i="1"/>
  <c r="N2749" i="1"/>
  <c r="N2722" i="1"/>
  <c r="N2642" i="1"/>
  <c r="N2631" i="1"/>
  <c r="N2600" i="1"/>
  <c r="N2590" i="1"/>
  <c r="N2570" i="1"/>
  <c r="N2512" i="1"/>
  <c r="N2484" i="1"/>
  <c r="N2417" i="1"/>
  <c r="N2400" i="1"/>
  <c r="N2384" i="1"/>
  <c r="N2378" i="1"/>
  <c r="N2371" i="1"/>
  <c r="N2370" i="1"/>
  <c r="N2369" i="1"/>
  <c r="N2367" i="1"/>
  <c r="N2364" i="1"/>
  <c r="N2361" i="1"/>
  <c r="N2356" i="1"/>
  <c r="N2355" i="1"/>
  <c r="N2354" i="1"/>
  <c r="N2353" i="1"/>
  <c r="N2351" i="1"/>
  <c r="N2350" i="1"/>
  <c r="N2349" i="1"/>
  <c r="N2345" i="1"/>
  <c r="N2343" i="1"/>
  <c r="N2341" i="1"/>
  <c r="N2340" i="1"/>
  <c r="N2337" i="1"/>
  <c r="N2334" i="1"/>
  <c r="N2324" i="1"/>
  <c r="N2307" i="1"/>
  <c r="N2278" i="1"/>
  <c r="N2273" i="1"/>
  <c r="N2259" i="1"/>
  <c r="N2252" i="1"/>
  <c r="N2234" i="1"/>
  <c r="N2227" i="1"/>
  <c r="N2202" i="1"/>
  <c r="N2181" i="1"/>
  <c r="N2170" i="1"/>
  <c r="N2139" i="1"/>
  <c r="N2116" i="1"/>
  <c r="N2079" i="1"/>
  <c r="N2057" i="1"/>
  <c r="N2052" i="1"/>
  <c r="N2023" i="1"/>
  <c r="N1991" i="1"/>
  <c r="N1928" i="1"/>
  <c r="N1927" i="1"/>
  <c r="N1923" i="1"/>
  <c r="N1916" i="1"/>
  <c r="N1909" i="1"/>
  <c r="N1900" i="1"/>
  <c r="N1890" i="1"/>
  <c r="N1876" i="1"/>
  <c r="N1806" i="1"/>
  <c r="N1785" i="1"/>
  <c r="N1774" i="1"/>
  <c r="N1759" i="1"/>
  <c r="N1743" i="1"/>
  <c r="N1742" i="1"/>
  <c r="N1737" i="1"/>
  <c r="N1722" i="1"/>
  <c r="N1706" i="1"/>
  <c r="N1703" i="1"/>
  <c r="N1697" i="1"/>
  <c r="N1695" i="1"/>
  <c r="N1694" i="1"/>
  <c r="N1692" i="1"/>
  <c r="N1683" i="1"/>
  <c r="N1673" i="1"/>
  <c r="N1672" i="1"/>
  <c r="N1667" i="1"/>
  <c r="N1665" i="1"/>
  <c r="N1664" i="1"/>
  <c r="N1663" i="1"/>
  <c r="N1660" i="1"/>
  <c r="N1651" i="1"/>
  <c r="N1650" i="1"/>
  <c r="N1639" i="1"/>
  <c r="N1636" i="1"/>
  <c r="N1633" i="1"/>
  <c r="N1632" i="1"/>
  <c r="N1630" i="1"/>
  <c r="N1628" i="1"/>
  <c r="N1621" i="1"/>
  <c r="N1619" i="1"/>
  <c r="N1602" i="1"/>
  <c r="N1601" i="1"/>
  <c r="N1600" i="1"/>
  <c r="N1598" i="1"/>
  <c r="N1597" i="1"/>
  <c r="N1591" i="1"/>
  <c r="N1580" i="1"/>
  <c r="N1568" i="1"/>
  <c r="N1567" i="1"/>
  <c r="N1555" i="1"/>
  <c r="N1552" i="1"/>
  <c r="N1549" i="1"/>
  <c r="N1548" i="1"/>
  <c r="N1546" i="1"/>
  <c r="N1545" i="1"/>
  <c r="N1541" i="1"/>
  <c r="N1540" i="1"/>
  <c r="N1532" i="1"/>
  <c r="N1531" i="1"/>
  <c r="N1530" i="1"/>
  <c r="N1525" i="1"/>
  <c r="N1522" i="1"/>
  <c r="N1509" i="1"/>
  <c r="N1505" i="1"/>
  <c r="N1501" i="1"/>
  <c r="N1496" i="1"/>
  <c r="N1494" i="1"/>
  <c r="N1487" i="1"/>
  <c r="N1477" i="1"/>
  <c r="N1475" i="1"/>
  <c r="N1474" i="1"/>
  <c r="N1471" i="1"/>
  <c r="N1469" i="1"/>
  <c r="N1465" i="1"/>
  <c r="N1463" i="1"/>
  <c r="N1457" i="1"/>
  <c r="N1454" i="1"/>
  <c r="N1453" i="1"/>
  <c r="N1445" i="1"/>
  <c r="N1443" i="1"/>
  <c r="N1442" i="1"/>
  <c r="N1440" i="1"/>
  <c r="N1437" i="1"/>
  <c r="N1432" i="1"/>
  <c r="N1429" i="1"/>
  <c r="N1428" i="1"/>
  <c r="N1427" i="1"/>
  <c r="N1424" i="1"/>
  <c r="N1422" i="1"/>
  <c r="N1420" i="1"/>
  <c r="N1417" i="1"/>
  <c r="N1416" i="1"/>
  <c r="N1411" i="1"/>
  <c r="N1407" i="1"/>
  <c r="N1406" i="1"/>
  <c r="N1405" i="1"/>
  <c r="N1404" i="1"/>
  <c r="N1401" i="1"/>
  <c r="N1399" i="1"/>
  <c r="N1391" i="1"/>
  <c r="N1386" i="1"/>
  <c r="N1384" i="1"/>
  <c r="N1381" i="1"/>
  <c r="N1377" i="1"/>
  <c r="N1373" i="1"/>
  <c r="N1370" i="1"/>
  <c r="N1362" i="1"/>
  <c r="N1355" i="1"/>
  <c r="N1352" i="1"/>
  <c r="N1350" i="1"/>
  <c r="N1349" i="1"/>
  <c r="N1348" i="1"/>
  <c r="N1347" i="1"/>
  <c r="N1340" i="1"/>
  <c r="N1339" i="1"/>
  <c r="N1335" i="1"/>
  <c r="N1331" i="1"/>
  <c r="N1325" i="1"/>
  <c r="N1322" i="1"/>
  <c r="N1321" i="1"/>
  <c r="N1318" i="1"/>
  <c r="N1316" i="1"/>
  <c r="N1313" i="1"/>
  <c r="N1309" i="1"/>
  <c r="N1304" i="1"/>
  <c r="N1301" i="1"/>
  <c r="N1297" i="1"/>
  <c r="N1288" i="1"/>
  <c r="N1285" i="1"/>
  <c r="N1282" i="1"/>
  <c r="N1281" i="1"/>
  <c r="N1278" i="1"/>
  <c r="N1276" i="1"/>
  <c r="N1271" i="1"/>
  <c r="N1262" i="1"/>
  <c r="N1259" i="1"/>
  <c r="N1254" i="1"/>
  <c r="N1253" i="1"/>
  <c r="N1252" i="1"/>
  <c r="N1249" i="1"/>
  <c r="N1246" i="1"/>
  <c r="N1239" i="1"/>
  <c r="N1234" i="1"/>
  <c r="N1232" i="1"/>
  <c r="N1228" i="1"/>
  <c r="N1227" i="1"/>
  <c r="N1226" i="1"/>
  <c r="N1225" i="1"/>
  <c r="N1221" i="1"/>
  <c r="N1206" i="1"/>
  <c r="N1205" i="1"/>
  <c r="N1203" i="1"/>
  <c r="N1200" i="1"/>
  <c r="N1198" i="1"/>
  <c r="N1195" i="1"/>
  <c r="N1192" i="1"/>
  <c r="N1190" i="1"/>
  <c r="N1189" i="1"/>
  <c r="N1187" i="1"/>
  <c r="N1186" i="1"/>
  <c r="N1183" i="1"/>
  <c r="N1181" i="1"/>
  <c r="N1178" i="1"/>
  <c r="N1176" i="1"/>
  <c r="N1175" i="1"/>
  <c r="N1171" i="1"/>
  <c r="N1170" i="1"/>
  <c r="N1167" i="1"/>
  <c r="N1160" i="1"/>
  <c r="N1159" i="1"/>
  <c r="N1156" i="1"/>
  <c r="N1153" i="1"/>
  <c r="N1149" i="1"/>
  <c r="N1137" i="1"/>
  <c r="N1135" i="1"/>
  <c r="N1133" i="1"/>
  <c r="N1131" i="1"/>
  <c r="N1128" i="1"/>
  <c r="N1123" i="1"/>
  <c r="N1121" i="1"/>
  <c r="N1119" i="1"/>
  <c r="N1117" i="1"/>
  <c r="N1112" i="1"/>
  <c r="N1111" i="1"/>
  <c r="N1102" i="1"/>
  <c r="N1100" i="1"/>
  <c r="N1097" i="1"/>
  <c r="N1089" i="1"/>
  <c r="N1088" i="1"/>
  <c r="N1086" i="1"/>
  <c r="N1083" i="1"/>
  <c r="N1080" i="1"/>
  <c r="N1079" i="1"/>
  <c r="N1073" i="1"/>
  <c r="N1072" i="1"/>
  <c r="N1065" i="1"/>
  <c r="N1063" i="1"/>
  <c r="N1059" i="1"/>
  <c r="N1058" i="1"/>
  <c r="N1054" i="1"/>
  <c r="N1053" i="1"/>
  <c r="N1051" i="1"/>
  <c r="N1045" i="1"/>
  <c r="N1036" i="1"/>
  <c r="N1032" i="1"/>
  <c r="N1031" i="1"/>
  <c r="N1017" i="1"/>
  <c r="N1009" i="1"/>
  <c r="N1004" i="1"/>
  <c r="N1000" i="1"/>
  <c r="N998" i="1"/>
  <c r="N997" i="1"/>
  <c r="N995" i="1"/>
  <c r="N992" i="1"/>
  <c r="N988" i="1"/>
  <c r="N987" i="1"/>
  <c r="N983" i="1"/>
  <c r="N982" i="1"/>
  <c r="N979" i="1"/>
  <c r="N977" i="1"/>
  <c r="N976" i="1"/>
  <c r="N966" i="1"/>
  <c r="N965" i="1"/>
  <c r="N961" i="1"/>
  <c r="N958" i="1"/>
  <c r="N957" i="1"/>
  <c r="N952" i="1"/>
  <c r="N951" i="1"/>
  <c r="N950" i="1"/>
  <c r="N943" i="1"/>
  <c r="N939" i="1"/>
  <c r="N938" i="1"/>
  <c r="N935" i="1"/>
  <c r="N934" i="1"/>
  <c r="N930" i="1"/>
  <c r="N926" i="1"/>
  <c r="N925" i="1"/>
  <c r="N918" i="1"/>
  <c r="N910" i="1"/>
  <c r="N908" i="1"/>
  <c r="N904" i="1"/>
  <c r="N901" i="1"/>
  <c r="N896" i="1"/>
  <c r="N895" i="1"/>
  <c r="N894" i="1"/>
  <c r="N889" i="1"/>
  <c r="N886" i="1"/>
  <c r="N885" i="1"/>
  <c r="N881" i="1"/>
  <c r="N878" i="1"/>
  <c r="N872" i="1"/>
  <c r="N867" i="1"/>
  <c r="N855" i="1"/>
  <c r="N852" i="1"/>
  <c r="N850" i="1"/>
  <c r="N849" i="1"/>
  <c r="N845" i="1"/>
  <c r="N844" i="1"/>
  <c r="N843" i="1"/>
  <c r="N841" i="1"/>
  <c r="N835" i="1"/>
  <c r="N833" i="1"/>
  <c r="N824" i="1"/>
  <c r="N822" i="1"/>
  <c r="N817" i="1"/>
  <c r="N815" i="1"/>
  <c r="N813" i="1"/>
  <c r="N812" i="1"/>
  <c r="N809" i="1"/>
  <c r="N805" i="1"/>
  <c r="N801" i="1"/>
  <c r="N799" i="1"/>
  <c r="N798" i="1"/>
  <c r="N790" i="1"/>
  <c r="N789" i="1"/>
  <c r="N788" i="1"/>
  <c r="N787" i="1"/>
  <c r="N783" i="1"/>
  <c r="N780" i="1"/>
  <c r="N777" i="1"/>
  <c r="N775" i="1"/>
  <c r="N753" i="1"/>
  <c r="N752" i="1"/>
  <c r="N739" i="1"/>
  <c r="N730" i="1"/>
  <c r="N729" i="1"/>
  <c r="N724" i="1"/>
  <c r="N712" i="1"/>
  <c r="N705" i="1"/>
  <c r="N704" i="1"/>
  <c r="N702" i="1"/>
  <c r="N699" i="1"/>
  <c r="N689" i="1"/>
  <c r="N683" i="1"/>
  <c r="N679" i="1"/>
  <c r="N676" i="1"/>
  <c r="N670" i="1"/>
  <c r="N669" i="1"/>
  <c r="N664" i="1"/>
  <c r="N660" i="1"/>
  <c r="N648" i="1"/>
  <c r="N647" i="1"/>
  <c r="N646" i="1"/>
  <c r="N644" i="1"/>
  <c r="N641" i="1"/>
  <c r="N630" i="1"/>
  <c r="N627" i="1"/>
  <c r="N623" i="1"/>
  <c r="N622" i="1"/>
  <c r="N616" i="1"/>
  <c r="N614" i="1"/>
  <c r="N607" i="1"/>
  <c r="N603" i="1"/>
  <c r="N601" i="1"/>
  <c r="N595" i="1"/>
  <c r="N593" i="1"/>
  <c r="N590" i="1"/>
  <c r="N588" i="1"/>
  <c r="N587" i="1"/>
  <c r="N584" i="1"/>
  <c r="N575" i="1"/>
  <c r="N571" i="1"/>
  <c r="N570" i="1"/>
  <c r="N560" i="1"/>
  <c r="N554" i="1"/>
  <c r="N552" i="1"/>
  <c r="N541" i="1"/>
  <c r="N539" i="1"/>
  <c r="J537" i="1"/>
  <c r="J528" i="1"/>
  <c r="J526" i="1"/>
  <c r="J525" i="1"/>
  <c r="J520" i="1"/>
  <c r="J512" i="1"/>
  <c r="N458" i="1"/>
  <c r="J408" i="1"/>
  <c r="J405" i="1"/>
  <c r="N373" i="1"/>
  <c r="N368" i="1"/>
  <c r="N337" i="1"/>
  <c r="J307" i="1"/>
  <c r="J306" i="1"/>
  <c r="J304" i="1"/>
  <c r="J302" i="1"/>
  <c r="J301" i="1"/>
  <c r="J300" i="1"/>
  <c r="J262" i="1"/>
  <c r="J261" i="1"/>
  <c r="J260" i="1"/>
  <c r="J259" i="1"/>
  <c r="J252" i="1"/>
  <c r="J245" i="1"/>
  <c r="J242" i="1"/>
  <c r="J241" i="1"/>
  <c r="J239" i="1"/>
  <c r="J238" i="1"/>
  <c r="J237" i="1"/>
  <c r="J234" i="1"/>
  <c r="J233" i="1"/>
  <c r="N206" i="1"/>
  <c r="N202" i="1"/>
  <c r="N199" i="1"/>
  <c r="J185" i="1"/>
  <c r="N181" i="1"/>
  <c r="N176" i="1"/>
  <c r="N162" i="1"/>
  <c r="N161" i="1"/>
  <c r="N148" i="1"/>
  <c r="N144" i="1"/>
  <c r="N123" i="1"/>
  <c r="N114" i="1"/>
  <c r="N111" i="1"/>
  <c r="J110" i="1"/>
  <c r="N108" i="1"/>
  <c r="N101" i="1"/>
  <c r="N95" i="1"/>
  <c r="N93" i="1"/>
  <c r="N90" i="1"/>
  <c r="N88" i="1"/>
  <c r="N87" i="1"/>
  <c r="J80" i="1"/>
  <c r="N73" i="1"/>
  <c r="N59" i="1"/>
  <c r="N56" i="1"/>
  <c r="J54" i="1"/>
  <c r="J53" i="1"/>
  <c r="N49" i="1"/>
  <c r="J30" i="1"/>
  <c r="N28" i="1"/>
  <c r="J26" i="1"/>
  <c r="J24" i="1"/>
  <c r="J16" i="1"/>
  <c r="J15" i="1"/>
  <c r="N9" i="1"/>
  <c r="J9" i="1"/>
  <c r="J5" i="1"/>
  <c r="J3" i="1"/>
  <c r="J2" i="1"/>
  <c r="C6" i="12" l="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P2" i="1" l="1"/>
  <c r="P3" i="1"/>
  <c r="Q3" i="1" s="1"/>
  <c r="P4" i="1"/>
  <c r="Q4" i="1" s="1"/>
  <c r="P5" i="1"/>
  <c r="Q5" i="1" s="1"/>
  <c r="P6" i="1"/>
  <c r="Q6" i="1" s="1"/>
  <c r="P7" i="1"/>
  <c r="Q7" i="1" s="1"/>
  <c r="P8" i="1"/>
  <c r="Q8" i="1" s="1"/>
  <c r="P9" i="1"/>
  <c r="Q9" i="1" s="1"/>
  <c r="P10" i="1"/>
  <c r="Q10" i="1" s="1"/>
  <c r="P11" i="1"/>
  <c r="Q11" i="1" s="1"/>
  <c r="P12" i="1"/>
  <c r="Q12" i="1" s="1"/>
  <c r="P13" i="1"/>
  <c r="Q13" i="1" s="1"/>
  <c r="P14" i="1"/>
  <c r="Q14" i="1" s="1"/>
  <c r="P15" i="1"/>
  <c r="Q15" i="1" s="1"/>
  <c r="P16" i="1"/>
  <c r="Q16" i="1" s="1"/>
  <c r="P17" i="1"/>
  <c r="Q17" i="1" s="1"/>
  <c r="P18" i="1"/>
  <c r="Q18" i="1" s="1"/>
  <c r="P19" i="1"/>
  <c r="Q19" i="1" s="1"/>
  <c r="P20" i="1"/>
  <c r="Q20" i="1" s="1"/>
  <c r="P21" i="1"/>
  <c r="Q21" i="1" s="1"/>
  <c r="P22" i="1"/>
  <c r="Q22" i="1" s="1"/>
  <c r="P23" i="1"/>
  <c r="Q23" i="1" s="1"/>
  <c r="P24" i="1"/>
  <c r="Q24" i="1" s="1"/>
  <c r="P25" i="1"/>
  <c r="Q25" i="1" s="1"/>
  <c r="P26" i="1"/>
  <c r="Q26" i="1" s="1"/>
  <c r="P27" i="1"/>
  <c r="Q27" i="1" s="1"/>
  <c r="P28" i="1"/>
  <c r="Q28" i="1" s="1"/>
  <c r="P29" i="1"/>
  <c r="Q29" i="1" s="1"/>
  <c r="P30" i="1"/>
  <c r="Q30" i="1" s="1"/>
  <c r="P31" i="1"/>
  <c r="Q31" i="1" s="1"/>
  <c r="P32" i="1"/>
  <c r="Q32" i="1" s="1"/>
  <c r="P33" i="1"/>
  <c r="Q33" i="1" s="1"/>
  <c r="P34" i="1"/>
  <c r="Q34" i="1" s="1"/>
  <c r="P35" i="1"/>
  <c r="Q35" i="1" s="1"/>
  <c r="P36" i="1"/>
  <c r="Q36" i="1" s="1"/>
  <c r="P37" i="1"/>
  <c r="Q37" i="1" s="1"/>
  <c r="P38" i="1"/>
  <c r="Q38" i="1" s="1"/>
  <c r="P39" i="1"/>
  <c r="Q39" i="1" s="1"/>
  <c r="P40" i="1"/>
  <c r="Q40" i="1" s="1"/>
  <c r="P41" i="1"/>
  <c r="Q41" i="1" s="1"/>
  <c r="P42" i="1"/>
  <c r="Q42" i="1" s="1"/>
  <c r="P43" i="1"/>
  <c r="Q43" i="1" s="1"/>
  <c r="P44" i="1"/>
  <c r="Q44" i="1" s="1"/>
  <c r="P45" i="1"/>
  <c r="Q45" i="1" s="1"/>
  <c r="P46" i="1"/>
  <c r="Q46" i="1" s="1"/>
  <c r="P47" i="1"/>
  <c r="Q47" i="1" s="1"/>
  <c r="P48" i="1"/>
  <c r="Q48" i="1" s="1"/>
  <c r="P49" i="1"/>
  <c r="Q49" i="1" s="1"/>
  <c r="P50" i="1"/>
  <c r="Q50" i="1" s="1"/>
  <c r="P51" i="1"/>
  <c r="Q51" i="1" s="1"/>
  <c r="P52" i="1"/>
  <c r="Q52" i="1" s="1"/>
  <c r="P53" i="1"/>
  <c r="Q53" i="1" s="1"/>
  <c r="P54" i="1"/>
  <c r="Q54" i="1" s="1"/>
  <c r="P55" i="1"/>
  <c r="Q55" i="1" s="1"/>
  <c r="P56" i="1"/>
  <c r="Q56" i="1" s="1"/>
  <c r="P57" i="1"/>
  <c r="Q57" i="1" s="1"/>
  <c r="P58" i="1"/>
  <c r="Q58" i="1" s="1"/>
  <c r="P59" i="1"/>
  <c r="Q59" i="1" s="1"/>
  <c r="P60" i="1"/>
  <c r="Q60" i="1" s="1"/>
  <c r="P61" i="1"/>
  <c r="Q61" i="1" s="1"/>
  <c r="P62" i="1"/>
  <c r="Q62" i="1" s="1"/>
  <c r="P63" i="1"/>
  <c r="Q63" i="1" s="1"/>
  <c r="P64" i="1"/>
  <c r="Q64" i="1" s="1"/>
  <c r="P65" i="1"/>
  <c r="Q65" i="1" s="1"/>
  <c r="P66" i="1"/>
  <c r="Q66" i="1" s="1"/>
  <c r="P67" i="1"/>
  <c r="Q67" i="1" s="1"/>
  <c r="P68" i="1"/>
  <c r="Q68" i="1" s="1"/>
  <c r="P69" i="1"/>
  <c r="Q69" i="1" s="1"/>
  <c r="P70" i="1"/>
  <c r="Q70" i="1" s="1"/>
  <c r="P71" i="1"/>
  <c r="Q71" i="1" s="1"/>
  <c r="P72" i="1"/>
  <c r="Q72" i="1" s="1"/>
  <c r="P73" i="1"/>
  <c r="Q73" i="1" s="1"/>
  <c r="P74" i="1"/>
  <c r="Q74" i="1" s="1"/>
  <c r="P75" i="1"/>
  <c r="Q75" i="1" s="1"/>
  <c r="P76" i="1"/>
  <c r="Q76" i="1" s="1"/>
  <c r="P77" i="1"/>
  <c r="Q77" i="1" s="1"/>
  <c r="P78" i="1"/>
  <c r="Q78" i="1" s="1"/>
  <c r="P79" i="1"/>
  <c r="Q79" i="1" s="1"/>
  <c r="P80" i="1"/>
  <c r="Q80" i="1" s="1"/>
  <c r="P81" i="1"/>
  <c r="Q81" i="1" s="1"/>
  <c r="P82" i="1"/>
  <c r="Q82" i="1" s="1"/>
  <c r="P83" i="1"/>
  <c r="Q83" i="1" s="1"/>
  <c r="P84" i="1"/>
  <c r="Q84" i="1" s="1"/>
  <c r="P85" i="1"/>
  <c r="Q85" i="1" s="1"/>
  <c r="P86" i="1"/>
  <c r="Q86" i="1" s="1"/>
  <c r="P87" i="1"/>
  <c r="Q87" i="1" s="1"/>
  <c r="P88" i="1"/>
  <c r="Q88" i="1" s="1"/>
  <c r="P89" i="1"/>
  <c r="Q89" i="1" s="1"/>
  <c r="P90" i="1"/>
  <c r="Q90" i="1" s="1"/>
  <c r="P91" i="1"/>
  <c r="Q91" i="1" s="1"/>
  <c r="P92" i="1"/>
  <c r="Q92" i="1" s="1"/>
  <c r="P93" i="1"/>
  <c r="Q93" i="1" s="1"/>
  <c r="P94" i="1"/>
  <c r="Q94" i="1" s="1"/>
  <c r="P95" i="1"/>
  <c r="Q95" i="1" s="1"/>
  <c r="P96" i="1"/>
  <c r="Q96" i="1" s="1"/>
  <c r="P97" i="1"/>
  <c r="Q97" i="1" s="1"/>
  <c r="P98" i="1"/>
  <c r="Q98" i="1" s="1"/>
  <c r="P99" i="1"/>
  <c r="Q99" i="1" s="1"/>
  <c r="P100" i="1"/>
  <c r="Q100" i="1" s="1"/>
  <c r="P101" i="1"/>
  <c r="Q101" i="1" s="1"/>
  <c r="P102" i="1"/>
  <c r="Q102" i="1" s="1"/>
  <c r="P103" i="1"/>
  <c r="Q103" i="1" s="1"/>
  <c r="P104" i="1"/>
  <c r="Q104" i="1" s="1"/>
  <c r="P105" i="1"/>
  <c r="Q105" i="1" s="1"/>
  <c r="P106" i="1"/>
  <c r="Q106" i="1" s="1"/>
  <c r="P107" i="1"/>
  <c r="Q107" i="1" s="1"/>
  <c r="P108" i="1"/>
  <c r="Q108" i="1" s="1"/>
  <c r="P109" i="1"/>
  <c r="Q109" i="1" s="1"/>
  <c r="P110" i="1"/>
  <c r="Q110" i="1" s="1"/>
  <c r="P111" i="1"/>
  <c r="Q111" i="1" s="1"/>
  <c r="P112" i="1"/>
  <c r="Q112" i="1" s="1"/>
  <c r="P113" i="1"/>
  <c r="Q113" i="1" s="1"/>
  <c r="P114" i="1"/>
  <c r="Q114" i="1" s="1"/>
  <c r="P115" i="1"/>
  <c r="Q115" i="1" s="1"/>
  <c r="P116" i="1"/>
  <c r="Q116" i="1" s="1"/>
  <c r="P117" i="1"/>
  <c r="Q117" i="1" s="1"/>
  <c r="P118" i="1"/>
  <c r="Q118" i="1" s="1"/>
  <c r="P119" i="1"/>
  <c r="Q119" i="1" s="1"/>
  <c r="P120" i="1"/>
  <c r="Q120" i="1" s="1"/>
  <c r="P121" i="1"/>
  <c r="Q121" i="1" s="1"/>
  <c r="P122" i="1"/>
  <c r="Q122" i="1" s="1"/>
  <c r="P123" i="1"/>
  <c r="Q123" i="1" s="1"/>
  <c r="P124" i="1"/>
  <c r="Q124" i="1" s="1"/>
  <c r="P125" i="1"/>
  <c r="Q125" i="1" s="1"/>
  <c r="P126" i="1"/>
  <c r="Q126" i="1" s="1"/>
  <c r="P127" i="1"/>
  <c r="Q127" i="1" s="1"/>
  <c r="P128" i="1"/>
  <c r="Q128" i="1" s="1"/>
  <c r="P129" i="1"/>
  <c r="Q129" i="1" s="1"/>
  <c r="P130" i="1"/>
  <c r="Q130" i="1" s="1"/>
  <c r="P131" i="1"/>
  <c r="Q131" i="1" s="1"/>
  <c r="P132" i="1"/>
  <c r="Q132" i="1" s="1"/>
  <c r="P133" i="1"/>
  <c r="Q133" i="1" s="1"/>
  <c r="P134" i="1"/>
  <c r="Q134" i="1" s="1"/>
  <c r="P135" i="1"/>
  <c r="Q135" i="1" s="1"/>
  <c r="P136" i="1"/>
  <c r="Q136" i="1" s="1"/>
  <c r="P137" i="1"/>
  <c r="Q137" i="1" s="1"/>
  <c r="P138" i="1"/>
  <c r="Q138" i="1" s="1"/>
  <c r="P139" i="1"/>
  <c r="Q139" i="1" s="1"/>
  <c r="P140" i="1"/>
  <c r="Q140" i="1" s="1"/>
  <c r="P141" i="1"/>
  <c r="Q141" i="1" s="1"/>
  <c r="P142" i="1"/>
  <c r="Q142" i="1" s="1"/>
  <c r="P143" i="1"/>
  <c r="Q143" i="1" s="1"/>
  <c r="P144" i="1"/>
  <c r="Q144" i="1" s="1"/>
  <c r="P145" i="1"/>
  <c r="Q145" i="1" s="1"/>
  <c r="P146" i="1"/>
  <c r="Q146" i="1" s="1"/>
  <c r="P147" i="1"/>
  <c r="Q147" i="1" s="1"/>
  <c r="P148" i="1"/>
  <c r="Q148" i="1" s="1"/>
  <c r="P149" i="1"/>
  <c r="Q149" i="1" s="1"/>
  <c r="P150" i="1"/>
  <c r="Q150" i="1" s="1"/>
  <c r="P151" i="1"/>
  <c r="Q151" i="1" s="1"/>
  <c r="P152" i="1"/>
  <c r="Q152" i="1" s="1"/>
  <c r="P153" i="1"/>
  <c r="Q153" i="1" s="1"/>
  <c r="P154" i="1"/>
  <c r="Q154" i="1" s="1"/>
  <c r="P155" i="1"/>
  <c r="Q155" i="1" s="1"/>
  <c r="P156" i="1"/>
  <c r="Q156" i="1" s="1"/>
  <c r="P157" i="1"/>
  <c r="Q157" i="1" s="1"/>
  <c r="P158" i="1"/>
  <c r="Q158" i="1" s="1"/>
  <c r="P159" i="1"/>
  <c r="Q159" i="1" s="1"/>
  <c r="P160" i="1"/>
  <c r="Q160" i="1" s="1"/>
  <c r="P161" i="1"/>
  <c r="Q161" i="1" s="1"/>
  <c r="P162" i="1"/>
  <c r="Q162" i="1" s="1"/>
  <c r="P163" i="1"/>
  <c r="Q163" i="1" s="1"/>
  <c r="P164" i="1"/>
  <c r="Q164" i="1" s="1"/>
  <c r="P165" i="1"/>
  <c r="Q165" i="1" s="1"/>
  <c r="P166" i="1"/>
  <c r="Q166" i="1" s="1"/>
  <c r="P167" i="1"/>
  <c r="Q167" i="1" s="1"/>
  <c r="P168" i="1"/>
  <c r="Q168" i="1" s="1"/>
  <c r="P169" i="1"/>
  <c r="Q169" i="1" s="1"/>
  <c r="P170" i="1"/>
  <c r="Q170" i="1" s="1"/>
  <c r="P171" i="1"/>
  <c r="Q171" i="1" s="1"/>
  <c r="P172" i="1"/>
  <c r="Q172" i="1" s="1"/>
  <c r="P173" i="1"/>
  <c r="Q173" i="1" s="1"/>
  <c r="P174" i="1"/>
  <c r="Q174" i="1" s="1"/>
  <c r="P175" i="1"/>
  <c r="Q175" i="1" s="1"/>
  <c r="P176" i="1"/>
  <c r="Q176" i="1" s="1"/>
  <c r="P177" i="1"/>
  <c r="Q177" i="1" s="1"/>
  <c r="P178" i="1"/>
  <c r="Q178" i="1" s="1"/>
  <c r="P179" i="1"/>
  <c r="Q179" i="1" s="1"/>
  <c r="P180" i="1"/>
  <c r="Q180" i="1" s="1"/>
  <c r="P181" i="1"/>
  <c r="Q181" i="1" s="1"/>
  <c r="P182" i="1"/>
  <c r="Q182" i="1" s="1"/>
  <c r="P183" i="1"/>
  <c r="Q183" i="1" s="1"/>
  <c r="P184" i="1"/>
  <c r="Q184" i="1" s="1"/>
  <c r="P185" i="1"/>
  <c r="Q185" i="1" s="1"/>
  <c r="P186" i="1"/>
  <c r="Q186" i="1" s="1"/>
  <c r="P187" i="1"/>
  <c r="Q187" i="1" s="1"/>
  <c r="P188" i="1"/>
  <c r="Q188" i="1" s="1"/>
  <c r="P189" i="1"/>
  <c r="Q189" i="1" s="1"/>
  <c r="P190" i="1"/>
  <c r="Q190" i="1" s="1"/>
  <c r="P191" i="1"/>
  <c r="Q191" i="1" s="1"/>
  <c r="P192" i="1"/>
  <c r="Q192" i="1" s="1"/>
  <c r="P193" i="1"/>
  <c r="Q193" i="1" s="1"/>
  <c r="P194" i="1"/>
  <c r="Q194" i="1" s="1"/>
  <c r="P195" i="1"/>
  <c r="Q195" i="1" s="1"/>
  <c r="P196" i="1"/>
  <c r="Q196" i="1" s="1"/>
  <c r="P197" i="1"/>
  <c r="Q197" i="1" s="1"/>
  <c r="P198" i="1"/>
  <c r="Q198" i="1" s="1"/>
  <c r="P199" i="1"/>
  <c r="Q199" i="1" s="1"/>
  <c r="P200" i="1"/>
  <c r="Q200" i="1" s="1"/>
  <c r="P201" i="1"/>
  <c r="Q201" i="1" s="1"/>
  <c r="P202" i="1"/>
  <c r="Q202" i="1" s="1"/>
  <c r="P203" i="1"/>
  <c r="Q203" i="1" s="1"/>
  <c r="P204" i="1"/>
  <c r="Q204" i="1" s="1"/>
  <c r="P205" i="1"/>
  <c r="Q205" i="1" s="1"/>
  <c r="P206" i="1"/>
  <c r="Q206" i="1" s="1"/>
  <c r="P207" i="1"/>
  <c r="Q207" i="1" s="1"/>
  <c r="P208" i="1"/>
  <c r="Q208" i="1" s="1"/>
  <c r="P209" i="1"/>
  <c r="Q209" i="1" s="1"/>
  <c r="P210" i="1"/>
  <c r="Q210" i="1" s="1"/>
  <c r="P211" i="1"/>
  <c r="Q211" i="1" s="1"/>
  <c r="P212" i="1"/>
  <c r="Q212" i="1" s="1"/>
  <c r="P213" i="1"/>
  <c r="Q213" i="1" s="1"/>
  <c r="P214" i="1"/>
  <c r="Q214" i="1" s="1"/>
  <c r="P215" i="1"/>
  <c r="Q215" i="1" s="1"/>
  <c r="P216" i="1"/>
  <c r="Q216" i="1" s="1"/>
  <c r="P217" i="1"/>
  <c r="Q217" i="1" s="1"/>
  <c r="P218" i="1"/>
  <c r="Q218" i="1" s="1"/>
  <c r="P219" i="1"/>
  <c r="Q219" i="1" s="1"/>
  <c r="P220" i="1"/>
  <c r="Q220" i="1" s="1"/>
  <c r="P221" i="1"/>
  <c r="Q221" i="1" s="1"/>
  <c r="P222" i="1"/>
  <c r="Q222" i="1" s="1"/>
  <c r="P223" i="1"/>
  <c r="Q223" i="1" s="1"/>
  <c r="P224" i="1"/>
  <c r="Q224" i="1" s="1"/>
  <c r="P225" i="1"/>
  <c r="Q225" i="1" s="1"/>
  <c r="P226" i="1"/>
  <c r="Q226" i="1" s="1"/>
  <c r="P227" i="1"/>
  <c r="Q227" i="1" s="1"/>
  <c r="P228" i="1"/>
  <c r="Q228" i="1" s="1"/>
  <c r="P229" i="1"/>
  <c r="Q229" i="1" s="1"/>
  <c r="P230" i="1"/>
  <c r="Q230" i="1" s="1"/>
  <c r="P231" i="1"/>
  <c r="Q231" i="1" s="1"/>
  <c r="P232" i="1"/>
  <c r="Q232" i="1" s="1"/>
  <c r="P233" i="1"/>
  <c r="Q233" i="1" s="1"/>
  <c r="P234" i="1"/>
  <c r="Q234" i="1" s="1"/>
  <c r="P235" i="1"/>
  <c r="Q235" i="1" s="1"/>
  <c r="P2019" i="1"/>
  <c r="Q2019" i="1" s="1"/>
  <c r="P2263" i="1"/>
  <c r="Q2263" i="1" s="1"/>
  <c r="P530" i="1"/>
  <c r="Q530" i="1" s="1"/>
  <c r="P2020" i="1"/>
  <c r="Q2020" i="1" s="1"/>
  <c r="P2341" i="1"/>
  <c r="Q2341" i="1" s="1"/>
  <c r="P2013" i="1"/>
  <c r="Q2013" i="1" s="1"/>
  <c r="P1711" i="1"/>
  <c r="Q1711" i="1" s="1"/>
  <c r="P4006" i="1"/>
  <c r="Q4006" i="1" s="1"/>
  <c r="P1824" i="1"/>
  <c r="Q1824" i="1" s="1"/>
  <c r="P3304" i="1"/>
  <c r="Q3304" i="1" s="1"/>
  <c r="P4309" i="1"/>
  <c r="Q4309" i="1" s="1"/>
  <c r="P4310" i="1"/>
  <c r="Q4310" i="1" s="1"/>
  <c r="P2264" i="1"/>
  <c r="Q2264" i="1" s="1"/>
  <c r="P2265" i="1"/>
  <c r="Q2265" i="1" s="1"/>
  <c r="P1825" i="1"/>
  <c r="Q1825" i="1" s="1"/>
  <c r="P531" i="1"/>
  <c r="Q531" i="1" s="1"/>
  <c r="P532" i="1"/>
  <c r="Q532" i="1" s="1"/>
  <c r="P2246" i="1"/>
  <c r="Q2246" i="1" s="1"/>
  <c r="P3305" i="1"/>
  <c r="Q3305" i="1" s="1"/>
  <c r="P533" i="1"/>
  <c r="Q533" i="1" s="1"/>
  <c r="P534" i="1"/>
  <c r="Q534" i="1" s="1"/>
  <c r="P3153" i="1"/>
  <c r="Q3153" i="1" s="1"/>
  <c r="P4108" i="1"/>
  <c r="Q4108" i="1" s="1"/>
  <c r="P2546" i="1"/>
  <c r="Q2546" i="1" s="1"/>
  <c r="P2547" i="1"/>
  <c r="Q2547" i="1" s="1"/>
  <c r="P3203" i="1"/>
  <c r="Q3203" i="1" s="1"/>
  <c r="P1931" i="1"/>
  <c r="Q1931" i="1" s="1"/>
  <c r="P4311" i="1"/>
  <c r="Q4311" i="1" s="1"/>
  <c r="P2916" i="1"/>
  <c r="Q2916" i="1" s="1"/>
  <c r="P1712" i="1"/>
  <c r="Q1712" i="1" s="1"/>
  <c r="P2917" i="1"/>
  <c r="Q2917" i="1" s="1"/>
  <c r="P1826" i="1"/>
  <c r="Q1826" i="1" s="1"/>
  <c r="P3847" i="1"/>
  <c r="Q3847" i="1" s="1"/>
  <c r="P535" i="1"/>
  <c r="Q535" i="1" s="1"/>
  <c r="P536" i="1"/>
  <c r="Q536" i="1" s="1"/>
  <c r="P3306" i="1"/>
  <c r="Q3306" i="1" s="1"/>
  <c r="P3307" i="1"/>
  <c r="Q3307" i="1" s="1"/>
  <c r="P2548" i="1"/>
  <c r="Q2548" i="1" s="1"/>
  <c r="P537" i="1"/>
  <c r="Q537" i="1" s="1"/>
  <c r="P4197" i="1"/>
  <c r="Q4197" i="1" s="1"/>
  <c r="P538" i="1"/>
  <c r="Q538" i="1" s="1"/>
  <c r="P539" i="1"/>
  <c r="Q539" i="1" s="1"/>
  <c r="P540" i="1"/>
  <c r="Q540" i="1" s="1"/>
  <c r="P2266" i="1"/>
  <c r="Q2266" i="1" s="1"/>
  <c r="P3308" i="1"/>
  <c r="Q3308" i="1" s="1"/>
  <c r="P541" i="1"/>
  <c r="Q541" i="1" s="1"/>
  <c r="P2021" i="1"/>
  <c r="Q2021" i="1" s="1"/>
  <c r="P542" i="1"/>
  <c r="Q542" i="1" s="1"/>
  <c r="P1713" i="1"/>
  <c r="Q1713" i="1" s="1"/>
  <c r="P3309" i="1"/>
  <c r="Q3309" i="1" s="1"/>
  <c r="P2241" i="1"/>
  <c r="Q2241" i="1" s="1"/>
  <c r="P543" i="1"/>
  <c r="Q543" i="1" s="1"/>
  <c r="P4312" i="1"/>
  <c r="Q4312" i="1" s="1"/>
  <c r="P2858" i="1"/>
  <c r="Q2858" i="1" s="1"/>
  <c r="P3310" i="1"/>
  <c r="Q3310" i="1" s="1"/>
  <c r="P544" i="1"/>
  <c r="Q544" i="1" s="1"/>
  <c r="P545" i="1"/>
  <c r="Q545" i="1" s="1"/>
  <c r="P4313" i="1"/>
  <c r="Q4313" i="1" s="1"/>
  <c r="P546" i="1"/>
  <c r="Q546" i="1" s="1"/>
  <c r="P547" i="1"/>
  <c r="Q547" i="1" s="1"/>
  <c r="P548" i="1"/>
  <c r="Q548" i="1" s="1"/>
  <c r="P2918" i="1"/>
  <c r="Q2918" i="1" s="1"/>
  <c r="P3311" i="1"/>
  <c r="Q3311" i="1" s="1"/>
  <c r="P549" i="1"/>
  <c r="Q549" i="1" s="1"/>
  <c r="P550" i="1"/>
  <c r="Q550" i="1" s="1"/>
  <c r="P4314" i="1"/>
  <c r="Q4314" i="1" s="1"/>
  <c r="P2824" i="1"/>
  <c r="Q2824" i="1" s="1"/>
  <c r="P4016" i="1"/>
  <c r="Q4016" i="1" s="1"/>
  <c r="P3312" i="1"/>
  <c r="Q3312" i="1" s="1"/>
  <c r="P551" i="1"/>
  <c r="Q551" i="1" s="1"/>
  <c r="P2796" i="1"/>
  <c r="Q2796" i="1" s="1"/>
  <c r="P3313" i="1"/>
  <c r="Q3313" i="1" s="1"/>
  <c r="P3314" i="1"/>
  <c r="Q3314" i="1" s="1"/>
  <c r="P3315" i="1"/>
  <c r="Q3315" i="1" s="1"/>
  <c r="P552" i="1"/>
  <c r="Q552" i="1" s="1"/>
  <c r="P3316" i="1"/>
  <c r="Q3316" i="1" s="1"/>
  <c r="P3848" i="1"/>
  <c r="Q3848" i="1" s="1"/>
  <c r="P1827" i="1"/>
  <c r="Q1827" i="1" s="1"/>
  <c r="P3849" i="1"/>
  <c r="Q3849" i="1" s="1"/>
  <c r="P553" i="1"/>
  <c r="Q553" i="1" s="1"/>
  <c r="P3317" i="1"/>
  <c r="Q3317" i="1" s="1"/>
  <c r="P2919" i="1"/>
  <c r="Q2919" i="1" s="1"/>
  <c r="P3318" i="1"/>
  <c r="Q3318" i="1" s="1"/>
  <c r="P2920" i="1"/>
  <c r="Q2920" i="1" s="1"/>
  <c r="P4190" i="1"/>
  <c r="Q4190" i="1" s="1"/>
  <c r="P2342" i="1"/>
  <c r="Q2342" i="1" s="1"/>
  <c r="P4315" i="1"/>
  <c r="Q4315" i="1" s="1"/>
  <c r="P554" i="1"/>
  <c r="Q554" i="1" s="1"/>
  <c r="P555" i="1"/>
  <c r="Q555" i="1" s="1"/>
  <c r="P3319" i="1"/>
  <c r="Q3319" i="1" s="1"/>
  <c r="P3320" i="1"/>
  <c r="Q3320" i="1" s="1"/>
  <c r="P2921" i="1"/>
  <c r="Q2921" i="1" s="1"/>
  <c r="P4017" i="1"/>
  <c r="Q4017" i="1" s="1"/>
  <c r="P3321" i="1"/>
  <c r="Q3321" i="1" s="1"/>
  <c r="P3322" i="1"/>
  <c r="Q3322" i="1" s="1"/>
  <c r="P556" i="1"/>
  <c r="Q556" i="1" s="1"/>
  <c r="P557" i="1"/>
  <c r="Q557" i="1" s="1"/>
  <c r="P4138" i="1"/>
  <c r="Q4138" i="1" s="1"/>
  <c r="P238" i="1"/>
  <c r="Q238" i="1" s="1"/>
  <c r="P2922" i="1"/>
  <c r="Q2922" i="1" s="1"/>
  <c r="P558" i="1"/>
  <c r="Q558" i="1" s="1"/>
  <c r="P559" i="1"/>
  <c r="Q559" i="1" s="1"/>
  <c r="P2549" i="1"/>
  <c r="Q2549" i="1" s="1"/>
  <c r="P1932" i="1"/>
  <c r="Q1932" i="1" s="1"/>
  <c r="P2022" i="1"/>
  <c r="Q2022" i="1" s="1"/>
  <c r="P560" i="1"/>
  <c r="Q560" i="1" s="1"/>
  <c r="P2373" i="1"/>
  <c r="Q2373" i="1" s="1"/>
  <c r="P4018" i="1"/>
  <c r="Q4018" i="1" s="1"/>
  <c r="P301" i="1"/>
  <c r="Q301" i="1" s="1"/>
  <c r="P1933" i="1"/>
  <c r="Q1933" i="1" s="1"/>
  <c r="P4100" i="1"/>
  <c r="Q4100" i="1" s="1"/>
  <c r="P2923" i="1"/>
  <c r="Q2923" i="1" s="1"/>
  <c r="P4002" i="1"/>
  <c r="Q4002" i="1" s="1"/>
  <c r="P4249" i="1"/>
  <c r="Q4249" i="1" s="1"/>
  <c r="P1828" i="1"/>
  <c r="Q1828" i="1" s="1"/>
  <c r="P2023" i="1"/>
  <c r="Q2023" i="1" s="1"/>
  <c r="P4230" i="1"/>
  <c r="Q4230" i="1" s="1"/>
  <c r="P1934" i="1"/>
  <c r="Q1934" i="1" s="1"/>
  <c r="P4316" i="1"/>
  <c r="Q4316" i="1" s="1"/>
  <c r="P3850" i="1"/>
  <c r="Q3850" i="1" s="1"/>
  <c r="P3851" i="1"/>
  <c r="Q3851" i="1" s="1"/>
  <c r="P2924" i="1"/>
  <c r="Q2924" i="1" s="1"/>
  <c r="P1714" i="1"/>
  <c r="Q1714" i="1" s="1"/>
  <c r="P4003" i="1"/>
  <c r="Q4003" i="1" s="1"/>
  <c r="P561" i="1"/>
  <c r="Q561" i="1" s="1"/>
  <c r="P562" i="1"/>
  <c r="Q562" i="1" s="1"/>
  <c r="P1715" i="1"/>
  <c r="Q1715" i="1" s="1"/>
  <c r="P1716" i="1"/>
  <c r="Q1716" i="1" s="1"/>
  <c r="P2267" i="1"/>
  <c r="Q2267" i="1" s="1"/>
  <c r="P563" i="1"/>
  <c r="Q563" i="1" s="1"/>
  <c r="P564" i="1"/>
  <c r="Q564" i="1" s="1"/>
  <c r="P565" i="1"/>
  <c r="Q565" i="1" s="1"/>
  <c r="P2550" i="1"/>
  <c r="Q2550" i="1" s="1"/>
  <c r="P3323" i="1"/>
  <c r="Q3323" i="1" s="1"/>
  <c r="P2424" i="1"/>
  <c r="Q2424" i="1" s="1"/>
  <c r="P566" i="1"/>
  <c r="Q566" i="1" s="1"/>
  <c r="P567" i="1"/>
  <c r="Q567" i="1" s="1"/>
  <c r="P568" i="1"/>
  <c r="Q568" i="1" s="1"/>
  <c r="P569" i="1"/>
  <c r="Q569" i="1" s="1"/>
  <c r="P4198" i="1"/>
  <c r="Q4198" i="1" s="1"/>
  <c r="P570" i="1"/>
  <c r="Q570" i="1" s="1"/>
  <c r="P3255" i="1"/>
  <c r="Q3255" i="1" s="1"/>
  <c r="P2900" i="1"/>
  <c r="Q2900" i="1" s="1"/>
  <c r="P3324" i="1"/>
  <c r="Q3324" i="1" s="1"/>
  <c r="P2374" i="1"/>
  <c r="Q2374" i="1" s="1"/>
  <c r="P4199" i="1"/>
  <c r="Q4199" i="1" s="1"/>
  <c r="P2425" i="1"/>
  <c r="Q2425" i="1" s="1"/>
  <c r="P571" i="1"/>
  <c r="Q571" i="1" s="1"/>
  <c r="P2925" i="1"/>
  <c r="Q2925" i="1" s="1"/>
  <c r="P3325" i="1"/>
  <c r="Q3325" i="1" s="1"/>
  <c r="P2343" i="1"/>
  <c r="Q2343" i="1" s="1"/>
  <c r="P2551" i="1"/>
  <c r="Q2551" i="1" s="1"/>
  <c r="P572" i="1"/>
  <c r="Q572" i="1" s="1"/>
  <c r="P302" i="1"/>
  <c r="Q302" i="1" s="1"/>
  <c r="P2024" i="1"/>
  <c r="Q2024" i="1" s="1"/>
  <c r="P2552" i="1"/>
  <c r="Q2552" i="1" s="1"/>
  <c r="P2926" i="1"/>
  <c r="Q2926" i="1" s="1"/>
  <c r="P3845" i="1"/>
  <c r="Q3845" i="1" s="1"/>
  <c r="P573" i="1"/>
  <c r="Q573" i="1" s="1"/>
  <c r="P2426" i="1"/>
  <c r="Q2426" i="1" s="1"/>
  <c r="P2859" i="1"/>
  <c r="Q2859" i="1" s="1"/>
  <c r="P2375" i="1"/>
  <c r="Q2375" i="1" s="1"/>
  <c r="P2553" i="1"/>
  <c r="Q2553" i="1" s="1"/>
  <c r="P2856" i="1"/>
  <c r="Q2856" i="1" s="1"/>
  <c r="P4317" i="1"/>
  <c r="Q4317" i="1" s="1"/>
  <c r="P2554" i="1"/>
  <c r="Q2554" i="1" s="1"/>
  <c r="P495" i="1"/>
  <c r="Q495" i="1" s="1"/>
  <c r="P303" i="1"/>
  <c r="Q303" i="1" s="1"/>
  <c r="P2880" i="1"/>
  <c r="Q2880" i="1" s="1"/>
  <c r="P237" i="1"/>
  <c r="Q237" i="1" s="1"/>
  <c r="P2927" i="1"/>
  <c r="Q2927" i="1" s="1"/>
  <c r="P2825" i="1"/>
  <c r="Q2825" i="1" s="1"/>
  <c r="P4318" i="1"/>
  <c r="Q4318" i="1" s="1"/>
  <c r="P3326" i="1"/>
  <c r="Q3326" i="1" s="1"/>
  <c r="P4157" i="1"/>
  <c r="Q4157" i="1" s="1"/>
  <c r="P574" i="1"/>
  <c r="Q574" i="1" s="1"/>
  <c r="P259" i="1"/>
  <c r="Q259" i="1" s="1"/>
  <c r="P1829" i="1"/>
  <c r="Q1829" i="1" s="1"/>
  <c r="P575" i="1"/>
  <c r="Q575" i="1" s="1"/>
  <c r="P576" i="1"/>
  <c r="Q576" i="1" s="1"/>
  <c r="P4319" i="1"/>
  <c r="Q4319" i="1" s="1"/>
  <c r="P2555" i="1"/>
  <c r="Q2555" i="1" s="1"/>
  <c r="P577" i="1"/>
  <c r="Q577" i="1" s="1"/>
  <c r="P3138" i="1"/>
  <c r="Q3138" i="1" s="1"/>
  <c r="P3830" i="1"/>
  <c r="Q3830" i="1" s="1"/>
  <c r="P4019" i="1"/>
  <c r="Q4019" i="1" s="1"/>
  <c r="P578" i="1"/>
  <c r="Q578" i="1" s="1"/>
  <c r="P2860" i="1"/>
  <c r="Q2860" i="1" s="1"/>
  <c r="P4320" i="1"/>
  <c r="Q4320" i="1" s="1"/>
  <c r="P2025" i="1"/>
  <c r="Q2025" i="1" s="1"/>
  <c r="P3327" i="1"/>
  <c r="Q3327" i="1" s="1"/>
  <c r="P4158" i="1"/>
  <c r="Q4158" i="1" s="1"/>
  <c r="P3852" i="1"/>
  <c r="Q3852" i="1" s="1"/>
  <c r="P3328" i="1"/>
  <c r="Q3328" i="1" s="1"/>
  <c r="P3853" i="1"/>
  <c r="Q3853" i="1" s="1"/>
  <c r="P579" i="1"/>
  <c r="Q579" i="1" s="1"/>
  <c r="P2928" i="1"/>
  <c r="Q2928" i="1" s="1"/>
  <c r="P580" i="1"/>
  <c r="Q580" i="1" s="1"/>
  <c r="P581" i="1"/>
  <c r="Q581" i="1" s="1"/>
  <c r="P4121" i="1"/>
  <c r="Q4121" i="1" s="1"/>
  <c r="P2268" i="1"/>
  <c r="Q2268" i="1" s="1"/>
  <c r="P2427" i="1"/>
  <c r="Q2427" i="1" s="1"/>
  <c r="P2791" i="1"/>
  <c r="Q2791" i="1" s="1"/>
  <c r="P2556" i="1"/>
  <c r="Q2556" i="1" s="1"/>
  <c r="P582" i="1"/>
  <c r="Q582" i="1" s="1"/>
  <c r="P2929" i="1"/>
  <c r="Q2929" i="1" s="1"/>
  <c r="P2026" i="1"/>
  <c r="Q2026" i="1" s="1"/>
  <c r="P3197" i="1"/>
  <c r="Q3197" i="1" s="1"/>
  <c r="P583" i="1"/>
  <c r="Q583" i="1" s="1"/>
  <c r="P3329" i="1"/>
  <c r="Q3329" i="1" s="1"/>
  <c r="P3204" i="1"/>
  <c r="Q3204" i="1" s="1"/>
  <c r="P3854" i="1"/>
  <c r="Q3854" i="1" s="1"/>
  <c r="P4020" i="1"/>
  <c r="Q4020" i="1" s="1"/>
  <c r="P406" i="1"/>
  <c r="Q406" i="1" s="1"/>
  <c r="P584" i="1"/>
  <c r="Q584" i="1" s="1"/>
  <c r="P4321" i="1"/>
  <c r="Q4321" i="1" s="1"/>
  <c r="P2930" i="1"/>
  <c r="Q2930" i="1" s="1"/>
  <c r="P585" i="1"/>
  <c r="Q585" i="1" s="1"/>
  <c r="P586" i="1"/>
  <c r="Q586" i="1" s="1"/>
  <c r="P4322" i="1"/>
  <c r="Q4322" i="1" s="1"/>
  <c r="P587" i="1"/>
  <c r="Q587" i="1" s="1"/>
  <c r="P588" i="1"/>
  <c r="Q588" i="1" s="1"/>
  <c r="P4323" i="1"/>
  <c r="Q4323" i="1" s="1"/>
  <c r="P3330" i="1"/>
  <c r="Q3330" i="1" s="1"/>
  <c r="P2557" i="1"/>
  <c r="Q2557" i="1" s="1"/>
  <c r="P4021" i="1"/>
  <c r="Q4021" i="1" s="1"/>
  <c r="P2558" i="1"/>
  <c r="Q2558" i="1" s="1"/>
  <c r="P2027" i="1"/>
  <c r="Q2027" i="1" s="1"/>
  <c r="P3139" i="1"/>
  <c r="Q3139" i="1" s="1"/>
  <c r="P2559" i="1"/>
  <c r="Q2559" i="1" s="1"/>
  <c r="P1830" i="1"/>
  <c r="Q1830" i="1" s="1"/>
  <c r="P589" i="1"/>
  <c r="Q589" i="1" s="1"/>
  <c r="P2560" i="1"/>
  <c r="Q2560" i="1" s="1"/>
  <c r="P590" i="1"/>
  <c r="Q590" i="1" s="1"/>
  <c r="P591" i="1"/>
  <c r="Q591" i="1" s="1"/>
  <c r="P2931" i="1"/>
  <c r="Q2931" i="1" s="1"/>
  <c r="P592" i="1"/>
  <c r="Q592" i="1" s="1"/>
  <c r="P2561" i="1"/>
  <c r="Q2561" i="1" s="1"/>
  <c r="P593" i="1"/>
  <c r="Q593" i="1" s="1"/>
  <c r="P2855" i="1"/>
  <c r="Q2855" i="1" s="1"/>
  <c r="P594" i="1"/>
  <c r="Q594" i="1" s="1"/>
  <c r="P3331" i="1"/>
  <c r="Q3331" i="1" s="1"/>
  <c r="P3332" i="1"/>
  <c r="Q3332" i="1" s="1"/>
  <c r="P3333" i="1"/>
  <c r="Q3333" i="1" s="1"/>
  <c r="P2932" i="1"/>
  <c r="Q2932" i="1" s="1"/>
  <c r="P1717" i="1"/>
  <c r="Q1717" i="1" s="1"/>
  <c r="P595" i="1"/>
  <c r="Q595" i="1" s="1"/>
  <c r="P4191" i="1"/>
  <c r="Q4191" i="1" s="1"/>
  <c r="P3205" i="1"/>
  <c r="Q3205" i="1" s="1"/>
  <c r="P2881" i="1"/>
  <c r="Q2881" i="1" s="1"/>
  <c r="P1831" i="1"/>
  <c r="Q1831" i="1" s="1"/>
  <c r="P4324" i="1"/>
  <c r="Q4324" i="1" s="1"/>
  <c r="P3140" i="1"/>
  <c r="Q3140" i="1" s="1"/>
  <c r="P2562" i="1"/>
  <c r="Q2562" i="1" s="1"/>
  <c r="P3334" i="1"/>
  <c r="Q3334" i="1" s="1"/>
  <c r="P2563" i="1"/>
  <c r="Q2563" i="1" s="1"/>
  <c r="P596" i="1"/>
  <c r="Q596" i="1" s="1"/>
  <c r="P2028" i="1"/>
  <c r="Q2028" i="1" s="1"/>
  <c r="P597" i="1"/>
  <c r="Q597" i="1" s="1"/>
  <c r="P4325" i="1"/>
  <c r="Q4325" i="1" s="1"/>
  <c r="P3335" i="1"/>
  <c r="Q3335" i="1" s="1"/>
  <c r="P2564" i="1"/>
  <c r="Q2564" i="1" s="1"/>
  <c r="P4326" i="1"/>
  <c r="Q4326" i="1" s="1"/>
  <c r="P598" i="1"/>
  <c r="Q598" i="1" s="1"/>
  <c r="P2428" i="1"/>
  <c r="Q2428" i="1" s="1"/>
  <c r="P4118" i="1"/>
  <c r="Q4118" i="1" s="1"/>
  <c r="P4022" i="1"/>
  <c r="Q4022" i="1" s="1"/>
  <c r="P407" i="1"/>
  <c r="Q407" i="1" s="1"/>
  <c r="P3336" i="1"/>
  <c r="Q3336" i="1" s="1"/>
  <c r="P4119" i="1"/>
  <c r="Q4119" i="1" s="1"/>
  <c r="P599" i="1"/>
  <c r="Q599" i="1" s="1"/>
  <c r="P2429" i="1"/>
  <c r="Q2429" i="1" s="1"/>
  <c r="P1832" i="1"/>
  <c r="Q1832" i="1" s="1"/>
  <c r="P2247" i="1"/>
  <c r="Q2247" i="1" s="1"/>
  <c r="P600" i="1"/>
  <c r="Q600" i="1" s="1"/>
  <c r="P3337" i="1"/>
  <c r="Q3337" i="1" s="1"/>
  <c r="P1718" i="1"/>
  <c r="Q1718" i="1" s="1"/>
  <c r="P3256" i="1"/>
  <c r="Q3256" i="1" s="1"/>
  <c r="P601" i="1"/>
  <c r="Q601" i="1" s="1"/>
  <c r="P602" i="1"/>
  <c r="Q602" i="1" s="1"/>
  <c r="P3338" i="1"/>
  <c r="Q3338" i="1" s="1"/>
  <c r="P603" i="1"/>
  <c r="Q603" i="1" s="1"/>
  <c r="P604" i="1"/>
  <c r="Q604" i="1" s="1"/>
  <c r="P3339" i="1"/>
  <c r="Q3339" i="1" s="1"/>
  <c r="P605" i="1"/>
  <c r="Q605" i="1" s="1"/>
  <c r="P304" i="1"/>
  <c r="Q304" i="1" s="1"/>
  <c r="P4327" i="1"/>
  <c r="Q4327" i="1" s="1"/>
  <c r="P408" i="1"/>
  <c r="Q408" i="1" s="1"/>
  <c r="P606" i="1"/>
  <c r="Q606" i="1" s="1"/>
  <c r="P607" i="1"/>
  <c r="Q607" i="1" s="1"/>
  <c r="P608" i="1"/>
  <c r="Q608" i="1" s="1"/>
  <c r="P609" i="1"/>
  <c r="Q609" i="1" s="1"/>
  <c r="P3179" i="1"/>
  <c r="Q3179" i="1" s="1"/>
  <c r="P610" i="1"/>
  <c r="Q610" i="1" s="1"/>
  <c r="P2269" i="1"/>
  <c r="Q2269" i="1" s="1"/>
  <c r="P3232" i="1"/>
  <c r="Q3232" i="1" s="1"/>
  <c r="P611" i="1"/>
  <c r="Q611" i="1" s="1"/>
  <c r="P612" i="1"/>
  <c r="Q612" i="1" s="1"/>
  <c r="P4231" i="1"/>
  <c r="Q4231" i="1" s="1"/>
  <c r="P2430" i="1"/>
  <c r="Q2430" i="1" s="1"/>
  <c r="P4328" i="1"/>
  <c r="Q4328" i="1" s="1"/>
  <c r="P3855" i="1"/>
  <c r="Q3855" i="1" s="1"/>
  <c r="P613" i="1"/>
  <c r="Q613" i="1" s="1"/>
  <c r="P2565" i="1"/>
  <c r="Q2565" i="1" s="1"/>
  <c r="P2842" i="1"/>
  <c r="Q2842" i="1" s="1"/>
  <c r="P2566" i="1"/>
  <c r="Q2566" i="1" s="1"/>
  <c r="P3340" i="1"/>
  <c r="Q3340" i="1" s="1"/>
  <c r="P2376" i="1"/>
  <c r="Q2376" i="1" s="1"/>
  <c r="P3341" i="1"/>
  <c r="Q3341" i="1" s="1"/>
  <c r="P3206" i="1"/>
  <c r="Q3206" i="1" s="1"/>
  <c r="P2826" i="1"/>
  <c r="Q2826" i="1" s="1"/>
  <c r="P614" i="1"/>
  <c r="Q614" i="1" s="1"/>
  <c r="P4232" i="1"/>
  <c r="Q4232" i="1" s="1"/>
  <c r="P615" i="1"/>
  <c r="Q615" i="1" s="1"/>
  <c r="P4329" i="1"/>
  <c r="Q4329" i="1" s="1"/>
  <c r="P3342" i="1"/>
  <c r="Q3342" i="1" s="1"/>
  <c r="P616" i="1"/>
  <c r="Q616" i="1" s="1"/>
  <c r="P2933" i="1"/>
  <c r="Q2933" i="1" s="1"/>
  <c r="P617" i="1"/>
  <c r="Q617" i="1" s="1"/>
  <c r="P305" i="1"/>
  <c r="Q305" i="1" s="1"/>
  <c r="P618" i="1"/>
  <c r="Q618" i="1" s="1"/>
  <c r="P2029" i="1"/>
  <c r="Q2029" i="1" s="1"/>
  <c r="P619" i="1"/>
  <c r="Q619" i="1" s="1"/>
  <c r="P620" i="1"/>
  <c r="Q620" i="1" s="1"/>
  <c r="P2567" i="1"/>
  <c r="Q2567" i="1" s="1"/>
  <c r="P3343" i="1"/>
  <c r="Q3343" i="1" s="1"/>
  <c r="P3344" i="1"/>
  <c r="Q3344" i="1" s="1"/>
  <c r="P2568" i="1"/>
  <c r="Q2568" i="1" s="1"/>
  <c r="P621" i="1"/>
  <c r="Q621" i="1" s="1"/>
  <c r="P2569" i="1"/>
  <c r="Q2569" i="1" s="1"/>
  <c r="P3194" i="1"/>
  <c r="Q3194" i="1" s="1"/>
  <c r="P2934" i="1"/>
  <c r="Q2934" i="1" s="1"/>
  <c r="P2030" i="1"/>
  <c r="Q2030" i="1" s="1"/>
  <c r="P2377" i="1"/>
  <c r="Q2377" i="1" s="1"/>
  <c r="P622" i="1"/>
  <c r="Q622" i="1" s="1"/>
  <c r="P1719" i="1"/>
  <c r="Q1719" i="1" s="1"/>
  <c r="P3141" i="1"/>
  <c r="Q3141" i="1" s="1"/>
  <c r="P2935" i="1"/>
  <c r="Q2935" i="1" s="1"/>
  <c r="P2570" i="1"/>
  <c r="Q2570" i="1" s="1"/>
  <c r="P623" i="1"/>
  <c r="Q623" i="1" s="1"/>
  <c r="P4196" i="1"/>
  <c r="Q4196" i="1" s="1"/>
  <c r="P3345" i="1"/>
  <c r="Q3345" i="1" s="1"/>
  <c r="P2571" i="1"/>
  <c r="Q2571" i="1" s="1"/>
  <c r="P624" i="1"/>
  <c r="Q624" i="1" s="1"/>
  <c r="P625" i="1"/>
  <c r="Q625" i="1" s="1"/>
  <c r="P3796" i="1"/>
  <c r="Q3796" i="1" s="1"/>
  <c r="P2936" i="1"/>
  <c r="Q2936" i="1" s="1"/>
  <c r="P2572" i="1"/>
  <c r="Q2572" i="1" s="1"/>
  <c r="P2896" i="1"/>
  <c r="Q2896" i="1" s="1"/>
  <c r="P4330" i="1"/>
  <c r="Q4330" i="1" s="1"/>
  <c r="P2431" i="1"/>
  <c r="Q2431" i="1" s="1"/>
  <c r="P626" i="1"/>
  <c r="Q626" i="1" s="1"/>
  <c r="P627" i="1"/>
  <c r="Q627" i="1" s="1"/>
  <c r="P628" i="1"/>
  <c r="Q628" i="1" s="1"/>
  <c r="P629" i="1"/>
  <c r="Q629" i="1" s="1"/>
  <c r="P2270" i="1"/>
  <c r="Q2270" i="1" s="1"/>
  <c r="P3346" i="1"/>
  <c r="Q3346" i="1" s="1"/>
  <c r="P4250" i="1"/>
  <c r="Q4250" i="1" s="1"/>
  <c r="P630" i="1"/>
  <c r="Q630" i="1" s="1"/>
  <c r="P4159" i="1"/>
  <c r="Q4159" i="1" s="1"/>
  <c r="P3233" i="1"/>
  <c r="Q3233" i="1" s="1"/>
  <c r="P631" i="1"/>
  <c r="Q631" i="1" s="1"/>
  <c r="P2843" i="1"/>
  <c r="Q2843" i="1" s="1"/>
  <c r="P632" i="1"/>
  <c r="Q632" i="1" s="1"/>
  <c r="P633" i="1"/>
  <c r="Q633" i="1" s="1"/>
  <c r="P1935" i="1"/>
  <c r="Q1935" i="1" s="1"/>
  <c r="P3347" i="1"/>
  <c r="Q3347" i="1" s="1"/>
  <c r="P4233" i="1"/>
  <c r="Q4233" i="1" s="1"/>
  <c r="P4192" i="1"/>
  <c r="Q4192" i="1" s="1"/>
  <c r="P4251" i="1"/>
  <c r="Q4251" i="1" s="1"/>
  <c r="P3281" i="1"/>
  <c r="Q3281" i="1" s="1"/>
  <c r="P2937" i="1"/>
  <c r="Q2937" i="1" s="1"/>
  <c r="P2938" i="1"/>
  <c r="Q2938" i="1" s="1"/>
  <c r="P2031" i="1"/>
  <c r="Q2031" i="1" s="1"/>
  <c r="P3180" i="1"/>
  <c r="Q3180" i="1" s="1"/>
  <c r="P306" i="1"/>
  <c r="Q306" i="1" s="1"/>
  <c r="P4331" i="1"/>
  <c r="Q4331" i="1" s="1"/>
  <c r="P634" i="1"/>
  <c r="Q634" i="1" s="1"/>
  <c r="P3797" i="1"/>
  <c r="Q3797" i="1" s="1"/>
  <c r="P3154" i="1"/>
  <c r="Q3154" i="1" s="1"/>
  <c r="P3831" i="1"/>
  <c r="Q3831" i="1" s="1"/>
  <c r="P2271" i="1"/>
  <c r="Q2271" i="1" s="1"/>
  <c r="P3348" i="1"/>
  <c r="Q3348" i="1" s="1"/>
  <c r="P2432" i="1"/>
  <c r="Q2432" i="1" s="1"/>
  <c r="P635" i="1"/>
  <c r="Q635" i="1" s="1"/>
  <c r="P4200" i="1"/>
  <c r="Q4200" i="1" s="1"/>
  <c r="P307" i="1"/>
  <c r="Q307" i="1" s="1"/>
  <c r="P2573" i="1"/>
  <c r="Q2573" i="1" s="1"/>
  <c r="P1833" i="1"/>
  <c r="Q1833" i="1" s="1"/>
  <c r="P2574" i="1"/>
  <c r="Q2574" i="1" s="1"/>
  <c r="P636" i="1"/>
  <c r="Q636" i="1" s="1"/>
  <c r="P637" i="1"/>
  <c r="Q637" i="1" s="1"/>
  <c r="P638" i="1"/>
  <c r="Q638" i="1" s="1"/>
  <c r="P639" i="1"/>
  <c r="Q639" i="1" s="1"/>
  <c r="P2195" i="1"/>
  <c r="Q2195" i="1" s="1"/>
  <c r="P4201" i="1"/>
  <c r="Q4201" i="1" s="1"/>
  <c r="P2032" i="1"/>
  <c r="Q2032" i="1" s="1"/>
  <c r="P640" i="1"/>
  <c r="Q640" i="1" s="1"/>
  <c r="P641" i="1"/>
  <c r="Q641" i="1" s="1"/>
  <c r="P642" i="1"/>
  <c r="Q642" i="1" s="1"/>
  <c r="P2575" i="1"/>
  <c r="Q2575" i="1" s="1"/>
  <c r="P308" i="1"/>
  <c r="Q308" i="1" s="1"/>
  <c r="P1720" i="1"/>
  <c r="Q1720" i="1" s="1"/>
  <c r="P643" i="1"/>
  <c r="Q643" i="1" s="1"/>
  <c r="P644" i="1"/>
  <c r="Q644" i="1" s="1"/>
  <c r="P3349" i="1"/>
  <c r="Q3349" i="1" s="1"/>
  <c r="P645" i="1"/>
  <c r="Q645" i="1" s="1"/>
  <c r="P646" i="1"/>
  <c r="Q646" i="1" s="1"/>
  <c r="P3350" i="1"/>
  <c r="Q3350" i="1" s="1"/>
  <c r="P647" i="1"/>
  <c r="Q647" i="1" s="1"/>
  <c r="P2939" i="1"/>
  <c r="Q2939" i="1" s="1"/>
  <c r="P648" i="1"/>
  <c r="Q648" i="1" s="1"/>
  <c r="P1936" i="1"/>
  <c r="Q1936" i="1" s="1"/>
  <c r="P649" i="1"/>
  <c r="Q649" i="1" s="1"/>
  <c r="P1721" i="1"/>
  <c r="Q1721" i="1" s="1"/>
  <c r="P3351" i="1"/>
  <c r="Q3351" i="1" s="1"/>
  <c r="P2940" i="1"/>
  <c r="Q2940" i="1" s="1"/>
  <c r="P650" i="1"/>
  <c r="Q650" i="1" s="1"/>
  <c r="P2576" i="1"/>
  <c r="Q2576" i="1" s="1"/>
  <c r="P3142" i="1"/>
  <c r="Q3142" i="1" s="1"/>
  <c r="P651" i="1"/>
  <c r="Q651" i="1" s="1"/>
  <c r="P2433" i="1"/>
  <c r="Q2433" i="1" s="1"/>
  <c r="P3352" i="1"/>
  <c r="Q3352" i="1" s="1"/>
  <c r="P4332" i="1"/>
  <c r="Q4332" i="1" s="1"/>
  <c r="P2941" i="1"/>
  <c r="Q2941" i="1" s="1"/>
  <c r="P652" i="1"/>
  <c r="Q652" i="1" s="1"/>
  <c r="P2942" i="1"/>
  <c r="Q2942" i="1" s="1"/>
  <c r="P2882" i="1"/>
  <c r="Q2882" i="1" s="1"/>
  <c r="P653" i="1"/>
  <c r="Q653" i="1" s="1"/>
  <c r="P309" i="1"/>
  <c r="Q309" i="1" s="1"/>
  <c r="P2033" i="1"/>
  <c r="Q2033" i="1" s="1"/>
  <c r="P3353" i="1"/>
  <c r="Q3353" i="1" s="1"/>
  <c r="P654" i="1"/>
  <c r="Q654" i="1" s="1"/>
  <c r="P655" i="1"/>
  <c r="Q655" i="1" s="1"/>
  <c r="P656" i="1"/>
  <c r="Q656" i="1" s="1"/>
  <c r="P3354" i="1"/>
  <c r="Q3354" i="1" s="1"/>
  <c r="P2943" i="1"/>
  <c r="Q2943" i="1" s="1"/>
  <c r="P2344" i="1"/>
  <c r="Q2344" i="1" s="1"/>
  <c r="P299" i="1"/>
  <c r="Q299" i="1" s="1"/>
  <c r="P2797" i="1"/>
  <c r="Q2797" i="1" s="1"/>
  <c r="P1834" i="1"/>
  <c r="Q1834" i="1" s="1"/>
  <c r="P4333" i="1"/>
  <c r="Q4333" i="1" s="1"/>
  <c r="P3355" i="1"/>
  <c r="Q3355" i="1" s="1"/>
  <c r="P2944" i="1"/>
  <c r="Q2944" i="1" s="1"/>
  <c r="P657" i="1"/>
  <c r="Q657" i="1" s="1"/>
  <c r="P2945" i="1"/>
  <c r="Q2945" i="1" s="1"/>
  <c r="P3856" i="1"/>
  <c r="Q3856" i="1" s="1"/>
  <c r="P658" i="1"/>
  <c r="Q658" i="1" s="1"/>
  <c r="P659" i="1"/>
  <c r="Q659" i="1" s="1"/>
  <c r="P2034" i="1"/>
  <c r="Q2034" i="1" s="1"/>
  <c r="P2827" i="1"/>
  <c r="Q2827" i="1" s="1"/>
  <c r="P660" i="1"/>
  <c r="Q660" i="1" s="1"/>
  <c r="P2577" i="1"/>
  <c r="Q2577" i="1" s="1"/>
  <c r="P661" i="1"/>
  <c r="Q661" i="1" s="1"/>
  <c r="P257" i="1"/>
  <c r="Q257" i="1" s="1"/>
  <c r="P2883" i="1"/>
  <c r="Q2883" i="1" s="1"/>
  <c r="P2035" i="1"/>
  <c r="Q2035" i="1" s="1"/>
  <c r="P662" i="1"/>
  <c r="Q662" i="1" s="1"/>
  <c r="P1937" i="1"/>
  <c r="Q1937" i="1" s="1"/>
  <c r="P663" i="1"/>
  <c r="Q663" i="1" s="1"/>
  <c r="P3857" i="1"/>
  <c r="Q3857" i="1" s="1"/>
  <c r="P2578" i="1"/>
  <c r="Q2578" i="1" s="1"/>
  <c r="P2036" i="1"/>
  <c r="Q2036" i="1" s="1"/>
  <c r="P2378" i="1"/>
  <c r="Q2378" i="1" s="1"/>
  <c r="P3257" i="1"/>
  <c r="Q3257" i="1" s="1"/>
  <c r="P2579" i="1"/>
  <c r="Q2579" i="1" s="1"/>
  <c r="P1722" i="1"/>
  <c r="Q1722" i="1" s="1"/>
  <c r="P409" i="1"/>
  <c r="Q409" i="1" s="1"/>
  <c r="P664" i="1"/>
  <c r="Q664" i="1" s="1"/>
  <c r="P665" i="1"/>
  <c r="Q665" i="1" s="1"/>
  <c r="P260" i="1"/>
  <c r="Q260" i="1" s="1"/>
  <c r="P496" i="1"/>
  <c r="Q496" i="1" s="1"/>
  <c r="P2434" i="1"/>
  <c r="Q2434" i="1" s="1"/>
  <c r="P2946" i="1"/>
  <c r="Q2946" i="1" s="1"/>
  <c r="P666" i="1"/>
  <c r="Q666" i="1" s="1"/>
  <c r="P2947" i="1"/>
  <c r="Q2947" i="1" s="1"/>
  <c r="P4160" i="1"/>
  <c r="Q4160" i="1" s="1"/>
  <c r="P310" i="1"/>
  <c r="Q310" i="1" s="1"/>
  <c r="P667" i="1"/>
  <c r="Q667" i="1" s="1"/>
  <c r="P2037" i="1"/>
  <c r="Q2037" i="1" s="1"/>
  <c r="P2345" i="1"/>
  <c r="Q2345" i="1" s="1"/>
  <c r="P3356" i="1"/>
  <c r="Q3356" i="1" s="1"/>
  <c r="P3357" i="1"/>
  <c r="Q3357" i="1" s="1"/>
  <c r="P668" i="1"/>
  <c r="Q668" i="1" s="1"/>
  <c r="P1938" i="1"/>
  <c r="Q1938" i="1" s="1"/>
  <c r="P3358" i="1"/>
  <c r="Q3358" i="1" s="1"/>
  <c r="P3359" i="1"/>
  <c r="Q3359" i="1" s="1"/>
  <c r="P669" i="1"/>
  <c r="Q669" i="1" s="1"/>
  <c r="P3360" i="1"/>
  <c r="Q3360" i="1" s="1"/>
  <c r="P2038" i="1"/>
  <c r="Q2038" i="1" s="1"/>
  <c r="P2580" i="1"/>
  <c r="Q2580" i="1" s="1"/>
  <c r="P311" i="1"/>
  <c r="Q311" i="1" s="1"/>
  <c r="P670" i="1"/>
  <c r="Q670" i="1" s="1"/>
  <c r="P1939" i="1"/>
  <c r="Q1939" i="1" s="1"/>
  <c r="P2346" i="1"/>
  <c r="Q2346" i="1" s="1"/>
  <c r="P671" i="1"/>
  <c r="Q671" i="1" s="1"/>
  <c r="P2861" i="1"/>
  <c r="Q2861" i="1" s="1"/>
  <c r="P2435" i="1"/>
  <c r="Q2435" i="1" s="1"/>
  <c r="P672" i="1"/>
  <c r="Q672" i="1" s="1"/>
  <c r="P3282" i="1"/>
  <c r="Q3282" i="1" s="1"/>
  <c r="P3361" i="1"/>
  <c r="Q3361" i="1" s="1"/>
  <c r="P673" i="1"/>
  <c r="Q673" i="1" s="1"/>
  <c r="P674" i="1"/>
  <c r="Q674" i="1" s="1"/>
  <c r="P3362" i="1"/>
  <c r="Q3362" i="1" s="1"/>
  <c r="P312" i="1"/>
  <c r="Q312" i="1" s="1"/>
  <c r="P3363" i="1"/>
  <c r="Q3363" i="1" s="1"/>
  <c r="P2039" i="1"/>
  <c r="Q2039" i="1" s="1"/>
  <c r="P2948" i="1"/>
  <c r="Q2948" i="1" s="1"/>
  <c r="P3364" i="1"/>
  <c r="Q3364" i="1" s="1"/>
  <c r="P2196" i="1"/>
  <c r="Q2196" i="1" s="1"/>
  <c r="P2040" i="1"/>
  <c r="Q2040" i="1" s="1"/>
  <c r="P3365" i="1"/>
  <c r="Q3365" i="1" s="1"/>
  <c r="P1835" i="1"/>
  <c r="Q1835" i="1" s="1"/>
  <c r="P3858" i="1"/>
  <c r="Q3858" i="1" s="1"/>
  <c r="P3366" i="1"/>
  <c r="Q3366" i="1" s="1"/>
  <c r="P2041" i="1"/>
  <c r="Q2041" i="1" s="1"/>
  <c r="P4153" i="1"/>
  <c r="Q4153" i="1" s="1"/>
  <c r="P3367" i="1"/>
  <c r="Q3367" i="1" s="1"/>
  <c r="P1940" i="1"/>
  <c r="Q1940" i="1" s="1"/>
  <c r="P4334" i="1"/>
  <c r="Q4334" i="1" s="1"/>
  <c r="P1941" i="1"/>
  <c r="Q1941" i="1" s="1"/>
  <c r="P4114" i="1"/>
  <c r="Q4114" i="1" s="1"/>
  <c r="P675" i="1"/>
  <c r="Q675" i="1" s="1"/>
  <c r="P676" i="1"/>
  <c r="Q676" i="1" s="1"/>
  <c r="P2436" i="1"/>
  <c r="Q2436" i="1" s="1"/>
  <c r="P3368" i="1"/>
  <c r="Q3368" i="1" s="1"/>
  <c r="P677" i="1"/>
  <c r="Q677" i="1" s="1"/>
  <c r="P2581" i="1"/>
  <c r="Q2581" i="1" s="1"/>
  <c r="P4335" i="1"/>
  <c r="Q4335" i="1" s="1"/>
  <c r="P3369" i="1"/>
  <c r="Q3369" i="1" s="1"/>
  <c r="P2042" i="1"/>
  <c r="Q2042" i="1" s="1"/>
  <c r="P678" i="1"/>
  <c r="Q678" i="1" s="1"/>
  <c r="P4336" i="1"/>
  <c r="Q4336" i="1" s="1"/>
  <c r="P490" i="1"/>
  <c r="Q490" i="1" s="1"/>
  <c r="P2437" i="1"/>
  <c r="Q2437" i="1" s="1"/>
  <c r="P679" i="1"/>
  <c r="Q679" i="1" s="1"/>
  <c r="P680" i="1"/>
  <c r="Q680" i="1" s="1"/>
  <c r="P3370" i="1"/>
  <c r="Q3370" i="1" s="1"/>
  <c r="P2438" i="1"/>
  <c r="Q2438" i="1" s="1"/>
  <c r="P3371" i="1"/>
  <c r="Q3371" i="1" s="1"/>
  <c r="P4337" i="1"/>
  <c r="Q4337" i="1" s="1"/>
  <c r="P2949" i="1"/>
  <c r="Q2949" i="1" s="1"/>
  <c r="P2043" i="1"/>
  <c r="Q2043" i="1" s="1"/>
  <c r="P4161" i="1"/>
  <c r="Q4161" i="1" s="1"/>
  <c r="P3372" i="1"/>
  <c r="Q3372" i="1" s="1"/>
  <c r="P3207" i="1"/>
  <c r="Q3207" i="1" s="1"/>
  <c r="P681" i="1"/>
  <c r="Q681" i="1" s="1"/>
  <c r="P1836" i="1"/>
  <c r="Q1836" i="1" s="1"/>
  <c r="P682" i="1"/>
  <c r="Q682" i="1" s="1"/>
  <c r="P2582" i="1"/>
  <c r="Q2582" i="1" s="1"/>
  <c r="P3373" i="1"/>
  <c r="Q3373" i="1" s="1"/>
  <c r="P2272" i="1"/>
  <c r="Q2272" i="1" s="1"/>
  <c r="P4338" i="1"/>
  <c r="Q4338" i="1" s="1"/>
  <c r="P683" i="1"/>
  <c r="Q683" i="1" s="1"/>
  <c r="P2439" i="1"/>
  <c r="Q2439" i="1" s="1"/>
  <c r="P684" i="1"/>
  <c r="Q684" i="1" s="1"/>
  <c r="P4023" i="1"/>
  <c r="Q4023" i="1" s="1"/>
  <c r="P685" i="1"/>
  <c r="Q685" i="1" s="1"/>
  <c r="P686" i="1"/>
  <c r="Q686" i="1" s="1"/>
  <c r="P4339" i="1"/>
  <c r="Q4339" i="1" s="1"/>
  <c r="P3374" i="1"/>
  <c r="Q3374" i="1" s="1"/>
  <c r="P2379" i="1"/>
  <c r="Q2379" i="1" s="1"/>
  <c r="P687" i="1"/>
  <c r="Q687" i="1" s="1"/>
  <c r="P4252" i="1"/>
  <c r="Q4252" i="1" s="1"/>
  <c r="P3375" i="1"/>
  <c r="Q3375" i="1" s="1"/>
  <c r="P2583" i="1"/>
  <c r="Q2583" i="1" s="1"/>
  <c r="P688" i="1"/>
  <c r="Q688" i="1" s="1"/>
  <c r="P2044" i="1"/>
  <c r="Q2044" i="1" s="1"/>
  <c r="P1942" i="1"/>
  <c r="Q1942" i="1" s="1"/>
  <c r="P689" i="1"/>
  <c r="Q689" i="1" s="1"/>
  <c r="P690" i="1"/>
  <c r="Q690" i="1" s="1"/>
  <c r="P691" i="1"/>
  <c r="Q691" i="1" s="1"/>
  <c r="P692" i="1"/>
  <c r="Q692" i="1" s="1"/>
  <c r="P2248" i="1"/>
  <c r="Q2248" i="1" s="1"/>
  <c r="P4162" i="1"/>
  <c r="Q4162" i="1" s="1"/>
  <c r="P4340" i="1"/>
  <c r="Q4340" i="1" s="1"/>
  <c r="P3258" i="1"/>
  <c r="Q3258" i="1" s="1"/>
  <c r="P3155" i="1"/>
  <c r="Q3155" i="1" s="1"/>
  <c r="P3376" i="1"/>
  <c r="Q3376" i="1" s="1"/>
  <c r="P2584" i="1"/>
  <c r="Q2584" i="1" s="1"/>
  <c r="P693" i="1"/>
  <c r="Q693" i="1" s="1"/>
  <c r="P3377" i="1"/>
  <c r="Q3377" i="1" s="1"/>
  <c r="P694" i="1"/>
  <c r="Q694" i="1" s="1"/>
  <c r="P2585" i="1"/>
  <c r="Q2585" i="1" s="1"/>
  <c r="P2950" i="1"/>
  <c r="Q2950" i="1" s="1"/>
  <c r="P695" i="1"/>
  <c r="Q695" i="1" s="1"/>
  <c r="P2586" i="1"/>
  <c r="Q2586" i="1" s="1"/>
  <c r="P4253" i="1"/>
  <c r="Q4253" i="1" s="1"/>
  <c r="P4341" i="1"/>
  <c r="Q4341" i="1" s="1"/>
  <c r="P2587" i="1"/>
  <c r="Q2587" i="1" s="1"/>
  <c r="P696" i="1"/>
  <c r="Q696" i="1" s="1"/>
  <c r="P4163" i="1"/>
  <c r="Q4163" i="1" s="1"/>
  <c r="P4136" i="1"/>
  <c r="Q4136" i="1" s="1"/>
  <c r="P697" i="1"/>
  <c r="Q697" i="1" s="1"/>
  <c r="P3181" i="1"/>
  <c r="Q3181" i="1" s="1"/>
  <c r="P410" i="1"/>
  <c r="Q410" i="1" s="1"/>
  <c r="P3776" i="1"/>
  <c r="Q3776" i="1" s="1"/>
  <c r="P2588" i="1"/>
  <c r="Q2588" i="1" s="1"/>
  <c r="P4342" i="1"/>
  <c r="Q4342" i="1" s="1"/>
  <c r="P698" i="1"/>
  <c r="Q698" i="1" s="1"/>
  <c r="P4024" i="1"/>
  <c r="Q4024" i="1" s="1"/>
  <c r="P699" i="1"/>
  <c r="Q699" i="1" s="1"/>
  <c r="P1723" i="1"/>
  <c r="Q1723" i="1" s="1"/>
  <c r="P2908" i="1"/>
  <c r="Q2908" i="1" s="1"/>
  <c r="P4343" i="1"/>
  <c r="Q4343" i="1" s="1"/>
  <c r="P2045" i="1"/>
  <c r="Q2045" i="1" s="1"/>
  <c r="P700" i="1"/>
  <c r="Q700" i="1" s="1"/>
  <c r="P701" i="1"/>
  <c r="Q701" i="1" s="1"/>
  <c r="P3378" i="1"/>
  <c r="Q3378" i="1" s="1"/>
  <c r="P702" i="1"/>
  <c r="Q702" i="1" s="1"/>
  <c r="P2589" i="1"/>
  <c r="Q2589" i="1" s="1"/>
  <c r="P2046" i="1"/>
  <c r="Q2046" i="1" s="1"/>
  <c r="P703" i="1"/>
  <c r="Q703" i="1" s="1"/>
  <c r="P1943" i="1"/>
  <c r="Q1943" i="1" s="1"/>
  <c r="P3379" i="1"/>
  <c r="Q3379" i="1" s="1"/>
  <c r="P2197" i="1"/>
  <c r="Q2197" i="1" s="1"/>
  <c r="P261" i="1"/>
  <c r="Q261" i="1" s="1"/>
  <c r="P2590" i="1"/>
  <c r="Q2590" i="1" s="1"/>
  <c r="P2951" i="1"/>
  <c r="Q2951" i="1" s="1"/>
  <c r="P1944" i="1"/>
  <c r="Q1944" i="1" s="1"/>
  <c r="P4025" i="1"/>
  <c r="Q4025" i="1" s="1"/>
  <c r="P3859" i="1"/>
  <c r="Q3859" i="1" s="1"/>
  <c r="P2198" i="1"/>
  <c r="Q2198" i="1" s="1"/>
  <c r="P2047" i="1"/>
  <c r="Q2047" i="1" s="1"/>
  <c r="P3380" i="1"/>
  <c r="Q3380" i="1" s="1"/>
  <c r="P704" i="1"/>
  <c r="Q704" i="1" s="1"/>
  <c r="P2380" i="1"/>
  <c r="Q2380" i="1" s="1"/>
  <c r="P2952" i="1"/>
  <c r="Q2952" i="1" s="1"/>
  <c r="P2953" i="1"/>
  <c r="Q2953" i="1" s="1"/>
  <c r="P2199" i="1"/>
  <c r="Q2199" i="1" s="1"/>
  <c r="P705" i="1"/>
  <c r="Q705" i="1" s="1"/>
  <c r="P2440" i="1"/>
  <c r="Q2440" i="1" s="1"/>
  <c r="P2048" i="1"/>
  <c r="Q2048" i="1" s="1"/>
  <c r="P706" i="1"/>
  <c r="Q706" i="1" s="1"/>
  <c r="P2591" i="1"/>
  <c r="Q2591" i="1" s="1"/>
  <c r="P3381" i="1"/>
  <c r="Q3381" i="1" s="1"/>
  <c r="P3382" i="1"/>
  <c r="Q3382" i="1" s="1"/>
  <c r="P411" i="1"/>
  <c r="Q411" i="1" s="1"/>
  <c r="P4344" i="1"/>
  <c r="Q4344" i="1" s="1"/>
  <c r="P707" i="1"/>
  <c r="Q707" i="1" s="1"/>
  <c r="P1724" i="1"/>
  <c r="Q1724" i="1" s="1"/>
  <c r="P2798" i="1"/>
  <c r="Q2798" i="1" s="1"/>
  <c r="P708" i="1"/>
  <c r="Q708" i="1" s="1"/>
  <c r="P3383" i="1"/>
  <c r="Q3383" i="1" s="1"/>
  <c r="P313" i="1"/>
  <c r="Q313" i="1" s="1"/>
  <c r="P709" i="1"/>
  <c r="Q709" i="1" s="1"/>
  <c r="P710" i="1"/>
  <c r="Q710" i="1" s="1"/>
  <c r="P2954" i="1"/>
  <c r="Q2954" i="1" s="1"/>
  <c r="P2381" i="1"/>
  <c r="Q2381" i="1" s="1"/>
  <c r="P711" i="1"/>
  <c r="Q711" i="1" s="1"/>
  <c r="P3860" i="1"/>
  <c r="Q3860" i="1" s="1"/>
  <c r="P3259" i="1"/>
  <c r="Q3259" i="1" s="1"/>
  <c r="P2592" i="1"/>
  <c r="Q2592" i="1" s="1"/>
  <c r="P1945" i="1"/>
  <c r="Q1945" i="1" s="1"/>
  <c r="P2884" i="1"/>
  <c r="Q2884" i="1" s="1"/>
  <c r="P712" i="1"/>
  <c r="Q712" i="1" s="1"/>
  <c r="P2901" i="1"/>
  <c r="Q2901" i="1" s="1"/>
  <c r="P2200" i="1"/>
  <c r="Q2200" i="1" s="1"/>
  <c r="P314" i="1"/>
  <c r="Q314" i="1" s="1"/>
  <c r="P3384" i="1"/>
  <c r="Q3384" i="1" s="1"/>
  <c r="P2441" i="1"/>
  <c r="Q2441" i="1" s="1"/>
  <c r="P315" i="1"/>
  <c r="Q315" i="1" s="1"/>
  <c r="P4109" i="1"/>
  <c r="Q4109" i="1" s="1"/>
  <c r="P316" i="1"/>
  <c r="Q316" i="1" s="1"/>
  <c r="P3777" i="1"/>
  <c r="Q3777" i="1" s="1"/>
  <c r="P1946" i="1"/>
  <c r="Q1946" i="1" s="1"/>
  <c r="P713" i="1"/>
  <c r="Q713" i="1" s="1"/>
  <c r="P4345" i="1"/>
  <c r="Q4345" i="1" s="1"/>
  <c r="P714" i="1"/>
  <c r="Q714" i="1" s="1"/>
  <c r="P2909" i="1"/>
  <c r="Q2909" i="1" s="1"/>
  <c r="P3208" i="1"/>
  <c r="Q3208" i="1" s="1"/>
  <c r="P715" i="1"/>
  <c r="Q715" i="1" s="1"/>
  <c r="P4254" i="1"/>
  <c r="Q4254" i="1" s="1"/>
  <c r="P716" i="1"/>
  <c r="Q716" i="1" s="1"/>
  <c r="P3385" i="1"/>
  <c r="Q3385" i="1" s="1"/>
  <c r="P1947" i="1"/>
  <c r="Q1947" i="1" s="1"/>
  <c r="P4164" i="1"/>
  <c r="Q4164" i="1" s="1"/>
  <c r="P317" i="1"/>
  <c r="Q317" i="1" s="1"/>
  <c r="P717" i="1"/>
  <c r="Q717" i="1" s="1"/>
  <c r="P2014" i="1"/>
  <c r="Q2014" i="1" s="1"/>
  <c r="P2442" i="1"/>
  <c r="Q2442" i="1" s="1"/>
  <c r="P718" i="1"/>
  <c r="Q718" i="1" s="1"/>
  <c r="P719" i="1"/>
  <c r="Q719" i="1" s="1"/>
  <c r="P720" i="1"/>
  <c r="Q720" i="1" s="1"/>
  <c r="P2955" i="1"/>
  <c r="Q2955" i="1" s="1"/>
  <c r="P721" i="1"/>
  <c r="Q721" i="1" s="1"/>
  <c r="P3386" i="1"/>
  <c r="Q3386" i="1" s="1"/>
  <c r="P722" i="1"/>
  <c r="Q722" i="1" s="1"/>
  <c r="P3387" i="1"/>
  <c r="Q3387" i="1" s="1"/>
  <c r="P4165" i="1"/>
  <c r="Q4165" i="1" s="1"/>
  <c r="P4026" i="1"/>
  <c r="Q4026" i="1" s="1"/>
  <c r="P2956" i="1"/>
  <c r="Q2956" i="1" s="1"/>
  <c r="P723" i="1"/>
  <c r="Q723" i="1" s="1"/>
  <c r="P4346" i="1"/>
  <c r="Q4346" i="1" s="1"/>
  <c r="P4347" i="1"/>
  <c r="Q4347" i="1" s="1"/>
  <c r="P2273" i="1"/>
  <c r="Q2273" i="1" s="1"/>
  <c r="P724" i="1"/>
  <c r="Q724" i="1" s="1"/>
  <c r="P1948" i="1"/>
  <c r="Q1948" i="1" s="1"/>
  <c r="P2049" i="1"/>
  <c r="Q2049" i="1" s="1"/>
  <c r="P2274" i="1"/>
  <c r="Q2274" i="1" s="1"/>
  <c r="P3388" i="1"/>
  <c r="Q3388" i="1" s="1"/>
  <c r="P4615" i="1"/>
  <c r="Q4615" i="1" s="1"/>
  <c r="P725" i="1"/>
  <c r="Q725" i="1" s="1"/>
  <c r="P726" i="1"/>
  <c r="Q726" i="1" s="1"/>
  <c r="P483" i="1"/>
  <c r="Q483" i="1" s="1"/>
  <c r="P412" i="1"/>
  <c r="Q412" i="1" s="1"/>
  <c r="P4234" i="1"/>
  <c r="Q4234" i="1" s="1"/>
  <c r="P727" i="1"/>
  <c r="Q727" i="1" s="1"/>
  <c r="P728" i="1"/>
  <c r="Q728" i="1" s="1"/>
  <c r="P729" i="1"/>
  <c r="Q729" i="1" s="1"/>
  <c r="P3199" i="1"/>
  <c r="Q3199" i="1" s="1"/>
  <c r="P1725" i="1"/>
  <c r="Q1725" i="1" s="1"/>
  <c r="P2957" i="1"/>
  <c r="Q2957" i="1" s="1"/>
  <c r="P4115" i="1"/>
  <c r="Q4115" i="1" s="1"/>
  <c r="P3389" i="1"/>
  <c r="Q3389" i="1" s="1"/>
  <c r="P4235" i="1"/>
  <c r="Q4235" i="1" s="1"/>
  <c r="P1949" i="1"/>
  <c r="Q1949" i="1" s="1"/>
  <c r="P3861" i="1"/>
  <c r="Q3861" i="1" s="1"/>
  <c r="P2242" i="1"/>
  <c r="Q2242" i="1" s="1"/>
  <c r="P3209" i="1"/>
  <c r="Q3209" i="1" s="1"/>
  <c r="P4348" i="1"/>
  <c r="Q4348" i="1" s="1"/>
  <c r="P730" i="1"/>
  <c r="Q730" i="1" s="1"/>
  <c r="P318" i="1"/>
  <c r="Q318" i="1" s="1"/>
  <c r="P2443" i="1"/>
  <c r="Q2443" i="1" s="1"/>
  <c r="P731" i="1"/>
  <c r="Q731" i="1" s="1"/>
  <c r="P239" i="1"/>
  <c r="Q239" i="1" s="1"/>
  <c r="P3778" i="1"/>
  <c r="Q3778" i="1" s="1"/>
  <c r="P3260" i="1"/>
  <c r="Q3260" i="1" s="1"/>
  <c r="P732" i="1"/>
  <c r="Q732" i="1" s="1"/>
  <c r="P2958" i="1"/>
  <c r="Q2958" i="1" s="1"/>
  <c r="P733" i="1"/>
  <c r="Q733" i="1" s="1"/>
  <c r="P734" i="1"/>
  <c r="Q734" i="1" s="1"/>
  <c r="P735" i="1"/>
  <c r="Q735" i="1" s="1"/>
  <c r="P736" i="1"/>
  <c r="Q736" i="1" s="1"/>
  <c r="P737" i="1"/>
  <c r="Q737" i="1" s="1"/>
  <c r="P4148" i="1"/>
  <c r="Q4148" i="1" s="1"/>
  <c r="P413" i="1"/>
  <c r="Q413" i="1" s="1"/>
  <c r="P738" i="1"/>
  <c r="Q738" i="1" s="1"/>
  <c r="P3846" i="1"/>
  <c r="Q3846" i="1" s="1"/>
  <c r="P739" i="1"/>
  <c r="Q739" i="1" s="1"/>
  <c r="P414" i="1"/>
  <c r="Q414" i="1" s="1"/>
  <c r="P2201" i="1"/>
  <c r="Q2201" i="1" s="1"/>
  <c r="P1837" i="1"/>
  <c r="Q1837" i="1" s="1"/>
  <c r="P740" i="1"/>
  <c r="Q740" i="1" s="1"/>
  <c r="P741" i="1"/>
  <c r="Q741" i="1" s="1"/>
  <c r="P2275" i="1"/>
  <c r="Q2275" i="1" s="1"/>
  <c r="P2959" i="1"/>
  <c r="Q2959" i="1" s="1"/>
  <c r="P2382" i="1"/>
  <c r="Q2382" i="1" s="1"/>
  <c r="P742" i="1"/>
  <c r="Q742" i="1" s="1"/>
  <c r="P743" i="1"/>
  <c r="Q743" i="1" s="1"/>
  <c r="P4202" i="1"/>
  <c r="Q4202" i="1" s="1"/>
  <c r="P4027" i="1"/>
  <c r="Q4027" i="1" s="1"/>
  <c r="P744" i="1"/>
  <c r="Q744" i="1" s="1"/>
  <c r="P745" i="1"/>
  <c r="Q745" i="1" s="1"/>
  <c r="P2593" i="1"/>
  <c r="Q2593" i="1" s="1"/>
  <c r="P2960" i="1"/>
  <c r="Q2960" i="1" s="1"/>
  <c r="P746" i="1"/>
  <c r="Q746" i="1" s="1"/>
  <c r="P747" i="1"/>
  <c r="Q747" i="1" s="1"/>
  <c r="P748" i="1"/>
  <c r="Q748" i="1" s="1"/>
  <c r="P749" i="1"/>
  <c r="Q749" i="1" s="1"/>
  <c r="P750" i="1"/>
  <c r="Q750" i="1" s="1"/>
  <c r="P751" i="1"/>
  <c r="Q751" i="1" s="1"/>
  <c r="P2202" i="1"/>
  <c r="Q2202" i="1" s="1"/>
  <c r="P752" i="1"/>
  <c r="Q752" i="1" s="1"/>
  <c r="P4203" i="1"/>
  <c r="Q4203" i="1" s="1"/>
  <c r="P3862" i="1"/>
  <c r="Q3862" i="1" s="1"/>
  <c r="P753" i="1"/>
  <c r="Q753" i="1" s="1"/>
  <c r="P1838" i="1"/>
  <c r="Q1838" i="1" s="1"/>
  <c r="P754" i="1"/>
  <c r="Q754" i="1" s="1"/>
  <c r="P2594" i="1"/>
  <c r="Q2594" i="1" s="1"/>
  <c r="P415" i="1"/>
  <c r="Q415" i="1" s="1"/>
  <c r="P2961" i="1"/>
  <c r="Q2961" i="1" s="1"/>
  <c r="P2444" i="1"/>
  <c r="Q2444" i="1" s="1"/>
  <c r="P755" i="1"/>
  <c r="Q755" i="1" s="1"/>
  <c r="P756" i="1"/>
  <c r="Q756" i="1" s="1"/>
  <c r="P757" i="1"/>
  <c r="Q757" i="1" s="1"/>
  <c r="P2347" i="1"/>
  <c r="Q2347" i="1" s="1"/>
  <c r="P497" i="1"/>
  <c r="Q497" i="1" s="1"/>
  <c r="P758" i="1"/>
  <c r="Q758" i="1" s="1"/>
  <c r="P3390" i="1"/>
  <c r="Q3390" i="1" s="1"/>
  <c r="P759" i="1"/>
  <c r="Q759" i="1" s="1"/>
  <c r="P2910" i="1"/>
  <c r="Q2910" i="1" s="1"/>
  <c r="P760" i="1"/>
  <c r="Q760" i="1" s="1"/>
  <c r="P2595" i="1"/>
  <c r="Q2595" i="1" s="1"/>
  <c r="P761" i="1"/>
  <c r="Q761" i="1" s="1"/>
  <c r="P762" i="1"/>
  <c r="Q762" i="1" s="1"/>
  <c r="P763" i="1"/>
  <c r="Q763" i="1" s="1"/>
  <c r="P764" i="1"/>
  <c r="Q764" i="1" s="1"/>
  <c r="P1726" i="1"/>
  <c r="Q1726" i="1" s="1"/>
  <c r="P765" i="1"/>
  <c r="Q765" i="1" s="1"/>
  <c r="P1950" i="1"/>
  <c r="Q1950" i="1" s="1"/>
  <c r="P4113" i="1"/>
  <c r="Q4113" i="1" s="1"/>
  <c r="P4028" i="1"/>
  <c r="Q4028" i="1" s="1"/>
  <c r="P2445" i="1"/>
  <c r="Q2445" i="1" s="1"/>
  <c r="P766" i="1"/>
  <c r="Q766" i="1" s="1"/>
  <c r="P767" i="1"/>
  <c r="Q767" i="1" s="1"/>
  <c r="P768" i="1"/>
  <c r="Q768" i="1" s="1"/>
  <c r="P2446" i="1"/>
  <c r="Q2446" i="1" s="1"/>
  <c r="P3391" i="1"/>
  <c r="Q3391" i="1" s="1"/>
  <c r="P2962" i="1"/>
  <c r="Q2962" i="1" s="1"/>
  <c r="P4349" i="1"/>
  <c r="Q4349" i="1" s="1"/>
  <c r="P2348" i="1"/>
  <c r="Q2348" i="1" s="1"/>
  <c r="P769" i="1"/>
  <c r="Q769" i="1" s="1"/>
  <c r="P2963" i="1"/>
  <c r="Q2963" i="1" s="1"/>
  <c r="P4255" i="1"/>
  <c r="Q4255" i="1" s="1"/>
  <c r="P770" i="1"/>
  <c r="Q770" i="1" s="1"/>
  <c r="P771" i="1"/>
  <c r="Q771" i="1" s="1"/>
  <c r="P772" i="1"/>
  <c r="Q772" i="1" s="1"/>
  <c r="P773" i="1"/>
  <c r="Q773" i="1" s="1"/>
  <c r="P774" i="1"/>
  <c r="Q774" i="1" s="1"/>
  <c r="P4350" i="1"/>
  <c r="Q4350" i="1" s="1"/>
  <c r="P3795" i="1"/>
  <c r="Q3795" i="1" s="1"/>
  <c r="P2596" i="1"/>
  <c r="Q2596" i="1" s="1"/>
  <c r="P1727" i="1"/>
  <c r="Q1727" i="1" s="1"/>
  <c r="P1839" i="1"/>
  <c r="Q1839" i="1" s="1"/>
  <c r="P775" i="1"/>
  <c r="Q775" i="1" s="1"/>
  <c r="P2249" i="1"/>
  <c r="Q2249" i="1" s="1"/>
  <c r="P776" i="1"/>
  <c r="Q776" i="1" s="1"/>
  <c r="P319" i="1"/>
  <c r="Q319" i="1" s="1"/>
  <c r="P3863" i="1"/>
  <c r="Q3863" i="1" s="1"/>
  <c r="P777" i="1"/>
  <c r="Q777" i="1" s="1"/>
  <c r="P778" i="1"/>
  <c r="Q778" i="1" s="1"/>
  <c r="P779" i="1"/>
  <c r="Q779" i="1" s="1"/>
  <c r="P2203" i="1"/>
  <c r="Q2203" i="1" s="1"/>
  <c r="P320" i="1"/>
  <c r="Q320" i="1" s="1"/>
  <c r="P2964" i="1"/>
  <c r="Q2964" i="1" s="1"/>
  <c r="P4185" i="1"/>
  <c r="Q4185" i="1" s="1"/>
  <c r="P4617" i="1"/>
  <c r="Q4617" i="1" s="1"/>
  <c r="P780" i="1"/>
  <c r="Q780" i="1" s="1"/>
  <c r="P2276" i="1"/>
  <c r="Q2276" i="1" s="1"/>
  <c r="P2349" i="1"/>
  <c r="Q2349" i="1" s="1"/>
  <c r="P4351" i="1"/>
  <c r="Q4351" i="1" s="1"/>
  <c r="P2447" i="1"/>
  <c r="Q2447" i="1" s="1"/>
  <c r="P781" i="1"/>
  <c r="Q781" i="1" s="1"/>
  <c r="P782" i="1"/>
  <c r="Q782" i="1" s="1"/>
  <c r="P783" i="1"/>
  <c r="Q783" i="1" s="1"/>
  <c r="P784" i="1"/>
  <c r="Q784" i="1" s="1"/>
  <c r="P785" i="1"/>
  <c r="Q785" i="1" s="1"/>
  <c r="P484" i="1"/>
  <c r="Q484" i="1" s="1"/>
  <c r="P1840" i="1"/>
  <c r="Q1840" i="1" s="1"/>
  <c r="P2050" i="1"/>
  <c r="Q2050" i="1" s="1"/>
  <c r="P786" i="1"/>
  <c r="Q786" i="1" s="1"/>
  <c r="P3392" i="1"/>
  <c r="Q3392" i="1" s="1"/>
  <c r="P2597" i="1"/>
  <c r="Q2597" i="1" s="1"/>
  <c r="P2598" i="1"/>
  <c r="Q2598" i="1" s="1"/>
  <c r="P3393" i="1"/>
  <c r="Q3393" i="1" s="1"/>
  <c r="P1951" i="1"/>
  <c r="Q1951" i="1" s="1"/>
  <c r="P416" i="1"/>
  <c r="Q416" i="1" s="1"/>
  <c r="P3200" i="1"/>
  <c r="Q3200" i="1" s="1"/>
  <c r="P787" i="1"/>
  <c r="Q787" i="1" s="1"/>
  <c r="P2844" i="1"/>
  <c r="Q2844" i="1" s="1"/>
  <c r="P3394" i="1"/>
  <c r="Q3394" i="1" s="1"/>
  <c r="P3864" i="1"/>
  <c r="Q3864" i="1" s="1"/>
  <c r="P788" i="1"/>
  <c r="Q788" i="1" s="1"/>
  <c r="P789" i="1"/>
  <c r="Q789" i="1" s="1"/>
  <c r="P2599" i="1"/>
  <c r="Q2599" i="1" s="1"/>
  <c r="P790" i="1"/>
  <c r="Q790" i="1" s="1"/>
  <c r="P2204" i="1"/>
  <c r="Q2204" i="1" s="1"/>
  <c r="P3395" i="1"/>
  <c r="Q3395" i="1" s="1"/>
  <c r="P2965" i="1"/>
  <c r="Q2965" i="1" s="1"/>
  <c r="P791" i="1"/>
  <c r="Q791" i="1" s="1"/>
  <c r="P792" i="1"/>
  <c r="Q792" i="1" s="1"/>
  <c r="P3865" i="1"/>
  <c r="Q3865" i="1" s="1"/>
  <c r="P793" i="1"/>
  <c r="Q793" i="1" s="1"/>
  <c r="P794" i="1"/>
  <c r="Q794" i="1" s="1"/>
  <c r="P4029" i="1"/>
  <c r="Q4029" i="1" s="1"/>
  <c r="P2966" i="1"/>
  <c r="Q2966" i="1" s="1"/>
  <c r="P3396" i="1"/>
  <c r="Q3396" i="1" s="1"/>
  <c r="P2600" i="1"/>
  <c r="Q2600" i="1" s="1"/>
  <c r="P4256" i="1"/>
  <c r="Q4256" i="1" s="1"/>
  <c r="P2601" i="1"/>
  <c r="Q2601" i="1" s="1"/>
  <c r="P795" i="1"/>
  <c r="Q795" i="1" s="1"/>
  <c r="P796" i="1"/>
  <c r="Q796" i="1" s="1"/>
  <c r="P3397" i="1"/>
  <c r="Q3397" i="1" s="1"/>
  <c r="P2840" i="1"/>
  <c r="Q2840" i="1" s="1"/>
  <c r="P3398" i="1"/>
  <c r="Q3398" i="1" s="1"/>
  <c r="P2602" i="1"/>
  <c r="Q2602" i="1" s="1"/>
  <c r="P797" i="1"/>
  <c r="Q797" i="1" s="1"/>
  <c r="P2603" i="1"/>
  <c r="Q2603" i="1" s="1"/>
  <c r="P3399" i="1"/>
  <c r="Q3399" i="1" s="1"/>
  <c r="P2448" i="1"/>
  <c r="Q2448" i="1" s="1"/>
  <c r="P262" i="1"/>
  <c r="Q262" i="1" s="1"/>
  <c r="P417" i="1"/>
  <c r="Q417" i="1" s="1"/>
  <c r="P418" i="1"/>
  <c r="Q418" i="1" s="1"/>
  <c r="P4352" i="1"/>
  <c r="Q4352" i="1" s="1"/>
  <c r="P4353" i="1"/>
  <c r="Q4353" i="1" s="1"/>
  <c r="P798" i="1"/>
  <c r="Q798" i="1" s="1"/>
  <c r="P2051" i="1"/>
  <c r="Q2051" i="1" s="1"/>
  <c r="P3866" i="1"/>
  <c r="Q3866" i="1" s="1"/>
  <c r="P799" i="1"/>
  <c r="Q799" i="1" s="1"/>
  <c r="P800" i="1"/>
  <c r="Q800" i="1" s="1"/>
  <c r="P1728" i="1"/>
  <c r="Q1728" i="1" s="1"/>
  <c r="P2250" i="1"/>
  <c r="Q2250" i="1" s="1"/>
  <c r="P3234" i="1"/>
  <c r="Q3234" i="1" s="1"/>
  <c r="P2449" i="1"/>
  <c r="Q2449" i="1" s="1"/>
  <c r="P3867" i="1"/>
  <c r="Q3867" i="1" s="1"/>
  <c r="P801" i="1"/>
  <c r="Q801" i="1" s="1"/>
  <c r="P4354" i="1"/>
  <c r="Q4354" i="1" s="1"/>
  <c r="P802" i="1"/>
  <c r="Q802" i="1" s="1"/>
  <c r="P1729" i="1"/>
  <c r="Q1729" i="1" s="1"/>
  <c r="P4030" i="1"/>
  <c r="Q4030" i="1" s="1"/>
  <c r="P2205" i="1"/>
  <c r="Q2205" i="1" s="1"/>
  <c r="P2277" i="1"/>
  <c r="Q2277" i="1" s="1"/>
  <c r="P1708" i="1"/>
  <c r="Q1708" i="1" s="1"/>
  <c r="P1952" i="1"/>
  <c r="Q1952" i="1" s="1"/>
  <c r="P803" i="1"/>
  <c r="Q803" i="1" s="1"/>
  <c r="P3176" i="1"/>
  <c r="Q3176" i="1" s="1"/>
  <c r="P804" i="1"/>
  <c r="Q804" i="1" s="1"/>
  <c r="P1841" i="1"/>
  <c r="Q1841" i="1" s="1"/>
  <c r="P4031" i="1"/>
  <c r="Q4031" i="1" s="1"/>
  <c r="P805" i="1"/>
  <c r="Q805" i="1" s="1"/>
  <c r="P3868" i="1"/>
  <c r="Q3868" i="1" s="1"/>
  <c r="P2799" i="1"/>
  <c r="Q2799" i="1" s="1"/>
  <c r="P806" i="1"/>
  <c r="Q806" i="1" s="1"/>
  <c r="P498" i="1"/>
  <c r="Q498" i="1" s="1"/>
  <c r="P807" i="1"/>
  <c r="Q807" i="1" s="1"/>
  <c r="P2235" i="1"/>
  <c r="Q2235" i="1" s="1"/>
  <c r="P321" i="1"/>
  <c r="Q321" i="1" s="1"/>
  <c r="P808" i="1"/>
  <c r="Q808" i="1" s="1"/>
  <c r="P1842" i="1"/>
  <c r="Q1842" i="1" s="1"/>
  <c r="P2052" i="1"/>
  <c r="Q2052" i="1" s="1"/>
  <c r="P4355" i="1"/>
  <c r="Q4355" i="1" s="1"/>
  <c r="P4356" i="1"/>
  <c r="Q4356" i="1" s="1"/>
  <c r="P2053" i="1"/>
  <c r="Q2053" i="1" s="1"/>
  <c r="P2383" i="1"/>
  <c r="Q2383" i="1" s="1"/>
  <c r="P809" i="1"/>
  <c r="Q809" i="1" s="1"/>
  <c r="P810" i="1"/>
  <c r="Q810" i="1" s="1"/>
  <c r="P2604" i="1"/>
  <c r="Q2604" i="1" s="1"/>
  <c r="P2605" i="1"/>
  <c r="Q2605" i="1" s="1"/>
  <c r="P811" i="1"/>
  <c r="Q811" i="1" s="1"/>
  <c r="P812" i="1"/>
  <c r="Q812" i="1" s="1"/>
  <c r="P813" i="1"/>
  <c r="Q813" i="1" s="1"/>
  <c r="P2606" i="1"/>
  <c r="Q2606" i="1" s="1"/>
  <c r="P3841" i="1"/>
  <c r="Q3841" i="1" s="1"/>
  <c r="P814" i="1"/>
  <c r="Q814" i="1" s="1"/>
  <c r="P263" i="1"/>
  <c r="Q263" i="1" s="1"/>
  <c r="P3400" i="1"/>
  <c r="Q3400" i="1" s="1"/>
  <c r="P3832" i="1"/>
  <c r="Q3832" i="1" s="1"/>
  <c r="P2607" i="1"/>
  <c r="Q2607" i="1" s="1"/>
  <c r="P815" i="1"/>
  <c r="Q815" i="1" s="1"/>
  <c r="P816" i="1"/>
  <c r="Q816" i="1" s="1"/>
  <c r="P817" i="1"/>
  <c r="Q817" i="1" s="1"/>
  <c r="P3401" i="1"/>
  <c r="Q3401" i="1" s="1"/>
  <c r="P4012" i="1"/>
  <c r="Q4012" i="1" s="1"/>
  <c r="P818" i="1"/>
  <c r="Q818" i="1" s="1"/>
  <c r="P2608" i="1"/>
  <c r="Q2608" i="1" s="1"/>
  <c r="P3869" i="1"/>
  <c r="Q3869" i="1" s="1"/>
  <c r="P819" i="1"/>
  <c r="Q819" i="1" s="1"/>
  <c r="P2054" i="1"/>
  <c r="Q2054" i="1" s="1"/>
  <c r="P2055" i="1"/>
  <c r="Q2055" i="1" s="1"/>
  <c r="P3870" i="1"/>
  <c r="Q3870" i="1" s="1"/>
  <c r="P3182" i="1"/>
  <c r="Q3182" i="1" s="1"/>
  <c r="P2792" i="1"/>
  <c r="Q2792" i="1" s="1"/>
  <c r="P3402" i="1"/>
  <c r="Q3402" i="1" s="1"/>
  <c r="P3798" i="1"/>
  <c r="Q3798" i="1" s="1"/>
  <c r="P3156" i="1"/>
  <c r="Q3156" i="1" s="1"/>
  <c r="P3403" i="1"/>
  <c r="Q3403" i="1" s="1"/>
  <c r="P2609" i="1"/>
  <c r="Q2609" i="1" s="1"/>
  <c r="P322" i="1"/>
  <c r="Q322" i="1" s="1"/>
  <c r="P3404" i="1"/>
  <c r="Q3404" i="1" s="1"/>
  <c r="P4166" i="1"/>
  <c r="Q4166" i="1" s="1"/>
  <c r="P2845" i="1"/>
  <c r="Q2845" i="1" s="1"/>
  <c r="P820" i="1"/>
  <c r="Q820" i="1" s="1"/>
  <c r="P1843" i="1"/>
  <c r="Q1843" i="1" s="1"/>
  <c r="P4257" i="1"/>
  <c r="Q4257" i="1" s="1"/>
  <c r="P4357" i="1"/>
  <c r="Q4357" i="1" s="1"/>
  <c r="P821" i="1"/>
  <c r="Q821" i="1" s="1"/>
  <c r="P3405" i="1"/>
  <c r="Q3405" i="1" s="1"/>
  <c r="P1730" i="1"/>
  <c r="Q1730" i="1" s="1"/>
  <c r="P822" i="1"/>
  <c r="Q822" i="1" s="1"/>
  <c r="P3406" i="1"/>
  <c r="Q3406" i="1" s="1"/>
  <c r="P2800" i="1"/>
  <c r="Q2800" i="1" s="1"/>
  <c r="P3871" i="1"/>
  <c r="Q3871" i="1" s="1"/>
  <c r="P2801" i="1"/>
  <c r="Q2801" i="1" s="1"/>
  <c r="P823" i="1"/>
  <c r="Q823" i="1" s="1"/>
  <c r="P824" i="1"/>
  <c r="Q824" i="1" s="1"/>
  <c r="P2610" i="1"/>
  <c r="Q2610" i="1" s="1"/>
  <c r="P825" i="1"/>
  <c r="Q825" i="1" s="1"/>
  <c r="P1844" i="1"/>
  <c r="Q1844" i="1" s="1"/>
  <c r="P2802" i="1"/>
  <c r="Q2802" i="1" s="1"/>
  <c r="P2967" i="1"/>
  <c r="Q2967" i="1" s="1"/>
  <c r="P3407" i="1"/>
  <c r="Q3407" i="1" s="1"/>
  <c r="P4152" i="1"/>
  <c r="Q4152" i="1" s="1"/>
  <c r="P4032" i="1"/>
  <c r="Q4032" i="1" s="1"/>
  <c r="P2278" i="1"/>
  <c r="Q2278" i="1" s="1"/>
  <c r="P826" i="1"/>
  <c r="Q826" i="1" s="1"/>
  <c r="P2897" i="1"/>
  <c r="Q2897" i="1" s="1"/>
  <c r="P2611" i="1"/>
  <c r="Q2611" i="1" s="1"/>
  <c r="P827" i="1"/>
  <c r="Q827" i="1" s="1"/>
  <c r="P4195" i="1"/>
  <c r="Q4195" i="1" s="1"/>
  <c r="P828" i="1"/>
  <c r="Q828" i="1" s="1"/>
  <c r="P2612" i="1"/>
  <c r="Q2612" i="1" s="1"/>
  <c r="P2279" i="1"/>
  <c r="Q2279" i="1" s="1"/>
  <c r="P4033" i="1"/>
  <c r="Q4033" i="1" s="1"/>
  <c r="P829" i="1"/>
  <c r="Q829" i="1" s="1"/>
  <c r="P830" i="1"/>
  <c r="Q830" i="1" s="1"/>
  <c r="P2056" i="1"/>
  <c r="Q2056" i="1" s="1"/>
  <c r="P831" i="1"/>
  <c r="Q831" i="1" s="1"/>
  <c r="P2280" i="1"/>
  <c r="Q2280" i="1" s="1"/>
  <c r="P3779" i="1"/>
  <c r="Q3779" i="1" s="1"/>
  <c r="P832" i="1"/>
  <c r="Q832" i="1" s="1"/>
  <c r="P2384" i="1"/>
  <c r="Q2384" i="1" s="1"/>
  <c r="P833" i="1"/>
  <c r="Q833" i="1" s="1"/>
  <c r="P4358" i="1"/>
  <c r="Q4358" i="1" s="1"/>
  <c r="P834" i="1"/>
  <c r="Q834" i="1" s="1"/>
  <c r="P835" i="1"/>
  <c r="Q835" i="1" s="1"/>
  <c r="P1845" i="1"/>
  <c r="Q1845" i="1" s="1"/>
  <c r="P264" i="1"/>
  <c r="Q264" i="1" s="1"/>
  <c r="P4359" i="1"/>
  <c r="Q4359" i="1" s="1"/>
  <c r="P836" i="1"/>
  <c r="Q836" i="1" s="1"/>
  <c r="P3157" i="1"/>
  <c r="Q3157" i="1" s="1"/>
  <c r="P3408" i="1"/>
  <c r="Q3408" i="1" s="1"/>
  <c r="P2862" i="1"/>
  <c r="Q2862" i="1" s="1"/>
  <c r="P2450" i="1"/>
  <c r="Q2450" i="1" s="1"/>
  <c r="P2968" i="1"/>
  <c r="Q2968" i="1" s="1"/>
  <c r="P2613" i="1"/>
  <c r="Q2613" i="1" s="1"/>
  <c r="P2614" i="1"/>
  <c r="Q2614" i="1" s="1"/>
  <c r="P3261" i="1"/>
  <c r="Q3261" i="1" s="1"/>
  <c r="P4360" i="1"/>
  <c r="Q4360" i="1" s="1"/>
  <c r="P837" i="1"/>
  <c r="Q837" i="1" s="1"/>
  <c r="P838" i="1"/>
  <c r="Q838" i="1" s="1"/>
  <c r="P1846" i="1"/>
  <c r="Q1846" i="1" s="1"/>
  <c r="P2057" i="1"/>
  <c r="Q2057" i="1" s="1"/>
  <c r="P2385" i="1"/>
  <c r="Q2385" i="1" s="1"/>
  <c r="P3409" i="1"/>
  <c r="Q3409" i="1" s="1"/>
  <c r="P839" i="1"/>
  <c r="Q839" i="1" s="1"/>
  <c r="P840" i="1"/>
  <c r="Q840" i="1" s="1"/>
  <c r="P3872" i="1"/>
  <c r="Q3872" i="1" s="1"/>
  <c r="P3780" i="1"/>
  <c r="Q3780" i="1" s="1"/>
  <c r="P841" i="1"/>
  <c r="Q841" i="1" s="1"/>
  <c r="P842" i="1"/>
  <c r="Q842" i="1" s="1"/>
  <c r="P323" i="1"/>
  <c r="Q323" i="1" s="1"/>
  <c r="P843" i="1"/>
  <c r="Q843" i="1" s="1"/>
  <c r="P1847" i="1"/>
  <c r="Q1847" i="1" s="1"/>
  <c r="P1848" i="1"/>
  <c r="Q1848" i="1" s="1"/>
  <c r="P2969" i="1"/>
  <c r="Q2969" i="1" s="1"/>
  <c r="P2058" i="1"/>
  <c r="Q2058" i="1" s="1"/>
  <c r="P3410" i="1"/>
  <c r="Q3410" i="1" s="1"/>
  <c r="P4258" i="1"/>
  <c r="Q4258" i="1" s="1"/>
  <c r="P844" i="1"/>
  <c r="Q844" i="1" s="1"/>
  <c r="P3873" i="1"/>
  <c r="Q3873" i="1" s="1"/>
  <c r="P2451" i="1"/>
  <c r="Q2451" i="1" s="1"/>
  <c r="P519" i="1"/>
  <c r="Q519" i="1" s="1"/>
  <c r="P419" i="1"/>
  <c r="Q419" i="1" s="1"/>
  <c r="P3411" i="1"/>
  <c r="Q3411" i="1" s="1"/>
  <c r="P240" i="1"/>
  <c r="Q240" i="1" s="1"/>
  <c r="P2822" i="1"/>
  <c r="Q2822" i="1" s="1"/>
  <c r="P3143" i="1"/>
  <c r="Q3143" i="1" s="1"/>
  <c r="P2615" i="1"/>
  <c r="Q2615" i="1" s="1"/>
  <c r="P324" i="1"/>
  <c r="Q324" i="1" s="1"/>
  <c r="P265" i="1"/>
  <c r="Q265" i="1" s="1"/>
  <c r="P4361" i="1"/>
  <c r="Q4361" i="1" s="1"/>
  <c r="P845" i="1"/>
  <c r="Q845" i="1" s="1"/>
  <c r="P1849" i="1"/>
  <c r="Q1849" i="1" s="1"/>
  <c r="P4259" i="1"/>
  <c r="Q4259" i="1" s="1"/>
  <c r="P2616" i="1"/>
  <c r="Q2616" i="1" s="1"/>
  <c r="P241" i="1"/>
  <c r="Q241" i="1" s="1"/>
  <c r="P2281" i="1"/>
  <c r="Q2281" i="1" s="1"/>
  <c r="P846" i="1"/>
  <c r="Q846" i="1" s="1"/>
  <c r="P2059" i="1"/>
  <c r="Q2059" i="1" s="1"/>
  <c r="P4194" i="1"/>
  <c r="Q4194" i="1" s="1"/>
  <c r="P1850" i="1"/>
  <c r="Q1850" i="1" s="1"/>
  <c r="P4189" i="1"/>
  <c r="Q4189" i="1" s="1"/>
  <c r="P847" i="1"/>
  <c r="Q847" i="1" s="1"/>
  <c r="P848" i="1"/>
  <c r="Q848" i="1" s="1"/>
  <c r="P849" i="1"/>
  <c r="Q849" i="1" s="1"/>
  <c r="P3874" i="1"/>
  <c r="Q3874" i="1" s="1"/>
  <c r="P4204" i="1"/>
  <c r="Q4204" i="1" s="1"/>
  <c r="P3183" i="1"/>
  <c r="Q3183" i="1" s="1"/>
  <c r="P850" i="1"/>
  <c r="Q850" i="1" s="1"/>
  <c r="P3412" i="1"/>
  <c r="Q3412" i="1" s="1"/>
  <c r="P2617" i="1"/>
  <c r="Q2617" i="1" s="1"/>
  <c r="P242" i="1"/>
  <c r="Q242" i="1" s="1"/>
  <c r="P3283" i="1"/>
  <c r="Q3283" i="1" s="1"/>
  <c r="P851" i="1"/>
  <c r="Q851" i="1" s="1"/>
  <c r="P2618" i="1"/>
  <c r="Q2618" i="1" s="1"/>
  <c r="P852" i="1"/>
  <c r="Q852" i="1" s="1"/>
  <c r="P2350" i="1"/>
  <c r="Q2350" i="1" s="1"/>
  <c r="P2970" i="1"/>
  <c r="Q2970" i="1" s="1"/>
  <c r="P4362" i="1"/>
  <c r="Q4362" i="1" s="1"/>
  <c r="P853" i="1"/>
  <c r="Q853" i="1" s="1"/>
  <c r="P854" i="1"/>
  <c r="Q854" i="1" s="1"/>
  <c r="P1953" i="1"/>
  <c r="Q1953" i="1" s="1"/>
  <c r="P855" i="1"/>
  <c r="Q855" i="1" s="1"/>
  <c r="P1954" i="1"/>
  <c r="Q1954" i="1" s="1"/>
  <c r="P856" i="1"/>
  <c r="Q856" i="1" s="1"/>
  <c r="P2351" i="1"/>
  <c r="Q2351" i="1" s="1"/>
  <c r="P4034" i="1"/>
  <c r="Q4034" i="1" s="1"/>
  <c r="P3799" i="1"/>
  <c r="Q3799" i="1" s="1"/>
  <c r="P3413" i="1"/>
  <c r="Q3413" i="1" s="1"/>
  <c r="P325" i="1"/>
  <c r="Q325" i="1" s="1"/>
  <c r="P857" i="1"/>
  <c r="Q857" i="1" s="1"/>
  <c r="P858" i="1"/>
  <c r="Q858" i="1" s="1"/>
  <c r="P859" i="1"/>
  <c r="Q859" i="1" s="1"/>
  <c r="P2971" i="1"/>
  <c r="Q2971" i="1" s="1"/>
  <c r="P2972" i="1"/>
  <c r="Q2972" i="1" s="1"/>
  <c r="P4167" i="1"/>
  <c r="Q4167" i="1" s="1"/>
  <c r="P860" i="1"/>
  <c r="Q860" i="1" s="1"/>
  <c r="P2386" i="1"/>
  <c r="Q2386" i="1" s="1"/>
  <c r="P861" i="1"/>
  <c r="Q861" i="1" s="1"/>
  <c r="P3414" i="1"/>
  <c r="Q3414" i="1" s="1"/>
  <c r="P2863" i="1"/>
  <c r="Q2863" i="1" s="1"/>
  <c r="P2619" i="1"/>
  <c r="Q2619" i="1" s="1"/>
  <c r="P4363" i="1"/>
  <c r="Q4363" i="1" s="1"/>
  <c r="P4035" i="1"/>
  <c r="Q4035" i="1" s="1"/>
  <c r="P862" i="1"/>
  <c r="Q862" i="1" s="1"/>
  <c r="P2864" i="1"/>
  <c r="Q2864" i="1" s="1"/>
  <c r="P4364" i="1"/>
  <c r="Q4364" i="1" s="1"/>
  <c r="P2282" i="1"/>
  <c r="Q2282" i="1" s="1"/>
  <c r="P3415" i="1"/>
  <c r="Q3415" i="1" s="1"/>
  <c r="P2973" i="1"/>
  <c r="Q2973" i="1" s="1"/>
  <c r="P1955" i="1"/>
  <c r="Q1955" i="1" s="1"/>
  <c r="P1731" i="1"/>
  <c r="Q1731" i="1" s="1"/>
  <c r="P3416" i="1"/>
  <c r="Q3416" i="1" s="1"/>
  <c r="P3144" i="1"/>
  <c r="Q3144" i="1" s="1"/>
  <c r="P3417" i="1"/>
  <c r="Q3417" i="1" s="1"/>
  <c r="P863" i="1"/>
  <c r="Q863" i="1" s="1"/>
  <c r="P3418" i="1"/>
  <c r="Q3418" i="1" s="1"/>
  <c r="P2974" i="1"/>
  <c r="Q2974" i="1" s="1"/>
  <c r="P3419" i="1"/>
  <c r="Q3419" i="1" s="1"/>
  <c r="P3420" i="1"/>
  <c r="Q3420" i="1" s="1"/>
  <c r="P3421" i="1"/>
  <c r="Q3421" i="1" s="1"/>
  <c r="P2620" i="1"/>
  <c r="Q2620" i="1" s="1"/>
  <c r="P4365" i="1"/>
  <c r="Q4365" i="1" s="1"/>
  <c r="P864" i="1"/>
  <c r="Q864" i="1" s="1"/>
  <c r="P2975" i="1"/>
  <c r="Q2975" i="1" s="1"/>
  <c r="P865" i="1"/>
  <c r="Q865" i="1" s="1"/>
  <c r="P4366" i="1"/>
  <c r="Q4366" i="1" s="1"/>
  <c r="P2060" i="1"/>
  <c r="Q2060" i="1" s="1"/>
  <c r="P4367" i="1"/>
  <c r="Q4367" i="1" s="1"/>
  <c r="P420" i="1"/>
  <c r="Q420" i="1" s="1"/>
  <c r="P866" i="1"/>
  <c r="Q866" i="1" s="1"/>
  <c r="P3178" i="1"/>
  <c r="Q3178" i="1" s="1"/>
  <c r="P2061" i="1"/>
  <c r="Q2061" i="1" s="1"/>
  <c r="P4368" i="1"/>
  <c r="Q4368" i="1" s="1"/>
  <c r="P2387" i="1"/>
  <c r="Q2387" i="1" s="1"/>
  <c r="P2062" i="1"/>
  <c r="Q2062" i="1" s="1"/>
  <c r="P3422" i="1"/>
  <c r="Q3422" i="1" s="1"/>
  <c r="P2976" i="1"/>
  <c r="Q2976" i="1" s="1"/>
  <c r="P2977" i="1"/>
  <c r="Q2977" i="1" s="1"/>
  <c r="P326" i="1"/>
  <c r="Q326" i="1" s="1"/>
  <c r="P2452" i="1"/>
  <c r="Q2452" i="1" s="1"/>
  <c r="P4369" i="1"/>
  <c r="Q4369" i="1" s="1"/>
  <c r="P2283" i="1"/>
  <c r="Q2283" i="1" s="1"/>
  <c r="P2803" i="1"/>
  <c r="Q2803" i="1" s="1"/>
  <c r="P867" i="1"/>
  <c r="Q867" i="1" s="1"/>
  <c r="P868" i="1"/>
  <c r="Q868" i="1" s="1"/>
  <c r="P4370" i="1"/>
  <c r="Q4370" i="1" s="1"/>
  <c r="P4371" i="1"/>
  <c r="Q4371" i="1" s="1"/>
  <c r="P3423" i="1"/>
  <c r="Q3423" i="1" s="1"/>
  <c r="P869" i="1"/>
  <c r="Q869" i="1" s="1"/>
  <c r="P327" i="1"/>
  <c r="Q327" i="1" s="1"/>
  <c r="P2063" i="1"/>
  <c r="Q2063" i="1" s="1"/>
  <c r="P2978" i="1"/>
  <c r="Q2978" i="1" s="1"/>
  <c r="P1732" i="1"/>
  <c r="Q1732" i="1" s="1"/>
  <c r="P2284" i="1"/>
  <c r="Q2284" i="1" s="1"/>
  <c r="P4260" i="1"/>
  <c r="Q4260" i="1" s="1"/>
  <c r="P4372" i="1"/>
  <c r="Q4372" i="1" s="1"/>
  <c r="P3875" i="1"/>
  <c r="Q3875" i="1" s="1"/>
  <c r="P870" i="1"/>
  <c r="Q870" i="1" s="1"/>
  <c r="P3424" i="1"/>
  <c r="Q3424" i="1" s="1"/>
  <c r="P2064" i="1"/>
  <c r="Q2064" i="1" s="1"/>
  <c r="P3425" i="1"/>
  <c r="Q3425" i="1" s="1"/>
  <c r="P1851" i="1"/>
  <c r="Q1851" i="1" s="1"/>
  <c r="P871" i="1"/>
  <c r="Q871" i="1" s="1"/>
  <c r="P1852" i="1"/>
  <c r="Q1852" i="1" s="1"/>
  <c r="P872" i="1"/>
  <c r="Q872" i="1" s="1"/>
  <c r="P3426" i="1"/>
  <c r="Q3426" i="1" s="1"/>
  <c r="P1733" i="1"/>
  <c r="Q1733" i="1" s="1"/>
  <c r="P2979" i="1"/>
  <c r="Q2979" i="1" s="1"/>
  <c r="P328" i="1"/>
  <c r="Q328" i="1" s="1"/>
  <c r="P4373" i="1"/>
  <c r="Q4373" i="1" s="1"/>
  <c r="P4374" i="1"/>
  <c r="Q4374" i="1" s="1"/>
  <c r="P873" i="1"/>
  <c r="Q873" i="1" s="1"/>
  <c r="P4122" i="1"/>
  <c r="Q4122" i="1" s="1"/>
  <c r="P874" i="1"/>
  <c r="Q874" i="1" s="1"/>
  <c r="P2065" i="1"/>
  <c r="Q2065" i="1" s="1"/>
  <c r="P2453" i="1"/>
  <c r="Q2453" i="1" s="1"/>
  <c r="P875" i="1"/>
  <c r="Q875" i="1" s="1"/>
  <c r="P4375" i="1"/>
  <c r="Q4375" i="1" s="1"/>
  <c r="P1853" i="1"/>
  <c r="Q1853" i="1" s="1"/>
  <c r="P4376" i="1"/>
  <c r="Q4376" i="1" s="1"/>
  <c r="P4261" i="1"/>
  <c r="Q4261" i="1" s="1"/>
  <c r="P3876" i="1"/>
  <c r="Q3876" i="1" s="1"/>
  <c r="P4125" i="1"/>
  <c r="Q4125" i="1" s="1"/>
  <c r="P243" i="1"/>
  <c r="Q243" i="1" s="1"/>
  <c r="P3427" i="1"/>
  <c r="Q3427" i="1" s="1"/>
  <c r="P4236" i="1"/>
  <c r="Q4236" i="1" s="1"/>
  <c r="P2980" i="1"/>
  <c r="Q2980" i="1" s="1"/>
  <c r="P876" i="1"/>
  <c r="Q876" i="1" s="1"/>
  <c r="P2981" i="1"/>
  <c r="Q2981" i="1" s="1"/>
  <c r="P3428" i="1"/>
  <c r="Q3428" i="1" s="1"/>
  <c r="P2621" i="1"/>
  <c r="Q2621" i="1" s="1"/>
  <c r="P877" i="1"/>
  <c r="Q877" i="1" s="1"/>
  <c r="P878" i="1"/>
  <c r="Q878" i="1" s="1"/>
  <c r="P3429" i="1"/>
  <c r="Q3429" i="1" s="1"/>
  <c r="P2066" i="1"/>
  <c r="Q2066" i="1" s="1"/>
  <c r="P3877" i="1"/>
  <c r="Q3877" i="1" s="1"/>
  <c r="P879" i="1"/>
  <c r="Q879" i="1" s="1"/>
  <c r="P2067" i="1"/>
  <c r="Q2067" i="1" s="1"/>
  <c r="P2454" i="1"/>
  <c r="Q2454" i="1" s="1"/>
  <c r="P3878" i="1"/>
  <c r="Q3878" i="1" s="1"/>
  <c r="P2622" i="1"/>
  <c r="Q2622" i="1" s="1"/>
  <c r="P329" i="1"/>
  <c r="Q329" i="1" s="1"/>
  <c r="P880" i="1"/>
  <c r="Q880" i="1" s="1"/>
  <c r="P330" i="1"/>
  <c r="Q330" i="1" s="1"/>
  <c r="P2455" i="1"/>
  <c r="Q2455" i="1" s="1"/>
  <c r="P881" i="1"/>
  <c r="Q881" i="1" s="1"/>
  <c r="P2388" i="1"/>
  <c r="Q2388" i="1" s="1"/>
  <c r="P499" i="1"/>
  <c r="Q499" i="1" s="1"/>
  <c r="P882" i="1"/>
  <c r="Q882" i="1" s="1"/>
  <c r="P883" i="1"/>
  <c r="Q883" i="1" s="1"/>
  <c r="P884" i="1"/>
  <c r="Q884" i="1" s="1"/>
  <c r="P2285" i="1"/>
  <c r="Q2285" i="1" s="1"/>
  <c r="P1854" i="1"/>
  <c r="Q1854" i="1" s="1"/>
  <c r="P885" i="1"/>
  <c r="Q885" i="1" s="1"/>
  <c r="P2982" i="1"/>
  <c r="Q2982" i="1" s="1"/>
  <c r="P3879" i="1"/>
  <c r="Q3879" i="1" s="1"/>
  <c r="P2015" i="1"/>
  <c r="Q2015" i="1" s="1"/>
  <c r="P886" i="1"/>
  <c r="Q886" i="1" s="1"/>
  <c r="P4377" i="1"/>
  <c r="Q4377" i="1" s="1"/>
  <c r="P331" i="1"/>
  <c r="Q331" i="1" s="1"/>
  <c r="P3880" i="1"/>
  <c r="Q3880" i="1" s="1"/>
  <c r="P887" i="1"/>
  <c r="Q887" i="1" s="1"/>
  <c r="P888" i="1"/>
  <c r="Q888" i="1" s="1"/>
  <c r="P889" i="1"/>
  <c r="Q889" i="1" s="1"/>
  <c r="P3800" i="1"/>
  <c r="Q3800" i="1" s="1"/>
  <c r="P2804" i="1"/>
  <c r="Q2804" i="1" s="1"/>
  <c r="P3430" i="1"/>
  <c r="Q3430" i="1" s="1"/>
  <c r="P2983" i="1"/>
  <c r="Q2983" i="1" s="1"/>
  <c r="P3431" i="1"/>
  <c r="Q3431" i="1" s="1"/>
  <c r="P890" i="1"/>
  <c r="Q890" i="1" s="1"/>
  <c r="P3432" i="1"/>
  <c r="Q3432" i="1" s="1"/>
  <c r="P2623" i="1"/>
  <c r="Q2623" i="1" s="1"/>
  <c r="P891" i="1"/>
  <c r="Q891" i="1" s="1"/>
  <c r="P2389" i="1"/>
  <c r="Q2389" i="1" s="1"/>
  <c r="P892" i="1"/>
  <c r="Q892" i="1" s="1"/>
  <c r="P893" i="1"/>
  <c r="Q893" i="1" s="1"/>
  <c r="P894" i="1"/>
  <c r="Q894" i="1" s="1"/>
  <c r="P895" i="1"/>
  <c r="Q895" i="1" s="1"/>
  <c r="P896" i="1"/>
  <c r="Q896" i="1" s="1"/>
  <c r="P3433" i="1"/>
  <c r="Q3433" i="1" s="1"/>
  <c r="P3158" i="1"/>
  <c r="Q3158" i="1" s="1"/>
  <c r="P897" i="1"/>
  <c r="Q897" i="1" s="1"/>
  <c r="P898" i="1"/>
  <c r="Q898" i="1" s="1"/>
  <c r="P899" i="1"/>
  <c r="Q899" i="1" s="1"/>
  <c r="P332" i="1"/>
  <c r="Q332" i="1" s="1"/>
  <c r="P2390" i="1"/>
  <c r="Q2390" i="1" s="1"/>
  <c r="P4262" i="1"/>
  <c r="Q4262" i="1" s="1"/>
  <c r="P900" i="1"/>
  <c r="Q900" i="1" s="1"/>
  <c r="P2624" i="1"/>
  <c r="Q2624" i="1" s="1"/>
  <c r="P4378" i="1"/>
  <c r="Q4378" i="1" s="1"/>
  <c r="P421" i="1"/>
  <c r="Q421" i="1" s="1"/>
  <c r="P2206" i="1"/>
  <c r="Q2206" i="1" s="1"/>
  <c r="P2625" i="1"/>
  <c r="Q2625" i="1" s="1"/>
  <c r="P901" i="1"/>
  <c r="Q901" i="1" s="1"/>
  <c r="P3434" i="1"/>
  <c r="Q3434" i="1" s="1"/>
  <c r="P902" i="1"/>
  <c r="Q902" i="1" s="1"/>
  <c r="P2068" i="1"/>
  <c r="Q2068" i="1" s="1"/>
  <c r="P903" i="1"/>
  <c r="Q903" i="1" s="1"/>
  <c r="P904" i="1"/>
  <c r="Q904" i="1" s="1"/>
  <c r="P905" i="1"/>
  <c r="Q905" i="1" s="1"/>
  <c r="P906" i="1"/>
  <c r="Q906" i="1" s="1"/>
  <c r="P4120" i="1"/>
  <c r="Q4120" i="1" s="1"/>
  <c r="P3881" i="1"/>
  <c r="Q3881" i="1" s="1"/>
  <c r="P907" i="1"/>
  <c r="Q907" i="1" s="1"/>
  <c r="P4036" i="1"/>
  <c r="Q4036" i="1" s="1"/>
  <c r="P2984" i="1"/>
  <c r="Q2984" i="1" s="1"/>
  <c r="P3882" i="1"/>
  <c r="Q3882" i="1" s="1"/>
  <c r="P3210" i="1"/>
  <c r="Q3210" i="1" s="1"/>
  <c r="P333" i="1"/>
  <c r="Q333" i="1" s="1"/>
  <c r="P2391" i="1"/>
  <c r="Q2391" i="1" s="1"/>
  <c r="P3435" i="1"/>
  <c r="Q3435" i="1" s="1"/>
  <c r="P3883" i="1"/>
  <c r="Q3883" i="1" s="1"/>
  <c r="P3884" i="1"/>
  <c r="Q3884" i="1" s="1"/>
  <c r="P4137" i="1"/>
  <c r="Q4137" i="1" s="1"/>
  <c r="P2985" i="1"/>
  <c r="Q2985" i="1" s="1"/>
  <c r="P908" i="1"/>
  <c r="Q908" i="1" s="1"/>
  <c r="P909" i="1"/>
  <c r="Q909" i="1" s="1"/>
  <c r="P3885" i="1"/>
  <c r="Q3885" i="1" s="1"/>
  <c r="P3436" i="1"/>
  <c r="Q3436" i="1" s="1"/>
  <c r="P1956" i="1"/>
  <c r="Q1956" i="1" s="1"/>
  <c r="P2456" i="1"/>
  <c r="Q2456" i="1" s="1"/>
  <c r="P3159" i="1"/>
  <c r="Q3159" i="1" s="1"/>
  <c r="P3437" i="1"/>
  <c r="Q3437" i="1" s="1"/>
  <c r="P2457" i="1"/>
  <c r="Q2457" i="1" s="1"/>
  <c r="P4379" i="1"/>
  <c r="Q4379" i="1" s="1"/>
  <c r="P2986" i="1"/>
  <c r="Q2986" i="1" s="1"/>
  <c r="P4380" i="1"/>
  <c r="Q4380" i="1" s="1"/>
  <c r="P1734" i="1"/>
  <c r="Q1734" i="1" s="1"/>
  <c r="P2911" i="1"/>
  <c r="Q2911" i="1" s="1"/>
  <c r="P2069" i="1"/>
  <c r="Q2069" i="1" s="1"/>
  <c r="P3438" i="1"/>
  <c r="Q3438" i="1" s="1"/>
  <c r="P3439" i="1"/>
  <c r="Q3439" i="1" s="1"/>
  <c r="P4381" i="1"/>
  <c r="Q4381" i="1" s="1"/>
  <c r="P910" i="1"/>
  <c r="Q910" i="1" s="1"/>
  <c r="P2207" i="1"/>
  <c r="Q2207" i="1" s="1"/>
  <c r="P911" i="1"/>
  <c r="Q911" i="1" s="1"/>
  <c r="P3440" i="1"/>
  <c r="Q3440" i="1" s="1"/>
  <c r="P2458" i="1"/>
  <c r="Q2458" i="1" s="1"/>
  <c r="P3235" i="1"/>
  <c r="Q3235" i="1" s="1"/>
  <c r="P912" i="1"/>
  <c r="Q912" i="1" s="1"/>
  <c r="P4037" i="1"/>
  <c r="Q4037" i="1" s="1"/>
  <c r="P2208" i="1"/>
  <c r="Q2208" i="1" s="1"/>
  <c r="P913" i="1"/>
  <c r="Q913" i="1" s="1"/>
  <c r="P914" i="1"/>
  <c r="Q914" i="1" s="1"/>
  <c r="P4382" i="1"/>
  <c r="Q4382" i="1" s="1"/>
  <c r="P2987" i="1"/>
  <c r="Q2987" i="1" s="1"/>
  <c r="P1957" i="1"/>
  <c r="Q1957" i="1" s="1"/>
  <c r="P2988" i="1"/>
  <c r="Q2988" i="1" s="1"/>
  <c r="P422" i="1"/>
  <c r="Q422" i="1" s="1"/>
  <c r="P915" i="1"/>
  <c r="Q915" i="1" s="1"/>
  <c r="P3160" i="1"/>
  <c r="Q3160" i="1" s="1"/>
  <c r="P916" i="1"/>
  <c r="Q916" i="1" s="1"/>
  <c r="P1958" i="1"/>
  <c r="Q1958" i="1" s="1"/>
  <c r="P4383" i="1"/>
  <c r="Q4383" i="1" s="1"/>
  <c r="P3441" i="1"/>
  <c r="Q3441" i="1" s="1"/>
  <c r="P4384" i="1"/>
  <c r="Q4384" i="1" s="1"/>
  <c r="P4110" i="1"/>
  <c r="Q4110" i="1" s="1"/>
  <c r="P3442" i="1"/>
  <c r="Q3442" i="1" s="1"/>
  <c r="P2209" i="1"/>
  <c r="Q2209" i="1" s="1"/>
  <c r="P500" i="1"/>
  <c r="Q500" i="1" s="1"/>
  <c r="P3886" i="1"/>
  <c r="Q3886" i="1" s="1"/>
  <c r="P917" i="1"/>
  <c r="Q917" i="1" s="1"/>
  <c r="P3161" i="1"/>
  <c r="Q3161" i="1" s="1"/>
  <c r="P2626" i="1"/>
  <c r="Q2626" i="1" s="1"/>
  <c r="P2459" i="1"/>
  <c r="Q2459" i="1" s="1"/>
  <c r="P918" i="1"/>
  <c r="Q918" i="1" s="1"/>
  <c r="P919" i="1"/>
  <c r="Q919" i="1" s="1"/>
  <c r="P2286" i="1"/>
  <c r="Q2286" i="1" s="1"/>
  <c r="P920" i="1"/>
  <c r="Q920" i="1" s="1"/>
  <c r="P3443" i="1"/>
  <c r="Q3443" i="1" s="1"/>
  <c r="P4385" i="1"/>
  <c r="Q4385" i="1" s="1"/>
  <c r="P2627" i="1"/>
  <c r="Q2627" i="1" s="1"/>
  <c r="P921" i="1"/>
  <c r="Q921" i="1" s="1"/>
  <c r="P4386" i="1"/>
  <c r="Q4386" i="1" s="1"/>
  <c r="P922" i="1"/>
  <c r="Q922" i="1" s="1"/>
  <c r="P2628" i="1"/>
  <c r="Q2628" i="1" s="1"/>
  <c r="P2287" i="1"/>
  <c r="Q2287" i="1" s="1"/>
  <c r="P3444" i="1"/>
  <c r="Q3444" i="1" s="1"/>
  <c r="P2989" i="1"/>
  <c r="Q2989" i="1" s="1"/>
  <c r="P3445" i="1"/>
  <c r="Q3445" i="1" s="1"/>
  <c r="P334" i="1"/>
  <c r="Q334" i="1" s="1"/>
  <c r="P1855" i="1"/>
  <c r="Q1855" i="1" s="1"/>
  <c r="P4387" i="1"/>
  <c r="Q4387" i="1" s="1"/>
  <c r="P4038" i="1"/>
  <c r="Q4038" i="1" s="1"/>
  <c r="P3236" i="1"/>
  <c r="Q3236" i="1" s="1"/>
  <c r="P3446" i="1"/>
  <c r="Q3446" i="1" s="1"/>
  <c r="P2629" i="1"/>
  <c r="Q2629" i="1" s="1"/>
  <c r="P266" i="1"/>
  <c r="Q266" i="1" s="1"/>
  <c r="P923" i="1"/>
  <c r="Q923" i="1" s="1"/>
  <c r="P1856" i="1"/>
  <c r="Q1856" i="1" s="1"/>
  <c r="P3192" i="1"/>
  <c r="Q3192" i="1" s="1"/>
  <c r="P4205" i="1"/>
  <c r="Q4205" i="1" s="1"/>
  <c r="P4388" i="1"/>
  <c r="Q4388" i="1" s="1"/>
  <c r="P2630" i="1"/>
  <c r="Q2630" i="1" s="1"/>
  <c r="P2631" i="1"/>
  <c r="Q2631" i="1" s="1"/>
  <c r="P2839" i="1"/>
  <c r="Q2839" i="1" s="1"/>
  <c r="P3447" i="1"/>
  <c r="Q3447" i="1" s="1"/>
  <c r="P4389" i="1"/>
  <c r="Q4389" i="1" s="1"/>
  <c r="P4039" i="1"/>
  <c r="Q4039" i="1" s="1"/>
  <c r="P1735" i="1"/>
  <c r="Q1735" i="1" s="1"/>
  <c r="P2070" i="1"/>
  <c r="Q2070" i="1" s="1"/>
  <c r="P924" i="1"/>
  <c r="Q924" i="1" s="1"/>
  <c r="P2632" i="1"/>
  <c r="Q2632" i="1" s="1"/>
  <c r="P925" i="1"/>
  <c r="Q925" i="1" s="1"/>
  <c r="P4127" i="1"/>
  <c r="Q4127" i="1" s="1"/>
  <c r="P926" i="1"/>
  <c r="Q926" i="1" s="1"/>
  <c r="P4390" i="1"/>
  <c r="Q4390" i="1" s="1"/>
  <c r="P3448" i="1"/>
  <c r="Q3448" i="1" s="1"/>
  <c r="P2633" i="1"/>
  <c r="Q2633" i="1" s="1"/>
  <c r="P927" i="1"/>
  <c r="Q927" i="1" s="1"/>
  <c r="P928" i="1"/>
  <c r="Q928" i="1" s="1"/>
  <c r="P2071" i="1"/>
  <c r="Q2071" i="1" s="1"/>
  <c r="P4007" i="1"/>
  <c r="Q4007" i="1" s="1"/>
  <c r="P2990" i="1"/>
  <c r="Q2990" i="1" s="1"/>
  <c r="P2392" i="1"/>
  <c r="Q2392" i="1" s="1"/>
  <c r="P929" i="1"/>
  <c r="Q929" i="1" s="1"/>
  <c r="P930" i="1"/>
  <c r="Q930" i="1" s="1"/>
  <c r="P931" i="1"/>
  <c r="Q931" i="1" s="1"/>
  <c r="P4186" i="1"/>
  <c r="Q4186" i="1" s="1"/>
  <c r="P3833" i="1"/>
  <c r="Q3833" i="1" s="1"/>
  <c r="P3887" i="1"/>
  <c r="Q3887" i="1" s="1"/>
  <c r="P3449" i="1"/>
  <c r="Q3449" i="1" s="1"/>
  <c r="P2634" i="1"/>
  <c r="Q2634" i="1" s="1"/>
  <c r="P3450" i="1"/>
  <c r="Q3450" i="1" s="1"/>
  <c r="P932" i="1"/>
  <c r="Q932" i="1" s="1"/>
  <c r="P4040" i="1"/>
  <c r="Q4040" i="1" s="1"/>
  <c r="P933" i="1"/>
  <c r="Q933" i="1" s="1"/>
  <c r="P1959" i="1"/>
  <c r="Q1959" i="1" s="1"/>
  <c r="P4041" i="1"/>
  <c r="Q4041" i="1" s="1"/>
  <c r="P934" i="1"/>
  <c r="Q934" i="1" s="1"/>
  <c r="P2072" i="1"/>
  <c r="Q2072" i="1" s="1"/>
  <c r="P4263" i="1"/>
  <c r="Q4263" i="1" s="1"/>
  <c r="P2865" i="1"/>
  <c r="Q2865" i="1" s="1"/>
  <c r="P423" i="1"/>
  <c r="Q423" i="1" s="1"/>
  <c r="P2073" i="1"/>
  <c r="Q2073" i="1" s="1"/>
  <c r="P1736" i="1"/>
  <c r="Q1736" i="1" s="1"/>
  <c r="P2074" i="1"/>
  <c r="Q2074" i="1" s="1"/>
  <c r="P3284" i="1"/>
  <c r="Q3284" i="1" s="1"/>
  <c r="P2991" i="1"/>
  <c r="Q2991" i="1" s="1"/>
  <c r="P3137" i="1"/>
  <c r="Q3137" i="1" s="1"/>
  <c r="P935" i="1"/>
  <c r="Q935" i="1" s="1"/>
  <c r="P1960" i="1"/>
  <c r="Q1960" i="1" s="1"/>
  <c r="P936" i="1"/>
  <c r="Q936" i="1" s="1"/>
  <c r="P2075" i="1"/>
  <c r="Q2075" i="1" s="1"/>
  <c r="P2460" i="1"/>
  <c r="Q2460" i="1" s="1"/>
  <c r="P2076" i="1"/>
  <c r="Q2076" i="1" s="1"/>
  <c r="P4391" i="1"/>
  <c r="Q4391" i="1" s="1"/>
  <c r="P937" i="1"/>
  <c r="Q937" i="1" s="1"/>
  <c r="P3451" i="1"/>
  <c r="Q3451" i="1" s="1"/>
  <c r="P3452" i="1"/>
  <c r="Q3452" i="1" s="1"/>
  <c r="P3888" i="1"/>
  <c r="Q3888" i="1" s="1"/>
  <c r="P938" i="1"/>
  <c r="Q938" i="1" s="1"/>
  <c r="P939" i="1"/>
  <c r="Q939" i="1" s="1"/>
  <c r="P940" i="1"/>
  <c r="Q940" i="1" s="1"/>
  <c r="P4392" i="1"/>
  <c r="Q4392" i="1" s="1"/>
  <c r="P3453" i="1"/>
  <c r="Q3453" i="1" s="1"/>
  <c r="P4393" i="1"/>
  <c r="Q4393" i="1" s="1"/>
  <c r="P4394" i="1"/>
  <c r="Q4394" i="1" s="1"/>
  <c r="P267" i="1"/>
  <c r="Q267" i="1" s="1"/>
  <c r="P2635" i="1"/>
  <c r="Q2635" i="1" s="1"/>
  <c r="P941" i="1"/>
  <c r="Q941" i="1" s="1"/>
  <c r="P942" i="1"/>
  <c r="Q942" i="1" s="1"/>
  <c r="P2636" i="1"/>
  <c r="Q2636" i="1" s="1"/>
  <c r="P4237" i="1"/>
  <c r="Q4237" i="1" s="1"/>
  <c r="P2393" i="1"/>
  <c r="Q2393" i="1" s="1"/>
  <c r="P3454" i="1"/>
  <c r="Q3454" i="1" s="1"/>
  <c r="P3455" i="1"/>
  <c r="Q3455" i="1" s="1"/>
  <c r="P4395" i="1"/>
  <c r="Q4395" i="1" s="1"/>
  <c r="P2288" i="1"/>
  <c r="Q2288" i="1" s="1"/>
  <c r="P943" i="1"/>
  <c r="Q943" i="1" s="1"/>
  <c r="P2637" i="1"/>
  <c r="Q2637" i="1" s="1"/>
  <c r="P944" i="1"/>
  <c r="Q944" i="1" s="1"/>
  <c r="P2077" i="1"/>
  <c r="Q2077" i="1" s="1"/>
  <c r="P2078" i="1"/>
  <c r="Q2078" i="1" s="1"/>
  <c r="P945" i="1"/>
  <c r="Q945" i="1" s="1"/>
  <c r="P4396" i="1"/>
  <c r="Q4396" i="1" s="1"/>
  <c r="P946" i="1"/>
  <c r="Q946" i="1" s="1"/>
  <c r="P2079" i="1"/>
  <c r="Q2079" i="1" s="1"/>
  <c r="P1737" i="1"/>
  <c r="Q1737" i="1" s="1"/>
  <c r="P3184" i="1"/>
  <c r="Q3184" i="1" s="1"/>
  <c r="P947" i="1"/>
  <c r="Q947" i="1" s="1"/>
  <c r="P1738" i="1"/>
  <c r="Q1738" i="1" s="1"/>
  <c r="P948" i="1"/>
  <c r="Q948" i="1" s="1"/>
  <c r="P3456" i="1"/>
  <c r="Q3456" i="1" s="1"/>
  <c r="P4264" i="1"/>
  <c r="Q4264" i="1" s="1"/>
  <c r="P949" i="1"/>
  <c r="Q949" i="1" s="1"/>
  <c r="P4397" i="1"/>
  <c r="Q4397" i="1" s="1"/>
  <c r="P3162" i="1"/>
  <c r="Q3162" i="1" s="1"/>
  <c r="P3457" i="1"/>
  <c r="Q3457" i="1" s="1"/>
  <c r="P950" i="1"/>
  <c r="Q950" i="1" s="1"/>
  <c r="P4398" i="1"/>
  <c r="Q4398" i="1" s="1"/>
  <c r="P3237" i="1"/>
  <c r="Q3237" i="1" s="1"/>
  <c r="P3458" i="1"/>
  <c r="Q3458" i="1" s="1"/>
  <c r="P4238" i="1"/>
  <c r="Q4238" i="1" s="1"/>
  <c r="P951" i="1"/>
  <c r="Q951" i="1" s="1"/>
  <c r="P952" i="1"/>
  <c r="Q952" i="1" s="1"/>
  <c r="P2866" i="1"/>
  <c r="Q2866" i="1" s="1"/>
  <c r="P953" i="1"/>
  <c r="Q953" i="1" s="1"/>
  <c r="P4265" i="1"/>
  <c r="Q4265" i="1" s="1"/>
  <c r="P268" i="1"/>
  <c r="Q268" i="1" s="1"/>
  <c r="P954" i="1"/>
  <c r="Q954" i="1" s="1"/>
  <c r="P3889" i="1"/>
  <c r="Q3889" i="1" s="1"/>
  <c r="P2638" i="1"/>
  <c r="Q2638" i="1" s="1"/>
  <c r="P4399" i="1"/>
  <c r="Q4399" i="1" s="1"/>
  <c r="P4400" i="1"/>
  <c r="Q4400" i="1" s="1"/>
  <c r="P955" i="1"/>
  <c r="Q955" i="1" s="1"/>
  <c r="P956" i="1"/>
  <c r="Q956" i="1" s="1"/>
  <c r="P3890" i="1"/>
  <c r="Q3890" i="1" s="1"/>
  <c r="P424" i="1"/>
  <c r="Q424" i="1" s="1"/>
  <c r="P2080" i="1"/>
  <c r="Q2080" i="1" s="1"/>
  <c r="P2867" i="1"/>
  <c r="Q2867" i="1" s="1"/>
  <c r="P4401" i="1"/>
  <c r="Q4401" i="1" s="1"/>
  <c r="P1739" i="1"/>
  <c r="Q1739" i="1" s="1"/>
  <c r="P3163" i="1"/>
  <c r="Q3163" i="1" s="1"/>
  <c r="P3459" i="1"/>
  <c r="Q3459" i="1" s="1"/>
  <c r="P957" i="1"/>
  <c r="Q957" i="1" s="1"/>
  <c r="P2992" i="1"/>
  <c r="Q2992" i="1" s="1"/>
  <c r="P3460" i="1"/>
  <c r="Q3460" i="1" s="1"/>
  <c r="P335" i="1"/>
  <c r="Q335" i="1" s="1"/>
  <c r="P4402" i="1"/>
  <c r="Q4402" i="1" s="1"/>
  <c r="P4403" i="1"/>
  <c r="Q4403" i="1" s="1"/>
  <c r="P958" i="1"/>
  <c r="Q958" i="1" s="1"/>
  <c r="P959" i="1"/>
  <c r="Q959" i="1" s="1"/>
  <c r="P960" i="1"/>
  <c r="Q960" i="1" s="1"/>
  <c r="P4042" i="1"/>
  <c r="Q4042" i="1" s="1"/>
  <c r="P4404" i="1"/>
  <c r="Q4404" i="1" s="1"/>
  <c r="P961" i="1"/>
  <c r="Q961" i="1" s="1"/>
  <c r="P962" i="1"/>
  <c r="Q962" i="1" s="1"/>
  <c r="P4004" i="1"/>
  <c r="Q4004" i="1" s="1"/>
  <c r="P1740" i="1"/>
  <c r="Q1740" i="1" s="1"/>
  <c r="P963" i="1"/>
  <c r="Q963" i="1" s="1"/>
  <c r="P3461" i="1"/>
  <c r="Q3461" i="1" s="1"/>
  <c r="P964" i="1"/>
  <c r="Q964" i="1" s="1"/>
  <c r="P965" i="1"/>
  <c r="Q965" i="1" s="1"/>
  <c r="P2639" i="1"/>
  <c r="Q2639" i="1" s="1"/>
  <c r="P2640" i="1"/>
  <c r="Q2640" i="1" s="1"/>
  <c r="P966" i="1"/>
  <c r="Q966" i="1" s="1"/>
  <c r="P3462" i="1"/>
  <c r="Q3462" i="1" s="1"/>
  <c r="P967" i="1"/>
  <c r="Q967" i="1" s="1"/>
  <c r="P4101" i="1"/>
  <c r="Q4101" i="1" s="1"/>
  <c r="P4405" i="1"/>
  <c r="Q4405" i="1" s="1"/>
  <c r="P3463" i="1"/>
  <c r="Q3463" i="1" s="1"/>
  <c r="P1961" i="1"/>
  <c r="Q1961" i="1" s="1"/>
  <c r="P2210" i="1"/>
  <c r="Q2210" i="1" s="1"/>
  <c r="P3464" i="1"/>
  <c r="Q3464" i="1" s="1"/>
  <c r="P968" i="1"/>
  <c r="Q968" i="1" s="1"/>
  <c r="P1741" i="1"/>
  <c r="Q1741" i="1" s="1"/>
  <c r="P969" i="1"/>
  <c r="Q969" i="1" s="1"/>
  <c r="P1857" i="1"/>
  <c r="Q1857" i="1" s="1"/>
  <c r="P970" i="1"/>
  <c r="Q970" i="1" s="1"/>
  <c r="P971" i="1"/>
  <c r="Q971" i="1" s="1"/>
  <c r="P3262" i="1"/>
  <c r="Q3262" i="1" s="1"/>
  <c r="P4406" i="1"/>
  <c r="Q4406" i="1" s="1"/>
  <c r="P4043" i="1"/>
  <c r="Q4043" i="1" s="1"/>
  <c r="P2081" i="1"/>
  <c r="Q2081" i="1" s="1"/>
  <c r="P4407" i="1"/>
  <c r="Q4407" i="1" s="1"/>
  <c r="P972" i="1"/>
  <c r="Q972" i="1" s="1"/>
  <c r="P973" i="1"/>
  <c r="Q973" i="1" s="1"/>
  <c r="P2993" i="1"/>
  <c r="Q2993" i="1" s="1"/>
  <c r="P3465" i="1"/>
  <c r="Q3465" i="1" s="1"/>
  <c r="P3466" i="1"/>
  <c r="Q3466" i="1" s="1"/>
  <c r="P3467" i="1"/>
  <c r="Q3467" i="1" s="1"/>
  <c r="P1962" i="1"/>
  <c r="Q1962" i="1" s="1"/>
  <c r="P4044" i="1"/>
  <c r="Q4044" i="1" s="1"/>
  <c r="P2805" i="1"/>
  <c r="Q2805" i="1" s="1"/>
  <c r="P2994" i="1"/>
  <c r="Q2994" i="1" s="1"/>
  <c r="P425" i="1"/>
  <c r="Q425" i="1" s="1"/>
  <c r="P974" i="1"/>
  <c r="Q974" i="1" s="1"/>
  <c r="P975" i="1"/>
  <c r="Q975" i="1" s="1"/>
  <c r="P4408" i="1"/>
  <c r="Q4408" i="1" s="1"/>
  <c r="P976" i="1"/>
  <c r="Q976" i="1" s="1"/>
  <c r="P977" i="1"/>
  <c r="Q977" i="1" s="1"/>
  <c r="P3238" i="1"/>
  <c r="Q3238" i="1" s="1"/>
  <c r="P426" i="1"/>
  <c r="Q426" i="1" s="1"/>
  <c r="P978" i="1"/>
  <c r="Q978" i="1" s="1"/>
  <c r="P3891" i="1"/>
  <c r="Q3891" i="1" s="1"/>
  <c r="P2828" i="1"/>
  <c r="Q2828" i="1" s="1"/>
  <c r="P979" i="1"/>
  <c r="Q979" i="1" s="1"/>
  <c r="P980" i="1"/>
  <c r="Q980" i="1" s="1"/>
  <c r="P981" i="1"/>
  <c r="Q981" i="1" s="1"/>
  <c r="P2082" i="1"/>
  <c r="Q2082" i="1" s="1"/>
  <c r="P4409" i="1"/>
  <c r="Q4409" i="1" s="1"/>
  <c r="P982" i="1"/>
  <c r="Q982" i="1" s="1"/>
  <c r="P2641" i="1"/>
  <c r="Q2641" i="1" s="1"/>
  <c r="P983" i="1"/>
  <c r="Q983" i="1" s="1"/>
  <c r="P2083" i="1"/>
  <c r="Q2083" i="1" s="1"/>
  <c r="P2461" i="1"/>
  <c r="Q2461" i="1" s="1"/>
  <c r="P3285" i="1"/>
  <c r="Q3285" i="1" s="1"/>
  <c r="P984" i="1"/>
  <c r="Q984" i="1" s="1"/>
  <c r="P4410" i="1"/>
  <c r="Q4410" i="1" s="1"/>
  <c r="P985" i="1"/>
  <c r="Q985" i="1" s="1"/>
  <c r="P2995" i="1"/>
  <c r="Q2995" i="1" s="1"/>
  <c r="P4411" i="1"/>
  <c r="Q4411" i="1" s="1"/>
  <c r="P427" i="1"/>
  <c r="Q427" i="1" s="1"/>
  <c r="P986" i="1"/>
  <c r="Q986" i="1" s="1"/>
  <c r="P987" i="1"/>
  <c r="Q987" i="1" s="1"/>
  <c r="P2462" i="1"/>
  <c r="Q2462" i="1" s="1"/>
  <c r="P3892" i="1"/>
  <c r="Q3892" i="1" s="1"/>
  <c r="P2084" i="1"/>
  <c r="Q2084" i="1" s="1"/>
  <c r="P2996" i="1"/>
  <c r="Q2996" i="1" s="1"/>
  <c r="P988" i="1"/>
  <c r="Q988" i="1" s="1"/>
  <c r="P4266" i="1"/>
  <c r="Q4266" i="1" s="1"/>
  <c r="P2211" i="1"/>
  <c r="Q2211" i="1" s="1"/>
  <c r="P3468" i="1"/>
  <c r="Q3468" i="1" s="1"/>
  <c r="P4412" i="1"/>
  <c r="Q4412" i="1" s="1"/>
  <c r="P989" i="1"/>
  <c r="Q989" i="1" s="1"/>
  <c r="P990" i="1"/>
  <c r="Q990" i="1" s="1"/>
  <c r="P336" i="1"/>
  <c r="Q336" i="1" s="1"/>
  <c r="P4413" i="1"/>
  <c r="Q4413" i="1" s="1"/>
  <c r="P991" i="1"/>
  <c r="Q991" i="1" s="1"/>
  <c r="P4045" i="1"/>
  <c r="Q4045" i="1" s="1"/>
  <c r="P4414" i="1"/>
  <c r="Q4414" i="1" s="1"/>
  <c r="P992" i="1"/>
  <c r="Q992" i="1" s="1"/>
  <c r="P2085" i="1"/>
  <c r="Q2085" i="1" s="1"/>
  <c r="P993" i="1"/>
  <c r="Q993" i="1" s="1"/>
  <c r="P2463" i="1"/>
  <c r="Q2463" i="1" s="1"/>
  <c r="P337" i="1"/>
  <c r="Q337" i="1" s="1"/>
  <c r="P3469" i="1"/>
  <c r="Q3469" i="1" s="1"/>
  <c r="P994" i="1"/>
  <c r="Q994" i="1" s="1"/>
  <c r="P428" i="1"/>
  <c r="Q428" i="1" s="1"/>
  <c r="P3470" i="1"/>
  <c r="Q3470" i="1" s="1"/>
  <c r="P995" i="1"/>
  <c r="Q995" i="1" s="1"/>
  <c r="P996" i="1"/>
  <c r="Q996" i="1" s="1"/>
  <c r="P1963" i="1"/>
  <c r="Q1963" i="1" s="1"/>
  <c r="P997" i="1"/>
  <c r="Q997" i="1" s="1"/>
  <c r="P998" i="1"/>
  <c r="Q998" i="1" s="1"/>
  <c r="P4415" i="1"/>
  <c r="Q4415" i="1" s="1"/>
  <c r="P2464" i="1"/>
  <c r="Q2464" i="1" s="1"/>
  <c r="P999" i="1"/>
  <c r="Q999" i="1" s="1"/>
  <c r="P2642" i="1"/>
  <c r="Q2642" i="1" s="1"/>
  <c r="P4416" i="1"/>
  <c r="Q4416" i="1" s="1"/>
  <c r="P4046" i="1"/>
  <c r="Q4046" i="1" s="1"/>
  <c r="P4417" i="1"/>
  <c r="Q4417" i="1" s="1"/>
  <c r="P3471" i="1"/>
  <c r="Q3471" i="1" s="1"/>
  <c r="P1000" i="1"/>
  <c r="Q1000" i="1" s="1"/>
  <c r="P2352" i="1"/>
  <c r="Q2352" i="1" s="1"/>
  <c r="P1001" i="1"/>
  <c r="Q1001" i="1" s="1"/>
  <c r="P1002" i="1"/>
  <c r="Q1002" i="1" s="1"/>
  <c r="P2086" i="1"/>
  <c r="Q2086" i="1" s="1"/>
  <c r="P1003" i="1"/>
  <c r="Q1003" i="1" s="1"/>
  <c r="P1004" i="1"/>
  <c r="Q1004" i="1" s="1"/>
  <c r="P429" i="1"/>
  <c r="Q429" i="1" s="1"/>
  <c r="P1742" i="1"/>
  <c r="Q1742" i="1" s="1"/>
  <c r="P1005" i="1"/>
  <c r="Q1005" i="1" s="1"/>
  <c r="P2353" i="1"/>
  <c r="Q2353" i="1" s="1"/>
  <c r="P3472" i="1"/>
  <c r="Q3472" i="1" s="1"/>
  <c r="P1006" i="1"/>
  <c r="Q1006" i="1" s="1"/>
  <c r="P1007" i="1"/>
  <c r="Q1007" i="1" s="1"/>
  <c r="P2087" i="1"/>
  <c r="Q2087" i="1" s="1"/>
  <c r="P338" i="1"/>
  <c r="Q338" i="1" s="1"/>
  <c r="P4206" i="1"/>
  <c r="Q4206" i="1" s="1"/>
  <c r="P485" i="1"/>
  <c r="Q485" i="1" s="1"/>
  <c r="P269" i="1"/>
  <c r="Q269" i="1" s="1"/>
  <c r="P4418" i="1"/>
  <c r="Q4418" i="1" s="1"/>
  <c r="P1964" i="1"/>
  <c r="Q1964" i="1" s="1"/>
  <c r="P1008" i="1"/>
  <c r="Q1008" i="1" s="1"/>
  <c r="P1009" i="1"/>
  <c r="Q1009" i="1" s="1"/>
  <c r="P3473" i="1"/>
  <c r="Q3473" i="1" s="1"/>
  <c r="P3474" i="1"/>
  <c r="Q3474" i="1" s="1"/>
  <c r="P4047" i="1"/>
  <c r="Q4047" i="1" s="1"/>
  <c r="P4419" i="1"/>
  <c r="Q4419" i="1" s="1"/>
  <c r="P1010" i="1"/>
  <c r="Q1010" i="1" s="1"/>
  <c r="P2088" i="1"/>
  <c r="Q2088" i="1" s="1"/>
  <c r="P2251" i="1"/>
  <c r="Q2251" i="1" s="1"/>
  <c r="P1743" i="1"/>
  <c r="Q1743" i="1" s="1"/>
  <c r="P1011" i="1"/>
  <c r="Q1011" i="1" s="1"/>
  <c r="P2089" i="1"/>
  <c r="Q2089" i="1" s="1"/>
  <c r="P4420" i="1"/>
  <c r="Q4420" i="1" s="1"/>
  <c r="P3801" i="1"/>
  <c r="Q3801" i="1" s="1"/>
  <c r="P2090" i="1"/>
  <c r="Q2090" i="1" s="1"/>
  <c r="P3475" i="1"/>
  <c r="Q3475" i="1" s="1"/>
  <c r="P1012" i="1"/>
  <c r="Q1012" i="1" s="1"/>
  <c r="P4267" i="1"/>
  <c r="Q4267" i="1" s="1"/>
  <c r="P3802" i="1"/>
  <c r="Q3802" i="1" s="1"/>
  <c r="P4421" i="1"/>
  <c r="Q4421" i="1" s="1"/>
  <c r="P3476" i="1"/>
  <c r="Q3476" i="1" s="1"/>
  <c r="P486" i="1"/>
  <c r="Q486" i="1" s="1"/>
  <c r="P3477" i="1"/>
  <c r="Q3477" i="1" s="1"/>
  <c r="P3239" i="1"/>
  <c r="Q3239" i="1" s="1"/>
  <c r="P2643" i="1"/>
  <c r="Q2643" i="1" s="1"/>
  <c r="P2829" i="1"/>
  <c r="Q2829" i="1" s="1"/>
  <c r="P1013" i="1"/>
  <c r="Q1013" i="1" s="1"/>
  <c r="P1965" i="1"/>
  <c r="Q1965" i="1" s="1"/>
  <c r="P2997" i="1"/>
  <c r="Q2997" i="1" s="1"/>
  <c r="P1858" i="1"/>
  <c r="Q1858" i="1" s="1"/>
  <c r="P3478" i="1"/>
  <c r="Q3478" i="1" s="1"/>
  <c r="P270" i="1"/>
  <c r="Q270" i="1" s="1"/>
  <c r="P2644" i="1"/>
  <c r="Q2644" i="1" s="1"/>
  <c r="P3479" i="1"/>
  <c r="Q3479" i="1" s="1"/>
  <c r="P1014" i="1"/>
  <c r="Q1014" i="1" s="1"/>
  <c r="P3893" i="1"/>
  <c r="Q3893" i="1" s="1"/>
  <c r="P4422" i="1"/>
  <c r="Q4422" i="1" s="1"/>
  <c r="P2091" i="1"/>
  <c r="Q2091" i="1" s="1"/>
  <c r="P4423" i="1"/>
  <c r="Q4423" i="1" s="1"/>
  <c r="P3240" i="1"/>
  <c r="Q3240" i="1" s="1"/>
  <c r="P271" i="1"/>
  <c r="Q271" i="1" s="1"/>
  <c r="P2289" i="1"/>
  <c r="Q2289" i="1" s="1"/>
  <c r="P3263" i="1"/>
  <c r="Q3263" i="1" s="1"/>
  <c r="P1859" i="1"/>
  <c r="Q1859" i="1" s="1"/>
  <c r="P3480" i="1"/>
  <c r="Q3480" i="1" s="1"/>
  <c r="P1015" i="1"/>
  <c r="Q1015" i="1" s="1"/>
  <c r="P3481" i="1"/>
  <c r="Q3481" i="1" s="1"/>
  <c r="P487" i="1"/>
  <c r="Q487" i="1" s="1"/>
  <c r="P1744" i="1"/>
  <c r="Q1744" i="1" s="1"/>
  <c r="P4424" i="1"/>
  <c r="Q4424" i="1" s="1"/>
  <c r="P1016" i="1"/>
  <c r="Q1016" i="1" s="1"/>
  <c r="P1860" i="1"/>
  <c r="Q1860" i="1" s="1"/>
  <c r="P1861" i="1"/>
  <c r="Q1861" i="1" s="1"/>
  <c r="P1017" i="1"/>
  <c r="Q1017" i="1" s="1"/>
  <c r="P2645" i="1"/>
  <c r="Q2645" i="1" s="1"/>
  <c r="P4425" i="1"/>
  <c r="Q4425" i="1" s="1"/>
  <c r="P2290" i="1"/>
  <c r="Q2290" i="1" s="1"/>
  <c r="P1862" i="1"/>
  <c r="Q1862" i="1" s="1"/>
  <c r="P2646" i="1"/>
  <c r="Q2646" i="1" s="1"/>
  <c r="P2092" i="1"/>
  <c r="Q2092" i="1" s="1"/>
  <c r="P1018" i="1"/>
  <c r="Q1018" i="1" s="1"/>
  <c r="P2647" i="1"/>
  <c r="Q2647" i="1" s="1"/>
  <c r="P4426" i="1"/>
  <c r="Q4426" i="1" s="1"/>
  <c r="P488" i="1"/>
  <c r="Q488" i="1" s="1"/>
  <c r="P1019" i="1"/>
  <c r="Q1019" i="1" s="1"/>
  <c r="P2093" i="1"/>
  <c r="Q2093" i="1" s="1"/>
  <c r="P3482" i="1"/>
  <c r="Q3482" i="1" s="1"/>
  <c r="P4268" i="1"/>
  <c r="Q4268" i="1" s="1"/>
  <c r="P1745" i="1"/>
  <c r="Q1745" i="1" s="1"/>
  <c r="P339" i="1"/>
  <c r="Q339" i="1" s="1"/>
  <c r="P4427" i="1"/>
  <c r="Q4427" i="1" s="1"/>
  <c r="P1020" i="1"/>
  <c r="Q1020" i="1" s="1"/>
  <c r="P340" i="1"/>
  <c r="Q340" i="1" s="1"/>
  <c r="P1021" i="1"/>
  <c r="Q1021" i="1" s="1"/>
  <c r="P1022" i="1"/>
  <c r="Q1022" i="1" s="1"/>
  <c r="P1023" i="1"/>
  <c r="Q1023" i="1" s="1"/>
  <c r="P1746" i="1"/>
  <c r="Q1746" i="1" s="1"/>
  <c r="P1024" i="1"/>
  <c r="Q1024" i="1" s="1"/>
  <c r="P3894" i="1"/>
  <c r="Q3894" i="1" s="1"/>
  <c r="P2846" i="1"/>
  <c r="Q2846" i="1" s="1"/>
  <c r="P1025" i="1"/>
  <c r="Q1025" i="1" s="1"/>
  <c r="P1026" i="1"/>
  <c r="Q1026" i="1" s="1"/>
  <c r="P1027" i="1"/>
  <c r="Q1027" i="1" s="1"/>
  <c r="P1747" i="1"/>
  <c r="Q1747" i="1" s="1"/>
  <c r="P1028" i="1"/>
  <c r="Q1028" i="1" s="1"/>
  <c r="P1748" i="1"/>
  <c r="Q1748" i="1" s="1"/>
  <c r="P1029" i="1"/>
  <c r="Q1029" i="1" s="1"/>
  <c r="P1030" i="1"/>
  <c r="Q1030" i="1" s="1"/>
  <c r="P3483" i="1"/>
  <c r="Q3483" i="1" s="1"/>
  <c r="P3484" i="1"/>
  <c r="Q3484" i="1" s="1"/>
  <c r="P3485" i="1"/>
  <c r="Q3485" i="1" s="1"/>
  <c r="P501" i="1"/>
  <c r="Q501" i="1" s="1"/>
  <c r="P1031" i="1"/>
  <c r="Q1031" i="1" s="1"/>
  <c r="P4139" i="1"/>
  <c r="Q4139" i="1" s="1"/>
  <c r="P4207" i="1"/>
  <c r="Q4207" i="1" s="1"/>
  <c r="P2094" i="1"/>
  <c r="Q2094" i="1" s="1"/>
  <c r="P2465" i="1"/>
  <c r="Q2465" i="1" s="1"/>
  <c r="P3211" i="1"/>
  <c r="Q3211" i="1" s="1"/>
  <c r="P1032" i="1"/>
  <c r="Q1032" i="1" s="1"/>
  <c r="P1033" i="1"/>
  <c r="Q1033" i="1" s="1"/>
  <c r="P2354" i="1"/>
  <c r="Q2354" i="1" s="1"/>
  <c r="P3486" i="1"/>
  <c r="Q3486" i="1" s="1"/>
  <c r="P3264" i="1"/>
  <c r="Q3264" i="1" s="1"/>
  <c r="P3487" i="1"/>
  <c r="Q3487" i="1" s="1"/>
  <c r="P4269" i="1"/>
  <c r="Q4269" i="1" s="1"/>
  <c r="P2857" i="1"/>
  <c r="Q2857" i="1" s="1"/>
  <c r="P1749" i="1"/>
  <c r="Q1749" i="1" s="1"/>
  <c r="P3488" i="1"/>
  <c r="Q3488" i="1" s="1"/>
  <c r="P2095" i="1"/>
  <c r="Q2095" i="1" s="1"/>
  <c r="P341" i="1"/>
  <c r="Q341" i="1" s="1"/>
  <c r="P2885" i="1"/>
  <c r="Q2885" i="1" s="1"/>
  <c r="P272" i="1"/>
  <c r="Q272" i="1" s="1"/>
  <c r="P1034" i="1"/>
  <c r="Q1034" i="1" s="1"/>
  <c r="P3489" i="1"/>
  <c r="Q3489" i="1" s="1"/>
  <c r="P1035" i="1"/>
  <c r="Q1035" i="1" s="1"/>
  <c r="P342" i="1"/>
  <c r="Q342" i="1" s="1"/>
  <c r="P3490" i="1"/>
  <c r="Q3490" i="1" s="1"/>
  <c r="P2394" i="1"/>
  <c r="Q2394" i="1" s="1"/>
  <c r="P1036" i="1"/>
  <c r="Q1036" i="1" s="1"/>
  <c r="P1863" i="1"/>
  <c r="Q1863" i="1" s="1"/>
  <c r="P3491" i="1"/>
  <c r="Q3491" i="1" s="1"/>
  <c r="P2355" i="1"/>
  <c r="Q2355" i="1" s="1"/>
  <c r="P1037" i="1"/>
  <c r="Q1037" i="1" s="1"/>
  <c r="P4428" i="1"/>
  <c r="Q4428" i="1" s="1"/>
  <c r="P2648" i="1"/>
  <c r="Q2648" i="1" s="1"/>
  <c r="P343" i="1"/>
  <c r="Q343" i="1" s="1"/>
  <c r="P2998" i="1"/>
  <c r="Q2998" i="1" s="1"/>
  <c r="P1038" i="1"/>
  <c r="Q1038" i="1" s="1"/>
  <c r="P344" i="1"/>
  <c r="Q344" i="1" s="1"/>
  <c r="P1039" i="1"/>
  <c r="Q1039" i="1" s="1"/>
  <c r="P1040" i="1"/>
  <c r="Q1040" i="1" s="1"/>
  <c r="P2649" i="1"/>
  <c r="Q2649" i="1" s="1"/>
  <c r="P1041" i="1"/>
  <c r="Q1041" i="1" s="1"/>
  <c r="P430" i="1"/>
  <c r="Q430" i="1" s="1"/>
  <c r="P1750" i="1"/>
  <c r="Q1750" i="1" s="1"/>
  <c r="P4048" i="1"/>
  <c r="Q4048" i="1" s="1"/>
  <c r="P2096" i="1"/>
  <c r="Q2096" i="1" s="1"/>
  <c r="P3492" i="1"/>
  <c r="Q3492" i="1" s="1"/>
  <c r="P1042" i="1"/>
  <c r="Q1042" i="1" s="1"/>
  <c r="P2395" i="1"/>
  <c r="Q2395" i="1" s="1"/>
  <c r="P1043" i="1"/>
  <c r="Q1043" i="1" s="1"/>
  <c r="P296" i="1"/>
  <c r="Q296" i="1" s="1"/>
  <c r="P4154" i="1"/>
  <c r="Q4154" i="1" s="1"/>
  <c r="P2466" i="1"/>
  <c r="Q2466" i="1" s="1"/>
  <c r="P4049" i="1"/>
  <c r="Q4049" i="1" s="1"/>
  <c r="P3781" i="1"/>
  <c r="Q3781" i="1" s="1"/>
  <c r="P2291" i="1"/>
  <c r="Q2291" i="1" s="1"/>
  <c r="P1044" i="1"/>
  <c r="Q1044" i="1" s="1"/>
  <c r="P2650" i="1"/>
  <c r="Q2650" i="1" s="1"/>
  <c r="P3493" i="1"/>
  <c r="Q3493" i="1" s="1"/>
  <c r="P2097" i="1"/>
  <c r="Q2097" i="1" s="1"/>
  <c r="P3241" i="1"/>
  <c r="Q3241" i="1" s="1"/>
  <c r="P345" i="1"/>
  <c r="Q345" i="1" s="1"/>
  <c r="P2999" i="1"/>
  <c r="Q2999" i="1" s="1"/>
  <c r="P3242" i="1"/>
  <c r="Q3242" i="1" s="1"/>
  <c r="P1045" i="1"/>
  <c r="Q1045" i="1" s="1"/>
  <c r="P1751" i="1"/>
  <c r="Q1751" i="1" s="1"/>
  <c r="P3895" i="1"/>
  <c r="Q3895" i="1" s="1"/>
  <c r="P2651" i="1"/>
  <c r="Q2651" i="1" s="1"/>
  <c r="P3145" i="1"/>
  <c r="Q3145" i="1" s="1"/>
  <c r="P2467" i="1"/>
  <c r="Q2467" i="1" s="1"/>
  <c r="P3494" i="1"/>
  <c r="Q3494" i="1" s="1"/>
  <c r="P3286" i="1"/>
  <c r="Q3286" i="1" s="1"/>
  <c r="P4429" i="1"/>
  <c r="Q4429" i="1" s="1"/>
  <c r="P1046" i="1"/>
  <c r="Q1046" i="1" s="1"/>
  <c r="P2212" i="1"/>
  <c r="Q2212" i="1" s="1"/>
  <c r="P4430" i="1"/>
  <c r="Q4430" i="1" s="1"/>
  <c r="P431" i="1"/>
  <c r="Q431" i="1" s="1"/>
  <c r="P3896" i="1"/>
  <c r="Q3896" i="1" s="1"/>
  <c r="P3000" i="1"/>
  <c r="Q3000" i="1" s="1"/>
  <c r="P4431" i="1"/>
  <c r="Q4431" i="1" s="1"/>
  <c r="P2213" i="1"/>
  <c r="Q2213" i="1" s="1"/>
  <c r="P4050" i="1"/>
  <c r="Q4050" i="1" s="1"/>
  <c r="P3782" i="1"/>
  <c r="Q3782" i="1" s="1"/>
  <c r="P432" i="1"/>
  <c r="Q432" i="1" s="1"/>
  <c r="P2252" i="1"/>
  <c r="Q2252" i="1" s="1"/>
  <c r="P2292" i="1"/>
  <c r="Q2292" i="1" s="1"/>
  <c r="P433" i="1"/>
  <c r="Q433" i="1" s="1"/>
  <c r="P1047" i="1"/>
  <c r="Q1047" i="1" s="1"/>
  <c r="P4168" i="1"/>
  <c r="Q4168" i="1" s="1"/>
  <c r="P346" i="1"/>
  <c r="Q346" i="1" s="1"/>
  <c r="P4133" i="1"/>
  <c r="Q4133" i="1" s="1"/>
  <c r="P4208" i="1"/>
  <c r="Q4208" i="1" s="1"/>
  <c r="P1048" i="1"/>
  <c r="Q1048" i="1" s="1"/>
  <c r="P4270" i="1"/>
  <c r="Q4270" i="1" s="1"/>
  <c r="P434" i="1"/>
  <c r="Q434" i="1" s="1"/>
  <c r="P1049" i="1"/>
  <c r="Q1049" i="1" s="1"/>
  <c r="P3844" i="1"/>
  <c r="Q3844" i="1" s="1"/>
  <c r="P3897" i="1"/>
  <c r="Q3897" i="1" s="1"/>
  <c r="P3495" i="1"/>
  <c r="Q3495" i="1" s="1"/>
  <c r="P3496" i="1"/>
  <c r="Q3496" i="1" s="1"/>
  <c r="P2886" i="1"/>
  <c r="Q2886" i="1" s="1"/>
  <c r="P3497" i="1"/>
  <c r="Q3497" i="1" s="1"/>
  <c r="P1050" i="1"/>
  <c r="Q1050" i="1" s="1"/>
  <c r="P435" i="1"/>
  <c r="Q435" i="1" s="1"/>
  <c r="P1864" i="1"/>
  <c r="Q1864" i="1" s="1"/>
  <c r="P2902" i="1"/>
  <c r="Q2902" i="1" s="1"/>
  <c r="P2652" i="1"/>
  <c r="Q2652" i="1" s="1"/>
  <c r="P1966" i="1"/>
  <c r="Q1966" i="1" s="1"/>
  <c r="P3498" i="1"/>
  <c r="Q3498" i="1" s="1"/>
  <c r="P1051" i="1"/>
  <c r="Q1051" i="1" s="1"/>
  <c r="P3898" i="1"/>
  <c r="Q3898" i="1" s="1"/>
  <c r="P3499" i="1"/>
  <c r="Q3499" i="1" s="1"/>
  <c r="P3500" i="1"/>
  <c r="Q3500" i="1" s="1"/>
  <c r="P2468" i="1"/>
  <c r="Q2468" i="1" s="1"/>
  <c r="P1052" i="1"/>
  <c r="Q1052" i="1" s="1"/>
  <c r="P2469" i="1"/>
  <c r="Q2469" i="1" s="1"/>
  <c r="P3501" i="1"/>
  <c r="Q3501" i="1" s="1"/>
  <c r="P436" i="1"/>
  <c r="Q436" i="1" s="1"/>
  <c r="P1053" i="1"/>
  <c r="Q1053" i="1" s="1"/>
  <c r="P3803" i="1"/>
  <c r="Q3803" i="1" s="1"/>
  <c r="P1054" i="1"/>
  <c r="Q1054" i="1" s="1"/>
  <c r="P1055" i="1"/>
  <c r="Q1055" i="1" s="1"/>
  <c r="P3164" i="1"/>
  <c r="Q3164" i="1" s="1"/>
  <c r="P4051" i="1"/>
  <c r="Q4051" i="1" s="1"/>
  <c r="P2653" i="1"/>
  <c r="Q2653" i="1" s="1"/>
  <c r="P3804" i="1"/>
  <c r="Q3804" i="1" s="1"/>
  <c r="P1056" i="1"/>
  <c r="Q1056" i="1" s="1"/>
  <c r="P1057" i="1"/>
  <c r="Q1057" i="1" s="1"/>
  <c r="P3001" i="1"/>
  <c r="Q3001" i="1" s="1"/>
  <c r="P1709" i="1"/>
  <c r="Q1709" i="1" s="1"/>
  <c r="P2654" i="1"/>
  <c r="Q2654" i="1" s="1"/>
  <c r="P2470" i="1"/>
  <c r="Q2470" i="1" s="1"/>
  <c r="P3502" i="1"/>
  <c r="Q3502" i="1" s="1"/>
  <c r="P4432" i="1"/>
  <c r="Q4432" i="1" s="1"/>
  <c r="P1752" i="1"/>
  <c r="Q1752" i="1" s="1"/>
  <c r="P1058" i="1"/>
  <c r="Q1058" i="1" s="1"/>
  <c r="P1865" i="1"/>
  <c r="Q1865" i="1" s="1"/>
  <c r="P3899" i="1"/>
  <c r="Q3899" i="1" s="1"/>
  <c r="P1753" i="1"/>
  <c r="Q1753" i="1" s="1"/>
  <c r="P3503" i="1"/>
  <c r="Q3503" i="1" s="1"/>
  <c r="P3900" i="1"/>
  <c r="Q3900" i="1" s="1"/>
  <c r="P1059" i="1"/>
  <c r="Q1059" i="1" s="1"/>
  <c r="P3901" i="1"/>
  <c r="Q3901" i="1" s="1"/>
  <c r="P437" i="1"/>
  <c r="Q437" i="1" s="1"/>
  <c r="P1060" i="1"/>
  <c r="Q1060" i="1" s="1"/>
  <c r="P4271" i="1"/>
  <c r="Q4271" i="1" s="1"/>
  <c r="P1061" i="1"/>
  <c r="Q1061" i="1" s="1"/>
  <c r="P244" i="1"/>
  <c r="Q244" i="1" s="1"/>
  <c r="P3504" i="1"/>
  <c r="Q3504" i="1" s="1"/>
  <c r="P1062" i="1"/>
  <c r="Q1062" i="1" s="1"/>
  <c r="P438" i="1"/>
  <c r="Q438" i="1" s="1"/>
  <c r="P1967" i="1"/>
  <c r="Q1967" i="1" s="1"/>
  <c r="P3002" i="1"/>
  <c r="Q3002" i="1" s="1"/>
  <c r="P2214" i="1"/>
  <c r="Q2214" i="1" s="1"/>
  <c r="P2655" i="1"/>
  <c r="Q2655" i="1" s="1"/>
  <c r="P3505" i="1"/>
  <c r="Q3505" i="1" s="1"/>
  <c r="P1063" i="1"/>
  <c r="Q1063" i="1" s="1"/>
  <c r="P3506" i="1"/>
  <c r="Q3506" i="1" s="1"/>
  <c r="P2656" i="1"/>
  <c r="Q2656" i="1" s="1"/>
  <c r="P2098" i="1"/>
  <c r="Q2098" i="1" s="1"/>
  <c r="P2471" i="1"/>
  <c r="Q2471" i="1" s="1"/>
  <c r="P3003" i="1"/>
  <c r="Q3003" i="1" s="1"/>
  <c r="P2657" i="1"/>
  <c r="Q2657" i="1" s="1"/>
  <c r="P3507" i="1"/>
  <c r="Q3507" i="1" s="1"/>
  <c r="P439" i="1"/>
  <c r="Q439" i="1" s="1"/>
  <c r="P2099" i="1"/>
  <c r="Q2099" i="1" s="1"/>
  <c r="P2658" i="1"/>
  <c r="Q2658" i="1" s="1"/>
  <c r="P2293" i="1"/>
  <c r="Q2293" i="1" s="1"/>
  <c r="P1064" i="1"/>
  <c r="Q1064" i="1" s="1"/>
  <c r="P1065" i="1"/>
  <c r="Q1065" i="1" s="1"/>
  <c r="P1066" i="1"/>
  <c r="Q1066" i="1" s="1"/>
  <c r="P4209" i="1"/>
  <c r="Q4209" i="1" s="1"/>
  <c r="P3805" i="1"/>
  <c r="Q3805" i="1" s="1"/>
  <c r="P273" i="1"/>
  <c r="Q273" i="1" s="1"/>
  <c r="P1067" i="1"/>
  <c r="Q1067" i="1" s="1"/>
  <c r="P3902" i="1"/>
  <c r="Q3902" i="1" s="1"/>
  <c r="P2659" i="1"/>
  <c r="Q2659" i="1" s="1"/>
  <c r="P1068" i="1"/>
  <c r="Q1068" i="1" s="1"/>
  <c r="P347" i="1"/>
  <c r="Q347" i="1" s="1"/>
  <c r="P3243" i="1"/>
  <c r="Q3243" i="1" s="1"/>
  <c r="P1069" i="1"/>
  <c r="Q1069" i="1" s="1"/>
  <c r="P4433" i="1"/>
  <c r="Q4433" i="1" s="1"/>
  <c r="P1070" i="1"/>
  <c r="Q1070" i="1" s="1"/>
  <c r="P1866" i="1"/>
  <c r="Q1866" i="1" s="1"/>
  <c r="P1071" i="1"/>
  <c r="Q1071" i="1" s="1"/>
  <c r="P3004" i="1"/>
  <c r="Q3004" i="1" s="1"/>
  <c r="P2294" i="1"/>
  <c r="Q2294" i="1" s="1"/>
  <c r="P1072" i="1"/>
  <c r="Q1072" i="1" s="1"/>
  <c r="P3005" i="1"/>
  <c r="Q3005" i="1" s="1"/>
  <c r="P2100" i="1"/>
  <c r="Q2100" i="1" s="1"/>
  <c r="P2472" i="1"/>
  <c r="Q2472" i="1" s="1"/>
  <c r="P3006" i="1"/>
  <c r="Q3006" i="1" s="1"/>
  <c r="P1867" i="1"/>
  <c r="Q1867" i="1" s="1"/>
  <c r="P1868" i="1"/>
  <c r="Q1868" i="1" s="1"/>
  <c r="P2473" i="1"/>
  <c r="Q2473" i="1" s="1"/>
  <c r="P4210" i="1"/>
  <c r="Q4210" i="1" s="1"/>
  <c r="P1073" i="1"/>
  <c r="Q1073" i="1" s="1"/>
  <c r="P1074" i="1"/>
  <c r="Q1074" i="1" s="1"/>
  <c r="P2474" i="1"/>
  <c r="Q2474" i="1" s="1"/>
  <c r="P4434" i="1"/>
  <c r="Q4434" i="1" s="1"/>
  <c r="P1075" i="1"/>
  <c r="Q1075" i="1" s="1"/>
  <c r="P2101" i="1"/>
  <c r="Q2101" i="1" s="1"/>
  <c r="P1076" i="1"/>
  <c r="Q1076" i="1" s="1"/>
  <c r="P3508" i="1"/>
  <c r="Q3508" i="1" s="1"/>
  <c r="P1077" i="1"/>
  <c r="Q1077" i="1" s="1"/>
  <c r="P1078" i="1"/>
  <c r="Q1078" i="1" s="1"/>
  <c r="P440" i="1"/>
  <c r="Q440" i="1" s="1"/>
  <c r="P502" i="1"/>
  <c r="Q502" i="1" s="1"/>
  <c r="P3509" i="1"/>
  <c r="Q3509" i="1" s="1"/>
  <c r="P1079" i="1"/>
  <c r="Q1079" i="1" s="1"/>
  <c r="P3007" i="1"/>
  <c r="Q3007" i="1" s="1"/>
  <c r="P3510" i="1"/>
  <c r="Q3510" i="1" s="1"/>
  <c r="P2102" i="1"/>
  <c r="Q2102" i="1" s="1"/>
  <c r="P2295" i="1"/>
  <c r="Q2295" i="1" s="1"/>
  <c r="P2660" i="1"/>
  <c r="Q2660" i="1" s="1"/>
  <c r="P1869" i="1"/>
  <c r="Q1869" i="1" s="1"/>
  <c r="P3008" i="1"/>
  <c r="Q3008" i="1" s="1"/>
  <c r="P1080" i="1"/>
  <c r="Q1080" i="1" s="1"/>
  <c r="P3511" i="1"/>
  <c r="Q3511" i="1" s="1"/>
  <c r="P3512" i="1"/>
  <c r="Q3512" i="1" s="1"/>
  <c r="P4435" i="1"/>
  <c r="Q4435" i="1" s="1"/>
  <c r="P3009" i="1"/>
  <c r="Q3009" i="1" s="1"/>
  <c r="P3010" i="1"/>
  <c r="Q3010" i="1" s="1"/>
  <c r="P1081" i="1"/>
  <c r="Q1081" i="1" s="1"/>
  <c r="P3513" i="1"/>
  <c r="Q3513" i="1" s="1"/>
  <c r="P1754" i="1"/>
  <c r="Q1754" i="1" s="1"/>
  <c r="P3514" i="1"/>
  <c r="Q3514" i="1" s="1"/>
  <c r="P2806" i="1"/>
  <c r="Q2806" i="1" s="1"/>
  <c r="P3834" i="1"/>
  <c r="Q3834" i="1" s="1"/>
  <c r="P1082" i="1"/>
  <c r="Q1082" i="1" s="1"/>
  <c r="P4436" i="1"/>
  <c r="Q4436" i="1" s="1"/>
  <c r="P503" i="1"/>
  <c r="Q503" i="1" s="1"/>
  <c r="P297" i="1"/>
  <c r="Q297" i="1" s="1"/>
  <c r="P2807" i="1"/>
  <c r="Q2807" i="1" s="1"/>
  <c r="P3011" i="1"/>
  <c r="Q3011" i="1" s="1"/>
  <c r="P1083" i="1"/>
  <c r="Q1083" i="1" s="1"/>
  <c r="P1968" i="1"/>
  <c r="Q1968" i="1" s="1"/>
  <c r="P3212" i="1"/>
  <c r="Q3212" i="1" s="1"/>
  <c r="P1870" i="1"/>
  <c r="Q1870" i="1" s="1"/>
  <c r="P4272" i="1"/>
  <c r="Q4272" i="1" s="1"/>
  <c r="P2396" i="1"/>
  <c r="Q2396" i="1" s="1"/>
  <c r="P1084" i="1"/>
  <c r="Q1084" i="1" s="1"/>
  <c r="P1085" i="1"/>
  <c r="Q1085" i="1" s="1"/>
  <c r="P1969" i="1"/>
  <c r="Q1969" i="1" s="1"/>
  <c r="P441" i="1"/>
  <c r="Q441" i="1" s="1"/>
  <c r="P2661" i="1"/>
  <c r="Q2661" i="1" s="1"/>
  <c r="P1970" i="1"/>
  <c r="Q1970" i="1" s="1"/>
  <c r="P1086" i="1"/>
  <c r="Q1086" i="1" s="1"/>
  <c r="P1087" i="1"/>
  <c r="Q1087" i="1" s="1"/>
  <c r="P2830" i="1"/>
  <c r="Q2830" i="1" s="1"/>
  <c r="P1755" i="1"/>
  <c r="Q1755" i="1" s="1"/>
  <c r="P3903" i="1"/>
  <c r="Q3903" i="1" s="1"/>
  <c r="P4239" i="1"/>
  <c r="Q4239" i="1" s="1"/>
  <c r="P1088" i="1"/>
  <c r="Q1088" i="1" s="1"/>
  <c r="P2475" i="1"/>
  <c r="Q2475" i="1" s="1"/>
  <c r="P4437" i="1"/>
  <c r="Q4437" i="1" s="1"/>
  <c r="P3515" i="1"/>
  <c r="Q3515" i="1" s="1"/>
  <c r="P4052" i="1"/>
  <c r="Q4052" i="1" s="1"/>
  <c r="P3516" i="1"/>
  <c r="Q3516" i="1" s="1"/>
  <c r="P1089" i="1"/>
  <c r="Q1089" i="1" s="1"/>
  <c r="P2356" i="1"/>
  <c r="Q2356" i="1" s="1"/>
  <c r="P1090" i="1"/>
  <c r="Q1090" i="1" s="1"/>
  <c r="P255" i="1"/>
  <c r="Q255" i="1" s="1"/>
  <c r="P1091" i="1"/>
  <c r="Q1091" i="1" s="1"/>
  <c r="P1092" i="1"/>
  <c r="Q1092" i="1" s="1"/>
  <c r="P442" i="1"/>
  <c r="Q442" i="1" s="1"/>
  <c r="P2662" i="1"/>
  <c r="Q2662" i="1" s="1"/>
  <c r="P4240" i="1"/>
  <c r="Q4240" i="1" s="1"/>
  <c r="P1093" i="1"/>
  <c r="Q1093" i="1" s="1"/>
  <c r="P1094" i="1"/>
  <c r="Q1094" i="1" s="1"/>
  <c r="P1095" i="1"/>
  <c r="Q1095" i="1" s="1"/>
  <c r="P3012" i="1"/>
  <c r="Q3012" i="1" s="1"/>
  <c r="P1096" i="1"/>
  <c r="Q1096" i="1" s="1"/>
  <c r="P2663" i="1"/>
  <c r="Q2663" i="1" s="1"/>
  <c r="P3517" i="1"/>
  <c r="Q3517" i="1" s="1"/>
  <c r="P3904" i="1"/>
  <c r="Q3904" i="1" s="1"/>
  <c r="P3518" i="1"/>
  <c r="Q3518" i="1" s="1"/>
  <c r="P2476" i="1"/>
  <c r="Q2476" i="1" s="1"/>
  <c r="P1097" i="1"/>
  <c r="Q1097" i="1" s="1"/>
  <c r="P1098" i="1"/>
  <c r="Q1098" i="1" s="1"/>
  <c r="P1099" i="1"/>
  <c r="Q1099" i="1" s="1"/>
  <c r="P1100" i="1"/>
  <c r="Q1100" i="1" s="1"/>
  <c r="P3905" i="1"/>
  <c r="Q3905" i="1" s="1"/>
  <c r="P4438" i="1"/>
  <c r="Q4438" i="1" s="1"/>
  <c r="P1971" i="1"/>
  <c r="Q1971" i="1" s="1"/>
  <c r="P4439" i="1"/>
  <c r="Q4439" i="1" s="1"/>
  <c r="P1101" i="1"/>
  <c r="Q1101" i="1" s="1"/>
  <c r="P2808" i="1"/>
  <c r="Q2808" i="1" s="1"/>
  <c r="P3906" i="1"/>
  <c r="Q3906" i="1" s="1"/>
  <c r="P4273" i="1"/>
  <c r="Q4273" i="1" s="1"/>
  <c r="P2664" i="1"/>
  <c r="Q2664" i="1" s="1"/>
  <c r="P1102" i="1"/>
  <c r="Q1102" i="1" s="1"/>
  <c r="P1103" i="1"/>
  <c r="Q1103" i="1" s="1"/>
  <c r="P2103" i="1"/>
  <c r="Q2103" i="1" s="1"/>
  <c r="P3519" i="1"/>
  <c r="Q3519" i="1" s="1"/>
  <c r="P4440" i="1"/>
  <c r="Q4440" i="1" s="1"/>
  <c r="P4441" i="1"/>
  <c r="Q4441" i="1" s="1"/>
  <c r="P2236" i="1"/>
  <c r="Q2236" i="1" s="1"/>
  <c r="P4274" i="1"/>
  <c r="Q4274" i="1" s="1"/>
  <c r="P3013" i="1"/>
  <c r="Q3013" i="1" s="1"/>
  <c r="P4442" i="1"/>
  <c r="Q4442" i="1" s="1"/>
  <c r="P1104" i="1"/>
  <c r="Q1104" i="1" s="1"/>
  <c r="P3520" i="1"/>
  <c r="Q3520" i="1" s="1"/>
  <c r="P1105" i="1"/>
  <c r="Q1105" i="1" s="1"/>
  <c r="P1972" i="1"/>
  <c r="Q1972" i="1" s="1"/>
  <c r="P3244" i="1"/>
  <c r="Q3244" i="1" s="1"/>
  <c r="P1106" i="1"/>
  <c r="Q1106" i="1" s="1"/>
  <c r="P3521" i="1"/>
  <c r="Q3521" i="1" s="1"/>
  <c r="P3806" i="1"/>
  <c r="Q3806" i="1" s="1"/>
  <c r="P2477" i="1"/>
  <c r="Q2477" i="1" s="1"/>
  <c r="P3907" i="1"/>
  <c r="Q3907" i="1" s="1"/>
  <c r="P1107" i="1"/>
  <c r="Q1107" i="1" s="1"/>
  <c r="P1756" i="1"/>
  <c r="Q1756" i="1" s="1"/>
  <c r="P3908" i="1"/>
  <c r="Q3908" i="1" s="1"/>
  <c r="P1108" i="1"/>
  <c r="Q1108" i="1" s="1"/>
  <c r="P3014" i="1"/>
  <c r="Q3014" i="1" s="1"/>
  <c r="P2847" i="1"/>
  <c r="Q2847" i="1" s="1"/>
  <c r="P3213" i="1"/>
  <c r="Q3213" i="1" s="1"/>
  <c r="P348" i="1"/>
  <c r="Q348" i="1" s="1"/>
  <c r="P2665" i="1"/>
  <c r="Q2665" i="1" s="1"/>
  <c r="P1973" i="1"/>
  <c r="Q1973" i="1" s="1"/>
  <c r="P3015" i="1"/>
  <c r="Q3015" i="1" s="1"/>
  <c r="P3909" i="1"/>
  <c r="Q3909" i="1" s="1"/>
  <c r="P1109" i="1"/>
  <c r="Q1109" i="1" s="1"/>
  <c r="P3910" i="1"/>
  <c r="Q3910" i="1" s="1"/>
  <c r="P3522" i="1"/>
  <c r="Q3522" i="1" s="1"/>
  <c r="P3911" i="1"/>
  <c r="Q3911" i="1" s="1"/>
  <c r="P4211" i="1"/>
  <c r="Q4211" i="1" s="1"/>
  <c r="P4275" i="1"/>
  <c r="Q4275" i="1" s="1"/>
  <c r="P1110" i="1"/>
  <c r="Q1110" i="1" s="1"/>
  <c r="P2838" i="1"/>
  <c r="Q2838" i="1" s="1"/>
  <c r="P3245" i="1"/>
  <c r="Q3245" i="1" s="1"/>
  <c r="P1111" i="1"/>
  <c r="Q1111" i="1" s="1"/>
  <c r="P2192" i="1"/>
  <c r="Q2192" i="1" s="1"/>
  <c r="P1112" i="1"/>
  <c r="Q1112" i="1" s="1"/>
  <c r="P2836" i="1"/>
  <c r="Q2836" i="1" s="1"/>
  <c r="P1113" i="1"/>
  <c r="Q1113" i="1" s="1"/>
  <c r="P1871" i="1"/>
  <c r="Q1871" i="1" s="1"/>
  <c r="P1872" i="1"/>
  <c r="Q1872" i="1" s="1"/>
  <c r="P4241" i="1"/>
  <c r="Q4241" i="1" s="1"/>
  <c r="P3016" i="1"/>
  <c r="Q3016" i="1" s="1"/>
  <c r="P274" i="1"/>
  <c r="Q274" i="1" s="1"/>
  <c r="P3523" i="1"/>
  <c r="Q3523" i="1" s="1"/>
  <c r="P1114" i="1"/>
  <c r="Q1114" i="1" s="1"/>
  <c r="P4053" i="1"/>
  <c r="Q4053" i="1" s="1"/>
  <c r="P3912" i="1"/>
  <c r="Q3912" i="1" s="1"/>
  <c r="P1115" i="1"/>
  <c r="Q1115" i="1" s="1"/>
  <c r="P3017" i="1"/>
  <c r="Q3017" i="1" s="1"/>
  <c r="P3524" i="1"/>
  <c r="Q3524" i="1" s="1"/>
  <c r="P1116" i="1"/>
  <c r="Q1116" i="1" s="1"/>
  <c r="P4443" i="1"/>
  <c r="Q4443" i="1" s="1"/>
  <c r="P3177" i="1"/>
  <c r="Q3177" i="1" s="1"/>
  <c r="P3018" i="1"/>
  <c r="Q3018" i="1" s="1"/>
  <c r="P349" i="1"/>
  <c r="Q349" i="1" s="1"/>
  <c r="P350" i="1"/>
  <c r="Q350" i="1" s="1"/>
  <c r="P3913" i="1"/>
  <c r="Q3913" i="1" s="1"/>
  <c r="P2478" i="1"/>
  <c r="Q2478" i="1" s="1"/>
  <c r="P3165" i="1"/>
  <c r="Q3165" i="1" s="1"/>
  <c r="P2666" i="1"/>
  <c r="Q2666" i="1" s="1"/>
  <c r="P4140" i="1"/>
  <c r="Q4140" i="1" s="1"/>
  <c r="P3525" i="1"/>
  <c r="Q3525" i="1" s="1"/>
  <c r="P2667" i="1"/>
  <c r="Q2667" i="1" s="1"/>
  <c r="P2479" i="1"/>
  <c r="Q2479" i="1" s="1"/>
  <c r="P1117" i="1"/>
  <c r="Q1117" i="1" s="1"/>
  <c r="P2296" i="1"/>
  <c r="Q2296" i="1" s="1"/>
  <c r="P2104" i="1"/>
  <c r="Q2104" i="1" s="1"/>
  <c r="P4444" i="1"/>
  <c r="Q4444" i="1" s="1"/>
  <c r="P1873" i="1"/>
  <c r="Q1873" i="1" s="1"/>
  <c r="P1118" i="1"/>
  <c r="Q1118" i="1" s="1"/>
  <c r="P1119" i="1"/>
  <c r="Q1119" i="1" s="1"/>
  <c r="P1757" i="1"/>
  <c r="Q1757" i="1" s="1"/>
  <c r="P1120" i="1"/>
  <c r="Q1120" i="1" s="1"/>
  <c r="P4276" i="1"/>
  <c r="Q4276" i="1" s="1"/>
  <c r="P2397" i="1"/>
  <c r="Q2397" i="1" s="1"/>
  <c r="P1874" i="1"/>
  <c r="Q1874" i="1" s="1"/>
  <c r="P1121" i="1"/>
  <c r="Q1121" i="1" s="1"/>
  <c r="P2809" i="1"/>
  <c r="Q2809" i="1" s="1"/>
  <c r="P1122" i="1"/>
  <c r="Q1122" i="1" s="1"/>
  <c r="P1123" i="1"/>
  <c r="Q1123" i="1" s="1"/>
  <c r="P1124" i="1"/>
  <c r="Q1124" i="1" s="1"/>
  <c r="P4054" i="1"/>
  <c r="Q4054" i="1" s="1"/>
  <c r="P1125" i="1"/>
  <c r="Q1125" i="1" s="1"/>
  <c r="P2668" i="1"/>
  <c r="Q2668" i="1" s="1"/>
  <c r="P2480" i="1"/>
  <c r="Q2480" i="1" s="1"/>
  <c r="P351" i="1"/>
  <c r="Q351" i="1" s="1"/>
  <c r="P3914" i="1"/>
  <c r="Q3914" i="1" s="1"/>
  <c r="P2669" i="1"/>
  <c r="Q2669" i="1" s="1"/>
  <c r="P4445" i="1"/>
  <c r="Q4445" i="1" s="1"/>
  <c r="P3166" i="1"/>
  <c r="Q3166" i="1" s="1"/>
  <c r="P3019" i="1"/>
  <c r="Q3019" i="1" s="1"/>
  <c r="P2253" i="1"/>
  <c r="Q2253" i="1" s="1"/>
  <c r="P4055" i="1"/>
  <c r="Q4055" i="1" s="1"/>
  <c r="P2670" i="1"/>
  <c r="Q2670" i="1" s="1"/>
  <c r="P4446" i="1"/>
  <c r="Q4446" i="1" s="1"/>
  <c r="P1974" i="1"/>
  <c r="Q1974" i="1" s="1"/>
  <c r="P2671" i="1"/>
  <c r="Q2671" i="1" s="1"/>
  <c r="P3526" i="1"/>
  <c r="Q3526" i="1" s="1"/>
  <c r="P3287" i="1"/>
  <c r="Q3287" i="1" s="1"/>
  <c r="P1126" i="1"/>
  <c r="Q1126" i="1" s="1"/>
  <c r="P2105" i="1"/>
  <c r="Q2105" i="1" s="1"/>
  <c r="P4277" i="1"/>
  <c r="Q4277" i="1" s="1"/>
  <c r="P1127" i="1"/>
  <c r="Q1127" i="1" s="1"/>
  <c r="P4447" i="1"/>
  <c r="Q4447" i="1" s="1"/>
  <c r="P1128" i="1"/>
  <c r="Q1128" i="1" s="1"/>
  <c r="P2672" i="1"/>
  <c r="Q2672" i="1" s="1"/>
  <c r="P1129" i="1"/>
  <c r="Q1129" i="1" s="1"/>
  <c r="P2106" i="1"/>
  <c r="Q2106" i="1" s="1"/>
  <c r="P2481" i="1"/>
  <c r="Q2481" i="1" s="1"/>
  <c r="P3527" i="1"/>
  <c r="Q3527" i="1" s="1"/>
  <c r="P2810" i="1"/>
  <c r="Q2810" i="1" s="1"/>
  <c r="P1130" i="1"/>
  <c r="Q1130" i="1" s="1"/>
  <c r="P1875" i="1"/>
  <c r="Q1875" i="1" s="1"/>
  <c r="P1131" i="1"/>
  <c r="Q1131" i="1" s="1"/>
  <c r="P2107" i="1"/>
  <c r="Q2107" i="1" s="1"/>
  <c r="P1132" i="1"/>
  <c r="Q1132" i="1" s="1"/>
  <c r="P2108" i="1"/>
  <c r="Q2108" i="1" s="1"/>
  <c r="P3915" i="1"/>
  <c r="Q3915" i="1" s="1"/>
  <c r="P4141" i="1"/>
  <c r="Q4141" i="1" s="1"/>
  <c r="P1133" i="1"/>
  <c r="Q1133" i="1" s="1"/>
  <c r="P443" i="1"/>
  <c r="Q443" i="1" s="1"/>
  <c r="P1134" i="1"/>
  <c r="Q1134" i="1" s="1"/>
  <c r="P1135" i="1"/>
  <c r="Q1135" i="1" s="1"/>
  <c r="P1975" i="1"/>
  <c r="Q1975" i="1" s="1"/>
  <c r="P2673" i="1"/>
  <c r="Q2673" i="1" s="1"/>
  <c r="P3528" i="1"/>
  <c r="Q3528" i="1" s="1"/>
  <c r="P2297" i="1"/>
  <c r="Q2297" i="1" s="1"/>
  <c r="P4278" i="1"/>
  <c r="Q4278" i="1" s="1"/>
  <c r="P3529" i="1"/>
  <c r="Q3529" i="1" s="1"/>
  <c r="P4448" i="1"/>
  <c r="Q4448" i="1" s="1"/>
  <c r="P1976" i="1"/>
  <c r="Q1976" i="1" s="1"/>
  <c r="P1136" i="1"/>
  <c r="Q1136" i="1" s="1"/>
  <c r="P1137" i="1"/>
  <c r="Q1137" i="1" s="1"/>
  <c r="P1138" i="1"/>
  <c r="Q1138" i="1" s="1"/>
  <c r="P3530" i="1"/>
  <c r="Q3530" i="1" s="1"/>
  <c r="P1139" i="1"/>
  <c r="Q1139" i="1" s="1"/>
  <c r="P1140" i="1"/>
  <c r="Q1140" i="1" s="1"/>
  <c r="P2887" i="1"/>
  <c r="Q2887" i="1" s="1"/>
  <c r="P2823" i="1"/>
  <c r="Q2823" i="1" s="1"/>
  <c r="P352" i="1"/>
  <c r="Q352" i="1" s="1"/>
  <c r="P1876" i="1"/>
  <c r="Q1876" i="1" s="1"/>
  <c r="P1141" i="1"/>
  <c r="Q1141" i="1" s="1"/>
  <c r="P1142" i="1"/>
  <c r="Q1142" i="1" s="1"/>
  <c r="P4449" i="1"/>
  <c r="Q4449" i="1" s="1"/>
  <c r="P3531" i="1"/>
  <c r="Q3531" i="1" s="1"/>
  <c r="P1143" i="1"/>
  <c r="Q1143" i="1" s="1"/>
  <c r="P1144" i="1"/>
  <c r="Q1144" i="1" s="1"/>
  <c r="P3532" i="1"/>
  <c r="Q3532" i="1" s="1"/>
  <c r="P3916" i="1"/>
  <c r="Q3916" i="1" s="1"/>
  <c r="P2539" i="1"/>
  <c r="Q2539" i="1" s="1"/>
  <c r="P2674" i="1"/>
  <c r="Q2674" i="1" s="1"/>
  <c r="P3533" i="1"/>
  <c r="Q3533" i="1" s="1"/>
  <c r="P3917" i="1"/>
  <c r="Q3917" i="1" s="1"/>
  <c r="P353" i="1"/>
  <c r="Q353" i="1" s="1"/>
  <c r="P4128" i="1"/>
  <c r="Q4128" i="1" s="1"/>
  <c r="P2675" i="1"/>
  <c r="Q2675" i="1" s="1"/>
  <c r="P1145" i="1"/>
  <c r="Q1145" i="1" s="1"/>
  <c r="P2676" i="1"/>
  <c r="Q2676" i="1" s="1"/>
  <c r="P3020" i="1"/>
  <c r="Q3020" i="1" s="1"/>
  <c r="P2677" i="1"/>
  <c r="Q2677" i="1" s="1"/>
  <c r="P3021" i="1"/>
  <c r="Q3021" i="1" s="1"/>
  <c r="P1146" i="1"/>
  <c r="Q1146" i="1" s="1"/>
  <c r="P1147" i="1"/>
  <c r="Q1147" i="1" s="1"/>
  <c r="P2482" i="1"/>
  <c r="Q2482" i="1" s="1"/>
  <c r="P1877" i="1"/>
  <c r="Q1877" i="1" s="1"/>
  <c r="P1148" i="1"/>
  <c r="Q1148" i="1" s="1"/>
  <c r="P3534" i="1"/>
  <c r="Q3534" i="1" s="1"/>
  <c r="P1820" i="1"/>
  <c r="Q1820" i="1" s="1"/>
  <c r="P1149" i="1"/>
  <c r="Q1149" i="1" s="1"/>
  <c r="P2109" i="1"/>
  <c r="Q2109" i="1" s="1"/>
  <c r="P1878" i="1"/>
  <c r="Q1878" i="1" s="1"/>
  <c r="P2483" i="1"/>
  <c r="Q2483" i="1" s="1"/>
  <c r="P1150" i="1"/>
  <c r="Q1150" i="1" s="1"/>
  <c r="P3022" i="1"/>
  <c r="Q3022" i="1" s="1"/>
  <c r="P2110" i="1"/>
  <c r="Q2110" i="1" s="1"/>
  <c r="P3196" i="1"/>
  <c r="Q3196" i="1" s="1"/>
  <c r="P2678" i="1"/>
  <c r="Q2678" i="1" s="1"/>
  <c r="P3783" i="1"/>
  <c r="Q3783" i="1" s="1"/>
  <c r="P1151" i="1"/>
  <c r="Q1151" i="1" s="1"/>
  <c r="P4279" i="1"/>
  <c r="Q4279" i="1" s="1"/>
  <c r="P3807" i="1"/>
  <c r="Q3807" i="1" s="1"/>
  <c r="P3535" i="1"/>
  <c r="Q3535" i="1" s="1"/>
  <c r="P1152" i="1"/>
  <c r="Q1152" i="1" s="1"/>
  <c r="P3023" i="1"/>
  <c r="Q3023" i="1" s="1"/>
  <c r="P3214" i="1"/>
  <c r="Q3214" i="1" s="1"/>
  <c r="P504" i="1"/>
  <c r="Q504" i="1" s="1"/>
  <c r="P1879" i="1"/>
  <c r="Q1879" i="1" s="1"/>
  <c r="P4450" i="1"/>
  <c r="Q4450" i="1" s="1"/>
  <c r="P4242" i="1"/>
  <c r="Q4242" i="1" s="1"/>
  <c r="P1758" i="1"/>
  <c r="Q1758" i="1" s="1"/>
  <c r="P4451" i="1"/>
  <c r="Q4451" i="1" s="1"/>
  <c r="P1153" i="1"/>
  <c r="Q1153" i="1" s="1"/>
  <c r="P3536" i="1"/>
  <c r="Q3536" i="1" s="1"/>
  <c r="P4452" i="1"/>
  <c r="Q4452" i="1" s="1"/>
  <c r="P3537" i="1"/>
  <c r="Q3537" i="1" s="1"/>
  <c r="P1154" i="1"/>
  <c r="Q1154" i="1" s="1"/>
  <c r="P2298" i="1"/>
  <c r="Q2298" i="1" s="1"/>
  <c r="P1155" i="1"/>
  <c r="Q1155" i="1" s="1"/>
  <c r="P3538" i="1"/>
  <c r="Q3538" i="1" s="1"/>
  <c r="P2111" i="1"/>
  <c r="Q2111" i="1" s="1"/>
  <c r="P2254" i="1"/>
  <c r="Q2254" i="1" s="1"/>
  <c r="P2903" i="1"/>
  <c r="Q2903" i="1" s="1"/>
  <c r="P2831" i="1"/>
  <c r="Q2831" i="1" s="1"/>
  <c r="P2679" i="1"/>
  <c r="Q2679" i="1" s="1"/>
  <c r="P1156" i="1"/>
  <c r="Q1156" i="1" s="1"/>
  <c r="P4280" i="1"/>
  <c r="Q4280" i="1" s="1"/>
  <c r="P3539" i="1"/>
  <c r="Q3539" i="1" s="1"/>
  <c r="P4056" i="1"/>
  <c r="Q4056" i="1" s="1"/>
  <c r="P1157" i="1"/>
  <c r="Q1157" i="1" s="1"/>
  <c r="P505" i="1"/>
  <c r="Q505" i="1" s="1"/>
  <c r="P444" i="1"/>
  <c r="Q444" i="1" s="1"/>
  <c r="P1158" i="1"/>
  <c r="Q1158" i="1" s="1"/>
  <c r="P1977" i="1"/>
  <c r="Q1977" i="1" s="1"/>
  <c r="P1159" i="1"/>
  <c r="Q1159" i="1" s="1"/>
  <c r="P3918" i="1"/>
  <c r="Q3918" i="1" s="1"/>
  <c r="P3784" i="1"/>
  <c r="Q3784" i="1" s="1"/>
  <c r="P2680" i="1"/>
  <c r="Q2680" i="1" s="1"/>
  <c r="P445" i="1"/>
  <c r="Q445" i="1" s="1"/>
  <c r="P1160" i="1"/>
  <c r="Q1160" i="1" s="1"/>
  <c r="P3919" i="1"/>
  <c r="Q3919" i="1" s="1"/>
  <c r="P2888" i="1"/>
  <c r="Q2888" i="1" s="1"/>
  <c r="P1161" i="1"/>
  <c r="Q1161" i="1" s="1"/>
  <c r="P1162" i="1"/>
  <c r="Q1162" i="1" s="1"/>
  <c r="P2299" i="1"/>
  <c r="Q2299" i="1" s="1"/>
  <c r="P4281" i="1"/>
  <c r="Q4281" i="1" s="1"/>
  <c r="P4282" i="1"/>
  <c r="Q4282" i="1" s="1"/>
  <c r="P1163" i="1"/>
  <c r="Q1163" i="1" s="1"/>
  <c r="P1164" i="1"/>
  <c r="Q1164" i="1" s="1"/>
  <c r="P1165" i="1"/>
  <c r="Q1165" i="1" s="1"/>
  <c r="P2112" i="1"/>
  <c r="Q2112" i="1" s="1"/>
  <c r="P1166" i="1"/>
  <c r="Q1166" i="1" s="1"/>
  <c r="P3265" i="1"/>
  <c r="Q3265" i="1" s="1"/>
  <c r="P2300" i="1"/>
  <c r="Q2300" i="1" s="1"/>
  <c r="P1759" i="1"/>
  <c r="Q1759" i="1" s="1"/>
  <c r="P1978" i="1"/>
  <c r="Q1978" i="1" s="1"/>
  <c r="P2113" i="1"/>
  <c r="Q2113" i="1" s="1"/>
  <c r="P2681" i="1"/>
  <c r="Q2681" i="1" s="1"/>
  <c r="P4453" i="1"/>
  <c r="Q4453" i="1" s="1"/>
  <c r="P1167" i="1"/>
  <c r="Q1167" i="1" s="1"/>
  <c r="P354" i="1"/>
  <c r="Q354" i="1" s="1"/>
  <c r="P1168" i="1"/>
  <c r="Q1168" i="1" s="1"/>
  <c r="P3266" i="1"/>
  <c r="Q3266" i="1" s="1"/>
  <c r="P3540" i="1"/>
  <c r="Q3540" i="1" s="1"/>
  <c r="P1169" i="1"/>
  <c r="Q1169" i="1" s="1"/>
  <c r="P3246" i="1"/>
  <c r="Q3246" i="1" s="1"/>
  <c r="P1170" i="1"/>
  <c r="Q1170" i="1" s="1"/>
  <c r="P3920" i="1"/>
  <c r="Q3920" i="1" s="1"/>
  <c r="P4454" i="1"/>
  <c r="Q4454" i="1" s="1"/>
  <c r="P3541" i="1"/>
  <c r="Q3541" i="1" s="1"/>
  <c r="P4455" i="1"/>
  <c r="Q4455" i="1" s="1"/>
  <c r="P3288" i="1"/>
  <c r="Q3288" i="1" s="1"/>
  <c r="P4456" i="1"/>
  <c r="Q4456" i="1" s="1"/>
  <c r="P2484" i="1"/>
  <c r="Q2484" i="1" s="1"/>
  <c r="P1171" i="1"/>
  <c r="Q1171" i="1" s="1"/>
  <c r="P4457" i="1"/>
  <c r="Q4457" i="1" s="1"/>
  <c r="P3267" i="1"/>
  <c r="Q3267" i="1" s="1"/>
  <c r="P4283" i="1"/>
  <c r="Q4283" i="1" s="1"/>
  <c r="P1172" i="1"/>
  <c r="Q1172" i="1" s="1"/>
  <c r="P1173" i="1"/>
  <c r="Q1173" i="1" s="1"/>
  <c r="P2485" i="1"/>
  <c r="Q2485" i="1" s="1"/>
  <c r="P1174" i="1"/>
  <c r="Q1174" i="1" s="1"/>
  <c r="P1175" i="1"/>
  <c r="Q1175" i="1" s="1"/>
  <c r="P4212" i="1"/>
  <c r="Q4212" i="1" s="1"/>
  <c r="P1176" i="1"/>
  <c r="Q1176" i="1" s="1"/>
  <c r="P2848" i="1"/>
  <c r="Q2848" i="1" s="1"/>
  <c r="P4458" i="1"/>
  <c r="Q4458" i="1" s="1"/>
  <c r="P3024" i="1"/>
  <c r="Q3024" i="1" s="1"/>
  <c r="P1177" i="1"/>
  <c r="Q1177" i="1" s="1"/>
  <c r="P2114" i="1"/>
  <c r="Q2114" i="1" s="1"/>
  <c r="P4459" i="1"/>
  <c r="Q4459" i="1" s="1"/>
  <c r="P2868" i="1"/>
  <c r="Q2868" i="1" s="1"/>
  <c r="P2682" i="1"/>
  <c r="Q2682" i="1" s="1"/>
  <c r="P2255" i="1"/>
  <c r="Q2255" i="1" s="1"/>
  <c r="P1178" i="1"/>
  <c r="Q1178" i="1" s="1"/>
  <c r="P2683" i="1"/>
  <c r="Q2683" i="1" s="1"/>
  <c r="P3921" i="1"/>
  <c r="Q3921" i="1" s="1"/>
  <c r="P2684" i="1"/>
  <c r="Q2684" i="1" s="1"/>
  <c r="P3922" i="1"/>
  <c r="Q3922" i="1" s="1"/>
  <c r="P4013" i="1"/>
  <c r="Q4013" i="1" s="1"/>
  <c r="P1880" i="1"/>
  <c r="Q1880" i="1" s="1"/>
  <c r="P355" i="1"/>
  <c r="Q355" i="1" s="1"/>
  <c r="P1179" i="1"/>
  <c r="Q1179" i="1" s="1"/>
  <c r="P2398" i="1"/>
  <c r="Q2398" i="1" s="1"/>
  <c r="P1180" i="1"/>
  <c r="Q1180" i="1" s="1"/>
  <c r="P1181" i="1"/>
  <c r="Q1181" i="1" s="1"/>
  <c r="P4460" i="1"/>
  <c r="Q4460" i="1" s="1"/>
  <c r="P1182" i="1"/>
  <c r="Q1182" i="1" s="1"/>
  <c r="P2685" i="1"/>
  <c r="Q2685" i="1" s="1"/>
  <c r="P1183" i="1"/>
  <c r="Q1183" i="1" s="1"/>
  <c r="P3542" i="1"/>
  <c r="Q3542" i="1" s="1"/>
  <c r="P3025" i="1"/>
  <c r="Q3025" i="1" s="1"/>
  <c r="P1184" i="1"/>
  <c r="Q1184" i="1" s="1"/>
  <c r="P1881" i="1"/>
  <c r="Q1881" i="1" s="1"/>
  <c r="P3923" i="1"/>
  <c r="Q3923" i="1" s="1"/>
  <c r="P1185" i="1"/>
  <c r="Q1185" i="1" s="1"/>
  <c r="P2115" i="1"/>
  <c r="Q2115" i="1" s="1"/>
  <c r="P3543" i="1"/>
  <c r="Q3543" i="1" s="1"/>
  <c r="P4057" i="1"/>
  <c r="Q4057" i="1" s="1"/>
  <c r="P1186" i="1"/>
  <c r="Q1186" i="1" s="1"/>
  <c r="P3924" i="1"/>
  <c r="Q3924" i="1" s="1"/>
  <c r="P446" i="1"/>
  <c r="Q446" i="1" s="1"/>
  <c r="P3167" i="1"/>
  <c r="Q3167" i="1" s="1"/>
  <c r="P1760" i="1"/>
  <c r="Q1760" i="1" s="1"/>
  <c r="P2686" i="1"/>
  <c r="Q2686" i="1" s="1"/>
  <c r="P3808" i="1"/>
  <c r="Q3808" i="1" s="1"/>
  <c r="P245" i="1"/>
  <c r="Q245" i="1" s="1"/>
  <c r="P4123" i="1"/>
  <c r="Q4123" i="1" s="1"/>
  <c r="P2687" i="1"/>
  <c r="Q2687" i="1" s="1"/>
  <c r="P3026" i="1"/>
  <c r="Q3026" i="1" s="1"/>
  <c r="P2688" i="1"/>
  <c r="Q2688" i="1" s="1"/>
  <c r="P4058" i="1"/>
  <c r="Q4058" i="1" s="1"/>
  <c r="P3544" i="1"/>
  <c r="Q3544" i="1" s="1"/>
  <c r="P1187" i="1"/>
  <c r="Q1187" i="1" s="1"/>
  <c r="P1188" i="1"/>
  <c r="Q1188" i="1" s="1"/>
  <c r="P3925" i="1"/>
  <c r="Q3925" i="1" s="1"/>
  <c r="P275" i="1"/>
  <c r="Q275" i="1" s="1"/>
  <c r="P3215" i="1"/>
  <c r="Q3215" i="1" s="1"/>
  <c r="P3545" i="1"/>
  <c r="Q3545" i="1" s="1"/>
  <c r="P1189" i="1"/>
  <c r="Q1189" i="1" s="1"/>
  <c r="P1190" i="1"/>
  <c r="Q1190" i="1" s="1"/>
  <c r="P3027" i="1"/>
  <c r="Q3027" i="1" s="1"/>
  <c r="P1191" i="1"/>
  <c r="Q1191" i="1" s="1"/>
  <c r="P3028" i="1"/>
  <c r="Q3028" i="1" s="1"/>
  <c r="P1192" i="1"/>
  <c r="Q1192" i="1" s="1"/>
  <c r="P1193" i="1"/>
  <c r="Q1193" i="1" s="1"/>
  <c r="P276" i="1"/>
  <c r="Q276" i="1" s="1"/>
  <c r="P2689" i="1"/>
  <c r="Q2689" i="1" s="1"/>
  <c r="P4461" i="1"/>
  <c r="Q4461" i="1" s="1"/>
  <c r="P2116" i="1"/>
  <c r="Q2116" i="1" s="1"/>
  <c r="P4169" i="1"/>
  <c r="Q4169" i="1" s="1"/>
  <c r="P1194" i="1"/>
  <c r="Q1194" i="1" s="1"/>
  <c r="P1195" i="1"/>
  <c r="Q1195" i="1" s="1"/>
  <c r="P2486" i="1"/>
  <c r="Q2486" i="1" s="1"/>
  <c r="P4059" i="1"/>
  <c r="Q4059" i="1" s="1"/>
  <c r="P2690" i="1"/>
  <c r="Q2690" i="1" s="1"/>
  <c r="P2543" i="1"/>
  <c r="Q2543" i="1" s="1"/>
  <c r="P1196" i="1"/>
  <c r="Q1196" i="1" s="1"/>
  <c r="P2117" i="1"/>
  <c r="Q2117" i="1" s="1"/>
  <c r="P356" i="1"/>
  <c r="Q356" i="1" s="1"/>
  <c r="P1882" i="1"/>
  <c r="Q1882" i="1" s="1"/>
  <c r="P1197" i="1"/>
  <c r="Q1197" i="1" s="1"/>
  <c r="P357" i="1"/>
  <c r="Q357" i="1" s="1"/>
  <c r="P1198" i="1"/>
  <c r="Q1198" i="1" s="1"/>
  <c r="P4462" i="1"/>
  <c r="Q4462" i="1" s="1"/>
  <c r="P2118" i="1"/>
  <c r="Q2118" i="1" s="1"/>
  <c r="P3926" i="1"/>
  <c r="Q3926" i="1" s="1"/>
  <c r="P2691" i="1"/>
  <c r="Q2691" i="1" s="1"/>
  <c r="P4463" i="1"/>
  <c r="Q4463" i="1" s="1"/>
  <c r="P1761" i="1"/>
  <c r="Q1761" i="1" s="1"/>
  <c r="P4060" i="1"/>
  <c r="Q4060" i="1" s="1"/>
  <c r="P2399" i="1"/>
  <c r="Q2399" i="1" s="1"/>
  <c r="P2215" i="1"/>
  <c r="Q2215" i="1" s="1"/>
  <c r="P1199" i="1"/>
  <c r="Q1199" i="1" s="1"/>
  <c r="P2487" i="1"/>
  <c r="Q2487" i="1" s="1"/>
  <c r="P3029" i="1"/>
  <c r="Q3029" i="1" s="1"/>
  <c r="P1200" i="1"/>
  <c r="Q1200" i="1" s="1"/>
  <c r="P2837" i="1"/>
  <c r="Q2837" i="1" s="1"/>
  <c r="P3546" i="1"/>
  <c r="Q3546" i="1" s="1"/>
  <c r="P1201" i="1"/>
  <c r="Q1201" i="1" s="1"/>
  <c r="P3927" i="1"/>
  <c r="Q3927" i="1" s="1"/>
  <c r="P1202" i="1"/>
  <c r="Q1202" i="1" s="1"/>
  <c r="P2849" i="1"/>
  <c r="Q2849" i="1" s="1"/>
  <c r="P1979" i="1"/>
  <c r="Q1979" i="1" s="1"/>
  <c r="P1762" i="1"/>
  <c r="Q1762" i="1" s="1"/>
  <c r="P1203" i="1"/>
  <c r="Q1203" i="1" s="1"/>
  <c r="P1204" i="1"/>
  <c r="Q1204" i="1" s="1"/>
  <c r="P1205" i="1"/>
  <c r="Q1205" i="1" s="1"/>
  <c r="P1763" i="1"/>
  <c r="Q1763" i="1" s="1"/>
  <c r="P2119" i="1"/>
  <c r="Q2119" i="1" s="1"/>
  <c r="P1206" i="1"/>
  <c r="Q1206" i="1" s="1"/>
  <c r="P3216" i="1"/>
  <c r="Q3216" i="1" s="1"/>
  <c r="P3547" i="1"/>
  <c r="Q3547" i="1" s="1"/>
  <c r="P3030" i="1"/>
  <c r="Q3030" i="1" s="1"/>
  <c r="P1207" i="1"/>
  <c r="Q1207" i="1" s="1"/>
  <c r="P1208" i="1"/>
  <c r="Q1208" i="1" s="1"/>
  <c r="P2832" i="1"/>
  <c r="Q2832" i="1" s="1"/>
  <c r="P2811" i="1"/>
  <c r="Q2811" i="1" s="1"/>
  <c r="P3031" i="1"/>
  <c r="Q3031" i="1" s="1"/>
  <c r="P3195" i="1"/>
  <c r="Q3195" i="1" s="1"/>
  <c r="P3809" i="1"/>
  <c r="Q3809" i="1" s="1"/>
  <c r="P358" i="1"/>
  <c r="Q358" i="1" s="1"/>
  <c r="P3032" i="1"/>
  <c r="Q3032" i="1" s="1"/>
  <c r="P3548" i="1"/>
  <c r="Q3548" i="1" s="1"/>
  <c r="P3928" i="1"/>
  <c r="Q3928" i="1" s="1"/>
  <c r="P1209" i="1"/>
  <c r="Q1209" i="1" s="1"/>
  <c r="P3929" i="1"/>
  <c r="Q3929" i="1" s="1"/>
  <c r="P1980" i="1"/>
  <c r="Q1980" i="1" s="1"/>
  <c r="P1210" i="1"/>
  <c r="Q1210" i="1" s="1"/>
  <c r="P2120" i="1"/>
  <c r="Q2120" i="1" s="1"/>
  <c r="P3549" i="1"/>
  <c r="Q3549" i="1" s="1"/>
  <c r="P1211" i="1"/>
  <c r="Q1211" i="1" s="1"/>
  <c r="P1212" i="1"/>
  <c r="Q1212" i="1" s="1"/>
  <c r="P4284" i="1"/>
  <c r="Q4284" i="1" s="1"/>
  <c r="P359" i="1"/>
  <c r="Q359" i="1" s="1"/>
  <c r="P4061" i="1"/>
  <c r="Q4061" i="1" s="1"/>
  <c r="P2121" i="1"/>
  <c r="Q2121" i="1" s="1"/>
  <c r="P3930" i="1"/>
  <c r="Q3930" i="1" s="1"/>
  <c r="P2357" i="1"/>
  <c r="Q2357" i="1" s="1"/>
  <c r="P1213" i="1"/>
  <c r="Q1213" i="1" s="1"/>
  <c r="P2400" i="1"/>
  <c r="Q2400" i="1" s="1"/>
  <c r="P1764" i="1"/>
  <c r="Q1764" i="1" s="1"/>
  <c r="P2833" i="1"/>
  <c r="Q2833" i="1" s="1"/>
  <c r="P4464" i="1"/>
  <c r="Q4464" i="1" s="1"/>
  <c r="P1214" i="1"/>
  <c r="Q1214" i="1" s="1"/>
  <c r="P2692" i="1"/>
  <c r="Q2692" i="1" s="1"/>
  <c r="P1215" i="1"/>
  <c r="Q1215" i="1" s="1"/>
  <c r="P2488" i="1"/>
  <c r="Q2488" i="1" s="1"/>
  <c r="P4465" i="1"/>
  <c r="Q4465" i="1" s="1"/>
  <c r="P1216" i="1"/>
  <c r="Q1216" i="1" s="1"/>
  <c r="P1217" i="1"/>
  <c r="Q1217" i="1" s="1"/>
  <c r="P1218" i="1"/>
  <c r="Q1218" i="1" s="1"/>
  <c r="P1765" i="1"/>
  <c r="Q1765" i="1" s="1"/>
  <c r="P3033" i="1"/>
  <c r="Q3033" i="1" s="1"/>
  <c r="P1219" i="1"/>
  <c r="Q1219" i="1" s="1"/>
  <c r="P2889" i="1"/>
  <c r="Q2889" i="1" s="1"/>
  <c r="P4124" i="1"/>
  <c r="Q4124" i="1" s="1"/>
  <c r="P2122" i="1"/>
  <c r="Q2122" i="1" s="1"/>
  <c r="P1883" i="1"/>
  <c r="Q1883" i="1" s="1"/>
  <c r="P4466" i="1"/>
  <c r="Q4466" i="1" s="1"/>
  <c r="P3931" i="1"/>
  <c r="Q3931" i="1" s="1"/>
  <c r="P2401" i="1"/>
  <c r="Q2401" i="1" s="1"/>
  <c r="P4467" i="1"/>
  <c r="Q4467" i="1" s="1"/>
  <c r="P1220" i="1"/>
  <c r="Q1220" i="1" s="1"/>
  <c r="P3550" i="1"/>
  <c r="Q3550" i="1" s="1"/>
  <c r="P1221" i="1"/>
  <c r="Q1221" i="1" s="1"/>
  <c r="P3034" i="1"/>
  <c r="Q3034" i="1" s="1"/>
  <c r="P3035" i="1"/>
  <c r="Q3035" i="1" s="1"/>
  <c r="P3268" i="1"/>
  <c r="Q3268" i="1" s="1"/>
  <c r="P3551" i="1"/>
  <c r="Q3551" i="1" s="1"/>
  <c r="P3036" i="1"/>
  <c r="Q3036" i="1" s="1"/>
  <c r="P3932" i="1"/>
  <c r="Q3932" i="1" s="1"/>
  <c r="P3933" i="1"/>
  <c r="Q3933" i="1" s="1"/>
  <c r="P1222" i="1"/>
  <c r="Q1222" i="1" s="1"/>
  <c r="P2123" i="1"/>
  <c r="Q2123" i="1" s="1"/>
  <c r="P1223" i="1"/>
  <c r="Q1223" i="1" s="1"/>
  <c r="P3552" i="1"/>
  <c r="Q3552" i="1" s="1"/>
  <c r="P4468" i="1"/>
  <c r="Q4468" i="1" s="1"/>
  <c r="P4129" i="1"/>
  <c r="Q4129" i="1" s="1"/>
  <c r="P3934" i="1"/>
  <c r="Q3934" i="1" s="1"/>
  <c r="P4469" i="1"/>
  <c r="Q4469" i="1" s="1"/>
  <c r="P2489" i="1"/>
  <c r="Q2489" i="1" s="1"/>
  <c r="P2490" i="1"/>
  <c r="Q2490" i="1" s="1"/>
  <c r="P277" i="1"/>
  <c r="Q277" i="1" s="1"/>
  <c r="P3935" i="1"/>
  <c r="Q3935" i="1" s="1"/>
  <c r="P1224" i="1"/>
  <c r="Q1224" i="1" s="1"/>
  <c r="P1766" i="1"/>
  <c r="Q1766" i="1" s="1"/>
  <c r="P2301" i="1"/>
  <c r="Q2301" i="1" s="1"/>
  <c r="P1884" i="1"/>
  <c r="Q1884" i="1" s="1"/>
  <c r="P1225" i="1"/>
  <c r="Q1225" i="1" s="1"/>
  <c r="P3936" i="1"/>
  <c r="Q3936" i="1" s="1"/>
  <c r="P1226" i="1"/>
  <c r="Q1226" i="1" s="1"/>
  <c r="P3037" i="1"/>
  <c r="Q3037" i="1" s="1"/>
  <c r="P1227" i="1"/>
  <c r="Q1227" i="1" s="1"/>
  <c r="P3553" i="1"/>
  <c r="Q3553" i="1" s="1"/>
  <c r="P246" i="1"/>
  <c r="Q246" i="1" s="1"/>
  <c r="P1228" i="1"/>
  <c r="Q1228" i="1" s="1"/>
  <c r="P2124" i="1"/>
  <c r="Q2124" i="1" s="1"/>
  <c r="P3554" i="1"/>
  <c r="Q3554" i="1" s="1"/>
  <c r="P3555" i="1"/>
  <c r="Q3555" i="1" s="1"/>
  <c r="P1229" i="1"/>
  <c r="Q1229" i="1" s="1"/>
  <c r="P1230" i="1"/>
  <c r="Q1230" i="1" s="1"/>
  <c r="P2491" i="1"/>
  <c r="Q2491" i="1" s="1"/>
  <c r="P3556" i="1"/>
  <c r="Q3556" i="1" s="1"/>
  <c r="P4193" i="1"/>
  <c r="Q4193" i="1" s="1"/>
  <c r="P247" i="1"/>
  <c r="Q247" i="1" s="1"/>
  <c r="P2693" i="1"/>
  <c r="Q2693" i="1" s="1"/>
  <c r="P1231" i="1"/>
  <c r="Q1231" i="1" s="1"/>
  <c r="P1232" i="1"/>
  <c r="Q1232" i="1" s="1"/>
  <c r="P4062" i="1"/>
  <c r="Q4062" i="1" s="1"/>
  <c r="P2812" i="1"/>
  <c r="Q2812" i="1" s="1"/>
  <c r="P447" i="1"/>
  <c r="Q447" i="1" s="1"/>
  <c r="P3038" i="1"/>
  <c r="Q3038" i="1" s="1"/>
  <c r="P3039" i="1"/>
  <c r="Q3039" i="1" s="1"/>
  <c r="P1233" i="1"/>
  <c r="Q1233" i="1" s="1"/>
  <c r="P1234" i="1"/>
  <c r="Q1234" i="1" s="1"/>
  <c r="P3557" i="1"/>
  <c r="Q3557" i="1" s="1"/>
  <c r="P1235" i="1"/>
  <c r="Q1235" i="1" s="1"/>
  <c r="P1767" i="1"/>
  <c r="Q1767" i="1" s="1"/>
  <c r="P3040" i="1"/>
  <c r="Q3040" i="1" s="1"/>
  <c r="P1236" i="1"/>
  <c r="Q1236" i="1" s="1"/>
  <c r="P2237" i="1"/>
  <c r="Q2237" i="1" s="1"/>
  <c r="P2694" i="1"/>
  <c r="Q2694" i="1" s="1"/>
  <c r="P2492" i="1"/>
  <c r="Q2492" i="1" s="1"/>
  <c r="P1981" i="1"/>
  <c r="Q1981" i="1" s="1"/>
  <c r="P2493" i="1"/>
  <c r="Q2493" i="1" s="1"/>
  <c r="P3937" i="1"/>
  <c r="Q3937" i="1" s="1"/>
  <c r="P1237" i="1"/>
  <c r="Q1237" i="1" s="1"/>
  <c r="P3146" i="1"/>
  <c r="Q3146" i="1" s="1"/>
  <c r="P2494" i="1"/>
  <c r="Q2494" i="1" s="1"/>
  <c r="P3810" i="1"/>
  <c r="Q3810" i="1" s="1"/>
  <c r="P3558" i="1"/>
  <c r="Q3558" i="1" s="1"/>
  <c r="P2540" i="1"/>
  <c r="Q2540" i="1" s="1"/>
  <c r="P3041" i="1"/>
  <c r="Q3041" i="1" s="1"/>
  <c r="P1885" i="1"/>
  <c r="Q1885" i="1" s="1"/>
  <c r="P1238" i="1"/>
  <c r="Q1238" i="1" s="1"/>
  <c r="P3301" i="1"/>
  <c r="Q3301" i="1" s="1"/>
  <c r="P1239" i="1"/>
  <c r="Q1239" i="1" s="1"/>
  <c r="P4142" i="1"/>
  <c r="Q4142" i="1" s="1"/>
  <c r="P1240" i="1"/>
  <c r="Q1240" i="1" s="1"/>
  <c r="P2695" i="1"/>
  <c r="Q2695" i="1" s="1"/>
  <c r="P3042" i="1"/>
  <c r="Q3042" i="1" s="1"/>
  <c r="P1241" i="1"/>
  <c r="Q1241" i="1" s="1"/>
  <c r="P3938" i="1"/>
  <c r="Q3938" i="1" s="1"/>
  <c r="P3043" i="1"/>
  <c r="Q3043" i="1" s="1"/>
  <c r="P3939" i="1"/>
  <c r="Q3939" i="1" s="1"/>
  <c r="P1242" i="1"/>
  <c r="Q1242" i="1" s="1"/>
  <c r="P4227" i="1"/>
  <c r="Q4227" i="1" s="1"/>
  <c r="P2216" i="1"/>
  <c r="Q2216" i="1" s="1"/>
  <c r="P3559" i="1"/>
  <c r="Q3559" i="1" s="1"/>
  <c r="P3044" i="1"/>
  <c r="Q3044" i="1" s="1"/>
  <c r="P3560" i="1"/>
  <c r="Q3560" i="1" s="1"/>
  <c r="P360" i="1"/>
  <c r="Q360" i="1" s="1"/>
  <c r="P3561" i="1"/>
  <c r="Q3561" i="1" s="1"/>
  <c r="P258" i="1"/>
  <c r="Q258" i="1" s="1"/>
  <c r="P4470" i="1"/>
  <c r="Q4470" i="1" s="1"/>
  <c r="P4471" i="1"/>
  <c r="Q4471" i="1" s="1"/>
  <c r="P3045" i="1"/>
  <c r="Q3045" i="1" s="1"/>
  <c r="P361" i="1"/>
  <c r="Q361" i="1" s="1"/>
  <c r="P4285" i="1"/>
  <c r="Q4285" i="1" s="1"/>
  <c r="P1243" i="1"/>
  <c r="Q1243" i="1" s="1"/>
  <c r="P3046" i="1"/>
  <c r="Q3046" i="1" s="1"/>
  <c r="P1244" i="1"/>
  <c r="Q1244" i="1" s="1"/>
  <c r="P1245" i="1"/>
  <c r="Q1245" i="1" s="1"/>
  <c r="P3940" i="1"/>
  <c r="Q3940" i="1" s="1"/>
  <c r="P3562" i="1"/>
  <c r="Q3562" i="1" s="1"/>
  <c r="P3247" i="1"/>
  <c r="Q3247" i="1" s="1"/>
  <c r="P362" i="1"/>
  <c r="Q362" i="1" s="1"/>
  <c r="P4472" i="1"/>
  <c r="Q4472" i="1" s="1"/>
  <c r="P3047" i="1"/>
  <c r="Q3047" i="1" s="1"/>
  <c r="P1246" i="1"/>
  <c r="Q1246" i="1" s="1"/>
  <c r="P2696" i="1"/>
  <c r="Q2696" i="1" s="1"/>
  <c r="P3563" i="1"/>
  <c r="Q3563" i="1" s="1"/>
  <c r="P3564" i="1"/>
  <c r="Q3564" i="1" s="1"/>
  <c r="P1768" i="1"/>
  <c r="Q1768" i="1" s="1"/>
  <c r="P3941" i="1"/>
  <c r="Q3941" i="1" s="1"/>
  <c r="P3565" i="1"/>
  <c r="Q3565" i="1" s="1"/>
  <c r="P3942" i="1"/>
  <c r="Q3942" i="1" s="1"/>
  <c r="P1247" i="1"/>
  <c r="Q1247" i="1" s="1"/>
  <c r="P3566" i="1"/>
  <c r="Q3566" i="1" s="1"/>
  <c r="P363" i="1"/>
  <c r="Q363" i="1" s="1"/>
  <c r="P2869" i="1"/>
  <c r="Q2869" i="1" s="1"/>
  <c r="P4473" i="1"/>
  <c r="Q4473" i="1" s="1"/>
  <c r="P4063" i="1"/>
  <c r="Q4063" i="1" s="1"/>
  <c r="P3567" i="1"/>
  <c r="Q3567" i="1" s="1"/>
  <c r="P3943" i="1"/>
  <c r="Q3943" i="1" s="1"/>
  <c r="P2402" i="1"/>
  <c r="Q2402" i="1" s="1"/>
  <c r="P3568" i="1"/>
  <c r="Q3568" i="1" s="1"/>
  <c r="P3048" i="1"/>
  <c r="Q3048" i="1" s="1"/>
  <c r="P1248" i="1"/>
  <c r="Q1248" i="1" s="1"/>
  <c r="P3569" i="1"/>
  <c r="Q3569" i="1" s="1"/>
  <c r="P248" i="1"/>
  <c r="Q248" i="1" s="1"/>
  <c r="P1249" i="1"/>
  <c r="Q1249" i="1" s="1"/>
  <c r="P2358" i="1"/>
  <c r="Q2358" i="1" s="1"/>
  <c r="P1250" i="1"/>
  <c r="Q1250" i="1" s="1"/>
  <c r="P364" i="1"/>
  <c r="Q364" i="1" s="1"/>
  <c r="P448" i="1"/>
  <c r="Q448" i="1" s="1"/>
  <c r="P1251" i="1"/>
  <c r="Q1251" i="1" s="1"/>
  <c r="P4616" i="1"/>
  <c r="Q4616" i="1" s="1"/>
  <c r="P2495" i="1"/>
  <c r="Q2495" i="1" s="1"/>
  <c r="P2793" i="1"/>
  <c r="Q2793" i="1" s="1"/>
  <c r="P2496" i="1"/>
  <c r="Q2496" i="1" s="1"/>
  <c r="P1252" i="1"/>
  <c r="Q1252" i="1" s="1"/>
  <c r="P1769" i="1"/>
  <c r="Q1769" i="1" s="1"/>
  <c r="P506" i="1"/>
  <c r="Q506" i="1" s="1"/>
  <c r="P4474" i="1"/>
  <c r="Q4474" i="1" s="1"/>
  <c r="P3570" i="1"/>
  <c r="Q3570" i="1" s="1"/>
  <c r="P1982" i="1"/>
  <c r="Q1982" i="1" s="1"/>
  <c r="P3269" i="1"/>
  <c r="Q3269" i="1" s="1"/>
  <c r="P2870" i="1"/>
  <c r="Q2870" i="1" s="1"/>
  <c r="P2871" i="1"/>
  <c r="Q2871" i="1" s="1"/>
  <c r="P1253" i="1"/>
  <c r="Q1253" i="1" s="1"/>
  <c r="P2403" i="1"/>
  <c r="Q2403" i="1" s="1"/>
  <c r="P4475" i="1"/>
  <c r="Q4475" i="1" s="1"/>
  <c r="P1254" i="1"/>
  <c r="Q1254" i="1" s="1"/>
  <c r="P1255" i="1"/>
  <c r="Q1255" i="1" s="1"/>
  <c r="P4170" i="1"/>
  <c r="Q4170" i="1" s="1"/>
  <c r="P1983" i="1"/>
  <c r="Q1983" i="1" s="1"/>
  <c r="P3168" i="1"/>
  <c r="Q3168" i="1" s="1"/>
  <c r="P1886" i="1"/>
  <c r="Q1886" i="1" s="1"/>
  <c r="P1256" i="1"/>
  <c r="Q1256" i="1" s="1"/>
  <c r="P1257" i="1"/>
  <c r="Q1257" i="1" s="1"/>
  <c r="P4171" i="1"/>
  <c r="Q4171" i="1" s="1"/>
  <c r="P4213" i="1"/>
  <c r="Q4213" i="1" s="1"/>
  <c r="P2217" i="1"/>
  <c r="Q2217" i="1" s="1"/>
  <c r="P2904" i="1"/>
  <c r="Q2904" i="1" s="1"/>
  <c r="P449" i="1"/>
  <c r="Q449" i="1" s="1"/>
  <c r="P365" i="1"/>
  <c r="Q365" i="1" s="1"/>
  <c r="P3785" i="1"/>
  <c r="Q3785" i="1" s="1"/>
  <c r="P1258" i="1"/>
  <c r="Q1258" i="1" s="1"/>
  <c r="P2497" i="1"/>
  <c r="Q2497" i="1" s="1"/>
  <c r="P1259" i="1"/>
  <c r="Q1259" i="1" s="1"/>
  <c r="P2697" i="1"/>
  <c r="Q2697" i="1" s="1"/>
  <c r="P1260" i="1"/>
  <c r="Q1260" i="1" s="1"/>
  <c r="P1887" i="1"/>
  <c r="Q1887" i="1" s="1"/>
  <c r="P1261" i="1"/>
  <c r="Q1261" i="1" s="1"/>
  <c r="P1262" i="1"/>
  <c r="Q1262" i="1" s="1"/>
  <c r="P1263" i="1"/>
  <c r="Q1263" i="1" s="1"/>
  <c r="P278" i="1"/>
  <c r="Q278" i="1" s="1"/>
  <c r="P1264" i="1"/>
  <c r="Q1264" i="1" s="1"/>
  <c r="P3571" i="1"/>
  <c r="Q3571" i="1" s="1"/>
  <c r="P4476" i="1"/>
  <c r="Q4476" i="1" s="1"/>
  <c r="P3572" i="1"/>
  <c r="Q3572" i="1" s="1"/>
  <c r="P1770" i="1"/>
  <c r="Q1770" i="1" s="1"/>
  <c r="P2125" i="1"/>
  <c r="Q2125" i="1" s="1"/>
  <c r="P3049" i="1"/>
  <c r="Q3049" i="1" s="1"/>
  <c r="P2302" i="1"/>
  <c r="Q2302" i="1" s="1"/>
  <c r="P3573" i="1"/>
  <c r="Q3573" i="1" s="1"/>
  <c r="P4286" i="1"/>
  <c r="Q4286" i="1" s="1"/>
  <c r="P1265" i="1"/>
  <c r="Q1265" i="1" s="1"/>
  <c r="P2303" i="1"/>
  <c r="Q2303" i="1" s="1"/>
  <c r="P4064" i="1"/>
  <c r="Q4064" i="1" s="1"/>
  <c r="P1266" i="1"/>
  <c r="Q1266" i="1" s="1"/>
  <c r="P1888" i="1"/>
  <c r="Q1888" i="1" s="1"/>
  <c r="P3574" i="1"/>
  <c r="Q3574" i="1" s="1"/>
  <c r="P3270" i="1"/>
  <c r="Q3270" i="1" s="1"/>
  <c r="P2498" i="1"/>
  <c r="Q2498" i="1" s="1"/>
  <c r="P3575" i="1"/>
  <c r="Q3575" i="1" s="1"/>
  <c r="P1889" i="1"/>
  <c r="Q1889" i="1" s="1"/>
  <c r="P1267" i="1"/>
  <c r="Q1267" i="1" s="1"/>
  <c r="P3248" i="1"/>
  <c r="Q3248" i="1" s="1"/>
  <c r="P2304" i="1"/>
  <c r="Q2304" i="1" s="1"/>
  <c r="P3811" i="1"/>
  <c r="Q3811" i="1" s="1"/>
  <c r="P1268" i="1"/>
  <c r="Q1268" i="1" s="1"/>
  <c r="P1269" i="1"/>
  <c r="Q1269" i="1" s="1"/>
  <c r="P1270" i="1"/>
  <c r="Q1270" i="1" s="1"/>
  <c r="P2126" i="1"/>
  <c r="Q2126" i="1" s="1"/>
  <c r="P3576" i="1"/>
  <c r="Q3576" i="1" s="1"/>
  <c r="P2698" i="1"/>
  <c r="Q2698" i="1" s="1"/>
  <c r="P3577" i="1"/>
  <c r="Q3577" i="1" s="1"/>
  <c r="P3578" i="1"/>
  <c r="Q3578" i="1" s="1"/>
  <c r="P4477" i="1"/>
  <c r="Q4477" i="1" s="1"/>
  <c r="P3271" i="1"/>
  <c r="Q3271" i="1" s="1"/>
  <c r="P3579" i="1"/>
  <c r="Q3579" i="1" s="1"/>
  <c r="P1271" i="1"/>
  <c r="Q1271" i="1" s="1"/>
  <c r="P4478" i="1"/>
  <c r="Q4478" i="1" s="1"/>
  <c r="P3217" i="1"/>
  <c r="Q3217" i="1" s="1"/>
  <c r="P3185" i="1"/>
  <c r="Q3185" i="1" s="1"/>
  <c r="P3186" i="1"/>
  <c r="Q3186" i="1" s="1"/>
  <c r="P4015" i="1"/>
  <c r="Q4015" i="1" s="1"/>
  <c r="P3050" i="1"/>
  <c r="Q3050" i="1" s="1"/>
  <c r="P3249" i="1"/>
  <c r="Q3249" i="1" s="1"/>
  <c r="P3580" i="1"/>
  <c r="Q3580" i="1" s="1"/>
  <c r="P3581" i="1"/>
  <c r="Q3581" i="1" s="1"/>
  <c r="P1272" i="1"/>
  <c r="Q1272" i="1" s="1"/>
  <c r="P3582" i="1"/>
  <c r="Q3582" i="1" s="1"/>
  <c r="P2127" i="1"/>
  <c r="Q2127" i="1" s="1"/>
  <c r="P4479" i="1"/>
  <c r="Q4479" i="1" s="1"/>
  <c r="P3583" i="1"/>
  <c r="Q3583" i="1" s="1"/>
  <c r="P4480" i="1"/>
  <c r="Q4480" i="1" s="1"/>
  <c r="P3944" i="1"/>
  <c r="Q3944" i="1" s="1"/>
  <c r="P1273" i="1"/>
  <c r="Q1273" i="1" s="1"/>
  <c r="P2912" i="1"/>
  <c r="Q2912" i="1" s="1"/>
  <c r="P1274" i="1"/>
  <c r="Q1274" i="1" s="1"/>
  <c r="P4214" i="1"/>
  <c r="Q4214" i="1" s="1"/>
  <c r="P2499" i="1"/>
  <c r="Q2499" i="1" s="1"/>
  <c r="P2128" i="1"/>
  <c r="Q2128" i="1" s="1"/>
  <c r="P1771" i="1"/>
  <c r="Q1771" i="1" s="1"/>
  <c r="P1275" i="1"/>
  <c r="Q1275" i="1" s="1"/>
  <c r="P1276" i="1"/>
  <c r="Q1276" i="1" s="1"/>
  <c r="P4481" i="1"/>
  <c r="Q4481" i="1" s="1"/>
  <c r="P3812" i="1"/>
  <c r="Q3812" i="1" s="1"/>
  <c r="P249" i="1"/>
  <c r="Q249" i="1" s="1"/>
  <c r="P1277" i="1"/>
  <c r="Q1277" i="1" s="1"/>
  <c r="P3272" i="1"/>
  <c r="Q3272" i="1" s="1"/>
  <c r="P1278" i="1"/>
  <c r="Q1278" i="1" s="1"/>
  <c r="P4482" i="1"/>
  <c r="Q4482" i="1" s="1"/>
  <c r="P4229" i="1"/>
  <c r="Q4229" i="1" s="1"/>
  <c r="P1279" i="1"/>
  <c r="Q1279" i="1" s="1"/>
  <c r="P4287" i="1"/>
  <c r="Q4287" i="1" s="1"/>
  <c r="P1280" i="1"/>
  <c r="Q1280" i="1" s="1"/>
  <c r="P2129" i="1"/>
  <c r="Q2129" i="1" s="1"/>
  <c r="P507" i="1"/>
  <c r="Q507" i="1" s="1"/>
  <c r="P3945" i="1"/>
  <c r="Q3945" i="1" s="1"/>
  <c r="P1281" i="1"/>
  <c r="Q1281" i="1" s="1"/>
  <c r="P1282" i="1"/>
  <c r="Q1282" i="1" s="1"/>
  <c r="P4288" i="1"/>
  <c r="Q4288" i="1" s="1"/>
  <c r="P279" i="1"/>
  <c r="Q279" i="1" s="1"/>
  <c r="P1283" i="1"/>
  <c r="Q1283" i="1" s="1"/>
  <c r="P1890" i="1"/>
  <c r="Q1890" i="1" s="1"/>
  <c r="P2130" i="1"/>
  <c r="Q2130" i="1" s="1"/>
  <c r="P3584" i="1"/>
  <c r="Q3584" i="1" s="1"/>
  <c r="P4483" i="1"/>
  <c r="Q4483" i="1" s="1"/>
  <c r="P4215" i="1"/>
  <c r="Q4215" i="1" s="1"/>
  <c r="P2890" i="1"/>
  <c r="Q2890" i="1" s="1"/>
  <c r="P1284" i="1"/>
  <c r="Q1284" i="1" s="1"/>
  <c r="P3051" i="1"/>
  <c r="Q3051" i="1" s="1"/>
  <c r="P3052" i="1"/>
  <c r="Q3052" i="1" s="1"/>
  <c r="P1285" i="1"/>
  <c r="Q1285" i="1" s="1"/>
  <c r="P4156" i="1"/>
  <c r="Q4156" i="1" s="1"/>
  <c r="P4289" i="1"/>
  <c r="Q4289" i="1" s="1"/>
  <c r="P1286" i="1"/>
  <c r="Q1286" i="1" s="1"/>
  <c r="P3053" i="1"/>
  <c r="Q3053" i="1" s="1"/>
  <c r="P1891" i="1"/>
  <c r="Q1891" i="1" s="1"/>
  <c r="P1892" i="1"/>
  <c r="Q1892" i="1" s="1"/>
  <c r="P1772" i="1"/>
  <c r="Q1772" i="1" s="1"/>
  <c r="P2699" i="1"/>
  <c r="Q2699" i="1" s="1"/>
  <c r="P4484" i="1"/>
  <c r="Q4484" i="1" s="1"/>
  <c r="P1287" i="1"/>
  <c r="Q1287" i="1" s="1"/>
  <c r="P4485" i="1"/>
  <c r="Q4485" i="1" s="1"/>
  <c r="P2131" i="1"/>
  <c r="Q2131" i="1" s="1"/>
  <c r="P1288" i="1"/>
  <c r="Q1288" i="1" s="1"/>
  <c r="P1289" i="1"/>
  <c r="Q1289" i="1" s="1"/>
  <c r="P2132" i="1"/>
  <c r="Q2132" i="1" s="1"/>
  <c r="P1290" i="1"/>
  <c r="Q1290" i="1" s="1"/>
  <c r="P3218" i="1"/>
  <c r="Q3218" i="1" s="1"/>
  <c r="P1291" i="1"/>
  <c r="Q1291" i="1" s="1"/>
  <c r="P2238" i="1"/>
  <c r="Q2238" i="1" s="1"/>
  <c r="P4172" i="1"/>
  <c r="Q4172" i="1" s="1"/>
  <c r="P3054" i="1"/>
  <c r="Q3054" i="1" s="1"/>
  <c r="P2700" i="1"/>
  <c r="Q2700" i="1" s="1"/>
  <c r="P4151" i="1"/>
  <c r="Q4151" i="1" s="1"/>
  <c r="P1984" i="1"/>
  <c r="Q1984" i="1" s="1"/>
  <c r="P3289" i="1"/>
  <c r="Q3289" i="1" s="1"/>
  <c r="P1985" i="1"/>
  <c r="Q1985" i="1" s="1"/>
  <c r="P1292" i="1"/>
  <c r="Q1292" i="1" s="1"/>
  <c r="P250" i="1"/>
  <c r="Q250" i="1" s="1"/>
  <c r="P1293" i="1"/>
  <c r="Q1293" i="1" s="1"/>
  <c r="P1986" i="1"/>
  <c r="Q1986" i="1" s="1"/>
  <c r="P3585" i="1"/>
  <c r="Q3585" i="1" s="1"/>
  <c r="P3586" i="1"/>
  <c r="Q3586" i="1" s="1"/>
  <c r="P1773" i="1"/>
  <c r="Q1773" i="1" s="1"/>
  <c r="P1294" i="1"/>
  <c r="Q1294" i="1" s="1"/>
  <c r="P4065" i="1"/>
  <c r="Q4065" i="1" s="1"/>
  <c r="P3055" i="1"/>
  <c r="Q3055" i="1" s="1"/>
  <c r="P1295" i="1"/>
  <c r="Q1295" i="1" s="1"/>
  <c r="P3587" i="1"/>
  <c r="Q3587" i="1" s="1"/>
  <c r="P3056" i="1"/>
  <c r="Q3056" i="1" s="1"/>
  <c r="P4290" i="1"/>
  <c r="Q4290" i="1" s="1"/>
  <c r="P4143" i="1"/>
  <c r="Q4143" i="1" s="1"/>
  <c r="P1893" i="1"/>
  <c r="Q1893" i="1" s="1"/>
  <c r="P1296" i="1"/>
  <c r="Q1296" i="1" s="1"/>
  <c r="P1987" i="1"/>
  <c r="Q1987" i="1" s="1"/>
  <c r="P1297" i="1"/>
  <c r="Q1297" i="1" s="1"/>
  <c r="P4486" i="1"/>
  <c r="Q4486" i="1" s="1"/>
  <c r="P2701" i="1"/>
  <c r="Q2701" i="1" s="1"/>
  <c r="P2305" i="1"/>
  <c r="Q2305" i="1" s="1"/>
  <c r="P2702" i="1"/>
  <c r="Q2702" i="1" s="1"/>
  <c r="P3946" i="1"/>
  <c r="Q3946" i="1" s="1"/>
  <c r="P3147" i="1"/>
  <c r="Q3147" i="1" s="1"/>
  <c r="P2834" i="1"/>
  <c r="Q2834" i="1" s="1"/>
  <c r="P4487" i="1"/>
  <c r="Q4487" i="1" s="1"/>
  <c r="P1298" i="1"/>
  <c r="Q1298" i="1" s="1"/>
  <c r="P1299" i="1"/>
  <c r="Q1299" i="1" s="1"/>
  <c r="P3588" i="1"/>
  <c r="Q3588" i="1" s="1"/>
  <c r="P3589" i="1"/>
  <c r="Q3589" i="1" s="1"/>
  <c r="P1988" i="1"/>
  <c r="Q1988" i="1" s="1"/>
  <c r="P1300" i="1"/>
  <c r="Q1300" i="1" s="1"/>
  <c r="P1301" i="1"/>
  <c r="Q1301" i="1" s="1"/>
  <c r="P3057" i="1"/>
  <c r="Q3057" i="1" s="1"/>
  <c r="P450" i="1"/>
  <c r="Q450" i="1" s="1"/>
  <c r="P1302" i="1"/>
  <c r="Q1302" i="1" s="1"/>
  <c r="P4488" i="1"/>
  <c r="Q4488" i="1" s="1"/>
  <c r="P2133" i="1"/>
  <c r="Q2133" i="1" s="1"/>
  <c r="P508" i="1"/>
  <c r="Q508" i="1" s="1"/>
  <c r="P1303" i="1"/>
  <c r="Q1303" i="1" s="1"/>
  <c r="P2134" i="1"/>
  <c r="Q2134" i="1" s="1"/>
  <c r="P2905" i="1"/>
  <c r="Q2905" i="1" s="1"/>
  <c r="P2135" i="1"/>
  <c r="Q2135" i="1" s="1"/>
  <c r="P2136" i="1"/>
  <c r="Q2136" i="1" s="1"/>
  <c r="P4489" i="1"/>
  <c r="Q4489" i="1" s="1"/>
  <c r="P3590" i="1"/>
  <c r="Q3590" i="1" s="1"/>
  <c r="P1304" i="1"/>
  <c r="Q1304" i="1" s="1"/>
  <c r="P3947" i="1"/>
  <c r="Q3947" i="1" s="1"/>
  <c r="P3058" i="1"/>
  <c r="Q3058" i="1" s="1"/>
  <c r="P1305" i="1"/>
  <c r="Q1305" i="1" s="1"/>
  <c r="P1306" i="1"/>
  <c r="Q1306" i="1" s="1"/>
  <c r="P1307" i="1"/>
  <c r="Q1307" i="1" s="1"/>
  <c r="P1894" i="1"/>
  <c r="Q1894" i="1" s="1"/>
  <c r="P2703" i="1"/>
  <c r="Q2703" i="1" s="1"/>
  <c r="P2218" i="1"/>
  <c r="Q2218" i="1" s="1"/>
  <c r="P1308" i="1"/>
  <c r="Q1308" i="1" s="1"/>
  <c r="P2219" i="1"/>
  <c r="Q2219" i="1" s="1"/>
  <c r="P3591" i="1"/>
  <c r="Q3591" i="1" s="1"/>
  <c r="P3592" i="1"/>
  <c r="Q3592" i="1" s="1"/>
  <c r="P2306" i="1"/>
  <c r="Q2306" i="1" s="1"/>
  <c r="P2256" i="1"/>
  <c r="Q2256" i="1" s="1"/>
  <c r="P3290" i="1"/>
  <c r="Q3290" i="1" s="1"/>
  <c r="P280" i="1"/>
  <c r="Q280" i="1" s="1"/>
  <c r="P1309" i="1"/>
  <c r="Q1309" i="1" s="1"/>
  <c r="P2307" i="1"/>
  <c r="Q2307" i="1" s="1"/>
  <c r="P1310" i="1"/>
  <c r="Q1310" i="1" s="1"/>
  <c r="P509" i="1"/>
  <c r="Q509" i="1" s="1"/>
  <c r="P3593" i="1"/>
  <c r="Q3593" i="1" s="1"/>
  <c r="P2220" i="1"/>
  <c r="Q2220" i="1" s="1"/>
  <c r="P3594" i="1"/>
  <c r="Q3594" i="1" s="1"/>
  <c r="P4490" i="1"/>
  <c r="Q4490" i="1" s="1"/>
  <c r="P1774" i="1"/>
  <c r="Q1774" i="1" s="1"/>
  <c r="P3595" i="1"/>
  <c r="Q3595" i="1" s="1"/>
  <c r="P3059" i="1"/>
  <c r="Q3059" i="1" s="1"/>
  <c r="P3060" i="1"/>
  <c r="Q3060" i="1" s="1"/>
  <c r="P4291" i="1"/>
  <c r="Q4291" i="1" s="1"/>
  <c r="P3061" i="1"/>
  <c r="Q3061" i="1" s="1"/>
  <c r="P1311" i="1"/>
  <c r="Q1311" i="1" s="1"/>
  <c r="P3062" i="1"/>
  <c r="Q3062" i="1" s="1"/>
  <c r="P1312" i="1"/>
  <c r="Q1312" i="1" s="1"/>
  <c r="P2704" i="1"/>
  <c r="Q2704" i="1" s="1"/>
  <c r="P3063" i="1"/>
  <c r="Q3063" i="1" s="1"/>
  <c r="P4066" i="1"/>
  <c r="Q4066" i="1" s="1"/>
  <c r="P1313" i="1"/>
  <c r="Q1313" i="1" s="1"/>
  <c r="P2137" i="1"/>
  <c r="Q2137" i="1" s="1"/>
  <c r="P4067" i="1"/>
  <c r="Q4067" i="1" s="1"/>
  <c r="P4116" i="1"/>
  <c r="Q4116" i="1" s="1"/>
  <c r="P1775" i="1"/>
  <c r="Q1775" i="1" s="1"/>
  <c r="P3596" i="1"/>
  <c r="Q3596" i="1" s="1"/>
  <c r="P4491" i="1"/>
  <c r="Q4491" i="1" s="1"/>
  <c r="P2705" i="1"/>
  <c r="Q2705" i="1" s="1"/>
  <c r="P1314" i="1"/>
  <c r="Q1314" i="1" s="1"/>
  <c r="P451" i="1"/>
  <c r="Q451" i="1" s="1"/>
  <c r="P1315" i="1"/>
  <c r="Q1315" i="1" s="1"/>
  <c r="P1316" i="1"/>
  <c r="Q1316" i="1" s="1"/>
  <c r="P1317" i="1"/>
  <c r="Q1317" i="1" s="1"/>
  <c r="P4068" i="1"/>
  <c r="Q4068" i="1" s="1"/>
  <c r="P2706" i="1"/>
  <c r="Q2706" i="1" s="1"/>
  <c r="P1318" i="1"/>
  <c r="Q1318" i="1" s="1"/>
  <c r="P1776" i="1"/>
  <c r="Q1776" i="1" s="1"/>
  <c r="P1319" i="1"/>
  <c r="Q1319" i="1" s="1"/>
  <c r="P1320" i="1"/>
  <c r="Q1320" i="1" s="1"/>
  <c r="P1321" i="1"/>
  <c r="Q1321" i="1" s="1"/>
  <c r="P3597" i="1"/>
  <c r="Q3597" i="1" s="1"/>
  <c r="P4492" i="1"/>
  <c r="Q4492" i="1" s="1"/>
  <c r="P3201" i="1"/>
  <c r="Q3201" i="1" s="1"/>
  <c r="P3948" i="1"/>
  <c r="Q3948" i="1" s="1"/>
  <c r="P3949" i="1"/>
  <c r="Q3949" i="1" s="1"/>
  <c r="P2707" i="1"/>
  <c r="Q2707" i="1" s="1"/>
  <c r="P4493" i="1"/>
  <c r="Q4493" i="1" s="1"/>
  <c r="P3598" i="1"/>
  <c r="Q3598" i="1" s="1"/>
  <c r="P3064" i="1"/>
  <c r="Q3064" i="1" s="1"/>
  <c r="P4099" i="1"/>
  <c r="Q4099" i="1" s="1"/>
  <c r="P3599" i="1"/>
  <c r="Q3599" i="1" s="1"/>
  <c r="P1777" i="1"/>
  <c r="Q1777" i="1" s="1"/>
  <c r="P1322" i="1"/>
  <c r="Q1322" i="1" s="1"/>
  <c r="P2708" i="1"/>
  <c r="Q2708" i="1" s="1"/>
  <c r="P1323" i="1"/>
  <c r="Q1323" i="1" s="1"/>
  <c r="P1324" i="1"/>
  <c r="Q1324" i="1" s="1"/>
  <c r="P1778" i="1"/>
  <c r="Q1778" i="1" s="1"/>
  <c r="P1325" i="1"/>
  <c r="Q1325" i="1" s="1"/>
  <c r="P1779" i="1"/>
  <c r="Q1779" i="1" s="1"/>
  <c r="P1326" i="1"/>
  <c r="Q1326" i="1" s="1"/>
  <c r="P1327" i="1"/>
  <c r="Q1327" i="1" s="1"/>
  <c r="P4494" i="1"/>
  <c r="Q4494" i="1" s="1"/>
  <c r="P1328" i="1"/>
  <c r="Q1328" i="1" s="1"/>
  <c r="P1329" i="1"/>
  <c r="Q1329" i="1" s="1"/>
  <c r="P2709" i="1"/>
  <c r="Q2709" i="1" s="1"/>
  <c r="P1330" i="1"/>
  <c r="Q1330" i="1" s="1"/>
  <c r="P3600" i="1"/>
  <c r="Q3600" i="1" s="1"/>
  <c r="P3601" i="1"/>
  <c r="Q3601" i="1" s="1"/>
  <c r="P1780" i="1"/>
  <c r="Q1780" i="1" s="1"/>
  <c r="P3065" i="1"/>
  <c r="Q3065" i="1" s="1"/>
  <c r="P3950" i="1"/>
  <c r="Q3950" i="1" s="1"/>
  <c r="P1331" i="1"/>
  <c r="Q1331" i="1" s="1"/>
  <c r="P3786" i="1"/>
  <c r="Q3786" i="1" s="1"/>
  <c r="P3602" i="1"/>
  <c r="Q3602" i="1" s="1"/>
  <c r="P2308" i="1"/>
  <c r="Q2308" i="1" s="1"/>
  <c r="P1332" i="1"/>
  <c r="Q1332" i="1" s="1"/>
  <c r="P4173" i="1"/>
  <c r="Q4173" i="1" s="1"/>
  <c r="P3603" i="1"/>
  <c r="Q3603" i="1" s="1"/>
  <c r="P4495" i="1"/>
  <c r="Q4495" i="1" s="1"/>
  <c r="P3066" i="1"/>
  <c r="Q3066" i="1" s="1"/>
  <c r="P1333" i="1"/>
  <c r="Q1333" i="1" s="1"/>
  <c r="P4292" i="1"/>
  <c r="Q4292" i="1" s="1"/>
  <c r="P1334" i="1"/>
  <c r="Q1334" i="1" s="1"/>
  <c r="P2710" i="1"/>
  <c r="Q2710" i="1" s="1"/>
  <c r="P366" i="1"/>
  <c r="Q366" i="1" s="1"/>
  <c r="P3604" i="1"/>
  <c r="Q3604" i="1" s="1"/>
  <c r="P4496" i="1"/>
  <c r="Q4496" i="1" s="1"/>
  <c r="P452" i="1"/>
  <c r="Q452" i="1" s="1"/>
  <c r="P3951" i="1"/>
  <c r="Q3951" i="1" s="1"/>
  <c r="P1335" i="1"/>
  <c r="Q1335" i="1" s="1"/>
  <c r="P367" i="1"/>
  <c r="Q367" i="1" s="1"/>
  <c r="P453" i="1"/>
  <c r="Q453" i="1" s="1"/>
  <c r="P1336" i="1"/>
  <c r="Q1336" i="1" s="1"/>
  <c r="P1337" i="1"/>
  <c r="Q1337" i="1" s="1"/>
  <c r="P1338" i="1"/>
  <c r="Q1338" i="1" s="1"/>
  <c r="P2309" i="1"/>
  <c r="Q2309" i="1" s="1"/>
  <c r="P1781" i="1"/>
  <c r="Q1781" i="1" s="1"/>
  <c r="P1339" i="1"/>
  <c r="Q1339" i="1" s="1"/>
  <c r="P2711" i="1"/>
  <c r="Q2711" i="1" s="1"/>
  <c r="P2138" i="1"/>
  <c r="Q2138" i="1" s="1"/>
  <c r="P1340" i="1"/>
  <c r="Q1340" i="1" s="1"/>
  <c r="P2404" i="1"/>
  <c r="Q2404" i="1" s="1"/>
  <c r="P4497" i="1"/>
  <c r="Q4497" i="1" s="1"/>
  <c r="P1341" i="1"/>
  <c r="Q1341" i="1" s="1"/>
  <c r="P2243" i="1"/>
  <c r="Q2243" i="1" s="1"/>
  <c r="P3067" i="1"/>
  <c r="Q3067" i="1" s="1"/>
  <c r="P1342" i="1"/>
  <c r="Q1342" i="1" s="1"/>
  <c r="P3605" i="1"/>
  <c r="Q3605" i="1" s="1"/>
  <c r="P1895" i="1"/>
  <c r="Q1895" i="1" s="1"/>
  <c r="P1343" i="1"/>
  <c r="Q1343" i="1" s="1"/>
  <c r="P1344" i="1"/>
  <c r="Q1344" i="1" s="1"/>
  <c r="P3606" i="1"/>
  <c r="Q3606" i="1" s="1"/>
  <c r="P1896" i="1"/>
  <c r="Q1896" i="1" s="1"/>
  <c r="P4187" i="1"/>
  <c r="Q4187" i="1" s="1"/>
  <c r="P3607" i="1"/>
  <c r="Q3607" i="1" s="1"/>
  <c r="P1345" i="1"/>
  <c r="Q1345" i="1" s="1"/>
  <c r="P4069" i="1"/>
  <c r="Q4069" i="1" s="1"/>
  <c r="P3068" i="1"/>
  <c r="Q3068" i="1" s="1"/>
  <c r="P4008" i="1"/>
  <c r="Q4008" i="1" s="1"/>
  <c r="P4498" i="1"/>
  <c r="Q4498" i="1" s="1"/>
  <c r="P4070" i="1"/>
  <c r="Q4070" i="1" s="1"/>
  <c r="P2405" i="1"/>
  <c r="Q2405" i="1" s="1"/>
  <c r="P3291" i="1"/>
  <c r="Q3291" i="1" s="1"/>
  <c r="P1346" i="1"/>
  <c r="Q1346" i="1" s="1"/>
  <c r="P3608" i="1"/>
  <c r="Q3608" i="1" s="1"/>
  <c r="P3609" i="1"/>
  <c r="Q3609" i="1" s="1"/>
  <c r="P2712" i="1"/>
  <c r="Q2712" i="1" s="1"/>
  <c r="P2359" i="1"/>
  <c r="Q2359" i="1" s="1"/>
  <c r="P2406" i="1"/>
  <c r="Q2406" i="1" s="1"/>
  <c r="P2500" i="1"/>
  <c r="Q2500" i="1" s="1"/>
  <c r="P1347" i="1"/>
  <c r="Q1347" i="1" s="1"/>
  <c r="P3813" i="1"/>
  <c r="Q3813" i="1" s="1"/>
  <c r="P3610" i="1"/>
  <c r="Q3610" i="1" s="1"/>
  <c r="P3611" i="1"/>
  <c r="Q3611" i="1" s="1"/>
  <c r="P1897" i="1"/>
  <c r="Q1897" i="1" s="1"/>
  <c r="P1348" i="1"/>
  <c r="Q1348" i="1" s="1"/>
  <c r="P3814" i="1"/>
  <c r="Q3814" i="1" s="1"/>
  <c r="P454" i="1"/>
  <c r="Q454" i="1" s="1"/>
  <c r="P1349" i="1"/>
  <c r="Q1349" i="1" s="1"/>
  <c r="P1350" i="1"/>
  <c r="Q1350" i="1" s="1"/>
  <c r="P3612" i="1"/>
  <c r="Q3612" i="1" s="1"/>
  <c r="P2139" i="1"/>
  <c r="Q2139" i="1" s="1"/>
  <c r="P3952" i="1"/>
  <c r="Q3952" i="1" s="1"/>
  <c r="P3219" i="1"/>
  <c r="Q3219" i="1" s="1"/>
  <c r="P4499" i="1"/>
  <c r="Q4499" i="1" s="1"/>
  <c r="P3220" i="1"/>
  <c r="Q3220" i="1" s="1"/>
  <c r="P3787" i="1"/>
  <c r="Q3787" i="1" s="1"/>
  <c r="P1351" i="1"/>
  <c r="Q1351" i="1" s="1"/>
  <c r="P455" i="1"/>
  <c r="Q455" i="1" s="1"/>
  <c r="P3613" i="1"/>
  <c r="Q3613" i="1" s="1"/>
  <c r="P2501" i="1"/>
  <c r="Q2501" i="1" s="1"/>
  <c r="P368" i="1"/>
  <c r="Q368" i="1" s="1"/>
  <c r="P3788" i="1"/>
  <c r="Q3788" i="1" s="1"/>
  <c r="P1989" i="1"/>
  <c r="Q1989" i="1" s="1"/>
  <c r="P2407" i="1"/>
  <c r="Q2407" i="1" s="1"/>
  <c r="P2140" i="1"/>
  <c r="Q2140" i="1" s="1"/>
  <c r="P1352" i="1"/>
  <c r="Q1352" i="1" s="1"/>
  <c r="P1353" i="1"/>
  <c r="Q1353" i="1" s="1"/>
  <c r="P2713" i="1"/>
  <c r="Q2713" i="1" s="1"/>
  <c r="P2714" i="1"/>
  <c r="Q2714" i="1" s="1"/>
  <c r="P2141" i="1"/>
  <c r="Q2141" i="1" s="1"/>
  <c r="P1354" i="1"/>
  <c r="Q1354" i="1" s="1"/>
  <c r="P2310" i="1"/>
  <c r="Q2310" i="1" s="1"/>
  <c r="P2502" i="1"/>
  <c r="Q2502" i="1" s="1"/>
  <c r="P2503" i="1"/>
  <c r="Q2503" i="1" s="1"/>
  <c r="P2898" i="1"/>
  <c r="Q2898" i="1" s="1"/>
  <c r="P3614" i="1"/>
  <c r="Q3614" i="1" s="1"/>
  <c r="P369" i="1"/>
  <c r="Q369" i="1" s="1"/>
  <c r="P2221" i="1"/>
  <c r="Q2221" i="1" s="1"/>
  <c r="P2504" i="1"/>
  <c r="Q2504" i="1" s="1"/>
  <c r="P2311" i="1"/>
  <c r="Q2311" i="1" s="1"/>
  <c r="P4500" i="1"/>
  <c r="Q4500" i="1" s="1"/>
  <c r="P1355" i="1"/>
  <c r="Q1355" i="1" s="1"/>
  <c r="P2715" i="1"/>
  <c r="Q2715" i="1" s="1"/>
  <c r="P3953" i="1"/>
  <c r="Q3953" i="1" s="1"/>
  <c r="P3615" i="1"/>
  <c r="Q3615" i="1" s="1"/>
  <c r="P1356" i="1"/>
  <c r="Q1356" i="1" s="1"/>
  <c r="P456" i="1"/>
  <c r="Q456" i="1" s="1"/>
  <c r="P3954" i="1"/>
  <c r="Q3954" i="1" s="1"/>
  <c r="P2142" i="1"/>
  <c r="Q2142" i="1" s="1"/>
  <c r="P1357" i="1"/>
  <c r="Q1357" i="1" s="1"/>
  <c r="P3616" i="1"/>
  <c r="Q3616" i="1" s="1"/>
  <c r="P3815" i="1"/>
  <c r="Q3815" i="1" s="1"/>
  <c r="P3617" i="1"/>
  <c r="Q3617" i="1" s="1"/>
  <c r="P1358" i="1"/>
  <c r="Q1358" i="1" s="1"/>
  <c r="P457" i="1"/>
  <c r="Q457" i="1" s="1"/>
  <c r="P1359" i="1"/>
  <c r="Q1359" i="1" s="1"/>
  <c r="P4174" i="1"/>
  <c r="Q4174" i="1" s="1"/>
  <c r="P1898" i="1"/>
  <c r="Q1898" i="1" s="1"/>
  <c r="P2716" i="1"/>
  <c r="Q2716" i="1" s="1"/>
  <c r="P1360" i="1"/>
  <c r="Q1360" i="1" s="1"/>
  <c r="P2143" i="1"/>
  <c r="Q2143" i="1" s="1"/>
  <c r="P3955" i="1"/>
  <c r="Q3955" i="1" s="1"/>
  <c r="P1361" i="1"/>
  <c r="Q1361" i="1" s="1"/>
  <c r="P2312" i="1"/>
  <c r="Q2312" i="1" s="1"/>
  <c r="P3618" i="1"/>
  <c r="Q3618" i="1" s="1"/>
  <c r="P4501" i="1"/>
  <c r="Q4501" i="1" s="1"/>
  <c r="P1990" i="1"/>
  <c r="Q1990" i="1" s="1"/>
  <c r="P4502" i="1"/>
  <c r="Q4502" i="1" s="1"/>
  <c r="P3619" i="1"/>
  <c r="Q3619" i="1" s="1"/>
  <c r="P2144" i="1"/>
  <c r="Q2144" i="1" s="1"/>
  <c r="P3620" i="1"/>
  <c r="Q3620" i="1" s="1"/>
  <c r="P1362" i="1"/>
  <c r="Q1362" i="1" s="1"/>
  <c r="P2541" i="1"/>
  <c r="Q2541" i="1" s="1"/>
  <c r="P2717" i="1"/>
  <c r="Q2717" i="1" s="1"/>
  <c r="P1899" i="1"/>
  <c r="Q1899" i="1" s="1"/>
  <c r="P1363" i="1"/>
  <c r="Q1363" i="1" s="1"/>
  <c r="P1900" i="1"/>
  <c r="Q1900" i="1" s="1"/>
  <c r="P3069" i="1"/>
  <c r="Q3069" i="1" s="1"/>
  <c r="P1364" i="1"/>
  <c r="Q1364" i="1" s="1"/>
  <c r="P1365" i="1"/>
  <c r="Q1365" i="1" s="1"/>
  <c r="P1366" i="1"/>
  <c r="Q1366" i="1" s="1"/>
  <c r="P3956" i="1"/>
  <c r="Q3956" i="1" s="1"/>
  <c r="P1367" i="1"/>
  <c r="Q1367" i="1" s="1"/>
  <c r="P2718" i="1"/>
  <c r="Q2718" i="1" s="1"/>
  <c r="P4503" i="1"/>
  <c r="Q4503" i="1" s="1"/>
  <c r="P2813" i="1"/>
  <c r="Q2813" i="1" s="1"/>
  <c r="P3957" i="1"/>
  <c r="Q3957" i="1" s="1"/>
  <c r="P2505" i="1"/>
  <c r="Q2505" i="1" s="1"/>
  <c r="P2872" i="1"/>
  <c r="Q2872" i="1" s="1"/>
  <c r="P4504" i="1"/>
  <c r="Q4504" i="1" s="1"/>
  <c r="P3070" i="1"/>
  <c r="Q3070" i="1" s="1"/>
  <c r="P370" i="1"/>
  <c r="Q370" i="1" s="1"/>
  <c r="P4505" i="1"/>
  <c r="Q4505" i="1" s="1"/>
  <c r="P1368" i="1"/>
  <c r="Q1368" i="1" s="1"/>
  <c r="P1369" i="1"/>
  <c r="Q1369" i="1" s="1"/>
  <c r="P3071" i="1"/>
  <c r="Q3071" i="1" s="1"/>
  <c r="P3621" i="1"/>
  <c r="Q3621" i="1" s="1"/>
  <c r="P1370" i="1"/>
  <c r="Q1370" i="1" s="1"/>
  <c r="P3072" i="1"/>
  <c r="Q3072" i="1" s="1"/>
  <c r="P3622" i="1"/>
  <c r="Q3622" i="1" s="1"/>
  <c r="P1371" i="1"/>
  <c r="Q1371" i="1" s="1"/>
  <c r="P4071" i="1"/>
  <c r="Q4071" i="1" s="1"/>
  <c r="P4506" i="1"/>
  <c r="Q4506" i="1" s="1"/>
  <c r="P3623" i="1"/>
  <c r="Q3623" i="1" s="1"/>
  <c r="P3624" i="1"/>
  <c r="Q3624" i="1" s="1"/>
  <c r="P3073" i="1"/>
  <c r="Q3073" i="1" s="1"/>
  <c r="P1372" i="1"/>
  <c r="Q1372" i="1" s="1"/>
  <c r="P510" i="1"/>
  <c r="Q510" i="1" s="1"/>
  <c r="P4507" i="1"/>
  <c r="Q4507" i="1" s="1"/>
  <c r="P1373" i="1"/>
  <c r="Q1373" i="1" s="1"/>
  <c r="P2506" i="1"/>
  <c r="Q2506" i="1" s="1"/>
  <c r="P2719" i="1"/>
  <c r="Q2719" i="1" s="1"/>
  <c r="P1374" i="1"/>
  <c r="Q1374" i="1" s="1"/>
  <c r="P491" i="1"/>
  <c r="Q491" i="1" s="1"/>
  <c r="P1375" i="1"/>
  <c r="Q1375" i="1" s="1"/>
  <c r="P3074" i="1"/>
  <c r="Q3074" i="1" s="1"/>
  <c r="P3273" i="1"/>
  <c r="Q3273" i="1" s="1"/>
  <c r="P2720" i="1"/>
  <c r="Q2720" i="1" s="1"/>
  <c r="P1376" i="1"/>
  <c r="Q1376" i="1" s="1"/>
  <c r="P2891" i="1"/>
  <c r="Q2891" i="1" s="1"/>
  <c r="P3169" i="1"/>
  <c r="Q3169" i="1" s="1"/>
  <c r="P371" i="1"/>
  <c r="Q371" i="1" s="1"/>
  <c r="P3152" i="1"/>
  <c r="Q3152" i="1" s="1"/>
  <c r="P4005" i="1"/>
  <c r="Q4005" i="1" s="1"/>
  <c r="P2145" i="1"/>
  <c r="Q2145" i="1" s="1"/>
  <c r="P236" i="1"/>
  <c r="Q236" i="1" s="1"/>
  <c r="P3274" i="1"/>
  <c r="Q3274" i="1" s="1"/>
  <c r="P458" i="1"/>
  <c r="Q458" i="1" s="1"/>
  <c r="P3625" i="1"/>
  <c r="Q3625" i="1" s="1"/>
  <c r="P1782" i="1"/>
  <c r="Q1782" i="1" s="1"/>
  <c r="P3221" i="1"/>
  <c r="Q3221" i="1" s="1"/>
  <c r="P1377" i="1"/>
  <c r="Q1377" i="1" s="1"/>
  <c r="P3075" i="1"/>
  <c r="Q3075" i="1" s="1"/>
  <c r="P3202" i="1"/>
  <c r="Q3202" i="1" s="1"/>
  <c r="P1378" i="1"/>
  <c r="Q1378" i="1" s="1"/>
  <c r="P3222" i="1"/>
  <c r="Q3222" i="1" s="1"/>
  <c r="P1379" i="1"/>
  <c r="Q1379" i="1" s="1"/>
  <c r="P4508" i="1"/>
  <c r="Q4508" i="1" s="1"/>
  <c r="P1380" i="1"/>
  <c r="Q1380" i="1" s="1"/>
  <c r="P2721" i="1"/>
  <c r="Q2721" i="1" s="1"/>
  <c r="P3626" i="1"/>
  <c r="Q3626" i="1" s="1"/>
  <c r="P2360" i="1"/>
  <c r="Q2360" i="1" s="1"/>
  <c r="P1381" i="1"/>
  <c r="Q1381" i="1" s="1"/>
  <c r="P4130" i="1"/>
  <c r="Q4130" i="1" s="1"/>
  <c r="P1382" i="1"/>
  <c r="Q1382" i="1" s="1"/>
  <c r="P3627" i="1"/>
  <c r="Q3627" i="1" s="1"/>
  <c r="P3076" i="1"/>
  <c r="Q3076" i="1" s="1"/>
  <c r="P3628" i="1"/>
  <c r="Q3628" i="1" s="1"/>
  <c r="P3077" i="1"/>
  <c r="Q3077" i="1" s="1"/>
  <c r="P1383" i="1"/>
  <c r="Q1383" i="1" s="1"/>
  <c r="P4072" i="1"/>
  <c r="Q4072" i="1" s="1"/>
  <c r="P1384" i="1"/>
  <c r="Q1384" i="1" s="1"/>
  <c r="P3958" i="1"/>
  <c r="Q3958" i="1" s="1"/>
  <c r="P4509" i="1"/>
  <c r="Q4509" i="1" s="1"/>
  <c r="P2146" i="1"/>
  <c r="Q2146" i="1" s="1"/>
  <c r="P3959" i="1"/>
  <c r="Q3959" i="1" s="1"/>
  <c r="P3629" i="1"/>
  <c r="Q3629" i="1" s="1"/>
  <c r="P459" i="1"/>
  <c r="Q459" i="1" s="1"/>
  <c r="P1385" i="1"/>
  <c r="Q1385" i="1" s="1"/>
  <c r="P4243" i="1"/>
  <c r="Q4243" i="1" s="1"/>
  <c r="P2147" i="1"/>
  <c r="Q2147" i="1" s="1"/>
  <c r="P1386" i="1"/>
  <c r="Q1386" i="1" s="1"/>
  <c r="P460" i="1"/>
  <c r="Q460" i="1" s="1"/>
  <c r="P4510" i="1"/>
  <c r="Q4510" i="1" s="1"/>
  <c r="P1387" i="1"/>
  <c r="Q1387" i="1" s="1"/>
  <c r="P1388" i="1"/>
  <c r="Q1388" i="1" s="1"/>
  <c r="P1389" i="1"/>
  <c r="Q1389" i="1" s="1"/>
  <c r="P1390" i="1"/>
  <c r="Q1390" i="1" s="1"/>
  <c r="P372" i="1"/>
  <c r="Q372" i="1" s="1"/>
  <c r="P1391" i="1"/>
  <c r="Q1391" i="1" s="1"/>
  <c r="P1392" i="1"/>
  <c r="Q1392" i="1" s="1"/>
  <c r="P1393" i="1"/>
  <c r="Q1393" i="1" s="1"/>
  <c r="P2722" i="1"/>
  <c r="Q2722" i="1" s="1"/>
  <c r="P2361" i="1"/>
  <c r="Q2361" i="1" s="1"/>
  <c r="P4511" i="1"/>
  <c r="Q4511" i="1" s="1"/>
  <c r="P3078" i="1"/>
  <c r="Q3078" i="1" s="1"/>
  <c r="P3630" i="1"/>
  <c r="Q3630" i="1" s="1"/>
  <c r="P1394" i="1"/>
  <c r="Q1394" i="1" s="1"/>
  <c r="P3079" i="1"/>
  <c r="Q3079" i="1" s="1"/>
  <c r="P3631" i="1"/>
  <c r="Q3631" i="1" s="1"/>
  <c r="P3632" i="1"/>
  <c r="Q3632" i="1" s="1"/>
  <c r="P2222" i="1"/>
  <c r="Q2222" i="1" s="1"/>
  <c r="P1783" i="1"/>
  <c r="Q1783" i="1" s="1"/>
  <c r="P2814" i="1"/>
  <c r="Q2814" i="1" s="1"/>
  <c r="P4512" i="1"/>
  <c r="Q4512" i="1" s="1"/>
  <c r="P373" i="1"/>
  <c r="Q373" i="1" s="1"/>
  <c r="P1395" i="1"/>
  <c r="Q1395" i="1" s="1"/>
  <c r="P3633" i="1"/>
  <c r="Q3633" i="1" s="1"/>
  <c r="P3080" i="1"/>
  <c r="Q3080" i="1" s="1"/>
  <c r="P3634" i="1"/>
  <c r="Q3634" i="1" s="1"/>
  <c r="P4149" i="1"/>
  <c r="Q4149" i="1" s="1"/>
  <c r="P2362" i="1"/>
  <c r="Q2362" i="1" s="1"/>
  <c r="P2723" i="1"/>
  <c r="Q2723" i="1" s="1"/>
  <c r="P4216" i="1"/>
  <c r="Q4216" i="1" s="1"/>
  <c r="P1396" i="1"/>
  <c r="Q1396" i="1" s="1"/>
  <c r="P2313" i="1"/>
  <c r="Q2313" i="1" s="1"/>
  <c r="P2507" i="1"/>
  <c r="Q2507" i="1" s="1"/>
  <c r="P3960" i="1"/>
  <c r="Q3960" i="1" s="1"/>
  <c r="P4111" i="1"/>
  <c r="Q4111" i="1" s="1"/>
  <c r="P461" i="1"/>
  <c r="Q461" i="1" s="1"/>
  <c r="P2408" i="1"/>
  <c r="Q2408" i="1" s="1"/>
  <c r="P1397" i="1"/>
  <c r="Q1397" i="1" s="1"/>
  <c r="P2815" i="1"/>
  <c r="Q2815" i="1" s="1"/>
  <c r="P1901" i="1"/>
  <c r="Q1901" i="1" s="1"/>
  <c r="P1991" i="1"/>
  <c r="Q1991" i="1" s="1"/>
  <c r="P4513" i="1"/>
  <c r="Q4513" i="1" s="1"/>
  <c r="P1398" i="1"/>
  <c r="Q1398" i="1" s="1"/>
  <c r="P1399" i="1"/>
  <c r="Q1399" i="1" s="1"/>
  <c r="P3187" i="1"/>
  <c r="Q3187" i="1" s="1"/>
  <c r="P1400" i="1"/>
  <c r="Q1400" i="1" s="1"/>
  <c r="P462" i="1"/>
  <c r="Q462" i="1" s="1"/>
  <c r="P1401" i="1"/>
  <c r="Q1401" i="1" s="1"/>
  <c r="P1402" i="1"/>
  <c r="Q1402" i="1" s="1"/>
  <c r="P3081" i="1"/>
  <c r="Q3081" i="1" s="1"/>
  <c r="P281" i="1"/>
  <c r="Q281" i="1" s="1"/>
  <c r="P3082" i="1"/>
  <c r="Q3082" i="1" s="1"/>
  <c r="P1992" i="1"/>
  <c r="Q1992" i="1" s="1"/>
  <c r="P463" i="1"/>
  <c r="Q463" i="1" s="1"/>
  <c r="P511" i="1"/>
  <c r="Q511" i="1" s="1"/>
  <c r="P1403" i="1"/>
  <c r="Q1403" i="1" s="1"/>
  <c r="P4514" i="1"/>
  <c r="Q4514" i="1" s="1"/>
  <c r="P2257" i="1"/>
  <c r="Q2257" i="1" s="1"/>
  <c r="P3635" i="1"/>
  <c r="Q3635" i="1" s="1"/>
  <c r="P1404" i="1"/>
  <c r="Q1404" i="1" s="1"/>
  <c r="P3223" i="1"/>
  <c r="Q3223" i="1" s="1"/>
  <c r="P2314" i="1"/>
  <c r="Q2314" i="1" s="1"/>
  <c r="P374" i="1"/>
  <c r="Q374" i="1" s="1"/>
  <c r="P1405" i="1"/>
  <c r="Q1405" i="1" s="1"/>
  <c r="P4515" i="1"/>
  <c r="Q4515" i="1" s="1"/>
  <c r="P2724" i="1"/>
  <c r="Q2724" i="1" s="1"/>
  <c r="P1406" i="1"/>
  <c r="Q1406" i="1" s="1"/>
  <c r="P2725" i="1"/>
  <c r="Q2725" i="1" s="1"/>
  <c r="P3636" i="1"/>
  <c r="Q3636" i="1" s="1"/>
  <c r="P1993" i="1"/>
  <c r="Q1993" i="1" s="1"/>
  <c r="P4175" i="1"/>
  <c r="Q4175" i="1" s="1"/>
  <c r="P3083" i="1"/>
  <c r="Q3083" i="1" s="1"/>
  <c r="P4516" i="1"/>
  <c r="Q4516" i="1" s="1"/>
  <c r="P375" i="1"/>
  <c r="Q375" i="1" s="1"/>
  <c r="P3637" i="1"/>
  <c r="Q3637" i="1" s="1"/>
  <c r="P2409" i="1"/>
  <c r="Q2409" i="1" s="1"/>
  <c r="P3638" i="1"/>
  <c r="Q3638" i="1" s="1"/>
  <c r="P3170" i="1"/>
  <c r="Q3170" i="1" s="1"/>
  <c r="P1407" i="1"/>
  <c r="Q1407" i="1" s="1"/>
  <c r="P3639" i="1"/>
  <c r="Q3639" i="1" s="1"/>
  <c r="P1821" i="1"/>
  <c r="Q1821" i="1" s="1"/>
  <c r="P3640" i="1"/>
  <c r="Q3640" i="1" s="1"/>
  <c r="P464" i="1"/>
  <c r="Q464" i="1" s="1"/>
  <c r="P4293" i="1"/>
  <c r="Q4293" i="1" s="1"/>
  <c r="P2726" i="1"/>
  <c r="Q2726" i="1" s="1"/>
  <c r="P3641" i="1"/>
  <c r="Q3641" i="1" s="1"/>
  <c r="P1408" i="1"/>
  <c r="Q1408" i="1" s="1"/>
  <c r="P2148" i="1"/>
  <c r="Q2148" i="1" s="1"/>
  <c r="P4176" i="1"/>
  <c r="Q4176" i="1" s="1"/>
  <c r="P4073" i="1"/>
  <c r="Q4073" i="1" s="1"/>
  <c r="P1409" i="1"/>
  <c r="Q1409" i="1" s="1"/>
  <c r="P1410" i="1"/>
  <c r="Q1410" i="1" s="1"/>
  <c r="P1411" i="1"/>
  <c r="Q1411" i="1" s="1"/>
  <c r="P2315" i="1"/>
  <c r="Q2315" i="1" s="1"/>
  <c r="P3642" i="1"/>
  <c r="Q3642" i="1" s="1"/>
  <c r="P1412" i="1"/>
  <c r="Q1412" i="1" s="1"/>
  <c r="P1413" i="1"/>
  <c r="Q1413" i="1" s="1"/>
  <c r="P4517" i="1"/>
  <c r="Q4517" i="1" s="1"/>
  <c r="P3961" i="1"/>
  <c r="Q3961" i="1" s="1"/>
  <c r="P4518" i="1"/>
  <c r="Q4518" i="1" s="1"/>
  <c r="P4177" i="1"/>
  <c r="Q4177" i="1" s="1"/>
  <c r="P1414" i="1"/>
  <c r="Q1414" i="1" s="1"/>
  <c r="P3250" i="1"/>
  <c r="Q3250" i="1" s="1"/>
  <c r="P4519" i="1"/>
  <c r="Q4519" i="1" s="1"/>
  <c r="P2149" i="1"/>
  <c r="Q2149" i="1" s="1"/>
  <c r="P3193" i="1"/>
  <c r="Q3193" i="1" s="1"/>
  <c r="P4009" i="1"/>
  <c r="Q4009" i="1" s="1"/>
  <c r="P4074" i="1"/>
  <c r="Q4074" i="1" s="1"/>
  <c r="P3084" i="1"/>
  <c r="Q3084" i="1" s="1"/>
  <c r="P1784" i="1"/>
  <c r="Q1784" i="1" s="1"/>
  <c r="P3085" i="1"/>
  <c r="Q3085" i="1" s="1"/>
  <c r="P1785" i="1"/>
  <c r="Q1785" i="1" s="1"/>
  <c r="P3643" i="1"/>
  <c r="Q3643" i="1" s="1"/>
  <c r="P4144" i="1"/>
  <c r="Q4144" i="1" s="1"/>
  <c r="P4106" i="1"/>
  <c r="Q4106" i="1" s="1"/>
  <c r="P3644" i="1"/>
  <c r="Q3644" i="1" s="1"/>
  <c r="P1415" i="1"/>
  <c r="Q1415" i="1" s="1"/>
  <c r="P1416" i="1"/>
  <c r="Q1416" i="1" s="1"/>
  <c r="P2150" i="1"/>
  <c r="Q2150" i="1" s="1"/>
  <c r="P1417" i="1"/>
  <c r="Q1417" i="1" s="1"/>
  <c r="P1418" i="1"/>
  <c r="Q1418" i="1" s="1"/>
  <c r="P1902" i="1"/>
  <c r="Q1902" i="1" s="1"/>
  <c r="P4294" i="1"/>
  <c r="Q4294" i="1" s="1"/>
  <c r="P2151" i="1"/>
  <c r="Q2151" i="1" s="1"/>
  <c r="P1419" i="1"/>
  <c r="Q1419" i="1" s="1"/>
  <c r="P2316" i="1"/>
  <c r="Q2316" i="1" s="1"/>
  <c r="P4075" i="1"/>
  <c r="Q4075" i="1" s="1"/>
  <c r="P1786" i="1"/>
  <c r="Q1786" i="1" s="1"/>
  <c r="P3148" i="1"/>
  <c r="Q3148" i="1" s="1"/>
  <c r="P2727" i="1"/>
  <c r="Q2727" i="1" s="1"/>
  <c r="P2728" i="1"/>
  <c r="Q2728" i="1" s="1"/>
  <c r="P2508" i="1"/>
  <c r="Q2508" i="1" s="1"/>
  <c r="P4010" i="1"/>
  <c r="Q4010" i="1" s="1"/>
  <c r="P2892" i="1"/>
  <c r="Q2892" i="1" s="1"/>
  <c r="P1420" i="1"/>
  <c r="Q1420" i="1" s="1"/>
  <c r="P1421" i="1"/>
  <c r="Q1421" i="1" s="1"/>
  <c r="P2729" i="1"/>
  <c r="Q2729" i="1" s="1"/>
  <c r="P3086" i="1"/>
  <c r="Q3086" i="1" s="1"/>
  <c r="P282" i="1"/>
  <c r="Q282" i="1" s="1"/>
  <c r="P3645" i="1"/>
  <c r="Q3645" i="1" s="1"/>
  <c r="P4145" i="1"/>
  <c r="Q4145" i="1" s="1"/>
  <c r="P3646" i="1"/>
  <c r="Q3646" i="1" s="1"/>
  <c r="P376" i="1"/>
  <c r="Q376" i="1" s="1"/>
  <c r="P2317" i="1"/>
  <c r="Q2317" i="1" s="1"/>
  <c r="P4178" i="1"/>
  <c r="Q4178" i="1" s="1"/>
  <c r="P283" i="1"/>
  <c r="Q283" i="1" s="1"/>
  <c r="P3647" i="1"/>
  <c r="Q3647" i="1" s="1"/>
  <c r="P2730" i="1"/>
  <c r="Q2730" i="1" s="1"/>
  <c r="P3648" i="1"/>
  <c r="Q3648" i="1" s="1"/>
  <c r="P2816" i="1"/>
  <c r="Q2816" i="1" s="1"/>
  <c r="P2893" i="1"/>
  <c r="Q2893" i="1" s="1"/>
  <c r="P2410" i="1"/>
  <c r="Q2410" i="1" s="1"/>
  <c r="P3149" i="1"/>
  <c r="Q3149" i="1" s="1"/>
  <c r="P1422" i="1"/>
  <c r="Q1422" i="1" s="1"/>
  <c r="P2318" i="1"/>
  <c r="Q2318" i="1" s="1"/>
  <c r="P2319" i="1"/>
  <c r="Q2319" i="1" s="1"/>
  <c r="P1423" i="1"/>
  <c r="Q1423" i="1" s="1"/>
  <c r="P2411" i="1"/>
  <c r="Q2411" i="1" s="1"/>
  <c r="P4520" i="1"/>
  <c r="Q4520" i="1" s="1"/>
  <c r="P3224" i="1"/>
  <c r="Q3224" i="1" s="1"/>
  <c r="P1424" i="1"/>
  <c r="Q1424" i="1" s="1"/>
  <c r="P3962" i="1"/>
  <c r="Q3962" i="1" s="1"/>
  <c r="P1425" i="1"/>
  <c r="Q1425" i="1" s="1"/>
  <c r="P3789" i="1"/>
  <c r="Q3789" i="1" s="1"/>
  <c r="P4521" i="1"/>
  <c r="Q4521" i="1" s="1"/>
  <c r="P3649" i="1"/>
  <c r="Q3649" i="1" s="1"/>
  <c r="P2509" i="1"/>
  <c r="Q2509" i="1" s="1"/>
  <c r="P3650" i="1"/>
  <c r="Q3650" i="1" s="1"/>
  <c r="P4522" i="1"/>
  <c r="Q4522" i="1" s="1"/>
  <c r="P1426" i="1"/>
  <c r="Q1426" i="1" s="1"/>
  <c r="P3225" i="1"/>
  <c r="Q3225" i="1" s="1"/>
  <c r="P3651" i="1"/>
  <c r="Q3651" i="1" s="1"/>
  <c r="P4523" i="1"/>
  <c r="Q4523" i="1" s="1"/>
  <c r="P3226" i="1"/>
  <c r="Q3226" i="1" s="1"/>
  <c r="P4524" i="1"/>
  <c r="Q4524" i="1" s="1"/>
  <c r="P4525" i="1"/>
  <c r="Q4525" i="1" s="1"/>
  <c r="P1903" i="1"/>
  <c r="Q1903" i="1" s="1"/>
  <c r="P2152" i="1"/>
  <c r="Q2152" i="1" s="1"/>
  <c r="P1427" i="1"/>
  <c r="Q1427" i="1" s="1"/>
  <c r="P2153" i="1"/>
  <c r="Q2153" i="1" s="1"/>
  <c r="P4526" i="1"/>
  <c r="Q4526" i="1" s="1"/>
  <c r="P3652" i="1"/>
  <c r="Q3652" i="1" s="1"/>
  <c r="P1904" i="1"/>
  <c r="Q1904" i="1" s="1"/>
  <c r="P2850" i="1"/>
  <c r="Q2850" i="1" s="1"/>
  <c r="P3653" i="1"/>
  <c r="Q3653" i="1" s="1"/>
  <c r="P1428" i="1"/>
  <c r="Q1428" i="1" s="1"/>
  <c r="P1994" i="1"/>
  <c r="Q1994" i="1" s="1"/>
  <c r="P3654" i="1"/>
  <c r="Q3654" i="1" s="1"/>
  <c r="P1905" i="1"/>
  <c r="Q1905" i="1" s="1"/>
  <c r="P3963" i="1"/>
  <c r="Q3963" i="1" s="1"/>
  <c r="P1429" i="1"/>
  <c r="Q1429" i="1" s="1"/>
  <c r="P4076" i="1"/>
  <c r="Q4076" i="1" s="1"/>
  <c r="P3655" i="1"/>
  <c r="Q3655" i="1" s="1"/>
  <c r="P3087" i="1"/>
  <c r="Q3087" i="1" s="1"/>
  <c r="P1430" i="1"/>
  <c r="Q1430" i="1" s="1"/>
  <c r="P1431" i="1"/>
  <c r="Q1431" i="1" s="1"/>
  <c r="P3292" i="1"/>
  <c r="Q3292" i="1" s="1"/>
  <c r="P3088" i="1"/>
  <c r="Q3088" i="1" s="1"/>
  <c r="P251" i="1"/>
  <c r="Q251" i="1" s="1"/>
  <c r="P2320" i="1"/>
  <c r="Q2320" i="1" s="1"/>
  <c r="P252" i="1"/>
  <c r="Q252" i="1" s="1"/>
  <c r="P1432" i="1"/>
  <c r="Q1432" i="1" s="1"/>
  <c r="P2412" i="1"/>
  <c r="Q2412" i="1" s="1"/>
  <c r="P2510" i="1"/>
  <c r="Q2510" i="1" s="1"/>
  <c r="P1433" i="1"/>
  <c r="Q1433" i="1" s="1"/>
  <c r="P1434" i="1"/>
  <c r="Q1434" i="1" s="1"/>
  <c r="P1906" i="1"/>
  <c r="Q1906" i="1" s="1"/>
  <c r="P3656" i="1"/>
  <c r="Q3656" i="1" s="1"/>
  <c r="P4188" i="1"/>
  <c r="Q4188" i="1" s="1"/>
  <c r="P3964" i="1"/>
  <c r="Q3964" i="1" s="1"/>
  <c r="P3657" i="1"/>
  <c r="Q3657" i="1" s="1"/>
  <c r="P2321" i="1"/>
  <c r="Q2321" i="1" s="1"/>
  <c r="P1435" i="1"/>
  <c r="Q1435" i="1" s="1"/>
  <c r="P284" i="1"/>
  <c r="Q284" i="1" s="1"/>
  <c r="P1436" i="1"/>
  <c r="Q1436" i="1" s="1"/>
  <c r="P1995" i="1"/>
  <c r="Q1995" i="1" s="1"/>
  <c r="P3658" i="1"/>
  <c r="Q3658" i="1" s="1"/>
  <c r="P3659" i="1"/>
  <c r="Q3659" i="1" s="1"/>
  <c r="P1437" i="1"/>
  <c r="Q1437" i="1" s="1"/>
  <c r="P1438" i="1"/>
  <c r="Q1438" i="1" s="1"/>
  <c r="P4179" i="1"/>
  <c r="Q4179" i="1" s="1"/>
  <c r="P4527" i="1"/>
  <c r="Q4527" i="1" s="1"/>
  <c r="P4528" i="1"/>
  <c r="Q4528" i="1" s="1"/>
  <c r="P1439" i="1"/>
  <c r="Q1439" i="1" s="1"/>
  <c r="P2731" i="1"/>
  <c r="Q2731" i="1" s="1"/>
  <c r="P2851" i="1"/>
  <c r="Q2851" i="1" s="1"/>
  <c r="P3660" i="1"/>
  <c r="Q3660" i="1" s="1"/>
  <c r="P2511" i="1"/>
  <c r="Q2511" i="1" s="1"/>
  <c r="P4529" i="1"/>
  <c r="Q4529" i="1" s="1"/>
  <c r="P1440" i="1"/>
  <c r="Q1440" i="1" s="1"/>
  <c r="P465" i="1"/>
  <c r="Q465" i="1" s="1"/>
  <c r="P1441" i="1"/>
  <c r="Q1441" i="1" s="1"/>
  <c r="P1787" i="1"/>
  <c r="Q1787" i="1" s="1"/>
  <c r="P1442" i="1"/>
  <c r="Q1442" i="1" s="1"/>
  <c r="P2223" i="1"/>
  <c r="Q2223" i="1" s="1"/>
  <c r="P1907" i="1"/>
  <c r="Q1907" i="1" s="1"/>
  <c r="P2224" i="1"/>
  <c r="Q2224" i="1" s="1"/>
  <c r="P3661" i="1"/>
  <c r="Q3661" i="1" s="1"/>
  <c r="P1443" i="1"/>
  <c r="Q1443" i="1" s="1"/>
  <c r="P4530" i="1"/>
  <c r="Q4530" i="1" s="1"/>
  <c r="P1908" i="1"/>
  <c r="Q1908" i="1" s="1"/>
  <c r="P2225" i="1"/>
  <c r="Q2225" i="1" s="1"/>
  <c r="P3662" i="1"/>
  <c r="Q3662" i="1" s="1"/>
  <c r="P4531" i="1"/>
  <c r="Q4531" i="1" s="1"/>
  <c r="P4077" i="1"/>
  <c r="Q4077" i="1" s="1"/>
  <c r="P4295" i="1"/>
  <c r="Q4295" i="1" s="1"/>
  <c r="P3089" i="1"/>
  <c r="Q3089" i="1" s="1"/>
  <c r="P4296" i="1"/>
  <c r="Q4296" i="1" s="1"/>
  <c r="P1909" i="1"/>
  <c r="Q1909" i="1" s="1"/>
  <c r="P1444" i="1"/>
  <c r="Q1444" i="1" s="1"/>
  <c r="P3150" i="1"/>
  <c r="Q3150" i="1" s="1"/>
  <c r="P2512" i="1"/>
  <c r="Q2512" i="1" s="1"/>
  <c r="P2322" i="1"/>
  <c r="Q2322" i="1" s="1"/>
  <c r="P1445" i="1"/>
  <c r="Q1445" i="1" s="1"/>
  <c r="P2732" i="1"/>
  <c r="Q2732" i="1" s="1"/>
  <c r="P2852" i="1"/>
  <c r="Q2852" i="1" s="1"/>
  <c r="P1788" i="1"/>
  <c r="Q1788" i="1" s="1"/>
  <c r="P3663" i="1"/>
  <c r="Q3663" i="1" s="1"/>
  <c r="P2258" i="1"/>
  <c r="Q2258" i="1" s="1"/>
  <c r="P2544" i="1"/>
  <c r="Q2544" i="1" s="1"/>
  <c r="P1910" i="1"/>
  <c r="Q1910" i="1" s="1"/>
  <c r="P3664" i="1"/>
  <c r="Q3664" i="1" s="1"/>
  <c r="P1446" i="1"/>
  <c r="Q1446" i="1" s="1"/>
  <c r="P3665" i="1"/>
  <c r="Q3665" i="1" s="1"/>
  <c r="P3090" i="1"/>
  <c r="Q3090" i="1" s="1"/>
  <c r="P2323" i="1"/>
  <c r="Q2323" i="1" s="1"/>
  <c r="P4532" i="1"/>
  <c r="Q4532" i="1" s="1"/>
  <c r="P4078" i="1"/>
  <c r="Q4078" i="1" s="1"/>
  <c r="P2259" i="1"/>
  <c r="Q2259" i="1" s="1"/>
  <c r="P2324" i="1"/>
  <c r="Q2324" i="1" s="1"/>
  <c r="P3666" i="1"/>
  <c r="Q3666" i="1" s="1"/>
  <c r="P3835" i="1"/>
  <c r="Q3835" i="1" s="1"/>
  <c r="P3091" i="1"/>
  <c r="Q3091" i="1" s="1"/>
  <c r="P4533" i="1"/>
  <c r="Q4533" i="1" s="1"/>
  <c r="P4534" i="1"/>
  <c r="Q4534" i="1" s="1"/>
  <c r="P4535" i="1"/>
  <c r="Q4535" i="1" s="1"/>
  <c r="P3667" i="1"/>
  <c r="Q3667" i="1" s="1"/>
  <c r="P4536" i="1"/>
  <c r="Q4536" i="1" s="1"/>
  <c r="P2154" i="1"/>
  <c r="Q2154" i="1" s="1"/>
  <c r="P4537" i="1"/>
  <c r="Q4537" i="1" s="1"/>
  <c r="P1447" i="1"/>
  <c r="Q1447" i="1" s="1"/>
  <c r="P2513" i="1"/>
  <c r="Q2513" i="1" s="1"/>
  <c r="P3275" i="1"/>
  <c r="Q3275" i="1" s="1"/>
  <c r="P403" i="1"/>
  <c r="Q403" i="1" s="1"/>
  <c r="P1448" i="1"/>
  <c r="Q1448" i="1" s="1"/>
  <c r="P1449" i="1"/>
  <c r="Q1449" i="1" s="1"/>
  <c r="P466" i="1"/>
  <c r="Q466" i="1" s="1"/>
  <c r="P1450" i="1"/>
  <c r="Q1450" i="1" s="1"/>
  <c r="P1451" i="1"/>
  <c r="Q1451" i="1" s="1"/>
  <c r="P3668" i="1"/>
  <c r="Q3668" i="1" s="1"/>
  <c r="P4538" i="1"/>
  <c r="Q4538" i="1" s="1"/>
  <c r="P3965" i="1"/>
  <c r="Q3965" i="1" s="1"/>
  <c r="P4079" i="1"/>
  <c r="Q4079" i="1" s="1"/>
  <c r="P1452" i="1"/>
  <c r="Q1452" i="1" s="1"/>
  <c r="P1453" i="1"/>
  <c r="Q1453" i="1" s="1"/>
  <c r="P3669" i="1"/>
  <c r="Q3669" i="1" s="1"/>
  <c r="P3670" i="1"/>
  <c r="Q3670" i="1" s="1"/>
  <c r="P1454" i="1"/>
  <c r="Q1454" i="1" s="1"/>
  <c r="P3671" i="1"/>
  <c r="Q3671" i="1" s="1"/>
  <c r="P2413" i="1"/>
  <c r="Q2413" i="1" s="1"/>
  <c r="P3672" i="1"/>
  <c r="Q3672" i="1" s="1"/>
  <c r="P1455" i="1"/>
  <c r="Q1455" i="1" s="1"/>
  <c r="P1456" i="1"/>
  <c r="Q1456" i="1" s="1"/>
  <c r="P3673" i="1"/>
  <c r="Q3673" i="1" s="1"/>
  <c r="P3674" i="1"/>
  <c r="Q3674" i="1" s="1"/>
  <c r="P1457" i="1"/>
  <c r="Q1457" i="1" s="1"/>
  <c r="P1458" i="1"/>
  <c r="Q1458" i="1" s="1"/>
  <c r="P492" i="1"/>
  <c r="Q492" i="1" s="1"/>
  <c r="P3198" i="1"/>
  <c r="Q3198" i="1" s="1"/>
  <c r="P2733" i="1"/>
  <c r="Q2733" i="1" s="1"/>
  <c r="P1459" i="1"/>
  <c r="Q1459" i="1" s="1"/>
  <c r="P4244" i="1"/>
  <c r="Q4244" i="1" s="1"/>
  <c r="P3966" i="1"/>
  <c r="Q3966" i="1" s="1"/>
  <c r="P2734" i="1"/>
  <c r="Q2734" i="1" s="1"/>
  <c r="P467" i="1"/>
  <c r="Q467" i="1" s="1"/>
  <c r="P1996" i="1"/>
  <c r="Q1996" i="1" s="1"/>
  <c r="P1460" i="1"/>
  <c r="Q1460" i="1" s="1"/>
  <c r="P3675" i="1"/>
  <c r="Q3675" i="1" s="1"/>
  <c r="P2735" i="1"/>
  <c r="Q2735" i="1" s="1"/>
  <c r="P3676" i="1"/>
  <c r="Q3676" i="1" s="1"/>
  <c r="P1461" i="1"/>
  <c r="Q1461" i="1" s="1"/>
  <c r="P2414" i="1"/>
  <c r="Q2414" i="1" s="1"/>
  <c r="P4539" i="1"/>
  <c r="Q4539" i="1" s="1"/>
  <c r="P1462" i="1"/>
  <c r="Q1462" i="1" s="1"/>
  <c r="P2514" i="1"/>
  <c r="Q2514" i="1" s="1"/>
  <c r="P1463" i="1"/>
  <c r="Q1463" i="1" s="1"/>
  <c r="P1464" i="1"/>
  <c r="Q1464" i="1" s="1"/>
  <c r="P3967" i="1"/>
  <c r="Q3967" i="1" s="1"/>
  <c r="P2155" i="1"/>
  <c r="Q2155" i="1" s="1"/>
  <c r="P1465" i="1"/>
  <c r="Q1465" i="1" s="1"/>
  <c r="P3816" i="1"/>
  <c r="Q3816" i="1" s="1"/>
  <c r="P285" i="1"/>
  <c r="Q285" i="1" s="1"/>
  <c r="P2736" i="1"/>
  <c r="Q2736" i="1" s="1"/>
  <c r="P2156" i="1"/>
  <c r="Q2156" i="1" s="1"/>
  <c r="P4080" i="1"/>
  <c r="Q4080" i="1" s="1"/>
  <c r="P4540" i="1"/>
  <c r="Q4540" i="1" s="1"/>
  <c r="P1466" i="1"/>
  <c r="Q1466" i="1" s="1"/>
  <c r="P1467" i="1"/>
  <c r="Q1467" i="1" s="1"/>
  <c r="P2737" i="1"/>
  <c r="Q2737" i="1" s="1"/>
  <c r="P1468" i="1"/>
  <c r="Q1468" i="1" s="1"/>
  <c r="P1469" i="1"/>
  <c r="Q1469" i="1" s="1"/>
  <c r="P3171" i="1"/>
  <c r="Q3171" i="1" s="1"/>
  <c r="P3968" i="1"/>
  <c r="Q3968" i="1" s="1"/>
  <c r="P2226" i="1"/>
  <c r="Q2226" i="1" s="1"/>
  <c r="P3092" i="1"/>
  <c r="Q3092" i="1" s="1"/>
  <c r="P1470" i="1"/>
  <c r="Q1470" i="1" s="1"/>
  <c r="P3677" i="1"/>
  <c r="Q3677" i="1" s="1"/>
  <c r="P4541" i="1"/>
  <c r="Q4541" i="1" s="1"/>
  <c r="P3969" i="1"/>
  <c r="Q3969" i="1" s="1"/>
  <c r="P3093" i="1"/>
  <c r="Q3093" i="1" s="1"/>
  <c r="P3970" i="1"/>
  <c r="Q3970" i="1" s="1"/>
  <c r="P2738" i="1"/>
  <c r="Q2738" i="1" s="1"/>
  <c r="P286" i="1"/>
  <c r="Q286" i="1" s="1"/>
  <c r="P2157" i="1"/>
  <c r="Q2157" i="1" s="1"/>
  <c r="P1997" i="1"/>
  <c r="Q1997" i="1" s="1"/>
  <c r="P1471" i="1"/>
  <c r="Q1471" i="1" s="1"/>
  <c r="P2817" i="1"/>
  <c r="Q2817" i="1" s="1"/>
  <c r="P1472" i="1"/>
  <c r="Q1472" i="1" s="1"/>
  <c r="P1473" i="1"/>
  <c r="Q1473" i="1" s="1"/>
  <c r="P3678" i="1"/>
  <c r="Q3678" i="1" s="1"/>
  <c r="P2873" i="1"/>
  <c r="Q2873" i="1" s="1"/>
  <c r="P1474" i="1"/>
  <c r="Q1474" i="1" s="1"/>
  <c r="P4542" i="1"/>
  <c r="Q4542" i="1" s="1"/>
  <c r="P2227" i="1"/>
  <c r="Q2227" i="1" s="1"/>
  <c r="P1475" i="1"/>
  <c r="Q1475" i="1" s="1"/>
  <c r="P4543" i="1"/>
  <c r="Q4543" i="1" s="1"/>
  <c r="P3679" i="1"/>
  <c r="Q3679" i="1" s="1"/>
  <c r="P4544" i="1"/>
  <c r="Q4544" i="1" s="1"/>
  <c r="P3094" i="1"/>
  <c r="Q3094" i="1" s="1"/>
  <c r="P4180" i="1"/>
  <c r="Q4180" i="1" s="1"/>
  <c r="P1476" i="1"/>
  <c r="Q1476" i="1" s="1"/>
  <c r="P3095" i="1"/>
  <c r="Q3095" i="1" s="1"/>
  <c r="P1477" i="1"/>
  <c r="Q1477" i="1" s="1"/>
  <c r="P3680" i="1"/>
  <c r="Q3680" i="1" s="1"/>
  <c r="P468" i="1"/>
  <c r="Q468" i="1" s="1"/>
  <c r="P1789" i="1"/>
  <c r="Q1789" i="1" s="1"/>
  <c r="P1911" i="1"/>
  <c r="Q1911" i="1" s="1"/>
  <c r="P2415" i="1"/>
  <c r="Q2415" i="1" s="1"/>
  <c r="P3681" i="1"/>
  <c r="Q3681" i="1" s="1"/>
  <c r="P2874" i="1"/>
  <c r="Q2874" i="1" s="1"/>
  <c r="P1912" i="1"/>
  <c r="Q1912" i="1" s="1"/>
  <c r="P1790" i="1"/>
  <c r="Q1790" i="1" s="1"/>
  <c r="P377" i="1"/>
  <c r="Q377" i="1" s="1"/>
  <c r="P3682" i="1"/>
  <c r="Q3682" i="1" s="1"/>
  <c r="P1478" i="1"/>
  <c r="Q1478" i="1" s="1"/>
  <c r="P2228" i="1"/>
  <c r="Q2228" i="1" s="1"/>
  <c r="P2739" i="1"/>
  <c r="Q2739" i="1" s="1"/>
  <c r="P4217" i="1"/>
  <c r="Q4217" i="1" s="1"/>
  <c r="P3971" i="1"/>
  <c r="Q3971" i="1" s="1"/>
  <c r="P1479" i="1"/>
  <c r="Q1479" i="1" s="1"/>
  <c r="P3096" i="1"/>
  <c r="Q3096" i="1" s="1"/>
  <c r="P3683" i="1"/>
  <c r="Q3683" i="1" s="1"/>
  <c r="P1480" i="1"/>
  <c r="Q1480" i="1" s="1"/>
  <c r="P1481" i="1"/>
  <c r="Q1481" i="1" s="1"/>
  <c r="P3972" i="1"/>
  <c r="Q3972" i="1" s="1"/>
  <c r="P3836" i="1"/>
  <c r="Q3836" i="1" s="1"/>
  <c r="P2325" i="1"/>
  <c r="Q2325" i="1" s="1"/>
  <c r="P2016" i="1"/>
  <c r="Q2016" i="1" s="1"/>
  <c r="P2515" i="1"/>
  <c r="Q2515" i="1" s="1"/>
  <c r="P2158" i="1"/>
  <c r="Q2158" i="1" s="1"/>
  <c r="P3973" i="1"/>
  <c r="Q3973" i="1" s="1"/>
  <c r="P4545" i="1"/>
  <c r="Q4545" i="1" s="1"/>
  <c r="P1482" i="1"/>
  <c r="Q1482" i="1" s="1"/>
  <c r="P378" i="1"/>
  <c r="Q378" i="1" s="1"/>
  <c r="P1483" i="1"/>
  <c r="Q1483" i="1" s="1"/>
  <c r="P1791" i="1"/>
  <c r="Q1791" i="1" s="1"/>
  <c r="P2894" i="1"/>
  <c r="Q2894" i="1" s="1"/>
  <c r="P3684" i="1"/>
  <c r="Q3684" i="1" s="1"/>
  <c r="P469" i="1"/>
  <c r="Q469" i="1" s="1"/>
  <c r="P3293" i="1"/>
  <c r="Q3293" i="1" s="1"/>
  <c r="P3974" i="1"/>
  <c r="Q3974" i="1" s="1"/>
  <c r="P3097" i="1"/>
  <c r="Q3097" i="1" s="1"/>
  <c r="P3685" i="1"/>
  <c r="Q3685" i="1" s="1"/>
  <c r="P2740" i="1"/>
  <c r="Q2740" i="1" s="1"/>
  <c r="P2818" i="1"/>
  <c r="Q2818" i="1" s="1"/>
  <c r="P1484" i="1"/>
  <c r="Q1484" i="1" s="1"/>
  <c r="P1485" i="1"/>
  <c r="Q1485" i="1" s="1"/>
  <c r="P298" i="1"/>
  <c r="Q298" i="1" s="1"/>
  <c r="P1486" i="1"/>
  <c r="Q1486" i="1" s="1"/>
  <c r="P253" i="1"/>
  <c r="Q253" i="1" s="1"/>
  <c r="P3686" i="1"/>
  <c r="Q3686" i="1" s="1"/>
  <c r="P1913" i="1"/>
  <c r="Q1913" i="1" s="1"/>
  <c r="P2516" i="1"/>
  <c r="Q2516" i="1" s="1"/>
  <c r="P2416" i="1"/>
  <c r="Q2416" i="1" s="1"/>
  <c r="P1914" i="1"/>
  <c r="Q1914" i="1" s="1"/>
  <c r="P4218" i="1"/>
  <c r="Q4218" i="1" s="1"/>
  <c r="P4546" i="1"/>
  <c r="Q4546" i="1" s="1"/>
  <c r="P2741" i="1"/>
  <c r="Q2741" i="1" s="1"/>
  <c r="P3098" i="1"/>
  <c r="Q3098" i="1" s="1"/>
  <c r="P3687" i="1"/>
  <c r="Q3687" i="1" s="1"/>
  <c r="P3099" i="1"/>
  <c r="Q3099" i="1" s="1"/>
  <c r="P4297" i="1"/>
  <c r="Q4297" i="1" s="1"/>
  <c r="P379" i="1"/>
  <c r="Q379" i="1" s="1"/>
  <c r="P3817" i="1"/>
  <c r="Q3817" i="1" s="1"/>
  <c r="P4081" i="1"/>
  <c r="Q4081" i="1" s="1"/>
  <c r="P4547" i="1"/>
  <c r="Q4547" i="1" s="1"/>
  <c r="P4245" i="1"/>
  <c r="Q4245" i="1" s="1"/>
  <c r="P2260" i="1"/>
  <c r="Q2260" i="1" s="1"/>
  <c r="P2742" i="1"/>
  <c r="Q2742" i="1" s="1"/>
  <c r="P2159" i="1"/>
  <c r="Q2159" i="1" s="1"/>
  <c r="P4117" i="1"/>
  <c r="Q4117" i="1" s="1"/>
  <c r="P2160" i="1"/>
  <c r="Q2160" i="1" s="1"/>
  <c r="P3975" i="1"/>
  <c r="Q3975" i="1" s="1"/>
  <c r="P2363" i="1"/>
  <c r="Q2363" i="1" s="1"/>
  <c r="P1487" i="1"/>
  <c r="Q1487" i="1" s="1"/>
  <c r="P3818" i="1"/>
  <c r="Q3818" i="1" s="1"/>
  <c r="P4548" i="1"/>
  <c r="Q4548" i="1" s="1"/>
  <c r="P3688" i="1"/>
  <c r="Q3688" i="1" s="1"/>
  <c r="P1488" i="1"/>
  <c r="Q1488" i="1" s="1"/>
  <c r="P4228" i="1"/>
  <c r="Q4228" i="1" s="1"/>
  <c r="P2417" i="1"/>
  <c r="Q2417" i="1" s="1"/>
  <c r="P1489" i="1"/>
  <c r="Q1489" i="1" s="1"/>
  <c r="P2743" i="1"/>
  <c r="Q2743" i="1" s="1"/>
  <c r="P3976" i="1"/>
  <c r="Q3976" i="1" s="1"/>
  <c r="P3100" i="1"/>
  <c r="Q3100" i="1" s="1"/>
  <c r="P1490" i="1"/>
  <c r="Q1490" i="1" s="1"/>
  <c r="P3790" i="1"/>
  <c r="Q3790" i="1" s="1"/>
  <c r="P380" i="1"/>
  <c r="Q380" i="1" s="1"/>
  <c r="P1491" i="1"/>
  <c r="Q1491" i="1" s="1"/>
  <c r="P4549" i="1"/>
  <c r="Q4549" i="1" s="1"/>
  <c r="P2819" i="1"/>
  <c r="Q2819" i="1" s="1"/>
  <c r="P1492" i="1"/>
  <c r="Q1492" i="1" s="1"/>
  <c r="P4550" i="1"/>
  <c r="Q4550" i="1" s="1"/>
  <c r="P3689" i="1"/>
  <c r="Q3689" i="1" s="1"/>
  <c r="P1792" i="1"/>
  <c r="Q1792" i="1" s="1"/>
  <c r="P1493" i="1"/>
  <c r="Q1493" i="1" s="1"/>
  <c r="P3690" i="1"/>
  <c r="Q3690" i="1" s="1"/>
  <c r="P2853" i="1"/>
  <c r="Q2853" i="1" s="1"/>
  <c r="P1793" i="1"/>
  <c r="Q1793" i="1" s="1"/>
  <c r="P2161" i="1"/>
  <c r="Q2161" i="1" s="1"/>
  <c r="P381" i="1"/>
  <c r="Q381" i="1" s="1"/>
  <c r="P1494" i="1"/>
  <c r="Q1494" i="1" s="1"/>
  <c r="P1794" i="1"/>
  <c r="Q1794" i="1" s="1"/>
  <c r="P3691" i="1"/>
  <c r="Q3691" i="1" s="1"/>
  <c r="P1495" i="1"/>
  <c r="Q1495" i="1" s="1"/>
  <c r="P3692" i="1"/>
  <c r="Q3692" i="1" s="1"/>
  <c r="P1496" i="1"/>
  <c r="Q1496" i="1" s="1"/>
  <c r="P1795" i="1"/>
  <c r="Q1795" i="1" s="1"/>
  <c r="P3693" i="1"/>
  <c r="Q3693" i="1" s="1"/>
  <c r="P2326" i="1"/>
  <c r="Q2326" i="1" s="1"/>
  <c r="P2744" i="1"/>
  <c r="Q2744" i="1" s="1"/>
  <c r="P4551" i="1"/>
  <c r="Q4551" i="1" s="1"/>
  <c r="P1796" i="1"/>
  <c r="Q1796" i="1" s="1"/>
  <c r="P1497" i="1"/>
  <c r="Q1497" i="1" s="1"/>
  <c r="P2418" i="1"/>
  <c r="Q2418" i="1" s="1"/>
  <c r="P2364" i="1"/>
  <c r="Q2364" i="1" s="1"/>
  <c r="P1498" i="1"/>
  <c r="Q1498" i="1" s="1"/>
  <c r="P2162" i="1"/>
  <c r="Q2162" i="1" s="1"/>
  <c r="P4552" i="1"/>
  <c r="Q4552" i="1" s="1"/>
  <c r="P2517" i="1"/>
  <c r="Q2517" i="1" s="1"/>
  <c r="P4082" i="1"/>
  <c r="Q4082" i="1" s="1"/>
  <c r="P4553" i="1"/>
  <c r="Q4553" i="1" s="1"/>
  <c r="P3101" i="1"/>
  <c r="Q3101" i="1" s="1"/>
  <c r="P2745" i="1"/>
  <c r="Q2745" i="1" s="1"/>
  <c r="P1797" i="1"/>
  <c r="Q1797" i="1" s="1"/>
  <c r="P2746" i="1"/>
  <c r="Q2746" i="1" s="1"/>
  <c r="P1499" i="1"/>
  <c r="Q1499" i="1" s="1"/>
  <c r="P1915" i="1"/>
  <c r="Q1915" i="1" s="1"/>
  <c r="P1500" i="1"/>
  <c r="Q1500" i="1" s="1"/>
  <c r="P1501" i="1"/>
  <c r="Q1501" i="1" s="1"/>
  <c r="P2747" i="1"/>
  <c r="Q2747" i="1" s="1"/>
  <c r="P1502" i="1"/>
  <c r="Q1502" i="1" s="1"/>
  <c r="P1998" i="1"/>
  <c r="Q1998" i="1" s="1"/>
  <c r="P3819" i="1"/>
  <c r="Q3819" i="1" s="1"/>
  <c r="P1503" i="1"/>
  <c r="Q1503" i="1" s="1"/>
  <c r="P1798" i="1"/>
  <c r="Q1798" i="1" s="1"/>
  <c r="P1504" i="1"/>
  <c r="Q1504" i="1" s="1"/>
  <c r="P2748" i="1"/>
  <c r="Q2748" i="1" s="1"/>
  <c r="P1799" i="1"/>
  <c r="Q1799" i="1" s="1"/>
  <c r="P3977" i="1"/>
  <c r="Q3977" i="1" s="1"/>
  <c r="P382" i="1"/>
  <c r="Q382" i="1" s="1"/>
  <c r="P4554" i="1"/>
  <c r="Q4554" i="1" s="1"/>
  <c r="P1505" i="1"/>
  <c r="Q1505" i="1" s="1"/>
  <c r="P2419" i="1"/>
  <c r="Q2419" i="1" s="1"/>
  <c r="P3791" i="1"/>
  <c r="Q3791" i="1" s="1"/>
  <c r="P1916" i="1"/>
  <c r="Q1916" i="1" s="1"/>
  <c r="P3694" i="1"/>
  <c r="Q3694" i="1" s="1"/>
  <c r="P4134" i="1"/>
  <c r="Q4134" i="1" s="1"/>
  <c r="P2820" i="1"/>
  <c r="Q2820" i="1" s="1"/>
  <c r="P4555" i="1"/>
  <c r="Q4555" i="1" s="1"/>
  <c r="P3978" i="1"/>
  <c r="Q3978" i="1" s="1"/>
  <c r="P1506" i="1"/>
  <c r="Q1506" i="1" s="1"/>
  <c r="P3695" i="1"/>
  <c r="Q3695" i="1" s="1"/>
  <c r="P1507" i="1"/>
  <c r="Q1507" i="1" s="1"/>
  <c r="P3696" i="1"/>
  <c r="Q3696" i="1" s="1"/>
  <c r="P3842" i="1"/>
  <c r="Q3842" i="1" s="1"/>
  <c r="P1508" i="1"/>
  <c r="Q1508" i="1" s="1"/>
  <c r="P3820" i="1"/>
  <c r="Q3820" i="1" s="1"/>
  <c r="P4131" i="1"/>
  <c r="Q4131" i="1" s="1"/>
  <c r="P3294" i="1"/>
  <c r="Q3294" i="1" s="1"/>
  <c r="P2420" i="1"/>
  <c r="Q2420" i="1" s="1"/>
  <c r="P3979" i="1"/>
  <c r="Q3979" i="1" s="1"/>
  <c r="P512" i="1"/>
  <c r="Q512" i="1" s="1"/>
  <c r="P3295" i="1"/>
  <c r="Q3295" i="1" s="1"/>
  <c r="P1509" i="1"/>
  <c r="Q1509" i="1" s="1"/>
  <c r="P4556" i="1"/>
  <c r="Q4556" i="1" s="1"/>
  <c r="P2875" i="1"/>
  <c r="Q2875" i="1" s="1"/>
  <c r="P3697" i="1"/>
  <c r="Q3697" i="1" s="1"/>
  <c r="P470" i="1"/>
  <c r="Q470" i="1" s="1"/>
  <c r="P3188" i="1"/>
  <c r="Q3188" i="1" s="1"/>
  <c r="P404" i="1"/>
  <c r="Q404" i="1" s="1"/>
  <c r="P4083" i="1"/>
  <c r="Q4083" i="1" s="1"/>
  <c r="P2163" i="1"/>
  <c r="Q2163" i="1" s="1"/>
  <c r="P1999" i="1"/>
  <c r="Q1999" i="1" s="1"/>
  <c r="P3698" i="1"/>
  <c r="Q3698" i="1" s="1"/>
  <c r="P2518" i="1"/>
  <c r="Q2518" i="1" s="1"/>
  <c r="P3699" i="1"/>
  <c r="Q3699" i="1" s="1"/>
  <c r="P3700" i="1"/>
  <c r="Q3700" i="1" s="1"/>
  <c r="P4219" i="1"/>
  <c r="Q4219" i="1" s="1"/>
  <c r="P1510" i="1"/>
  <c r="Q1510" i="1" s="1"/>
  <c r="P4084" i="1"/>
  <c r="Q4084" i="1" s="1"/>
  <c r="P2899" i="1"/>
  <c r="Q2899" i="1" s="1"/>
  <c r="P2000" i="1"/>
  <c r="Q2000" i="1" s="1"/>
  <c r="P1511" i="1"/>
  <c r="Q1511" i="1" s="1"/>
  <c r="P1512" i="1"/>
  <c r="Q1512" i="1" s="1"/>
  <c r="P2164" i="1"/>
  <c r="Q2164" i="1" s="1"/>
  <c r="P3701" i="1"/>
  <c r="Q3701" i="1" s="1"/>
  <c r="P1513" i="1"/>
  <c r="Q1513" i="1" s="1"/>
  <c r="P1514" i="1"/>
  <c r="Q1514" i="1" s="1"/>
  <c r="P1515" i="1"/>
  <c r="Q1515" i="1" s="1"/>
  <c r="P1516" i="1"/>
  <c r="Q1516" i="1" s="1"/>
  <c r="P1517" i="1"/>
  <c r="Q1517" i="1" s="1"/>
  <c r="P471" i="1"/>
  <c r="Q471" i="1" s="1"/>
  <c r="P2749" i="1"/>
  <c r="Q2749" i="1" s="1"/>
  <c r="P3102" i="1"/>
  <c r="Q3102" i="1" s="1"/>
  <c r="P1518" i="1"/>
  <c r="Q1518" i="1" s="1"/>
  <c r="P4557" i="1"/>
  <c r="Q4557" i="1" s="1"/>
  <c r="P472" i="1"/>
  <c r="Q472" i="1" s="1"/>
  <c r="P1917" i="1"/>
  <c r="Q1917" i="1" s="1"/>
  <c r="P3702" i="1"/>
  <c r="Q3702" i="1" s="1"/>
  <c r="P4246" i="1"/>
  <c r="Q4246" i="1" s="1"/>
  <c r="P3227" i="1"/>
  <c r="Q3227" i="1" s="1"/>
  <c r="P4558" i="1"/>
  <c r="Q4558" i="1" s="1"/>
  <c r="P2750" i="1"/>
  <c r="Q2750" i="1" s="1"/>
  <c r="P1519" i="1"/>
  <c r="Q1519" i="1" s="1"/>
  <c r="P2165" i="1"/>
  <c r="Q2165" i="1" s="1"/>
  <c r="P1520" i="1"/>
  <c r="Q1520" i="1" s="1"/>
  <c r="P1521" i="1"/>
  <c r="Q1521" i="1" s="1"/>
  <c r="P2751" i="1"/>
  <c r="Q2751" i="1" s="1"/>
  <c r="P3103" i="1"/>
  <c r="Q3103" i="1" s="1"/>
  <c r="P3104" i="1"/>
  <c r="Q3104" i="1" s="1"/>
  <c r="P3276" i="1"/>
  <c r="Q3276" i="1" s="1"/>
  <c r="P2752" i="1"/>
  <c r="Q2752" i="1" s="1"/>
  <c r="P3251" i="1"/>
  <c r="Q3251" i="1" s="1"/>
  <c r="P1522" i="1"/>
  <c r="Q1522" i="1" s="1"/>
  <c r="P3703" i="1"/>
  <c r="Q3703" i="1" s="1"/>
  <c r="P4559" i="1"/>
  <c r="Q4559" i="1" s="1"/>
  <c r="P4298" i="1"/>
  <c r="Q4298" i="1" s="1"/>
  <c r="P2519" i="1"/>
  <c r="Q2519" i="1" s="1"/>
  <c r="P3704" i="1"/>
  <c r="Q3704" i="1" s="1"/>
  <c r="P3105" i="1"/>
  <c r="Q3105" i="1" s="1"/>
  <c r="P1523" i="1"/>
  <c r="Q1523" i="1" s="1"/>
  <c r="P3705" i="1"/>
  <c r="Q3705" i="1" s="1"/>
  <c r="P2753" i="1"/>
  <c r="Q2753" i="1" s="1"/>
  <c r="P2365" i="1"/>
  <c r="Q2365" i="1" s="1"/>
  <c r="P1524" i="1"/>
  <c r="Q1524" i="1" s="1"/>
  <c r="P2001" i="1"/>
  <c r="Q2001" i="1" s="1"/>
  <c r="P2754" i="1"/>
  <c r="Q2754" i="1" s="1"/>
  <c r="P3228" i="1"/>
  <c r="Q3228" i="1" s="1"/>
  <c r="P1525" i="1"/>
  <c r="Q1525" i="1" s="1"/>
  <c r="P2166" i="1"/>
  <c r="Q2166" i="1" s="1"/>
  <c r="P2229" i="1"/>
  <c r="Q2229" i="1" s="1"/>
  <c r="P473" i="1"/>
  <c r="Q473" i="1" s="1"/>
  <c r="P1526" i="1"/>
  <c r="Q1526" i="1" s="1"/>
  <c r="P4560" i="1"/>
  <c r="Q4560" i="1" s="1"/>
  <c r="P3706" i="1"/>
  <c r="Q3706" i="1" s="1"/>
  <c r="P1918" i="1"/>
  <c r="Q1918" i="1" s="1"/>
  <c r="P1527" i="1"/>
  <c r="Q1527" i="1" s="1"/>
  <c r="P513" i="1"/>
  <c r="Q513" i="1" s="1"/>
  <c r="P3707" i="1"/>
  <c r="Q3707" i="1" s="1"/>
  <c r="P2854" i="1"/>
  <c r="Q2854" i="1" s="1"/>
  <c r="P1528" i="1"/>
  <c r="Q1528" i="1" s="1"/>
  <c r="P383" i="1"/>
  <c r="Q383" i="1" s="1"/>
  <c r="P4561" i="1"/>
  <c r="Q4561" i="1" s="1"/>
  <c r="P2520" i="1"/>
  <c r="Q2520" i="1" s="1"/>
  <c r="P514" i="1"/>
  <c r="Q514" i="1" s="1"/>
  <c r="P2755" i="1"/>
  <c r="Q2755" i="1" s="1"/>
  <c r="P3980" i="1"/>
  <c r="Q3980" i="1" s="1"/>
  <c r="P4085" i="1"/>
  <c r="Q4085" i="1" s="1"/>
  <c r="P1800" i="1"/>
  <c r="Q1800" i="1" s="1"/>
  <c r="P1529" i="1"/>
  <c r="Q1529" i="1" s="1"/>
  <c r="P2756" i="1"/>
  <c r="Q2756" i="1" s="1"/>
  <c r="P3708" i="1"/>
  <c r="Q3708" i="1" s="1"/>
  <c r="P4132" i="1"/>
  <c r="Q4132" i="1" s="1"/>
  <c r="P384" i="1"/>
  <c r="Q384" i="1" s="1"/>
  <c r="P4104" i="1"/>
  <c r="Q4104" i="1" s="1"/>
  <c r="P2167" i="1"/>
  <c r="Q2167" i="1" s="1"/>
  <c r="P4220" i="1"/>
  <c r="Q4220" i="1" s="1"/>
  <c r="P3821" i="1"/>
  <c r="Q3821" i="1" s="1"/>
  <c r="P1530" i="1"/>
  <c r="Q1530" i="1" s="1"/>
  <c r="P287" i="1"/>
  <c r="Q287" i="1" s="1"/>
  <c r="P1801" i="1"/>
  <c r="Q1801" i="1" s="1"/>
  <c r="P4562" i="1"/>
  <c r="Q4562" i="1" s="1"/>
  <c r="P1531" i="1"/>
  <c r="Q1531" i="1" s="1"/>
  <c r="P2168" i="1"/>
  <c r="Q2168" i="1" s="1"/>
  <c r="P4563" i="1"/>
  <c r="Q4563" i="1" s="1"/>
  <c r="P2757" i="1"/>
  <c r="Q2757" i="1" s="1"/>
  <c r="P1532" i="1"/>
  <c r="Q1532" i="1" s="1"/>
  <c r="P385" i="1"/>
  <c r="Q385" i="1" s="1"/>
  <c r="P1533" i="1"/>
  <c r="Q1533" i="1" s="1"/>
  <c r="P3709" i="1"/>
  <c r="Q3709" i="1" s="1"/>
  <c r="P2758" i="1"/>
  <c r="Q2758" i="1" s="1"/>
  <c r="P3710" i="1"/>
  <c r="Q3710" i="1" s="1"/>
  <c r="P1534" i="1"/>
  <c r="Q1534" i="1" s="1"/>
  <c r="P1535" i="1"/>
  <c r="Q1535" i="1" s="1"/>
  <c r="P3792" i="1"/>
  <c r="Q3792" i="1" s="1"/>
  <c r="P4221" i="1"/>
  <c r="Q4221" i="1" s="1"/>
  <c r="P3106" i="1"/>
  <c r="Q3106" i="1" s="1"/>
  <c r="P2876" i="1"/>
  <c r="Q2876" i="1" s="1"/>
  <c r="P1536" i="1"/>
  <c r="Q1536" i="1" s="1"/>
  <c r="P1537" i="1"/>
  <c r="Q1537" i="1" s="1"/>
  <c r="P3981" i="1"/>
  <c r="Q3981" i="1" s="1"/>
  <c r="P2759" i="1"/>
  <c r="Q2759" i="1" s="1"/>
  <c r="P3982" i="1"/>
  <c r="Q3982" i="1" s="1"/>
  <c r="P2835" i="1"/>
  <c r="Q2835" i="1" s="1"/>
  <c r="P2366" i="1"/>
  <c r="Q2366" i="1" s="1"/>
  <c r="P1538" i="1"/>
  <c r="Q1538" i="1" s="1"/>
  <c r="P3983" i="1"/>
  <c r="Q3983" i="1" s="1"/>
  <c r="P2877" i="1"/>
  <c r="Q2877" i="1" s="1"/>
  <c r="P1539" i="1"/>
  <c r="Q1539" i="1" s="1"/>
  <c r="P2169" i="1"/>
  <c r="Q2169" i="1" s="1"/>
  <c r="P2327" i="1"/>
  <c r="Q2327" i="1" s="1"/>
  <c r="P1540" i="1"/>
  <c r="Q1540" i="1" s="1"/>
  <c r="P1541" i="1"/>
  <c r="Q1541" i="1" s="1"/>
  <c r="P2760" i="1"/>
  <c r="Q2760" i="1" s="1"/>
  <c r="P2841" i="1"/>
  <c r="Q2841" i="1" s="1"/>
  <c r="P1542" i="1"/>
  <c r="Q1542" i="1" s="1"/>
  <c r="P4564" i="1"/>
  <c r="Q4564" i="1" s="1"/>
  <c r="P3711" i="1"/>
  <c r="Q3711" i="1" s="1"/>
  <c r="P4222" i="1"/>
  <c r="Q4222" i="1" s="1"/>
  <c r="P386" i="1"/>
  <c r="Q386" i="1" s="1"/>
  <c r="P1543" i="1"/>
  <c r="Q1543" i="1" s="1"/>
  <c r="P3107" i="1"/>
  <c r="Q3107" i="1" s="1"/>
  <c r="P3712" i="1"/>
  <c r="Q3712" i="1" s="1"/>
  <c r="P3108" i="1"/>
  <c r="Q3108" i="1" s="1"/>
  <c r="P1802" i="1"/>
  <c r="Q1802" i="1" s="1"/>
  <c r="P3713" i="1"/>
  <c r="Q3713" i="1" s="1"/>
  <c r="P1544" i="1"/>
  <c r="Q1544" i="1" s="1"/>
  <c r="P1545" i="1"/>
  <c r="Q1545" i="1" s="1"/>
  <c r="P2170" i="1"/>
  <c r="Q2170" i="1" s="1"/>
  <c r="P3189" i="1"/>
  <c r="Q3189" i="1" s="1"/>
  <c r="P1546" i="1"/>
  <c r="Q1546" i="1" s="1"/>
  <c r="P1547" i="1"/>
  <c r="Q1547" i="1" s="1"/>
  <c r="P4565" i="1"/>
  <c r="Q4565" i="1" s="1"/>
  <c r="P2761" i="1"/>
  <c r="Q2761" i="1" s="1"/>
  <c r="P387" i="1"/>
  <c r="Q387" i="1" s="1"/>
  <c r="P3714" i="1"/>
  <c r="Q3714" i="1" s="1"/>
  <c r="P388" i="1"/>
  <c r="Q388" i="1" s="1"/>
  <c r="P1548" i="1"/>
  <c r="Q1548" i="1" s="1"/>
  <c r="P2002" i="1"/>
  <c r="Q2002" i="1" s="1"/>
  <c r="P3984" i="1"/>
  <c r="Q3984" i="1" s="1"/>
  <c r="P4566" i="1"/>
  <c r="Q4566" i="1" s="1"/>
  <c r="P3715" i="1"/>
  <c r="Q3715" i="1" s="1"/>
  <c r="P3985" i="1"/>
  <c r="Q3985" i="1" s="1"/>
  <c r="P256" i="1"/>
  <c r="Q256" i="1" s="1"/>
  <c r="P1549" i="1"/>
  <c r="Q1549" i="1" s="1"/>
  <c r="P4126" i="1"/>
  <c r="Q4126" i="1" s="1"/>
  <c r="P1919" i="1"/>
  <c r="Q1919" i="1" s="1"/>
  <c r="P515" i="1"/>
  <c r="Q515" i="1" s="1"/>
  <c r="P2171" i="1"/>
  <c r="Q2171" i="1" s="1"/>
  <c r="P3109" i="1"/>
  <c r="Q3109" i="1" s="1"/>
  <c r="P1550" i="1"/>
  <c r="Q1550" i="1" s="1"/>
  <c r="P288" i="1"/>
  <c r="Q288" i="1" s="1"/>
  <c r="P2328" i="1"/>
  <c r="Q2328" i="1" s="1"/>
  <c r="P2329" i="1"/>
  <c r="Q2329" i="1" s="1"/>
  <c r="P3172" i="1"/>
  <c r="Q3172" i="1" s="1"/>
  <c r="P1920" i="1"/>
  <c r="Q1920" i="1" s="1"/>
  <c r="P3277" i="1"/>
  <c r="Q3277" i="1" s="1"/>
  <c r="P4299" i="1"/>
  <c r="Q4299" i="1" s="1"/>
  <c r="P3822" i="1"/>
  <c r="Q3822" i="1" s="1"/>
  <c r="P3716" i="1"/>
  <c r="Q3716" i="1" s="1"/>
  <c r="P2762" i="1"/>
  <c r="Q2762" i="1" s="1"/>
  <c r="P4086" i="1"/>
  <c r="Q4086" i="1" s="1"/>
  <c r="P3717" i="1"/>
  <c r="Q3717" i="1" s="1"/>
  <c r="P3718" i="1"/>
  <c r="Q3718" i="1" s="1"/>
  <c r="P1803" i="1"/>
  <c r="Q1803" i="1" s="1"/>
  <c r="P1551" i="1"/>
  <c r="Q1551" i="1" s="1"/>
  <c r="P3986" i="1"/>
  <c r="Q3986" i="1" s="1"/>
  <c r="P2172" i="1"/>
  <c r="Q2172" i="1" s="1"/>
  <c r="P289" i="1"/>
  <c r="Q289" i="1" s="1"/>
  <c r="P1552" i="1"/>
  <c r="Q1552" i="1" s="1"/>
  <c r="P3278" i="1"/>
  <c r="Q3278" i="1" s="1"/>
  <c r="P4567" i="1"/>
  <c r="Q4567" i="1" s="1"/>
  <c r="P1553" i="1"/>
  <c r="Q1553" i="1" s="1"/>
  <c r="P3110" i="1"/>
  <c r="Q3110" i="1" s="1"/>
  <c r="P4150" i="1"/>
  <c r="Q4150" i="1" s="1"/>
  <c r="P1554" i="1"/>
  <c r="Q1554" i="1" s="1"/>
  <c r="P3719" i="1"/>
  <c r="Q3719" i="1" s="1"/>
  <c r="P1555" i="1"/>
  <c r="Q1555" i="1" s="1"/>
  <c r="P3720" i="1"/>
  <c r="Q3720" i="1" s="1"/>
  <c r="P3721" i="1"/>
  <c r="Q3721" i="1" s="1"/>
  <c r="P3111" i="1"/>
  <c r="Q3111" i="1" s="1"/>
  <c r="P2521" i="1"/>
  <c r="Q2521" i="1" s="1"/>
  <c r="P3837" i="1"/>
  <c r="Q3837" i="1" s="1"/>
  <c r="P2330" i="1"/>
  <c r="Q2330" i="1" s="1"/>
  <c r="P3722" i="1"/>
  <c r="Q3722" i="1" s="1"/>
  <c r="P4181" i="1"/>
  <c r="Q4181" i="1" s="1"/>
  <c r="P4146" i="1"/>
  <c r="Q4146" i="1" s="1"/>
  <c r="P4568" i="1"/>
  <c r="Q4568" i="1" s="1"/>
  <c r="P1804" i="1"/>
  <c r="Q1804" i="1" s="1"/>
  <c r="P4569" i="1"/>
  <c r="Q4569" i="1" s="1"/>
  <c r="P3173" i="1"/>
  <c r="Q3173" i="1" s="1"/>
  <c r="P1556" i="1"/>
  <c r="Q1556" i="1" s="1"/>
  <c r="P4570" i="1"/>
  <c r="Q4570" i="1" s="1"/>
  <c r="P1557" i="1"/>
  <c r="Q1557" i="1" s="1"/>
  <c r="P4571" i="1"/>
  <c r="Q4571" i="1" s="1"/>
  <c r="P2821" i="1"/>
  <c r="Q2821" i="1" s="1"/>
  <c r="P1558" i="1"/>
  <c r="Q1558" i="1" s="1"/>
  <c r="P2173" i="1"/>
  <c r="Q2173" i="1" s="1"/>
  <c r="P4572" i="1"/>
  <c r="Q4572" i="1" s="1"/>
  <c r="P3987" i="1"/>
  <c r="Q3987" i="1" s="1"/>
  <c r="P1559" i="1"/>
  <c r="Q1559" i="1" s="1"/>
  <c r="P3723" i="1"/>
  <c r="Q3723" i="1" s="1"/>
  <c r="P3724" i="1"/>
  <c r="Q3724" i="1" s="1"/>
  <c r="P3838" i="1"/>
  <c r="Q3838" i="1" s="1"/>
  <c r="P2763" i="1"/>
  <c r="Q2763" i="1" s="1"/>
  <c r="P1560" i="1"/>
  <c r="Q1560" i="1" s="1"/>
  <c r="P2174" i="1"/>
  <c r="Q2174" i="1" s="1"/>
  <c r="P4573" i="1"/>
  <c r="Q4573" i="1" s="1"/>
  <c r="P3988" i="1"/>
  <c r="Q3988" i="1" s="1"/>
  <c r="P1561" i="1"/>
  <c r="Q1561" i="1" s="1"/>
  <c r="P4574" i="1"/>
  <c r="Q4574" i="1" s="1"/>
  <c r="P2175" i="1"/>
  <c r="Q2175" i="1" s="1"/>
  <c r="P3725" i="1"/>
  <c r="Q3725" i="1" s="1"/>
  <c r="P1562" i="1"/>
  <c r="Q1562" i="1" s="1"/>
  <c r="P3726" i="1"/>
  <c r="Q3726" i="1" s="1"/>
  <c r="P3727" i="1"/>
  <c r="Q3727" i="1" s="1"/>
  <c r="P3112" i="1"/>
  <c r="Q3112" i="1" s="1"/>
  <c r="P1563" i="1"/>
  <c r="Q1563" i="1" s="1"/>
  <c r="P1564" i="1"/>
  <c r="Q1564" i="1" s="1"/>
  <c r="P3728" i="1"/>
  <c r="Q3728" i="1" s="1"/>
  <c r="P4575" i="1"/>
  <c r="Q4575" i="1" s="1"/>
  <c r="P1805" i="1"/>
  <c r="Q1805" i="1" s="1"/>
  <c r="P4182" i="1"/>
  <c r="Q4182" i="1" s="1"/>
  <c r="P4576" i="1"/>
  <c r="Q4576" i="1" s="1"/>
  <c r="P1921" i="1"/>
  <c r="Q1921" i="1" s="1"/>
  <c r="P389" i="1"/>
  <c r="Q389" i="1" s="1"/>
  <c r="P3729" i="1"/>
  <c r="Q3729" i="1" s="1"/>
  <c r="P3730" i="1"/>
  <c r="Q3730" i="1" s="1"/>
  <c r="P2244" i="1"/>
  <c r="Q2244" i="1" s="1"/>
  <c r="P1565" i="1"/>
  <c r="Q1565" i="1" s="1"/>
  <c r="P1566" i="1"/>
  <c r="Q1566" i="1" s="1"/>
  <c r="P4577" i="1"/>
  <c r="Q4577" i="1" s="1"/>
  <c r="P2421" i="1"/>
  <c r="Q2421" i="1" s="1"/>
  <c r="P3731" i="1"/>
  <c r="Q3731" i="1" s="1"/>
  <c r="P1567" i="1"/>
  <c r="Q1567" i="1" s="1"/>
  <c r="P2367" i="1"/>
  <c r="Q2367" i="1" s="1"/>
  <c r="P290" i="1"/>
  <c r="Q290" i="1" s="1"/>
  <c r="P1568" i="1"/>
  <c r="Q1568" i="1" s="1"/>
  <c r="P3151" i="1"/>
  <c r="Q3151" i="1" s="1"/>
  <c r="P3732" i="1"/>
  <c r="Q3732" i="1" s="1"/>
  <c r="P4578" i="1"/>
  <c r="Q4578" i="1" s="1"/>
  <c r="P1569" i="1"/>
  <c r="Q1569" i="1" s="1"/>
  <c r="P1570" i="1"/>
  <c r="Q1570" i="1" s="1"/>
  <c r="P3733" i="1"/>
  <c r="Q3733" i="1" s="1"/>
  <c r="P1571" i="1"/>
  <c r="Q1571" i="1" s="1"/>
  <c r="P4247" i="1"/>
  <c r="Q4247" i="1" s="1"/>
  <c r="P1572" i="1"/>
  <c r="Q1572" i="1" s="1"/>
  <c r="P4579" i="1"/>
  <c r="Q4579" i="1" s="1"/>
  <c r="P3734" i="1"/>
  <c r="Q3734" i="1" s="1"/>
  <c r="P4580" i="1"/>
  <c r="Q4580" i="1" s="1"/>
  <c r="P1573" i="1"/>
  <c r="Q1573" i="1" s="1"/>
  <c r="P3735" i="1"/>
  <c r="Q3735" i="1" s="1"/>
  <c r="P2794" i="1"/>
  <c r="Q2794" i="1" s="1"/>
  <c r="P1922" i="1"/>
  <c r="Q1922" i="1" s="1"/>
  <c r="P1574" i="1"/>
  <c r="Q1574" i="1" s="1"/>
  <c r="P2368" i="1"/>
  <c r="Q2368" i="1" s="1"/>
  <c r="P3843" i="1"/>
  <c r="Q3843" i="1" s="1"/>
  <c r="P2176" i="1"/>
  <c r="Q2176" i="1" s="1"/>
  <c r="P4581" i="1"/>
  <c r="Q4581" i="1" s="1"/>
  <c r="P3736" i="1"/>
  <c r="Q3736" i="1" s="1"/>
  <c r="P1575" i="1"/>
  <c r="Q1575" i="1" s="1"/>
  <c r="P3989" i="1"/>
  <c r="Q3989" i="1" s="1"/>
  <c r="P2522" i="1"/>
  <c r="Q2522" i="1" s="1"/>
  <c r="P1576" i="1"/>
  <c r="Q1576" i="1" s="1"/>
  <c r="P1577" i="1"/>
  <c r="Q1577" i="1" s="1"/>
  <c r="P4087" i="1"/>
  <c r="Q4087" i="1" s="1"/>
  <c r="P4300" i="1"/>
  <c r="Q4300" i="1" s="1"/>
  <c r="P516" i="1"/>
  <c r="Q516" i="1" s="1"/>
  <c r="P1578" i="1"/>
  <c r="Q1578" i="1" s="1"/>
  <c r="P2177" i="1"/>
  <c r="Q2177" i="1" s="1"/>
  <c r="P3190" i="1"/>
  <c r="Q3190" i="1" s="1"/>
  <c r="P4088" i="1"/>
  <c r="Q4088" i="1" s="1"/>
  <c r="P3296" i="1"/>
  <c r="Q3296" i="1" s="1"/>
  <c r="P1579" i="1"/>
  <c r="Q1579" i="1" s="1"/>
  <c r="P1580" i="1"/>
  <c r="Q1580" i="1" s="1"/>
  <c r="P1581" i="1"/>
  <c r="Q1581" i="1" s="1"/>
  <c r="P3737" i="1"/>
  <c r="Q3737" i="1" s="1"/>
  <c r="P3738" i="1"/>
  <c r="Q3738" i="1" s="1"/>
  <c r="P1582" i="1"/>
  <c r="Q1582" i="1" s="1"/>
  <c r="P1583" i="1"/>
  <c r="Q1583" i="1" s="1"/>
  <c r="P2331" i="1"/>
  <c r="Q2331" i="1" s="1"/>
  <c r="P2003" i="1"/>
  <c r="Q2003" i="1" s="1"/>
  <c r="P2764" i="1"/>
  <c r="Q2764" i="1" s="1"/>
  <c r="P2004" i="1"/>
  <c r="Q2004" i="1" s="1"/>
  <c r="P2178" i="1"/>
  <c r="Q2178" i="1" s="1"/>
  <c r="P3739" i="1"/>
  <c r="Q3739" i="1" s="1"/>
  <c r="P1584" i="1"/>
  <c r="Q1584" i="1" s="1"/>
  <c r="P1585" i="1"/>
  <c r="Q1585" i="1" s="1"/>
  <c r="P3297" i="1"/>
  <c r="Q3297" i="1" s="1"/>
  <c r="P1586" i="1"/>
  <c r="Q1586" i="1" s="1"/>
  <c r="P1923" i="1"/>
  <c r="Q1923" i="1" s="1"/>
  <c r="P4089" i="1"/>
  <c r="Q4089" i="1" s="1"/>
  <c r="P2765" i="1"/>
  <c r="Q2765" i="1" s="1"/>
  <c r="P4223" i="1"/>
  <c r="Q4223" i="1" s="1"/>
  <c r="P1806" i="1"/>
  <c r="Q1806" i="1" s="1"/>
  <c r="P1587" i="1"/>
  <c r="Q1587" i="1" s="1"/>
  <c r="P474" i="1"/>
  <c r="Q474" i="1" s="1"/>
  <c r="P1588" i="1"/>
  <c r="Q1588" i="1" s="1"/>
  <c r="P3252" i="1"/>
  <c r="Q3252" i="1" s="1"/>
  <c r="P2766" i="1"/>
  <c r="Q2766" i="1" s="1"/>
  <c r="P2767" i="1"/>
  <c r="Q2767" i="1" s="1"/>
  <c r="P3839" i="1"/>
  <c r="Q3839" i="1" s="1"/>
  <c r="P1589" i="1"/>
  <c r="Q1589" i="1" s="1"/>
  <c r="P2768" i="1"/>
  <c r="Q2768" i="1" s="1"/>
  <c r="P2895" i="1"/>
  <c r="Q2895" i="1" s="1"/>
  <c r="P4090" i="1"/>
  <c r="Q4090" i="1" s="1"/>
  <c r="P475" i="1"/>
  <c r="Q475" i="1" s="1"/>
  <c r="P4097" i="1"/>
  <c r="Q4097" i="1" s="1"/>
  <c r="P2769" i="1"/>
  <c r="Q2769" i="1" s="1"/>
  <c r="P1590" i="1"/>
  <c r="Q1590" i="1" s="1"/>
  <c r="P2179" i="1"/>
  <c r="Q2179" i="1" s="1"/>
  <c r="P1591" i="1"/>
  <c r="Q1591" i="1" s="1"/>
  <c r="P476" i="1"/>
  <c r="Q476" i="1" s="1"/>
  <c r="P3740" i="1"/>
  <c r="Q3740" i="1" s="1"/>
  <c r="P3741" i="1"/>
  <c r="Q3741" i="1" s="1"/>
  <c r="P1592" i="1"/>
  <c r="Q1592" i="1" s="1"/>
  <c r="P1593" i="1"/>
  <c r="Q1593" i="1" s="1"/>
  <c r="P4091" i="1"/>
  <c r="Q4091" i="1" s="1"/>
  <c r="P3742" i="1"/>
  <c r="Q3742" i="1" s="1"/>
  <c r="P1594" i="1"/>
  <c r="Q1594" i="1" s="1"/>
  <c r="P1595" i="1"/>
  <c r="Q1595" i="1" s="1"/>
  <c r="P3990" i="1"/>
  <c r="Q3990" i="1" s="1"/>
  <c r="P2913" i="1"/>
  <c r="Q2913" i="1" s="1"/>
  <c r="P1596" i="1"/>
  <c r="Q1596" i="1" s="1"/>
  <c r="P1597" i="1"/>
  <c r="Q1597" i="1" s="1"/>
  <c r="P1598" i="1"/>
  <c r="Q1598" i="1" s="1"/>
  <c r="P2332" i="1"/>
  <c r="Q2332" i="1" s="1"/>
  <c r="P2005" i="1"/>
  <c r="Q2005" i="1" s="1"/>
  <c r="P1599" i="1"/>
  <c r="Q1599" i="1" s="1"/>
  <c r="P1600" i="1"/>
  <c r="Q1600" i="1" s="1"/>
  <c r="P1601" i="1"/>
  <c r="Q1601" i="1" s="1"/>
  <c r="P1602" i="1"/>
  <c r="Q1602" i="1" s="1"/>
  <c r="P4582" i="1"/>
  <c r="Q4582" i="1" s="1"/>
  <c r="P390" i="1"/>
  <c r="Q390" i="1" s="1"/>
  <c r="P1924" i="1"/>
  <c r="Q1924" i="1" s="1"/>
  <c r="P2523" i="1"/>
  <c r="Q2523" i="1" s="1"/>
  <c r="P517" i="1"/>
  <c r="Q517" i="1" s="1"/>
  <c r="P2239" i="1"/>
  <c r="Q2239" i="1" s="1"/>
  <c r="P2333" i="1"/>
  <c r="Q2333" i="1" s="1"/>
  <c r="P1603" i="1"/>
  <c r="Q1603" i="1" s="1"/>
  <c r="P4092" i="1"/>
  <c r="Q4092" i="1" s="1"/>
  <c r="P1604" i="1"/>
  <c r="Q1604" i="1" s="1"/>
  <c r="P1925" i="1"/>
  <c r="Q1925" i="1" s="1"/>
  <c r="P291" i="1"/>
  <c r="Q291" i="1" s="1"/>
  <c r="P1605" i="1"/>
  <c r="Q1605" i="1" s="1"/>
  <c r="P1606" i="1"/>
  <c r="Q1606" i="1" s="1"/>
  <c r="P3991" i="1"/>
  <c r="Q3991" i="1" s="1"/>
  <c r="P2524" i="1"/>
  <c r="Q2524" i="1" s="1"/>
  <c r="P1607" i="1"/>
  <c r="Q1607" i="1" s="1"/>
  <c r="P3113" i="1"/>
  <c r="Q3113" i="1" s="1"/>
  <c r="P1608" i="1"/>
  <c r="Q1608" i="1" s="1"/>
  <c r="P1609" i="1"/>
  <c r="Q1609" i="1" s="1"/>
  <c r="P4093" i="1"/>
  <c r="Q4093" i="1" s="1"/>
  <c r="P3743" i="1"/>
  <c r="Q3743" i="1" s="1"/>
  <c r="P1610" i="1"/>
  <c r="Q1610" i="1" s="1"/>
  <c r="P1611" i="1"/>
  <c r="Q1611" i="1" s="1"/>
  <c r="P4583" i="1"/>
  <c r="Q4583" i="1" s="1"/>
  <c r="P4584" i="1"/>
  <c r="Q4584" i="1" s="1"/>
  <c r="P2770" i="1"/>
  <c r="Q2770" i="1" s="1"/>
  <c r="P3744" i="1"/>
  <c r="Q3744" i="1" s="1"/>
  <c r="P4183" i="1"/>
  <c r="Q4183" i="1" s="1"/>
  <c r="P1807" i="1"/>
  <c r="Q1807" i="1" s="1"/>
  <c r="P4301" i="1"/>
  <c r="Q4301" i="1" s="1"/>
  <c r="P1612" i="1"/>
  <c r="Q1612" i="1" s="1"/>
  <c r="P3114" i="1"/>
  <c r="Q3114" i="1" s="1"/>
  <c r="P1613" i="1"/>
  <c r="Q1613" i="1" s="1"/>
  <c r="P3115" i="1"/>
  <c r="Q3115" i="1" s="1"/>
  <c r="P3116" i="1"/>
  <c r="Q3116" i="1" s="1"/>
  <c r="P1614" i="1"/>
  <c r="Q1614" i="1" s="1"/>
  <c r="P2771" i="1"/>
  <c r="Q2771" i="1" s="1"/>
  <c r="P4302" i="1"/>
  <c r="Q4302" i="1" s="1"/>
  <c r="P1615" i="1"/>
  <c r="Q1615" i="1" s="1"/>
  <c r="P2422" i="1"/>
  <c r="Q2422" i="1" s="1"/>
  <c r="P3117" i="1"/>
  <c r="Q3117" i="1" s="1"/>
  <c r="P4585" i="1"/>
  <c r="Q4585" i="1" s="1"/>
  <c r="P2423" i="1"/>
  <c r="Q2423" i="1" s="1"/>
  <c r="P4011" i="1"/>
  <c r="Q4011" i="1" s="1"/>
  <c r="P391" i="1"/>
  <c r="Q391" i="1" s="1"/>
  <c r="P392" i="1"/>
  <c r="Q392" i="1" s="1"/>
  <c r="P4586" i="1"/>
  <c r="Q4586" i="1" s="1"/>
  <c r="P4587" i="1"/>
  <c r="Q4587" i="1" s="1"/>
  <c r="P4588" i="1"/>
  <c r="Q4588" i="1" s="1"/>
  <c r="P2525" i="1"/>
  <c r="Q2525" i="1" s="1"/>
  <c r="P3745" i="1"/>
  <c r="Q3745" i="1" s="1"/>
  <c r="P4303" i="1"/>
  <c r="Q4303" i="1" s="1"/>
  <c r="P2006" i="1"/>
  <c r="Q2006" i="1" s="1"/>
  <c r="P1616" i="1"/>
  <c r="Q1616" i="1" s="1"/>
  <c r="P1617" i="1"/>
  <c r="Q1617" i="1" s="1"/>
  <c r="P2772" i="1"/>
  <c r="Q2772" i="1" s="1"/>
  <c r="P3746" i="1"/>
  <c r="Q3746" i="1" s="1"/>
  <c r="P1618" i="1"/>
  <c r="Q1618" i="1" s="1"/>
  <c r="P2180" i="1"/>
  <c r="Q2180" i="1" s="1"/>
  <c r="P3793" i="1"/>
  <c r="Q3793" i="1" s="1"/>
  <c r="P4094" i="1"/>
  <c r="Q4094" i="1" s="1"/>
  <c r="P3118" i="1"/>
  <c r="Q3118" i="1" s="1"/>
  <c r="P3119" i="1"/>
  <c r="Q3119" i="1" s="1"/>
  <c r="P1619" i="1"/>
  <c r="Q1619" i="1" s="1"/>
  <c r="P3747" i="1"/>
  <c r="Q3747" i="1" s="1"/>
  <c r="P1822" i="1"/>
  <c r="Q1822" i="1" s="1"/>
  <c r="P3229" i="1"/>
  <c r="Q3229" i="1" s="1"/>
  <c r="P3120" i="1"/>
  <c r="Q3120" i="1" s="1"/>
  <c r="P1808" i="1"/>
  <c r="Q1808" i="1" s="1"/>
  <c r="P1620" i="1"/>
  <c r="Q1620" i="1" s="1"/>
  <c r="P3121" i="1"/>
  <c r="Q3121" i="1" s="1"/>
  <c r="P3122" i="1"/>
  <c r="Q3122" i="1" s="1"/>
  <c r="P3230" i="1"/>
  <c r="Q3230" i="1" s="1"/>
  <c r="P3123" i="1"/>
  <c r="Q3123" i="1" s="1"/>
  <c r="P2181" i="1"/>
  <c r="Q2181" i="1" s="1"/>
  <c r="P4304" i="1"/>
  <c r="Q4304" i="1" s="1"/>
  <c r="P1809" i="1"/>
  <c r="Q1809" i="1" s="1"/>
  <c r="P2230" i="1"/>
  <c r="Q2230" i="1" s="1"/>
  <c r="P2007" i="1"/>
  <c r="Q2007" i="1" s="1"/>
  <c r="P3298" i="1"/>
  <c r="Q3298" i="1" s="1"/>
  <c r="P2773" i="1"/>
  <c r="Q2773" i="1" s="1"/>
  <c r="P393" i="1"/>
  <c r="Q393" i="1" s="1"/>
  <c r="P1621" i="1"/>
  <c r="Q1621" i="1" s="1"/>
  <c r="P4589" i="1"/>
  <c r="Q4589" i="1" s="1"/>
  <c r="P3992" i="1"/>
  <c r="Q3992" i="1" s="1"/>
  <c r="P1622" i="1"/>
  <c r="Q1622" i="1" s="1"/>
  <c r="P1810" i="1"/>
  <c r="Q1810" i="1" s="1"/>
  <c r="P3748" i="1"/>
  <c r="Q3748" i="1" s="1"/>
  <c r="P394" i="1"/>
  <c r="Q394" i="1" s="1"/>
  <c r="P3749" i="1"/>
  <c r="Q3749" i="1" s="1"/>
  <c r="P1623" i="1"/>
  <c r="Q1623" i="1" s="1"/>
  <c r="P4590" i="1"/>
  <c r="Q4590" i="1" s="1"/>
  <c r="P3279" i="1"/>
  <c r="Q3279" i="1" s="1"/>
  <c r="P3993" i="1"/>
  <c r="Q3993" i="1" s="1"/>
  <c r="P2526" i="1"/>
  <c r="Q2526" i="1" s="1"/>
  <c r="P1624" i="1"/>
  <c r="Q1624" i="1" s="1"/>
  <c r="P3124" i="1"/>
  <c r="Q3124" i="1" s="1"/>
  <c r="P3253" i="1"/>
  <c r="Q3253" i="1" s="1"/>
  <c r="P3750" i="1"/>
  <c r="Q3750" i="1" s="1"/>
  <c r="P292" i="1"/>
  <c r="Q292" i="1" s="1"/>
  <c r="P1625" i="1"/>
  <c r="Q1625" i="1" s="1"/>
  <c r="P4591" i="1"/>
  <c r="Q4591" i="1" s="1"/>
  <c r="P3823" i="1"/>
  <c r="Q3823" i="1" s="1"/>
  <c r="P1626" i="1"/>
  <c r="Q1626" i="1" s="1"/>
  <c r="P2774" i="1"/>
  <c r="Q2774" i="1" s="1"/>
  <c r="P3824" i="1"/>
  <c r="Q3824" i="1" s="1"/>
  <c r="P1627" i="1"/>
  <c r="Q1627" i="1" s="1"/>
  <c r="P395" i="1"/>
  <c r="Q395" i="1" s="1"/>
  <c r="P2245" i="1"/>
  <c r="Q2245" i="1" s="1"/>
  <c r="P4224" i="1"/>
  <c r="Q4224" i="1" s="1"/>
  <c r="P2008" i="1"/>
  <c r="Q2008" i="1" s="1"/>
  <c r="P4592" i="1"/>
  <c r="Q4592" i="1" s="1"/>
  <c r="P1628" i="1"/>
  <c r="Q1628" i="1" s="1"/>
  <c r="P4593" i="1"/>
  <c r="Q4593" i="1" s="1"/>
  <c r="P1629" i="1"/>
  <c r="Q1629" i="1" s="1"/>
  <c r="P4102" i="1"/>
  <c r="Q4102" i="1" s="1"/>
  <c r="P3825" i="1"/>
  <c r="Q3825" i="1" s="1"/>
  <c r="P1630" i="1"/>
  <c r="Q1630" i="1" s="1"/>
  <c r="P2017" i="1"/>
  <c r="Q2017" i="1" s="1"/>
  <c r="P1631" i="1"/>
  <c r="Q1631" i="1" s="1"/>
  <c r="P1811" i="1"/>
  <c r="Q1811" i="1" s="1"/>
  <c r="P1632" i="1"/>
  <c r="Q1632" i="1" s="1"/>
  <c r="P2334" i="1"/>
  <c r="Q2334" i="1" s="1"/>
  <c r="P4184" i="1"/>
  <c r="Q4184" i="1" s="1"/>
  <c r="P1633" i="1"/>
  <c r="Q1633" i="1" s="1"/>
  <c r="P477" i="1"/>
  <c r="Q477" i="1" s="1"/>
  <c r="P4618" i="1"/>
  <c r="Q4618" i="1" s="1"/>
  <c r="P1812" i="1"/>
  <c r="Q1812" i="1" s="1"/>
  <c r="P1634" i="1"/>
  <c r="Q1634" i="1" s="1"/>
  <c r="P1813" i="1"/>
  <c r="Q1813" i="1" s="1"/>
  <c r="P3751" i="1"/>
  <c r="Q3751" i="1" s="1"/>
  <c r="P2335" i="1"/>
  <c r="Q2335" i="1" s="1"/>
  <c r="P3752" i="1"/>
  <c r="Q3752" i="1" s="1"/>
  <c r="P396" i="1"/>
  <c r="Q396" i="1" s="1"/>
  <c r="P3753" i="1"/>
  <c r="Q3753" i="1" s="1"/>
  <c r="P2775" i="1"/>
  <c r="Q2775" i="1" s="1"/>
  <c r="P1635" i="1"/>
  <c r="Q1635" i="1" s="1"/>
  <c r="P1926" i="1"/>
  <c r="Q1926" i="1" s="1"/>
  <c r="P2776" i="1"/>
  <c r="Q2776" i="1" s="1"/>
  <c r="P1636" i="1"/>
  <c r="Q1636" i="1" s="1"/>
  <c r="P3754" i="1"/>
  <c r="Q3754" i="1" s="1"/>
  <c r="P4248" i="1"/>
  <c r="Q4248" i="1" s="1"/>
  <c r="P3125" i="1"/>
  <c r="Q3125" i="1" s="1"/>
  <c r="P2182" i="1"/>
  <c r="Q2182" i="1" s="1"/>
  <c r="P2183" i="1"/>
  <c r="Q2183" i="1" s="1"/>
  <c r="P1927" i="1"/>
  <c r="Q1927" i="1" s="1"/>
  <c r="P518" i="1"/>
  <c r="Q518" i="1" s="1"/>
  <c r="P2231" i="1"/>
  <c r="Q2231" i="1" s="1"/>
  <c r="P1637" i="1"/>
  <c r="Q1637" i="1" s="1"/>
  <c r="P2009" i="1"/>
  <c r="Q2009" i="1" s="1"/>
  <c r="P2234" i="1"/>
  <c r="Q2234" i="1" s="1"/>
  <c r="P3755" i="1"/>
  <c r="Q3755" i="1" s="1"/>
  <c r="P2878" i="1"/>
  <c r="Q2878" i="1" s="1"/>
  <c r="P1638" i="1"/>
  <c r="Q1638" i="1" s="1"/>
  <c r="P1639" i="1"/>
  <c r="Q1639" i="1" s="1"/>
  <c r="P3231" i="1"/>
  <c r="Q3231" i="1" s="1"/>
  <c r="P4147" i="1"/>
  <c r="Q4147" i="1" s="1"/>
  <c r="P2777" i="1"/>
  <c r="Q2777" i="1" s="1"/>
  <c r="P1640" i="1"/>
  <c r="Q1640" i="1" s="1"/>
  <c r="P1641" i="1"/>
  <c r="Q1641" i="1" s="1"/>
  <c r="P1642" i="1"/>
  <c r="Q1642" i="1" s="1"/>
  <c r="P2232" i="1"/>
  <c r="Q2232" i="1" s="1"/>
  <c r="P3994" i="1"/>
  <c r="Q3994" i="1" s="1"/>
  <c r="P1643" i="1"/>
  <c r="Q1643" i="1" s="1"/>
  <c r="P293" i="1"/>
  <c r="Q293" i="1" s="1"/>
  <c r="P1644" i="1"/>
  <c r="Q1644" i="1" s="1"/>
  <c r="P1645" i="1"/>
  <c r="Q1645" i="1" s="1"/>
  <c r="P397" i="1"/>
  <c r="Q397" i="1" s="1"/>
  <c r="P1646" i="1"/>
  <c r="Q1646" i="1" s="1"/>
  <c r="P3826" i="1"/>
  <c r="Q3826" i="1" s="1"/>
  <c r="P2184" i="1"/>
  <c r="Q2184" i="1" s="1"/>
  <c r="P1647" i="1"/>
  <c r="Q1647" i="1" s="1"/>
  <c r="P3756" i="1"/>
  <c r="Q3756" i="1" s="1"/>
  <c r="P3757" i="1"/>
  <c r="Q3757" i="1" s="1"/>
  <c r="P478" i="1"/>
  <c r="Q478" i="1" s="1"/>
  <c r="P4594" i="1"/>
  <c r="Q4594" i="1" s="1"/>
  <c r="P1648" i="1"/>
  <c r="Q1648" i="1" s="1"/>
  <c r="P479" i="1"/>
  <c r="Q479" i="1" s="1"/>
  <c r="P2336" i="1"/>
  <c r="Q2336" i="1" s="1"/>
  <c r="P4595" i="1"/>
  <c r="Q4595" i="1" s="1"/>
  <c r="P3299" i="1"/>
  <c r="Q3299" i="1" s="1"/>
  <c r="P294" i="1"/>
  <c r="Q294" i="1" s="1"/>
  <c r="P1649" i="1"/>
  <c r="Q1649" i="1" s="1"/>
  <c r="P2778" i="1"/>
  <c r="Q2778" i="1" s="1"/>
  <c r="P1650" i="1"/>
  <c r="Q1650" i="1" s="1"/>
  <c r="P2010" i="1"/>
  <c r="Q2010" i="1" s="1"/>
  <c r="P1651" i="1"/>
  <c r="Q1651" i="1" s="1"/>
  <c r="P2011" i="1"/>
  <c r="Q2011" i="1" s="1"/>
  <c r="P1652" i="1"/>
  <c r="Q1652" i="1" s="1"/>
  <c r="P4095" i="1"/>
  <c r="Q4095" i="1" s="1"/>
  <c r="P2906" i="1"/>
  <c r="Q2906" i="1" s="1"/>
  <c r="P1653" i="1"/>
  <c r="Q1653" i="1" s="1"/>
  <c r="P398" i="1"/>
  <c r="Q398" i="1" s="1"/>
  <c r="P2779" i="1"/>
  <c r="Q2779" i="1" s="1"/>
  <c r="P3758" i="1"/>
  <c r="Q3758" i="1" s="1"/>
  <c r="P3995" i="1"/>
  <c r="Q3995" i="1" s="1"/>
  <c r="P3126" i="1"/>
  <c r="Q3126" i="1" s="1"/>
  <c r="P4107" i="1"/>
  <c r="Q4107" i="1" s="1"/>
  <c r="P3996" i="1"/>
  <c r="Q3996" i="1" s="1"/>
  <c r="P1654" i="1"/>
  <c r="Q1654" i="1" s="1"/>
  <c r="P1814" i="1"/>
  <c r="Q1814" i="1" s="1"/>
  <c r="P3997" i="1"/>
  <c r="Q3997" i="1" s="1"/>
  <c r="P295" i="1"/>
  <c r="Q295" i="1" s="1"/>
  <c r="P2337" i="1"/>
  <c r="Q2337" i="1" s="1"/>
  <c r="P2527" i="1"/>
  <c r="Q2527" i="1" s="1"/>
  <c r="P3794" i="1"/>
  <c r="Q3794" i="1" s="1"/>
  <c r="P3759" i="1"/>
  <c r="Q3759" i="1" s="1"/>
  <c r="P1815" i="1"/>
  <c r="Q1815" i="1" s="1"/>
  <c r="P1655" i="1"/>
  <c r="Q1655" i="1" s="1"/>
  <c r="P2780" i="1"/>
  <c r="Q2780" i="1" s="1"/>
  <c r="P3827" i="1"/>
  <c r="Q3827" i="1" s="1"/>
  <c r="P4596" i="1"/>
  <c r="Q4596" i="1" s="1"/>
  <c r="P3760" i="1"/>
  <c r="Q3760" i="1" s="1"/>
  <c r="P254" i="1"/>
  <c r="Q254" i="1" s="1"/>
  <c r="P2185" i="1"/>
  <c r="Q2185" i="1" s="1"/>
  <c r="P1656" i="1"/>
  <c r="Q1656" i="1" s="1"/>
  <c r="P2528" i="1"/>
  <c r="Q2528" i="1" s="1"/>
  <c r="P2879" i="1"/>
  <c r="Q2879" i="1" s="1"/>
  <c r="P2781" i="1"/>
  <c r="Q2781" i="1" s="1"/>
  <c r="P3761" i="1"/>
  <c r="Q3761" i="1" s="1"/>
  <c r="P2529" i="1"/>
  <c r="Q2529" i="1" s="1"/>
  <c r="P4597" i="1"/>
  <c r="Q4597" i="1" s="1"/>
  <c r="P1657" i="1"/>
  <c r="Q1657" i="1" s="1"/>
  <c r="P2782" i="1"/>
  <c r="Q2782" i="1" s="1"/>
  <c r="P2783" i="1"/>
  <c r="Q2783" i="1" s="1"/>
  <c r="P1658" i="1"/>
  <c r="Q1658" i="1" s="1"/>
  <c r="P3254" i="1"/>
  <c r="Q3254" i="1" s="1"/>
  <c r="P3762" i="1"/>
  <c r="Q3762" i="1" s="1"/>
  <c r="P3763" i="1"/>
  <c r="Q3763" i="1" s="1"/>
  <c r="P4155" i="1"/>
  <c r="Q4155" i="1" s="1"/>
  <c r="P2186" i="1"/>
  <c r="Q2186" i="1" s="1"/>
  <c r="P3300" i="1"/>
  <c r="Q3300" i="1" s="1"/>
  <c r="P1659" i="1"/>
  <c r="Q1659" i="1" s="1"/>
  <c r="P1660" i="1"/>
  <c r="Q1660" i="1" s="1"/>
  <c r="P3828" i="1"/>
  <c r="Q3828" i="1" s="1"/>
  <c r="P4598" i="1"/>
  <c r="Q4598" i="1" s="1"/>
  <c r="P4599" i="1"/>
  <c r="Q4599" i="1" s="1"/>
  <c r="P1661" i="1"/>
  <c r="Q1661" i="1" s="1"/>
  <c r="P1662" i="1"/>
  <c r="Q1662" i="1" s="1"/>
  <c r="P1816" i="1"/>
  <c r="Q1816" i="1" s="1"/>
  <c r="P4014" i="1"/>
  <c r="Q4014" i="1" s="1"/>
  <c r="P1663" i="1"/>
  <c r="Q1663" i="1" s="1"/>
  <c r="P4305" i="1"/>
  <c r="Q4305" i="1" s="1"/>
  <c r="P1664" i="1"/>
  <c r="Q1664" i="1" s="1"/>
  <c r="P1665" i="1"/>
  <c r="Q1665" i="1" s="1"/>
  <c r="P1666" i="1"/>
  <c r="Q1666" i="1" s="1"/>
  <c r="P1667" i="1"/>
  <c r="Q1667" i="1" s="1"/>
  <c r="P2784" i="1"/>
  <c r="Q2784" i="1" s="1"/>
  <c r="P1668" i="1"/>
  <c r="Q1668" i="1" s="1"/>
  <c r="P3764" i="1"/>
  <c r="Q3764" i="1" s="1"/>
  <c r="P3998" i="1"/>
  <c r="Q3998" i="1" s="1"/>
  <c r="P1669" i="1"/>
  <c r="Q1669" i="1" s="1"/>
  <c r="P1670" i="1"/>
  <c r="Q1670" i="1" s="1"/>
  <c r="P3765" i="1"/>
  <c r="Q3765" i="1" s="1"/>
  <c r="P1671" i="1"/>
  <c r="Q1671" i="1" s="1"/>
  <c r="P3127" i="1"/>
  <c r="Q3127" i="1" s="1"/>
  <c r="P1928" i="1"/>
  <c r="Q1928" i="1" s="1"/>
  <c r="P493" i="1"/>
  <c r="Q493" i="1" s="1"/>
  <c r="P2530" i="1"/>
  <c r="Q2530" i="1" s="1"/>
  <c r="P1929" i="1"/>
  <c r="Q1929" i="1" s="1"/>
  <c r="P2187" i="1"/>
  <c r="Q2187" i="1" s="1"/>
  <c r="P2369" i="1"/>
  <c r="Q2369" i="1" s="1"/>
  <c r="P1672" i="1"/>
  <c r="Q1672" i="1" s="1"/>
  <c r="P4600" i="1"/>
  <c r="Q4600" i="1" s="1"/>
  <c r="P1673" i="1"/>
  <c r="Q1673" i="1" s="1"/>
  <c r="P2370" i="1"/>
  <c r="Q2370" i="1" s="1"/>
  <c r="P2188" i="1"/>
  <c r="Q2188" i="1" s="1"/>
  <c r="P1674" i="1"/>
  <c r="Q1674" i="1" s="1"/>
  <c r="P4601" i="1"/>
  <c r="Q4601" i="1" s="1"/>
  <c r="P1675" i="1"/>
  <c r="Q1675" i="1" s="1"/>
  <c r="P4602" i="1"/>
  <c r="Q4602" i="1" s="1"/>
  <c r="P2531" i="1"/>
  <c r="Q2531" i="1" s="1"/>
  <c r="P1676" i="1"/>
  <c r="Q1676" i="1" s="1"/>
  <c r="P2338" i="1"/>
  <c r="Q2338" i="1" s="1"/>
  <c r="P2785" i="1"/>
  <c r="Q2785" i="1" s="1"/>
  <c r="P3128" i="1"/>
  <c r="Q3128" i="1" s="1"/>
  <c r="P3999" i="1"/>
  <c r="Q3999" i="1" s="1"/>
  <c r="P3829" i="1"/>
  <c r="Q3829" i="1" s="1"/>
  <c r="P1677" i="1"/>
  <c r="Q1677" i="1" s="1"/>
  <c r="P2532" i="1"/>
  <c r="Q2532" i="1" s="1"/>
  <c r="P1678" i="1"/>
  <c r="Q1678" i="1" s="1"/>
  <c r="P480" i="1"/>
  <c r="Q480" i="1" s="1"/>
  <c r="P4096" i="1"/>
  <c r="Q4096" i="1" s="1"/>
  <c r="P3766" i="1"/>
  <c r="Q3766" i="1" s="1"/>
  <c r="P3129" i="1"/>
  <c r="Q3129" i="1" s="1"/>
  <c r="P1679" i="1"/>
  <c r="Q1679" i="1" s="1"/>
  <c r="P3767" i="1"/>
  <c r="Q3767" i="1" s="1"/>
  <c r="P1680" i="1"/>
  <c r="Q1680" i="1" s="1"/>
  <c r="P3130" i="1"/>
  <c r="Q3130" i="1" s="1"/>
  <c r="P3131" i="1"/>
  <c r="Q3131" i="1" s="1"/>
  <c r="P2533" i="1"/>
  <c r="Q2533" i="1" s="1"/>
  <c r="P4112" i="1"/>
  <c r="Q4112" i="1" s="1"/>
  <c r="P2795" i="1"/>
  <c r="Q2795" i="1" s="1"/>
  <c r="P1681" i="1"/>
  <c r="Q1681" i="1" s="1"/>
  <c r="P3768" i="1"/>
  <c r="Q3768" i="1" s="1"/>
  <c r="P1682" i="1"/>
  <c r="Q1682" i="1" s="1"/>
  <c r="P2371" i="1"/>
  <c r="Q2371" i="1" s="1"/>
  <c r="P2189" i="1"/>
  <c r="Q2189" i="1" s="1"/>
  <c r="P2786" i="1"/>
  <c r="Q2786" i="1" s="1"/>
  <c r="P3769" i="1"/>
  <c r="Q3769" i="1" s="1"/>
  <c r="P3840" i="1"/>
  <c r="Q3840" i="1" s="1"/>
  <c r="P3770" i="1"/>
  <c r="Q3770" i="1" s="1"/>
  <c r="P4306" i="1"/>
  <c r="Q4306" i="1" s="1"/>
  <c r="P3771" i="1"/>
  <c r="Q3771" i="1" s="1"/>
  <c r="P489" i="1"/>
  <c r="Q489" i="1" s="1"/>
  <c r="P481" i="1"/>
  <c r="Q481" i="1" s="1"/>
  <c r="P4603" i="1"/>
  <c r="Q4603" i="1" s="1"/>
  <c r="P1683" i="1"/>
  <c r="Q1683" i="1" s="1"/>
  <c r="P1684" i="1"/>
  <c r="Q1684" i="1" s="1"/>
  <c r="P3174" i="1"/>
  <c r="Q3174" i="1" s="1"/>
  <c r="P1817" i="1"/>
  <c r="Q1817" i="1" s="1"/>
  <c r="P3772" i="1"/>
  <c r="Q3772" i="1" s="1"/>
  <c r="P1685" i="1"/>
  <c r="Q1685" i="1" s="1"/>
  <c r="P2339" i="1"/>
  <c r="Q2339" i="1" s="1"/>
  <c r="P4604" i="1"/>
  <c r="Q4604" i="1" s="1"/>
  <c r="P1686" i="1"/>
  <c r="Q1686" i="1" s="1"/>
  <c r="P1687" i="1"/>
  <c r="Q1687" i="1" s="1"/>
  <c r="P4605" i="1"/>
  <c r="Q4605" i="1" s="1"/>
  <c r="P1688" i="1"/>
  <c r="Q1688" i="1" s="1"/>
  <c r="P4606" i="1"/>
  <c r="Q4606" i="1" s="1"/>
  <c r="P2907" i="1"/>
  <c r="Q2907" i="1" s="1"/>
  <c r="P1689" i="1"/>
  <c r="Q1689" i="1" s="1"/>
  <c r="P1690" i="1"/>
  <c r="Q1690" i="1" s="1"/>
  <c r="P1930" i="1"/>
  <c r="Q1930" i="1" s="1"/>
  <c r="P482" i="1"/>
  <c r="Q482" i="1" s="1"/>
  <c r="P2534" i="1"/>
  <c r="Q2534" i="1" s="1"/>
  <c r="P4105" i="1"/>
  <c r="Q4105" i="1" s="1"/>
  <c r="P1691" i="1"/>
  <c r="Q1691" i="1" s="1"/>
  <c r="P1692" i="1"/>
  <c r="Q1692" i="1" s="1"/>
  <c r="P1693" i="1"/>
  <c r="Q1693" i="1" s="1"/>
  <c r="P1694" i="1"/>
  <c r="Q1694" i="1" s="1"/>
  <c r="P1695" i="1"/>
  <c r="Q1695" i="1" s="1"/>
  <c r="P4607" i="1"/>
  <c r="Q4607" i="1" s="1"/>
  <c r="P1696" i="1"/>
  <c r="Q1696" i="1" s="1"/>
  <c r="P4225" i="1"/>
  <c r="Q4225" i="1" s="1"/>
  <c r="P2233" i="1"/>
  <c r="Q2233" i="1" s="1"/>
  <c r="P2190" i="1"/>
  <c r="Q2190" i="1" s="1"/>
  <c r="P4226" i="1"/>
  <c r="Q4226" i="1" s="1"/>
  <c r="P1697" i="1"/>
  <c r="Q1697" i="1" s="1"/>
  <c r="P1818" i="1"/>
  <c r="Q1818" i="1" s="1"/>
  <c r="P1698" i="1"/>
  <c r="Q1698" i="1" s="1"/>
  <c r="P2535" i="1"/>
  <c r="Q2535" i="1" s="1"/>
  <c r="P4608" i="1"/>
  <c r="Q4608" i="1" s="1"/>
  <c r="P4000" i="1"/>
  <c r="Q4000" i="1" s="1"/>
  <c r="P4609" i="1"/>
  <c r="Q4609" i="1" s="1"/>
  <c r="P1699" i="1"/>
  <c r="Q1699" i="1" s="1"/>
  <c r="P2372" i="1"/>
  <c r="Q2372" i="1" s="1"/>
  <c r="P2012" i="1"/>
  <c r="Q2012" i="1" s="1"/>
  <c r="P1700" i="1"/>
  <c r="Q1700" i="1" s="1"/>
  <c r="P3132" i="1"/>
  <c r="Q3132" i="1" s="1"/>
  <c r="P3773" i="1"/>
  <c r="Q3773" i="1" s="1"/>
  <c r="P399" i="1"/>
  <c r="Q399" i="1" s="1"/>
  <c r="P3280" i="1"/>
  <c r="Q3280" i="1" s="1"/>
  <c r="P3774" i="1"/>
  <c r="Q3774" i="1" s="1"/>
  <c r="P2240" i="1"/>
  <c r="Q2240" i="1" s="1"/>
  <c r="P3175" i="1"/>
  <c r="Q3175" i="1" s="1"/>
  <c r="P3133" i="1"/>
  <c r="Q3133" i="1" s="1"/>
  <c r="P3775" i="1"/>
  <c r="Q3775" i="1" s="1"/>
  <c r="P2536" i="1"/>
  <c r="Q2536" i="1" s="1"/>
  <c r="P3191" i="1"/>
  <c r="Q3191" i="1" s="1"/>
  <c r="P4001" i="1"/>
  <c r="Q4001" i="1" s="1"/>
  <c r="P1701" i="1"/>
  <c r="Q1701" i="1" s="1"/>
  <c r="P2787" i="1"/>
  <c r="Q2787" i="1" s="1"/>
  <c r="P2790" i="1"/>
  <c r="Q2790" i="1" s="1"/>
  <c r="P400" i="1"/>
  <c r="Q400" i="1" s="1"/>
  <c r="P3134" i="1"/>
  <c r="Q3134" i="1" s="1"/>
  <c r="P1702" i="1"/>
  <c r="Q1702" i="1" s="1"/>
  <c r="P4103" i="1"/>
  <c r="Q4103" i="1" s="1"/>
  <c r="P2542" i="1"/>
  <c r="Q2542" i="1" s="1"/>
  <c r="P2261" i="1"/>
  <c r="Q2261" i="1" s="1"/>
  <c r="P4610" i="1"/>
  <c r="Q4610" i="1" s="1"/>
  <c r="P4611" i="1"/>
  <c r="Q4611" i="1" s="1"/>
  <c r="P3135" i="1"/>
  <c r="Q3135" i="1" s="1"/>
  <c r="P401" i="1"/>
  <c r="Q401" i="1" s="1"/>
  <c r="P1703" i="1"/>
  <c r="Q1703" i="1" s="1"/>
  <c r="P2191" i="1"/>
  <c r="Q2191" i="1" s="1"/>
  <c r="P2788" i="1"/>
  <c r="Q2788" i="1" s="1"/>
  <c r="P4135" i="1"/>
  <c r="Q4135" i="1" s="1"/>
  <c r="P1704" i="1"/>
  <c r="Q1704" i="1" s="1"/>
  <c r="P2537" i="1"/>
  <c r="Q2537" i="1" s="1"/>
  <c r="P4612" i="1"/>
  <c r="Q4612" i="1" s="1"/>
  <c r="P4613" i="1"/>
  <c r="Q4613" i="1" s="1"/>
  <c r="P2538" i="1"/>
  <c r="Q2538" i="1" s="1"/>
  <c r="P402" i="1"/>
  <c r="Q402" i="1" s="1"/>
  <c r="P4098" i="1"/>
  <c r="Q4098" i="1" s="1"/>
  <c r="P4614" i="1"/>
  <c r="Q4614" i="1" s="1"/>
  <c r="P1705" i="1"/>
  <c r="Q1705" i="1" s="1"/>
  <c r="P1706" i="1"/>
  <c r="Q1706" i="1" s="1"/>
  <c r="P3136" i="1"/>
  <c r="Q3136" i="1" s="1"/>
  <c r="P2789" i="1"/>
  <c r="Q2789" i="1" s="1"/>
  <c r="P1707" i="1"/>
  <c r="Q1707" i="1" s="1"/>
  <c r="P1819" i="1"/>
  <c r="Q1819" i="1" s="1"/>
  <c r="P2194" i="1"/>
  <c r="Q2194" i="1" s="1"/>
  <c r="P525" i="1"/>
  <c r="Q525" i="1" s="1"/>
  <c r="P1823" i="1"/>
  <c r="Q1823" i="1" s="1"/>
  <c r="P526" i="1"/>
  <c r="Q526" i="1" s="1"/>
  <c r="P405" i="1"/>
  <c r="Q405" i="1" s="1"/>
  <c r="P2018" i="1"/>
  <c r="Q2018" i="1" s="1"/>
  <c r="P527" i="1"/>
  <c r="Q527" i="1" s="1"/>
  <c r="P2340" i="1"/>
  <c r="Q2340" i="1" s="1"/>
  <c r="P528" i="1"/>
  <c r="Q528" i="1" s="1"/>
  <c r="P2262" i="1"/>
  <c r="Q2262" i="1" s="1"/>
  <c r="P529" i="1"/>
  <c r="Q529" i="1" s="1"/>
  <c r="P522" i="1"/>
  <c r="Q522" i="1" s="1"/>
  <c r="P523" i="1"/>
  <c r="Q523" i="1" s="1"/>
  <c r="P1710" i="1"/>
  <c r="Q1710" i="1" s="1"/>
  <c r="P2915" i="1"/>
  <c r="Q2915" i="1" s="1"/>
  <c r="P2193" i="1"/>
  <c r="Q2193" i="1" s="1"/>
  <c r="P524" i="1"/>
  <c r="Q524" i="1" s="1"/>
  <c r="P300" i="1"/>
  <c r="Q300" i="1" s="1"/>
  <c r="P3302" i="1"/>
  <c r="Q3302" i="1" s="1"/>
  <c r="P3303" i="1"/>
  <c r="Q3303" i="1" s="1"/>
  <c r="P4307" i="1"/>
  <c r="Q4307" i="1" s="1"/>
  <c r="P4308" i="1"/>
  <c r="Q4308" i="1" s="1"/>
  <c r="P521" i="1"/>
  <c r="Q521" i="1" s="1"/>
  <c r="P494" i="1"/>
  <c r="Q494" i="1" s="1"/>
  <c r="P2545" i="1"/>
  <c r="Q2545" i="1" s="1"/>
  <c r="P520" i="1"/>
  <c r="Q520" i="1" s="1"/>
  <c r="P2914" i="1"/>
  <c r="Q2914" i="1" s="1"/>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2" i="2"/>
  <c r="Q2" i="1" l="1"/>
  <c r="R17" i="1"/>
  <c r="S17" i="1" s="1"/>
  <c r="R25" i="1"/>
  <c r="S25" i="1" s="1"/>
  <c r="R33" i="1"/>
  <c r="S33" i="1" s="1"/>
  <c r="R41" i="1"/>
  <c r="S41" i="1" s="1"/>
  <c r="R49" i="1"/>
  <c r="S49" i="1" s="1"/>
  <c r="R57" i="1"/>
  <c r="S57" i="1" s="1"/>
  <c r="R65" i="1"/>
  <c r="S65" i="1" s="1"/>
  <c r="R9" i="1"/>
  <c r="S9" i="1" s="1"/>
  <c r="R73" i="1"/>
  <c r="S73" i="1" s="1"/>
  <c r="R82" i="1"/>
  <c r="S82" i="1" s="1"/>
  <c r="R90" i="1"/>
  <c r="S90" i="1" s="1"/>
  <c r="R98" i="1"/>
  <c r="S98" i="1" s="1"/>
  <c r="R106" i="1"/>
  <c r="S106" i="1" s="1"/>
  <c r="R114" i="1"/>
  <c r="S114" i="1" s="1"/>
  <c r="R122" i="1"/>
  <c r="S122" i="1" s="1"/>
  <c r="R130" i="1"/>
  <c r="S130" i="1" s="1"/>
  <c r="R138" i="1"/>
  <c r="S138" i="1" s="1"/>
  <c r="R146" i="1"/>
  <c r="S146" i="1" s="1"/>
  <c r="R154" i="1"/>
  <c r="S154" i="1" s="1"/>
  <c r="R162" i="1"/>
  <c r="S162" i="1" s="1"/>
  <c r="R170" i="1"/>
  <c r="S170" i="1" s="1"/>
  <c r="R178" i="1"/>
  <c r="S178" i="1" s="1"/>
  <c r="R186" i="1"/>
  <c r="S186" i="1" s="1"/>
  <c r="R194" i="1"/>
  <c r="S194" i="1" s="1"/>
  <c r="R202" i="1"/>
  <c r="S202" i="1" s="1"/>
  <c r="R210" i="1"/>
  <c r="S210" i="1" s="1"/>
  <c r="R218" i="1"/>
  <c r="S218" i="1" s="1"/>
  <c r="R226" i="1"/>
  <c r="S226" i="1" s="1"/>
  <c r="R10" i="1"/>
  <c r="S10" i="1" s="1"/>
  <c r="R18" i="1"/>
  <c r="S18" i="1" s="1"/>
  <c r="R26" i="1"/>
  <c r="S26" i="1" s="1"/>
  <c r="R34" i="1"/>
  <c r="S34" i="1" s="1"/>
  <c r="R42" i="1"/>
  <c r="S42" i="1" s="1"/>
  <c r="R50" i="1"/>
  <c r="S50" i="1" s="1"/>
  <c r="R58" i="1"/>
  <c r="S58" i="1" s="1"/>
  <c r="R66" i="1"/>
  <c r="S66" i="1" s="1"/>
  <c r="R74" i="1"/>
  <c r="S74" i="1" s="1"/>
  <c r="R83" i="1"/>
  <c r="S83" i="1" s="1"/>
  <c r="R91" i="1"/>
  <c r="S91" i="1" s="1"/>
  <c r="R99" i="1"/>
  <c r="S99" i="1" s="1"/>
  <c r="R107" i="1"/>
  <c r="S107" i="1" s="1"/>
  <c r="R115" i="1"/>
  <c r="S115" i="1" s="1"/>
  <c r="R123" i="1"/>
  <c r="S123" i="1" s="1"/>
  <c r="R131" i="1"/>
  <c r="S131" i="1" s="1"/>
  <c r="R139" i="1"/>
  <c r="S139" i="1" s="1"/>
  <c r="R147" i="1"/>
  <c r="S147" i="1" s="1"/>
  <c r="R155" i="1"/>
  <c r="S155" i="1" s="1"/>
  <c r="R163" i="1"/>
  <c r="S163" i="1" s="1"/>
  <c r="R171" i="1"/>
  <c r="S171" i="1" s="1"/>
  <c r="R179" i="1"/>
  <c r="S179" i="1" s="1"/>
  <c r="R187" i="1"/>
  <c r="S187" i="1" s="1"/>
  <c r="R195" i="1"/>
  <c r="S195" i="1" s="1"/>
  <c r="R203" i="1"/>
  <c r="S203" i="1" s="1"/>
  <c r="R211" i="1"/>
  <c r="S211" i="1" s="1"/>
  <c r="R219" i="1"/>
  <c r="S219" i="1" s="1"/>
  <c r="R227" i="1"/>
  <c r="S227" i="1" s="1"/>
  <c r="R3" i="1"/>
  <c r="S3" i="1" s="1"/>
  <c r="R11" i="1"/>
  <c r="S11" i="1" s="1"/>
  <c r="R19" i="1"/>
  <c r="S19" i="1" s="1"/>
  <c r="R27" i="1"/>
  <c r="S27" i="1" s="1"/>
  <c r="R35" i="1"/>
  <c r="S35" i="1" s="1"/>
  <c r="R43" i="1"/>
  <c r="S43" i="1" s="1"/>
  <c r="R51" i="1"/>
  <c r="S51" i="1" s="1"/>
  <c r="R59" i="1"/>
  <c r="S59" i="1" s="1"/>
  <c r="R67" i="1"/>
  <c r="S67" i="1" s="1"/>
  <c r="R75" i="1"/>
  <c r="S75" i="1" s="1"/>
  <c r="R84" i="1"/>
  <c r="S84" i="1" s="1"/>
  <c r="R92" i="1"/>
  <c r="S92" i="1" s="1"/>
  <c r="R100" i="1"/>
  <c r="S100" i="1" s="1"/>
  <c r="R108" i="1"/>
  <c r="S108" i="1" s="1"/>
  <c r="R116" i="1"/>
  <c r="S116" i="1" s="1"/>
  <c r="R124" i="1"/>
  <c r="S124" i="1" s="1"/>
  <c r="R132" i="1"/>
  <c r="S132" i="1" s="1"/>
  <c r="R140" i="1"/>
  <c r="S140" i="1" s="1"/>
  <c r="R148" i="1"/>
  <c r="S148" i="1" s="1"/>
  <c r="R156" i="1"/>
  <c r="S156" i="1" s="1"/>
  <c r="R164" i="1"/>
  <c r="S164" i="1" s="1"/>
  <c r="R172" i="1"/>
  <c r="S172" i="1" s="1"/>
  <c r="R180" i="1"/>
  <c r="S180" i="1" s="1"/>
  <c r="R188" i="1"/>
  <c r="S188" i="1" s="1"/>
  <c r="R196" i="1"/>
  <c r="S196" i="1" s="1"/>
  <c r="R204" i="1"/>
  <c r="S204" i="1" s="1"/>
  <c r="R212" i="1"/>
  <c r="S212" i="1" s="1"/>
  <c r="R220" i="1"/>
  <c r="S220" i="1" s="1"/>
  <c r="R228" i="1"/>
  <c r="S228" i="1" s="1"/>
  <c r="R4" i="1"/>
  <c r="S4" i="1" s="1"/>
  <c r="R12" i="1"/>
  <c r="S12" i="1" s="1"/>
  <c r="R20" i="1"/>
  <c r="S20" i="1" s="1"/>
  <c r="R28" i="1"/>
  <c r="S28" i="1" s="1"/>
  <c r="R36" i="1"/>
  <c r="S36" i="1" s="1"/>
  <c r="R44" i="1"/>
  <c r="S44" i="1" s="1"/>
  <c r="R52" i="1"/>
  <c r="S52" i="1" s="1"/>
  <c r="R60" i="1"/>
  <c r="S60" i="1" s="1"/>
  <c r="R68" i="1"/>
  <c r="S68" i="1" s="1"/>
  <c r="R76" i="1"/>
  <c r="S76" i="1" s="1"/>
  <c r="R85" i="1"/>
  <c r="S85" i="1" s="1"/>
  <c r="R93" i="1"/>
  <c r="S93" i="1" s="1"/>
  <c r="R101" i="1"/>
  <c r="S101" i="1" s="1"/>
  <c r="R109" i="1"/>
  <c r="S109" i="1" s="1"/>
  <c r="R117" i="1"/>
  <c r="S117" i="1" s="1"/>
  <c r="R125" i="1"/>
  <c r="S125" i="1" s="1"/>
  <c r="R133" i="1"/>
  <c r="S133" i="1" s="1"/>
  <c r="R141" i="1"/>
  <c r="S141" i="1" s="1"/>
  <c r="R149" i="1"/>
  <c r="S149" i="1" s="1"/>
  <c r="R157" i="1"/>
  <c r="S157" i="1" s="1"/>
  <c r="R165" i="1"/>
  <c r="S165" i="1" s="1"/>
  <c r="R173" i="1"/>
  <c r="S173" i="1" s="1"/>
  <c r="R181" i="1"/>
  <c r="S181" i="1" s="1"/>
  <c r="R189" i="1"/>
  <c r="S189" i="1" s="1"/>
  <c r="R197" i="1"/>
  <c r="S197" i="1" s="1"/>
  <c r="R205" i="1"/>
  <c r="S205" i="1" s="1"/>
  <c r="R213" i="1"/>
  <c r="S213" i="1" s="1"/>
  <c r="R221" i="1"/>
  <c r="S221" i="1" s="1"/>
  <c r="R229" i="1"/>
  <c r="S229" i="1" s="1"/>
  <c r="R5" i="1"/>
  <c r="S5" i="1" s="1"/>
  <c r="R13" i="1"/>
  <c r="S13" i="1" s="1"/>
  <c r="R21" i="1"/>
  <c r="S21" i="1" s="1"/>
  <c r="R29" i="1"/>
  <c r="S29" i="1" s="1"/>
  <c r="R37" i="1"/>
  <c r="S37" i="1" s="1"/>
  <c r="R45" i="1"/>
  <c r="S45" i="1" s="1"/>
  <c r="R53" i="1"/>
  <c r="S53" i="1" s="1"/>
  <c r="R61" i="1"/>
  <c r="S61" i="1" s="1"/>
  <c r="R69" i="1"/>
  <c r="S69" i="1" s="1"/>
  <c r="R77" i="1"/>
  <c r="S77" i="1" s="1"/>
  <c r="R86" i="1"/>
  <c r="S86" i="1" s="1"/>
  <c r="R94" i="1"/>
  <c r="S94" i="1" s="1"/>
  <c r="R102" i="1"/>
  <c r="S102" i="1" s="1"/>
  <c r="R110" i="1"/>
  <c r="S110" i="1" s="1"/>
  <c r="R118" i="1"/>
  <c r="S118" i="1" s="1"/>
  <c r="R126" i="1"/>
  <c r="S126" i="1" s="1"/>
  <c r="R134" i="1"/>
  <c r="S134" i="1" s="1"/>
  <c r="R142" i="1"/>
  <c r="S142" i="1" s="1"/>
  <c r="R150" i="1"/>
  <c r="S150" i="1" s="1"/>
  <c r="R158" i="1"/>
  <c r="S158" i="1" s="1"/>
  <c r="R166" i="1"/>
  <c r="S166" i="1" s="1"/>
  <c r="R174" i="1"/>
  <c r="S174" i="1" s="1"/>
  <c r="R182" i="1"/>
  <c r="S182" i="1" s="1"/>
  <c r="R190" i="1"/>
  <c r="S190" i="1" s="1"/>
  <c r="R198" i="1"/>
  <c r="S198" i="1" s="1"/>
  <c r="R206" i="1"/>
  <c r="S206" i="1" s="1"/>
  <c r="R214" i="1"/>
  <c r="S214" i="1" s="1"/>
  <c r="R222" i="1"/>
  <c r="S222" i="1" s="1"/>
  <c r="R230" i="1"/>
  <c r="S230" i="1" s="1"/>
  <c r="R6" i="1"/>
  <c r="S6" i="1" s="1"/>
  <c r="R14" i="1"/>
  <c r="S14" i="1" s="1"/>
  <c r="R22" i="1"/>
  <c r="S22" i="1" s="1"/>
  <c r="R30" i="1"/>
  <c r="S30" i="1" s="1"/>
  <c r="R38" i="1"/>
  <c r="S38" i="1" s="1"/>
  <c r="R46" i="1"/>
  <c r="S46" i="1" s="1"/>
  <c r="R54" i="1"/>
  <c r="S54" i="1" s="1"/>
  <c r="R62" i="1"/>
  <c r="S62" i="1" s="1"/>
  <c r="R70" i="1"/>
  <c r="S70" i="1" s="1"/>
  <c r="R78" i="1"/>
  <c r="S78" i="1" s="1"/>
  <c r="R87" i="1"/>
  <c r="S87" i="1" s="1"/>
  <c r="R95" i="1"/>
  <c r="S95" i="1" s="1"/>
  <c r="R103" i="1"/>
  <c r="S103" i="1" s="1"/>
  <c r="R111" i="1"/>
  <c r="S111" i="1" s="1"/>
  <c r="R119" i="1"/>
  <c r="S119" i="1" s="1"/>
  <c r="R127" i="1"/>
  <c r="S127" i="1" s="1"/>
  <c r="R135" i="1"/>
  <c r="S135" i="1" s="1"/>
  <c r="R143" i="1"/>
  <c r="S143" i="1" s="1"/>
  <c r="R151" i="1"/>
  <c r="S151" i="1" s="1"/>
  <c r="R159" i="1"/>
  <c r="S159" i="1" s="1"/>
  <c r="R167" i="1"/>
  <c r="S167" i="1" s="1"/>
  <c r="R175" i="1"/>
  <c r="S175" i="1" s="1"/>
  <c r="R183" i="1"/>
  <c r="S183" i="1" s="1"/>
  <c r="R191" i="1"/>
  <c r="S191" i="1" s="1"/>
  <c r="R199" i="1"/>
  <c r="S199" i="1" s="1"/>
  <c r="R207" i="1"/>
  <c r="S207" i="1" s="1"/>
  <c r="R215" i="1"/>
  <c r="S215" i="1" s="1"/>
  <c r="R223" i="1"/>
  <c r="S223" i="1" s="1"/>
  <c r="R231" i="1"/>
  <c r="S231" i="1" s="1"/>
  <c r="R7" i="1"/>
  <c r="S7" i="1" s="1"/>
  <c r="R15" i="1"/>
  <c r="S15" i="1" s="1"/>
  <c r="R23" i="1"/>
  <c r="S23" i="1" s="1"/>
  <c r="R31" i="1"/>
  <c r="S31" i="1" s="1"/>
  <c r="R39" i="1"/>
  <c r="S39" i="1" s="1"/>
  <c r="R47" i="1"/>
  <c r="S47" i="1" s="1"/>
  <c r="R55" i="1"/>
  <c r="S55" i="1" s="1"/>
  <c r="R63" i="1"/>
  <c r="S63" i="1" s="1"/>
  <c r="R71" i="1"/>
  <c r="S71" i="1" s="1"/>
  <c r="R79" i="1"/>
  <c r="S79" i="1" s="1"/>
  <c r="R88" i="1"/>
  <c r="S88" i="1" s="1"/>
  <c r="R96" i="1"/>
  <c r="S96" i="1" s="1"/>
  <c r="R104" i="1"/>
  <c r="S104" i="1" s="1"/>
  <c r="R112" i="1"/>
  <c r="S112" i="1" s="1"/>
  <c r="R120" i="1"/>
  <c r="S120" i="1" s="1"/>
  <c r="R128" i="1"/>
  <c r="S128" i="1" s="1"/>
  <c r="R136" i="1"/>
  <c r="S136" i="1" s="1"/>
  <c r="R144" i="1"/>
  <c r="S144" i="1" s="1"/>
  <c r="R152" i="1"/>
  <c r="S152" i="1" s="1"/>
  <c r="R160" i="1"/>
  <c r="S160" i="1" s="1"/>
  <c r="R168" i="1"/>
  <c r="S168" i="1" s="1"/>
  <c r="R176" i="1"/>
  <c r="S176" i="1" s="1"/>
  <c r="R184" i="1"/>
  <c r="S184" i="1" s="1"/>
  <c r="R192" i="1"/>
  <c r="S192" i="1" s="1"/>
  <c r="R200" i="1"/>
  <c r="S200" i="1" s="1"/>
  <c r="R208" i="1"/>
  <c r="S208" i="1" s="1"/>
  <c r="R216" i="1"/>
  <c r="S216" i="1" s="1"/>
  <c r="R224" i="1"/>
  <c r="S224" i="1" s="1"/>
  <c r="R8" i="1"/>
  <c r="S8" i="1" s="1"/>
  <c r="R16" i="1"/>
  <c r="S16" i="1" s="1"/>
  <c r="R24" i="1"/>
  <c r="S24" i="1" s="1"/>
  <c r="R32" i="1"/>
  <c r="S32" i="1" s="1"/>
  <c r="R40" i="1"/>
  <c r="S40" i="1" s="1"/>
  <c r="R48" i="1"/>
  <c r="S48" i="1" s="1"/>
  <c r="R56" i="1"/>
  <c r="S56" i="1" s="1"/>
  <c r="R64" i="1"/>
  <c r="S64" i="1" s="1"/>
  <c r="R72" i="1"/>
  <c r="S72" i="1" s="1"/>
  <c r="R81" i="1"/>
  <c r="S81" i="1" s="1"/>
  <c r="R89" i="1"/>
  <c r="S89" i="1" s="1"/>
  <c r="R97" i="1"/>
  <c r="S97" i="1" s="1"/>
  <c r="R105" i="1"/>
  <c r="S105" i="1" s="1"/>
  <c r="R113" i="1"/>
  <c r="S113" i="1" s="1"/>
  <c r="R121" i="1"/>
  <c r="S121" i="1" s="1"/>
  <c r="R129" i="1"/>
  <c r="S129" i="1" s="1"/>
  <c r="R137" i="1"/>
  <c r="S137" i="1" s="1"/>
  <c r="R145" i="1"/>
  <c r="S145" i="1" s="1"/>
  <c r="R153" i="1"/>
  <c r="S153" i="1" s="1"/>
  <c r="R161" i="1"/>
  <c r="S161" i="1" s="1"/>
  <c r="R169" i="1"/>
  <c r="S169" i="1" s="1"/>
  <c r="R177" i="1"/>
  <c r="S177" i="1" s="1"/>
  <c r="R185" i="1"/>
  <c r="S185" i="1" s="1"/>
  <c r="R193" i="1"/>
  <c r="S193" i="1" s="1"/>
  <c r="R201" i="1"/>
  <c r="S201" i="1" s="1"/>
  <c r="R209" i="1"/>
  <c r="S209" i="1" s="1"/>
  <c r="R217" i="1"/>
  <c r="S217" i="1" s="1"/>
  <c r="R225" i="1"/>
  <c r="S225" i="1" s="1"/>
  <c r="R80" i="1"/>
  <c r="S80" i="1" s="1"/>
  <c r="B4575" i="2"/>
  <c r="B4600" i="2"/>
  <c r="B4606" i="2"/>
  <c r="B4543" i="2"/>
  <c r="B4580" i="2"/>
  <c r="B4562" i="2"/>
  <c r="B4406" i="2"/>
  <c r="B4612" i="2"/>
  <c r="B4552" i="2"/>
  <c r="B4556" i="2"/>
  <c r="B4511" i="2"/>
  <c r="B4438" i="2"/>
  <c r="B4278" i="2"/>
  <c r="B4495" i="2"/>
  <c r="B4548" i="2"/>
  <c r="B4310" i="2"/>
  <c r="B4214" i="2"/>
  <c r="B4182" i="2"/>
  <c r="B4479" i="2"/>
  <c r="B4594" i="2"/>
  <c r="B4571" i="2"/>
  <c r="B4342" i="2"/>
  <c r="B4607" i="2"/>
  <c r="B4538" i="2"/>
  <c r="B4522" i="2"/>
  <c r="B4490" i="2"/>
  <c r="B4474" i="2"/>
  <c r="B4105" i="2"/>
  <c r="B4126" i="2"/>
  <c r="B4158" i="2"/>
  <c r="B4190" i="2"/>
  <c r="B4222" i="2"/>
  <c r="B4254" i="2"/>
  <c r="B4286" i="2"/>
  <c r="B4318" i="2"/>
  <c r="B4350" i="2"/>
  <c r="B4382" i="2"/>
  <c r="B4414" i="2"/>
  <c r="B4446" i="2"/>
  <c r="B4470" i="2"/>
  <c r="B4475" i="2"/>
  <c r="B4486" i="2"/>
  <c r="B4491" i="2"/>
  <c r="B4502" i="2"/>
  <c r="B4507" i="2"/>
  <c r="B4518" i="2"/>
  <c r="B4523" i="2"/>
  <c r="B4534" i="2"/>
  <c r="B4539" i="2"/>
  <c r="B4554" i="2"/>
  <c r="B4563" i="2"/>
  <c r="B4572" i="2"/>
  <c r="B4586" i="2"/>
  <c r="B4595" i="2"/>
  <c r="B4604" i="2"/>
  <c r="B4618" i="2"/>
  <c r="B4334" i="2"/>
  <c r="B4366" i="2"/>
  <c r="B4430" i="2"/>
  <c r="B4494" i="2"/>
  <c r="B4478" i="2"/>
  <c r="B4555" i="2"/>
  <c r="B4564" i="2"/>
  <c r="B4578" i="2"/>
  <c r="B4587" i="2"/>
  <c r="B4596" i="2"/>
  <c r="B4610" i="2"/>
  <c r="B4206" i="2"/>
  <c r="B4238" i="2"/>
  <c r="B4467" i="2"/>
  <c r="B4499" i="2"/>
  <c r="B4526" i="2"/>
  <c r="B4546" i="2"/>
  <c r="B4174" i="2"/>
  <c r="B4270" i="2"/>
  <c r="B4398" i="2"/>
  <c r="B4483" i="2"/>
  <c r="B4510" i="2"/>
  <c r="B4531" i="2"/>
  <c r="B4142" i="2"/>
  <c r="B4302" i="2"/>
  <c r="B4462" i="2"/>
  <c r="B4515" i="2"/>
  <c r="B4617" i="2"/>
  <c r="B4611" i="2"/>
  <c r="B4599" i="2"/>
  <c r="B4593" i="2"/>
  <c r="B4574" i="2"/>
  <c r="B4568" i="2"/>
  <c r="B4501" i="2"/>
  <c r="B4458" i="2"/>
  <c r="B4450" i="2"/>
  <c r="B4413" i="2"/>
  <c r="B4338" i="2"/>
  <c r="B4330" i="2"/>
  <c r="B4322" i="2"/>
  <c r="B4285" i="2"/>
  <c r="B4210" i="2"/>
  <c r="B4202" i="2"/>
  <c r="B4194" i="2"/>
  <c r="B4104" i="2"/>
  <c r="B4096" i="2"/>
  <c r="B4262" i="2"/>
  <c r="B4616" i="2"/>
  <c r="B4592" i="2"/>
  <c r="B4567" i="2"/>
  <c r="B4457" i="2"/>
  <c r="B4374" i="2"/>
  <c r="B4314" i="2"/>
  <c r="B4246" i="2"/>
  <c r="B4186" i="2"/>
  <c r="B4118" i="2"/>
  <c r="B4218" i="2"/>
  <c r="B4598" i="2"/>
  <c r="B4579" i="2"/>
  <c r="B4542" i="2"/>
  <c r="B4329" i="2"/>
  <c r="B4603" i="2"/>
  <c r="B4584" i="2"/>
  <c r="B4553" i="2"/>
  <c r="B4527" i="2"/>
  <c r="B4506" i="2"/>
  <c r="B4485" i="2"/>
  <c r="B4463" i="2"/>
  <c r="B4434" i="2"/>
  <c r="B4426" i="2"/>
  <c r="B4418" i="2"/>
  <c r="B4381" i="2"/>
  <c r="B4306" i="2"/>
  <c r="B4298" i="2"/>
  <c r="B4290" i="2"/>
  <c r="B4253" i="2"/>
  <c r="B4178" i="2"/>
  <c r="B4170" i="2"/>
  <c r="B4162" i="2"/>
  <c r="B4087" i="2"/>
  <c r="B4233" i="2"/>
  <c r="B4585" i="2"/>
  <c r="B4561" i="2"/>
  <c r="B4442" i="2"/>
  <c r="B4591" i="2"/>
  <c r="B4566" i="2"/>
  <c r="B4560" i="2"/>
  <c r="B4547" i="2"/>
  <c r="B4615" i="2"/>
  <c r="B4590" i="2"/>
  <c r="B4559" i="2"/>
  <c r="B4425" i="2"/>
  <c r="B4410" i="2"/>
  <c r="B4297" i="2"/>
  <c r="B4282" i="2"/>
  <c r="B4154" i="2"/>
  <c r="B4150" i="2"/>
  <c r="B4614" i="2"/>
  <c r="B4608" i="2"/>
  <c r="B4602" i="2"/>
  <c r="B4589" i="2"/>
  <c r="B4583" i="2"/>
  <c r="B4558" i="2"/>
  <c r="B4533" i="2"/>
  <c r="B4469" i="2"/>
  <c r="B4402" i="2"/>
  <c r="B4394" i="2"/>
  <c r="B4386" i="2"/>
  <c r="B4349" i="2"/>
  <c r="B4274" i="2"/>
  <c r="B4266" i="2"/>
  <c r="B4258" i="2"/>
  <c r="B4221" i="2"/>
  <c r="B4146" i="2"/>
  <c r="B4138" i="2"/>
  <c r="B4130" i="2"/>
  <c r="B4346" i="2"/>
  <c r="B4588" i="2"/>
  <c r="B4582" i="2"/>
  <c r="B4576" i="2"/>
  <c r="B4570" i="2"/>
  <c r="B4557" i="2"/>
  <c r="B4551" i="2"/>
  <c r="B4393" i="2"/>
  <c r="B4378" i="2"/>
  <c r="B4265" i="2"/>
  <c r="B4250" i="2"/>
  <c r="B4122" i="2"/>
  <c r="B4361" i="2"/>
  <c r="B4134" i="2"/>
  <c r="B4550" i="2"/>
  <c r="B4517" i="2"/>
  <c r="B4445" i="2"/>
  <c r="B4370" i="2"/>
  <c r="B4362" i="2"/>
  <c r="B4354" i="2"/>
  <c r="B4317" i="2"/>
  <c r="B4242" i="2"/>
  <c r="B4234" i="2"/>
  <c r="B4226" i="2"/>
  <c r="B4114" i="2"/>
  <c r="B4437" i="2"/>
  <c r="B4537" i="2"/>
  <c r="B4489" i="2"/>
  <c r="B4341" i="2"/>
  <c r="B4245" i="2"/>
  <c r="B4213" i="2"/>
  <c r="B3843" i="2"/>
  <c r="B3715" i="2"/>
  <c r="B4597" i="2"/>
  <c r="B4565" i="2"/>
  <c r="B4449" i="2"/>
  <c r="B4417" i="2"/>
  <c r="B4385" i="2"/>
  <c r="B4353" i="2"/>
  <c r="B4321" i="2"/>
  <c r="B4289" i="2"/>
  <c r="B4257" i="2"/>
  <c r="B4225" i="2"/>
  <c r="B4072" i="2"/>
  <c r="B4040" i="2"/>
  <c r="B4008" i="2"/>
  <c r="B3667" i="2"/>
  <c r="B4601" i="2"/>
  <c r="B4569" i="2"/>
  <c r="B4525" i="2"/>
  <c r="B4498" i="2"/>
  <c r="B4466" i="2"/>
  <c r="B4397" i="2"/>
  <c r="B4365" i="2"/>
  <c r="B4326" i="2"/>
  <c r="B4294" i="2"/>
  <c r="B4237" i="2"/>
  <c r="B4230" i="2"/>
  <c r="B4198" i="2"/>
  <c r="B4166" i="2"/>
  <c r="B4405" i="2"/>
  <c r="B4309" i="2"/>
  <c r="B4277" i="2"/>
  <c r="B4110" i="2"/>
  <c r="B73" i="2"/>
  <c r="B4541" i="2"/>
  <c r="B4535" i="2"/>
  <c r="B4530" i="2"/>
  <c r="B4519" i="2"/>
  <c r="B4514" i="2"/>
  <c r="B4509" i="2"/>
  <c r="B4503" i="2"/>
  <c r="B4493" i="2"/>
  <c r="B4487" i="2"/>
  <c r="B4482" i="2"/>
  <c r="B4477" i="2"/>
  <c r="B4471" i="2"/>
  <c r="B4461" i="2"/>
  <c r="B4454" i="2"/>
  <c r="B4429" i="2"/>
  <c r="B4422" i="2"/>
  <c r="B4390" i="2"/>
  <c r="B4358" i="2"/>
  <c r="B4333" i="2"/>
  <c r="B4301" i="2"/>
  <c r="B4269" i="2"/>
  <c r="B2945" i="2"/>
  <c r="B4605" i="2"/>
  <c r="B4573" i="2"/>
  <c r="B4441" i="2"/>
  <c r="B4409" i="2"/>
  <c r="B4377" i="2"/>
  <c r="B4345" i="2"/>
  <c r="B4313" i="2"/>
  <c r="B4281" i="2"/>
  <c r="B4249" i="2"/>
  <c r="B4217" i="2"/>
  <c r="B4100" i="2"/>
  <c r="B4041" i="2"/>
  <c r="B4009" i="2"/>
  <c r="B3977" i="2"/>
  <c r="B3883" i="2"/>
  <c r="B3755" i="2"/>
  <c r="B3419" i="2"/>
  <c r="B4505" i="2"/>
  <c r="B4373" i="2"/>
  <c r="B4497" i="2"/>
  <c r="B4521" i="2"/>
  <c r="B4473" i="2"/>
  <c r="B4609" i="2"/>
  <c r="B4577" i="2"/>
  <c r="B4545" i="2"/>
  <c r="B4529" i="2"/>
  <c r="B4513" i="2"/>
  <c r="B4481" i="2"/>
  <c r="B4465" i="2"/>
  <c r="B4453" i="2"/>
  <c r="B4421" i="2"/>
  <c r="B4389" i="2"/>
  <c r="B4357" i="2"/>
  <c r="B4325" i="2"/>
  <c r="B4293" i="2"/>
  <c r="B4261" i="2"/>
  <c r="B4229" i="2"/>
  <c r="B4092" i="2"/>
  <c r="B4613" i="2"/>
  <c r="B4581" i="2"/>
  <c r="B4549" i="2"/>
  <c r="B4433" i="2"/>
  <c r="B4401" i="2"/>
  <c r="B4369" i="2"/>
  <c r="B4337" i="2"/>
  <c r="B4305" i="2"/>
  <c r="B4273" i="2"/>
  <c r="B4241" i="2"/>
  <c r="B4084" i="2"/>
  <c r="B4068" i="2"/>
  <c r="B4060" i="2"/>
  <c r="B4052" i="2"/>
  <c r="B4036" i="2"/>
  <c r="B4028" i="2"/>
  <c r="B4020" i="2"/>
  <c r="B4073" i="2"/>
  <c r="B3938" i="2"/>
  <c r="B3877" i="2"/>
  <c r="B3789" i="2"/>
  <c r="B3742" i="2"/>
  <c r="B3702" i="2"/>
  <c r="B3653" i="2"/>
  <c r="B3593" i="2"/>
  <c r="B3517" i="2"/>
  <c r="B4055" i="2"/>
  <c r="B4023" i="2"/>
  <c r="B3982" i="2"/>
  <c r="B3951" i="2"/>
  <c r="B3857" i="2"/>
  <c r="B3810" i="2"/>
  <c r="B3749" i="2"/>
  <c r="B3615" i="2"/>
  <c r="B3525" i="2"/>
  <c r="B3465" i="2"/>
  <c r="B3382" i="2"/>
  <c r="B3291" i="2"/>
  <c r="B3261" i="2"/>
  <c r="B3147" i="2"/>
  <c r="B4109" i="2"/>
  <c r="B4091" i="2"/>
  <c r="B4082" i="2"/>
  <c r="B4077" i="2"/>
  <c r="B4059" i="2"/>
  <c r="B4050" i="2"/>
  <c r="B4045" i="2"/>
  <c r="B4027" i="2"/>
  <c r="B4018" i="2"/>
  <c r="B4013" i="2"/>
  <c r="B4004" i="2"/>
  <c r="B3995" i="2"/>
  <c r="B3986" i="2"/>
  <c r="B3981" i="2"/>
  <c r="B3972" i="2"/>
  <c r="B3963" i="2"/>
  <c r="B3957" i="2"/>
  <c r="B3950" i="2"/>
  <c r="B3943" i="2"/>
  <c r="B3937" i="2"/>
  <c r="B3923" i="2"/>
  <c r="B3910" i="2"/>
  <c r="B3903" i="2"/>
  <c r="B3890" i="2"/>
  <c r="B3869" i="2"/>
  <c r="B3849" i="2"/>
  <c r="B3835" i="2"/>
  <c r="B3829" i="2"/>
  <c r="B3822" i="2"/>
  <c r="B3815" i="2"/>
  <c r="B3809" i="2"/>
  <c r="B3795" i="2"/>
  <c r="B3782" i="2"/>
  <c r="B3775" i="2"/>
  <c r="B3762" i="2"/>
  <c r="B3741" i="2"/>
  <c r="B3721" i="2"/>
  <c r="B3707" i="2"/>
  <c r="B3701" i="2"/>
  <c r="B3694" i="2"/>
  <c r="B3687" i="2"/>
  <c r="B3681" i="2"/>
  <c r="B3659" i="2"/>
  <c r="B3637" i="2"/>
  <c r="B3629" i="2"/>
  <c r="B3622" i="2"/>
  <c r="B3599" i="2"/>
  <c r="B3577" i="2"/>
  <c r="B3569" i="2"/>
  <c r="B3531" i="2"/>
  <c r="B3509" i="2"/>
  <c r="B3501" i="2"/>
  <c r="B3494" i="2"/>
  <c r="B3471" i="2"/>
  <c r="B3449" i="2"/>
  <c r="B3441" i="2"/>
  <c r="B3403" i="2"/>
  <c r="B3381" i="2"/>
  <c r="B3373" i="2"/>
  <c r="B3366" i="2"/>
  <c r="B3343" i="2"/>
  <c r="B3321" i="2"/>
  <c r="B3313" i="2"/>
  <c r="B3275" i="2"/>
  <c r="B3253" i="2"/>
  <c r="B3245" i="2"/>
  <c r="B3238" i="2"/>
  <c r="B3215" i="2"/>
  <c r="B3177" i="2"/>
  <c r="B3067" i="2"/>
  <c r="B3059" i="2"/>
  <c r="B2815" i="2"/>
  <c r="B2807" i="2"/>
  <c r="B2799" i="2"/>
  <c r="B4078" i="2"/>
  <c r="B4046" i="2"/>
  <c r="B4014" i="2"/>
  <c r="B3991" i="2"/>
  <c r="B3958" i="2"/>
  <c r="B3897" i="2"/>
  <c r="B3863" i="2"/>
  <c r="B3823" i="2"/>
  <c r="B3729" i="2"/>
  <c r="B3682" i="2"/>
  <c r="B3638" i="2"/>
  <c r="B3547" i="2"/>
  <c r="B3487" i="2"/>
  <c r="B3397" i="2"/>
  <c r="B3359" i="2"/>
  <c r="B3329" i="2"/>
  <c r="B3254" i="2"/>
  <c r="B3209" i="2"/>
  <c r="B2768" i="2"/>
  <c r="B4209" i="2"/>
  <c r="B4205" i="2"/>
  <c r="B4201" i="2"/>
  <c r="B4197" i="2"/>
  <c r="B4193" i="2"/>
  <c r="B4189" i="2"/>
  <c r="B4185" i="2"/>
  <c r="B4181" i="2"/>
  <c r="B4177" i="2"/>
  <c r="B4173" i="2"/>
  <c r="B4169" i="2"/>
  <c r="B4165" i="2"/>
  <c r="B4161" i="2"/>
  <c r="B4157" i="2"/>
  <c r="B4153" i="2"/>
  <c r="B4149" i="2"/>
  <c r="B4145" i="2"/>
  <c r="B4141" i="2"/>
  <c r="B4137" i="2"/>
  <c r="B4133" i="2"/>
  <c r="B4129" i="2"/>
  <c r="B4125" i="2"/>
  <c r="B4121" i="2"/>
  <c r="B4117" i="2"/>
  <c r="B4113" i="2"/>
  <c r="B4095" i="2"/>
  <c r="B4086" i="2"/>
  <c r="B4081" i="2"/>
  <c r="B4063" i="2"/>
  <c r="B4054" i="2"/>
  <c r="B4049" i="2"/>
  <c r="B4031" i="2"/>
  <c r="B4022" i="2"/>
  <c r="B4017" i="2"/>
  <c r="B3999" i="2"/>
  <c r="B3990" i="2"/>
  <c r="B3985" i="2"/>
  <c r="B3976" i="2"/>
  <c r="B3967" i="2"/>
  <c r="B3949" i="2"/>
  <c r="B3929" i="2"/>
  <c r="B3915" i="2"/>
  <c r="B3909" i="2"/>
  <c r="B3902" i="2"/>
  <c r="B3895" i="2"/>
  <c r="B3889" i="2"/>
  <c r="B3875" i="2"/>
  <c r="B3862" i="2"/>
  <c r="B3855" i="2"/>
  <c r="B3842" i="2"/>
  <c r="B3821" i="2"/>
  <c r="B3801" i="2"/>
  <c r="B3787" i="2"/>
  <c r="B3781" i="2"/>
  <c r="B3774" i="2"/>
  <c r="B3767" i="2"/>
  <c r="B3761" i="2"/>
  <c r="B3747" i="2"/>
  <c r="B3734" i="2"/>
  <c r="B3727" i="2"/>
  <c r="B3714" i="2"/>
  <c r="B3693" i="2"/>
  <c r="B3673" i="2"/>
  <c r="B3643" i="2"/>
  <c r="B3621" i="2"/>
  <c r="B3613" i="2"/>
  <c r="B3606" i="2"/>
  <c r="B3583" i="2"/>
  <c r="B3561" i="2"/>
  <c r="B3553" i="2"/>
  <c r="B3515" i="2"/>
  <c r="B3493" i="2"/>
  <c r="B3485" i="2"/>
  <c r="B3478" i="2"/>
  <c r="B3455" i="2"/>
  <c r="B3433" i="2"/>
  <c r="B3425" i="2"/>
  <c r="B3387" i="2"/>
  <c r="B3365" i="2"/>
  <c r="B3357" i="2"/>
  <c r="B3350" i="2"/>
  <c r="B3327" i="2"/>
  <c r="B3305" i="2"/>
  <c r="B3297" i="2"/>
  <c r="B3259" i="2"/>
  <c r="B3237" i="2"/>
  <c r="B3229" i="2"/>
  <c r="B3222" i="2"/>
  <c r="B3207" i="2"/>
  <c r="B3183" i="2"/>
  <c r="B3145" i="2"/>
  <c r="B4064" i="2"/>
  <c r="B4032" i="2"/>
  <c r="B4000" i="2"/>
  <c r="B3968" i="2"/>
  <c r="B3917" i="2"/>
  <c r="B3870" i="2"/>
  <c r="B3830" i="2"/>
  <c r="B3769" i="2"/>
  <c r="B3735" i="2"/>
  <c r="B3695" i="2"/>
  <c r="B3645" i="2"/>
  <c r="B3585" i="2"/>
  <c r="B3510" i="2"/>
  <c r="B3457" i="2"/>
  <c r="B3389" i="2"/>
  <c r="B3337" i="2"/>
  <c r="B3269" i="2"/>
  <c r="B3231" i="2"/>
  <c r="B2983" i="2"/>
  <c r="B4108" i="2"/>
  <c r="B4099" i="2"/>
  <c r="B4090" i="2"/>
  <c r="B4085" i="2"/>
  <c r="B4076" i="2"/>
  <c r="B4067" i="2"/>
  <c r="B4058" i="2"/>
  <c r="B4053" i="2"/>
  <c r="B4044" i="2"/>
  <c r="B4035" i="2"/>
  <c r="B4026" i="2"/>
  <c r="B4021" i="2"/>
  <c r="B4012" i="2"/>
  <c r="B4003" i="2"/>
  <c r="B3994" i="2"/>
  <c r="B3989" i="2"/>
  <c r="B3980" i="2"/>
  <c r="B3971" i="2"/>
  <c r="B3955" i="2"/>
  <c r="B3942" i="2"/>
  <c r="B3935" i="2"/>
  <c r="B3922" i="2"/>
  <c r="B3901" i="2"/>
  <c r="B3881" i="2"/>
  <c r="B3867" i="2"/>
  <c r="B3861" i="2"/>
  <c r="B3854" i="2"/>
  <c r="B3847" i="2"/>
  <c r="B3841" i="2"/>
  <c r="B3827" i="2"/>
  <c r="B3814" i="2"/>
  <c r="B3807" i="2"/>
  <c r="B3794" i="2"/>
  <c r="B3773" i="2"/>
  <c r="B3753" i="2"/>
  <c r="B3739" i="2"/>
  <c r="B3733" i="2"/>
  <c r="B3726" i="2"/>
  <c r="B3719" i="2"/>
  <c r="B3713" i="2"/>
  <c r="B3699" i="2"/>
  <c r="B3686" i="2"/>
  <c r="B3679" i="2"/>
  <c r="B3665" i="2"/>
  <c r="B3627" i="2"/>
  <c r="B3605" i="2"/>
  <c r="B3597" i="2"/>
  <c r="B3590" i="2"/>
  <c r="B3567" i="2"/>
  <c r="B3545" i="2"/>
  <c r="B3537" i="2"/>
  <c r="B3499" i="2"/>
  <c r="B3477" i="2"/>
  <c r="B3469" i="2"/>
  <c r="B3462" i="2"/>
  <c r="B3439" i="2"/>
  <c r="B3417" i="2"/>
  <c r="B3409" i="2"/>
  <c r="B3371" i="2"/>
  <c r="B3349" i="2"/>
  <c r="B3341" i="2"/>
  <c r="B3334" i="2"/>
  <c r="B3311" i="2"/>
  <c r="B3289" i="2"/>
  <c r="B3281" i="2"/>
  <c r="B3243" i="2"/>
  <c r="B3190" i="2"/>
  <c r="B3175" i="2"/>
  <c r="B3151" i="2"/>
  <c r="B3113" i="2"/>
  <c r="B3020" i="2"/>
  <c r="B2877" i="2"/>
  <c r="B2414" i="2"/>
  <c r="B4544" i="2"/>
  <c r="B4536" i="2"/>
  <c r="B4528" i="2"/>
  <c r="B4520" i="2"/>
  <c r="B4512" i="2"/>
  <c r="B4504" i="2"/>
  <c r="B4496" i="2"/>
  <c r="B4488" i="2"/>
  <c r="B4480" i="2"/>
  <c r="B4472" i="2"/>
  <c r="B4464" i="2"/>
  <c r="B4456" i="2"/>
  <c r="B4448" i="2"/>
  <c r="B4440" i="2"/>
  <c r="B4432" i="2"/>
  <c r="B4424" i="2"/>
  <c r="B4412" i="2"/>
  <c r="B4404" i="2"/>
  <c r="B4400" i="2"/>
  <c r="B4392" i="2"/>
  <c r="B4384" i="2"/>
  <c r="B4376" i="2"/>
  <c r="B4372" i="2"/>
  <c r="B4364" i="2"/>
  <c r="B4360" i="2"/>
  <c r="B4356" i="2"/>
  <c r="B4352" i="2"/>
  <c r="B4348" i="2"/>
  <c r="B4344" i="2"/>
  <c r="B4340" i="2"/>
  <c r="B4336" i="2"/>
  <c r="B4332" i="2"/>
  <c r="B4324" i="2"/>
  <c r="B4320" i="2"/>
  <c r="B4316" i="2"/>
  <c r="B4312" i="2"/>
  <c r="B4308" i="2"/>
  <c r="B4304" i="2"/>
  <c r="B4300" i="2"/>
  <c r="B4296" i="2"/>
  <c r="B4292" i="2"/>
  <c r="B4288" i="2"/>
  <c r="B4284" i="2"/>
  <c r="B4280" i="2"/>
  <c r="B4276" i="2"/>
  <c r="B4272" i="2"/>
  <c r="B4268" i="2"/>
  <c r="B4264" i="2"/>
  <c r="B4260" i="2"/>
  <c r="B4256" i="2"/>
  <c r="B4252" i="2"/>
  <c r="B4248" i="2"/>
  <c r="B4244" i="2"/>
  <c r="B4240" i="2"/>
  <c r="B4236" i="2"/>
  <c r="B4232" i="2"/>
  <c r="B4228" i="2"/>
  <c r="B4224" i="2"/>
  <c r="B4220" i="2"/>
  <c r="B4216" i="2"/>
  <c r="B4212" i="2"/>
  <c r="B4208" i="2"/>
  <c r="B4204" i="2"/>
  <c r="B4200" i="2"/>
  <c r="B4196" i="2"/>
  <c r="B4192" i="2"/>
  <c r="B4188" i="2"/>
  <c r="B4184" i="2"/>
  <c r="B4180" i="2"/>
  <c r="B4176" i="2"/>
  <c r="B4172" i="2"/>
  <c r="B4168" i="2"/>
  <c r="B4164" i="2"/>
  <c r="B4160" i="2"/>
  <c r="B4156" i="2"/>
  <c r="B4152" i="2"/>
  <c r="B4148" i="2"/>
  <c r="B4144" i="2"/>
  <c r="B4140" i="2"/>
  <c r="B4136" i="2"/>
  <c r="B4132" i="2"/>
  <c r="B4128" i="2"/>
  <c r="B4124" i="2"/>
  <c r="B4120" i="2"/>
  <c r="B4116" i="2"/>
  <c r="B4112" i="2"/>
  <c r="B4103" i="2"/>
  <c r="B4094" i="2"/>
  <c r="B4089" i="2"/>
  <c r="B4080" i="2"/>
  <c r="B4071" i="2"/>
  <c r="B4062" i="2"/>
  <c r="B4057" i="2"/>
  <c r="B4048" i="2"/>
  <c r="B4039" i="2"/>
  <c r="B4030" i="2"/>
  <c r="B4025" i="2"/>
  <c r="B4016" i="2"/>
  <c r="B4007" i="2"/>
  <c r="B3998" i="2"/>
  <c r="B3993" i="2"/>
  <c r="B3984" i="2"/>
  <c r="B3975" i="2"/>
  <c r="B3966" i="2"/>
  <c r="B3961" i="2"/>
  <c r="B3947" i="2"/>
  <c r="B3941" i="2"/>
  <c r="B3934" i="2"/>
  <c r="B3927" i="2"/>
  <c r="B3921" i="2"/>
  <c r="B3907" i="2"/>
  <c r="B3894" i="2"/>
  <c r="B3887" i="2"/>
  <c r="B3874" i="2"/>
  <c r="B3853" i="2"/>
  <c r="B3833" i="2"/>
  <c r="B3819" i="2"/>
  <c r="B3813" i="2"/>
  <c r="B3806" i="2"/>
  <c r="B3799" i="2"/>
  <c r="B3793" i="2"/>
  <c r="B3779" i="2"/>
  <c r="B3766" i="2"/>
  <c r="B3759" i="2"/>
  <c r="B3746" i="2"/>
  <c r="B3725" i="2"/>
  <c r="B3705" i="2"/>
  <c r="B3691" i="2"/>
  <c r="B3685" i="2"/>
  <c r="B3678" i="2"/>
  <c r="B3657" i="2"/>
  <c r="B3649" i="2"/>
  <c r="B3611" i="2"/>
  <c r="B3589" i="2"/>
  <c r="B3581" i="2"/>
  <c r="B3574" i="2"/>
  <c r="B3551" i="2"/>
  <c r="B3529" i="2"/>
  <c r="B3521" i="2"/>
  <c r="B3483" i="2"/>
  <c r="B3461" i="2"/>
  <c r="B3453" i="2"/>
  <c r="B3446" i="2"/>
  <c r="B3423" i="2"/>
  <c r="B3401" i="2"/>
  <c r="B3393" i="2"/>
  <c r="B3355" i="2"/>
  <c r="B3333" i="2"/>
  <c r="B3325" i="2"/>
  <c r="B3318" i="2"/>
  <c r="B3295" i="2"/>
  <c r="B3273" i="2"/>
  <c r="B3265" i="2"/>
  <c r="B3227" i="2"/>
  <c r="B3158" i="2"/>
  <c r="B3119" i="2"/>
  <c r="B3080" i="2"/>
  <c r="B2908" i="2"/>
  <c r="B2621" i="2"/>
  <c r="B4540" i="2"/>
  <c r="B4532" i="2"/>
  <c r="B4524" i="2"/>
  <c r="B4516" i="2"/>
  <c r="B4508" i="2"/>
  <c r="B4500" i="2"/>
  <c r="B4492" i="2"/>
  <c r="B4484" i="2"/>
  <c r="B4476" i="2"/>
  <c r="B4468" i="2"/>
  <c r="B4460" i="2"/>
  <c r="B4452" i="2"/>
  <c r="B4444" i="2"/>
  <c r="B4436" i="2"/>
  <c r="B4428" i="2"/>
  <c r="B4420" i="2"/>
  <c r="B4416" i="2"/>
  <c r="B4408" i="2"/>
  <c r="B4396" i="2"/>
  <c r="B4388" i="2"/>
  <c r="B4380" i="2"/>
  <c r="B4368" i="2"/>
  <c r="B4328" i="2"/>
  <c r="B4107" i="2"/>
  <c r="B4098" i="2"/>
  <c r="B4093" i="2"/>
  <c r="B4075" i="2"/>
  <c r="B4066" i="2"/>
  <c r="B4061" i="2"/>
  <c r="B4043" i="2"/>
  <c r="B4034" i="2"/>
  <c r="B4029" i="2"/>
  <c r="B4011" i="2"/>
  <c r="B4002" i="2"/>
  <c r="B3997" i="2"/>
  <c r="B3988" i="2"/>
  <c r="B3979" i="2"/>
  <c r="B3970" i="2"/>
  <c r="B3965" i="2"/>
  <c r="B3954" i="2"/>
  <c r="B3933" i="2"/>
  <c r="B3913" i="2"/>
  <c r="B3899" i="2"/>
  <c r="B3893" i="2"/>
  <c r="B3886" i="2"/>
  <c r="B3879" i="2"/>
  <c r="B3873" i="2"/>
  <c r="B3859" i="2"/>
  <c r="B3846" i="2"/>
  <c r="B3839" i="2"/>
  <c r="B3826" i="2"/>
  <c r="B3805" i="2"/>
  <c r="B3785" i="2"/>
  <c r="B3771" i="2"/>
  <c r="B3765" i="2"/>
  <c r="B3758" i="2"/>
  <c r="B3751" i="2"/>
  <c r="B3745" i="2"/>
  <c r="B3731" i="2"/>
  <c r="B3718" i="2"/>
  <c r="B3711" i="2"/>
  <c r="B3698" i="2"/>
  <c r="B3677" i="2"/>
  <c r="B3670" i="2"/>
  <c r="B3663" i="2"/>
  <c r="B3641" i="2"/>
  <c r="B3633" i="2"/>
  <c r="B3595" i="2"/>
  <c r="B3573" i="2"/>
  <c r="B3565" i="2"/>
  <c r="B3558" i="2"/>
  <c r="B3535" i="2"/>
  <c r="B3513" i="2"/>
  <c r="B3505" i="2"/>
  <c r="B3467" i="2"/>
  <c r="B3445" i="2"/>
  <c r="B3437" i="2"/>
  <c r="B3430" i="2"/>
  <c r="B3407" i="2"/>
  <c r="B3385" i="2"/>
  <c r="B3377" i="2"/>
  <c r="B3339" i="2"/>
  <c r="B3317" i="2"/>
  <c r="B3309" i="2"/>
  <c r="B3302" i="2"/>
  <c r="B3279" i="2"/>
  <c r="B3257" i="2"/>
  <c r="B3249" i="2"/>
  <c r="B3219" i="2"/>
  <c r="B3196" i="2"/>
  <c r="B3126" i="2"/>
  <c r="B3025" i="2"/>
  <c r="B2923" i="2"/>
  <c r="B2915" i="2"/>
  <c r="B2659" i="2"/>
  <c r="B4459" i="2"/>
  <c r="B4451" i="2"/>
  <c r="B4439" i="2"/>
  <c r="B4431" i="2"/>
  <c r="B4427" i="2"/>
  <c r="B4419" i="2"/>
  <c r="B4411" i="2"/>
  <c r="B4403" i="2"/>
  <c r="B4395" i="2"/>
  <c r="B4387" i="2"/>
  <c r="B4379" i="2"/>
  <c r="B4371" i="2"/>
  <c r="B4363" i="2"/>
  <c r="B4355" i="2"/>
  <c r="B4347" i="2"/>
  <c r="B4339" i="2"/>
  <c r="B4331" i="2"/>
  <c r="B4319" i="2"/>
  <c r="B4311" i="2"/>
  <c r="B4303" i="2"/>
  <c r="B4299" i="2"/>
  <c r="B4295" i="2"/>
  <c r="B4291" i="2"/>
  <c r="B4287" i="2"/>
  <c r="B4283" i="2"/>
  <c r="B4279" i="2"/>
  <c r="B4275" i="2"/>
  <c r="B4271" i="2"/>
  <c r="B4267" i="2"/>
  <c r="B4263" i="2"/>
  <c r="B4259" i="2"/>
  <c r="B4255" i="2"/>
  <c r="B4251" i="2"/>
  <c r="B4247" i="2"/>
  <c r="B4243" i="2"/>
  <c r="B4239" i="2"/>
  <c r="B4235" i="2"/>
  <c r="B4231" i="2"/>
  <c r="B4227" i="2"/>
  <c r="B4223" i="2"/>
  <c r="B4219" i="2"/>
  <c r="B4215" i="2"/>
  <c r="B4211" i="2"/>
  <c r="B4207" i="2"/>
  <c r="B4203" i="2"/>
  <c r="B4199" i="2"/>
  <c r="B4195" i="2"/>
  <c r="B4191" i="2"/>
  <c r="B4187" i="2"/>
  <c r="B4183" i="2"/>
  <c r="B4179" i="2"/>
  <c r="B4175" i="2"/>
  <c r="B4171" i="2"/>
  <c r="B4167" i="2"/>
  <c r="B4163" i="2"/>
  <c r="B4159" i="2"/>
  <c r="B4155" i="2"/>
  <c r="B4151" i="2"/>
  <c r="B4147" i="2"/>
  <c r="B4143" i="2"/>
  <c r="B4139" i="2"/>
  <c r="B4135" i="2"/>
  <c r="B4131" i="2"/>
  <c r="B4127" i="2"/>
  <c r="B4123" i="2"/>
  <c r="B4119" i="2"/>
  <c r="B4115" i="2"/>
  <c r="B4111" i="2"/>
  <c r="B4102" i="2"/>
  <c r="B4097" i="2"/>
  <c r="B4088" i="2"/>
  <c r="B4079" i="2"/>
  <c r="B4070" i="2"/>
  <c r="B4065" i="2"/>
  <c r="B4056" i="2"/>
  <c r="B4047" i="2"/>
  <c r="B4038" i="2"/>
  <c r="B4033" i="2"/>
  <c r="B4024" i="2"/>
  <c r="B4015" i="2"/>
  <c r="B4006" i="2"/>
  <c r="B4001" i="2"/>
  <c r="B3992" i="2"/>
  <c r="B3983" i="2"/>
  <c r="B3974" i="2"/>
  <c r="B3969" i="2"/>
  <c r="B3959" i="2"/>
  <c r="B3953" i="2"/>
  <c r="B3939" i="2"/>
  <c r="B3926" i="2"/>
  <c r="B3919" i="2"/>
  <c r="B3906" i="2"/>
  <c r="B3885" i="2"/>
  <c r="B3865" i="2"/>
  <c r="B3851" i="2"/>
  <c r="B3845" i="2"/>
  <c r="B3838" i="2"/>
  <c r="B3831" i="2"/>
  <c r="B3825" i="2"/>
  <c r="B3811" i="2"/>
  <c r="B3798" i="2"/>
  <c r="B3791" i="2"/>
  <c r="B3778" i="2"/>
  <c r="B3757" i="2"/>
  <c r="B3737" i="2"/>
  <c r="B3723" i="2"/>
  <c r="B3717" i="2"/>
  <c r="B3710" i="2"/>
  <c r="B3703" i="2"/>
  <c r="B3697" i="2"/>
  <c r="B3683" i="2"/>
  <c r="B3669" i="2"/>
  <c r="B3647" i="2"/>
  <c r="B3625" i="2"/>
  <c r="B3617" i="2"/>
  <c r="B3579" i="2"/>
  <c r="B3557" i="2"/>
  <c r="B3549" i="2"/>
  <c r="B3542" i="2"/>
  <c r="B3519" i="2"/>
  <c r="B3497" i="2"/>
  <c r="B3489" i="2"/>
  <c r="B3451" i="2"/>
  <c r="B3429" i="2"/>
  <c r="B3421" i="2"/>
  <c r="B3414" i="2"/>
  <c r="B3391" i="2"/>
  <c r="B3369" i="2"/>
  <c r="B3361" i="2"/>
  <c r="B3323" i="2"/>
  <c r="B3301" i="2"/>
  <c r="B3293" i="2"/>
  <c r="B3286" i="2"/>
  <c r="B3263" i="2"/>
  <c r="B3241" i="2"/>
  <c r="B3233" i="2"/>
  <c r="B3211" i="2"/>
  <c r="B3203" i="2"/>
  <c r="B3195" i="2"/>
  <c r="B3187" i="2"/>
  <c r="B3164" i="2"/>
  <c r="B3039" i="2"/>
  <c r="B2698" i="2"/>
  <c r="B4455" i="2"/>
  <c r="B4447" i="2"/>
  <c r="B4443" i="2"/>
  <c r="B4435" i="2"/>
  <c r="B4423" i="2"/>
  <c r="B4415" i="2"/>
  <c r="B4407" i="2"/>
  <c r="B4399" i="2"/>
  <c r="B4391" i="2"/>
  <c r="B4383" i="2"/>
  <c r="B4375" i="2"/>
  <c r="B4367" i="2"/>
  <c r="B4359" i="2"/>
  <c r="B4351" i="2"/>
  <c r="B4343" i="2"/>
  <c r="B4335" i="2"/>
  <c r="B4327" i="2"/>
  <c r="B4323" i="2"/>
  <c r="B4315" i="2"/>
  <c r="B4307" i="2"/>
  <c r="B2" i="2"/>
  <c r="B7" i="2"/>
  <c r="B21" i="2"/>
  <c r="B30" i="2"/>
  <c r="B39" i="2"/>
  <c r="B53" i="2"/>
  <c r="B62" i="2"/>
  <c r="B71" i="2"/>
  <c r="B85" i="2"/>
  <c r="B94" i="2"/>
  <c r="B103" i="2"/>
  <c r="B117" i="2"/>
  <c r="B126" i="2"/>
  <c r="B135" i="2"/>
  <c r="B149" i="2"/>
  <c r="B158" i="2"/>
  <c r="B167" i="2"/>
  <c r="B181" i="2"/>
  <c r="B190" i="2"/>
  <c r="B199" i="2"/>
  <c r="B213" i="2"/>
  <c r="B222" i="2"/>
  <c r="B231" i="2"/>
  <c r="B245" i="2"/>
  <c r="B254" i="2"/>
  <c r="B263" i="2"/>
  <c r="B277" i="2"/>
  <c r="B286" i="2"/>
  <c r="B295" i="2"/>
  <c r="B309" i="2"/>
  <c r="B318" i="2"/>
  <c r="B327" i="2"/>
  <c r="B341" i="2"/>
  <c r="B345" i="2"/>
  <c r="B349" i="2"/>
  <c r="B353" i="2"/>
  <c r="B357" i="2"/>
  <c r="B361" i="2"/>
  <c r="B365" i="2"/>
  <c r="B369" i="2"/>
  <c r="B373" i="2"/>
  <c r="B377" i="2"/>
  <c r="B381" i="2"/>
  <c r="B385" i="2"/>
  <c r="B389" i="2"/>
  <c r="B393" i="2"/>
  <c r="B397" i="2"/>
  <c r="B401" i="2"/>
  <c r="B3" i="2"/>
  <c r="B17" i="2"/>
  <c r="B26" i="2"/>
  <c r="B35" i="2"/>
  <c r="B49" i="2"/>
  <c r="B58" i="2"/>
  <c r="B67" i="2"/>
  <c r="B81" i="2"/>
  <c r="B90" i="2"/>
  <c r="B99" i="2"/>
  <c r="B113" i="2"/>
  <c r="B122" i="2"/>
  <c r="B131" i="2"/>
  <c r="B145" i="2"/>
  <c r="B154" i="2"/>
  <c r="B163" i="2"/>
  <c r="B177" i="2"/>
  <c r="B186" i="2"/>
  <c r="B195" i="2"/>
  <c r="B209" i="2"/>
  <c r="B218" i="2"/>
  <c r="B227" i="2"/>
  <c r="B241" i="2"/>
  <c r="B250" i="2"/>
  <c r="B259" i="2"/>
  <c r="B273" i="2"/>
  <c r="B282" i="2"/>
  <c r="B291" i="2"/>
  <c r="B305" i="2"/>
  <c r="B314" i="2"/>
  <c r="B22" i="2"/>
  <c r="B54" i="2"/>
  <c r="B86" i="2"/>
  <c r="B118" i="2"/>
  <c r="B150" i="2"/>
  <c r="B182" i="2"/>
  <c r="B214" i="2"/>
  <c r="B18" i="2"/>
  <c r="B5" i="2"/>
  <c r="B14" i="2"/>
  <c r="B46" i="2"/>
  <c r="B78" i="2"/>
  <c r="B110" i="2"/>
  <c r="B142" i="2"/>
  <c r="B174" i="2"/>
  <c r="B206" i="2"/>
  <c r="B238" i="2"/>
  <c r="B10" i="2"/>
  <c r="B19" i="2"/>
  <c r="B33" i="2"/>
  <c r="B42" i="2"/>
  <c r="B51" i="2"/>
  <c r="B65" i="2"/>
  <c r="B74" i="2"/>
  <c r="B83" i="2"/>
  <c r="B97" i="2"/>
  <c r="B106" i="2"/>
  <c r="B115" i="2"/>
  <c r="B129" i="2"/>
  <c r="B138" i="2"/>
  <c r="B147" i="2"/>
  <c r="B161" i="2"/>
  <c r="B170" i="2"/>
  <c r="B179" i="2"/>
  <c r="B193" i="2"/>
  <c r="B202" i="2"/>
  <c r="B211" i="2"/>
  <c r="B225" i="2"/>
  <c r="B234" i="2"/>
  <c r="B243" i="2"/>
  <c r="B257" i="2"/>
  <c r="B266" i="2"/>
  <c r="B275" i="2"/>
  <c r="B289" i="2"/>
  <c r="B298" i="2"/>
  <c r="B307" i="2"/>
  <c r="B6" i="2"/>
  <c r="B38" i="2"/>
  <c r="B70" i="2"/>
  <c r="B102" i="2"/>
  <c r="B134" i="2"/>
  <c r="B166" i="2"/>
  <c r="B198" i="2"/>
  <c r="B230" i="2"/>
  <c r="B34" i="2"/>
  <c r="B66" i="2"/>
  <c r="B98" i="2"/>
  <c r="B130" i="2"/>
  <c r="B162" i="2"/>
  <c r="B194" i="2"/>
  <c r="B226" i="2"/>
  <c r="B41" i="2"/>
  <c r="B114" i="2"/>
  <c r="B187" i="2"/>
  <c r="B297" i="2"/>
  <c r="B27" i="2"/>
  <c r="B50" i="2"/>
  <c r="B123" i="2"/>
  <c r="B233" i="2"/>
  <c r="B306" i="2"/>
  <c r="B421" i="2"/>
  <c r="B59" i="2"/>
  <c r="B169" i="2"/>
  <c r="B242" i="2"/>
  <c r="B315" i="2"/>
  <c r="B429" i="2"/>
  <c r="B82" i="2"/>
  <c r="B155" i="2"/>
  <c r="B265" i="2"/>
  <c r="B105" i="2"/>
  <c r="B178" i="2"/>
  <c r="B251" i="2"/>
  <c r="B323" i="2"/>
  <c r="B405" i="2"/>
  <c r="B321" i="2"/>
  <c r="B417" i="2"/>
  <c r="B473" i="2"/>
  <c r="B137" i="2"/>
  <c r="B283" i="2"/>
  <c r="B329" i="2"/>
  <c r="B425" i="2"/>
  <c r="B91" i="2"/>
  <c r="B481" i="2"/>
  <c r="B146" i="2"/>
  <c r="B201" i="2"/>
  <c r="B330" i="2"/>
  <c r="B337" i="2"/>
  <c r="B413" i="2"/>
  <c r="B441" i="2"/>
  <c r="B489" i="2"/>
  <c r="B542" i="2"/>
  <c r="B574" i="2"/>
  <c r="B606" i="2"/>
  <c r="B638" i="2"/>
  <c r="B670" i="2"/>
  <c r="B693" i="2"/>
  <c r="B702" i="2"/>
  <c r="B706" i="2"/>
  <c r="B710" i="2"/>
  <c r="B714" i="2"/>
  <c r="B718" i="2"/>
  <c r="B722" i="2"/>
  <c r="B726" i="2"/>
  <c r="B730" i="2"/>
  <c r="B734" i="2"/>
  <c r="B738" i="2"/>
  <c r="B742" i="2"/>
  <c r="B746" i="2"/>
  <c r="B750" i="2"/>
  <c r="B754" i="2"/>
  <c r="B758" i="2"/>
  <c r="B762" i="2"/>
  <c r="B766" i="2"/>
  <c r="B770" i="2"/>
  <c r="B774" i="2"/>
  <c r="B778" i="2"/>
  <c r="B782" i="2"/>
  <c r="B786" i="2"/>
  <c r="B790" i="2"/>
  <c r="B794" i="2"/>
  <c r="B798" i="2"/>
  <c r="B802" i="2"/>
  <c r="B806" i="2"/>
  <c r="B810" i="2"/>
  <c r="B814" i="2"/>
  <c r="B497" i="2"/>
  <c r="B530" i="2"/>
  <c r="B562" i="2"/>
  <c r="B594" i="2"/>
  <c r="B626" i="2"/>
  <c r="B658" i="2"/>
  <c r="B689" i="2"/>
  <c r="B698" i="2"/>
  <c r="B210" i="2"/>
  <c r="B338" i="2"/>
  <c r="B449" i="2"/>
  <c r="B505" i="2"/>
  <c r="B409" i="2"/>
  <c r="B457" i="2"/>
  <c r="B728" i="2"/>
  <c r="B760" i="2"/>
  <c r="B792" i="2"/>
  <c r="B828" i="2"/>
  <c r="B844" i="2"/>
  <c r="B860" i="2"/>
  <c r="B880" i="2"/>
  <c r="B894" i="2"/>
  <c r="B898" i="2"/>
  <c r="B902" i="2"/>
  <c r="B906" i="2"/>
  <c r="B910" i="2"/>
  <c r="B914" i="2"/>
  <c r="B918" i="2"/>
  <c r="B922" i="2"/>
  <c r="B926" i="2"/>
  <c r="B526" i="2"/>
  <c r="B716" i="2"/>
  <c r="B748" i="2"/>
  <c r="B780" i="2"/>
  <c r="B812" i="2"/>
  <c r="B818" i="2"/>
  <c r="B834" i="2"/>
  <c r="B219" i="2"/>
  <c r="B274" i="2"/>
  <c r="B558" i="2"/>
  <c r="B704" i="2"/>
  <c r="B736" i="2"/>
  <c r="B768" i="2"/>
  <c r="B800" i="2"/>
  <c r="B824" i="2"/>
  <c r="B840" i="2"/>
  <c r="B856" i="2"/>
  <c r="B872" i="2"/>
  <c r="B886" i="2"/>
  <c r="B465" i="2"/>
  <c r="B590" i="2"/>
  <c r="B724" i="2"/>
  <c r="B756" i="2"/>
  <c r="B788" i="2"/>
  <c r="B830" i="2"/>
  <c r="B846" i="2"/>
  <c r="B339" i="2"/>
  <c r="B622" i="2"/>
  <c r="B712" i="2"/>
  <c r="B744" i="2"/>
  <c r="B776" i="2"/>
  <c r="B808" i="2"/>
  <c r="B820" i="2"/>
  <c r="B836" i="2"/>
  <c r="B852" i="2"/>
  <c r="B868" i="2"/>
  <c r="B878" i="2"/>
  <c r="B896" i="2"/>
  <c r="B900" i="2"/>
  <c r="B904" i="2"/>
  <c r="B908" i="2"/>
  <c r="B912" i="2"/>
  <c r="B916" i="2"/>
  <c r="B920" i="2"/>
  <c r="B924" i="2"/>
  <c r="B928" i="2"/>
  <c r="B932" i="2"/>
  <c r="B936" i="2"/>
  <c r="B940" i="2"/>
  <c r="B944" i="2"/>
  <c r="B948" i="2"/>
  <c r="B952" i="2"/>
  <c r="B956" i="2"/>
  <c r="B960" i="2"/>
  <c r="B964" i="2"/>
  <c r="B968" i="2"/>
  <c r="B972" i="2"/>
  <c r="B976" i="2"/>
  <c r="B980" i="2"/>
  <c r="B984" i="2"/>
  <c r="B988" i="2"/>
  <c r="B992" i="2"/>
  <c r="B996" i="2"/>
  <c r="B1000" i="2"/>
  <c r="B1004" i="2"/>
  <c r="B1008" i="2"/>
  <c r="B1012" i="2"/>
  <c r="B1016" i="2"/>
  <c r="B1020" i="2"/>
  <c r="B1024" i="2"/>
  <c r="B1028" i="2"/>
  <c r="B1032" i="2"/>
  <c r="B1036" i="2"/>
  <c r="B1040" i="2"/>
  <c r="B1044" i="2"/>
  <c r="B654" i="2"/>
  <c r="B700" i="2"/>
  <c r="B732" i="2"/>
  <c r="B764" i="2"/>
  <c r="B796" i="2"/>
  <c r="B826" i="2"/>
  <c r="B842" i="2"/>
  <c r="B858" i="2"/>
  <c r="B874" i="2"/>
  <c r="B883" i="2"/>
  <c r="B892" i="2"/>
  <c r="B686" i="2"/>
  <c r="B720" i="2"/>
  <c r="B752" i="2"/>
  <c r="B784" i="2"/>
  <c r="B816" i="2"/>
  <c r="B832" i="2"/>
  <c r="B848" i="2"/>
  <c r="B864" i="2"/>
  <c r="B888" i="2"/>
  <c r="B890" i="2"/>
  <c r="B954" i="2"/>
  <c r="B986" i="2"/>
  <c r="B1018" i="2"/>
  <c r="B1050" i="2"/>
  <c r="B1082" i="2"/>
  <c r="B1098" i="2"/>
  <c r="B1114" i="2"/>
  <c r="B1130" i="2"/>
  <c r="B1146" i="2"/>
  <c r="B1162" i="2"/>
  <c r="B822" i="2"/>
  <c r="B884" i="2"/>
  <c r="B942" i="2"/>
  <c r="B974" i="2"/>
  <c r="B1006" i="2"/>
  <c r="B1038" i="2"/>
  <c r="B1070" i="2"/>
  <c r="B838" i="2"/>
  <c r="B866" i="2"/>
  <c r="B891" i="2"/>
  <c r="B930" i="2"/>
  <c r="B962" i="2"/>
  <c r="B994" i="2"/>
  <c r="B1026" i="2"/>
  <c r="B1058" i="2"/>
  <c r="B1094" i="2"/>
  <c r="B1110" i="2"/>
  <c r="B1126" i="2"/>
  <c r="B1142" i="2"/>
  <c r="B1158" i="2"/>
  <c r="B1174" i="2"/>
  <c r="B708" i="2"/>
  <c r="B950" i="2"/>
  <c r="B982" i="2"/>
  <c r="B1014" i="2"/>
  <c r="B1046" i="2"/>
  <c r="B1078" i="2"/>
  <c r="B740" i="2"/>
  <c r="B854" i="2"/>
  <c r="B938" i="2"/>
  <c r="B970" i="2"/>
  <c r="B1002" i="2"/>
  <c r="B1034" i="2"/>
  <c r="B1066" i="2"/>
  <c r="B1090" i="2"/>
  <c r="B1106" i="2"/>
  <c r="B1122" i="2"/>
  <c r="B1138" i="2"/>
  <c r="B1154" i="2"/>
  <c r="B1170" i="2"/>
  <c r="B1186" i="2"/>
  <c r="B1202" i="2"/>
  <c r="B1218" i="2"/>
  <c r="B1234" i="2"/>
  <c r="B1250" i="2"/>
  <c r="B772" i="2"/>
  <c r="B862" i="2"/>
  <c r="B875" i="2"/>
  <c r="B958" i="2"/>
  <c r="B990" i="2"/>
  <c r="B1022" i="2"/>
  <c r="B1054" i="2"/>
  <c r="B804" i="2"/>
  <c r="B882" i="2"/>
  <c r="B946" i="2"/>
  <c r="B978" i="2"/>
  <c r="B1010" i="2"/>
  <c r="B1042" i="2"/>
  <c r="B1074" i="2"/>
  <c r="B1086" i="2"/>
  <c r="B1102" i="2"/>
  <c r="B1118" i="2"/>
  <c r="B1134" i="2"/>
  <c r="B1150" i="2"/>
  <c r="B1166" i="2"/>
  <c r="B934" i="2"/>
  <c r="B1172" i="2"/>
  <c r="B1267" i="2"/>
  <c r="B850" i="2"/>
  <c r="B966" i="2"/>
  <c r="B1188" i="2"/>
  <c r="B1255" i="2"/>
  <c r="B1279" i="2"/>
  <c r="B1295" i="2"/>
  <c r="B1311" i="2"/>
  <c r="B1327" i="2"/>
  <c r="B1343" i="2"/>
  <c r="B1359" i="2"/>
  <c r="B1375" i="2"/>
  <c r="B1391" i="2"/>
  <c r="B1407" i="2"/>
  <c r="B1423" i="2"/>
  <c r="B1439" i="2"/>
  <c r="B1455" i="2"/>
  <c r="B1471" i="2"/>
  <c r="B1487" i="2"/>
  <c r="B1503" i="2"/>
  <c r="B1519" i="2"/>
  <c r="B1535" i="2"/>
  <c r="B1551" i="2"/>
  <c r="B1567" i="2"/>
  <c r="B1583" i="2"/>
  <c r="B998" i="2"/>
  <c r="B1204" i="2"/>
  <c r="B1030" i="2"/>
  <c r="B1092" i="2"/>
  <c r="B1220" i="2"/>
  <c r="B1263" i="2"/>
  <c r="B1275" i="2"/>
  <c r="B1291" i="2"/>
  <c r="B1307" i="2"/>
  <c r="B1323" i="2"/>
  <c r="B1339" i="2"/>
  <c r="B1355" i="2"/>
  <c r="B1371" i="2"/>
  <c r="B1387" i="2"/>
  <c r="B1403" i="2"/>
  <c r="B1419" i="2"/>
  <c r="B1435" i="2"/>
  <c r="B1451" i="2"/>
  <c r="B1467" i="2"/>
  <c r="B1483" i="2"/>
  <c r="B1499" i="2"/>
  <c r="B1515" i="2"/>
  <c r="B1531" i="2"/>
  <c r="B1547" i="2"/>
  <c r="B1563" i="2"/>
  <c r="B1579" i="2"/>
  <c r="B1595" i="2"/>
  <c r="B1611" i="2"/>
  <c r="B1627" i="2"/>
  <c r="B1062" i="2"/>
  <c r="B1108" i="2"/>
  <c r="B1236" i="2"/>
  <c r="B876" i="2"/>
  <c r="B1124" i="2"/>
  <c r="B1252" i="2"/>
  <c r="B1271" i="2"/>
  <c r="B1287" i="2"/>
  <c r="B1303" i="2"/>
  <c r="B1319" i="2"/>
  <c r="B1335" i="2"/>
  <c r="B1351" i="2"/>
  <c r="B1367" i="2"/>
  <c r="B1383" i="2"/>
  <c r="B1399" i="2"/>
  <c r="B1415" i="2"/>
  <c r="B1431" i="2"/>
  <c r="B1447" i="2"/>
  <c r="B1463" i="2"/>
  <c r="B1479" i="2"/>
  <c r="B1495" i="2"/>
  <c r="B1511" i="2"/>
  <c r="B1527" i="2"/>
  <c r="B1543" i="2"/>
  <c r="B1559" i="2"/>
  <c r="B1575" i="2"/>
  <c r="B1591" i="2"/>
  <c r="B1607" i="2"/>
  <c r="B870" i="2"/>
  <c r="B1140" i="2"/>
  <c r="B1259" i="2"/>
  <c r="B1363" i="2"/>
  <c r="B1491" i="2"/>
  <c r="B1603" i="2"/>
  <c r="B1631" i="2"/>
  <c r="B1663" i="2"/>
  <c r="B1695" i="2"/>
  <c r="B1727" i="2"/>
  <c r="B1751" i="2"/>
  <c r="B1379" i="2"/>
  <c r="B1507" i="2"/>
  <c r="B1651" i="2"/>
  <c r="B1683" i="2"/>
  <c r="B1715" i="2"/>
  <c r="B1741" i="2"/>
  <c r="B1799" i="2"/>
  <c r="B1831" i="2"/>
  <c r="B1863" i="2"/>
  <c r="B1895" i="2"/>
  <c r="B1927" i="2"/>
  <c r="B1395" i="2"/>
  <c r="B1523" i="2"/>
  <c r="B1619" i="2"/>
  <c r="B1639" i="2"/>
  <c r="B1671" i="2"/>
  <c r="B1703" i="2"/>
  <c r="B1735" i="2"/>
  <c r="B1156" i="2"/>
  <c r="B1283" i="2"/>
  <c r="B1411" i="2"/>
  <c r="B1539" i="2"/>
  <c r="B1599" i="2"/>
  <c r="B1659" i="2"/>
  <c r="B1691" i="2"/>
  <c r="B1723" i="2"/>
  <c r="B1742" i="2"/>
  <c r="B1807" i="2"/>
  <c r="B1839" i="2"/>
  <c r="B1871" i="2"/>
  <c r="B1903" i="2"/>
  <c r="B1935" i="2"/>
  <c r="B1967" i="2"/>
  <c r="B1999" i="2"/>
  <c r="B2031" i="2"/>
  <c r="B1299" i="2"/>
  <c r="B1427" i="2"/>
  <c r="B1555" i="2"/>
  <c r="B1647" i="2"/>
  <c r="B1679" i="2"/>
  <c r="B1711" i="2"/>
  <c r="B1749" i="2"/>
  <c r="B1827" i="2"/>
  <c r="B1859" i="2"/>
  <c r="B1891" i="2"/>
  <c r="B1923" i="2"/>
  <c r="B1315" i="2"/>
  <c r="B1443" i="2"/>
  <c r="B1571" i="2"/>
  <c r="B1615" i="2"/>
  <c r="B1635" i="2"/>
  <c r="B1667" i="2"/>
  <c r="B1699" i="2"/>
  <c r="B1731" i="2"/>
  <c r="B1743" i="2"/>
  <c r="B1331" i="2"/>
  <c r="B1459" i="2"/>
  <c r="B1587" i="2"/>
  <c r="B1655" i="2"/>
  <c r="B1687" i="2"/>
  <c r="B1719" i="2"/>
  <c r="B1750" i="2"/>
  <c r="B1623" i="2"/>
  <c r="B1951" i="2"/>
  <c r="B1987" i="2"/>
  <c r="B2023" i="2"/>
  <c r="B2047" i="2"/>
  <c r="B2095" i="2"/>
  <c r="B2244" i="2"/>
  <c r="B2260" i="2"/>
  <c r="B2276" i="2"/>
  <c r="B2292" i="2"/>
  <c r="B2308" i="2"/>
  <c r="B2324" i="2"/>
  <c r="B2340" i="2"/>
  <c r="B2356" i="2"/>
  <c r="B2372" i="2"/>
  <c r="B2388" i="2"/>
  <c r="B2404" i="2"/>
  <c r="B2420" i="2"/>
  <c r="B2436" i="2"/>
  <c r="B2452" i="2"/>
  <c r="B2468" i="2"/>
  <c r="B2484" i="2"/>
  <c r="B2500" i="2"/>
  <c r="B1347" i="2"/>
  <c r="B1959" i="2"/>
  <c r="B1475" i="2"/>
  <c r="B1983" i="2"/>
  <c r="B2019" i="2"/>
  <c r="B2055" i="2"/>
  <c r="B2083" i="2"/>
  <c r="B2111" i="2"/>
  <c r="B2131" i="2"/>
  <c r="B2144" i="2"/>
  <c r="B2160" i="2"/>
  <c r="B2176" i="2"/>
  <c r="B2192" i="2"/>
  <c r="B2208" i="2"/>
  <c r="B2224" i="2"/>
  <c r="B2240" i="2"/>
  <c r="B2256" i="2"/>
  <c r="B2272" i="2"/>
  <c r="B2288" i="2"/>
  <c r="B2304" i="2"/>
  <c r="B2320" i="2"/>
  <c r="B2336" i="2"/>
  <c r="B2352" i="2"/>
  <c r="B2368" i="2"/>
  <c r="B2384" i="2"/>
  <c r="B2400" i="2"/>
  <c r="B2416" i="2"/>
  <c r="B2432" i="2"/>
  <c r="B2448" i="2"/>
  <c r="B2464" i="2"/>
  <c r="B2480" i="2"/>
  <c r="B2496" i="2"/>
  <c r="B1823" i="2"/>
  <c r="B2063" i="2"/>
  <c r="B2150" i="2"/>
  <c r="B2310" i="2"/>
  <c r="B2326" i="2"/>
  <c r="B2342" i="2"/>
  <c r="B2358" i="2"/>
  <c r="B2374" i="2"/>
  <c r="B2390" i="2"/>
  <c r="B2406" i="2"/>
  <c r="B2422" i="2"/>
  <c r="B2438" i="2"/>
  <c r="B2454" i="2"/>
  <c r="B2470" i="2"/>
  <c r="B2486" i="2"/>
  <c r="B2502" i="2"/>
  <c r="B2507" i="2"/>
  <c r="B2511" i="2"/>
  <c r="B2515" i="2"/>
  <c r="B2519" i="2"/>
  <c r="B2523" i="2"/>
  <c r="B2527" i="2"/>
  <c r="B2531" i="2"/>
  <c r="B2535" i="2"/>
  <c r="B2539" i="2"/>
  <c r="B2543" i="2"/>
  <c r="B2547" i="2"/>
  <c r="B2551" i="2"/>
  <c r="B2555" i="2"/>
  <c r="B2559" i="2"/>
  <c r="B2563" i="2"/>
  <c r="B2567" i="2"/>
  <c r="B2571" i="2"/>
  <c r="B2575" i="2"/>
  <c r="B2579" i="2"/>
  <c r="B2583" i="2"/>
  <c r="B2587" i="2"/>
  <c r="B2591" i="2"/>
  <c r="B2595" i="2"/>
  <c r="B2599" i="2"/>
  <c r="B2603" i="2"/>
  <c r="B2607" i="2"/>
  <c r="B1643" i="2"/>
  <c r="B1855" i="2"/>
  <c r="B1955" i="2"/>
  <c r="B1991" i="2"/>
  <c r="B1675" i="2"/>
  <c r="B1887" i="2"/>
  <c r="B2015" i="2"/>
  <c r="B2079" i="2"/>
  <c r="B2127" i="2"/>
  <c r="B2264" i="2"/>
  <c r="B2392" i="2"/>
  <c r="B2615" i="2"/>
  <c r="B2647" i="2"/>
  <c r="B2679" i="2"/>
  <c r="B2152" i="2"/>
  <c r="B2280" i="2"/>
  <c r="B2408" i="2"/>
  <c r="B2635" i="2"/>
  <c r="B2667" i="2"/>
  <c r="B2699" i="2"/>
  <c r="B2731" i="2"/>
  <c r="B2763" i="2"/>
  <c r="B2795" i="2"/>
  <c r="B2827" i="2"/>
  <c r="B2859" i="2"/>
  <c r="B2891" i="2"/>
  <c r="B2909" i="2"/>
  <c r="B2925" i="2"/>
  <c r="B2941" i="2"/>
  <c r="B2957" i="2"/>
  <c r="B2973" i="2"/>
  <c r="B2989" i="2"/>
  <c r="B3005" i="2"/>
  <c r="B1707" i="2"/>
  <c r="B2168" i="2"/>
  <c r="B2296" i="2"/>
  <c r="B2424" i="2"/>
  <c r="B2623" i="2"/>
  <c r="B2655" i="2"/>
  <c r="B2687" i="2"/>
  <c r="B2184" i="2"/>
  <c r="B2312" i="2"/>
  <c r="B2440" i="2"/>
  <c r="B2611" i="2"/>
  <c r="B2643" i="2"/>
  <c r="B2675" i="2"/>
  <c r="B2707" i="2"/>
  <c r="B2739" i="2"/>
  <c r="B2771" i="2"/>
  <c r="B2803" i="2"/>
  <c r="B2835" i="2"/>
  <c r="B2867" i="2"/>
  <c r="B2899" i="2"/>
  <c r="B2905" i="2"/>
  <c r="B2921" i="2"/>
  <c r="B2937" i="2"/>
  <c r="B2953" i="2"/>
  <c r="B2969" i="2"/>
  <c r="B2985" i="2"/>
  <c r="B3001" i="2"/>
  <c r="B3017" i="2"/>
  <c r="B3033" i="2"/>
  <c r="B3049" i="2"/>
  <c r="B3065" i="2"/>
  <c r="B3081" i="2"/>
  <c r="B3097" i="2"/>
  <c r="B2200" i="2"/>
  <c r="B2328" i="2"/>
  <c r="B2456" i="2"/>
  <c r="B2631" i="2"/>
  <c r="B2663" i="2"/>
  <c r="B2695" i="2"/>
  <c r="B2727" i="2"/>
  <c r="B2759" i="2"/>
  <c r="B2791" i="2"/>
  <c r="B2823" i="2"/>
  <c r="B2855" i="2"/>
  <c r="B2887" i="2"/>
  <c r="B2911" i="2"/>
  <c r="B2927" i="2"/>
  <c r="B2943" i="2"/>
  <c r="B2959" i="2"/>
  <c r="B2975" i="2"/>
  <c r="B2991" i="2"/>
  <c r="B2216" i="2"/>
  <c r="B2344" i="2"/>
  <c r="B2472" i="2"/>
  <c r="B2619" i="2"/>
  <c r="B2651" i="2"/>
  <c r="B2683" i="2"/>
  <c r="B2232" i="2"/>
  <c r="B2360" i="2"/>
  <c r="B2488" i="2"/>
  <c r="B2639" i="2"/>
  <c r="B2671" i="2"/>
  <c r="B2248" i="2"/>
  <c r="B2691" i="2"/>
  <c r="B2961" i="2"/>
  <c r="B3073" i="2"/>
  <c r="B3087" i="2"/>
  <c r="B3101" i="2"/>
  <c r="B3107" i="2"/>
  <c r="B3139" i="2"/>
  <c r="B2376" i="2"/>
  <c r="B2723" i="2"/>
  <c r="B2977" i="2"/>
  <c r="B3007" i="2"/>
  <c r="B3021" i="2"/>
  <c r="B3127" i="2"/>
  <c r="B3159" i="2"/>
  <c r="B3191" i="2"/>
  <c r="B3223" i="2"/>
  <c r="B3239" i="2"/>
  <c r="B3255" i="2"/>
  <c r="B3271" i="2"/>
  <c r="B3287" i="2"/>
  <c r="B3303" i="2"/>
  <c r="B3319" i="2"/>
  <c r="B3335" i="2"/>
  <c r="B3351" i="2"/>
  <c r="B3367" i="2"/>
  <c r="B3383" i="2"/>
  <c r="B3399" i="2"/>
  <c r="B3415" i="2"/>
  <c r="B3431" i="2"/>
  <c r="B3447" i="2"/>
  <c r="B3463" i="2"/>
  <c r="B3479" i="2"/>
  <c r="B3495" i="2"/>
  <c r="B3511" i="2"/>
  <c r="B3527" i="2"/>
  <c r="B3543" i="2"/>
  <c r="B3559" i="2"/>
  <c r="B3575" i="2"/>
  <c r="B3591" i="2"/>
  <c r="B3607" i="2"/>
  <c r="B3623" i="2"/>
  <c r="B3639" i="2"/>
  <c r="B3655" i="2"/>
  <c r="B3671" i="2"/>
  <c r="B2504" i="2"/>
  <c r="B2755" i="2"/>
  <c r="B2993" i="2"/>
  <c r="B3041" i="2"/>
  <c r="B3055" i="2"/>
  <c r="B3069" i="2"/>
  <c r="B3115" i="2"/>
  <c r="B2787" i="2"/>
  <c r="B3089" i="2"/>
  <c r="B3103" i="2"/>
  <c r="B3135" i="2"/>
  <c r="B3167" i="2"/>
  <c r="B3199" i="2"/>
  <c r="B3235" i="2"/>
  <c r="B3251" i="2"/>
  <c r="B3267" i="2"/>
  <c r="B3283" i="2"/>
  <c r="B3299" i="2"/>
  <c r="B3315" i="2"/>
  <c r="B3331" i="2"/>
  <c r="B3347" i="2"/>
  <c r="B3363" i="2"/>
  <c r="B3379" i="2"/>
  <c r="B3395" i="2"/>
  <c r="B3411" i="2"/>
  <c r="B3427" i="2"/>
  <c r="B3443" i="2"/>
  <c r="B3459" i="2"/>
  <c r="B3475" i="2"/>
  <c r="B3491" i="2"/>
  <c r="B3507" i="2"/>
  <c r="B3523" i="2"/>
  <c r="B3539" i="2"/>
  <c r="B3555" i="2"/>
  <c r="B3571" i="2"/>
  <c r="B3587" i="2"/>
  <c r="B3603" i="2"/>
  <c r="B3619" i="2"/>
  <c r="B3635" i="2"/>
  <c r="B3651" i="2"/>
  <c r="B2819" i="2"/>
  <c r="B3009" i="2"/>
  <c r="B3023" i="2"/>
  <c r="B3037" i="2"/>
  <c r="B3123" i="2"/>
  <c r="B2851" i="2"/>
  <c r="B2913" i="2"/>
  <c r="B3057" i="2"/>
  <c r="B3071" i="2"/>
  <c r="B3085" i="2"/>
  <c r="B3111" i="2"/>
  <c r="B3143" i="2"/>
  <c r="B1919" i="2"/>
  <c r="B2627" i="2"/>
  <c r="B2883" i="2"/>
  <c r="B2929" i="2"/>
  <c r="B3131" i="2"/>
  <c r="B4106" i="2"/>
  <c r="B4101" i="2"/>
  <c r="B4083" i="2"/>
  <c r="B4074" i="2"/>
  <c r="B4069" i="2"/>
  <c r="B4051" i="2"/>
  <c r="B4042" i="2"/>
  <c r="B4037" i="2"/>
  <c r="B4019" i="2"/>
  <c r="B4010" i="2"/>
  <c r="B4005" i="2"/>
  <c r="B3996" i="2"/>
  <c r="B3987" i="2"/>
  <c r="B3978" i="2"/>
  <c r="B3973" i="2"/>
  <c r="B3964" i="2"/>
  <c r="B3945" i="2"/>
  <c r="B3931" i="2"/>
  <c r="B3925" i="2"/>
  <c r="B3918" i="2"/>
  <c r="B3911" i="2"/>
  <c r="B3905" i="2"/>
  <c r="B3891" i="2"/>
  <c r="B3878" i="2"/>
  <c r="B3871" i="2"/>
  <c r="B3858" i="2"/>
  <c r="B3837" i="2"/>
  <c r="B3817" i="2"/>
  <c r="B3803" i="2"/>
  <c r="B3797" i="2"/>
  <c r="B3790" i="2"/>
  <c r="B3783" i="2"/>
  <c r="B3777" i="2"/>
  <c r="B3763" i="2"/>
  <c r="B3750" i="2"/>
  <c r="B3743" i="2"/>
  <c r="B3730" i="2"/>
  <c r="B3709" i="2"/>
  <c r="B3689" i="2"/>
  <c r="B3675" i="2"/>
  <c r="B3661" i="2"/>
  <c r="B3654" i="2"/>
  <c r="B3631" i="2"/>
  <c r="B3609" i="2"/>
  <c r="B3601" i="2"/>
  <c r="B3563" i="2"/>
  <c r="B3541" i="2"/>
  <c r="B3533" i="2"/>
  <c r="B3526" i="2"/>
  <c r="B3503" i="2"/>
  <c r="B3481" i="2"/>
  <c r="B3473" i="2"/>
  <c r="B3435" i="2"/>
  <c r="B3413" i="2"/>
  <c r="B3405" i="2"/>
  <c r="B3398" i="2"/>
  <c r="B3375" i="2"/>
  <c r="B3353" i="2"/>
  <c r="B3345" i="2"/>
  <c r="B3307" i="2"/>
  <c r="B3285" i="2"/>
  <c r="B3277" i="2"/>
  <c r="B3270" i="2"/>
  <c r="B3247" i="2"/>
  <c r="B3225" i="2"/>
  <c r="B3179" i="2"/>
  <c r="B3171" i="2"/>
  <c r="B3163" i="2"/>
  <c r="B3155" i="2"/>
  <c r="B3132" i="2"/>
  <c r="B3093" i="2"/>
  <c r="B3053" i="2"/>
  <c r="B3952" i="2"/>
  <c r="B3936" i="2"/>
  <c r="B3920" i="2"/>
  <c r="B3904" i="2"/>
  <c r="B3888" i="2"/>
  <c r="B3872" i="2"/>
  <c r="B3856" i="2"/>
  <c r="B3840" i="2"/>
  <c r="B3824" i="2"/>
  <c r="B3808" i="2"/>
  <c r="B3792" i="2"/>
  <c r="B3776" i="2"/>
  <c r="B3760" i="2"/>
  <c r="B3744" i="2"/>
  <c r="B3728" i="2"/>
  <c r="B3712" i="2"/>
  <c r="B3696" i="2"/>
  <c r="B3680" i="2"/>
  <c r="B3664" i="2"/>
  <c r="B3648" i="2"/>
  <c r="B3632" i="2"/>
  <c r="B3616" i="2"/>
  <c r="B3600" i="2"/>
  <c r="B3584" i="2"/>
  <c r="B3568" i="2"/>
  <c r="B3552" i="2"/>
  <c r="B3536" i="2"/>
  <c r="B3520" i="2"/>
  <c r="B3504" i="2"/>
  <c r="B3488" i="2"/>
  <c r="B3472" i="2"/>
  <c r="B3456" i="2"/>
  <c r="B3440" i="2"/>
  <c r="B3424" i="2"/>
  <c r="B3408" i="2"/>
  <c r="B3392" i="2"/>
  <c r="B3376" i="2"/>
  <c r="B3360" i="2"/>
  <c r="B3344" i="2"/>
  <c r="B3328" i="2"/>
  <c r="B3312" i="2"/>
  <c r="B3296" i="2"/>
  <c r="B3280" i="2"/>
  <c r="B3264" i="2"/>
  <c r="B3248" i="2"/>
  <c r="B3232" i="2"/>
  <c r="B3221" i="2"/>
  <c r="B3208" i="2"/>
  <c r="B3202" i="2"/>
  <c r="B3189" i="2"/>
  <c r="B3176" i="2"/>
  <c r="B3170" i="2"/>
  <c r="B3157" i="2"/>
  <c r="B3144" i="2"/>
  <c r="B3138" i="2"/>
  <c r="B3125" i="2"/>
  <c r="B3112" i="2"/>
  <c r="B3106" i="2"/>
  <c r="B3100" i="2"/>
  <c r="B3079" i="2"/>
  <c r="B3066" i="2"/>
  <c r="B3045" i="2"/>
  <c r="B3032" i="2"/>
  <c r="B3019" i="2"/>
  <c r="B3011" i="2"/>
  <c r="B2997" i="2"/>
  <c r="B2967" i="2"/>
  <c r="B2907" i="2"/>
  <c r="B2845" i="2"/>
  <c r="B2783" i="2"/>
  <c r="B2775" i="2"/>
  <c r="B2767" i="2"/>
  <c r="B2736" i="2"/>
  <c r="B2666" i="2"/>
  <c r="B2294" i="2"/>
  <c r="B2286" i="2"/>
  <c r="B2135" i="2"/>
  <c r="B2119" i="2"/>
  <c r="B2087" i="2"/>
  <c r="B1943" i="2"/>
  <c r="B3962" i="2"/>
  <c r="B3946" i="2"/>
  <c r="B3930" i="2"/>
  <c r="B3914" i="2"/>
  <c r="B3898" i="2"/>
  <c r="B3882" i="2"/>
  <c r="B3866" i="2"/>
  <c r="B3850" i="2"/>
  <c r="B3834" i="2"/>
  <c r="B3818" i="2"/>
  <c r="B3802" i="2"/>
  <c r="B3786" i="2"/>
  <c r="B3770" i="2"/>
  <c r="B3754" i="2"/>
  <c r="B3738" i="2"/>
  <c r="B3722" i="2"/>
  <c r="B3706" i="2"/>
  <c r="B3690" i="2"/>
  <c r="B3674" i="2"/>
  <c r="B3658" i="2"/>
  <c r="B3642" i="2"/>
  <c r="B3626" i="2"/>
  <c r="B3610" i="2"/>
  <c r="B3594" i="2"/>
  <c r="B3578" i="2"/>
  <c r="B3562" i="2"/>
  <c r="B3546" i="2"/>
  <c r="B3530" i="2"/>
  <c r="B3514" i="2"/>
  <c r="B3498" i="2"/>
  <c r="B3482" i="2"/>
  <c r="B3466" i="2"/>
  <c r="B3450" i="2"/>
  <c r="B3434" i="2"/>
  <c r="B3418" i="2"/>
  <c r="B3402" i="2"/>
  <c r="B3386" i="2"/>
  <c r="B3370" i="2"/>
  <c r="B3354" i="2"/>
  <c r="B3338" i="2"/>
  <c r="B3322" i="2"/>
  <c r="B3306" i="2"/>
  <c r="B3290" i="2"/>
  <c r="B3274" i="2"/>
  <c r="B3258" i="2"/>
  <c r="B3242" i="2"/>
  <c r="B3226" i="2"/>
  <c r="B3220" i="2"/>
  <c r="B3214" i="2"/>
  <c r="B3201" i="2"/>
  <c r="B3188" i="2"/>
  <c r="B3182" i="2"/>
  <c r="B3169" i="2"/>
  <c r="B3156" i="2"/>
  <c r="B3150" i="2"/>
  <c r="B3137" i="2"/>
  <c r="B3124" i="2"/>
  <c r="B3118" i="2"/>
  <c r="B3105" i="2"/>
  <c r="B3099" i="2"/>
  <c r="B3091" i="2"/>
  <c r="B3052" i="2"/>
  <c r="B3031" i="2"/>
  <c r="B3018" i="2"/>
  <c r="B3004" i="2"/>
  <c r="B2981" i="2"/>
  <c r="B2951" i="2"/>
  <c r="B2890" i="2"/>
  <c r="B2875" i="2"/>
  <c r="B2813" i="2"/>
  <c r="B2751" i="2"/>
  <c r="B2743" i="2"/>
  <c r="B2735" i="2"/>
  <c r="B2704" i="2"/>
  <c r="B2634" i="2"/>
  <c r="B2444" i="2"/>
  <c r="B2166" i="2"/>
  <c r="B2158" i="2"/>
  <c r="B3956" i="2"/>
  <c r="B3940" i="2"/>
  <c r="B3924" i="2"/>
  <c r="B3908" i="2"/>
  <c r="B3892" i="2"/>
  <c r="B3876" i="2"/>
  <c r="B3860" i="2"/>
  <c r="B3844" i="2"/>
  <c r="B3828" i="2"/>
  <c r="B3812" i="2"/>
  <c r="B3796" i="2"/>
  <c r="B3780" i="2"/>
  <c r="B3764" i="2"/>
  <c r="B3748" i="2"/>
  <c r="B3732" i="2"/>
  <c r="B3716" i="2"/>
  <c r="B3700" i="2"/>
  <c r="B3684" i="2"/>
  <c r="B3668" i="2"/>
  <c r="B3652" i="2"/>
  <c r="B3636" i="2"/>
  <c r="B3620" i="2"/>
  <c r="B3604" i="2"/>
  <c r="B3588" i="2"/>
  <c r="B3572" i="2"/>
  <c r="B3556" i="2"/>
  <c r="B3540" i="2"/>
  <c r="B3524" i="2"/>
  <c r="B3508" i="2"/>
  <c r="B3492" i="2"/>
  <c r="B3476" i="2"/>
  <c r="B3460" i="2"/>
  <c r="B3444" i="2"/>
  <c r="B3428" i="2"/>
  <c r="B3412" i="2"/>
  <c r="B3396" i="2"/>
  <c r="B3380" i="2"/>
  <c r="B3364" i="2"/>
  <c r="B3348" i="2"/>
  <c r="B3332" i="2"/>
  <c r="B3316" i="2"/>
  <c r="B3300" i="2"/>
  <c r="B3284" i="2"/>
  <c r="B3268" i="2"/>
  <c r="B3252" i="2"/>
  <c r="B3236" i="2"/>
  <c r="B3213" i="2"/>
  <c r="B3200" i="2"/>
  <c r="B3194" i="2"/>
  <c r="B3181" i="2"/>
  <c r="B3168" i="2"/>
  <c r="B3162" i="2"/>
  <c r="B3149" i="2"/>
  <c r="B3136" i="2"/>
  <c r="B3130" i="2"/>
  <c r="B3117" i="2"/>
  <c r="B3104" i="2"/>
  <c r="B3098" i="2"/>
  <c r="B3077" i="2"/>
  <c r="B3064" i="2"/>
  <c r="B3051" i="2"/>
  <c r="B3043" i="2"/>
  <c r="B3003" i="2"/>
  <c r="B2995" i="2"/>
  <c r="B2988" i="2"/>
  <c r="B2965" i="2"/>
  <c r="B2935" i="2"/>
  <c r="B2858" i="2"/>
  <c r="B2843" i="2"/>
  <c r="B2781" i="2"/>
  <c r="B2719" i="2"/>
  <c r="B2711" i="2"/>
  <c r="B2703" i="2"/>
  <c r="B2672" i="2"/>
  <c r="B2467" i="2"/>
  <c r="B2316" i="2"/>
  <c r="B3662" i="2"/>
  <c r="B3646" i="2"/>
  <c r="B3630" i="2"/>
  <c r="B3614" i="2"/>
  <c r="B3598" i="2"/>
  <c r="B3582" i="2"/>
  <c r="B3566" i="2"/>
  <c r="B3550" i="2"/>
  <c r="B3534" i="2"/>
  <c r="B3518" i="2"/>
  <c r="B3502" i="2"/>
  <c r="B3486" i="2"/>
  <c r="B3470" i="2"/>
  <c r="B3454" i="2"/>
  <c r="B3438" i="2"/>
  <c r="B3422" i="2"/>
  <c r="B3406" i="2"/>
  <c r="B3390" i="2"/>
  <c r="B3374" i="2"/>
  <c r="B3358" i="2"/>
  <c r="B3342" i="2"/>
  <c r="B3326" i="2"/>
  <c r="B3310" i="2"/>
  <c r="B3294" i="2"/>
  <c r="B3278" i="2"/>
  <c r="B3262" i="2"/>
  <c r="B3246" i="2"/>
  <c r="B3230" i="2"/>
  <c r="B3212" i="2"/>
  <c r="B3206" i="2"/>
  <c r="B3193" i="2"/>
  <c r="B3180" i="2"/>
  <c r="B3174" i="2"/>
  <c r="B3161" i="2"/>
  <c r="B3148" i="2"/>
  <c r="B3142" i="2"/>
  <c r="B3129" i="2"/>
  <c r="B3116" i="2"/>
  <c r="B3110" i="2"/>
  <c r="B3084" i="2"/>
  <c r="B3063" i="2"/>
  <c r="B3050" i="2"/>
  <c r="B3029" i="2"/>
  <c r="B3016" i="2"/>
  <c r="B3002" i="2"/>
  <c r="B2987" i="2"/>
  <c r="B2979" i="2"/>
  <c r="B2972" i="2"/>
  <c r="B2949" i="2"/>
  <c r="B2919" i="2"/>
  <c r="B2896" i="2"/>
  <c r="B2826" i="2"/>
  <c r="B2811" i="2"/>
  <c r="B2749" i="2"/>
  <c r="B2640" i="2"/>
  <c r="B2482" i="2"/>
  <c r="B2474" i="2"/>
  <c r="B2339" i="2"/>
  <c r="B2196" i="2"/>
  <c r="B2188" i="2"/>
  <c r="B3960" i="2"/>
  <c r="B3944" i="2"/>
  <c r="B3928" i="2"/>
  <c r="B3912" i="2"/>
  <c r="B3896" i="2"/>
  <c r="B3880" i="2"/>
  <c r="B3864" i="2"/>
  <c r="B3848" i="2"/>
  <c r="B3832" i="2"/>
  <c r="B3816" i="2"/>
  <c r="B3800" i="2"/>
  <c r="B3784" i="2"/>
  <c r="B3768" i="2"/>
  <c r="B3752" i="2"/>
  <c r="B3736" i="2"/>
  <c r="B3720" i="2"/>
  <c r="B3704" i="2"/>
  <c r="B3688" i="2"/>
  <c r="B3672" i="2"/>
  <c r="B3656" i="2"/>
  <c r="B3640" i="2"/>
  <c r="B3624" i="2"/>
  <c r="B3608" i="2"/>
  <c r="B3592" i="2"/>
  <c r="B3576" i="2"/>
  <c r="B3560" i="2"/>
  <c r="B3544" i="2"/>
  <c r="B3528" i="2"/>
  <c r="B3512" i="2"/>
  <c r="B3496" i="2"/>
  <c r="B3480" i="2"/>
  <c r="B3464" i="2"/>
  <c r="B3448" i="2"/>
  <c r="B3432" i="2"/>
  <c r="B3416" i="2"/>
  <c r="B3400" i="2"/>
  <c r="B3384" i="2"/>
  <c r="B3368" i="2"/>
  <c r="B3352" i="2"/>
  <c r="B3336" i="2"/>
  <c r="B3320" i="2"/>
  <c r="B3304" i="2"/>
  <c r="B3288" i="2"/>
  <c r="B3272" i="2"/>
  <c r="B3256" i="2"/>
  <c r="B3240" i="2"/>
  <c r="B3224" i="2"/>
  <c r="B3218" i="2"/>
  <c r="B3205" i="2"/>
  <c r="B3192" i="2"/>
  <c r="B3186" i="2"/>
  <c r="B3173" i="2"/>
  <c r="B3160" i="2"/>
  <c r="B3154" i="2"/>
  <c r="B3141" i="2"/>
  <c r="B3128" i="2"/>
  <c r="B3122" i="2"/>
  <c r="B3109" i="2"/>
  <c r="B3096" i="2"/>
  <c r="B3083" i="2"/>
  <c r="B3075" i="2"/>
  <c r="B3036" i="2"/>
  <c r="B3015" i="2"/>
  <c r="B2971" i="2"/>
  <c r="B2963" i="2"/>
  <c r="B2956" i="2"/>
  <c r="B2933" i="2"/>
  <c r="B2903" i="2"/>
  <c r="B2895" i="2"/>
  <c r="B2864" i="2"/>
  <c r="B2794" i="2"/>
  <c r="B2779" i="2"/>
  <c r="B2717" i="2"/>
  <c r="B2608" i="2"/>
  <c r="B2600" i="2"/>
  <c r="B2592" i="2"/>
  <c r="B2584" i="2"/>
  <c r="B2576" i="2"/>
  <c r="B2568" i="2"/>
  <c r="B2560" i="2"/>
  <c r="B2552" i="2"/>
  <c r="B2544" i="2"/>
  <c r="B2536" i="2"/>
  <c r="B2528" i="2"/>
  <c r="B2520" i="2"/>
  <c r="B2512" i="2"/>
  <c r="B2354" i="2"/>
  <c r="B2346" i="2"/>
  <c r="B2211" i="2"/>
  <c r="B3666" i="2"/>
  <c r="B3650" i="2"/>
  <c r="B3634" i="2"/>
  <c r="B3618" i="2"/>
  <c r="B3602" i="2"/>
  <c r="B3586" i="2"/>
  <c r="B3570" i="2"/>
  <c r="B3554" i="2"/>
  <c r="B3538" i="2"/>
  <c r="B3522" i="2"/>
  <c r="B3506" i="2"/>
  <c r="B3490" i="2"/>
  <c r="B3474" i="2"/>
  <c r="B3458" i="2"/>
  <c r="B3442" i="2"/>
  <c r="B3426" i="2"/>
  <c r="B3410" i="2"/>
  <c r="B3394" i="2"/>
  <c r="B3378" i="2"/>
  <c r="B3362" i="2"/>
  <c r="B3346" i="2"/>
  <c r="B3330" i="2"/>
  <c r="B3314" i="2"/>
  <c r="B3298" i="2"/>
  <c r="B3282" i="2"/>
  <c r="B3266" i="2"/>
  <c r="B3250" i="2"/>
  <c r="B3234" i="2"/>
  <c r="B3217" i="2"/>
  <c r="B3204" i="2"/>
  <c r="B3198" i="2"/>
  <c r="B3185" i="2"/>
  <c r="B3172" i="2"/>
  <c r="B3166" i="2"/>
  <c r="B3153" i="2"/>
  <c r="B3140" i="2"/>
  <c r="B3134" i="2"/>
  <c r="B3121" i="2"/>
  <c r="B3108" i="2"/>
  <c r="B3095" i="2"/>
  <c r="B3082" i="2"/>
  <c r="B3061" i="2"/>
  <c r="B3048" i="2"/>
  <c r="B3035" i="2"/>
  <c r="B3027" i="2"/>
  <c r="B2955" i="2"/>
  <c r="B2947" i="2"/>
  <c r="B2940" i="2"/>
  <c r="B2917" i="2"/>
  <c r="B2879" i="2"/>
  <c r="B2871" i="2"/>
  <c r="B2863" i="2"/>
  <c r="B2832" i="2"/>
  <c r="B2762" i="2"/>
  <c r="B2747" i="2"/>
  <c r="B2685" i="2"/>
  <c r="B2226" i="2"/>
  <c r="B2218" i="2"/>
  <c r="B3948" i="2"/>
  <c r="B3932" i="2"/>
  <c r="B3916" i="2"/>
  <c r="B3900" i="2"/>
  <c r="B3884" i="2"/>
  <c r="B3868" i="2"/>
  <c r="B3852" i="2"/>
  <c r="B3836" i="2"/>
  <c r="B3820" i="2"/>
  <c r="B3804" i="2"/>
  <c r="B3788" i="2"/>
  <c r="B3772" i="2"/>
  <c r="B3756" i="2"/>
  <c r="B3740" i="2"/>
  <c r="B3724" i="2"/>
  <c r="B3708" i="2"/>
  <c r="B3692" i="2"/>
  <c r="B3676" i="2"/>
  <c r="B3660" i="2"/>
  <c r="B3644" i="2"/>
  <c r="B3628" i="2"/>
  <c r="B3612" i="2"/>
  <c r="B3596" i="2"/>
  <c r="B3580" i="2"/>
  <c r="B3564" i="2"/>
  <c r="B3548" i="2"/>
  <c r="B3532" i="2"/>
  <c r="B3516" i="2"/>
  <c r="B3500" i="2"/>
  <c r="B3484" i="2"/>
  <c r="B3468" i="2"/>
  <c r="B3452" i="2"/>
  <c r="B3436" i="2"/>
  <c r="B3420" i="2"/>
  <c r="B3404" i="2"/>
  <c r="B3388" i="2"/>
  <c r="B3372" i="2"/>
  <c r="B3356" i="2"/>
  <c r="B3340" i="2"/>
  <c r="B3324" i="2"/>
  <c r="B3308" i="2"/>
  <c r="B3292" i="2"/>
  <c r="B3276" i="2"/>
  <c r="B3260" i="2"/>
  <c r="B3244" i="2"/>
  <c r="B3228" i="2"/>
  <c r="B3216" i="2"/>
  <c r="B3210" i="2"/>
  <c r="B3197" i="2"/>
  <c r="B3184" i="2"/>
  <c r="B3178" i="2"/>
  <c r="B3165" i="2"/>
  <c r="B3152" i="2"/>
  <c r="B3146" i="2"/>
  <c r="B3133" i="2"/>
  <c r="B3120" i="2"/>
  <c r="B3114" i="2"/>
  <c r="B3068" i="2"/>
  <c r="B3047" i="2"/>
  <c r="B3034" i="2"/>
  <c r="B3013" i="2"/>
  <c r="B2999" i="2"/>
  <c r="B2939" i="2"/>
  <c r="B2931" i="2"/>
  <c r="B2924" i="2"/>
  <c r="B2847" i="2"/>
  <c r="B2839" i="2"/>
  <c r="B2831" i="2"/>
  <c r="B2800" i="2"/>
  <c r="B2730" i="2"/>
  <c r="B2715" i="2"/>
  <c r="B2653" i="2"/>
  <c r="B3094" i="2"/>
  <c r="B3078" i="2"/>
  <c r="B3062" i="2"/>
  <c r="B3046" i="2"/>
  <c r="B3030" i="2"/>
  <c r="B3014" i="2"/>
  <c r="B2998" i="2"/>
  <c r="B2982" i="2"/>
  <c r="B2966" i="2"/>
  <c r="B2950" i="2"/>
  <c r="B2934" i="2"/>
  <c r="B2918" i="2"/>
  <c r="B2902" i="2"/>
  <c r="B2889" i="2"/>
  <c r="B2876" i="2"/>
  <c r="B2870" i="2"/>
  <c r="B2857" i="2"/>
  <c r="B2844" i="2"/>
  <c r="B2838" i="2"/>
  <c r="B2825" i="2"/>
  <c r="B2812" i="2"/>
  <c r="B2806" i="2"/>
  <c r="B2793" i="2"/>
  <c r="B2780" i="2"/>
  <c r="B2774" i="2"/>
  <c r="B2761" i="2"/>
  <c r="B2748" i="2"/>
  <c r="B2742" i="2"/>
  <c r="B2729" i="2"/>
  <c r="B2716" i="2"/>
  <c r="B2710" i="2"/>
  <c r="B2697" i="2"/>
  <c r="B2684" i="2"/>
  <c r="B2678" i="2"/>
  <c r="B2665" i="2"/>
  <c r="B2652" i="2"/>
  <c r="B2646" i="2"/>
  <c r="B2633" i="2"/>
  <c r="B2620" i="2"/>
  <c r="B2614" i="2"/>
  <c r="B2466" i="2"/>
  <c r="B2458" i="2"/>
  <c r="B2451" i="2"/>
  <c r="B2428" i="2"/>
  <c r="B2398" i="2"/>
  <c r="B2338" i="2"/>
  <c r="B2330" i="2"/>
  <c r="B2323" i="2"/>
  <c r="B2300" i="2"/>
  <c r="B2278" i="2"/>
  <c r="B2270" i="2"/>
  <c r="B2210" i="2"/>
  <c r="B2202" i="2"/>
  <c r="B2195" i="2"/>
  <c r="B2180" i="2"/>
  <c r="B2172" i="2"/>
  <c r="B2142" i="2"/>
  <c r="B2094" i="2"/>
  <c r="B2030" i="2"/>
  <c r="B3088" i="2"/>
  <c r="B3072" i="2"/>
  <c r="B3056" i="2"/>
  <c r="B3040" i="2"/>
  <c r="B3024" i="2"/>
  <c r="B3008" i="2"/>
  <c r="B2992" i="2"/>
  <c r="B2976" i="2"/>
  <c r="B2960" i="2"/>
  <c r="B2944" i="2"/>
  <c r="B2928" i="2"/>
  <c r="B2912" i="2"/>
  <c r="B2901" i="2"/>
  <c r="B2888" i="2"/>
  <c r="B2882" i="2"/>
  <c r="B2869" i="2"/>
  <c r="B2856" i="2"/>
  <c r="B2850" i="2"/>
  <c r="B2837" i="2"/>
  <c r="B2824" i="2"/>
  <c r="B2818" i="2"/>
  <c r="B2805" i="2"/>
  <c r="B2792" i="2"/>
  <c r="B2786" i="2"/>
  <c r="B2773" i="2"/>
  <c r="B2760" i="2"/>
  <c r="B2754" i="2"/>
  <c r="B2741" i="2"/>
  <c r="B2728" i="2"/>
  <c r="B2722" i="2"/>
  <c r="B2709" i="2"/>
  <c r="B2696" i="2"/>
  <c r="B2690" i="2"/>
  <c r="B2677" i="2"/>
  <c r="B2664" i="2"/>
  <c r="B2658" i="2"/>
  <c r="B2645" i="2"/>
  <c r="B2632" i="2"/>
  <c r="B2626" i="2"/>
  <c r="B2613" i="2"/>
  <c r="B2606" i="2"/>
  <c r="B2598" i="2"/>
  <c r="B2590" i="2"/>
  <c r="B2582" i="2"/>
  <c r="B2574" i="2"/>
  <c r="B2566" i="2"/>
  <c r="B2558" i="2"/>
  <c r="B2550" i="2"/>
  <c r="B2542" i="2"/>
  <c r="B2534" i="2"/>
  <c r="B2526" i="2"/>
  <c r="B2518" i="2"/>
  <c r="B2510" i="2"/>
  <c r="B2450" i="2"/>
  <c r="B2442" i="2"/>
  <c r="B2435" i="2"/>
  <c r="B2412" i="2"/>
  <c r="B2382" i="2"/>
  <c r="B2322" i="2"/>
  <c r="B2314" i="2"/>
  <c r="B2307" i="2"/>
  <c r="B2284" i="2"/>
  <c r="B2262" i="2"/>
  <c r="B2254" i="2"/>
  <c r="B2194" i="2"/>
  <c r="B2186" i="2"/>
  <c r="B2179" i="2"/>
  <c r="B2164" i="2"/>
  <c r="B2156" i="2"/>
  <c r="B2986" i="2"/>
  <c r="B2970" i="2"/>
  <c r="B2954" i="2"/>
  <c r="B2938" i="2"/>
  <c r="B2922" i="2"/>
  <c r="B2906" i="2"/>
  <c r="B2900" i="2"/>
  <c r="B2894" i="2"/>
  <c r="B2881" i="2"/>
  <c r="B2868" i="2"/>
  <c r="B2862" i="2"/>
  <c r="B2849" i="2"/>
  <c r="B2836" i="2"/>
  <c r="B2830" i="2"/>
  <c r="B2817" i="2"/>
  <c r="B2804" i="2"/>
  <c r="B2798" i="2"/>
  <c r="B2785" i="2"/>
  <c r="B2772" i="2"/>
  <c r="B2766" i="2"/>
  <c r="B2753" i="2"/>
  <c r="B2740" i="2"/>
  <c r="B2734" i="2"/>
  <c r="B2721" i="2"/>
  <c r="B2708" i="2"/>
  <c r="B2702" i="2"/>
  <c r="B2689" i="2"/>
  <c r="B2676" i="2"/>
  <c r="B2670" i="2"/>
  <c r="B2657" i="2"/>
  <c r="B2644" i="2"/>
  <c r="B2638" i="2"/>
  <c r="B2625" i="2"/>
  <c r="B2612" i="2"/>
  <c r="B2605" i="2"/>
  <c r="B2597" i="2"/>
  <c r="B2589" i="2"/>
  <c r="B2581" i="2"/>
  <c r="B2573" i="2"/>
  <c r="B2565" i="2"/>
  <c r="B2557" i="2"/>
  <c r="B2549" i="2"/>
  <c r="B2541" i="2"/>
  <c r="B2533" i="2"/>
  <c r="B2525" i="2"/>
  <c r="B2517" i="2"/>
  <c r="B2509" i="2"/>
  <c r="B2494" i="2"/>
  <c r="B2434" i="2"/>
  <c r="B2426" i="2"/>
  <c r="B2419" i="2"/>
  <c r="B2396" i="2"/>
  <c r="B2366" i="2"/>
  <c r="B2306" i="2"/>
  <c r="B2298" i="2"/>
  <c r="B2291" i="2"/>
  <c r="B2268" i="2"/>
  <c r="B2246" i="2"/>
  <c r="B2238" i="2"/>
  <c r="B2178" i="2"/>
  <c r="B2170" i="2"/>
  <c r="B2163" i="2"/>
  <c r="B2148" i="2"/>
  <c r="B2140" i="2"/>
  <c r="B2108" i="2"/>
  <c r="B2100" i="2"/>
  <c r="B1972" i="2"/>
  <c r="B1964" i="2"/>
  <c r="B3092" i="2"/>
  <c r="B3076" i="2"/>
  <c r="B3060" i="2"/>
  <c r="B3044" i="2"/>
  <c r="B3028" i="2"/>
  <c r="B3012" i="2"/>
  <c r="B2996" i="2"/>
  <c r="B2980" i="2"/>
  <c r="B2964" i="2"/>
  <c r="B2948" i="2"/>
  <c r="B2932" i="2"/>
  <c r="B2916" i="2"/>
  <c r="B2893" i="2"/>
  <c r="B2880" i="2"/>
  <c r="B2874" i="2"/>
  <c r="B2861" i="2"/>
  <c r="B2848" i="2"/>
  <c r="B2842" i="2"/>
  <c r="B2829" i="2"/>
  <c r="B2816" i="2"/>
  <c r="B2810" i="2"/>
  <c r="B2797" i="2"/>
  <c r="B2784" i="2"/>
  <c r="B2778" i="2"/>
  <c r="B2765" i="2"/>
  <c r="B2752" i="2"/>
  <c r="B2746" i="2"/>
  <c r="B2733" i="2"/>
  <c r="B2720" i="2"/>
  <c r="B2714" i="2"/>
  <c r="B2701" i="2"/>
  <c r="B2688" i="2"/>
  <c r="B2682" i="2"/>
  <c r="B2669" i="2"/>
  <c r="B2656" i="2"/>
  <c r="B2650" i="2"/>
  <c r="B2637" i="2"/>
  <c r="B2624" i="2"/>
  <c r="B2618" i="2"/>
  <c r="B2604" i="2"/>
  <c r="B2596" i="2"/>
  <c r="B2588" i="2"/>
  <c r="B2580" i="2"/>
  <c r="B2572" i="2"/>
  <c r="B2564" i="2"/>
  <c r="B2556" i="2"/>
  <c r="B2548" i="2"/>
  <c r="B2540" i="2"/>
  <c r="B2532" i="2"/>
  <c r="B2524" i="2"/>
  <c r="B2516" i="2"/>
  <c r="B2508" i="2"/>
  <c r="B2478" i="2"/>
  <c r="B2418" i="2"/>
  <c r="B2410" i="2"/>
  <c r="B2403" i="2"/>
  <c r="B2380" i="2"/>
  <c r="B2350" i="2"/>
  <c r="B2290" i="2"/>
  <c r="B2282" i="2"/>
  <c r="B2275" i="2"/>
  <c r="B2252" i="2"/>
  <c r="B2230" i="2"/>
  <c r="B2222" i="2"/>
  <c r="B2162" i="2"/>
  <c r="B2154" i="2"/>
  <c r="B2147" i="2"/>
  <c r="B2115" i="2"/>
  <c r="B2099" i="2"/>
  <c r="B2067" i="2"/>
  <c r="B2059" i="2"/>
  <c r="B2051" i="2"/>
  <c r="B1669" i="2"/>
  <c r="B3102" i="2"/>
  <c r="B3086" i="2"/>
  <c r="B3070" i="2"/>
  <c r="B3054" i="2"/>
  <c r="B3038" i="2"/>
  <c r="B3022" i="2"/>
  <c r="B3006" i="2"/>
  <c r="B2990" i="2"/>
  <c r="B2974" i="2"/>
  <c r="B2958" i="2"/>
  <c r="B2942" i="2"/>
  <c r="B2926" i="2"/>
  <c r="B2910" i="2"/>
  <c r="B2892" i="2"/>
  <c r="B2886" i="2"/>
  <c r="B2873" i="2"/>
  <c r="B2860" i="2"/>
  <c r="B2854" i="2"/>
  <c r="B2841" i="2"/>
  <c r="B2828" i="2"/>
  <c r="B2822" i="2"/>
  <c r="B2809" i="2"/>
  <c r="B2796" i="2"/>
  <c r="B2790" i="2"/>
  <c r="B2777" i="2"/>
  <c r="B2764" i="2"/>
  <c r="B2758" i="2"/>
  <c r="B2745" i="2"/>
  <c r="B2732" i="2"/>
  <c r="B2726" i="2"/>
  <c r="B2713" i="2"/>
  <c r="B2700" i="2"/>
  <c r="B2694" i="2"/>
  <c r="B2681" i="2"/>
  <c r="B2668" i="2"/>
  <c r="B2662" i="2"/>
  <c r="B2649" i="2"/>
  <c r="B2636" i="2"/>
  <c r="B2630" i="2"/>
  <c r="B2617" i="2"/>
  <c r="B2492" i="2"/>
  <c r="B2462" i="2"/>
  <c r="B2402" i="2"/>
  <c r="B2394" i="2"/>
  <c r="B2387" i="2"/>
  <c r="B2364" i="2"/>
  <c r="B2334" i="2"/>
  <c r="B2274" i="2"/>
  <c r="B2266" i="2"/>
  <c r="B2259" i="2"/>
  <c r="B2236" i="2"/>
  <c r="B2214" i="2"/>
  <c r="B2206" i="2"/>
  <c r="B2146" i="2"/>
  <c r="B1819" i="2"/>
  <c r="B1811" i="2"/>
  <c r="B1803" i="2"/>
  <c r="B3000" i="2"/>
  <c r="B2984" i="2"/>
  <c r="B2968" i="2"/>
  <c r="B2952" i="2"/>
  <c r="B2936" i="2"/>
  <c r="B2920" i="2"/>
  <c r="B2904" i="2"/>
  <c r="B2898" i="2"/>
  <c r="B2885" i="2"/>
  <c r="B2872" i="2"/>
  <c r="B2866" i="2"/>
  <c r="B2853" i="2"/>
  <c r="B2840" i="2"/>
  <c r="B2834" i="2"/>
  <c r="B2821" i="2"/>
  <c r="B2808" i="2"/>
  <c r="B2802" i="2"/>
  <c r="B2789" i="2"/>
  <c r="B2776" i="2"/>
  <c r="B2770" i="2"/>
  <c r="B2757" i="2"/>
  <c r="B2744" i="2"/>
  <c r="B2738" i="2"/>
  <c r="B2725" i="2"/>
  <c r="B2712" i="2"/>
  <c r="B2706" i="2"/>
  <c r="B2693" i="2"/>
  <c r="B2680" i="2"/>
  <c r="B2674" i="2"/>
  <c r="B2661" i="2"/>
  <c r="B2648" i="2"/>
  <c r="B2642" i="2"/>
  <c r="B2629" i="2"/>
  <c r="B2616" i="2"/>
  <c r="B2610" i="2"/>
  <c r="B2602" i="2"/>
  <c r="B2594" i="2"/>
  <c r="B2586" i="2"/>
  <c r="B2578" i="2"/>
  <c r="B2570" i="2"/>
  <c r="B2562" i="2"/>
  <c r="B2554" i="2"/>
  <c r="B2546" i="2"/>
  <c r="B2538" i="2"/>
  <c r="B2530" i="2"/>
  <c r="B2522" i="2"/>
  <c r="B2514" i="2"/>
  <c r="B2506" i="2"/>
  <c r="B2499" i="2"/>
  <c r="B2476" i="2"/>
  <c r="B2446" i="2"/>
  <c r="B2386" i="2"/>
  <c r="B2378" i="2"/>
  <c r="B2371" i="2"/>
  <c r="B2348" i="2"/>
  <c r="B2318" i="2"/>
  <c r="B2258" i="2"/>
  <c r="B2250" i="2"/>
  <c r="B2243" i="2"/>
  <c r="B2228" i="2"/>
  <c r="B2220" i="2"/>
  <c r="B2198" i="2"/>
  <c r="B2190" i="2"/>
  <c r="B2121" i="2"/>
  <c r="B2073" i="2"/>
  <c r="B2009" i="2"/>
  <c r="B3090" i="2"/>
  <c r="B3074" i="2"/>
  <c r="B3058" i="2"/>
  <c r="B3042" i="2"/>
  <c r="B3026" i="2"/>
  <c r="B3010" i="2"/>
  <c r="B2994" i="2"/>
  <c r="B2978" i="2"/>
  <c r="B2962" i="2"/>
  <c r="B2946" i="2"/>
  <c r="B2930" i="2"/>
  <c r="B2914" i="2"/>
  <c r="B2897" i="2"/>
  <c r="B2884" i="2"/>
  <c r="B2878" i="2"/>
  <c r="B2865" i="2"/>
  <c r="B2852" i="2"/>
  <c r="B2846" i="2"/>
  <c r="B2833" i="2"/>
  <c r="B2820" i="2"/>
  <c r="B2814" i="2"/>
  <c r="B2801" i="2"/>
  <c r="B2788" i="2"/>
  <c r="B2782" i="2"/>
  <c r="B2769" i="2"/>
  <c r="B2756" i="2"/>
  <c r="B2750" i="2"/>
  <c r="B2737" i="2"/>
  <c r="B2724" i="2"/>
  <c r="B2718" i="2"/>
  <c r="B2705" i="2"/>
  <c r="B2692" i="2"/>
  <c r="B2686" i="2"/>
  <c r="B2673" i="2"/>
  <c r="B2660" i="2"/>
  <c r="B2654" i="2"/>
  <c r="B2641" i="2"/>
  <c r="B2628" i="2"/>
  <c r="B2622" i="2"/>
  <c r="B2609" i="2"/>
  <c r="B2601" i="2"/>
  <c r="B2593" i="2"/>
  <c r="B2585" i="2"/>
  <c r="B2577" i="2"/>
  <c r="B2569" i="2"/>
  <c r="B2561" i="2"/>
  <c r="B2553" i="2"/>
  <c r="B2545" i="2"/>
  <c r="B2537" i="2"/>
  <c r="B2529" i="2"/>
  <c r="B2521" i="2"/>
  <c r="B2513" i="2"/>
  <c r="B2498" i="2"/>
  <c r="B2490" i="2"/>
  <c r="B2483" i="2"/>
  <c r="B2460" i="2"/>
  <c r="B2430" i="2"/>
  <c r="B2370" i="2"/>
  <c r="B2362" i="2"/>
  <c r="B2355" i="2"/>
  <c r="B2332" i="2"/>
  <c r="B2302" i="2"/>
  <c r="B2242" i="2"/>
  <c r="B2234" i="2"/>
  <c r="B2227" i="2"/>
  <c r="B2212" i="2"/>
  <c r="B2204" i="2"/>
  <c r="B2182" i="2"/>
  <c r="B2174" i="2"/>
  <c r="B2128" i="2"/>
  <c r="B2080" i="2"/>
  <c r="B1881" i="2"/>
  <c r="B2493" i="2"/>
  <c r="B2477" i="2"/>
  <c r="B2461" i="2"/>
  <c r="B2445" i="2"/>
  <c r="B2429" i="2"/>
  <c r="B2413" i="2"/>
  <c r="B2397" i="2"/>
  <c r="B2381" i="2"/>
  <c r="B2365" i="2"/>
  <c r="B2349" i="2"/>
  <c r="B2333" i="2"/>
  <c r="B2317" i="2"/>
  <c r="B2301" i="2"/>
  <c r="B2285" i="2"/>
  <c r="B2269" i="2"/>
  <c r="B2253" i="2"/>
  <c r="B2237" i="2"/>
  <c r="B2221" i="2"/>
  <c r="B2205" i="2"/>
  <c r="B2189" i="2"/>
  <c r="B2173" i="2"/>
  <c r="B2157" i="2"/>
  <c r="B2141" i="2"/>
  <c r="B2134" i="2"/>
  <c r="B2107" i="2"/>
  <c r="B2093" i="2"/>
  <c r="B2086" i="2"/>
  <c r="B2058" i="2"/>
  <c r="B2045" i="2"/>
  <c r="B2022" i="2"/>
  <c r="B2000" i="2"/>
  <c r="B1979" i="2"/>
  <c r="B1971" i="2"/>
  <c r="B1963" i="2"/>
  <c r="B1926" i="2"/>
  <c r="B1911" i="2"/>
  <c r="B1849" i="2"/>
  <c r="B1714" i="2"/>
  <c r="B1637" i="2"/>
  <c r="B1566" i="2"/>
  <c r="B1232" i="2"/>
  <c r="B1224" i="2"/>
  <c r="B2503" i="2"/>
  <c r="B2487" i="2"/>
  <c r="B2471" i="2"/>
  <c r="B2455" i="2"/>
  <c r="B2439" i="2"/>
  <c r="B2423" i="2"/>
  <c r="B2407" i="2"/>
  <c r="B2391" i="2"/>
  <c r="B2375" i="2"/>
  <c r="B2359" i="2"/>
  <c r="B2343" i="2"/>
  <c r="B2327" i="2"/>
  <c r="B2311" i="2"/>
  <c r="B2295" i="2"/>
  <c r="B2279" i="2"/>
  <c r="B2263" i="2"/>
  <c r="B2247" i="2"/>
  <c r="B2231" i="2"/>
  <c r="B2215" i="2"/>
  <c r="B2199" i="2"/>
  <c r="B2183" i="2"/>
  <c r="B2167" i="2"/>
  <c r="B2151" i="2"/>
  <c r="B2113" i="2"/>
  <c r="B2106" i="2"/>
  <c r="B2092" i="2"/>
  <c r="B2071" i="2"/>
  <c r="B2064" i="2"/>
  <c r="B2057" i="2"/>
  <c r="B2036" i="2"/>
  <c r="B2028" i="2"/>
  <c r="B2007" i="2"/>
  <c r="B1985" i="2"/>
  <c r="B1962" i="2"/>
  <c r="B1894" i="2"/>
  <c r="B1879" i="2"/>
  <c r="B1817" i="2"/>
  <c r="B1745" i="2"/>
  <c r="B1682" i="2"/>
  <c r="B1581" i="2"/>
  <c r="B1573" i="2"/>
  <c r="B1438" i="2"/>
  <c r="B2497" i="2"/>
  <c r="B2481" i="2"/>
  <c r="B2465" i="2"/>
  <c r="B2449" i="2"/>
  <c r="B2433" i="2"/>
  <c r="B2417" i="2"/>
  <c r="B2401" i="2"/>
  <c r="B2385" i="2"/>
  <c r="B2369" i="2"/>
  <c r="B2353" i="2"/>
  <c r="B2337" i="2"/>
  <c r="B2321" i="2"/>
  <c r="B2305" i="2"/>
  <c r="B2289" i="2"/>
  <c r="B2273" i="2"/>
  <c r="B2257" i="2"/>
  <c r="B2241" i="2"/>
  <c r="B2225" i="2"/>
  <c r="B2209" i="2"/>
  <c r="B2193" i="2"/>
  <c r="B2177" i="2"/>
  <c r="B2161" i="2"/>
  <c r="B2145" i="2"/>
  <c r="B2132" i="2"/>
  <c r="B2126" i="2"/>
  <c r="B2112" i="2"/>
  <c r="B2105" i="2"/>
  <c r="B2091" i="2"/>
  <c r="B2070" i="2"/>
  <c r="B2043" i="2"/>
  <c r="B2035" i="2"/>
  <c r="B2027" i="2"/>
  <c r="B1998" i="2"/>
  <c r="B1977" i="2"/>
  <c r="B1932" i="2"/>
  <c r="B1862" i="2"/>
  <c r="B1847" i="2"/>
  <c r="B1650" i="2"/>
  <c r="B1453" i="2"/>
  <c r="B1445" i="2"/>
  <c r="B1310" i="2"/>
  <c r="B2491" i="2"/>
  <c r="B2475" i="2"/>
  <c r="B2459" i="2"/>
  <c r="B2443" i="2"/>
  <c r="B2427" i="2"/>
  <c r="B2411" i="2"/>
  <c r="B2395" i="2"/>
  <c r="B2379" i="2"/>
  <c r="B2363" i="2"/>
  <c r="B2347" i="2"/>
  <c r="B2331" i="2"/>
  <c r="B2315" i="2"/>
  <c r="B2299" i="2"/>
  <c r="B2283" i="2"/>
  <c r="B2267" i="2"/>
  <c r="B2251" i="2"/>
  <c r="B2235" i="2"/>
  <c r="B2219" i="2"/>
  <c r="B2203" i="2"/>
  <c r="B2187" i="2"/>
  <c r="B2171" i="2"/>
  <c r="B2155" i="2"/>
  <c r="B2139" i="2"/>
  <c r="B2125" i="2"/>
  <c r="B2118" i="2"/>
  <c r="B2090" i="2"/>
  <c r="B2077" i="2"/>
  <c r="B2049" i="2"/>
  <c r="B2026" i="2"/>
  <c r="B2013" i="2"/>
  <c r="B1990" i="2"/>
  <c r="B1968" i="2"/>
  <c r="B1947" i="2"/>
  <c r="B1939" i="2"/>
  <c r="B1931" i="2"/>
  <c r="B1900" i="2"/>
  <c r="B1830" i="2"/>
  <c r="B1815" i="2"/>
  <c r="B1325" i="2"/>
  <c r="B1317" i="2"/>
  <c r="B2501" i="2"/>
  <c r="B2485" i="2"/>
  <c r="B2469" i="2"/>
  <c r="B2453" i="2"/>
  <c r="B2437" i="2"/>
  <c r="B2421" i="2"/>
  <c r="B2405" i="2"/>
  <c r="B2389" i="2"/>
  <c r="B2373" i="2"/>
  <c r="B2357" i="2"/>
  <c r="B2341" i="2"/>
  <c r="B2325" i="2"/>
  <c r="B2309" i="2"/>
  <c r="B2293" i="2"/>
  <c r="B2277" i="2"/>
  <c r="B2261" i="2"/>
  <c r="B2245" i="2"/>
  <c r="B2229" i="2"/>
  <c r="B2213" i="2"/>
  <c r="B2197" i="2"/>
  <c r="B2181" i="2"/>
  <c r="B2165" i="2"/>
  <c r="B2149" i="2"/>
  <c r="B2138" i="2"/>
  <c r="B2124" i="2"/>
  <c r="B2103" i="2"/>
  <c r="B2096" i="2"/>
  <c r="B2089" i="2"/>
  <c r="B2076" i="2"/>
  <c r="B2068" i="2"/>
  <c r="B2062" i="2"/>
  <c r="B2048" i="2"/>
  <c r="B2041" i="2"/>
  <c r="B2004" i="2"/>
  <c r="B1996" i="2"/>
  <c r="B1975" i="2"/>
  <c r="B1915" i="2"/>
  <c r="B1907" i="2"/>
  <c r="B1899" i="2"/>
  <c r="B1868" i="2"/>
  <c r="B1798" i="2"/>
  <c r="B1790" i="2"/>
  <c r="B1782" i="2"/>
  <c r="B1774" i="2"/>
  <c r="B1766" i="2"/>
  <c r="B1758" i="2"/>
  <c r="B1610" i="2"/>
  <c r="B2495" i="2"/>
  <c r="B2479" i="2"/>
  <c r="B2463" i="2"/>
  <c r="B2447" i="2"/>
  <c r="B2431" i="2"/>
  <c r="B2415" i="2"/>
  <c r="B2399" i="2"/>
  <c r="B2383" i="2"/>
  <c r="B2367" i="2"/>
  <c r="B2351" i="2"/>
  <c r="B2335" i="2"/>
  <c r="B2319" i="2"/>
  <c r="B2303" i="2"/>
  <c r="B2287" i="2"/>
  <c r="B2271" i="2"/>
  <c r="B2255" i="2"/>
  <c r="B2239" i="2"/>
  <c r="B2223" i="2"/>
  <c r="B2207" i="2"/>
  <c r="B2191" i="2"/>
  <c r="B2175" i="2"/>
  <c r="B2159" i="2"/>
  <c r="B2143" i="2"/>
  <c r="B2137" i="2"/>
  <c r="B2123" i="2"/>
  <c r="B2102" i="2"/>
  <c r="B2075" i="2"/>
  <c r="B2061" i="2"/>
  <c r="B2054" i="2"/>
  <c r="B2032" i="2"/>
  <c r="B2011" i="2"/>
  <c r="B2003" i="2"/>
  <c r="B1995" i="2"/>
  <c r="B1966" i="2"/>
  <c r="B1945" i="2"/>
  <c r="B1883" i="2"/>
  <c r="B1875" i="2"/>
  <c r="B1867" i="2"/>
  <c r="B1836" i="2"/>
  <c r="B1733" i="2"/>
  <c r="B1617" i="2"/>
  <c r="B1521" i="2"/>
  <c r="B1513" i="2"/>
  <c r="B2505" i="2"/>
  <c r="B2489" i="2"/>
  <c r="B2473" i="2"/>
  <c r="B2457" i="2"/>
  <c r="B2441" i="2"/>
  <c r="B2425" i="2"/>
  <c r="B2409" i="2"/>
  <c r="B2393" i="2"/>
  <c r="B2377" i="2"/>
  <c r="B2361" i="2"/>
  <c r="B2345" i="2"/>
  <c r="B2329" i="2"/>
  <c r="B2313" i="2"/>
  <c r="B2297" i="2"/>
  <c r="B2281" i="2"/>
  <c r="B2265" i="2"/>
  <c r="B2249" i="2"/>
  <c r="B2233" i="2"/>
  <c r="B2217" i="2"/>
  <c r="B2201" i="2"/>
  <c r="B2185" i="2"/>
  <c r="B2169" i="2"/>
  <c r="B2153" i="2"/>
  <c r="B2122" i="2"/>
  <c r="B2109" i="2"/>
  <c r="B2081" i="2"/>
  <c r="B2074" i="2"/>
  <c r="B2060" i="2"/>
  <c r="B2039" i="2"/>
  <c r="B2017" i="2"/>
  <c r="B1994" i="2"/>
  <c r="B1981" i="2"/>
  <c r="B1958" i="2"/>
  <c r="B1913" i="2"/>
  <c r="B1851" i="2"/>
  <c r="B1843" i="2"/>
  <c r="B1835" i="2"/>
  <c r="B1804" i="2"/>
  <c r="B1740" i="2"/>
  <c r="B1701" i="2"/>
  <c r="B1393" i="2"/>
  <c r="B1385" i="2"/>
  <c r="B2136" i="2"/>
  <c r="B2130" i="2"/>
  <c r="B2117" i="2"/>
  <c r="B2104" i="2"/>
  <c r="B2098" i="2"/>
  <c r="B2085" i="2"/>
  <c r="B2072" i="2"/>
  <c r="B2066" i="2"/>
  <c r="B2053" i="2"/>
  <c r="B2040" i="2"/>
  <c r="B2034" i="2"/>
  <c r="B2021" i="2"/>
  <c r="B2008" i="2"/>
  <c r="B2002" i="2"/>
  <c r="B1989" i="2"/>
  <c r="B1976" i="2"/>
  <c r="B1970" i="2"/>
  <c r="B1957" i="2"/>
  <c r="B1944" i="2"/>
  <c r="B1938" i="2"/>
  <c r="B1925" i="2"/>
  <c r="B1912" i="2"/>
  <c r="B1906" i="2"/>
  <c r="B1893" i="2"/>
  <c r="B1880" i="2"/>
  <c r="B1874" i="2"/>
  <c r="B1861" i="2"/>
  <c r="B1848" i="2"/>
  <c r="B1842" i="2"/>
  <c r="B1829" i="2"/>
  <c r="B1816" i="2"/>
  <c r="B1810" i="2"/>
  <c r="B1797" i="2"/>
  <c r="B1789" i="2"/>
  <c r="B1781" i="2"/>
  <c r="B1773" i="2"/>
  <c r="B1765" i="2"/>
  <c r="B1757" i="2"/>
  <c r="B1739" i="2"/>
  <c r="B1726" i="2"/>
  <c r="B1713" i="2"/>
  <c r="B1694" i="2"/>
  <c r="B1681" i="2"/>
  <c r="B1662" i="2"/>
  <c r="B1649" i="2"/>
  <c r="B1630" i="2"/>
  <c r="B1609" i="2"/>
  <c r="B1565" i="2"/>
  <c r="B1557" i="2"/>
  <c r="B1550" i="2"/>
  <c r="B1505" i="2"/>
  <c r="B1497" i="2"/>
  <c r="B1437" i="2"/>
  <c r="B1429" i="2"/>
  <c r="B1422" i="2"/>
  <c r="B1377" i="2"/>
  <c r="B1369" i="2"/>
  <c r="B1309" i="2"/>
  <c r="B1301" i="2"/>
  <c r="B1294" i="2"/>
  <c r="B1247" i="2"/>
  <c r="B1104" i="2"/>
  <c r="B1096" i="2"/>
  <c r="B2129" i="2"/>
  <c r="B2116" i="2"/>
  <c r="B2110" i="2"/>
  <c r="B2097" i="2"/>
  <c r="B2084" i="2"/>
  <c r="B2078" i="2"/>
  <c r="B2065" i="2"/>
  <c r="B2052" i="2"/>
  <c r="B2046" i="2"/>
  <c r="B2033" i="2"/>
  <c r="B2020" i="2"/>
  <c r="B2014" i="2"/>
  <c r="B2001" i="2"/>
  <c r="B1988" i="2"/>
  <c r="B1982" i="2"/>
  <c r="B1969" i="2"/>
  <c r="B1956" i="2"/>
  <c r="B1950" i="2"/>
  <c r="B1937" i="2"/>
  <c r="B1924" i="2"/>
  <c r="B1918" i="2"/>
  <c r="B1905" i="2"/>
  <c r="B1892" i="2"/>
  <c r="B1886" i="2"/>
  <c r="B1873" i="2"/>
  <c r="B1860" i="2"/>
  <c r="B1854" i="2"/>
  <c r="B1841" i="2"/>
  <c r="B1828" i="2"/>
  <c r="B1822" i="2"/>
  <c r="B1809" i="2"/>
  <c r="B1796" i="2"/>
  <c r="B1788" i="2"/>
  <c r="B1780" i="2"/>
  <c r="B1772" i="2"/>
  <c r="B1764" i="2"/>
  <c r="B1756" i="2"/>
  <c r="B1738" i="2"/>
  <c r="B1725" i="2"/>
  <c r="B1706" i="2"/>
  <c r="B1693" i="2"/>
  <c r="B1674" i="2"/>
  <c r="B1661" i="2"/>
  <c r="B1642" i="2"/>
  <c r="B1629" i="2"/>
  <c r="B1601" i="2"/>
  <c r="B1594" i="2"/>
  <c r="B1549" i="2"/>
  <c r="B1541" i="2"/>
  <c r="B1534" i="2"/>
  <c r="B1489" i="2"/>
  <c r="B1481" i="2"/>
  <c r="B1421" i="2"/>
  <c r="B1413" i="2"/>
  <c r="B1406" i="2"/>
  <c r="B1361" i="2"/>
  <c r="B1353" i="2"/>
  <c r="B1293" i="2"/>
  <c r="B1285" i="2"/>
  <c r="B1278" i="2"/>
  <c r="B1254" i="2"/>
  <c r="B1119" i="2"/>
  <c r="B1949" i="2"/>
  <c r="B1936" i="2"/>
  <c r="B1930" i="2"/>
  <c r="B1917" i="2"/>
  <c r="B1904" i="2"/>
  <c r="B1898" i="2"/>
  <c r="B1885" i="2"/>
  <c r="B1872" i="2"/>
  <c r="B1866" i="2"/>
  <c r="B1853" i="2"/>
  <c r="B1840" i="2"/>
  <c r="B1834" i="2"/>
  <c r="B1821" i="2"/>
  <c r="B1808" i="2"/>
  <c r="B1802" i="2"/>
  <c r="B1795" i="2"/>
  <c r="B1787" i="2"/>
  <c r="B1779" i="2"/>
  <c r="B1771" i="2"/>
  <c r="B1763" i="2"/>
  <c r="B1755" i="2"/>
  <c r="B1737" i="2"/>
  <c r="B1718" i="2"/>
  <c r="B1705" i="2"/>
  <c r="B1686" i="2"/>
  <c r="B1673" i="2"/>
  <c r="B1654" i="2"/>
  <c r="B1641" i="2"/>
  <c r="B1621" i="2"/>
  <c r="B1593" i="2"/>
  <c r="B1533" i="2"/>
  <c r="B1525" i="2"/>
  <c r="B1518" i="2"/>
  <c r="B1473" i="2"/>
  <c r="B1465" i="2"/>
  <c r="B1405" i="2"/>
  <c r="B1397" i="2"/>
  <c r="B1390" i="2"/>
  <c r="B1345" i="2"/>
  <c r="B1337" i="2"/>
  <c r="B1277" i="2"/>
  <c r="B2044" i="2"/>
  <c r="B2038" i="2"/>
  <c r="B2025" i="2"/>
  <c r="B2012" i="2"/>
  <c r="B2006" i="2"/>
  <c r="B1993" i="2"/>
  <c r="B1980" i="2"/>
  <c r="B1974" i="2"/>
  <c r="B1961" i="2"/>
  <c r="B1948" i="2"/>
  <c r="B1942" i="2"/>
  <c r="B1929" i="2"/>
  <c r="B1916" i="2"/>
  <c r="B1910" i="2"/>
  <c r="B1897" i="2"/>
  <c r="B1884" i="2"/>
  <c r="B1878" i="2"/>
  <c r="B1865" i="2"/>
  <c r="B1852" i="2"/>
  <c r="B1846" i="2"/>
  <c r="B1833" i="2"/>
  <c r="B1820" i="2"/>
  <c r="B1814" i="2"/>
  <c r="B1801" i="2"/>
  <c r="B1794" i="2"/>
  <c r="B1786" i="2"/>
  <c r="B1778" i="2"/>
  <c r="B1770" i="2"/>
  <c r="B1762" i="2"/>
  <c r="B1754" i="2"/>
  <c r="B1730" i="2"/>
  <c r="B1717" i="2"/>
  <c r="B1698" i="2"/>
  <c r="B1685" i="2"/>
  <c r="B1666" i="2"/>
  <c r="B1653" i="2"/>
  <c r="B1634" i="2"/>
  <c r="B1614" i="2"/>
  <c r="B1585" i="2"/>
  <c r="B1577" i="2"/>
  <c r="B1517" i="2"/>
  <c r="B1509" i="2"/>
  <c r="B1502" i="2"/>
  <c r="B1457" i="2"/>
  <c r="B1449" i="2"/>
  <c r="B1389" i="2"/>
  <c r="B1381" i="2"/>
  <c r="B1374" i="2"/>
  <c r="B1329" i="2"/>
  <c r="B1321" i="2"/>
  <c r="B1260" i="2"/>
  <c r="B1164" i="2"/>
  <c r="B941" i="2"/>
  <c r="B2133" i="2"/>
  <c r="B2120" i="2"/>
  <c r="B2114" i="2"/>
  <c r="B2101" i="2"/>
  <c r="B2088" i="2"/>
  <c r="B2082" i="2"/>
  <c r="B2069" i="2"/>
  <c r="B2056" i="2"/>
  <c r="B2050" i="2"/>
  <c r="B2037" i="2"/>
  <c r="B2024" i="2"/>
  <c r="B2018" i="2"/>
  <c r="B2005" i="2"/>
  <c r="B1992" i="2"/>
  <c r="B1986" i="2"/>
  <c r="B1973" i="2"/>
  <c r="B1960" i="2"/>
  <c r="B1954" i="2"/>
  <c r="B1941" i="2"/>
  <c r="B1928" i="2"/>
  <c r="B1922" i="2"/>
  <c r="B1909" i="2"/>
  <c r="B1896" i="2"/>
  <c r="B1890" i="2"/>
  <c r="B1877" i="2"/>
  <c r="B1864" i="2"/>
  <c r="B1858" i="2"/>
  <c r="B1845" i="2"/>
  <c r="B1832" i="2"/>
  <c r="B1826" i="2"/>
  <c r="B1813" i="2"/>
  <c r="B1800" i="2"/>
  <c r="B1793" i="2"/>
  <c r="B1785" i="2"/>
  <c r="B1777" i="2"/>
  <c r="B1769" i="2"/>
  <c r="B1761" i="2"/>
  <c r="B1753" i="2"/>
  <c r="B1748" i="2"/>
  <c r="B1729" i="2"/>
  <c r="B1710" i="2"/>
  <c r="B1697" i="2"/>
  <c r="B1678" i="2"/>
  <c r="B1665" i="2"/>
  <c r="B1646" i="2"/>
  <c r="B1633" i="2"/>
  <c r="B1626" i="2"/>
  <c r="B1613" i="2"/>
  <c r="B1605" i="2"/>
  <c r="B1569" i="2"/>
  <c r="B1561" i="2"/>
  <c r="B1501" i="2"/>
  <c r="B1493" i="2"/>
  <c r="B1486" i="2"/>
  <c r="B1441" i="2"/>
  <c r="B1433" i="2"/>
  <c r="B1373" i="2"/>
  <c r="B1365" i="2"/>
  <c r="B1358" i="2"/>
  <c r="B1313" i="2"/>
  <c r="B1305" i="2"/>
  <c r="B1953" i="2"/>
  <c r="B1940" i="2"/>
  <c r="B1934" i="2"/>
  <c r="B1921" i="2"/>
  <c r="B1908" i="2"/>
  <c r="B1902" i="2"/>
  <c r="B1889" i="2"/>
  <c r="B1876" i="2"/>
  <c r="B1870" i="2"/>
  <c r="B1857" i="2"/>
  <c r="B1844" i="2"/>
  <c r="B1838" i="2"/>
  <c r="B1825" i="2"/>
  <c r="B1812" i="2"/>
  <c r="B1806" i="2"/>
  <c r="B1792" i="2"/>
  <c r="B1784" i="2"/>
  <c r="B1776" i="2"/>
  <c r="B1768" i="2"/>
  <c r="B1760" i="2"/>
  <c r="B1747" i="2"/>
  <c r="B1722" i="2"/>
  <c r="B1709" i="2"/>
  <c r="B1690" i="2"/>
  <c r="B1677" i="2"/>
  <c r="B1658" i="2"/>
  <c r="B1645" i="2"/>
  <c r="B1625" i="2"/>
  <c r="B1598" i="2"/>
  <c r="B1553" i="2"/>
  <c r="B1545" i="2"/>
  <c r="B1485" i="2"/>
  <c r="B1477" i="2"/>
  <c r="B1470" i="2"/>
  <c r="B1425" i="2"/>
  <c r="B1417" i="2"/>
  <c r="B1357" i="2"/>
  <c r="B1349" i="2"/>
  <c r="B1342" i="2"/>
  <c r="B1297" i="2"/>
  <c r="B1289" i="2"/>
  <c r="B1194" i="2"/>
  <c r="B1011" i="2"/>
  <c r="B2042" i="2"/>
  <c r="B2029" i="2"/>
  <c r="B2016" i="2"/>
  <c r="B2010" i="2"/>
  <c r="B1997" i="2"/>
  <c r="B1984" i="2"/>
  <c r="B1978" i="2"/>
  <c r="B1965" i="2"/>
  <c r="B1952" i="2"/>
  <c r="B1946" i="2"/>
  <c r="B1933" i="2"/>
  <c r="B1920" i="2"/>
  <c r="B1914" i="2"/>
  <c r="B1901" i="2"/>
  <c r="B1888" i="2"/>
  <c r="B1882" i="2"/>
  <c r="B1869" i="2"/>
  <c r="B1856" i="2"/>
  <c r="B1850" i="2"/>
  <c r="B1837" i="2"/>
  <c r="B1824" i="2"/>
  <c r="B1818" i="2"/>
  <c r="B1805" i="2"/>
  <c r="B1791" i="2"/>
  <c r="B1783" i="2"/>
  <c r="B1775" i="2"/>
  <c r="B1767" i="2"/>
  <c r="B1759" i="2"/>
  <c r="B1746" i="2"/>
  <c r="B1734" i="2"/>
  <c r="B1721" i="2"/>
  <c r="B1702" i="2"/>
  <c r="B1689" i="2"/>
  <c r="B1670" i="2"/>
  <c r="B1657" i="2"/>
  <c r="B1638" i="2"/>
  <c r="B1618" i="2"/>
  <c r="B1597" i="2"/>
  <c r="B1589" i="2"/>
  <c r="B1582" i="2"/>
  <c r="B1537" i="2"/>
  <c r="B1529" i="2"/>
  <c r="B1469" i="2"/>
  <c r="B1461" i="2"/>
  <c r="B1454" i="2"/>
  <c r="B1409" i="2"/>
  <c r="B1401" i="2"/>
  <c r="B1341" i="2"/>
  <c r="B1333" i="2"/>
  <c r="B1326" i="2"/>
  <c r="B1281" i="2"/>
  <c r="B1273" i="2"/>
  <c r="B1736" i="2"/>
  <c r="B1720" i="2"/>
  <c r="B1704" i="2"/>
  <c r="B1688" i="2"/>
  <c r="B1672" i="2"/>
  <c r="B1656" i="2"/>
  <c r="B1640" i="2"/>
  <c r="B1624" i="2"/>
  <c r="B1608" i="2"/>
  <c r="B1592" i="2"/>
  <c r="B1576" i="2"/>
  <c r="B1560" i="2"/>
  <c r="B1544" i="2"/>
  <c r="B1528" i="2"/>
  <c r="B1512" i="2"/>
  <c r="B1496" i="2"/>
  <c r="B1480" i="2"/>
  <c r="B1464" i="2"/>
  <c r="B1448" i="2"/>
  <c r="B1432" i="2"/>
  <c r="B1416" i="2"/>
  <c r="B1400" i="2"/>
  <c r="B1384" i="2"/>
  <c r="B1368" i="2"/>
  <c r="B1352" i="2"/>
  <c r="B1336" i="2"/>
  <c r="B1320" i="2"/>
  <c r="B1304" i="2"/>
  <c r="B1288" i="2"/>
  <c r="B1272" i="2"/>
  <c r="B1266" i="2"/>
  <c r="B1246" i="2"/>
  <c r="B1238" i="2"/>
  <c r="B1231" i="2"/>
  <c r="B1216" i="2"/>
  <c r="B1208" i="2"/>
  <c r="B1178" i="2"/>
  <c r="B1148" i="2"/>
  <c r="B1103" i="2"/>
  <c r="B1088" i="2"/>
  <c r="B979" i="2"/>
  <c r="B1602" i="2"/>
  <c r="B1586" i="2"/>
  <c r="B1570" i="2"/>
  <c r="B1554" i="2"/>
  <c r="B1538" i="2"/>
  <c r="B1522" i="2"/>
  <c r="B1506" i="2"/>
  <c r="B1490" i="2"/>
  <c r="B1474" i="2"/>
  <c r="B1458" i="2"/>
  <c r="B1442" i="2"/>
  <c r="B1426" i="2"/>
  <c r="B1410" i="2"/>
  <c r="B1394" i="2"/>
  <c r="B1378" i="2"/>
  <c r="B1362" i="2"/>
  <c r="B1346" i="2"/>
  <c r="B1330" i="2"/>
  <c r="B1314" i="2"/>
  <c r="B1298" i="2"/>
  <c r="B1282" i="2"/>
  <c r="B1265" i="2"/>
  <c r="B1230" i="2"/>
  <c r="B1222" i="2"/>
  <c r="B1215" i="2"/>
  <c r="B1200" i="2"/>
  <c r="B1192" i="2"/>
  <c r="B1132" i="2"/>
  <c r="B1087" i="2"/>
  <c r="B1056" i="2"/>
  <c r="B947" i="2"/>
  <c r="B1744" i="2"/>
  <c r="B1724" i="2"/>
  <c r="B1708" i="2"/>
  <c r="B1692" i="2"/>
  <c r="B1676" i="2"/>
  <c r="B1660" i="2"/>
  <c r="B1644" i="2"/>
  <c r="B1628" i="2"/>
  <c r="B1612" i="2"/>
  <c r="B1596" i="2"/>
  <c r="B1580" i="2"/>
  <c r="B1564" i="2"/>
  <c r="B1548" i="2"/>
  <c r="B1532" i="2"/>
  <c r="B1516" i="2"/>
  <c r="B1500" i="2"/>
  <c r="B1484" i="2"/>
  <c r="B1468" i="2"/>
  <c r="B1452" i="2"/>
  <c r="B1436" i="2"/>
  <c r="B1420" i="2"/>
  <c r="B1404" i="2"/>
  <c r="B1388" i="2"/>
  <c r="B1372" i="2"/>
  <c r="B1356" i="2"/>
  <c r="B1340" i="2"/>
  <c r="B1324" i="2"/>
  <c r="B1308" i="2"/>
  <c r="B1292" i="2"/>
  <c r="B1276" i="2"/>
  <c r="B1264" i="2"/>
  <c r="B1258" i="2"/>
  <c r="B1244" i="2"/>
  <c r="B1214" i="2"/>
  <c r="B1206" i="2"/>
  <c r="B1199" i="2"/>
  <c r="B1184" i="2"/>
  <c r="B1176" i="2"/>
  <c r="B1116" i="2"/>
  <c r="B1622" i="2"/>
  <c r="B1606" i="2"/>
  <c r="B1590" i="2"/>
  <c r="B1574" i="2"/>
  <c r="B1558" i="2"/>
  <c r="B1542" i="2"/>
  <c r="B1526" i="2"/>
  <c r="B1510" i="2"/>
  <c r="B1494" i="2"/>
  <c r="B1478" i="2"/>
  <c r="B1462" i="2"/>
  <c r="B1446" i="2"/>
  <c r="B1430" i="2"/>
  <c r="B1414" i="2"/>
  <c r="B1398" i="2"/>
  <c r="B1382" i="2"/>
  <c r="B1366" i="2"/>
  <c r="B1350" i="2"/>
  <c r="B1334" i="2"/>
  <c r="B1318" i="2"/>
  <c r="B1302" i="2"/>
  <c r="B1286" i="2"/>
  <c r="B1270" i="2"/>
  <c r="B1257" i="2"/>
  <c r="B1228" i="2"/>
  <c r="B1198" i="2"/>
  <c r="B1190" i="2"/>
  <c r="B1183" i="2"/>
  <c r="B1168" i="2"/>
  <c r="B1160" i="2"/>
  <c r="B1100" i="2"/>
  <c r="B1069" i="2"/>
  <c r="B1752" i="2"/>
  <c r="B1728" i="2"/>
  <c r="B1712" i="2"/>
  <c r="B1696" i="2"/>
  <c r="B1680" i="2"/>
  <c r="B1664" i="2"/>
  <c r="B1648" i="2"/>
  <c r="B1632" i="2"/>
  <c r="B1616" i="2"/>
  <c r="B1600" i="2"/>
  <c r="B1584" i="2"/>
  <c r="B1568" i="2"/>
  <c r="B1552" i="2"/>
  <c r="B1536" i="2"/>
  <c r="B1520" i="2"/>
  <c r="B1504" i="2"/>
  <c r="B1488" i="2"/>
  <c r="B1472" i="2"/>
  <c r="B1456" i="2"/>
  <c r="B1440" i="2"/>
  <c r="B1424" i="2"/>
  <c r="B1408" i="2"/>
  <c r="B1392" i="2"/>
  <c r="B1376" i="2"/>
  <c r="B1360" i="2"/>
  <c r="B1344" i="2"/>
  <c r="B1328" i="2"/>
  <c r="B1312" i="2"/>
  <c r="B1296" i="2"/>
  <c r="B1280" i="2"/>
  <c r="B1269" i="2"/>
  <c r="B1256" i="2"/>
  <c r="B1242" i="2"/>
  <c r="B1212" i="2"/>
  <c r="B1182" i="2"/>
  <c r="B1167" i="2"/>
  <c r="B1152" i="2"/>
  <c r="B1144" i="2"/>
  <c r="B1084" i="2"/>
  <c r="B1037" i="2"/>
  <c r="B1578" i="2"/>
  <c r="B1562" i="2"/>
  <c r="B1546" i="2"/>
  <c r="B1530" i="2"/>
  <c r="B1514" i="2"/>
  <c r="B1498" i="2"/>
  <c r="B1482" i="2"/>
  <c r="B1466" i="2"/>
  <c r="B1450" i="2"/>
  <c r="B1434" i="2"/>
  <c r="B1418" i="2"/>
  <c r="B1402" i="2"/>
  <c r="B1386" i="2"/>
  <c r="B1370" i="2"/>
  <c r="B1354" i="2"/>
  <c r="B1338" i="2"/>
  <c r="B1322" i="2"/>
  <c r="B1306" i="2"/>
  <c r="B1290" i="2"/>
  <c r="B1274" i="2"/>
  <c r="B1268" i="2"/>
  <c r="B1262" i="2"/>
  <c r="B1226" i="2"/>
  <c r="B1196" i="2"/>
  <c r="B1151" i="2"/>
  <c r="B1136" i="2"/>
  <c r="B1128" i="2"/>
  <c r="B1075" i="2"/>
  <c r="B1005" i="2"/>
  <c r="B1732" i="2"/>
  <c r="B1716" i="2"/>
  <c r="B1700" i="2"/>
  <c r="B1684" i="2"/>
  <c r="B1668" i="2"/>
  <c r="B1652" i="2"/>
  <c r="B1636" i="2"/>
  <c r="B1620" i="2"/>
  <c r="B1604" i="2"/>
  <c r="B1588" i="2"/>
  <c r="B1572" i="2"/>
  <c r="B1556" i="2"/>
  <c r="B1540" i="2"/>
  <c r="B1524" i="2"/>
  <c r="B1508" i="2"/>
  <c r="B1492" i="2"/>
  <c r="B1476" i="2"/>
  <c r="B1460" i="2"/>
  <c r="B1444" i="2"/>
  <c r="B1428" i="2"/>
  <c r="B1412" i="2"/>
  <c r="B1396" i="2"/>
  <c r="B1380" i="2"/>
  <c r="B1364" i="2"/>
  <c r="B1348" i="2"/>
  <c r="B1332" i="2"/>
  <c r="B1316" i="2"/>
  <c r="B1300" i="2"/>
  <c r="B1284" i="2"/>
  <c r="B1261" i="2"/>
  <c r="B1248" i="2"/>
  <c r="B1240" i="2"/>
  <c r="B1210" i="2"/>
  <c r="B1180" i="2"/>
  <c r="B1135" i="2"/>
  <c r="B1120" i="2"/>
  <c r="B1112" i="2"/>
  <c r="B1043" i="2"/>
  <c r="B973" i="2"/>
  <c r="B857" i="2"/>
  <c r="B1241" i="2"/>
  <c r="B1225" i="2"/>
  <c r="B1209" i="2"/>
  <c r="B1193" i="2"/>
  <c r="B1177" i="2"/>
  <c r="B1161" i="2"/>
  <c r="B1145" i="2"/>
  <c r="B1129" i="2"/>
  <c r="B1113" i="2"/>
  <c r="B1097" i="2"/>
  <c r="B1081" i="2"/>
  <c r="B1068" i="2"/>
  <c r="B1055" i="2"/>
  <c r="B1049" i="2"/>
  <c r="B1023" i="2"/>
  <c r="B1017" i="2"/>
  <c r="B991" i="2"/>
  <c r="B985" i="2"/>
  <c r="B959" i="2"/>
  <c r="B953" i="2"/>
  <c r="B927" i="2"/>
  <c r="B919" i="2"/>
  <c r="B911" i="2"/>
  <c r="B903" i="2"/>
  <c r="B895" i="2"/>
  <c r="B889" i="2"/>
  <c r="B680" i="2"/>
  <c r="B1251" i="2"/>
  <c r="B1235" i="2"/>
  <c r="B1219" i="2"/>
  <c r="B1203" i="2"/>
  <c r="B1187" i="2"/>
  <c r="B1171" i="2"/>
  <c r="B1155" i="2"/>
  <c r="B1139" i="2"/>
  <c r="B1123" i="2"/>
  <c r="B1107" i="2"/>
  <c r="B1091" i="2"/>
  <c r="B1080" i="2"/>
  <c r="B1067" i="2"/>
  <c r="B1061" i="2"/>
  <c r="B1048" i="2"/>
  <c r="B1035" i="2"/>
  <c r="B1029" i="2"/>
  <c r="B1003" i="2"/>
  <c r="B997" i="2"/>
  <c r="B971" i="2"/>
  <c r="B965" i="2"/>
  <c r="B939" i="2"/>
  <c r="B933" i="2"/>
  <c r="B849" i="2"/>
  <c r="B811" i="2"/>
  <c r="B1245" i="2"/>
  <c r="B1229" i="2"/>
  <c r="B1213" i="2"/>
  <c r="B1197" i="2"/>
  <c r="B1181" i="2"/>
  <c r="B1165" i="2"/>
  <c r="B1149" i="2"/>
  <c r="B1133" i="2"/>
  <c r="B1117" i="2"/>
  <c r="B1101" i="2"/>
  <c r="B1085" i="2"/>
  <c r="B1079" i="2"/>
  <c r="B1073" i="2"/>
  <c r="B1060" i="2"/>
  <c r="B1047" i="2"/>
  <c r="B1041" i="2"/>
  <c r="B1015" i="2"/>
  <c r="B1009" i="2"/>
  <c r="B983" i="2"/>
  <c r="B977" i="2"/>
  <c r="B951" i="2"/>
  <c r="B945" i="2"/>
  <c r="B925" i="2"/>
  <c r="B917" i="2"/>
  <c r="B909" i="2"/>
  <c r="B901" i="2"/>
  <c r="B887" i="2"/>
  <c r="B881" i="2"/>
  <c r="B833" i="2"/>
  <c r="B779" i="2"/>
  <c r="B438" i="2"/>
  <c r="B1239" i="2"/>
  <c r="B1223" i="2"/>
  <c r="B1207" i="2"/>
  <c r="B1191" i="2"/>
  <c r="B1175" i="2"/>
  <c r="B1159" i="2"/>
  <c r="B1143" i="2"/>
  <c r="B1127" i="2"/>
  <c r="B1111" i="2"/>
  <c r="B1095" i="2"/>
  <c r="B1072" i="2"/>
  <c r="B1059" i="2"/>
  <c r="B1053" i="2"/>
  <c r="B1027" i="2"/>
  <c r="B1021" i="2"/>
  <c r="B995" i="2"/>
  <c r="B989" i="2"/>
  <c r="B963" i="2"/>
  <c r="B957" i="2"/>
  <c r="B931" i="2"/>
  <c r="B861" i="2"/>
  <c r="B817" i="2"/>
  <c r="B747" i="2"/>
  <c r="B509" i="2"/>
  <c r="B493" i="2"/>
  <c r="B477" i="2"/>
  <c r="B1249" i="2"/>
  <c r="B1233" i="2"/>
  <c r="B1217" i="2"/>
  <c r="B1201" i="2"/>
  <c r="B1185" i="2"/>
  <c r="B1169" i="2"/>
  <c r="B1153" i="2"/>
  <c r="B1137" i="2"/>
  <c r="B1121" i="2"/>
  <c r="B1105" i="2"/>
  <c r="B1089" i="2"/>
  <c r="B1071" i="2"/>
  <c r="B1065" i="2"/>
  <c r="B1052" i="2"/>
  <c r="B1039" i="2"/>
  <c r="B1033" i="2"/>
  <c r="B1007" i="2"/>
  <c r="B1001" i="2"/>
  <c r="B975" i="2"/>
  <c r="B969" i="2"/>
  <c r="B943" i="2"/>
  <c r="B937" i="2"/>
  <c r="B923" i="2"/>
  <c r="B915" i="2"/>
  <c r="B907" i="2"/>
  <c r="B899" i="2"/>
  <c r="B879" i="2"/>
  <c r="B873" i="2"/>
  <c r="B785" i="2"/>
  <c r="B715" i="2"/>
  <c r="B1243" i="2"/>
  <c r="B1227" i="2"/>
  <c r="B1211" i="2"/>
  <c r="B1195" i="2"/>
  <c r="B1179" i="2"/>
  <c r="B1163" i="2"/>
  <c r="B1147" i="2"/>
  <c r="B1131" i="2"/>
  <c r="B1115" i="2"/>
  <c r="B1099" i="2"/>
  <c r="B1083" i="2"/>
  <c r="B1077" i="2"/>
  <c r="B1064" i="2"/>
  <c r="B1051" i="2"/>
  <c r="B1045" i="2"/>
  <c r="B1019" i="2"/>
  <c r="B1013" i="2"/>
  <c r="B987" i="2"/>
  <c r="B981" i="2"/>
  <c r="B955" i="2"/>
  <c r="B949" i="2"/>
  <c r="B753" i="2"/>
  <c r="B571" i="2"/>
  <c r="B1253" i="2"/>
  <c r="B1237" i="2"/>
  <c r="B1221" i="2"/>
  <c r="B1205" i="2"/>
  <c r="B1189" i="2"/>
  <c r="B1173" i="2"/>
  <c r="B1157" i="2"/>
  <c r="B1141" i="2"/>
  <c r="B1125" i="2"/>
  <c r="B1109" i="2"/>
  <c r="B1093" i="2"/>
  <c r="B1076" i="2"/>
  <c r="B1063" i="2"/>
  <c r="B1057" i="2"/>
  <c r="B1031" i="2"/>
  <c r="B1025" i="2"/>
  <c r="B999" i="2"/>
  <c r="B993" i="2"/>
  <c r="B967" i="2"/>
  <c r="B961" i="2"/>
  <c r="B935" i="2"/>
  <c r="B929" i="2"/>
  <c r="B921" i="2"/>
  <c r="B913" i="2"/>
  <c r="B905" i="2"/>
  <c r="B897" i="2"/>
  <c r="B865" i="2"/>
  <c r="B721" i="2"/>
  <c r="B618" i="2"/>
  <c r="B610" i="2"/>
  <c r="B602" i="2"/>
  <c r="B893" i="2"/>
  <c r="B859" i="2"/>
  <c r="B843" i="2"/>
  <c r="B827" i="2"/>
  <c r="B797" i="2"/>
  <c r="B791" i="2"/>
  <c r="B765" i="2"/>
  <c r="B759" i="2"/>
  <c r="B733" i="2"/>
  <c r="B727" i="2"/>
  <c r="B701" i="2"/>
  <c r="B694" i="2"/>
  <c r="B648" i="2"/>
  <c r="B586" i="2"/>
  <c r="B578" i="2"/>
  <c r="B570" i="2"/>
  <c r="B539" i="2"/>
  <c r="B445" i="2"/>
  <c r="B334" i="2"/>
  <c r="B128" i="2"/>
  <c r="B869" i="2"/>
  <c r="B853" i="2"/>
  <c r="B837" i="2"/>
  <c r="B821" i="2"/>
  <c r="B809" i="2"/>
  <c r="B803" i="2"/>
  <c r="B777" i="2"/>
  <c r="B771" i="2"/>
  <c r="B745" i="2"/>
  <c r="B739" i="2"/>
  <c r="B713" i="2"/>
  <c r="B707" i="2"/>
  <c r="B678" i="2"/>
  <c r="B662" i="2"/>
  <c r="B616" i="2"/>
  <c r="B554" i="2"/>
  <c r="B546" i="2"/>
  <c r="B538" i="2"/>
  <c r="B507" i="2"/>
  <c r="B143" i="2"/>
  <c r="B863" i="2"/>
  <c r="B847" i="2"/>
  <c r="B831" i="2"/>
  <c r="B815" i="2"/>
  <c r="B789" i="2"/>
  <c r="B783" i="2"/>
  <c r="B757" i="2"/>
  <c r="B751" i="2"/>
  <c r="B725" i="2"/>
  <c r="B719" i="2"/>
  <c r="B692" i="2"/>
  <c r="B661" i="2"/>
  <c r="B646" i="2"/>
  <c r="B630" i="2"/>
  <c r="B584" i="2"/>
  <c r="B522" i="2"/>
  <c r="B514" i="2"/>
  <c r="B451" i="2"/>
  <c r="B403" i="2"/>
  <c r="B395" i="2"/>
  <c r="B387" i="2"/>
  <c r="B379" i="2"/>
  <c r="B371" i="2"/>
  <c r="B363" i="2"/>
  <c r="B355" i="2"/>
  <c r="B347" i="2"/>
  <c r="B841" i="2"/>
  <c r="B825" i="2"/>
  <c r="B801" i="2"/>
  <c r="B795" i="2"/>
  <c r="B769" i="2"/>
  <c r="B763" i="2"/>
  <c r="B737" i="2"/>
  <c r="B731" i="2"/>
  <c r="B705" i="2"/>
  <c r="B691" i="2"/>
  <c r="B629" i="2"/>
  <c r="B614" i="2"/>
  <c r="B598" i="2"/>
  <c r="B552" i="2"/>
  <c r="B458" i="2"/>
  <c r="B205" i="2"/>
  <c r="B877" i="2"/>
  <c r="B867" i="2"/>
  <c r="B851" i="2"/>
  <c r="B835" i="2"/>
  <c r="B819" i="2"/>
  <c r="B813" i="2"/>
  <c r="B807" i="2"/>
  <c r="B781" i="2"/>
  <c r="B775" i="2"/>
  <c r="B749" i="2"/>
  <c r="B743" i="2"/>
  <c r="B717" i="2"/>
  <c r="B711" i="2"/>
  <c r="B690" i="2"/>
  <c r="B667" i="2"/>
  <c r="B597" i="2"/>
  <c r="B582" i="2"/>
  <c r="B566" i="2"/>
  <c r="B520" i="2"/>
  <c r="B433" i="2"/>
  <c r="B267" i="2"/>
  <c r="B845" i="2"/>
  <c r="B829" i="2"/>
  <c r="B793" i="2"/>
  <c r="B787" i="2"/>
  <c r="B761" i="2"/>
  <c r="B755" i="2"/>
  <c r="B729" i="2"/>
  <c r="B723" i="2"/>
  <c r="B697" i="2"/>
  <c r="B682" i="2"/>
  <c r="B674" i="2"/>
  <c r="B666" i="2"/>
  <c r="B635" i="2"/>
  <c r="B565" i="2"/>
  <c r="B550" i="2"/>
  <c r="B534" i="2"/>
  <c r="B424" i="2"/>
  <c r="B313" i="2"/>
  <c r="B885" i="2"/>
  <c r="B871" i="2"/>
  <c r="B855" i="2"/>
  <c r="B839" i="2"/>
  <c r="B823" i="2"/>
  <c r="B805" i="2"/>
  <c r="B799" i="2"/>
  <c r="B773" i="2"/>
  <c r="B767" i="2"/>
  <c r="B741" i="2"/>
  <c r="B735" i="2"/>
  <c r="B709" i="2"/>
  <c r="B703" i="2"/>
  <c r="B696" i="2"/>
  <c r="B688" i="2"/>
  <c r="B650" i="2"/>
  <c r="B642" i="2"/>
  <c r="B634" i="2"/>
  <c r="B603" i="2"/>
  <c r="B533" i="2"/>
  <c r="B518" i="2"/>
  <c r="B486" i="2"/>
  <c r="B328" i="2"/>
  <c r="B695" i="2"/>
  <c r="B679" i="2"/>
  <c r="B673" i="2"/>
  <c r="B660" i="2"/>
  <c r="B647" i="2"/>
  <c r="B641" i="2"/>
  <c r="B628" i="2"/>
  <c r="B615" i="2"/>
  <c r="B609" i="2"/>
  <c r="B596" i="2"/>
  <c r="B583" i="2"/>
  <c r="B577" i="2"/>
  <c r="B564" i="2"/>
  <c r="B551" i="2"/>
  <c r="B545" i="2"/>
  <c r="B532" i="2"/>
  <c r="B519" i="2"/>
  <c r="B513" i="2"/>
  <c r="B499" i="2"/>
  <c r="B485" i="2"/>
  <c r="B478" i="2"/>
  <c r="B472" i="2"/>
  <c r="B437" i="2"/>
  <c r="B430" i="2"/>
  <c r="B416" i="2"/>
  <c r="B320" i="2"/>
  <c r="B165" i="2"/>
  <c r="B157" i="2"/>
  <c r="B95" i="2"/>
  <c r="B699" i="2"/>
  <c r="B685" i="2"/>
  <c r="B672" i="2"/>
  <c r="B659" i="2"/>
  <c r="B653" i="2"/>
  <c r="B640" i="2"/>
  <c r="B627" i="2"/>
  <c r="B621" i="2"/>
  <c r="B608" i="2"/>
  <c r="B595" i="2"/>
  <c r="B589" i="2"/>
  <c r="B576" i="2"/>
  <c r="B563" i="2"/>
  <c r="B557" i="2"/>
  <c r="B544" i="2"/>
  <c r="B531" i="2"/>
  <c r="B525" i="2"/>
  <c r="B512" i="2"/>
  <c r="B491" i="2"/>
  <c r="B484" i="2"/>
  <c r="B471" i="2"/>
  <c r="B464" i="2"/>
  <c r="B443" i="2"/>
  <c r="B422" i="2"/>
  <c r="B326" i="2"/>
  <c r="B319" i="2"/>
  <c r="B311" i="2"/>
  <c r="B249" i="2"/>
  <c r="B203" i="2"/>
  <c r="B79" i="2"/>
  <c r="B684" i="2"/>
  <c r="B671" i="2"/>
  <c r="B665" i="2"/>
  <c r="B652" i="2"/>
  <c r="B639" i="2"/>
  <c r="B633" i="2"/>
  <c r="B620" i="2"/>
  <c r="B607" i="2"/>
  <c r="B601" i="2"/>
  <c r="B588" i="2"/>
  <c r="B575" i="2"/>
  <c r="B569" i="2"/>
  <c r="B556" i="2"/>
  <c r="B543" i="2"/>
  <c r="B537" i="2"/>
  <c r="B524" i="2"/>
  <c r="B490" i="2"/>
  <c r="B483" i="2"/>
  <c r="B470" i="2"/>
  <c r="B456" i="2"/>
  <c r="B435" i="2"/>
  <c r="B414" i="2"/>
  <c r="B408" i="2"/>
  <c r="B400" i="2"/>
  <c r="B392" i="2"/>
  <c r="B384" i="2"/>
  <c r="B376" i="2"/>
  <c r="B368" i="2"/>
  <c r="B360" i="2"/>
  <c r="B352" i="2"/>
  <c r="B344" i="2"/>
  <c r="B331" i="2"/>
  <c r="B325" i="2"/>
  <c r="B256" i="2"/>
  <c r="B101" i="2"/>
  <c r="B93" i="2"/>
  <c r="B55" i="2"/>
  <c r="B683" i="2"/>
  <c r="B677" i="2"/>
  <c r="B664" i="2"/>
  <c r="B651" i="2"/>
  <c r="B645" i="2"/>
  <c r="B632" i="2"/>
  <c r="B619" i="2"/>
  <c r="B613" i="2"/>
  <c r="B600" i="2"/>
  <c r="B587" i="2"/>
  <c r="B581" i="2"/>
  <c r="B568" i="2"/>
  <c r="B555" i="2"/>
  <c r="B549" i="2"/>
  <c r="B536" i="2"/>
  <c r="B523" i="2"/>
  <c r="B517" i="2"/>
  <c r="B510" i="2"/>
  <c r="B504" i="2"/>
  <c r="B469" i="2"/>
  <c r="B462" i="2"/>
  <c r="B448" i="2"/>
  <c r="B427" i="2"/>
  <c r="B420" i="2"/>
  <c r="B407" i="2"/>
  <c r="B399" i="2"/>
  <c r="B391" i="2"/>
  <c r="B383" i="2"/>
  <c r="B375" i="2"/>
  <c r="B367" i="2"/>
  <c r="B359" i="2"/>
  <c r="B351" i="2"/>
  <c r="B343" i="2"/>
  <c r="B293" i="2"/>
  <c r="B285" i="2"/>
  <c r="B278" i="2"/>
  <c r="B271" i="2"/>
  <c r="B247" i="2"/>
  <c r="B223" i="2"/>
  <c r="B139" i="2"/>
  <c r="B77" i="2"/>
  <c r="B676" i="2"/>
  <c r="B663" i="2"/>
  <c r="B657" i="2"/>
  <c r="B644" i="2"/>
  <c r="B631" i="2"/>
  <c r="B625" i="2"/>
  <c r="B612" i="2"/>
  <c r="B599" i="2"/>
  <c r="B593" i="2"/>
  <c r="B580" i="2"/>
  <c r="B567" i="2"/>
  <c r="B561" i="2"/>
  <c r="B548" i="2"/>
  <c r="B535" i="2"/>
  <c r="B529" i="2"/>
  <c r="B516" i="2"/>
  <c r="B503" i="2"/>
  <c r="B496" i="2"/>
  <c r="B475" i="2"/>
  <c r="B461" i="2"/>
  <c r="B454" i="2"/>
  <c r="B426" i="2"/>
  <c r="B419" i="2"/>
  <c r="B406" i="2"/>
  <c r="B262" i="2"/>
  <c r="B37" i="2"/>
  <c r="B675" i="2"/>
  <c r="B669" i="2"/>
  <c r="B656" i="2"/>
  <c r="B643" i="2"/>
  <c r="B637" i="2"/>
  <c r="B624" i="2"/>
  <c r="B611" i="2"/>
  <c r="B605" i="2"/>
  <c r="B592" i="2"/>
  <c r="B579" i="2"/>
  <c r="B573" i="2"/>
  <c r="B560" i="2"/>
  <c r="B547" i="2"/>
  <c r="B541" i="2"/>
  <c r="B528" i="2"/>
  <c r="B515" i="2"/>
  <c r="B502" i="2"/>
  <c r="B488" i="2"/>
  <c r="B467" i="2"/>
  <c r="B453" i="2"/>
  <c r="B446" i="2"/>
  <c r="B440" i="2"/>
  <c r="B269" i="2"/>
  <c r="B687" i="2"/>
  <c r="B681" i="2"/>
  <c r="B668" i="2"/>
  <c r="B655" i="2"/>
  <c r="B649" i="2"/>
  <c r="B636" i="2"/>
  <c r="B623" i="2"/>
  <c r="B617" i="2"/>
  <c r="B604" i="2"/>
  <c r="B591" i="2"/>
  <c r="B585" i="2"/>
  <c r="B572" i="2"/>
  <c r="B559" i="2"/>
  <c r="B553" i="2"/>
  <c r="B540" i="2"/>
  <c r="B527" i="2"/>
  <c r="B521" i="2"/>
  <c r="B501" i="2"/>
  <c r="B494" i="2"/>
  <c r="B480" i="2"/>
  <c r="B459" i="2"/>
  <c r="B452" i="2"/>
  <c r="B439" i="2"/>
  <c r="B432" i="2"/>
  <c r="B411" i="2"/>
  <c r="B183" i="2"/>
  <c r="B159" i="2"/>
  <c r="B121" i="2"/>
  <c r="B508" i="2"/>
  <c r="B495" i="2"/>
  <c r="B482" i="2"/>
  <c r="B476" i="2"/>
  <c r="B463" i="2"/>
  <c r="B450" i="2"/>
  <c r="B444" i="2"/>
  <c r="B431" i="2"/>
  <c r="B418" i="2"/>
  <c r="B412" i="2"/>
  <c r="B398" i="2"/>
  <c r="B390" i="2"/>
  <c r="B382" i="2"/>
  <c r="B374" i="2"/>
  <c r="B366" i="2"/>
  <c r="B358" i="2"/>
  <c r="B350" i="2"/>
  <c r="B342" i="2"/>
  <c r="B317" i="2"/>
  <c r="B310" i="2"/>
  <c r="B303" i="2"/>
  <c r="B288" i="2"/>
  <c r="B281" i="2"/>
  <c r="B237" i="2"/>
  <c r="B215" i="2"/>
  <c r="B171" i="2"/>
  <c r="B127" i="2"/>
  <c r="B69" i="2"/>
  <c r="B61" i="2"/>
  <c r="B47" i="2"/>
  <c r="B32" i="2"/>
  <c r="B25" i="2"/>
  <c r="B9" i="2"/>
  <c r="B302" i="2"/>
  <c r="B287" i="2"/>
  <c r="B258" i="2"/>
  <c r="B229" i="2"/>
  <c r="B221" i="2"/>
  <c r="B207" i="2"/>
  <c r="B192" i="2"/>
  <c r="B185" i="2"/>
  <c r="B141" i="2"/>
  <c r="B119" i="2"/>
  <c r="B75" i="2"/>
  <c r="B31" i="2"/>
  <c r="B506" i="2"/>
  <c r="B500" i="2"/>
  <c r="B487" i="2"/>
  <c r="B474" i="2"/>
  <c r="B468" i="2"/>
  <c r="B455" i="2"/>
  <c r="B442" i="2"/>
  <c r="B436" i="2"/>
  <c r="B423" i="2"/>
  <c r="B410" i="2"/>
  <c r="B404" i="2"/>
  <c r="B396" i="2"/>
  <c r="B388" i="2"/>
  <c r="B380" i="2"/>
  <c r="B372" i="2"/>
  <c r="B364" i="2"/>
  <c r="B356" i="2"/>
  <c r="B348" i="2"/>
  <c r="B335" i="2"/>
  <c r="B322" i="2"/>
  <c r="B301" i="2"/>
  <c r="B294" i="2"/>
  <c r="B279" i="2"/>
  <c r="B235" i="2"/>
  <c r="B191" i="2"/>
  <c r="B133" i="2"/>
  <c r="B125" i="2"/>
  <c r="B111" i="2"/>
  <c r="B96" i="2"/>
  <c r="B89" i="2"/>
  <c r="B45" i="2"/>
  <c r="B23" i="2"/>
  <c r="B15" i="2"/>
  <c r="B29" i="2"/>
  <c r="B511" i="2"/>
  <c r="B498" i="2"/>
  <c r="B492" i="2"/>
  <c r="B479" i="2"/>
  <c r="B466" i="2"/>
  <c r="B460" i="2"/>
  <c r="B447" i="2"/>
  <c r="B434" i="2"/>
  <c r="B428" i="2"/>
  <c r="B415" i="2"/>
  <c r="B402" i="2"/>
  <c r="B394" i="2"/>
  <c r="B386" i="2"/>
  <c r="B378" i="2"/>
  <c r="B370" i="2"/>
  <c r="B362" i="2"/>
  <c r="B354" i="2"/>
  <c r="B346" i="2"/>
  <c r="B333" i="2"/>
  <c r="B299" i="2"/>
  <c r="B270" i="2"/>
  <c r="B255" i="2"/>
  <c r="B197" i="2"/>
  <c r="B189" i="2"/>
  <c r="B175" i="2"/>
  <c r="B160" i="2"/>
  <c r="B153" i="2"/>
  <c r="B109" i="2"/>
  <c r="B87" i="2"/>
  <c r="B43" i="2"/>
  <c r="B13" i="2"/>
  <c r="B64" i="2"/>
  <c r="B57" i="2"/>
  <c r="B290" i="2"/>
  <c r="B261" i="2"/>
  <c r="B253" i="2"/>
  <c r="B246" i="2"/>
  <c r="B239" i="2"/>
  <c r="B224" i="2"/>
  <c r="B217" i="2"/>
  <c r="B173" i="2"/>
  <c r="B151" i="2"/>
  <c r="B107" i="2"/>
  <c r="B63" i="2"/>
  <c r="B11" i="2"/>
  <c r="B336" i="2"/>
  <c r="B304" i="2"/>
  <c r="B272" i="2"/>
  <c r="B240" i="2"/>
  <c r="B208" i="2"/>
  <c r="B176" i="2"/>
  <c r="B144" i="2"/>
  <c r="B112" i="2"/>
  <c r="B80" i="2"/>
  <c r="B48" i="2"/>
  <c r="B16" i="2"/>
  <c r="B340" i="2"/>
  <c r="B308" i="2"/>
  <c r="B276" i="2"/>
  <c r="B244" i="2"/>
  <c r="B212" i="2"/>
  <c r="B180" i="2"/>
  <c r="B148" i="2"/>
  <c r="B116" i="2"/>
  <c r="B84" i="2"/>
  <c r="B52" i="2"/>
  <c r="B20" i="2"/>
  <c r="B312" i="2"/>
  <c r="B280" i="2"/>
  <c r="B248" i="2"/>
  <c r="B216" i="2"/>
  <c r="B184" i="2"/>
  <c r="B152" i="2"/>
  <c r="B120" i="2"/>
  <c r="B88" i="2"/>
  <c r="B56" i="2"/>
  <c r="B24" i="2"/>
  <c r="B316" i="2"/>
  <c r="B284" i="2"/>
  <c r="B252" i="2"/>
  <c r="B220" i="2"/>
  <c r="B188" i="2"/>
  <c r="B156" i="2"/>
  <c r="B124" i="2"/>
  <c r="B92" i="2"/>
  <c r="B60" i="2"/>
  <c r="B28" i="2"/>
  <c r="B324" i="2"/>
  <c r="B292" i="2"/>
  <c r="B260" i="2"/>
  <c r="B228" i="2"/>
  <c r="B196" i="2"/>
  <c r="B164" i="2"/>
  <c r="B132" i="2"/>
  <c r="B100" i="2"/>
  <c r="B68" i="2"/>
  <c r="B36" i="2"/>
  <c r="B4" i="2"/>
  <c r="B296" i="2"/>
  <c r="B264" i="2"/>
  <c r="B232" i="2"/>
  <c r="B200" i="2"/>
  <c r="B168" i="2"/>
  <c r="B136" i="2"/>
  <c r="B104" i="2"/>
  <c r="B72" i="2"/>
  <c r="B40" i="2"/>
  <c r="B8" i="2"/>
  <c r="B332" i="2"/>
  <c r="B300" i="2"/>
  <c r="B268" i="2"/>
  <c r="B236" i="2"/>
  <c r="B204" i="2"/>
  <c r="B172" i="2"/>
  <c r="B140" i="2"/>
  <c r="B108" i="2"/>
  <c r="B76" i="2"/>
  <c r="B44" i="2"/>
  <c r="B12" i="2"/>
  <c r="L1406" i="1" l="1"/>
  <c r="L2403" i="1"/>
  <c r="M4370" i="1"/>
  <c r="X4141" i="1"/>
  <c r="Y4149" i="1"/>
  <c r="L1238" i="1"/>
  <c r="N2568" i="1"/>
  <c r="L3502" i="1"/>
  <c r="X4546" i="1"/>
  <c r="L1937" i="1"/>
  <c r="N395" i="1"/>
  <c r="L2990" i="1"/>
  <c r="N782" i="1"/>
  <c r="X4465" i="1"/>
  <c r="L597" i="1"/>
  <c r="N765" i="1"/>
  <c r="Y3936" i="1"/>
  <c r="L453" i="1"/>
  <c r="N109" i="1"/>
  <c r="X4065" i="1"/>
  <c r="Y4264" i="1"/>
  <c r="L1681" i="1"/>
  <c r="N3764" i="1"/>
  <c r="L4265" i="1"/>
  <c r="N956" i="1"/>
  <c r="Y4374" i="1"/>
  <c r="L943" i="1"/>
  <c r="L231" i="1"/>
  <c r="N2432" i="1"/>
  <c r="X3893" i="1"/>
  <c r="L4219" i="1"/>
  <c r="M4352" i="1"/>
  <c r="N1188" i="1"/>
  <c r="L565" i="1"/>
  <c r="N526" i="1"/>
  <c r="L4422" i="1"/>
  <c r="X4402" i="1"/>
  <c r="Y4071" i="1"/>
  <c r="L1890" i="1"/>
  <c r="N2264" i="1"/>
  <c r="Y4188" i="1"/>
  <c r="L168" i="1"/>
  <c r="N1336" i="1"/>
  <c r="X4493" i="1"/>
  <c r="Y4326" i="1"/>
  <c r="L3313" i="1"/>
  <c r="N4288" i="1"/>
  <c r="X4214" i="1"/>
  <c r="L1987" i="1"/>
  <c r="N79" i="1"/>
  <c r="L3614" i="1"/>
  <c r="N431" i="1"/>
  <c r="Y4387" i="1"/>
  <c r="L688" i="1"/>
  <c r="N525" i="1"/>
  <c r="L3834" i="1"/>
  <c r="N2720" i="1"/>
  <c r="L4065" i="1"/>
  <c r="N1503" i="1"/>
  <c r="X4503" i="1"/>
  <c r="L1644" i="1"/>
  <c r="M4319" i="1"/>
  <c r="N991" i="1"/>
  <c r="L17" i="1"/>
  <c r="N2474" i="1"/>
  <c r="L890" i="1"/>
  <c r="N1593" i="1"/>
  <c r="Y4545" i="1"/>
  <c r="L399" i="1"/>
  <c r="N657" i="1"/>
  <c r="L2310" i="1"/>
  <c r="N275" i="1"/>
  <c r="Y4300" i="1"/>
  <c r="L2954" i="1"/>
  <c r="N2383" i="1"/>
  <c r="Y4283" i="1"/>
  <c r="L2161" i="1"/>
  <c r="N4035" i="1"/>
  <c r="L3894" i="1"/>
  <c r="N3696" i="1"/>
  <c r="X4615" i="1"/>
  <c r="L861" i="1"/>
  <c r="N826" i="1"/>
  <c r="L2634" i="1"/>
  <c r="N1845" i="1"/>
  <c r="L2597" i="1"/>
  <c r="N2786" i="1"/>
  <c r="Y4284" i="1"/>
  <c r="L3005" i="1"/>
  <c r="N1109" i="1"/>
  <c r="X4129" i="1"/>
  <c r="L3361" i="1"/>
  <c r="N880" i="1"/>
  <c r="L1905" i="1"/>
  <c r="N3497" i="1"/>
  <c r="L481" i="1"/>
  <c r="N57" i="1"/>
  <c r="Y4477" i="1"/>
  <c r="L1882" i="1"/>
  <c r="N438" i="1"/>
  <c r="L1968" i="1"/>
  <c r="N3990" i="1"/>
  <c r="L1618" i="1"/>
  <c r="L111" i="1"/>
  <c r="N2628" i="1"/>
  <c r="L1947" i="1"/>
  <c r="N412" i="1"/>
  <c r="L4213" i="1"/>
  <c r="N599" i="1"/>
  <c r="X4163" i="1"/>
  <c r="L509" i="1"/>
  <c r="N46" i="1"/>
  <c r="L2927" i="1"/>
  <c r="N3649" i="1"/>
  <c r="L2855" i="1"/>
  <c r="N304" i="1"/>
  <c r="L1226" i="1"/>
  <c r="N1682" i="1"/>
  <c r="L847" i="1"/>
  <c r="N212" i="1"/>
  <c r="L3571" i="1"/>
  <c r="N2978" i="1"/>
  <c r="Y3923" i="1"/>
  <c r="L2361" i="1"/>
  <c r="L3528" i="1"/>
  <c r="N1371" i="1"/>
  <c r="L548" i="1"/>
  <c r="N1040" i="1"/>
  <c r="L3773" i="1"/>
  <c r="N2006" i="1"/>
  <c r="L2705" i="1"/>
  <c r="L3796" i="1"/>
  <c r="M4505" i="1"/>
  <c r="L3613" i="1"/>
  <c r="L2071" i="1"/>
  <c r="N4015" i="1"/>
  <c r="L4253" i="1"/>
  <c r="N2203" i="1"/>
  <c r="L1334" i="1"/>
  <c r="L76" i="1"/>
  <c r="N1398" i="1"/>
  <c r="L3357" i="1"/>
  <c r="N3940" i="1"/>
  <c r="L4501" i="1"/>
  <c r="N2927" i="1"/>
  <c r="L1876" i="1"/>
  <c r="X4561" i="1"/>
  <c r="L3702" i="1"/>
  <c r="Y4614" i="1"/>
  <c r="L3317" i="1"/>
  <c r="N3404" i="1"/>
  <c r="L75" i="1"/>
  <c r="N1561" i="1"/>
  <c r="L4051" i="1"/>
  <c r="L4078" i="1"/>
  <c r="N62" i="1"/>
  <c r="X4221" i="1"/>
  <c r="Y4291" i="1"/>
  <c r="L4286" i="1"/>
  <c r="N2302" i="1"/>
  <c r="X4203" i="1"/>
  <c r="Y4260" i="1"/>
  <c r="L979" i="1"/>
  <c r="N1579" i="1"/>
  <c r="L1447" i="1"/>
  <c r="N437" i="1"/>
  <c r="L1064" i="1"/>
  <c r="N2039" i="1"/>
  <c r="X190" i="1"/>
  <c r="L222" i="1"/>
  <c r="M4407" i="1"/>
  <c r="N1163" i="1"/>
  <c r="L132" i="1"/>
  <c r="N624" i="1"/>
  <c r="L4502" i="1"/>
  <c r="N3088" i="1"/>
  <c r="L3153" i="1"/>
  <c r="N572" i="1"/>
  <c r="L3425" i="1"/>
  <c r="N687" i="1"/>
  <c r="L628" i="1"/>
  <c r="N1379" i="1"/>
  <c r="L3076" i="1"/>
  <c r="N4160" i="1"/>
  <c r="L237" i="1"/>
  <c r="N949" i="1"/>
  <c r="L4141" i="1"/>
  <c r="N4005" i="1"/>
  <c r="X3938" i="1"/>
  <c r="Y4416" i="1"/>
  <c r="L2283" i="1"/>
  <c r="N1041" i="1"/>
  <c r="Y4108" i="1"/>
  <c r="L4168" i="1"/>
  <c r="M4426" i="1"/>
  <c r="N2782" i="1"/>
  <c r="Y67" i="1"/>
  <c r="L1137" i="1"/>
  <c r="N1603" i="1"/>
  <c r="Y3886" i="1"/>
  <c r="L2176" i="1"/>
  <c r="N3689" i="1"/>
  <c r="Y4027" i="1"/>
  <c r="L3668" i="1"/>
  <c r="N2709" i="1"/>
  <c r="Y4437" i="1"/>
  <c r="L2738" i="1"/>
  <c r="N2959" i="1"/>
  <c r="Y4174" i="1"/>
  <c r="L2709" i="1"/>
  <c r="M4329" i="1"/>
  <c r="N2205" i="1"/>
  <c r="X4490" i="1"/>
  <c r="Y4126" i="1"/>
  <c r="L2926" i="1"/>
  <c r="N2763" i="1"/>
  <c r="Y4429" i="1"/>
  <c r="L1379" i="1"/>
  <c r="N4241" i="1"/>
  <c r="Y4286" i="1"/>
  <c r="L1090" i="1"/>
  <c r="N2515" i="1"/>
  <c r="L3314" i="1"/>
  <c r="L1076" i="1"/>
  <c r="L123" i="1"/>
  <c r="N2427" i="1"/>
  <c r="X3967" i="1"/>
  <c r="L3812" i="1"/>
  <c r="N4133" i="1"/>
  <c r="Y3958" i="1"/>
  <c r="L2751" i="1"/>
  <c r="N2069" i="1"/>
  <c r="L3931" i="1"/>
  <c r="N4436" i="1"/>
  <c r="Y4150" i="1"/>
  <c r="L1166" i="1"/>
  <c r="N1148" i="1"/>
  <c r="X4152" i="1"/>
  <c r="L2505" i="1"/>
  <c r="N1356" i="1"/>
  <c r="L4039" i="1"/>
  <c r="N2870" i="1"/>
  <c r="L3421" i="1"/>
  <c r="N1678" i="1"/>
  <c r="L3755" i="1"/>
  <c r="N1989" i="1"/>
  <c r="L3488" i="1"/>
  <c r="N314" i="1"/>
  <c r="L4091" i="1"/>
  <c r="N1638" i="1"/>
  <c r="L1174" i="1"/>
  <c r="N2521" i="1"/>
  <c r="L1284" i="1"/>
  <c r="N2218" i="1"/>
  <c r="L4132" i="1"/>
  <c r="X4476" i="1"/>
  <c r="L2838" i="1"/>
  <c r="N1215" i="1"/>
  <c r="X3872" i="1"/>
  <c r="L2881" i="1"/>
  <c r="L1719" i="1"/>
  <c r="N119" i="1"/>
  <c r="L3921" i="1"/>
  <c r="N715" i="1"/>
  <c r="L664" i="1"/>
  <c r="L3397" i="1"/>
  <c r="N425" i="1"/>
  <c r="L3341" i="1"/>
  <c r="N1055" i="1"/>
  <c r="L710" i="1"/>
  <c r="L4598" i="1"/>
  <c r="M4431" i="1"/>
  <c r="N1150" i="1"/>
  <c r="Y4285" i="1"/>
  <c r="L2313" i="1"/>
  <c r="N2131" i="1"/>
  <c r="Y4487" i="1"/>
  <c r="L3671" i="1"/>
  <c r="N4460" i="1"/>
  <c r="X3850" i="1"/>
  <c r="L2897" i="1"/>
  <c r="X4403" i="1"/>
  <c r="L1118" i="1"/>
  <c r="N2159" i="1"/>
  <c r="X4409" i="1"/>
  <c r="L3333" i="1"/>
  <c r="M4523" i="1"/>
  <c r="N8" i="1"/>
  <c r="L4597" i="1"/>
  <c r="X4545" i="1"/>
  <c r="L2456" i="1"/>
  <c r="N262" i="1"/>
  <c r="L2576" i="1"/>
  <c r="N3243" i="1"/>
  <c r="L922" i="1"/>
  <c r="N2157" i="1"/>
  <c r="X4287" i="1"/>
  <c r="L1794" i="1"/>
  <c r="N1274" i="1"/>
  <c r="L3515" i="1"/>
  <c r="N1145" i="1"/>
  <c r="X4574" i="1"/>
  <c r="L2066" i="1"/>
  <c r="N2477" i="1"/>
  <c r="L245" i="1"/>
  <c r="N3347" i="1"/>
  <c r="L657" i="1"/>
  <c r="N478" i="1"/>
  <c r="L192" i="1"/>
  <c r="N113" i="1"/>
  <c r="X4484" i="1"/>
  <c r="L3832" i="1"/>
  <c r="N2180" i="1"/>
  <c r="L2421" i="1"/>
  <c r="N4039" i="1"/>
  <c r="Y4504" i="1"/>
  <c r="L709" i="1"/>
  <c r="M4308" i="1"/>
  <c r="L1997" i="1"/>
  <c r="N2538" i="1"/>
  <c r="L73" i="1"/>
  <c r="N461" i="1"/>
  <c r="L4137" i="1"/>
  <c r="N2838" i="1"/>
  <c r="L331" i="1"/>
  <c r="L1020" i="1"/>
  <c r="N1035" i="1"/>
  <c r="Y3896" i="1"/>
  <c r="L1531" i="1"/>
  <c r="N2468" i="1"/>
  <c r="L2594" i="1"/>
  <c r="N838" i="1"/>
  <c r="L105" i="1"/>
  <c r="N2604" i="1"/>
  <c r="X4011" i="1"/>
  <c r="L2734" i="1"/>
  <c r="N4233" i="1"/>
  <c r="X4414" i="1"/>
  <c r="L258" i="1"/>
  <c r="N2805" i="1"/>
  <c r="L1847" i="1"/>
  <c r="N3304" i="1"/>
  <c r="L150" i="1"/>
  <c r="N2541" i="1"/>
  <c r="L1321" i="1"/>
  <c r="N1324" i="1"/>
  <c r="L1578" i="1"/>
  <c r="N3748" i="1"/>
  <c r="L3039" i="1"/>
  <c r="N4087" i="1"/>
  <c r="L4097" i="1"/>
  <c r="N2577" i="1"/>
  <c r="L1430" i="1"/>
  <c r="N3361" i="1"/>
  <c r="L918" i="1"/>
  <c r="N3973" i="1"/>
  <c r="Y4613" i="1"/>
  <c r="L2220" i="1"/>
  <c r="M4598" i="1"/>
  <c r="L572" i="1"/>
  <c r="X3931" i="1"/>
  <c r="L2525" i="1"/>
  <c r="N4198" i="1"/>
  <c r="L784" i="1"/>
  <c r="N2114" i="1"/>
  <c r="L3287" i="1"/>
  <c r="Y4275" i="1"/>
  <c r="L4477" i="1"/>
  <c r="N806" i="1"/>
  <c r="Y4542" i="1"/>
  <c r="L3703" i="1"/>
  <c r="X4178" i="1"/>
  <c r="Y4480" i="1"/>
  <c r="L4444" i="1"/>
  <c r="N2041" i="1"/>
  <c r="Y4130" i="1"/>
  <c r="L4135" i="1"/>
  <c r="Y4089" i="1"/>
  <c r="L3336" i="1"/>
  <c r="N2754" i="1"/>
  <c r="Y3884" i="1"/>
  <c r="L148" i="1"/>
  <c r="N4572" i="1"/>
  <c r="X4199" i="1"/>
  <c r="Y4266" i="1"/>
  <c r="L4053" i="1"/>
  <c r="X3950" i="1"/>
  <c r="L907" i="1"/>
  <c r="N85" i="1"/>
  <c r="L154" i="1"/>
  <c r="N112" i="1"/>
  <c r="Y4455" i="1"/>
  <c r="L2028" i="1"/>
  <c r="N637" i="1"/>
  <c r="X4612" i="1"/>
  <c r="L2535" i="1"/>
  <c r="N968" i="1"/>
  <c r="L95" i="1"/>
  <c r="N1243" i="1"/>
  <c r="L3565" i="1"/>
  <c r="N915" i="1"/>
  <c r="Y4002" i="1"/>
  <c r="L3895" i="1"/>
  <c r="N2689" i="1"/>
  <c r="X4443" i="1"/>
  <c r="Y4105" i="1"/>
  <c r="L1958" i="1"/>
  <c r="N2970" i="1"/>
  <c r="Y4513" i="1"/>
  <c r="L4005" i="1"/>
  <c r="N4386" i="1"/>
  <c r="Y4340" i="1"/>
  <c r="L3094" i="1"/>
  <c r="N2703" i="1"/>
  <c r="Y4579" i="1"/>
  <c r="L4292" i="1"/>
  <c r="N3810" i="1"/>
  <c r="Y4239" i="1"/>
  <c r="L810" i="1"/>
  <c r="M4274" i="1"/>
  <c r="N3009" i="1"/>
  <c r="Y4331" i="1"/>
  <c r="L3277" i="1"/>
  <c r="N182" i="1"/>
  <c r="X4213" i="1"/>
  <c r="Y4549" i="1"/>
  <c r="L818" i="1"/>
  <c r="N1299" i="1"/>
  <c r="Y4531" i="1"/>
  <c r="L88" i="1"/>
  <c r="N3703" i="1"/>
  <c r="Y4554" i="1"/>
  <c r="L2717" i="1"/>
  <c r="Y4250" i="1"/>
  <c r="L323" i="1"/>
  <c r="N2765" i="1"/>
  <c r="L3258" i="1"/>
  <c r="X4008" i="1"/>
  <c r="Y3909" i="1"/>
  <c r="L3487" i="1"/>
  <c r="X3975" i="1"/>
  <c r="L2203" i="1"/>
  <c r="M4465" i="1"/>
  <c r="N3665" i="1"/>
  <c r="Y3914" i="1"/>
  <c r="L4318" i="1"/>
  <c r="N4373" i="1"/>
  <c r="X4424" i="1"/>
  <c r="L717" i="1"/>
  <c r="N2803" i="1"/>
  <c r="L3242" i="1"/>
  <c r="N1290" i="1"/>
  <c r="X4209" i="1"/>
  <c r="L1857" i="1"/>
  <c r="N479" i="1"/>
  <c r="L1451" i="1"/>
  <c r="N2342" i="1"/>
  <c r="L4481" i="1"/>
  <c r="L1624" i="1"/>
  <c r="N1002" i="1"/>
  <c r="L1962" i="1"/>
  <c r="X4087" i="1"/>
  <c r="L2557" i="1"/>
  <c r="L3799" i="1"/>
  <c r="M4376" i="1"/>
  <c r="N876" i="1"/>
  <c r="L4054" i="1"/>
  <c r="N3442" i="1"/>
  <c r="Y4088" i="1"/>
  <c r="L1749" i="1"/>
  <c r="N1874" i="1"/>
  <c r="X4393" i="1"/>
  <c r="Y3927" i="1"/>
  <c r="L2234" i="1"/>
  <c r="M4566" i="1"/>
  <c r="N3576" i="1"/>
  <c r="X4573" i="1"/>
  <c r="Y3953" i="1"/>
  <c r="L787" i="1"/>
  <c r="N1456" i="1"/>
  <c r="L3338" i="1"/>
  <c r="N3038" i="1"/>
  <c r="X4313" i="1"/>
  <c r="L3649" i="1"/>
  <c r="L2828" i="1"/>
  <c r="Y3860" i="1"/>
  <c r="L3858" i="1"/>
  <c r="N3655" i="1"/>
  <c r="L4289" i="1"/>
  <c r="L494" i="1"/>
  <c r="N1956" i="1"/>
  <c r="L502" i="1"/>
  <c r="L4396" i="1"/>
  <c r="N1728" i="1"/>
  <c r="L443" i="1"/>
  <c r="M4480" i="1"/>
  <c r="L2512" i="1"/>
  <c r="N2482" i="1"/>
  <c r="L2977" i="1"/>
  <c r="L3993" i="1"/>
  <c r="N4570" i="1"/>
  <c r="L2196" i="1"/>
  <c r="M4353" i="1"/>
  <c r="N545" i="1"/>
  <c r="X4614" i="1"/>
  <c r="L4471" i="1"/>
  <c r="N2641" i="1"/>
  <c r="L1705" i="1"/>
  <c r="N2189" i="1"/>
  <c r="L1087" i="1"/>
  <c r="N4012" i="1"/>
  <c r="X3958" i="1"/>
  <c r="L4055" i="1"/>
  <c r="N2450" i="1"/>
  <c r="L1228" i="1"/>
  <c r="L2490" i="1"/>
  <c r="L704" i="1"/>
  <c r="N4100" i="1"/>
  <c r="L2446" i="1"/>
  <c r="N3475" i="1"/>
  <c r="L2887" i="1"/>
  <c r="N4529" i="1"/>
  <c r="L3133" i="1"/>
  <c r="N3995" i="1"/>
  <c r="L3816" i="1"/>
  <c r="N2008" i="1"/>
  <c r="L4521" i="1"/>
  <c r="N3137" i="1"/>
  <c r="L3903" i="1"/>
  <c r="N3282" i="1"/>
  <c r="L2461" i="1"/>
  <c r="L1158" i="1"/>
  <c r="M4330" i="1"/>
  <c r="N2852" i="1"/>
  <c r="X3918" i="1"/>
  <c r="L4308" i="1"/>
  <c r="N2813" i="1"/>
  <c r="L933" i="1"/>
  <c r="N4511" i="1"/>
  <c r="X4034" i="1"/>
  <c r="L2846" i="1"/>
  <c r="N2871" i="1"/>
  <c r="X4553" i="1"/>
  <c r="Y3950" i="1"/>
  <c r="L2144" i="1"/>
  <c r="N4121" i="1"/>
  <c r="Y4370" i="1"/>
  <c r="L2354" i="1"/>
  <c r="N3792" i="1"/>
  <c r="L3041" i="1"/>
  <c r="N19" i="1"/>
  <c r="L3339" i="1"/>
  <c r="L596" i="1"/>
  <c r="N2547" i="1"/>
  <c r="L3062" i="1"/>
  <c r="N2687" i="1"/>
  <c r="L687" i="1"/>
  <c r="N2823" i="1"/>
  <c r="L332" i="1"/>
  <c r="M4281" i="1"/>
  <c r="L4610" i="1"/>
  <c r="N2213" i="1"/>
  <c r="L1950" i="1"/>
  <c r="N4447" i="1"/>
  <c r="X3900" i="1"/>
  <c r="L3442" i="1"/>
  <c r="N1439" i="1"/>
  <c r="X4242" i="1"/>
  <c r="Y4364" i="1"/>
  <c r="L326" i="1"/>
  <c r="N2267" i="1"/>
  <c r="Y3977" i="1"/>
  <c r="L981" i="1"/>
  <c r="L3625" i="1"/>
  <c r="N827" i="1"/>
  <c r="X4067" i="1"/>
  <c r="Y4448" i="1"/>
  <c r="L609" i="1"/>
  <c r="N4343" i="1"/>
  <c r="L766" i="1"/>
  <c r="X4564" i="1"/>
  <c r="L2618" i="1"/>
  <c r="N2211" i="1"/>
  <c r="Y3874" i="1"/>
  <c r="Z4353" i="1"/>
  <c r="L4125" i="1"/>
  <c r="N23" i="1"/>
  <c r="X4077" i="1"/>
  <c r="L2946" i="1"/>
  <c r="N2528" i="1"/>
  <c r="X4252" i="1"/>
  <c r="L6" i="1"/>
  <c r="N63" i="1"/>
  <c r="L3486" i="1"/>
  <c r="N1776" i="1"/>
  <c r="X4333" i="1"/>
  <c r="L4067" i="1"/>
  <c r="N2581" i="1"/>
  <c r="L1627" i="1"/>
  <c r="N4392" i="1"/>
  <c r="L3067" i="1"/>
  <c r="L3378" i="1"/>
  <c r="N2516" i="1"/>
  <c r="L2660" i="1"/>
  <c r="L3343" i="1"/>
  <c r="L223" i="1"/>
  <c r="N1990" i="1"/>
  <c r="X4613" i="1"/>
  <c r="Y4154" i="1"/>
  <c r="L3562" i="1"/>
  <c r="N2408" i="1"/>
  <c r="L2007" i="1"/>
  <c r="N3775" i="1"/>
  <c r="L1701" i="1"/>
  <c r="N947" i="1"/>
  <c r="L1301" i="1"/>
  <c r="N297" i="1"/>
  <c r="L1449" i="1"/>
  <c r="N3563" i="1"/>
  <c r="Y4578" i="1"/>
  <c r="L1501" i="1"/>
  <c r="N685" i="1"/>
  <c r="L4437" i="1"/>
  <c r="N1854" i="1"/>
  <c r="L1676" i="1"/>
  <c r="N2194" i="1"/>
  <c r="X4253" i="1"/>
  <c r="L959" i="1"/>
  <c r="N2167" i="1"/>
  <c r="Z4511" i="1"/>
  <c r="L1185" i="1"/>
  <c r="N163" i="1"/>
  <c r="L718" i="1"/>
  <c r="N492" i="1"/>
  <c r="L505" i="1"/>
  <c r="N3686" i="1"/>
  <c r="L3584" i="1"/>
  <c r="N45" i="1"/>
  <c r="Y4499" i="1"/>
  <c r="L3998" i="1"/>
  <c r="N4305" i="1"/>
  <c r="L1215" i="1"/>
  <c r="L372" i="1"/>
  <c r="N1006" i="1"/>
  <c r="L2648" i="1"/>
  <c r="Y4479" i="1"/>
  <c r="L2967" i="1"/>
  <c r="N2605" i="1"/>
  <c r="Y70" i="1"/>
  <c r="L3925" i="1"/>
  <c r="N535" i="1"/>
  <c r="Y4078" i="1"/>
  <c r="L3240" i="1"/>
  <c r="N2560" i="1"/>
  <c r="L3403" i="1"/>
  <c r="N883" i="1"/>
  <c r="Y4591" i="1"/>
  <c r="L2292" i="1"/>
  <c r="N3366" i="1"/>
  <c r="L2078" i="1"/>
  <c r="N4503" i="1"/>
  <c r="Y4189" i="1"/>
  <c r="L706" i="1"/>
  <c r="Y4406" i="1"/>
  <c r="L519" i="1"/>
  <c r="Y4428" i="1"/>
  <c r="L1446" i="1"/>
  <c r="N50" i="1"/>
  <c r="Y3941" i="1"/>
  <c r="L4216" i="1"/>
  <c r="M4558" i="1"/>
  <c r="N1459" i="1"/>
  <c r="Y4014" i="1"/>
  <c r="L3983" i="1"/>
  <c r="M4328" i="1"/>
  <c r="N497" i="1"/>
  <c r="L1540" i="1"/>
  <c r="N2403" i="1"/>
  <c r="X4432" i="1"/>
  <c r="Y3964" i="1"/>
  <c r="L135" i="1"/>
  <c r="N4176" i="1"/>
  <c r="Y4319" i="1"/>
  <c r="L1581" i="1"/>
  <c r="N1921" i="1"/>
  <c r="Y4191" i="1"/>
  <c r="L1296" i="1"/>
  <c r="N866" i="1"/>
  <c r="L2182" i="1"/>
  <c r="Y4465" i="1"/>
  <c r="L2465" i="1"/>
  <c r="N3765" i="1"/>
  <c r="X3895" i="1"/>
  <c r="Y4594" i="1"/>
  <c r="L2128" i="1"/>
  <c r="N407" i="1"/>
  <c r="Y4527" i="1"/>
  <c r="L3004" i="1"/>
  <c r="N4216" i="1"/>
  <c r="Y4199" i="1"/>
  <c r="L2997" i="1"/>
  <c r="N2858" i="1"/>
  <c r="L2205" i="1"/>
  <c r="N1784" i="1"/>
  <c r="X4206" i="1"/>
  <c r="L2379" i="1"/>
  <c r="N289" i="1"/>
  <c r="X4292" i="1"/>
  <c r="Y4546" i="1"/>
  <c r="L4334" i="1"/>
  <c r="N103" i="1"/>
  <c r="Y4588" i="1"/>
  <c r="L2567" i="1"/>
  <c r="N2226" i="1"/>
  <c r="Y4354" i="1"/>
  <c r="L2638" i="1"/>
  <c r="N4132" i="1"/>
  <c r="Y4173" i="1"/>
  <c r="L804" i="1"/>
  <c r="N1553" i="1"/>
  <c r="Y4423" i="1"/>
  <c r="L2138" i="1"/>
  <c r="L3598" i="1"/>
  <c r="N1987" i="1"/>
  <c r="X4497" i="1"/>
  <c r="L2650" i="1"/>
  <c r="N3211" i="1"/>
  <c r="L3609" i="1"/>
  <c r="L2822" i="1"/>
  <c r="X4265" i="1"/>
  <c r="L3846" i="1"/>
  <c r="N64" i="1"/>
  <c r="L869" i="1"/>
  <c r="M4450" i="1"/>
  <c r="L743" i="1"/>
  <c r="L3790" i="1"/>
  <c r="N2921" i="1"/>
  <c r="X3894" i="1"/>
  <c r="Y3895" i="1"/>
  <c r="L2500" i="1"/>
  <c r="N3507" i="1"/>
  <c r="X3858" i="1"/>
  <c r="L2166" i="1"/>
  <c r="N354" i="1"/>
  <c r="L822" i="1"/>
  <c r="N1223" i="1"/>
  <c r="X4547" i="1"/>
  <c r="L3506" i="1"/>
  <c r="N3753" i="1"/>
  <c r="X3942" i="1"/>
  <c r="L2991" i="1"/>
  <c r="N274" i="1"/>
  <c r="L2402" i="1"/>
  <c r="N3670" i="1"/>
  <c r="L2279" i="1"/>
  <c r="N3362" i="1"/>
  <c r="L898" i="1"/>
  <c r="M4565" i="1"/>
  <c r="N3759" i="1"/>
  <c r="L579" i="1"/>
  <c r="N257" i="1"/>
  <c r="L4505" i="1"/>
  <c r="L1201" i="1"/>
  <c r="N2558" i="1"/>
  <c r="L578" i="1"/>
  <c r="N1888" i="1"/>
  <c r="X3847" i="1"/>
  <c r="Y4617" i="1"/>
  <c r="L3922" i="1"/>
  <c r="N4530" i="1"/>
  <c r="L2304" i="1"/>
  <c r="M4331" i="1"/>
  <c r="N3437" i="1"/>
  <c r="Y4495" i="1"/>
  <c r="L3590" i="1"/>
  <c r="N1394" i="1"/>
  <c r="L3194" i="1"/>
  <c r="N3715" i="1"/>
  <c r="L746" i="1"/>
  <c r="L2117" i="1"/>
  <c r="N193" i="1"/>
  <c r="Y4211" i="1"/>
  <c r="L721" i="1"/>
  <c r="N2943" i="1"/>
  <c r="L461" i="1"/>
  <c r="M4425" i="1"/>
  <c r="L1262" i="1"/>
  <c r="N1488" i="1"/>
  <c r="L397" i="1"/>
  <c r="N134" i="1"/>
  <c r="L4551" i="1"/>
  <c r="N58" i="1"/>
  <c r="L1741" i="1"/>
  <c r="N1261" i="1"/>
  <c r="X3925" i="1"/>
  <c r="L1246" i="1"/>
  <c r="N1449" i="1"/>
  <c r="Z138" i="1"/>
  <c r="L1608" i="1"/>
  <c r="Y4592" i="1"/>
  <c r="L558" i="1"/>
  <c r="N4017" i="1"/>
  <c r="L1669" i="1"/>
  <c r="N686" i="1"/>
  <c r="X4320" i="1"/>
  <c r="L2637" i="1"/>
  <c r="N1895" i="1"/>
  <c r="L1512" i="1"/>
  <c r="L899" i="1"/>
  <c r="N903" i="1"/>
  <c r="L3022" i="1"/>
  <c r="N4512" i="1"/>
  <c r="L1751" i="1"/>
  <c r="X4032" i="1"/>
  <c r="Y4389" i="1"/>
  <c r="L716" i="1"/>
  <c r="N3945" i="1"/>
  <c r="L24" i="1"/>
  <c r="X4527" i="1"/>
  <c r="Y3897" i="1"/>
  <c r="L764" i="1"/>
  <c r="M4404" i="1"/>
  <c r="Y4146" i="1"/>
  <c r="L439" i="1"/>
  <c r="N1763" i="1"/>
  <c r="X122" i="1"/>
  <c r="L1839" i="1"/>
  <c r="N208" i="1"/>
  <c r="L3436" i="1"/>
  <c r="L2191" i="1"/>
  <c r="M4368" i="1"/>
  <c r="L4008" i="1"/>
  <c r="N3767" i="1"/>
  <c r="X4322" i="1"/>
  <c r="L1427" i="1"/>
  <c r="N3494" i="1"/>
  <c r="L3756" i="1"/>
  <c r="N152" i="1"/>
  <c r="L4038" i="1"/>
  <c r="N569" i="1"/>
  <c r="L1175" i="1"/>
  <c r="N1919" i="1"/>
  <c r="L3136" i="1"/>
  <c r="N3330" i="1"/>
  <c r="X4103" i="1"/>
  <c r="L4450" i="1"/>
  <c r="N4056" i="1"/>
  <c r="X4600" i="1"/>
  <c r="L4371" i="1"/>
  <c r="N217" i="1"/>
  <c r="L3663" i="1"/>
  <c r="N776" i="1"/>
  <c r="X4343" i="1"/>
  <c r="L2359" i="1"/>
  <c r="N329" i="1"/>
  <c r="X4344" i="1"/>
  <c r="L636" i="1"/>
  <c r="L425" i="1"/>
  <c r="N1403" i="1"/>
  <c r="L2027" i="1"/>
  <c r="L2029" i="1"/>
  <c r="L2179" i="1"/>
  <c r="N2448" i="1"/>
  <c r="X4181" i="1"/>
  <c r="L2882" i="1"/>
  <c r="L1138" i="1"/>
  <c r="N3048" i="1"/>
  <c r="X3868" i="1"/>
  <c r="L1412" i="1"/>
  <c r="N736" i="1"/>
  <c r="Z4417" i="1"/>
  <c r="L4122" i="1"/>
  <c r="L3823" i="1"/>
  <c r="L3864" i="1"/>
  <c r="N3212" i="1"/>
  <c r="L570" i="1"/>
  <c r="L1039" i="1"/>
  <c r="N609" i="1"/>
  <c r="X4611" i="1"/>
  <c r="Y4309" i="1"/>
  <c r="L487" i="1"/>
  <c r="N2346" i="1"/>
  <c r="X3992" i="1"/>
  <c r="L840" i="1"/>
  <c r="L2718" i="1"/>
  <c r="N2178" i="1"/>
  <c r="L3426" i="1"/>
  <c r="N1964" i="1"/>
  <c r="L2561" i="1"/>
  <c r="M4433" i="1"/>
  <c r="N1666" i="1"/>
  <c r="L2503" i="1"/>
  <c r="N4059" i="1"/>
  <c r="L1854" i="1"/>
  <c r="N1497" i="1"/>
  <c r="L2477" i="1"/>
  <c r="N4126" i="1"/>
  <c r="L4469" i="1"/>
  <c r="N2901" i="1"/>
  <c r="L406" i="1"/>
  <c r="N804" i="1"/>
  <c r="L2918" i="1"/>
  <c r="L2460" i="1"/>
  <c r="X4474" i="1"/>
  <c r="Y4011" i="1"/>
  <c r="L3641" i="1"/>
  <c r="L3853" i="1"/>
  <c r="N1024" i="1"/>
  <c r="L418" i="1"/>
  <c r="N1034" i="1"/>
  <c r="L3455" i="1"/>
  <c r="N2736" i="1"/>
  <c r="L705" i="1"/>
  <c r="N466" i="1"/>
  <c r="L4198" i="1"/>
  <c r="N1859" i="1"/>
  <c r="L2172" i="1"/>
  <c r="N936" i="1"/>
  <c r="L4352" i="1"/>
  <c r="N2050" i="1"/>
  <c r="Y4040" i="1"/>
  <c r="L1878" i="1"/>
  <c r="M4611" i="1"/>
  <c r="N816" i="1"/>
  <c r="L2912" i="1"/>
  <c r="L307" i="1"/>
  <c r="N471" i="1"/>
  <c r="L2697" i="1"/>
  <c r="N1491" i="1"/>
  <c r="L2360" i="1"/>
  <c r="N3440" i="1"/>
  <c r="L528" i="1"/>
  <c r="N4418" i="1"/>
  <c r="L1164" i="1"/>
  <c r="N2291" i="1"/>
  <c r="L3981" i="1"/>
  <c r="L3342" i="1"/>
  <c r="N4211" i="1"/>
  <c r="L3851" i="1"/>
  <c r="N2610" i="1"/>
  <c r="X4589" i="1"/>
  <c r="L2972" i="1"/>
  <c r="N3468" i="1"/>
  <c r="L1114" i="1"/>
  <c r="N3253" i="1"/>
  <c r="L54" i="1"/>
  <c r="N2523" i="1"/>
  <c r="X4459" i="1"/>
  <c r="L2849" i="1"/>
  <c r="L4451" i="1"/>
  <c r="N3682" i="1"/>
  <c r="X3886" i="1"/>
  <c r="L3412" i="1"/>
  <c r="N3417" i="1"/>
  <c r="L2947" i="1"/>
  <c r="N4352" i="1"/>
  <c r="X4296" i="1"/>
  <c r="L763" i="1"/>
  <c r="N475" i="1"/>
  <c r="L3168" i="1"/>
  <c r="N3273" i="1"/>
  <c r="L3879" i="1"/>
  <c r="N4540" i="1"/>
  <c r="L837" i="1"/>
  <c r="N1357" i="1"/>
  <c r="X4016" i="1"/>
  <c r="L577" i="1"/>
  <c r="N3226" i="1"/>
  <c r="L2482" i="1"/>
  <c r="N266" i="1"/>
  <c r="L4154" i="1"/>
  <c r="N638" i="1"/>
  <c r="L4160" i="1"/>
  <c r="N3143" i="1"/>
  <c r="L3100" i="1"/>
  <c r="N3858" i="1"/>
  <c r="L1550" i="1"/>
  <c r="N1912" i="1"/>
  <c r="L1362" i="1"/>
  <c r="N3835" i="1"/>
  <c r="L2863" i="1"/>
  <c r="N1833" i="1"/>
  <c r="L4056" i="1"/>
  <c r="L3531" i="1"/>
  <c r="N1863" i="1"/>
  <c r="X4186" i="1"/>
  <c r="L1398" i="1"/>
  <c r="N3309" i="1"/>
  <c r="L4261" i="1"/>
  <c r="L2583" i="1"/>
  <c r="N3406" i="1"/>
  <c r="L4322" i="1"/>
  <c r="N3044" i="1"/>
  <c r="L4494" i="1"/>
  <c r="N2995" i="1"/>
  <c r="X4102" i="1"/>
  <c r="L3678" i="1"/>
  <c r="N151" i="1"/>
  <c r="L3476" i="1"/>
  <c r="N1751" i="1"/>
  <c r="L2406" i="1"/>
  <c r="L686" i="1"/>
  <c r="N557" i="1"/>
  <c r="L1865" i="1"/>
  <c r="N1800" i="1"/>
  <c r="L288" i="1"/>
  <c r="X4245" i="1"/>
  <c r="L4538" i="1"/>
  <c r="N1025" i="1"/>
  <c r="L3161" i="1"/>
  <c r="N2614" i="1"/>
  <c r="L2157" i="1"/>
  <c r="N1467" i="1"/>
  <c r="L4388" i="1"/>
  <c r="N1199" i="1"/>
  <c r="L2607" i="1"/>
  <c r="N2397" i="1"/>
  <c r="L3581" i="1"/>
  <c r="N2653" i="1"/>
  <c r="L3098" i="1"/>
  <c r="N612" i="1"/>
  <c r="L1261" i="1"/>
  <c r="N751" i="1"/>
  <c r="L812" i="1"/>
  <c r="N2520" i="1"/>
  <c r="L1407" i="1"/>
  <c r="N3126" i="1"/>
  <c r="L3388" i="1"/>
  <c r="N4348" i="1"/>
  <c r="L3234" i="1"/>
  <c r="N4016" i="1"/>
  <c r="L3610" i="1"/>
  <c r="L309" i="1"/>
  <c r="N1858" i="1"/>
  <c r="L85" i="1"/>
  <c r="N3981" i="1"/>
  <c r="L2868" i="1"/>
  <c r="N480" i="1"/>
  <c r="L4320" i="1"/>
  <c r="N3239" i="1"/>
  <c r="L27" i="1"/>
  <c r="N916" i="1"/>
  <c r="L1040" i="1"/>
  <c r="N3142" i="1"/>
  <c r="L561" i="1"/>
  <c r="N2827" i="1"/>
  <c r="L3619" i="1"/>
  <c r="N2794" i="1"/>
  <c r="L3504" i="1"/>
  <c r="N2014" i="1"/>
  <c r="L1179" i="1"/>
  <c r="N2671" i="1"/>
  <c r="L3483" i="1"/>
  <c r="N1880" i="1"/>
  <c r="L2626" i="1"/>
  <c r="N3590" i="1"/>
  <c r="L1601" i="1"/>
  <c r="N2407" i="1"/>
  <c r="L256" i="1"/>
  <c r="N1095" i="1"/>
  <c r="L930" i="1"/>
  <c r="N1973" i="1"/>
  <c r="L1145" i="1"/>
  <c r="N1172" i="1"/>
  <c r="L324" i="1"/>
  <c r="N721" i="1"/>
  <c r="L3021" i="1"/>
  <c r="N2065" i="1"/>
  <c r="L4312" i="1"/>
  <c r="N2215" i="1"/>
  <c r="L1748" i="1"/>
  <c r="N3481" i="1"/>
  <c r="L2449" i="1"/>
  <c r="N3532" i="1"/>
  <c r="L3833" i="1"/>
  <c r="N1351" i="1"/>
  <c r="X4350" i="1"/>
  <c r="L187" i="1"/>
  <c r="N1689" i="1"/>
  <c r="L1507" i="1"/>
  <c r="N3848" i="1"/>
  <c r="L1387" i="1"/>
  <c r="N3062" i="1"/>
  <c r="L4305" i="1"/>
  <c r="L3592" i="1"/>
  <c r="N4163" i="1"/>
  <c r="L874" i="1"/>
  <c r="N1251" i="1"/>
  <c r="L1149" i="1"/>
  <c r="M4618" i="1"/>
  <c r="N3274" i="1"/>
  <c r="L1568" i="1"/>
  <c r="N4478" i="1"/>
  <c r="Z4487" i="1"/>
  <c r="L4522" i="1"/>
  <c r="X4442" i="1"/>
  <c r="L247" i="1"/>
  <c r="N821" i="1"/>
  <c r="L1120" i="1"/>
  <c r="N2365" i="1"/>
  <c r="L2586" i="1"/>
  <c r="N1520" i="1"/>
  <c r="L2405" i="1"/>
  <c r="M4257" i="1"/>
  <c r="N4164" i="1"/>
  <c r="L4214" i="1"/>
  <c r="L4380" i="1"/>
  <c r="N3418" i="1"/>
  <c r="L327" i="1"/>
  <c r="M4528" i="1"/>
  <c r="N3962" i="1"/>
  <c r="L1786" i="1"/>
  <c r="N1563" i="1"/>
  <c r="Z4615" i="1"/>
  <c r="L1525" i="1"/>
  <c r="N81" i="1"/>
  <c r="L4406" i="1"/>
  <c r="L1563" i="1"/>
  <c r="N2406" i="1"/>
  <c r="L4235" i="1"/>
  <c r="N3184" i="1"/>
  <c r="Y3982" i="1"/>
  <c r="L26" i="1"/>
  <c r="N2580" i="1"/>
  <c r="X4035" i="1"/>
  <c r="L3947" i="1"/>
  <c r="L2562" i="1"/>
  <c r="N737" i="1"/>
  <c r="L3786" i="1"/>
  <c r="L4557" i="1"/>
  <c r="N3086" i="1"/>
  <c r="L782" i="1"/>
  <c r="N1517" i="1"/>
  <c r="L3662" i="1"/>
  <c r="N690" i="1"/>
  <c r="L1195" i="1"/>
  <c r="N3331" i="1"/>
  <c r="L1112" i="1"/>
  <c r="Y4023" i="1"/>
  <c r="L437" i="1"/>
  <c r="N2013" i="1"/>
  <c r="L3775" i="1"/>
  <c r="N907" i="1"/>
  <c r="L3567" i="1"/>
  <c r="N1982" i="1"/>
  <c r="X4257" i="1"/>
  <c r="L560" i="1"/>
  <c r="N355" i="1"/>
  <c r="L2187" i="1"/>
  <c r="L3399" i="1"/>
  <c r="N558" i="1"/>
  <c r="L771" i="1"/>
  <c r="N1798" i="1"/>
  <c r="L1746" i="1"/>
  <c r="N3128" i="1"/>
  <c r="L3410" i="1"/>
  <c r="N1842" i="1"/>
  <c r="L261" i="1"/>
  <c r="N986" i="1"/>
  <c r="X4069" i="1"/>
  <c r="L3064" i="1"/>
  <c r="N3911" i="1"/>
  <c r="L2447" i="1"/>
  <c r="M4556" i="1"/>
  <c r="N4615" i="1"/>
  <c r="L2841" i="1"/>
  <c r="M4608" i="1"/>
  <c r="N3760" i="1"/>
  <c r="L1780" i="1"/>
  <c r="N2492" i="1"/>
  <c r="X4278" i="1"/>
  <c r="L271" i="1"/>
  <c r="N493" i="1"/>
  <c r="L3743" i="1"/>
  <c r="N2095" i="1"/>
  <c r="L2526" i="1"/>
  <c r="M4514" i="1"/>
  <c r="N3978" i="1"/>
  <c r="L4094" i="1"/>
  <c r="N2344" i="1"/>
  <c r="X3870" i="1"/>
  <c r="L556" i="1"/>
  <c r="X4200" i="1"/>
  <c r="L995" i="1"/>
  <c r="N2673" i="1"/>
  <c r="L2769" i="1"/>
  <c r="N392" i="1"/>
  <c r="L3283" i="1"/>
  <c r="N1279" i="1"/>
  <c r="X4610" i="1"/>
  <c r="Y3887" i="1"/>
  <c r="L2451" i="1"/>
  <c r="N3594" i="1"/>
  <c r="Y3893" i="1"/>
  <c r="L15" i="1"/>
  <c r="N651" i="1"/>
  <c r="L2885" i="1"/>
  <c r="N1594" i="1"/>
  <c r="L328" i="1"/>
  <c r="M4287" i="1"/>
  <c r="N519" i="1"/>
  <c r="L936" i="1"/>
  <c r="N4265" i="1"/>
  <c r="Y3985" i="1"/>
  <c r="L1157" i="1"/>
  <c r="N4473" i="1"/>
  <c r="L4074" i="1"/>
  <c r="N1977" i="1"/>
  <c r="L806" i="1"/>
  <c r="N439" i="1"/>
  <c r="L737" i="1"/>
  <c r="L3658" i="1"/>
  <c r="N2885" i="1"/>
  <c r="L2475" i="1"/>
  <c r="N4336" i="1"/>
  <c r="L4013" i="1"/>
  <c r="N717" i="1"/>
  <c r="L3482" i="1"/>
  <c r="L3262" i="1"/>
  <c r="N856" i="1"/>
  <c r="L1789" i="1"/>
  <c r="M4418" i="1"/>
  <c r="N3010" i="1"/>
  <c r="L3299" i="1"/>
  <c r="L3518" i="1"/>
  <c r="N1124" i="1"/>
  <c r="L2083" i="1"/>
  <c r="M4383" i="1"/>
  <c r="N602" i="1"/>
  <c r="L1821" i="1"/>
  <c r="N764" i="1"/>
  <c r="L3290" i="1"/>
  <c r="M4568" i="1"/>
  <c r="L1357" i="1"/>
  <c r="N2110" i="1"/>
  <c r="L343" i="1"/>
  <c r="N1081" i="1"/>
  <c r="X4013" i="1"/>
  <c r="L3018" i="1"/>
  <c r="N4115" i="1"/>
  <c r="Y3943" i="1"/>
  <c r="L988" i="1"/>
  <c r="X4052" i="1"/>
  <c r="L4012" i="1"/>
  <c r="N1744" i="1"/>
  <c r="L1313" i="1"/>
  <c r="N404" i="1"/>
  <c r="L644" i="1"/>
  <c r="L4128" i="1"/>
  <c r="N406" i="1"/>
  <c r="L1381" i="1"/>
  <c r="M4493" i="1"/>
  <c r="L731" i="1"/>
  <c r="X3989" i="1"/>
  <c r="L1304" i="1"/>
  <c r="N77" i="1"/>
  <c r="L3091" i="1"/>
  <c r="N975" i="1"/>
  <c r="X4022" i="1"/>
  <c r="L3519" i="1"/>
  <c r="N2699" i="1"/>
  <c r="L337" i="1"/>
  <c r="N2282" i="1"/>
  <c r="Y4049" i="1"/>
  <c r="L4555" i="1"/>
  <c r="Y4390" i="1"/>
  <c r="L588" i="1"/>
  <c r="L1140" i="1"/>
  <c r="N3492" i="1"/>
  <c r="L2501" i="1"/>
  <c r="N276" i="1"/>
  <c r="L417" i="1"/>
  <c r="N232" i="1"/>
  <c r="L1866" i="1"/>
  <c r="N4270" i="1"/>
  <c r="Y4157" i="1"/>
  <c r="L1341" i="1"/>
  <c r="N303" i="1"/>
  <c r="X4232" i="1"/>
  <c r="L1217" i="1"/>
  <c r="N2991" i="1"/>
  <c r="Y4422" i="1"/>
  <c r="L452" i="1"/>
  <c r="N39" i="1"/>
  <c r="L52" i="1"/>
  <c r="N2710" i="1"/>
  <c r="Y4415" i="1"/>
  <c r="L2331" i="1"/>
  <c r="N1194" i="1"/>
  <c r="L533" i="1"/>
  <c r="N945" i="1"/>
  <c r="X4544" i="1"/>
  <c r="Y4533" i="1"/>
  <c r="L526" i="1"/>
  <c r="N2491" i="1"/>
  <c r="L3237" i="1"/>
  <c r="N1573" i="1"/>
  <c r="L515" i="1"/>
  <c r="N4130" i="1"/>
  <c r="X4139" i="1"/>
  <c r="L1154" i="1"/>
  <c r="N1462" i="1"/>
  <c r="L4083" i="1"/>
  <c r="N1012" i="1"/>
  <c r="L98" i="1"/>
  <c r="N2059" i="1"/>
  <c r="L2418" i="1"/>
  <c r="M4416" i="1"/>
  <c r="N3491" i="1"/>
  <c r="Y4306" i="1"/>
  <c r="L48" i="1"/>
  <c r="N1719" i="1"/>
  <c r="L1830" i="1"/>
  <c r="N2391" i="1"/>
  <c r="L3949" i="1"/>
  <c r="N4416" i="1"/>
  <c r="L1607" i="1"/>
  <c r="N840" i="1"/>
  <c r="L3012" i="1"/>
  <c r="N2638" i="1"/>
  <c r="L949" i="1"/>
  <c r="N537" i="1"/>
  <c r="L3640" i="1"/>
  <c r="N2882" i="1"/>
  <c r="L4105" i="1"/>
  <c r="N1984" i="1"/>
  <c r="L1019" i="1"/>
  <c r="L2681" i="1"/>
  <c r="N3542" i="1"/>
  <c r="X3988" i="1"/>
  <c r="L2058" i="1"/>
  <c r="N218" i="1"/>
  <c r="L593" i="1"/>
  <c r="N66" i="1"/>
  <c r="L635" i="1"/>
  <c r="N1330" i="1"/>
  <c r="X67" i="1"/>
  <c r="Y4298" i="1"/>
  <c r="L2873" i="1"/>
  <c r="N444" i="1"/>
  <c r="Y4558" i="1"/>
  <c r="L252" i="1"/>
  <c r="L3433" i="1"/>
  <c r="N1826" i="1"/>
  <c r="L4323" i="1"/>
  <c r="N2145" i="1"/>
  <c r="L2622" i="1"/>
  <c r="X4334" i="1"/>
  <c r="Y4073" i="1"/>
  <c r="L2464" i="1"/>
  <c r="N555" i="1"/>
  <c r="X4122" i="1"/>
  <c r="Y4233" i="1"/>
  <c r="L1187" i="1"/>
  <c r="L3556" i="1"/>
  <c r="N3888" i="1"/>
  <c r="L285" i="1"/>
  <c r="N393" i="1"/>
  <c r="L546" i="1"/>
  <c r="M4534" i="1"/>
  <c r="N4374" i="1"/>
  <c r="X4303" i="1"/>
  <c r="L2269" i="1"/>
  <c r="N2470" i="1"/>
  <c r="L3340" i="1"/>
  <c r="N1395" i="1"/>
  <c r="N233" i="1"/>
  <c r="Y4333" i="1"/>
  <c r="L3071" i="1"/>
  <c r="N4074" i="1"/>
  <c r="L4587" i="1"/>
  <c r="N2939" i="1"/>
  <c r="L2286" i="1"/>
  <c r="N3267" i="1"/>
  <c r="X4560" i="1"/>
  <c r="L2140" i="1"/>
  <c r="M4544" i="1"/>
  <c r="N3369" i="1"/>
  <c r="X4243" i="1"/>
  <c r="L4570" i="1"/>
  <c r="M4491" i="1"/>
  <c r="N874" i="1"/>
  <c r="L2302" i="1"/>
  <c r="L510" i="1"/>
  <c r="L145" i="1"/>
  <c r="N808" i="1"/>
  <c r="L4230" i="1"/>
  <c r="N1293" i="1"/>
  <c r="L3887" i="1"/>
  <c r="L638" i="1"/>
  <c r="N2791" i="1"/>
  <c r="X4519" i="1"/>
  <c r="L2730" i="1"/>
  <c r="N1813" i="1"/>
  <c r="L1419" i="1"/>
  <c r="N2118" i="1"/>
  <c r="L2152" i="1"/>
  <c r="N372" i="1"/>
  <c r="L2177" i="1"/>
  <c r="N1750" i="1"/>
  <c r="Z4367" i="1"/>
  <c r="L4438" i="1"/>
  <c r="N2879" i="1"/>
  <c r="L2899" i="1"/>
  <c r="N1136" i="1"/>
  <c r="L2064" i="1"/>
  <c r="N2745" i="1"/>
  <c r="L1762" i="1"/>
  <c r="N3908" i="1"/>
  <c r="L212" i="1"/>
  <c r="N727" i="1"/>
  <c r="L4184" i="1"/>
  <c r="M4320" i="1"/>
  <c r="L2025" i="1"/>
  <c r="N2437" i="1"/>
  <c r="Y4032" i="1"/>
  <c r="L824" i="1"/>
  <c r="N1746" i="1"/>
  <c r="L2097" i="1"/>
  <c r="N2037" i="1"/>
  <c r="L2453" i="1"/>
  <c r="N410" i="1"/>
  <c r="L4099" i="1"/>
  <c r="N4470" i="1"/>
  <c r="L3588" i="1"/>
  <c r="N2774" i="1"/>
  <c r="L2699" i="1"/>
  <c r="Y4228" i="1"/>
  <c r="L1478" i="1"/>
  <c r="N4067" i="1"/>
  <c r="L695" i="1"/>
  <c r="N2466" i="1"/>
  <c r="L4028" i="1"/>
  <c r="N754" i="1"/>
  <c r="L4579" i="1"/>
  <c r="N4383" i="1"/>
  <c r="L1868" i="1"/>
  <c r="N882" i="1"/>
  <c r="L185" i="1"/>
  <c r="N2533" i="1"/>
  <c r="L55" i="1"/>
  <c r="N4078" i="1"/>
  <c r="L291" i="1"/>
  <c r="N2859" i="1"/>
  <c r="L2830" i="1"/>
  <c r="N2162" i="1"/>
  <c r="L2169" i="1"/>
  <c r="N3537" i="1"/>
  <c r="L1853" i="1"/>
  <c r="M4479" i="1"/>
  <c r="N2132" i="1"/>
  <c r="X4528" i="1"/>
  <c r="L1070" i="1"/>
  <c r="N136" i="1"/>
  <c r="L1727" i="1"/>
  <c r="N4047" i="1"/>
  <c r="L801" i="1"/>
  <c r="L2831" i="1"/>
  <c r="X4473" i="1"/>
  <c r="Y3907" i="1"/>
  <c r="L4440" i="1"/>
  <c r="N2915" i="1"/>
  <c r="L761" i="1"/>
  <c r="N3615" i="1"/>
  <c r="L2186" i="1"/>
  <c r="M4292" i="1"/>
  <c r="X4586" i="1"/>
  <c r="L2151" i="1"/>
  <c r="N390" i="1"/>
  <c r="L4011" i="1"/>
  <c r="M4335" i="1"/>
  <c r="N4259" i="1"/>
  <c r="L19" i="1"/>
  <c r="N1296" i="1"/>
  <c r="X4217" i="1"/>
  <c r="Y4006" i="1"/>
  <c r="L3961" i="1"/>
  <c r="N1852" i="1"/>
  <c r="L992" i="1"/>
  <c r="N2960" i="1"/>
  <c r="L1237" i="1"/>
  <c r="M4434" i="1"/>
  <c r="L660" i="1"/>
  <c r="N2135" i="1"/>
  <c r="L1541" i="1"/>
  <c r="N381" i="1"/>
  <c r="X4170" i="1"/>
  <c r="L3924" i="1"/>
  <c r="N4510" i="1"/>
  <c r="L1756" i="1"/>
  <c r="M4588" i="1"/>
  <c r="L4303" i="1"/>
  <c r="N2016" i="1"/>
  <c r="L4001" i="1"/>
  <c r="N1817" i="1"/>
  <c r="X4356" i="1"/>
  <c r="L4079" i="1"/>
  <c r="M4489" i="1"/>
  <c r="L3286" i="1"/>
  <c r="N3266" i="1"/>
  <c r="L430" i="1"/>
  <c r="N3169" i="1"/>
  <c r="X3980" i="1"/>
  <c r="L1916" i="1"/>
  <c r="L750" i="1"/>
  <c r="N4267" i="1"/>
  <c r="L3875" i="1"/>
  <c r="L2797" i="1"/>
  <c r="N2296" i="1"/>
  <c r="L1482" i="1"/>
  <c r="M4570" i="1"/>
  <c r="N3256" i="1"/>
  <c r="L4433" i="1"/>
  <c r="N2245" i="1"/>
  <c r="L3447" i="1"/>
  <c r="N1937" i="1"/>
  <c r="L3510" i="1"/>
  <c r="N1566" i="1"/>
  <c r="L3973" i="1"/>
  <c r="N3449" i="1"/>
  <c r="L909" i="1"/>
  <c r="N2810" i="1"/>
  <c r="L877" i="1"/>
  <c r="M4280" i="1"/>
  <c r="N2182" i="1"/>
  <c r="Y4314" i="1"/>
  <c r="L2739" i="1"/>
  <c r="N2693" i="1"/>
  <c r="L118" i="1"/>
  <c r="N183" i="1"/>
  <c r="L1824" i="1"/>
  <c r="N127" i="1"/>
  <c r="L1585" i="1"/>
  <c r="N2032" i="1"/>
  <c r="L4290" i="1"/>
  <c r="N499" i="1"/>
  <c r="L4085" i="1"/>
  <c r="M4446" i="1"/>
  <c r="L4145" i="1"/>
  <c r="N2801" i="1"/>
  <c r="L2206" i="1"/>
  <c r="M4332" i="1"/>
  <c r="N3697" i="1"/>
  <c r="L2224" i="1"/>
  <c r="N3541" i="1"/>
  <c r="Z4617" i="1"/>
  <c r="L151" i="1"/>
  <c r="N418" i="1"/>
  <c r="L3245" i="1"/>
  <c r="N2071" i="1"/>
  <c r="L3298" i="1"/>
  <c r="N3881" i="1"/>
  <c r="L431" i="1"/>
  <c r="N3441" i="1"/>
  <c r="L4143" i="1"/>
  <c r="N2433" i="1"/>
  <c r="L3892" i="1"/>
  <c r="N4483" i="1"/>
  <c r="L3203" i="1"/>
  <c r="N4103" i="1"/>
  <c r="Y4131" i="1"/>
  <c r="L1510" i="1"/>
  <c r="N343" i="1"/>
  <c r="L4590" i="1"/>
  <c r="M4296" i="1"/>
  <c r="N4583" i="1"/>
  <c r="L491" i="1"/>
  <c r="M4513" i="1"/>
  <c r="N3313" i="1"/>
  <c r="L4159" i="1"/>
  <c r="L3766" i="1"/>
  <c r="N978" i="1"/>
  <c r="L4217" i="1"/>
  <c r="L238" i="1"/>
  <c r="N937" i="1"/>
  <c r="Y3918" i="1"/>
  <c r="L3088" i="1"/>
  <c r="X4073" i="1"/>
  <c r="L567" i="1"/>
  <c r="N2381" i="1"/>
  <c r="L4552" i="1"/>
  <c r="L3549" i="1"/>
  <c r="N4454" i="1"/>
  <c r="L3683" i="1"/>
  <c r="N1062" i="1"/>
  <c r="L1686" i="1"/>
  <c r="N2127" i="1"/>
  <c r="L3575" i="1"/>
  <c r="N1693" i="1"/>
  <c r="L3289" i="1"/>
  <c r="N4278" i="1"/>
  <c r="L364" i="1"/>
  <c r="N436" i="1"/>
  <c r="L503" i="1"/>
  <c r="N2724" i="1"/>
  <c r="X4390" i="1"/>
  <c r="L1333" i="1"/>
  <c r="M4604" i="1"/>
  <c r="N2873" i="1"/>
  <c r="L435" i="1"/>
  <c r="N4455" i="1"/>
  <c r="L602" i="1"/>
  <c r="N1720" i="1"/>
  <c r="Y4220" i="1"/>
  <c r="L3185" i="1"/>
  <c r="L3053" i="1"/>
  <c r="X4576" i="1"/>
  <c r="L4591" i="1"/>
  <c r="N2030" i="1"/>
  <c r="L2417" i="1"/>
  <c r="N898" i="1"/>
  <c r="L2240" i="1"/>
  <c r="M4594" i="1"/>
  <c r="N3395" i="1"/>
  <c r="L2782" i="1"/>
  <c r="M4525" i="1"/>
  <c r="N2017" i="1"/>
  <c r="L2281" i="1"/>
  <c r="N2798" i="1"/>
  <c r="Y4063" i="1"/>
  <c r="L2724" i="1"/>
  <c r="N1557" i="1"/>
  <c r="L2865" i="1"/>
  <c r="M4551" i="1"/>
  <c r="N300" i="1"/>
  <c r="L2470" i="1"/>
  <c r="N3868" i="1"/>
  <c r="L109" i="1"/>
  <c r="N2053" i="1"/>
  <c r="L4195" i="1"/>
  <c r="Y4449" i="1"/>
  <c r="L605" i="1"/>
  <c r="N877" i="1"/>
  <c r="Y4351" i="1"/>
  <c r="L832" i="1"/>
  <c r="N3340" i="1"/>
  <c r="X4149" i="1"/>
  <c r="L144" i="1"/>
  <c r="N1211" i="1"/>
  <c r="X4254" i="1"/>
  <c r="L2194" i="1"/>
  <c r="M4449" i="1"/>
  <c r="N3383" i="1"/>
  <c r="Y4353" i="1"/>
  <c r="L1355" i="1"/>
  <c r="N97" i="1"/>
  <c r="L4344" i="1"/>
  <c r="M4399" i="1"/>
  <c r="N1637" i="1"/>
  <c r="L2506" i="1"/>
  <c r="M4476" i="1"/>
  <c r="N760" i="1"/>
  <c r="Y4553" i="1"/>
  <c r="L3115" i="1"/>
  <c r="N2737" i="1"/>
  <c r="L4225" i="1"/>
  <c r="N1575" i="1"/>
  <c r="X4166" i="1"/>
  <c r="L3751" i="1"/>
  <c r="N1197" i="1"/>
  <c r="X4288" i="1"/>
  <c r="L2093" i="1"/>
  <c r="N887" i="1"/>
  <c r="L4509" i="1"/>
  <c r="N1233" i="1"/>
  <c r="L939" i="1"/>
  <c r="N3397" i="1"/>
  <c r="L3430" i="1"/>
  <c r="X4190" i="1"/>
  <c r="L783" i="1"/>
  <c r="N3400" i="1"/>
  <c r="Y4320" i="1"/>
  <c r="L3180" i="1"/>
  <c r="N711" i="1"/>
  <c r="X4205" i="1"/>
  <c r="L651" i="1"/>
  <c r="N3639" i="1"/>
  <c r="L496" i="1"/>
  <c r="M4248" i="1"/>
  <c r="N3300" i="1"/>
  <c r="L2999" i="1"/>
  <c r="N222" i="1"/>
  <c r="Z199" i="1"/>
  <c r="L3532" i="1"/>
  <c r="N1649" i="1"/>
  <c r="L4615" i="1"/>
  <c r="N3483" i="1"/>
  <c r="L1559" i="1"/>
  <c r="N4598" i="1"/>
  <c r="L3909" i="1"/>
  <c r="N4533" i="1"/>
  <c r="X4455" i="1"/>
  <c r="Y4540" i="1"/>
  <c r="L919" i="1"/>
  <c r="L3297" i="1"/>
  <c r="L2116" i="1"/>
  <c r="N2332" i="1"/>
  <c r="L427" i="1"/>
  <c r="L1003" i="1"/>
  <c r="N4390" i="1"/>
  <c r="L4324" i="1"/>
  <c r="N3035" i="1"/>
  <c r="L2929" i="1"/>
  <c r="N3853" i="1"/>
  <c r="L2249" i="1"/>
  <c r="M4372" i="1"/>
  <c r="N3339" i="1"/>
  <c r="L3420" i="1"/>
  <c r="N2680" i="1"/>
  <c r="X4337" i="1"/>
  <c r="L2570" i="1"/>
  <c r="N1757" i="1"/>
  <c r="L3860" i="1"/>
  <c r="N4244" i="1"/>
  <c r="L990" i="1"/>
  <c r="Y4151" i="1"/>
  <c r="L1935" i="1"/>
  <c r="N122" i="1"/>
  <c r="X4408" i="1"/>
  <c r="L2758" i="1"/>
  <c r="N2062" i="1"/>
  <c r="L2989" i="1"/>
  <c r="N2392" i="1"/>
  <c r="L69" i="1"/>
  <c r="N2934" i="1"/>
  <c r="L3850" i="1"/>
  <c r="M4573" i="1"/>
  <c r="N917" i="1"/>
  <c r="L1732" i="1"/>
  <c r="N839" i="1"/>
  <c r="X4347" i="1"/>
  <c r="L971" i="1"/>
  <c r="N1286" i="1"/>
  <c r="L1699" i="1"/>
  <c r="N2903" i="1"/>
  <c r="X4523" i="1"/>
  <c r="Y4348" i="1"/>
  <c r="L65" i="1"/>
  <c r="M4467" i="1"/>
  <c r="N2525" i="1"/>
  <c r="X4120" i="1"/>
  <c r="L1384" i="1"/>
  <c r="N3198" i="1"/>
  <c r="L3146" i="1"/>
  <c r="N378" i="1"/>
  <c r="Y4197" i="1"/>
  <c r="L1202" i="1"/>
  <c r="N3646" i="1"/>
  <c r="L1022" i="1"/>
  <c r="N3436" i="1"/>
  <c r="L3478" i="1"/>
  <c r="N2728" i="1"/>
  <c r="L3840" i="1"/>
  <c r="N993" i="1"/>
  <c r="L4559" i="1"/>
  <c r="N2924" i="1"/>
  <c r="L2757" i="1"/>
  <c r="N1590" i="1"/>
  <c r="L3900" i="1"/>
  <c r="N2125" i="1"/>
  <c r="L3059" i="1"/>
  <c r="N1229" i="1"/>
  <c r="L470" i="1"/>
  <c r="N1613" i="1"/>
  <c r="X4531" i="1"/>
  <c r="L4089" i="1"/>
  <c r="N1486" i="1"/>
  <c r="X4417" i="1"/>
  <c r="L3461" i="1"/>
  <c r="N769" i="1"/>
  <c r="X3966" i="1"/>
  <c r="L2075" i="1"/>
  <c r="N954" i="1"/>
  <c r="L2147" i="1"/>
  <c r="N3354" i="1"/>
  <c r="X4536" i="1"/>
  <c r="L3724" i="1"/>
  <c r="N1866" i="1"/>
  <c r="L2115" i="1"/>
  <c r="N1739" i="1"/>
  <c r="L1577" i="1"/>
  <c r="N351" i="1"/>
  <c r="L707" i="1"/>
  <c r="N2822" i="1"/>
  <c r="L1708" i="1"/>
  <c r="L1209" i="1"/>
  <c r="N3017" i="1"/>
  <c r="L825" i="1"/>
  <c r="N2413" i="1"/>
  <c r="L4327" i="1"/>
  <c r="N1049" i="1"/>
  <c r="L4386" i="1"/>
  <c r="N1847" i="1"/>
  <c r="L2441" i="1"/>
  <c r="N4038" i="1"/>
  <c r="L3471" i="1"/>
  <c r="N2425" i="1"/>
  <c r="L25" i="1"/>
  <c r="N1882" i="1"/>
  <c r="L2956" i="1"/>
  <c r="M4389" i="1"/>
  <c r="N4616" i="1"/>
  <c r="L4435" i="1"/>
  <c r="L383" i="1"/>
  <c r="N1180" i="1"/>
  <c r="L4341" i="1"/>
  <c r="N195" i="1"/>
  <c r="X4235" i="1"/>
  <c r="Y122" i="1"/>
  <c r="L711" i="1"/>
  <c r="N2457" i="1"/>
  <c r="L3631" i="1"/>
  <c r="L3644" i="1"/>
  <c r="N738" i="1"/>
  <c r="L1967" i="1"/>
  <c r="Y4478" i="1"/>
  <c r="L2812" i="1"/>
  <c r="X4345" i="1"/>
  <c r="L3863" i="1"/>
  <c r="N1892" i="1"/>
  <c r="Y4530" i="1"/>
  <c r="L2520" i="1"/>
  <c r="N34" i="1"/>
  <c r="L3688" i="1"/>
  <c r="N996" i="1"/>
  <c r="Y4159" i="1"/>
  <c r="L3657" i="1"/>
  <c r="M4470" i="1"/>
  <c r="X4179" i="1"/>
  <c r="Y4316" i="1"/>
  <c r="L789" i="1"/>
  <c r="Y3972" i="1"/>
  <c r="L4058" i="1"/>
  <c r="M4360" i="1"/>
  <c r="Y4165" i="1"/>
  <c r="L405" i="1"/>
  <c r="L3380" i="1"/>
  <c r="N120" i="1"/>
  <c r="L455" i="1"/>
  <c r="N2832" i="1"/>
  <c r="L3292" i="1"/>
  <c r="L2800" i="1"/>
  <c r="N1367" i="1"/>
  <c r="L504" i="1"/>
  <c r="N4127" i="1"/>
  <c r="Y4321" i="1"/>
  <c r="L1030" i="1"/>
  <c r="N2123" i="1"/>
  <c r="L2823" i="1"/>
  <c r="Y4074" i="1"/>
  <c r="L1084" i="1"/>
  <c r="M4545" i="1"/>
  <c r="N1624" i="1"/>
  <c r="L244" i="1"/>
  <c r="N2509" i="1"/>
  <c r="Y4072" i="1"/>
  <c r="L1864" i="1"/>
  <c r="L3910" i="1"/>
  <c r="N3571" i="1"/>
  <c r="L1714" i="1"/>
  <c r="M4563" i="1"/>
  <c r="N2274" i="1"/>
  <c r="X3956" i="1"/>
  <c r="L539" i="1"/>
  <c r="N2169" i="1"/>
  <c r="L3099" i="1"/>
  <c r="L4567" i="1"/>
  <c r="N2129" i="1"/>
  <c r="L1579" i="1"/>
  <c r="N3174" i="1"/>
  <c r="L858" i="1"/>
  <c r="N2247" i="1"/>
  <c r="L107" i="1"/>
  <c r="N2398" i="1"/>
  <c r="L4041" i="1"/>
  <c r="N4409" i="1"/>
  <c r="Y4042" i="1"/>
  <c r="L1033" i="1"/>
  <c r="X4054" i="1"/>
  <c r="L4234" i="1"/>
  <c r="N140" i="1"/>
  <c r="L3117" i="1"/>
  <c r="N538" i="1"/>
  <c r="L945" i="1"/>
  <c r="N1922" i="1"/>
  <c r="L149" i="1"/>
  <c r="N220" i="1"/>
  <c r="L821" i="1"/>
  <c r="N4154" i="1"/>
  <c r="L632" i="1"/>
  <c r="L3656" i="1"/>
  <c r="N884" i="1"/>
  <c r="X4441" i="1"/>
  <c r="L4362" i="1"/>
  <c r="N4187" i="1"/>
  <c r="X3963" i="1"/>
  <c r="L656" i="1"/>
  <c r="N3027" i="1"/>
  <c r="L1127" i="1"/>
  <c r="N54" i="1"/>
  <c r="L4113" i="1"/>
  <c r="N3303" i="1"/>
  <c r="L4401" i="1"/>
  <c r="N2003" i="1"/>
  <c r="X4571" i="1"/>
  <c r="L1000" i="1"/>
  <c r="N625" i="1"/>
  <c r="Y4581" i="1"/>
  <c r="L4211" i="1"/>
  <c r="X4216" i="1"/>
  <c r="L4384" i="1"/>
  <c r="X4364" i="1"/>
  <c r="L2527" i="1"/>
  <c r="N1972" i="1"/>
  <c r="X4358" i="1"/>
  <c r="Y4103" i="1"/>
  <c r="L1300" i="1"/>
  <c r="N2971" i="1"/>
  <c r="L300" i="1"/>
  <c r="Y4051" i="1"/>
  <c r="L2340" i="1"/>
  <c r="M4256" i="1"/>
  <c r="N1913" i="1"/>
  <c r="L4108" i="1"/>
  <c r="M4336" i="1"/>
  <c r="N363" i="1"/>
  <c r="L4288" i="1"/>
  <c r="M4443" i="1"/>
  <c r="N633" i="1"/>
  <c r="L4387" i="1"/>
  <c r="Y4403" i="1"/>
  <c r="L1011" i="1"/>
  <c r="N1007" i="1"/>
  <c r="L1330" i="1"/>
  <c r="N1450" i="1"/>
  <c r="L1562" i="1"/>
  <c r="N871" i="1"/>
  <c r="Z4616" i="1"/>
  <c r="L3253" i="1"/>
  <c r="N2161" i="1"/>
  <c r="Y4019" i="1"/>
  <c r="L1642" i="1"/>
  <c r="N1577" i="1"/>
  <c r="L2629" i="1"/>
  <c r="N2472" i="1"/>
  <c r="X3908" i="1"/>
  <c r="L2081" i="1"/>
  <c r="N2834" i="1"/>
  <c r="L2690" i="1"/>
  <c r="N2583" i="1"/>
  <c r="Y4262" i="1"/>
  <c r="L4257" i="1"/>
  <c r="Y4339" i="1"/>
  <c r="L464" i="1"/>
  <c r="N2821" i="1"/>
  <c r="Y4022" i="1"/>
  <c r="L493" i="1"/>
  <c r="M4440" i="1"/>
  <c r="N1066" i="1"/>
  <c r="Y4138" i="1"/>
  <c r="L2762" i="1"/>
  <c r="N3003" i="1"/>
  <c r="L3370" i="1"/>
  <c r="Y4565" i="1"/>
  <c r="L1850" i="1"/>
  <c r="N3384" i="1"/>
  <c r="Y4098" i="1"/>
  <c r="L2021" i="1"/>
  <c r="M4524" i="1"/>
  <c r="N2010" i="1"/>
  <c r="Y4101" i="1"/>
  <c r="L2226" i="1"/>
  <c r="M4343" i="1"/>
  <c r="N1699" i="1"/>
  <c r="Y4534" i="1"/>
  <c r="L1294" i="1"/>
  <c r="M4600" i="1"/>
  <c r="Y4079" i="1"/>
  <c r="L2219" i="1"/>
  <c r="M4601" i="1"/>
  <c r="N1332" i="1"/>
  <c r="L3824" i="1"/>
  <c r="N3081" i="1"/>
  <c r="X4262" i="1"/>
  <c r="Y3970" i="1"/>
  <c r="L3431" i="1"/>
  <c r="N1113" i="1"/>
  <c r="Y4569" i="1"/>
  <c r="L4161" i="1"/>
  <c r="N2409" i="1"/>
  <c r="L2723" i="1"/>
  <c r="N1115" i="1"/>
  <c r="Y4367" i="1"/>
  <c r="L1989" i="1"/>
  <c r="N3089" i="1"/>
  <c r="Y4544" i="1"/>
  <c r="L581" i="1"/>
  <c r="N1769" i="1"/>
  <c r="L1378" i="1"/>
  <c r="M4422" i="1"/>
  <c r="L2009" i="1"/>
  <c r="M4590" i="1"/>
  <c r="X4089" i="1"/>
  <c r="Y4450" i="1"/>
  <c r="L3467" i="1"/>
  <c r="N869" i="1"/>
  <c r="Y4618" i="1"/>
  <c r="L4126" i="1"/>
  <c r="N3605" i="1"/>
  <c r="Y4008" i="1"/>
  <c r="L4328" i="1"/>
  <c r="N4091" i="1"/>
  <c r="Y4296" i="1"/>
  <c r="L4342" i="1"/>
  <c r="L2845" i="1"/>
  <c r="N3707" i="1"/>
  <c r="X4215" i="1"/>
  <c r="L4441" i="1"/>
  <c r="Y4245" i="1"/>
  <c r="L4076" i="1"/>
  <c r="M4303" i="1"/>
  <c r="N1658" i="1"/>
  <c r="Y4273" i="1"/>
  <c r="L1109" i="1"/>
  <c r="N2293" i="1"/>
  <c r="Y4099" i="1"/>
  <c r="L1885" i="1"/>
  <c r="N1861" i="1"/>
  <c r="Y4147" i="1"/>
  <c r="L1015" i="1"/>
  <c r="L2492" i="1"/>
  <c r="N367" i="1"/>
  <c r="L3568" i="1"/>
  <c r="N22" i="1"/>
  <c r="X4108" i="1"/>
  <c r="Y4365" i="1"/>
  <c r="L2210" i="1"/>
  <c r="M4276" i="1"/>
  <c r="N1584" i="1"/>
  <c r="Y4112" i="1"/>
  <c r="L2146" i="1"/>
  <c r="N376" i="1"/>
  <c r="Y4258" i="1"/>
  <c r="L4568" i="1"/>
  <c r="Y4056" i="1"/>
  <c r="L3803" i="1"/>
  <c r="N4131" i="1"/>
  <c r="L1594" i="1"/>
  <c r="X4539" i="1"/>
  <c r="Y4061" i="1"/>
  <c r="L141" i="1"/>
  <c r="M4327" i="1"/>
  <c r="N1423" i="1"/>
  <c r="X4482" i="1"/>
  <c r="Y4185" i="1"/>
  <c r="L534" i="1"/>
  <c r="X4326" i="1"/>
  <c r="L204" i="1"/>
  <c r="X4062" i="1"/>
  <c r="L302" i="1"/>
  <c r="N293" i="1"/>
  <c r="Y4106" i="1"/>
  <c r="L4589" i="1"/>
  <c r="N1781" i="1"/>
  <c r="Y4501" i="1"/>
  <c r="L1389" i="1"/>
  <c r="N2770" i="1"/>
  <c r="Y4366" i="1"/>
  <c r="L3835" i="1"/>
  <c r="N994" i="1"/>
  <c r="Y69" i="1"/>
  <c r="L4278" i="1"/>
  <c r="N4" i="1"/>
  <c r="L3866" i="1"/>
  <c r="Y4463" i="1"/>
  <c r="L2167" i="1"/>
  <c r="Y4080" i="1"/>
  <c r="L2621" i="1"/>
  <c r="N82" i="1"/>
  <c r="Y4171" i="1"/>
  <c r="L4367" i="1"/>
  <c r="N2329" i="1"/>
  <c r="L4326" i="1"/>
  <c r="N2734" i="1"/>
  <c r="X3896" i="1"/>
  <c r="Y4183" i="1"/>
  <c r="L1480" i="1"/>
  <c r="N1934" i="1"/>
  <c r="Y4180" i="1"/>
  <c r="L2968" i="1"/>
  <c r="N1538" i="1"/>
  <c r="L1535" i="1"/>
  <c r="M4451" i="1"/>
  <c r="Y4005" i="1"/>
  <c r="L4381" i="1"/>
  <c r="X3960" i="1"/>
  <c r="L1095" i="1"/>
  <c r="Y4584" i="1"/>
  <c r="L3607" i="1"/>
  <c r="Y3870" i="1"/>
  <c r="L194" i="1"/>
  <c r="N953" i="1"/>
  <c r="L1846" i="1"/>
  <c r="N899" i="1"/>
  <c r="Y4031" i="1"/>
  <c r="L4037" i="1"/>
  <c r="N2140" i="1"/>
  <c r="Z4478" i="1"/>
  <c r="L1561" i="1"/>
  <c r="Y4459" i="1"/>
  <c r="L1471" i="1"/>
  <c r="N316" i="1"/>
  <c r="Y4265" i="1"/>
  <c r="L2459" i="1"/>
  <c r="M4537" i="1"/>
  <c r="N3410" i="1"/>
  <c r="Y4575" i="1"/>
  <c r="L3008" i="1"/>
  <c r="X4025" i="1"/>
  <c r="L2593" i="1"/>
  <c r="X4428" i="1"/>
  <c r="L2295" i="1"/>
  <c r="N778" i="1"/>
  <c r="Y4218" i="1"/>
  <c r="L3817" i="1"/>
  <c r="N1661" i="1"/>
  <c r="X4318" i="1"/>
  <c r="L2585" i="1"/>
  <c r="N2320" i="1"/>
  <c r="Y4526" i="1"/>
  <c r="L2970" i="1"/>
  <c r="N3568" i="1"/>
  <c r="X4555" i="1"/>
  <c r="Y3879" i="1"/>
  <c r="L386" i="1"/>
  <c r="N2304" i="1"/>
  <c r="Y4140" i="1"/>
  <c r="L3264" i="1"/>
  <c r="N2435" i="1"/>
  <c r="Y4379" i="1"/>
  <c r="L875" i="1"/>
  <c r="N1329" i="1"/>
  <c r="L1759" i="1"/>
  <c r="N3587" i="1"/>
  <c r="Y4431" i="1"/>
  <c r="L2397" i="1"/>
  <c r="X4310" i="1"/>
  <c r="Y4125" i="1"/>
  <c r="L1593" i="1"/>
  <c r="N4582" i="1"/>
  <c r="Y4175" i="1"/>
  <c r="L1267" i="1"/>
  <c r="N4281" i="1"/>
  <c r="Y3948" i="1"/>
  <c r="L3837" i="1"/>
  <c r="X4543" i="1"/>
  <c r="L2352" i="1"/>
  <c r="N2004" i="1"/>
  <c r="Y4580" i="1"/>
  <c r="L1880" i="1"/>
  <c r="M4275" i="1"/>
  <c r="N3949" i="1"/>
  <c r="L571" i="1"/>
  <c r="N99" i="1"/>
  <c r="Y4555" i="1"/>
  <c r="L2645" i="1"/>
  <c r="M4518" i="1"/>
  <c r="N640" i="1"/>
  <c r="X4105" i="1"/>
  <c r="L436" i="1"/>
  <c r="N3606" i="1"/>
  <c r="L4042" i="1"/>
  <c r="N4608" i="1"/>
  <c r="X4617" i="1"/>
  <c r="L128" i="1"/>
  <c r="N4097" i="1"/>
  <c r="Y4396" i="1"/>
  <c r="L2962" i="1"/>
  <c r="N3631" i="1"/>
  <c r="X4273" i="1"/>
  <c r="L394" i="1"/>
  <c r="M4265" i="1"/>
  <c r="N4029" i="1"/>
  <c r="Y4288" i="1"/>
  <c r="L266" i="1"/>
  <c r="M4374" i="1"/>
  <c r="N3901" i="1"/>
  <c r="Y4163" i="1"/>
  <c r="L1340" i="1"/>
  <c r="Y4100" i="1"/>
  <c r="L1163" i="1"/>
  <c r="N2875" i="1"/>
  <c r="L3393" i="1"/>
  <c r="N2089" i="1"/>
  <c r="Y4047" i="1"/>
  <c r="L4044" i="1"/>
  <c r="Y4604" i="1"/>
  <c r="L3307" i="1"/>
  <c r="N1674" i="1"/>
  <c r="L1621" i="1"/>
  <c r="N2389" i="1"/>
  <c r="L738" i="1"/>
  <c r="L1883" i="1"/>
  <c r="L3594" i="1"/>
  <c r="N2" i="1"/>
  <c r="X4480" i="1"/>
  <c r="L2013" i="1"/>
  <c r="N4200" i="1"/>
  <c r="Y4582" i="1"/>
  <c r="L2992" i="1"/>
  <c r="N1155" i="1"/>
  <c r="Y4067" i="1"/>
  <c r="L1697" i="1"/>
  <c r="N1685" i="1"/>
  <c r="L4445" i="1"/>
  <c r="N3228" i="1"/>
  <c r="X4608" i="1"/>
  <c r="L2120" i="1"/>
  <c r="N426" i="1"/>
  <c r="Y4528" i="1"/>
  <c r="L363" i="1"/>
  <c r="N3188" i="1"/>
  <c r="X4367" i="1"/>
  <c r="Y3871" i="1"/>
  <c r="L4611" i="1"/>
  <c r="Y4093" i="1"/>
  <c r="L1469" i="1"/>
  <c r="N1315" i="1"/>
  <c r="Y4195" i="1"/>
  <c r="L1893" i="1"/>
  <c r="N3895" i="1"/>
  <c r="L3940" i="1"/>
  <c r="M4461" i="1"/>
  <c r="N1375" i="1"/>
  <c r="L4315" i="1"/>
  <c r="L2297" i="1"/>
  <c r="N929" i="1"/>
  <c r="L479" i="1"/>
  <c r="L3147" i="1"/>
  <c r="N4113" i="1"/>
  <c r="Y4003" i="1"/>
  <c r="L1178" i="1"/>
  <c r="N4203" i="1"/>
  <c r="Y4062" i="1"/>
  <c r="L742" i="1"/>
  <c r="N1255" i="1"/>
  <c r="L3323" i="1"/>
  <c r="N931" i="1"/>
  <c r="X4598" i="1"/>
  <c r="Y3933" i="1"/>
  <c r="L4169" i="1"/>
  <c r="M4408" i="1"/>
  <c r="N2666" i="1"/>
  <c r="X4059" i="1"/>
  <c r="L4537" i="1"/>
  <c r="M4552" i="1"/>
  <c r="Y4132" i="1"/>
  <c r="L171" i="1"/>
  <c r="L3869" i="1"/>
  <c r="N4457" i="1"/>
  <c r="X4072" i="1"/>
  <c r="L590" i="1"/>
  <c r="N1337" i="1"/>
  <c r="X4486" i="1"/>
  <c r="L2541" i="1"/>
  <c r="L1654" i="1"/>
  <c r="N2815" i="1"/>
  <c r="Y4167" i="1"/>
  <c r="L2228" i="1"/>
  <c r="N3553" i="1"/>
  <c r="L1728" i="1"/>
  <c r="N2988" i="1"/>
  <c r="L8" i="1"/>
  <c r="N2708" i="1"/>
  <c r="Y4190" i="1"/>
  <c r="L970" i="1"/>
  <c r="N3408" i="1"/>
  <c r="Y4070" i="1"/>
  <c r="L3758" i="1"/>
  <c r="M4366" i="1"/>
  <c r="Y4217" i="1"/>
  <c r="L4183" i="1"/>
  <c r="M4555" i="1"/>
  <c r="N1418" i="1"/>
  <c r="L4071" i="1"/>
  <c r="N2061" i="1"/>
  <c r="L4614" i="1"/>
  <c r="L4015" i="1"/>
  <c r="N3498" i="1"/>
  <c r="L1119" i="1"/>
  <c r="N4080" i="1"/>
  <c r="L1738" i="1"/>
  <c r="N1551" i="1"/>
  <c r="Y4261" i="1"/>
  <c r="L3960" i="1"/>
  <c r="N692" i="1"/>
  <c r="L3468" i="1"/>
  <c r="N3909" i="1"/>
  <c r="X4580" i="1"/>
  <c r="L3637" i="1"/>
  <c r="N2598" i="1"/>
  <c r="X4189" i="1"/>
  <c r="L3415" i="1"/>
  <c r="N2726" i="1"/>
  <c r="X4193" i="1"/>
  <c r="L1831" i="1"/>
  <c r="N3947" i="1"/>
  <c r="L4110" i="1"/>
  <c r="N2294" i="1"/>
  <c r="L3710" i="1"/>
  <c r="N969" i="1"/>
  <c r="L2222" i="1"/>
  <c r="N1809" i="1"/>
  <c r="L43" i="1"/>
  <c r="L2747" i="1"/>
  <c r="N663" i="1"/>
  <c r="X4182" i="1"/>
  <c r="L831" i="1"/>
  <c r="N4242" i="1"/>
  <c r="L3953" i="1"/>
  <c r="N2953" i="1"/>
  <c r="X4554" i="1"/>
  <c r="L1006" i="1"/>
  <c r="N3756" i="1"/>
  <c r="Y4461" i="1"/>
  <c r="L2400" i="1"/>
  <c r="L984" i="1"/>
  <c r="N2586" i="1"/>
  <c r="L2579" i="1"/>
  <c r="N2672" i="1"/>
  <c r="X4556" i="1"/>
  <c r="L112" i="1"/>
  <c r="N2323" i="1"/>
  <c r="L1723" i="1"/>
  <c r="N3465" i="1"/>
  <c r="L1855" i="1"/>
  <c r="N1766" i="1"/>
  <c r="L3305" i="1"/>
  <c r="L4272" i="1"/>
  <c r="X4481" i="1"/>
  <c r="L4446" i="1"/>
  <c r="N2795" i="1"/>
  <c r="L623" i="1"/>
  <c r="X4001" i="1"/>
  <c r="Y4572" i="1"/>
  <c r="L634" i="1"/>
  <c r="N3870" i="1"/>
  <c r="L3437" i="1"/>
  <c r="Y3928" i="1"/>
  <c r="L4415" i="1"/>
  <c r="L398" i="1"/>
  <c r="N2762" i="1"/>
  <c r="L666" i="1"/>
  <c r="N2058" i="1"/>
  <c r="Y4135" i="1"/>
  <c r="L362" i="1"/>
  <c r="N1944" i="1"/>
  <c r="Y4597" i="1"/>
  <c r="L2807" i="1"/>
  <c r="L1425" i="1"/>
  <c r="N3863" i="1"/>
  <c r="L4443" i="1"/>
  <c r="N3793" i="1"/>
  <c r="L3970" i="1"/>
  <c r="L2175" i="1"/>
  <c r="L4607" i="1"/>
  <c r="N1269" i="1"/>
  <c r="L3570" i="1"/>
  <c r="N518" i="1"/>
  <c r="L1918" i="1"/>
  <c r="N1544" i="1"/>
  <c r="L2225" i="1"/>
  <c r="M4447" i="1"/>
  <c r="N3609" i="1"/>
  <c r="L2261" i="1"/>
  <c r="Y4086" i="1"/>
  <c r="L1511" i="1"/>
  <c r="N905" i="1"/>
  <c r="Y4029" i="1"/>
  <c r="L662" i="1"/>
  <c r="L1075" i="1"/>
  <c r="N491" i="1"/>
  <c r="Z4590" i="1"/>
  <c r="L530" i="1"/>
  <c r="N3054" i="1"/>
  <c r="Y4607" i="1"/>
  <c r="L253" i="1"/>
  <c r="N1963" i="1"/>
  <c r="Y4129" i="1"/>
  <c r="L793" i="1"/>
  <c r="N1712" i="1"/>
  <c r="Y3951" i="1"/>
  <c r="L1980" i="1"/>
  <c r="N1768" i="1"/>
  <c r="X4475" i="1"/>
  <c r="L3070" i="1"/>
  <c r="N618" i="1"/>
  <c r="X114" i="1"/>
  <c r="Y4473" i="1"/>
  <c r="L4138" i="1"/>
  <c r="L2814" i="1"/>
  <c r="N597" i="1"/>
  <c r="L3354" i="1"/>
  <c r="N4063" i="1"/>
  <c r="L1888" i="1"/>
  <c r="N4071" i="1"/>
  <c r="L3165" i="1"/>
  <c r="N3777" i="1"/>
  <c r="X4171" i="1"/>
  <c r="L4246" i="1"/>
  <c r="N1609" i="1"/>
  <c r="L2497" i="1"/>
  <c r="N4485" i="1"/>
  <c r="X4362" i="1"/>
  <c r="Y3959" i="1"/>
  <c r="L2259" i="1"/>
  <c r="N4082" i="1"/>
  <c r="L2944" i="1"/>
  <c r="N4588" i="1"/>
  <c r="L2250" i="1"/>
  <c r="M4355" i="1"/>
  <c r="N3589" i="1"/>
  <c r="X4289" i="1"/>
  <c r="L3738" i="1"/>
  <c r="L4021" i="1"/>
  <c r="M4609" i="1"/>
  <c r="L294" i="1"/>
  <c r="N4088" i="1"/>
  <c r="L1716" i="1"/>
  <c r="N4462" i="1"/>
  <c r="L4247" i="1"/>
  <c r="N3187" i="1"/>
  <c r="X4577" i="1"/>
  <c r="L2556" i="1"/>
  <c r="N2828" i="1"/>
  <c r="L67" i="1"/>
  <c r="L153" i="1"/>
  <c r="N3259" i="1"/>
  <c r="L2390" i="1"/>
  <c r="N3747" i="1"/>
  <c r="X4405" i="1"/>
  <c r="L3296" i="1"/>
  <c r="N3367" i="1"/>
  <c r="X4002" i="1"/>
  <c r="L3713" i="1"/>
  <c r="X4437" i="1"/>
  <c r="L627" i="1"/>
  <c r="N2465" i="1"/>
  <c r="X103" i="1"/>
  <c r="L208" i="1"/>
  <c r="N328" i="1"/>
  <c r="L160" i="1"/>
  <c r="L4474" i="1"/>
  <c r="N2184" i="1"/>
  <c r="L4059" i="1"/>
  <c r="L2145" i="1"/>
  <c r="N2105" i="1"/>
  <c r="L3831" i="1"/>
  <c r="N1605" i="1"/>
  <c r="L3358" i="1"/>
  <c r="N4178" i="1"/>
  <c r="X4196" i="1"/>
  <c r="Y4313" i="1"/>
  <c r="L580" i="1"/>
  <c r="Y4155" i="1"/>
  <c r="L4254" i="1"/>
  <c r="N2070" i="1"/>
  <c r="Y4471" i="1"/>
  <c r="L2306" i="1"/>
  <c r="M4235" i="1"/>
  <c r="N3781" i="1"/>
  <c r="X3869" i="1"/>
  <c r="L4463" i="1"/>
  <c r="X3998" i="1"/>
  <c r="L1050" i="1"/>
  <c r="N3856" i="1"/>
  <c r="L4330" i="1"/>
  <c r="N3653" i="1"/>
  <c r="Y4425" i="1"/>
  <c r="L938" i="1"/>
  <c r="N1500" i="1"/>
  <c r="X4518" i="1"/>
  <c r="L4408" i="1"/>
  <c r="N3119" i="1"/>
  <c r="Y4359" i="1"/>
  <c r="L592" i="1"/>
  <c r="N4053" i="1"/>
  <c r="Y3967" i="1"/>
  <c r="L732" i="1"/>
  <c r="N4292" i="1"/>
  <c r="L791" i="1"/>
  <c r="N1527" i="1"/>
  <c r="X4097" i="1"/>
  <c r="L57" i="1"/>
  <c r="N2461" i="1"/>
  <c r="Y4566" i="1"/>
  <c r="L2433" i="1"/>
  <c r="M4309" i="1"/>
  <c r="N1778" i="1"/>
  <c r="Y4332" i="1"/>
  <c r="L3890" i="1"/>
  <c r="N2950" i="1"/>
  <c r="Y3911" i="1"/>
  <c r="L4250" i="1"/>
  <c r="N726" i="1"/>
  <c r="X4438" i="1"/>
  <c r="L2856" i="1"/>
  <c r="N2748" i="1"/>
  <c r="L280" i="1"/>
  <c r="N2636" i="1"/>
  <c r="L2267" i="1"/>
  <c r="L2255" i="1"/>
  <c r="N2723" i="1"/>
  <c r="L210" i="1"/>
  <c r="N2897" i="1"/>
  <c r="L83" i="1"/>
  <c r="N1853" i="1"/>
  <c r="L2549" i="1"/>
  <c r="N174" i="1"/>
  <c r="L1957" i="1"/>
  <c r="M4613" i="1"/>
  <c r="N3117" i="1"/>
  <c r="Y4325" i="1"/>
  <c r="L4562" i="1"/>
  <c r="N3210" i="1"/>
  <c r="L3284" i="1"/>
  <c r="N308" i="1"/>
  <c r="L29" i="1"/>
  <c r="N962" i="1"/>
  <c r="L2160" i="1"/>
  <c r="N143" i="1"/>
  <c r="L3211" i="1"/>
  <c r="N1047" i="1"/>
  <c r="L3084" i="1"/>
  <c r="N1979" i="1"/>
  <c r="L289" i="1"/>
  <c r="L1305" i="1"/>
  <c r="N288" i="1"/>
  <c r="L4370" i="1"/>
  <c r="N3913" i="1"/>
  <c r="L3400" i="1"/>
  <c r="N4360" i="1"/>
  <c r="L3557" i="1"/>
  <c r="N2619" i="1"/>
  <c r="L1203" i="1"/>
  <c r="N2589" i="1"/>
  <c r="L172" i="1"/>
  <c r="Y4241" i="1"/>
  <c r="L3808" i="1"/>
  <c r="L3101" i="1"/>
  <c r="N265" i="1"/>
  <c r="L2333" i="1"/>
  <c r="N1184" i="1"/>
  <c r="L2733" i="1"/>
  <c r="N189" i="1"/>
  <c r="X4306" i="1"/>
  <c r="Y4382" i="1"/>
  <c r="L3889" i="1"/>
  <c r="N2358" i="1"/>
  <c r="L2443" i="1"/>
  <c r="N3123" i="1"/>
  <c r="L3072" i="1"/>
  <c r="N3168" i="1"/>
  <c r="L2891" i="1"/>
  <c r="N441" i="1"/>
  <c r="L4540" i="1"/>
  <c r="N1753" i="1"/>
  <c r="Y4202" i="1"/>
  <c r="L3764" i="1"/>
  <c r="N960" i="1"/>
  <c r="X4295" i="1"/>
  <c r="L1536" i="1"/>
  <c r="N4587" i="1"/>
  <c r="L3164" i="1"/>
  <c r="N91" i="1"/>
  <c r="X4033" i="1"/>
  <c r="L929" i="1"/>
  <c r="L2213" i="1"/>
  <c r="N118" i="1"/>
  <c r="L454" i="1"/>
  <c r="L2995" i="1"/>
  <c r="N230" i="1"/>
  <c r="L4466" i="1"/>
  <c r="N2308" i="1"/>
  <c r="L849" i="1"/>
  <c r="N556" i="1"/>
  <c r="L807" i="1"/>
  <c r="N349" i="1"/>
  <c r="Y4577" i="1"/>
  <c r="L854" i="1"/>
  <c r="N1387" i="1"/>
  <c r="Y3999" i="1"/>
  <c r="L202" i="1"/>
  <c r="Y4456" i="1"/>
  <c r="L53" i="1"/>
  <c r="X3864" i="1"/>
  <c r="L3303" i="1"/>
  <c r="N2002" i="1"/>
  <c r="L815" i="1"/>
  <c r="N4251" i="1"/>
  <c r="Y3858" i="1"/>
  <c r="L2394" i="1"/>
  <c r="N284" i="1"/>
  <c r="L2678" i="1"/>
  <c r="Y4329" i="1"/>
  <c r="L3810" i="1"/>
  <c r="N3466" i="1"/>
  <c r="L3311" i="1"/>
  <c r="N2684" i="1"/>
  <c r="X4029" i="1"/>
  <c r="L1733" i="1"/>
  <c r="N342" i="1"/>
  <c r="Y4441" i="1"/>
  <c r="L1111" i="1"/>
  <c r="M4321" i="1"/>
  <c r="L3918" i="1"/>
  <c r="L2023" i="1"/>
  <c r="N1464" i="1"/>
  <c r="X4198" i="1"/>
  <c r="L2425" i="1"/>
  <c r="Y4521" i="1"/>
  <c r="L2641" i="1"/>
  <c r="N2101" i="1"/>
  <c r="L1623" i="1"/>
  <c r="N673" i="1"/>
  <c r="L1206" i="1"/>
  <c r="N1421" i="1"/>
  <c r="L1260" i="1"/>
  <c r="N999" i="1"/>
  <c r="L773" i="1"/>
  <c r="L1529" i="1"/>
  <c r="M4262" i="1"/>
  <c r="N3346" i="1"/>
  <c r="L369" i="1"/>
  <c r="N791" i="1"/>
  <c r="L3793" i="1"/>
  <c r="N4465" i="1"/>
  <c r="X4410" i="1"/>
  <c r="L1116" i="1"/>
  <c r="L198" i="1"/>
  <c r="M4299" i="1"/>
  <c r="N2410" i="1"/>
  <c r="L423" i="1"/>
  <c r="L2515" i="1"/>
  <c r="N3711" i="1"/>
  <c r="L3078" i="1"/>
  <c r="N4060" i="1"/>
  <c r="X3935" i="1"/>
  <c r="L1718" i="1"/>
  <c r="N3325" i="1"/>
  <c r="L350" i="1"/>
  <c r="N1154" i="1"/>
  <c r="L3109" i="1"/>
  <c r="N4272" i="1"/>
  <c r="Y4095" i="1"/>
  <c r="L2051" i="1"/>
  <c r="M4255" i="1"/>
  <c r="N1965" i="1"/>
  <c r="L2285" i="1"/>
  <c r="N1492" i="1"/>
  <c r="L1271" i="1"/>
  <c r="N61" i="1"/>
  <c r="L3048" i="1"/>
  <c r="N3268" i="1"/>
  <c r="X4138" i="1"/>
  <c r="Y4372" i="1"/>
  <c r="L1693" i="1"/>
  <c r="N3831" i="1"/>
  <c r="L2356" i="1"/>
  <c r="N873" i="1"/>
  <c r="L1176" i="1"/>
  <c r="L2414" i="1"/>
  <c r="L3591" i="1"/>
  <c r="N1305" i="1"/>
  <c r="L4599" i="1"/>
  <c r="L1910" i="1"/>
  <c r="M4585" i="1"/>
  <c r="N3387" i="1"/>
  <c r="Y4496" i="1"/>
  <c r="L2429" i="1"/>
  <c r="N287" i="1"/>
  <c r="L3543" i="1"/>
  <c r="N2007" i="1"/>
  <c r="L2474" i="1"/>
  <c r="N2130" i="1"/>
  <c r="X4538" i="1"/>
  <c r="Y3872" i="1"/>
  <c r="L341" i="1"/>
  <c r="L1227" i="1"/>
  <c r="N1085" i="1"/>
  <c r="L4133" i="1"/>
  <c r="N1519" i="1"/>
  <c r="L3135" i="1"/>
  <c r="X4387" i="1"/>
  <c r="L2045" i="1"/>
  <c r="N374" i="1"/>
  <c r="L2159" i="1"/>
  <c r="Y4257" i="1"/>
  <c r="L1744" i="1"/>
  <c r="L700" i="1"/>
  <c r="N1388" i="1"/>
  <c r="L4520" i="1"/>
  <c r="N2878" i="1"/>
  <c r="Y4538" i="1"/>
  <c r="L1441" i="1"/>
  <c r="M4400" i="1"/>
  <c r="N774" i="1"/>
  <c r="X4044" i="1"/>
  <c r="L1906" i="1"/>
  <c r="X4397" i="1"/>
  <c r="L1091" i="1"/>
  <c r="N3635" i="1"/>
  <c r="X4048" i="1"/>
  <c r="L1648" i="1"/>
  <c r="N2376" i="1"/>
  <c r="Y4097" i="1"/>
  <c r="L1785" i="1"/>
  <c r="N1794" i="1"/>
  <c r="Y4280" i="1"/>
  <c r="L2639" i="1"/>
  <c r="N485" i="1"/>
  <c r="L2165" i="1"/>
  <c r="L2673" i="1"/>
  <c r="N484" i="1"/>
  <c r="L676" i="1"/>
  <c r="N1777" i="1"/>
  <c r="L3616" i="1"/>
  <c r="N4028" i="1"/>
  <c r="L1247" i="1"/>
  <c r="N2185" i="1"/>
  <c r="L3629" i="1"/>
  <c r="N2479" i="1"/>
  <c r="L4020" i="1"/>
  <c r="M4380" i="1"/>
  <c r="N1476" i="1"/>
  <c r="L2273" i="1"/>
  <c r="M4314" i="1"/>
  <c r="N1554" i="1"/>
  <c r="L1747" i="1"/>
  <c r="N2149" i="1"/>
  <c r="L1903" i="1"/>
  <c r="N3807" i="1"/>
  <c r="L3540" i="1"/>
  <c r="N1620" i="1"/>
  <c r="L4391" i="1"/>
  <c r="N3386" i="1"/>
  <c r="L3186" i="1"/>
  <c r="N1820" i="1"/>
  <c r="L3360" i="1"/>
  <c r="N71" i="1"/>
  <c r="L486" i="1"/>
  <c r="N482" i="1"/>
  <c r="L1314" i="1"/>
  <c r="N3598" i="1"/>
  <c r="L713" i="1"/>
  <c r="N1478" i="1"/>
  <c r="L4193" i="1"/>
  <c r="N1586" i="1"/>
  <c r="L3251" i="1"/>
  <c r="N516" i="1"/>
  <c r="L4106" i="1"/>
  <c r="N4027" i="1"/>
  <c r="L1356" i="1"/>
  <c r="N828" i="1"/>
  <c r="L3068" i="1"/>
  <c r="N4375" i="1"/>
  <c r="L3937" i="1"/>
  <c r="L1251" i="1"/>
  <c r="N35" i="1"/>
  <c r="L4221" i="1"/>
  <c r="N1953" i="1"/>
  <c r="L1131" i="1"/>
  <c r="N2230" i="1"/>
  <c r="Y3983" i="1"/>
  <c r="L1689" i="1"/>
  <c r="N1618" i="1"/>
  <c r="X3909" i="1"/>
  <c r="L976" i="1"/>
  <c r="N2453" i="1"/>
  <c r="L914" i="1"/>
  <c r="L2348" i="1"/>
  <c r="N944" i="1"/>
  <c r="L3130" i="1"/>
  <c r="N2755" i="1"/>
  <c r="L4047" i="1"/>
  <c r="N2028" i="1"/>
  <c r="L2788" i="1"/>
  <c r="M4587" i="1"/>
  <c r="N785" i="1"/>
  <c r="L1153" i="1"/>
  <c r="L2055" i="1"/>
  <c r="N3923" i="1"/>
  <c r="L621" i="1"/>
  <c r="N3840" i="1"/>
  <c r="L2507" i="1"/>
  <c r="N261" i="1"/>
  <c r="L1754" i="1"/>
  <c r="N2646" i="1"/>
  <c r="L1597" i="1"/>
  <c r="N619" i="1"/>
  <c r="L4349" i="1"/>
  <c r="N3146" i="1"/>
  <c r="L3897" i="1"/>
  <c r="N1317" i="1"/>
  <c r="L3646" i="1"/>
  <c r="N1657" i="1"/>
  <c r="X4100" i="1"/>
  <c r="L4547" i="1"/>
  <c r="N3153" i="1"/>
  <c r="L3398" i="1"/>
  <c r="N2845" i="1"/>
  <c r="L3763" i="1"/>
  <c r="L523" i="1"/>
  <c r="N2766" i="1"/>
  <c r="L1335" i="1"/>
  <c r="N1260" i="1"/>
  <c r="L4355" i="1"/>
  <c r="N2242" i="1"/>
  <c r="L1060" i="1"/>
  <c r="N3710" i="1"/>
  <c r="L770" i="1"/>
  <c r="N2395" i="1"/>
  <c r="L715" i="1"/>
  <c r="N2277" i="1"/>
  <c r="L2074" i="1"/>
  <c r="N3065" i="1"/>
  <c r="L1393" i="1"/>
  <c r="N3588" i="1"/>
  <c r="L2389" i="1"/>
  <c r="N3197" i="1"/>
  <c r="X4124" i="1"/>
  <c r="L3845" i="1"/>
  <c r="N2404" i="1"/>
  <c r="L893" i="1"/>
  <c r="N2498" i="1"/>
  <c r="X4290" i="1"/>
  <c r="L1622" i="1"/>
  <c r="N1582" i="1"/>
  <c r="L199" i="1"/>
  <c r="N2756" i="1"/>
  <c r="L306" i="1"/>
  <c r="N2535" i="1"/>
  <c r="X4355" i="1"/>
  <c r="L937" i="1"/>
  <c r="N3244" i="1"/>
  <c r="L1717" i="1"/>
  <c r="L3212" i="1"/>
  <c r="N1642" i="1"/>
  <c r="X4145" i="1"/>
  <c r="L184" i="1"/>
  <c r="N3252" i="1"/>
  <c r="L4492" i="1"/>
  <c r="N2380" i="1"/>
  <c r="L1065" i="1"/>
  <c r="N2190" i="1"/>
  <c r="L4351" i="1"/>
  <c r="N900" i="1"/>
  <c r="L1276" i="1"/>
  <c r="N2431" i="1"/>
  <c r="X4074" i="1"/>
  <c r="L2961" i="1"/>
  <c r="N4255" i="1"/>
  <c r="L3920" i="1"/>
  <c r="N2074" i="1"/>
  <c r="L935" i="1"/>
  <c r="L2353" i="1"/>
  <c r="N3824" i="1"/>
  <c r="L1440" i="1"/>
  <c r="N3717" i="1"/>
  <c r="L4375" i="1"/>
  <c r="N674" i="1"/>
  <c r="L3462" i="1"/>
  <c r="N38" i="1"/>
  <c r="L1862" i="1"/>
  <c r="N133" i="1"/>
  <c r="L3859" i="1"/>
  <c r="N3522" i="1"/>
  <c r="L1318" i="1"/>
  <c r="L1815" i="1"/>
  <c r="N3320" i="1"/>
  <c r="L1975" i="1"/>
  <c r="N3341" i="1"/>
  <c r="L800" i="1"/>
  <c r="N1983" i="1"/>
  <c r="L3187" i="1"/>
  <c r="N4424" i="1"/>
  <c r="L3737" i="1"/>
  <c r="N2836" i="1"/>
  <c r="L3538" i="1"/>
  <c r="N474" i="1"/>
  <c r="L4336" i="1"/>
  <c r="N2928" i="1"/>
  <c r="L2931" i="1"/>
  <c r="L1205" i="1"/>
  <c r="N4302" i="1"/>
  <c r="L1108" i="1"/>
  <c r="N2606" i="1"/>
  <c r="L4430" i="1"/>
  <c r="N3727" i="1"/>
  <c r="L2388" i="1"/>
  <c r="L2041" i="1"/>
  <c r="N1502" i="1"/>
  <c r="L1129" i="1"/>
  <c r="N2592" i="1"/>
  <c r="L896" i="1"/>
  <c r="L3263" i="1"/>
  <c r="N2442" i="1"/>
  <c r="L3375" i="1"/>
  <c r="N3185" i="1"/>
  <c r="L3963" i="1"/>
  <c r="N1265" i="1"/>
  <c r="L1428" i="1"/>
  <c r="N3799" i="1"/>
  <c r="L3686" i="1"/>
  <c r="N1068" i="1"/>
  <c r="L2330" i="1"/>
  <c r="N797" i="1"/>
  <c r="L1062" i="1"/>
  <c r="N643" i="1"/>
  <c r="L3855" i="1"/>
  <c r="N771" i="1"/>
  <c r="L3636" i="1"/>
  <c r="N707" i="1"/>
  <c r="L3037" i="1"/>
  <c r="N2582" i="1"/>
  <c r="L4563" i="1"/>
  <c r="N4263" i="1"/>
  <c r="X4021" i="1"/>
  <c r="L4424" i="1"/>
  <c r="N3022" i="1"/>
  <c r="X4588" i="1"/>
  <c r="L4357" i="1"/>
  <c r="L2481" i="1"/>
  <c r="N3263" i="1"/>
  <c r="L1985" i="1"/>
  <c r="M4532" i="1"/>
  <c r="N1090" i="1"/>
  <c r="L2749" i="1"/>
  <c r="M4381" i="1"/>
  <c r="L574" i="1"/>
  <c r="N649" i="1"/>
  <c r="L952" i="1"/>
  <c r="N507" i="1"/>
  <c r="L1125" i="1"/>
  <c r="N3451" i="1"/>
  <c r="L1647" i="1"/>
  <c r="N251" i="1"/>
  <c r="L3822" i="1"/>
  <c r="N4224" i="1"/>
  <c r="L2006" i="1"/>
  <c r="L1117" i="1"/>
  <c r="N4253" i="1"/>
  <c r="L3645" i="1"/>
  <c r="N2668" i="1"/>
  <c r="X3911" i="1"/>
  <c r="L3019" i="1"/>
  <c r="N2399" i="1"/>
  <c r="L2904" i="1"/>
  <c r="N2780" i="1"/>
  <c r="X4300" i="1"/>
  <c r="L3131" i="1"/>
  <c r="N2044" i="1"/>
  <c r="L3585" i="1"/>
  <c r="N1828" i="1"/>
  <c r="L1245" i="1"/>
  <c r="N2567" i="1"/>
  <c r="X180" i="1"/>
  <c r="L2059" i="1"/>
  <c r="L422" i="1"/>
  <c r="N3931" i="1"/>
  <c r="X4607" i="1"/>
  <c r="L3040" i="1"/>
  <c r="L4258" i="1"/>
  <c r="N2212" i="1"/>
  <c r="L2419" i="1"/>
  <c r="N359" i="1"/>
  <c r="L4306" i="1"/>
  <c r="N1021" i="1"/>
  <c r="L846" i="1"/>
  <c r="N1910" i="1"/>
  <c r="X4015" i="1"/>
  <c r="L195" i="1"/>
  <c r="N3999" i="1"/>
  <c r="L3006" i="1"/>
  <c r="N4509" i="1"/>
  <c r="L2472" i="1"/>
  <c r="N2379" i="1"/>
  <c r="L779" i="1"/>
  <c r="N4429" i="1"/>
  <c r="L3124" i="1"/>
  <c r="N2122" i="1"/>
  <c r="L1288" i="1"/>
  <c r="N3461" i="1"/>
  <c r="L1668" i="1"/>
  <c r="N2886" i="1"/>
  <c r="X4207" i="1"/>
  <c r="L1596" i="1"/>
  <c r="N70" i="1"/>
  <c r="L278" i="1"/>
  <c r="N564" i="1"/>
  <c r="L2941" i="1"/>
  <c r="L226" i="1"/>
  <c r="N1526" i="1"/>
  <c r="L2981" i="1"/>
  <c r="N2414" i="1"/>
  <c r="L1990" i="1"/>
  <c r="N2405" i="1"/>
  <c r="X4609" i="1"/>
  <c r="L3184" i="1"/>
  <c r="N2611" i="1"/>
  <c r="L2975" i="1"/>
  <c r="N1714" i="1"/>
  <c r="L2785" i="1"/>
  <c r="M4492" i="1"/>
  <c r="L3120" i="1"/>
  <c r="N1143" i="1"/>
  <c r="L2661" i="1"/>
  <c r="N1298" i="1"/>
  <c r="L3670" i="1"/>
  <c r="N534" i="1"/>
  <c r="L3692" i="1"/>
  <c r="N1382" i="1"/>
  <c r="L4226" i="1"/>
  <c r="N1214" i="1"/>
  <c r="L3912" i="1"/>
  <c r="X4496" i="1"/>
  <c r="L2951" i="1"/>
  <c r="M4460" i="1"/>
  <c r="L2517" i="1"/>
  <c r="N294" i="1"/>
  <c r="L71" i="1"/>
  <c r="N1344" i="1"/>
  <c r="L863" i="1"/>
  <c r="N1949" i="1"/>
  <c r="L884" i="1"/>
  <c r="N253" i="1"/>
  <c r="L1017" i="1"/>
  <c r="N1881" i="1"/>
  <c r="X4508" i="1"/>
  <c r="L1396" i="1"/>
  <c r="N2595" i="1"/>
  <c r="L4539" i="1"/>
  <c r="N2347" i="1"/>
  <c r="L174" i="1"/>
  <c r="N2752" i="1"/>
  <c r="L3700" i="1"/>
  <c r="N2816" i="1"/>
  <c r="L1241" i="1"/>
  <c r="N4319" i="1"/>
  <c r="L66" i="1"/>
  <c r="N3690" i="1"/>
  <c r="L4609" i="1"/>
  <c r="N3768" i="1"/>
  <c r="L2332" i="1"/>
  <c r="N820" i="1"/>
  <c r="L860" i="1"/>
  <c r="N3222" i="1"/>
  <c r="L2407" i="1"/>
  <c r="N4617" i="1"/>
  <c r="L1959" i="1"/>
  <c r="N147" i="1"/>
  <c r="L3559" i="1"/>
  <c r="L3800" i="1"/>
  <c r="N4538" i="1"/>
  <c r="L3815" i="1"/>
  <c r="N4334" i="1"/>
  <c r="L1281" i="1"/>
  <c r="N589" i="1"/>
  <c r="L2720" i="1"/>
  <c r="M4348" i="1"/>
  <c r="N1204" i="1"/>
  <c r="L218" i="1"/>
  <c r="N1572" i="1"/>
  <c r="L143" i="1"/>
  <c r="N2290" i="1"/>
  <c r="L63" i="1"/>
  <c r="N2841" i="1"/>
  <c r="L552" i="1"/>
  <c r="N3310" i="1"/>
  <c r="L308" i="1"/>
  <c r="L4249" i="1"/>
  <c r="N2208" i="1"/>
  <c r="L2364" i="1"/>
  <c r="N1942" i="1"/>
  <c r="L633" i="1"/>
  <c r="N440" i="1"/>
  <c r="L749" i="1"/>
  <c r="N3993" i="1"/>
  <c r="L110" i="1"/>
  <c r="N2363" i="1"/>
  <c r="L2366" i="1"/>
  <c r="L3373" i="1"/>
  <c r="N1675" i="1"/>
  <c r="L3123" i="1"/>
  <c r="N1185" i="1"/>
  <c r="L3223" i="1"/>
  <c r="N3821" i="1"/>
  <c r="L4180" i="1"/>
  <c r="N1570" i="1"/>
  <c r="L3145" i="1"/>
  <c r="N4593" i="1"/>
  <c r="L3344" i="1"/>
  <c r="N1668" i="1"/>
  <c r="L1488" i="1"/>
  <c r="X3937" i="1"/>
  <c r="L767" i="1"/>
  <c r="N2909" i="1"/>
  <c r="L1190" i="1"/>
  <c r="N3607" i="1"/>
  <c r="X4038" i="1"/>
  <c r="L1435" i="1"/>
  <c r="N2056" i="1"/>
  <c r="L683" i="1"/>
  <c r="N387" i="1"/>
  <c r="L1160" i="1"/>
  <c r="N3546" i="1"/>
  <c r="Y4122" i="1"/>
  <c r="L1422" i="1"/>
  <c r="N3430" i="1"/>
  <c r="X4142" i="1"/>
  <c r="L1791" i="1"/>
  <c r="N2285" i="1"/>
  <c r="X4440" i="1"/>
  <c r="L3964" i="1"/>
  <c r="N2976" i="1"/>
  <c r="X4492" i="1"/>
  <c r="L2613" i="1"/>
  <c r="N291" i="1"/>
  <c r="L1838" i="1"/>
  <c r="L2955" i="1"/>
  <c r="N3147" i="1"/>
  <c r="L1808" i="1"/>
  <c r="N2501" i="1"/>
  <c r="L2587" i="1"/>
  <c r="N347" i="1"/>
  <c r="L4617" i="1"/>
  <c r="N424" i="1"/>
  <c r="X4251" i="1"/>
  <c r="L2667" i="1"/>
  <c r="N831" i="1"/>
  <c r="Y4322" i="1"/>
  <c r="L2953" i="1"/>
  <c r="L540" i="1"/>
  <c r="X3859" i="1"/>
  <c r="L1992" i="1"/>
  <c r="N4123" i="1"/>
  <c r="L694" i="1"/>
  <c r="M4485" i="1"/>
  <c r="N2068" i="1"/>
  <c r="L4558" i="1"/>
  <c r="N3446" i="1"/>
  <c r="L3274" i="1"/>
  <c r="X4558" i="1"/>
  <c r="Y4139" i="1"/>
  <c r="L2652" i="1"/>
  <c r="N4493" i="1"/>
  <c r="L4268" i="1"/>
  <c r="N2221" i="1"/>
  <c r="Y4454" i="1"/>
  <c r="L4116" i="1"/>
  <c r="N1438" i="1"/>
  <c r="X4005" i="1"/>
  <c r="Y4269" i="1"/>
  <c r="L2589" i="1"/>
  <c r="M4290" i="1"/>
  <c r="N150" i="1"/>
  <c r="L1008" i="1"/>
  <c r="N3503" i="1"/>
  <c r="X3953" i="1"/>
  <c r="L2985" i="1"/>
  <c r="N3620" i="1"/>
  <c r="L2107" i="1"/>
  <c r="N456" i="1"/>
  <c r="X4336" i="1"/>
  <c r="L1660" i="1"/>
  <c r="N502" i="1"/>
  <c r="Y4500" i="1"/>
  <c r="L4442" i="1"/>
  <c r="N3473" i="1"/>
  <c r="L1133" i="1"/>
  <c r="N1016" i="1"/>
  <c r="Y4124" i="1"/>
  <c r="L2336" i="1"/>
  <c r="N1547" i="1"/>
  <c r="L4512" i="1"/>
  <c r="L616" i="1"/>
  <c r="N352" i="1"/>
  <c r="X3972" i="1"/>
  <c r="L3231" i="1"/>
  <c r="N2088" i="1"/>
  <c r="L1891" i="1"/>
  <c r="N4222" i="1"/>
  <c r="L3954" i="1"/>
  <c r="N4362" i="1"/>
  <c r="L2036" i="1"/>
  <c r="L3867" i="1"/>
  <c r="N1177" i="1"/>
  <c r="X4485" i="1"/>
  <c r="L4023" i="1"/>
  <c r="M4361" i="1"/>
  <c r="N688" i="1"/>
  <c r="X4462" i="1"/>
  <c r="L4121" i="1"/>
  <c r="N445" i="1"/>
  <c r="L4548" i="1"/>
  <c r="L562" i="1"/>
  <c r="N420" i="1"/>
  <c r="L3849" i="1"/>
  <c r="N2031" i="1"/>
  <c r="Y4564" i="1"/>
  <c r="L2241" i="1"/>
  <c r="M227" i="1"/>
  <c r="N517" i="1"/>
  <c r="L1784" i="1"/>
  <c r="N2772" i="1"/>
  <c r="L729" i="1"/>
  <c r="N864" i="1"/>
  <c r="L1652" i="1"/>
  <c r="N4378" i="1"/>
  <c r="L1031" i="1"/>
  <c r="N13" i="1"/>
  <c r="L2676" i="1"/>
  <c r="M4301" i="1"/>
  <c r="L1963" i="1"/>
  <c r="N2490" i="1"/>
  <c r="L1976" i="1"/>
  <c r="N3935" i="1"/>
  <c r="L4006" i="1"/>
  <c r="L3809" i="1"/>
  <c r="N3912" i="1"/>
  <c r="L3843" i="1"/>
  <c r="M4349" i="1"/>
  <c r="N2148" i="1"/>
  <c r="L3580" i="1"/>
  <c r="N4008" i="1"/>
  <c r="L2896" i="1"/>
  <c r="N3391" i="1"/>
  <c r="L3679" i="1"/>
  <c r="N3209" i="1"/>
  <c r="L1538" i="1"/>
  <c r="N2201" i="1"/>
  <c r="L4586" i="1"/>
  <c r="M4409" i="1"/>
  <c r="N187" i="1"/>
  <c r="L1417" i="1"/>
  <c r="N1521" i="1"/>
  <c r="L259" i="1"/>
  <c r="N2429" i="1"/>
  <c r="X4535" i="1"/>
  <c r="L751" i="1"/>
  <c r="N2630" i="1"/>
  <c r="X4591" i="1"/>
  <c r="L1405" i="1"/>
  <c r="M4503" i="1"/>
  <c r="N2853" i="1"/>
  <c r="X4099" i="1"/>
  <c r="L1002" i="1"/>
  <c r="N272" i="1"/>
  <c r="L3768" i="1"/>
  <c r="N2556" i="1"/>
  <c r="L650" i="1"/>
  <c r="N3425" i="1"/>
  <c r="Y4342" i="1"/>
  <c r="L480" i="1"/>
  <c r="M4583" i="1"/>
  <c r="L1715" i="1"/>
  <c r="N4508" i="1"/>
  <c r="L4556" i="1"/>
  <c r="N3159" i="1"/>
  <c r="L2054" i="1"/>
  <c r="N1887" i="1"/>
  <c r="L4131" i="1"/>
  <c r="N3379" i="1"/>
  <c r="X4363" i="1"/>
  <c r="L434" i="1"/>
  <c r="N1258" i="1"/>
  <c r="L3787" i="1"/>
  <c r="N2510" i="1"/>
  <c r="L1214" i="1"/>
  <c r="N4079" i="1"/>
  <c r="X4379" i="1"/>
  <c r="L2898" i="1"/>
  <c r="N1193" i="1"/>
  <c r="L3829" i="1"/>
  <c r="N3370" i="1"/>
  <c r="L2665" i="1"/>
  <c r="N1182" i="1"/>
  <c r="X4223" i="1"/>
  <c r="Y4402" i="1"/>
  <c r="L388" i="1"/>
  <c r="M4402" i="1"/>
  <c r="N1283" i="1"/>
  <c r="L4026" i="1"/>
  <c r="L3271" i="1"/>
  <c r="N467" i="1"/>
  <c r="L4200" i="1"/>
  <c r="N3359" i="1"/>
  <c r="Y4213" i="1"/>
  <c r="L12" i="1"/>
  <c r="M4289" i="1"/>
  <c r="N2534" i="1"/>
  <c r="L387" i="1"/>
  <c r="N4532" i="1"/>
  <c r="L1812" i="1"/>
  <c r="N246" i="1"/>
  <c r="L3016" i="1"/>
  <c r="N2758" i="1"/>
  <c r="X4117" i="1"/>
  <c r="L4176" i="1"/>
  <c r="N2966" i="1"/>
  <c r="L4218" i="1"/>
  <c r="M4419" i="1"/>
  <c r="L4190" i="1"/>
  <c r="N2549" i="1"/>
  <c r="L3382" i="1"/>
  <c r="N1333" i="1"/>
  <c r="L2076" i="1"/>
  <c r="L1048" i="1"/>
  <c r="N450" i="1"/>
  <c r="L498" i="1"/>
  <c r="N1029" i="1"/>
  <c r="L2573" i="1"/>
  <c r="N2415" i="1"/>
  <c r="Y4430" i="1"/>
  <c r="L178" i="1"/>
  <c r="L4393" i="1"/>
  <c r="N1631" i="1"/>
  <c r="L1798" i="1"/>
  <c r="M4333" i="1"/>
  <c r="N3039" i="1"/>
  <c r="L674" i="1"/>
  <c r="N2495" i="1"/>
  <c r="L1645" i="1"/>
  <c r="N1562" i="1"/>
  <c r="L1519" i="1"/>
  <c r="N3956" i="1"/>
  <c r="L1004" i="1"/>
  <c r="N2651" i="1"/>
  <c r="Y4561" i="1"/>
  <c r="L3691" i="1"/>
  <c r="M4581" i="1"/>
  <c r="N691" i="1"/>
  <c r="L193" i="1"/>
  <c r="N1042" i="1"/>
  <c r="L1911" i="1"/>
  <c r="N78" i="1"/>
  <c r="Y4237" i="1"/>
  <c r="L3175" i="1"/>
  <c r="N1941" i="1"/>
  <c r="Y4143" i="1"/>
  <c r="L1298" i="1"/>
  <c r="N196" i="1"/>
  <c r="Y4282" i="1"/>
  <c r="L366" i="1"/>
  <c r="N4122" i="1"/>
  <c r="L1532" i="1"/>
  <c r="M4494" i="1"/>
  <c r="N2420" i="1"/>
  <c r="L3916" i="1"/>
  <c r="N2256" i="1"/>
  <c r="L1509" i="1"/>
  <c r="N129" i="1"/>
  <c r="L3652" i="1"/>
  <c r="N854" i="1"/>
  <c r="L669" i="1"/>
  <c r="N242" i="1"/>
  <c r="Y4127" i="1"/>
  <c r="L1690" i="1"/>
  <c r="M4538" i="1"/>
  <c r="L3872" i="1"/>
  <c r="N3644" i="1"/>
  <c r="L3183" i="1"/>
  <c r="N2311" i="1"/>
  <c r="L2437" i="1"/>
  <c r="L100" i="1"/>
  <c r="N714" i="1"/>
  <c r="Y4595" i="1"/>
  <c r="L3069" i="1"/>
  <c r="N506" i="1"/>
  <c r="L4507" i="1"/>
  <c r="Y4383" i="1"/>
  <c r="L2619" i="1"/>
  <c r="L2647" i="1"/>
  <c r="L4115" i="1"/>
  <c r="N3627" i="1"/>
  <c r="L4460" i="1"/>
  <c r="N2179" i="1"/>
  <c r="L3811" i="1"/>
  <c r="N4561" i="1"/>
  <c r="L3128" i="1"/>
  <c r="N2316" i="1"/>
  <c r="X4434" i="1"/>
  <c r="L4546" i="1"/>
  <c r="N1793" i="1"/>
  <c r="X4261" i="1"/>
  <c r="L2221" i="1"/>
  <c r="N2697" i="1"/>
  <c r="L196" i="1"/>
  <c r="N4081" i="1"/>
  <c r="L675" i="1"/>
  <c r="N2831" i="1"/>
  <c r="L3601" i="1"/>
  <c r="N2136" i="1"/>
  <c r="L3741" i="1"/>
  <c r="N4064" i="1"/>
  <c r="L2118" i="1"/>
  <c r="N1814" i="1"/>
  <c r="L722" i="1"/>
  <c r="N3223" i="1"/>
  <c r="X4516" i="1"/>
  <c r="L2436" i="1"/>
  <c r="N2348" i="1"/>
  <c r="L263" i="1"/>
  <c r="M4617" i="1"/>
  <c r="N1534" i="1"/>
  <c r="Y3935" i="1"/>
  <c r="L1569" i="1"/>
  <c r="N3773" i="1"/>
  <c r="L816" i="1"/>
  <c r="N1287" i="1"/>
  <c r="X4156" i="1"/>
  <c r="Z4486" i="1"/>
  <c r="L2787" i="1"/>
  <c r="Y4502" i="1"/>
  <c r="L50" i="1"/>
  <c r="N1680" i="1"/>
  <c r="X4597" i="1"/>
  <c r="L4418" i="1"/>
  <c r="N3733" i="1"/>
  <c r="L1899" i="1"/>
  <c r="N4264" i="1"/>
  <c r="L1322" i="1"/>
  <c r="N2239" i="1"/>
  <c r="L2444" i="1"/>
  <c r="L2288" i="1"/>
  <c r="M4468" i="1"/>
  <c r="N4537" i="1"/>
  <c r="L3396" i="1"/>
  <c r="N3015" i="1"/>
  <c r="L3199" i="1"/>
  <c r="N1762" i="1"/>
  <c r="L4024" i="1"/>
  <c r="L2484" i="1"/>
  <c r="L3254" i="1"/>
  <c r="N985" i="1"/>
  <c r="L1861" i="1"/>
  <c r="N4166" i="1"/>
  <c r="L757" i="1"/>
  <c r="M4429" i="1"/>
  <c r="N508" i="1"/>
  <c r="X4051" i="1"/>
  <c r="L2113" i="1"/>
  <c r="L3363" i="1"/>
  <c r="N3363" i="1"/>
  <c r="X4436" i="1"/>
  <c r="L1973" i="1"/>
  <c r="Y4304" i="1"/>
  <c r="L1350" i="1"/>
  <c r="N2633" i="1"/>
  <c r="Y4563" i="1"/>
  <c r="L2612" i="1"/>
  <c r="N2835" i="1"/>
  <c r="L281" i="1"/>
  <c r="M138" i="1"/>
  <c r="N4388" i="1"/>
  <c r="L2829" i="1"/>
  <c r="N3862" i="1"/>
  <c r="L2329" i="1"/>
  <c r="L904" i="1"/>
  <c r="N409" i="1"/>
  <c r="L3537" i="1"/>
  <c r="N3554" i="1"/>
  <c r="L315" i="1"/>
  <c r="N578" i="1"/>
  <c r="L1196" i="1"/>
  <c r="N505" i="1"/>
  <c r="L4340" i="1"/>
  <c r="L2468" i="1"/>
  <c r="N756" i="1"/>
  <c r="L1779" i="1"/>
  <c r="N2043" i="1"/>
  <c r="X4339" i="1"/>
  <c r="L4431" i="1"/>
  <c r="L673" i="1"/>
  <c r="N2447" i="1"/>
  <c r="L637" i="1"/>
  <c r="N1108" i="1"/>
  <c r="L3206" i="1"/>
  <c r="N2473" i="1"/>
  <c r="L189" i="1"/>
  <c r="N759" i="1"/>
  <c r="Y3956" i="1"/>
  <c r="L1165" i="1"/>
  <c r="N4328" i="1"/>
  <c r="Y4508" i="1"/>
  <c r="L336" i="1"/>
  <c r="N1125" i="1"/>
  <c r="L4504" i="1"/>
  <c r="N3150" i="1"/>
  <c r="L1938" i="1"/>
  <c r="L298" i="1"/>
  <c r="N4324" i="1"/>
  <c r="L2154" i="1"/>
  <c r="M4239" i="1"/>
  <c r="L2614" i="1"/>
  <c r="N800" i="1"/>
  <c r="L2252" i="1"/>
  <c r="M4441" i="1"/>
  <c r="L1514" i="1"/>
  <c r="N427" i="1"/>
  <c r="Y4442" i="1"/>
  <c r="L778" i="1"/>
  <c r="N1640" i="1"/>
  <c r="L270" i="1"/>
  <c r="N1238" i="1"/>
  <c r="L2571" i="1"/>
  <c r="N1556" i="1"/>
  <c r="L3847" i="1"/>
  <c r="L1826" i="1"/>
  <c r="N306" i="1"/>
  <c r="L4390" i="1"/>
  <c r="N2532" i="1"/>
  <c r="Y4344" i="1"/>
  <c r="L819" i="1"/>
  <c r="Y4030" i="1"/>
  <c r="L1159" i="1"/>
  <c r="N348" i="1"/>
  <c r="L2299" i="1"/>
  <c r="L279" i="1"/>
  <c r="N1037" i="1"/>
  <c r="L1484" i="1"/>
  <c r="M4413" i="1"/>
  <c r="N282" i="1"/>
  <c r="L2799" i="1"/>
  <c r="N3789" i="1"/>
  <c r="L1057" i="1"/>
  <c r="N1044" i="1"/>
  <c r="L3972" i="1"/>
  <c r="M4458" i="1"/>
  <c r="N921" i="1"/>
  <c r="L127" i="1"/>
  <c r="L4245" i="1"/>
  <c r="X4351" i="1"/>
  <c r="L1494" i="1"/>
  <c r="N27" i="1"/>
  <c r="L1477" i="1"/>
  <c r="N459" i="1"/>
  <c r="L2802" i="1"/>
  <c r="N258" i="1"/>
  <c r="X4055" i="1"/>
  <c r="L4410" i="1"/>
  <c r="N3101" i="1"/>
  <c r="X4090" i="1"/>
  <c r="L1679" i="1"/>
  <c r="L378" i="1"/>
  <c r="N1110" i="1"/>
  <c r="L661" i="1"/>
  <c r="N401" i="1"/>
  <c r="L359" i="1"/>
  <c r="N1995" i="1"/>
  <c r="X4479" i="1"/>
  <c r="L4302" i="1"/>
  <c r="X3889" i="1"/>
  <c r="L923" i="1"/>
  <c r="N1310" i="1"/>
  <c r="L3626" i="1"/>
  <c r="N2087" i="1"/>
  <c r="L215" i="1"/>
  <c r="N4106" i="1"/>
  <c r="L4050" i="1"/>
  <c r="N4247" i="1"/>
  <c r="L476" i="1"/>
  <c r="N1264" i="1"/>
  <c r="L4483" i="1"/>
  <c r="X4464" i="1"/>
  <c r="L179" i="1"/>
  <c r="N2244" i="1"/>
  <c r="L3696" i="1"/>
  <c r="N2613" i="1"/>
  <c r="L3460" i="1"/>
  <c r="L456" i="1"/>
  <c r="N2091" i="1"/>
  <c r="L3523" i="1"/>
  <c r="M4612" i="1"/>
  <c r="N914" i="1"/>
  <c r="L927" i="1"/>
  <c r="N2664" i="1"/>
  <c r="X4327" i="1"/>
  <c r="L855" i="1"/>
  <c r="N4173" i="1"/>
  <c r="X4470" i="1"/>
  <c r="L538" i="1"/>
  <c r="N3006" i="1"/>
  <c r="L4276" i="1"/>
  <c r="L986" i="1"/>
  <c r="N399" i="1"/>
  <c r="L1770" i="1"/>
  <c r="N2679" i="1"/>
  <c r="X4101" i="1"/>
  <c r="L1485" i="1"/>
  <c r="N2219" i="1"/>
  <c r="X4360" i="1"/>
  <c r="L3994" i="1"/>
  <c r="N732" i="1"/>
  <c r="L2183" i="1"/>
  <c r="M4271" i="1"/>
  <c r="N693" i="1"/>
  <c r="L3521" i="1"/>
  <c r="N3584" i="1"/>
  <c r="L4162" i="1"/>
  <c r="N2360" i="1"/>
  <c r="L3265" i="1"/>
  <c r="N2072" i="1"/>
  <c r="L1171" i="1"/>
  <c r="N2612" i="1"/>
  <c r="X4271" i="1"/>
  <c r="L3552" i="1"/>
  <c r="N4057" i="1"/>
  <c r="L3200" i="1"/>
  <c r="N4377" i="1"/>
  <c r="L640" i="1"/>
  <c r="N1458" i="1"/>
  <c r="L3848" i="1"/>
  <c r="N1996" i="1"/>
  <c r="L2892" i="1"/>
  <c r="N1139" i="1"/>
  <c r="X4450" i="1"/>
  <c r="L2755" i="1"/>
  <c r="L4238" i="1"/>
  <c r="N2475" i="1"/>
  <c r="L2432" i="1"/>
  <c r="X4587" i="1"/>
  <c r="L68" i="1"/>
  <c r="X3971" i="1"/>
  <c r="L286" i="1"/>
  <c r="L4397" i="1"/>
  <c r="L4242" i="1"/>
  <c r="N3105" i="1"/>
  <c r="L38" i="1"/>
  <c r="L4123" i="1"/>
  <c r="N1495" i="1"/>
  <c r="L334" i="1"/>
  <c r="N1992" i="1"/>
  <c r="X4445" i="1"/>
  <c r="L2832" i="1"/>
  <c r="N4172" i="1"/>
  <c r="L2538" i="1"/>
  <c r="L2395" i="1"/>
  <c r="Y3882" i="1"/>
  <c r="L739" i="1"/>
  <c r="L1632" i="1"/>
  <c r="N3434" i="1"/>
  <c r="Z4544" i="1"/>
  <c r="L318" i="1"/>
  <c r="N277" i="1"/>
  <c r="Y4603" i="1"/>
  <c r="L1809" i="1"/>
  <c r="N617" i="1"/>
  <c r="Y4252" i="1"/>
  <c r="L4490" i="1"/>
  <c r="N3173" i="1"/>
  <c r="X4293" i="1"/>
  <c r="Y4336" i="1"/>
  <c r="L2463" i="1"/>
  <c r="M4406" i="1"/>
  <c r="N4105" i="1"/>
  <c r="L3551" i="1"/>
  <c r="L3023" i="1"/>
  <c r="N4539" i="1"/>
  <c r="L848" i="1"/>
  <c r="N1101" i="1"/>
  <c r="X4225" i="1"/>
  <c r="Y4357" i="1"/>
  <c r="L351" i="1"/>
  <c r="N1308" i="1"/>
  <c r="L3427" i="1"/>
  <c r="N3933" i="1"/>
  <c r="L1760" i="1"/>
  <c r="L3968" i="1"/>
  <c r="N472" i="1"/>
  <c r="X3891" i="1"/>
  <c r="L1567" i="1"/>
  <c r="N1897" i="1"/>
  <c r="L1235" i="1"/>
  <c r="N2860" i="1"/>
  <c r="L4274" i="1"/>
  <c r="L4403" i="1"/>
  <c r="N3156" i="1"/>
  <c r="L2909" i="1"/>
  <c r="N1841" i="1"/>
  <c r="Y4392" i="1"/>
  <c r="L4573" i="1"/>
  <c r="M4561" i="1"/>
  <c r="N1873" i="1"/>
  <c r="L4075" i="1"/>
  <c r="X4502" i="1"/>
  <c r="L1713" i="1"/>
  <c r="N3796" i="1"/>
  <c r="Y4090" i="1"/>
  <c r="L2779" i="1"/>
  <c r="Y4386" i="1"/>
  <c r="L3992" i="1"/>
  <c r="N2775" i="1"/>
  <c r="L1636" i="1"/>
  <c r="N2147" i="1"/>
  <c r="L4572" i="1"/>
  <c r="L1348" i="1"/>
  <c r="M4574" i="1"/>
  <c r="N271" i="1"/>
  <c r="Y3920" i="1"/>
  <c r="L3414" i="1"/>
  <c r="N1662" i="1"/>
  <c r="L3516" i="1"/>
  <c r="L1282" i="1"/>
  <c r="M4596" i="1"/>
  <c r="Y4018" i="1"/>
  <c r="L672" i="1"/>
  <c r="N2117" i="1"/>
  <c r="L3213" i="1"/>
  <c r="N334" i="1"/>
  <c r="X4185" i="1"/>
  <c r="Z4412" i="1"/>
  <c r="L4187" i="1"/>
  <c r="Y4025" i="1"/>
  <c r="L1265" i="1"/>
  <c r="Y59" i="1"/>
  <c r="L3936" i="1"/>
  <c r="N3235" i="1"/>
  <c r="L1951" i="1"/>
  <c r="N2279" i="1"/>
  <c r="L1220" i="1"/>
  <c r="M4317" i="1"/>
  <c r="Y4541" i="1"/>
  <c r="L4114" i="1"/>
  <c r="N4394" i="1"/>
  <c r="L2677" i="1"/>
  <c r="N1397" i="1"/>
  <c r="Y4509" i="1"/>
  <c r="L3977" i="1"/>
  <c r="N1803" i="1"/>
  <c r="L3466" i="1"/>
  <c r="L1870" i="1"/>
  <c r="N786" i="1"/>
  <c r="L3744" i="1"/>
  <c r="L1123" i="1"/>
  <c r="N4227" i="1"/>
  <c r="L1551" i="1"/>
  <c r="M4305" i="1"/>
  <c r="N2463" i="1"/>
  <c r="Y3963" i="1"/>
  <c r="L3635" i="1"/>
  <c r="N3762" i="1"/>
  <c r="L2217" i="1"/>
  <c r="L3058" i="1"/>
  <c r="L2982" i="1"/>
  <c r="N3626" i="1"/>
  <c r="L3152" i="1"/>
  <c r="N3139" i="1"/>
  <c r="L1877" i="1"/>
  <c r="N2078" i="1"/>
  <c r="L3643" i="1"/>
  <c r="L170" i="1"/>
  <c r="N2306" i="1"/>
  <c r="L4002" i="1"/>
  <c r="N875" i="1"/>
  <c r="L1401" i="1"/>
  <c r="N160" i="1"/>
  <c r="X4466" i="1"/>
  <c r="L924" i="1"/>
  <c r="M4268" i="1"/>
  <c r="N1811" i="1"/>
  <c r="X3982" i="1"/>
  <c r="L3530" i="1"/>
  <c r="N1446" i="1"/>
  <c r="L692" i="1"/>
  <c r="N2661" i="1"/>
  <c r="L1483" i="1"/>
  <c r="N4030" i="1"/>
  <c r="L1604" i="1"/>
  <c r="N1903" i="1"/>
  <c r="X4562" i="1"/>
  <c r="L92" i="1"/>
  <c r="N2569" i="1"/>
  <c r="X4529" i="1"/>
  <c r="L980" i="1"/>
  <c r="N3114" i="1"/>
  <c r="L2886" i="1"/>
  <c r="M4455" i="1"/>
  <c r="N3556" i="1"/>
  <c r="X4175" i="1"/>
  <c r="L2722" i="1"/>
  <c r="L2721" i="1"/>
  <c r="X4079" i="1"/>
  <c r="L3174" i="1"/>
  <c r="N326" i="1"/>
  <c r="L3356" i="1"/>
  <c r="M4302" i="1"/>
  <c r="N3971" i="1"/>
  <c r="Y4024" i="1"/>
  <c r="L3728" i="1"/>
  <c r="N1455" i="1"/>
  <c r="L2880" i="1"/>
  <c r="N3652" i="1"/>
  <c r="Y4356" i="1"/>
  <c r="L1400" i="1"/>
  <c r="N2253" i="1"/>
  <c r="L2035" i="1"/>
  <c r="M4312" i="1"/>
  <c r="N3558" i="1"/>
  <c r="L1700" i="1"/>
  <c r="X4080" i="1"/>
  <c r="Y4435" i="1"/>
  <c r="L3381" i="1"/>
  <c r="N4175" i="1"/>
  <c r="L1800" i="1"/>
  <c r="N2851" i="1"/>
  <c r="L416" i="1"/>
  <c r="N3479" i="1"/>
  <c r="Y3980" i="1"/>
  <c r="L1103" i="1"/>
  <c r="N2115" i="1"/>
  <c r="L241" i="1"/>
  <c r="Y4166" i="1"/>
  <c r="L3577" i="1"/>
  <c r="N2524" i="1"/>
  <c r="Y4254" i="1"/>
  <c r="L2178" i="1"/>
  <c r="N3152" i="1"/>
  <c r="Y4385" i="1"/>
  <c r="L1323" i="1"/>
  <c r="L51" i="1"/>
  <c r="N1691" i="1"/>
  <c r="L3655" i="1"/>
  <c r="L384" i="1"/>
  <c r="M4482" i="1"/>
  <c r="L2202" i="1"/>
  <c r="M4398" i="1"/>
  <c r="N3726" i="1"/>
  <c r="X4550" i="1"/>
  <c r="L2163" i="1"/>
  <c r="N1789" i="1"/>
  <c r="Y4363" i="1"/>
  <c r="L3544" i="1"/>
  <c r="N4221" i="1"/>
  <c r="L1649" i="1"/>
  <c r="N449" i="1"/>
  <c r="L1122" i="1"/>
  <c r="L3746" i="1"/>
  <c r="N942" i="1"/>
  <c r="L2061" i="1"/>
  <c r="N1201" i="1"/>
  <c r="L3134" i="1"/>
  <c r="N1834" i="1"/>
  <c r="L467" i="1"/>
  <c r="N4117" i="1"/>
  <c r="L4359" i="1"/>
  <c r="N2375" i="1"/>
  <c r="L4139" i="1"/>
  <c r="N4004" i="1"/>
  <c r="X4133" i="1"/>
  <c r="L2103" i="1"/>
  <c r="N4104" i="1"/>
  <c r="X4238" i="1"/>
  <c r="L879" i="1"/>
  <c r="N4331" i="1"/>
  <c r="L4000" i="1"/>
  <c r="N1512" i="1"/>
  <c r="L3102" i="1"/>
  <c r="N1385" i="1"/>
  <c r="L4149" i="1"/>
  <c r="X4323" i="1"/>
  <c r="L4376" i="1"/>
  <c r="L1605" i="1"/>
  <c r="N1961" i="1"/>
  <c r="L3944" i="1"/>
  <c r="N1599" i="1"/>
  <c r="L1390" i="1"/>
  <c r="X4309" i="1"/>
  <c r="L2988" i="1"/>
  <c r="N2584" i="1"/>
  <c r="L3680" i="1"/>
  <c r="X3854" i="1"/>
  <c r="L3458" i="1"/>
  <c r="N4502" i="1"/>
  <c r="X3957" i="1"/>
  <c r="L730" i="1"/>
  <c r="N3953" i="1"/>
  <c r="Y4371" i="1"/>
  <c r="L962" i="1"/>
  <c r="N2295" i="1"/>
  <c r="L642" i="1"/>
  <c r="N432" i="1"/>
  <c r="L2783" i="1"/>
  <c r="N1993" i="1"/>
  <c r="X4338" i="1"/>
  <c r="L3673" i="1"/>
  <c r="N2850" i="1"/>
  <c r="L3192" i="1"/>
  <c r="N1770" i="1"/>
  <c r="L2398" i="1"/>
  <c r="N385" i="1"/>
  <c r="L1365" i="1"/>
  <c r="N2104" i="1"/>
  <c r="L1102" i="1"/>
  <c r="N89" i="1"/>
  <c r="L1828" i="1"/>
  <c r="N100" i="1"/>
  <c r="L4500" i="1"/>
  <c r="N2325" i="1"/>
  <c r="L996" i="1"/>
  <c r="X4380" i="1"/>
  <c r="L2603" i="1"/>
  <c r="M4454" i="1"/>
  <c r="N92" i="1"/>
  <c r="Y4419" i="1"/>
  <c r="L4419" i="1"/>
  <c r="N5" i="1"/>
  <c r="Y4246" i="1"/>
  <c r="L3725" i="1"/>
  <c r="N68" i="1"/>
  <c r="L1851" i="1"/>
  <c r="N2639" i="1"/>
  <c r="L2627" i="1"/>
  <c r="N4006" i="1"/>
  <c r="Y4424" i="1"/>
  <c r="L157" i="1"/>
  <c r="N1396" i="1"/>
  <c r="L4189" i="1"/>
  <c r="L2308" i="1"/>
  <c r="N1899" i="1"/>
  <c r="L1437" i="1"/>
  <c r="N3055" i="1"/>
  <c r="L4095" i="1"/>
  <c r="M4504" i="1"/>
  <c r="N606" i="1"/>
  <c r="L747" i="1"/>
  <c r="N2716" i="1"/>
  <c r="L1115" i="1"/>
  <c r="N3301" i="1"/>
  <c r="X4017" i="1"/>
  <c r="L2426" i="1"/>
  <c r="N25" i="1"/>
  <c r="X70" i="1"/>
  <c r="L4475" i="1"/>
  <c r="L466" i="1"/>
  <c r="N4068" i="1"/>
  <c r="L3441" i="1"/>
  <c r="N3064" i="1"/>
  <c r="L3854" i="1"/>
  <c r="M4423" i="1"/>
  <c r="N29" i="1"/>
  <c r="L1587" i="1"/>
  <c r="N1669" i="1"/>
  <c r="X4581" i="1"/>
  <c r="L2964" i="1"/>
  <c r="N3525" i="1"/>
  <c r="X4064" i="1"/>
  <c r="L2662" i="1"/>
  <c r="Y4123" i="1"/>
  <c r="L3209" i="1"/>
  <c r="N4034" i="1"/>
  <c r="L4417" i="1"/>
  <c r="M4377" i="1"/>
  <c r="L1344" i="1"/>
  <c r="N4301" i="1"/>
  <c r="L2223" i="1"/>
  <c r="N3601" i="1"/>
  <c r="L2293" i="1"/>
  <c r="N3628" i="1"/>
  <c r="X4147" i="1"/>
  <c r="L2513" i="1"/>
  <c r="N3495" i="1"/>
  <c r="L3301" i="1"/>
  <c r="X4007" i="1"/>
  <c r="Z4475" i="1"/>
  <c r="L4109" i="1"/>
  <c r="M4442" i="1"/>
  <c r="N1275" i="1"/>
  <c r="L2731" i="1"/>
  <c r="N710" i="1"/>
  <c r="L520" i="1"/>
  <c r="X4256" i="1"/>
  <c r="L2150" i="1"/>
  <c r="N2705" i="1"/>
  <c r="L4158" i="1"/>
  <c r="N2730" i="1"/>
  <c r="L2349" i="1"/>
  <c r="N428" i="1"/>
  <c r="L2440" i="1"/>
  <c r="M4337" i="1"/>
  <c r="N4476" i="1"/>
  <c r="Y4598" i="1"/>
  <c r="L2062" i="1"/>
  <c r="L2840" i="1"/>
  <c r="N483" i="1"/>
  <c r="X4264" i="1"/>
  <c r="Y4576" i="1"/>
  <c r="L3127" i="1"/>
  <c r="Y4596" i="1"/>
  <c r="L788" i="1"/>
  <c r="N3046" i="1"/>
  <c r="L3316" i="1"/>
  <c r="L1909" i="1"/>
  <c r="L2604" i="1"/>
  <c r="L3377" i="1"/>
  <c r="L1399" i="1"/>
  <c r="N2905" i="1"/>
  <c r="L1590" i="1"/>
  <c r="L1971" i="1"/>
  <c r="L3463" i="1"/>
  <c r="N1676" i="1"/>
  <c r="L1150" i="1"/>
  <c r="L1170" i="1"/>
  <c r="N14" i="1"/>
  <c r="L4425" i="1"/>
  <c r="N4300" i="1"/>
  <c r="L489" i="1"/>
  <c r="N2640" i="1"/>
  <c r="L758" i="1"/>
  <c r="N3976" i="1"/>
  <c r="L1599" i="1"/>
  <c r="L2616" i="1"/>
  <c r="N2271" i="1"/>
  <c r="L4404" i="1"/>
  <c r="N3068" i="1"/>
  <c r="L450" i="1"/>
  <c r="N341" i="1"/>
  <c r="L1626" i="1"/>
  <c r="M4362" i="1"/>
  <c r="L1677" i="1"/>
  <c r="N2895" i="1"/>
  <c r="X4176" i="1"/>
  <c r="L4093" i="1"/>
  <c r="N682" i="1"/>
  <c r="X4340" i="1"/>
  <c r="L564" i="1"/>
  <c r="N243" i="1"/>
  <c r="L601" i="1"/>
  <c r="N353" i="1"/>
  <c r="L3500" i="1"/>
  <c r="N4370" i="1"/>
  <c r="L4209" i="1"/>
  <c r="L3898" i="1"/>
  <c r="L3791" i="1"/>
  <c r="L1943" i="1"/>
  <c r="N3782" i="1"/>
  <c r="L3522" i="1"/>
  <c r="N1943" i="1"/>
  <c r="L3669" i="1"/>
  <c r="N1945" i="1"/>
  <c r="L2053" i="1"/>
  <c r="N142" i="1"/>
  <c r="L96" i="1"/>
  <c r="N4304" i="1"/>
  <c r="L3105" i="1"/>
  <c r="N971" i="1"/>
  <c r="L2711" i="1"/>
  <c r="N177" i="1"/>
  <c r="L3788" i="1"/>
  <c r="L3534" i="1"/>
  <c r="N1026" i="1"/>
  <c r="L1829" i="1"/>
  <c r="N414" i="1"/>
  <c r="L3345" i="1"/>
  <c r="N834" i="1"/>
  <c r="L4009" i="1"/>
  <c r="N340" i="1"/>
  <c r="L639" i="1"/>
  <c r="N3125" i="1"/>
  <c r="L2921" i="1"/>
  <c r="N4052" i="1"/>
  <c r="L4530" i="1"/>
  <c r="N1716" i="1"/>
  <c r="L1955" i="1"/>
  <c r="M4506" i="1"/>
  <c r="L2012" i="1"/>
  <c r="N3709" i="1"/>
  <c r="L3107" i="1"/>
  <c r="N608" i="1"/>
  <c r="L2122" i="1"/>
  <c r="L2312" i="1"/>
  <c r="X4329" i="1"/>
  <c r="Y3852" i="1"/>
  <c r="L551" i="1"/>
  <c r="N2833" i="1"/>
  <c r="L4606" i="1"/>
  <c r="L958" i="1"/>
  <c r="N3597" i="1"/>
  <c r="Y4405" i="1"/>
  <c r="L1472" i="1"/>
  <c r="M4291" i="1"/>
  <c r="N2113" i="1"/>
  <c r="X4006" i="1"/>
  <c r="L1543" i="1"/>
  <c r="N2024" i="1"/>
  <c r="X4201" i="1"/>
  <c r="L4255" i="1"/>
  <c r="N2224" i="1"/>
  <c r="L2756" i="1"/>
  <c r="N3847" i="1"/>
  <c r="L3439" i="1"/>
  <c r="N3887" i="1"/>
  <c r="L754" i="1"/>
  <c r="N269" i="1"/>
  <c r="L1259" i="1"/>
  <c r="N3526" i="1"/>
  <c r="X4468" i="1"/>
  <c r="L1299" i="1"/>
  <c r="L555" i="1"/>
  <c r="N735" i="1"/>
  <c r="L2543" i="1"/>
  <c r="L2034" i="1"/>
  <c r="N1158" i="1"/>
  <c r="X4386" i="1"/>
  <c r="L853" i="1"/>
  <c r="N1643" i="1"/>
  <c r="L2375" i="1"/>
  <c r="N4321" i="1"/>
  <c r="L3948" i="1"/>
  <c r="N1823" i="1"/>
  <c r="L3428" i="1"/>
  <c r="N489" i="1"/>
  <c r="L4266" i="1"/>
  <c r="N2209" i="1"/>
  <c r="L3235" i="1"/>
  <c r="N4220" i="1"/>
  <c r="X4431" i="1"/>
  <c r="L667" i="1"/>
  <c r="L2153" i="1"/>
  <c r="N3818" i="1"/>
  <c r="L404" i="1"/>
  <c r="N1687" i="1"/>
  <c r="L1900" i="1"/>
  <c r="M4584" i="1"/>
  <c r="L3075" i="1"/>
  <c r="N4372" i="1"/>
  <c r="L1840" i="1"/>
  <c r="N1272" i="1"/>
  <c r="L569" i="1"/>
  <c r="N3145" i="1"/>
  <c r="L3247" i="1"/>
  <c r="N4514" i="1"/>
  <c r="X4104" i="1"/>
  <c r="L277" i="1"/>
  <c r="L3010" i="1"/>
  <c r="N2514" i="1"/>
  <c r="L4603" i="1"/>
  <c r="L64" i="1"/>
  <c r="Z4393" i="1"/>
  <c r="L892" i="1"/>
  <c r="N3557" i="1"/>
  <c r="Y4216" i="1"/>
  <c r="L275" i="1"/>
  <c r="Y4141" i="1"/>
  <c r="L3052" i="1"/>
  <c r="N1827" i="1"/>
  <c r="L3332" i="1"/>
  <c r="L3171" i="1"/>
  <c r="N1625" i="1"/>
  <c r="L1097" i="1"/>
  <c r="N285" i="1"/>
  <c r="L2847" i="1"/>
  <c r="N3566" i="1"/>
  <c r="L3176" i="1"/>
  <c r="N442" i="1"/>
  <c r="L2980" i="1"/>
  <c r="N2578" i="1"/>
  <c r="Y4410" i="1"/>
  <c r="L2568" i="1"/>
  <c r="N1558" i="1"/>
  <c r="Y3973" i="1"/>
  <c r="L1416" i="1"/>
  <c r="L2133" i="1"/>
  <c r="N3926" i="1"/>
  <c r="X4501" i="1"/>
  <c r="L1520" i="1"/>
  <c r="N2249" i="1"/>
  <c r="L4251" i="1"/>
  <c r="N2005" i="1"/>
  <c r="L1442" i="1"/>
  <c r="N2314" i="1"/>
  <c r="L1078" i="1"/>
  <c r="L2280" i="1"/>
  <c r="N169" i="1"/>
  <c r="L3282" i="1"/>
  <c r="N364" i="1"/>
  <c r="L906" i="1"/>
  <c r="N2480" i="1"/>
  <c r="L61" i="1"/>
  <c r="N2804" i="1"/>
  <c r="L1638" i="1"/>
  <c r="L3218" i="1"/>
  <c r="N3817" i="1"/>
  <c r="L2605" i="1"/>
  <c r="N2152" i="1"/>
  <c r="L4022" i="1"/>
  <c r="N1295" i="1"/>
  <c r="L2877" i="1"/>
  <c r="N1755" i="1"/>
  <c r="L40" i="1"/>
  <c r="N4435" i="1"/>
  <c r="Y4158" i="1"/>
  <c r="L1433" i="1"/>
  <c r="N32" i="1"/>
  <c r="X4448" i="1"/>
  <c r="Y4380" i="1"/>
  <c r="L62" i="1"/>
  <c r="Y4026" i="1"/>
  <c r="L201" i="1"/>
  <c r="N2659" i="1"/>
  <c r="L2193" i="1"/>
  <c r="Y4440" i="1"/>
  <c r="L1009" i="1"/>
  <c r="N1595" i="1"/>
  <c r="L2803" i="1"/>
  <c r="N4101" i="1"/>
  <c r="L368" i="1"/>
  <c r="M4297" i="1"/>
  <c r="N4085" i="1"/>
  <c r="L769" i="1"/>
  <c r="M4350" i="1"/>
  <c r="N42" i="1"/>
  <c r="L4487" i="1"/>
  <c r="X4346" i="1"/>
  <c r="Y4475" i="1"/>
  <c r="L2231" i="1"/>
  <c r="L4182" i="1"/>
  <c r="M4437" i="1"/>
  <c r="N1122" i="1"/>
  <c r="L3367" i="1"/>
  <c r="L4277" i="1"/>
  <c r="X4532" i="1"/>
  <c r="L603" i="1"/>
  <c r="Y4323" i="1"/>
  <c r="L585" i="1"/>
  <c r="N2269" i="1"/>
  <c r="L1726" i="1"/>
  <c r="N1700" i="1"/>
  <c r="X4023" i="1"/>
  <c r="Y4433" i="1"/>
  <c r="L2572" i="1"/>
  <c r="M4316" i="1"/>
  <c r="N3977" i="1"/>
  <c r="X4401" i="1"/>
  <c r="L136" i="1"/>
  <c r="N1705" i="1"/>
  <c r="X4172" i="1"/>
  <c r="L4294" i="1"/>
  <c r="X4420" i="1"/>
  <c r="L3446" i="1"/>
  <c r="L2658" i="1"/>
  <c r="N2217" i="1"/>
  <c r="L3548" i="1"/>
  <c r="L4364" i="1"/>
  <c r="L3722" i="1"/>
  <c r="N3883" i="1"/>
  <c r="Y4169" i="1"/>
  <c r="L2387" i="1"/>
  <c r="N345" i="1"/>
  <c r="L1128" i="1"/>
  <c r="N1294" i="1"/>
  <c r="X4014" i="1"/>
  <c r="L236" i="1"/>
  <c r="N3284" i="1"/>
  <c r="L415" i="1"/>
  <c r="N2573" i="1"/>
  <c r="L1184" i="1"/>
  <c r="N3705" i="1"/>
  <c r="L379" i="1"/>
  <c r="L1633" i="1"/>
  <c r="N2486" i="1"/>
  <c r="L3469" i="1"/>
  <c r="N662" i="1"/>
  <c r="L3804" i="1"/>
  <c r="M4521" i="1"/>
  <c r="N4438" i="1"/>
  <c r="L1704" i="1"/>
  <c r="N2846" i="1"/>
  <c r="L3046" i="1"/>
  <c r="N264" i="1"/>
  <c r="Y4035" i="1"/>
  <c r="L1256" i="1"/>
  <c r="N4193" i="1"/>
  <c r="L2984" i="1"/>
  <c r="N3106" i="1"/>
  <c r="Y4602" i="1"/>
  <c r="L2976" i="1"/>
  <c r="N1795" i="1"/>
  <c r="Y4529" i="1"/>
  <c r="L956" i="1"/>
  <c r="N3570" i="1"/>
  <c r="Y4041" i="1"/>
  <c r="L2197" i="1"/>
  <c r="N1431" i="1"/>
  <c r="X4165" i="1"/>
  <c r="Y4562" i="1"/>
  <c r="L2750" i="1"/>
  <c r="M4323" i="1"/>
  <c r="N4349" i="1"/>
  <c r="Y4552" i="1"/>
  <c r="L3003" i="1"/>
  <c r="N2686" i="1"/>
  <c r="Y4517" i="1"/>
  <c r="L2834" i="1"/>
  <c r="N145" i="1"/>
  <c r="L409" i="1"/>
  <c r="N2667" i="1"/>
  <c r="L2635" i="1"/>
  <c r="X4394" i="1"/>
  <c r="L3789" i="1"/>
  <c r="N2263" i="1"/>
  <c r="L4467" i="1"/>
  <c r="N2137" i="1"/>
  <c r="L3982" i="1"/>
  <c r="N747" i="1"/>
  <c r="L4045" i="1"/>
  <c r="N460" i="1"/>
  <c r="L2894" i="1"/>
  <c r="N1959" i="1"/>
  <c r="L3106" i="1"/>
  <c r="N4521" i="1"/>
  <c r="L1735" i="1"/>
  <c r="N3098" i="1"/>
  <c r="L1270" i="1"/>
  <c r="N2732" i="1"/>
  <c r="X4040" i="1"/>
  <c r="L2325" i="1"/>
  <c r="N4116" i="1"/>
  <c r="L197" i="1"/>
  <c r="N2887" i="1"/>
  <c r="Y3929" i="1"/>
  <c r="L4600" i="1"/>
  <c r="N2931" i="1"/>
  <c r="L2870" i="1"/>
  <c r="N2232" i="1"/>
  <c r="Y4468" i="1"/>
  <c r="L1402" i="1"/>
  <c r="N3688" i="1"/>
  <c r="L4307" i="1"/>
  <c r="N3419" i="1"/>
  <c r="L1692" i="1"/>
  <c r="N4228" i="1"/>
  <c r="L755" i="1"/>
  <c r="L4353" i="1"/>
  <c r="N1868" i="1"/>
  <c r="L2933" i="1"/>
  <c r="N1560" i="1"/>
  <c r="L44" i="1"/>
  <c r="N488" i="1"/>
  <c r="L1977" i="1"/>
  <c r="N974" i="1"/>
  <c r="L4553" i="1"/>
  <c r="N2163" i="1"/>
  <c r="L1781" i="1"/>
  <c r="N2471" i="1"/>
  <c r="L2047" i="1"/>
  <c r="N3785" i="1"/>
  <c r="Y4377" i="1"/>
  <c r="L4107" i="1"/>
  <c r="N324" i="1"/>
  <c r="Y3902" i="1"/>
  <c r="L2514" i="1"/>
  <c r="Y4230" i="1"/>
  <c r="L1945" i="1"/>
  <c r="X3883" i="1"/>
  <c r="L2675" i="1"/>
  <c r="N1764" i="1"/>
  <c r="X4043" i="1"/>
  <c r="L2914" i="1"/>
  <c r="X4246" i="1"/>
  <c r="L3497" i="1"/>
  <c r="N2741" i="1"/>
  <c r="L3197" i="1"/>
  <c r="N4215" i="1"/>
  <c r="L3749" i="1"/>
  <c r="N1997" i="1"/>
  <c r="L2516" i="1"/>
  <c r="L2519" i="1"/>
  <c r="N2387" i="1"/>
  <c r="L4506" i="1"/>
  <c r="N3242" i="1"/>
  <c r="L3162" i="1"/>
  <c r="N697" i="1"/>
  <c r="X4584" i="1"/>
  <c r="L612" i="1"/>
  <c r="N2750" i="1"/>
  <c r="L1539" i="1"/>
  <c r="N4236" i="1"/>
  <c r="L1584" i="1"/>
  <c r="N240" i="1"/>
  <c r="Y4087" i="1"/>
  <c r="L4201" i="1"/>
  <c r="L4577" i="1"/>
  <c r="L3177" i="1"/>
  <c r="N365" i="1"/>
  <c r="L670" i="1"/>
  <c r="N4571" i="1"/>
  <c r="Y4210" i="1"/>
  <c r="L3772" i="1"/>
  <c r="N3133" i="1"/>
  <c r="Y3992" i="1"/>
  <c r="L3319" i="1"/>
  <c r="L248" i="1"/>
  <c r="N1489" i="1"/>
  <c r="L4612" i="1"/>
  <c r="N3170" i="1"/>
  <c r="X3961" i="1"/>
  <c r="L3031" i="1"/>
  <c r="N4426" i="1"/>
  <c r="L625" i="1"/>
  <c r="N1747" i="1"/>
  <c r="L4063" i="1"/>
  <c r="M4512" i="1"/>
  <c r="N913" i="1"/>
  <c r="Y4491" i="1"/>
  <c r="L1364" i="1"/>
  <c r="N2926" i="1"/>
  <c r="Y4116" i="1"/>
  <c r="L2488" i="1"/>
  <c r="N283" i="1"/>
  <c r="Y4225" i="1"/>
  <c r="L3587" i="1"/>
  <c r="N4022" i="1"/>
  <c r="L1100" i="1"/>
  <c r="M4286" i="1"/>
  <c r="N4191" i="1"/>
  <c r="L1456" i="1"/>
  <c r="N656" i="1"/>
  <c r="L1012" i="1"/>
  <c r="N4450" i="1"/>
  <c r="X4509" i="1"/>
  <c r="L2236" i="1"/>
  <c r="N3501" i="1"/>
  <c r="L3943" i="1"/>
  <c r="Y3901" i="1"/>
  <c r="L4263" i="1"/>
  <c r="N2331" i="1"/>
  <c r="L1610" i="1"/>
  <c r="N2067" i="1"/>
  <c r="L3529" i="1"/>
  <c r="L2415" i="1"/>
  <c r="Y4297" i="1"/>
  <c r="L1995" i="1"/>
  <c r="M4547" i="1"/>
  <c r="N2027" i="1"/>
  <c r="Y4524" i="1"/>
  <c r="L3025" i="1"/>
  <c r="N3806" i="1"/>
  <c r="X4229" i="1"/>
  <c r="Y4234" i="1"/>
  <c r="L529" i="1"/>
  <c r="N69" i="1"/>
  <c r="L348" i="1"/>
  <c r="N2225" i="1"/>
  <c r="L4030" i="1"/>
  <c r="N837" i="1"/>
  <c r="L1571" i="1"/>
  <c r="N1207" i="1"/>
  <c r="Y114" i="1"/>
  <c r="L786" i="1"/>
  <c r="L3814" i="1"/>
  <c r="L2380" i="1"/>
  <c r="L3806" i="1"/>
  <c r="L94" i="1"/>
  <c r="N4367" i="1"/>
  <c r="L2184" i="1"/>
  <c r="N1343" i="1"/>
  <c r="L2277" i="1"/>
  <c r="N4474" i="1"/>
  <c r="L1871" i="1"/>
  <c r="M4586" i="1"/>
  <c r="N3797" i="1"/>
  <c r="L159" i="1"/>
  <c r="N1415" i="1"/>
  <c r="L2986" i="1"/>
  <c r="N3496" i="1"/>
  <c r="Y4096" i="1"/>
  <c r="L1368" i="1"/>
  <c r="N4021" i="1"/>
  <c r="X4430" i="1"/>
  <c r="Y4187" i="1"/>
  <c r="L276" i="1"/>
  <c r="N4354" i="1"/>
  <c r="Y4489" i="1"/>
  <c r="L4060" i="1"/>
  <c r="N3390" i="1"/>
  <c r="Y4044" i="1"/>
  <c r="L1455" i="1"/>
  <c r="N1319" i="1"/>
  <c r="Y4515" i="1"/>
  <c r="L1476" i="1"/>
  <c r="L4271" i="1"/>
  <c r="Y4360" i="1"/>
  <c r="L3650" i="1"/>
  <c r="N2769" i="1"/>
  <c r="L3063" i="1"/>
  <c r="N4095" i="1"/>
  <c r="X4204" i="1"/>
  <c r="L1423" i="1"/>
  <c r="L3555" i="1"/>
  <c r="X4383" i="1"/>
  <c r="L175" i="1"/>
  <c r="N184" i="1"/>
  <c r="X3977" i="1"/>
  <c r="L2123" i="1"/>
  <c r="N4553" i="1"/>
  <c r="X3892" i="1"/>
  <c r="L3279" i="1"/>
  <c r="L2752" i="1"/>
  <c r="X4159" i="1"/>
  <c r="L584" i="1"/>
  <c r="N3513" i="1"/>
  <c r="X4263" i="1"/>
  <c r="L161" i="1"/>
  <c r="N2698" i="1"/>
  <c r="Y4519" i="1"/>
  <c r="L659" i="1"/>
  <c r="N973" i="1"/>
  <c r="Z4465" i="1"/>
  <c r="L1358" i="1"/>
  <c r="N653" i="1"/>
  <c r="L3896" i="1"/>
  <c r="N2506" i="1"/>
  <c r="Y4064" i="1"/>
  <c r="L5" i="1"/>
  <c r="L2906" i="1"/>
  <c r="N2192" i="1"/>
  <c r="X4248" i="1"/>
  <c r="L2386" i="1"/>
  <c r="M4522" i="1"/>
  <c r="N3885" i="1"/>
  <c r="L4472" i="1"/>
  <c r="N1157" i="1"/>
  <c r="X4024" i="1"/>
  <c r="L3622" i="1"/>
  <c r="N309" i="1"/>
  <c r="L4523" i="1"/>
  <c r="N2141" i="1"/>
  <c r="X4095" i="1"/>
  <c r="Y4235" i="1"/>
  <c r="L1795" i="1"/>
  <c r="N1098" i="1"/>
  <c r="Y3876" i="1"/>
  <c r="L527" i="1"/>
  <c r="N2869" i="1"/>
  <c r="L4358" i="1"/>
  <c r="L1549" i="1"/>
  <c r="N2669" i="1"/>
  <c r="L3579" i="1"/>
  <c r="N1607" i="1"/>
  <c r="L3706" i="1"/>
  <c r="N514" i="1"/>
  <c r="L2884" i="1"/>
  <c r="L227" i="1"/>
  <c r="N1220" i="1"/>
  <c r="X4106" i="1"/>
  <c r="L312" i="1"/>
  <c r="N235" i="1"/>
  <c r="X4469" i="1"/>
  <c r="Y190" i="1"/>
  <c r="L2844" i="1"/>
  <c r="N2637" i="1"/>
  <c r="L1940" i="1"/>
  <c r="X3990" i="1"/>
  <c r="L1414" i="1"/>
  <c r="N2911" i="1"/>
  <c r="L3411" i="1"/>
  <c r="N1967" i="1"/>
  <c r="L1297" i="1"/>
  <c r="N4042" i="1"/>
  <c r="Y4505" i="1"/>
  <c r="L4284" i="1"/>
  <c r="Y3966" i="1"/>
  <c r="L1161" i="1"/>
  <c r="X4372" i="1"/>
  <c r="Y4069" i="1"/>
  <c r="L2740" i="1"/>
  <c r="M4517" i="1"/>
  <c r="N1799" i="1"/>
  <c r="Y4609" i="1"/>
  <c r="L429" i="1"/>
  <c r="N4002" i="1"/>
  <c r="L1457" i="1"/>
  <c r="L1317" i="1"/>
  <c r="N1057" i="1"/>
  <c r="L1603" i="1"/>
  <c r="N2038" i="1"/>
  <c r="L4560" i="1"/>
  <c r="N1645" i="1"/>
  <c r="L3328" i="1"/>
  <c r="Y4212" i="1"/>
  <c r="L2642" i="1"/>
  <c r="N4317" i="1"/>
  <c r="X4244" i="1"/>
  <c r="L1521" i="1"/>
  <c r="N2702" i="1"/>
  <c r="L684" i="1"/>
  <c r="Y4327" i="1"/>
  <c r="L512" i="1"/>
  <c r="M4390" i="1"/>
  <c r="N2518" i="1"/>
  <c r="L521" i="1"/>
  <c r="N2019" i="1"/>
  <c r="L119" i="1"/>
  <c r="L4593" i="1"/>
  <c r="L2094" i="1"/>
  <c r="N3774" i="1"/>
  <c r="L1920" i="1"/>
  <c r="N1479" i="1"/>
  <c r="Y3974" i="1"/>
  <c r="L3276" i="1"/>
  <c r="N2223" i="1"/>
  <c r="X4136" i="1"/>
  <c r="L852" i="1"/>
  <c r="X4321" i="1"/>
  <c r="Y4221" i="1"/>
  <c r="L4241" i="1"/>
  <c r="N1688" i="1"/>
  <c r="X3879" i="1"/>
  <c r="Y4610" i="1"/>
  <c r="L2692" i="1"/>
  <c r="L4578" i="1"/>
  <c r="N3955" i="1"/>
  <c r="L4146" i="1"/>
  <c r="N2310" i="1"/>
  <c r="L3093" i="1"/>
  <c r="M4606" i="1"/>
  <c r="N3907" i="1"/>
  <c r="Y4358" i="1"/>
  <c r="L3429" i="1"/>
  <c r="L3666" i="1"/>
  <c r="N652" i="1"/>
  <c r="L1067" i="1"/>
  <c r="N1078" i="1"/>
  <c r="L3781" i="1"/>
  <c r="N4524" i="1"/>
  <c r="X4123" i="1"/>
  <c r="L1646" i="1"/>
  <c r="L442" i="1"/>
  <c r="M4602" i="1"/>
  <c r="L2171" i="1"/>
  <c r="M4233" i="1"/>
  <c r="Y4417" i="1"/>
  <c r="L3818" i="1"/>
  <c r="L3346" i="1"/>
  <c r="Y4082" i="1"/>
  <c r="L1915" i="1"/>
  <c r="N3825" i="1"/>
  <c r="L240" i="1"/>
  <c r="N2511" i="1"/>
  <c r="L845" i="1"/>
  <c r="N4459" i="1"/>
  <c r="L776" i="1"/>
  <c r="N3224" i="1"/>
  <c r="L4293" i="1"/>
  <c r="X4128" i="1"/>
  <c r="L4040" i="1"/>
  <c r="N642" i="1"/>
  <c r="L1983" i="1"/>
  <c r="N2777" i="1"/>
  <c r="L2789" i="1"/>
  <c r="N6" i="1"/>
  <c r="X4046" i="1"/>
  <c r="L3499" i="1"/>
  <c r="M4430" i="1"/>
  <c r="L3884" i="1"/>
  <c r="N1094" i="1"/>
  <c r="X3860" i="1"/>
  <c r="Y180" i="1"/>
  <c r="L2334" i="1"/>
  <c r="L1619" i="1"/>
  <c r="L2598" i="1"/>
  <c r="N2694" i="1"/>
  <c r="L611" i="1"/>
  <c r="N4297" i="1"/>
  <c r="X4053" i="1"/>
  <c r="Y4222" i="1"/>
  <c r="L2902" i="1"/>
  <c r="N3080" i="1"/>
  <c r="L3104" i="1"/>
  <c r="N1932" i="1"/>
  <c r="X4076" i="1"/>
  <c r="L3150" i="1"/>
  <c r="N2119" i="1"/>
  <c r="L2412" i="1"/>
  <c r="N168" i="1"/>
  <c r="Y4043" i="1"/>
  <c r="L2609" i="1"/>
  <c r="N2707" i="1"/>
  <c r="Y4493" i="1"/>
  <c r="L3745" i="1"/>
  <c r="N2792" i="1"/>
  <c r="L1707" i="1"/>
  <c r="N3954" i="1"/>
  <c r="L2536" i="1"/>
  <c r="N464" i="1"/>
  <c r="L173" i="1"/>
  <c r="L951" i="1"/>
  <c r="N468" i="1"/>
  <c r="Y4447" i="1"/>
  <c r="L4592" i="1"/>
  <c r="N2662" i="1"/>
  <c r="L3166" i="1"/>
  <c r="N830" i="1"/>
  <c r="L1252" i="1"/>
  <c r="N320" i="1"/>
  <c r="Y4094" i="1"/>
  <c r="L3828" i="1"/>
  <c r="N3610" i="1"/>
  <c r="L3736" i="1"/>
  <c r="N4084" i="1"/>
  <c r="L3716" i="1"/>
  <c r="N1935" i="1"/>
  <c r="L2875" i="1"/>
  <c r="N1840" i="1"/>
  <c r="L1949" i="1"/>
  <c r="M4526" i="1"/>
  <c r="N2172" i="1"/>
  <c r="Y4053" i="1"/>
  <c r="L2817" i="1"/>
  <c r="N3619" i="1"/>
  <c r="L90" i="1"/>
  <c r="L594" i="1"/>
  <c r="N3218" i="1"/>
  <c r="L2091" i="1"/>
  <c r="N2309" i="1"/>
  <c r="L2253" i="1"/>
  <c r="N842" i="1"/>
  <c r="L86" i="1"/>
  <c r="L3222" i="1"/>
  <c r="L2745" i="1"/>
  <c r="L2907" i="1"/>
  <c r="N2572" i="1"/>
  <c r="L1606" i="1"/>
  <c r="N1856" i="1"/>
  <c r="X3871" i="1"/>
  <c r="L3055" i="1"/>
  <c r="N170" i="1"/>
  <c r="L2428" i="1"/>
  <c r="N4192" i="1"/>
  <c r="L2774" i="1"/>
  <c r="N4286" i="1"/>
  <c r="L3001" i="1"/>
  <c r="N3929" i="1"/>
  <c r="L790" i="1"/>
  <c r="X4169" i="1"/>
  <c r="L360" i="1"/>
  <c r="N192" i="1"/>
  <c r="L3300" i="1"/>
  <c r="N2193" i="1"/>
  <c r="Y4192" i="1"/>
  <c r="L4300" i="1"/>
  <c r="N2266" i="1"/>
  <c r="L3119" i="1"/>
  <c r="X4131" i="1"/>
  <c r="L224" i="1"/>
  <c r="N3980" i="1"/>
  <c r="Y4219" i="1"/>
  <c r="L725" i="1"/>
  <c r="N920" i="1"/>
  <c r="Y4412" i="1"/>
  <c r="L1852" i="1"/>
  <c r="N4567" i="1"/>
  <c r="X4568" i="1"/>
  <c r="L2180" i="1"/>
  <c r="L1813" i="1"/>
  <c r="N1060" i="1"/>
  <c r="L342" i="1"/>
  <c r="N463" i="1"/>
  <c r="X4249" i="1"/>
  <c r="L3554" i="1"/>
  <c r="N2544" i="1"/>
  <c r="X4070" i="1"/>
  <c r="L1473" i="1"/>
  <c r="L2763" i="1"/>
  <c r="N3661" i="1"/>
  <c r="L3014" i="1"/>
  <c r="N332" i="1"/>
  <c r="L2385" i="1"/>
  <c r="M4344" i="1"/>
  <c r="L385" i="1"/>
  <c r="N1074" i="1"/>
  <c r="X4241" i="1"/>
  <c r="Y4482" i="1"/>
  <c r="L1495" i="1"/>
  <c r="N1027" i="1"/>
  <c r="L1942" i="1"/>
  <c r="M4417" i="1"/>
  <c r="N1654" i="1"/>
  <c r="L3030" i="1"/>
  <c r="L1218" i="1"/>
  <c r="N4541" i="1"/>
  <c r="L4428" i="1"/>
  <c r="N4161" i="1"/>
  <c r="L2553" i="1"/>
  <c r="N4337" i="1"/>
  <c r="L3754" i="1"/>
  <c r="N1425" i="1"/>
  <c r="Y4287" i="1"/>
  <c r="L4034" i="1"/>
  <c r="M4529" i="1"/>
  <c r="N544" i="1"/>
  <c r="L3667" i="1"/>
  <c r="N4351" i="1"/>
  <c r="L1475" i="1"/>
  <c r="N515" i="1"/>
  <c r="L2524" i="1"/>
  <c r="N1390" i="1"/>
  <c r="L1515" i="1"/>
  <c r="N501" i="1"/>
  <c r="Z4380" i="1"/>
  <c r="L4144" i="1"/>
  <c r="L1972" i="1"/>
  <c r="M4605" i="1"/>
  <c r="N224" i="1"/>
  <c r="L2368" i="1"/>
  <c r="N1729" i="1"/>
  <c r="X3917" i="1"/>
  <c r="L2351" i="1"/>
  <c r="N2733" i="1"/>
  <c r="Y3859" i="1"/>
  <c r="L56" i="1"/>
  <c r="N1076" i="1"/>
  <c r="L4142" i="1"/>
  <c r="N1010" i="1"/>
  <c r="L2458" i="1"/>
  <c r="N4136" i="1"/>
  <c r="X4269" i="1"/>
  <c r="L1098" i="1"/>
  <c r="N3336" i="1"/>
  <c r="L469" i="1"/>
  <c r="N2552" i="1"/>
  <c r="X4281" i="1"/>
  <c r="L1107" i="1"/>
  <c r="N3658" i="1"/>
  <c r="L1320" i="1"/>
  <c r="N744" i="1"/>
  <c r="L2920" i="1"/>
  <c r="N1535" i="1"/>
  <c r="L1337" i="1"/>
  <c r="N2593" i="1"/>
  <c r="L130" i="1"/>
  <c r="N231" i="1"/>
  <c r="L3266" i="1"/>
  <c r="N2231" i="1"/>
  <c r="L3904" i="1"/>
  <c r="L3032" i="1"/>
  <c r="N3070" i="1"/>
  <c r="L3267" i="1"/>
  <c r="N2446" i="1"/>
  <c r="L2189" i="1"/>
  <c r="N3318" i="1"/>
  <c r="L3877" i="1"/>
  <c r="N891" i="1"/>
  <c r="L2596" i="1"/>
  <c r="N2588" i="1"/>
  <c r="L1254" i="1"/>
  <c r="N3295" i="1"/>
  <c r="L1105" i="1"/>
  <c r="N4245" i="1"/>
  <c r="L3065" i="1"/>
  <c r="N2842" i="1"/>
  <c r="X4240" i="1"/>
  <c r="L3221" i="1"/>
  <c r="N2467" i="1"/>
  <c r="L2296" i="1"/>
  <c r="N1064" i="1"/>
  <c r="L2408" i="1"/>
  <c r="L2706" i="1"/>
  <c r="N2229" i="1"/>
  <c r="L4337" i="1"/>
  <c r="N2862" i="1"/>
  <c r="L2668" i="1"/>
  <c r="N4226" i="1"/>
  <c r="X4487" i="1"/>
  <c r="L1240" i="1"/>
  <c r="N1434" i="1"/>
  <c r="L2903" i="1"/>
  <c r="L3503" i="1"/>
  <c r="N2603" i="1"/>
  <c r="L3280" i="1"/>
  <c r="N1056" i="1"/>
  <c r="L4018" i="1"/>
  <c r="N932" i="1"/>
  <c r="L1263" i="1"/>
  <c r="N1236" i="1"/>
  <c r="L978" i="1"/>
  <c r="N4488" i="1"/>
  <c r="X3934" i="1"/>
  <c r="L3651" i="1"/>
  <c r="N3988" i="1"/>
  <c r="L3163" i="1"/>
  <c r="N981" i="1"/>
  <c r="L4576" i="1"/>
  <c r="N3742" i="1"/>
  <c r="X4019" i="1"/>
  <c r="L2114" i="1"/>
  <c r="N3024" i="1"/>
  <c r="L4339" i="1"/>
  <c r="N2228" i="1"/>
  <c r="L3170" i="1"/>
  <c r="N3085" i="1"/>
  <c r="L3324" i="1"/>
  <c r="N3934" i="1"/>
  <c r="L2930" i="1"/>
  <c r="N1741" i="1"/>
  <c r="L3865" i="1"/>
  <c r="N615" i="1"/>
  <c r="Y4294" i="1"/>
  <c r="L3252" i="1"/>
  <c r="N203" i="1"/>
  <c r="X4260" i="1"/>
  <c r="L2473" i="1"/>
  <c r="L902" i="1"/>
  <c r="M4294" i="1"/>
  <c r="N1240" i="1"/>
  <c r="L4528" i="1"/>
  <c r="N1796" i="1"/>
  <c r="L4174" i="1"/>
  <c r="N2649" i="1"/>
  <c r="L2940" i="1"/>
  <c r="N2388" i="1"/>
  <c r="L3044" i="1"/>
  <c r="N4000" i="1"/>
  <c r="L411" i="1"/>
  <c r="N1641" i="1"/>
  <c r="L3838" i="1"/>
  <c r="N2416" i="1"/>
  <c r="X3936" i="1"/>
  <c r="L211" i="1"/>
  <c r="N1378" i="1"/>
  <c r="L4203" i="1"/>
  <c r="N2623" i="1"/>
  <c r="L591" i="1"/>
  <c r="M4311" i="1"/>
  <c r="N185" i="1"/>
  <c r="L1806" i="1"/>
  <c r="N4592" i="1"/>
  <c r="L1912" i="1"/>
  <c r="N2517" i="1"/>
  <c r="L3648" i="1"/>
  <c r="N1165" i="1"/>
  <c r="L3330" i="1"/>
  <c r="N2272" i="1"/>
  <c r="L802" i="1"/>
  <c r="N3076" i="1"/>
  <c r="L544" i="1"/>
  <c r="N4142" i="1"/>
  <c r="L2708" i="1"/>
  <c r="N138" i="1"/>
  <c r="L295" i="1"/>
  <c r="N2622" i="1"/>
  <c r="L4601" i="1"/>
  <c r="N859" i="1"/>
  <c r="L4394" i="1"/>
  <c r="N2800" i="1"/>
  <c r="L575" i="1"/>
  <c r="N3247" i="1"/>
  <c r="L3885" i="1"/>
  <c r="N3375" i="1"/>
  <c r="L3707" i="1"/>
  <c r="N1104" i="1"/>
  <c r="L3901" i="1"/>
  <c r="N3134" i="1"/>
  <c r="X3887" i="1"/>
  <c r="L4296" i="1"/>
  <c r="N3373" i="1"/>
  <c r="X3903" i="1"/>
  <c r="L954" i="1"/>
  <c r="N4202" i="1"/>
  <c r="L1898" i="1"/>
  <c r="N807" i="1"/>
  <c r="L3337" i="1"/>
  <c r="N2601" i="1"/>
  <c r="L1841" i="1"/>
  <c r="N3739" i="1"/>
  <c r="X4212" i="1"/>
  <c r="L3007" i="1"/>
  <c r="N3808" i="1"/>
  <c r="L2124" i="1"/>
  <c r="N4014" i="1"/>
  <c r="L3492" i="1"/>
  <c r="N1970" i="1"/>
  <c r="L1269" i="1"/>
  <c r="N4407" i="1"/>
  <c r="X4173" i="1"/>
  <c r="L3362" i="1"/>
  <c r="N1242" i="1"/>
  <c r="L1162" i="1"/>
  <c r="N1745" i="1"/>
  <c r="X4127" i="1"/>
  <c r="Y4021" i="1"/>
  <c r="L1672" i="1"/>
  <c r="L4379" i="1"/>
  <c r="N1514" i="1"/>
  <c r="L2188" i="1"/>
  <c r="N2036" i="1"/>
  <c r="L865" i="1"/>
  <c r="N2678" i="1"/>
  <c r="L1675" i="1"/>
  <c r="N338" i="1"/>
  <c r="L3310" i="1"/>
  <c r="N3869" i="1"/>
  <c r="L3908" i="1"/>
  <c r="N4618" i="1"/>
  <c r="L2112" i="1"/>
  <c r="N2424" i="1"/>
  <c r="L3572" i="1"/>
  <c r="N2402" i="1"/>
  <c r="L2950" i="1"/>
  <c r="N694" i="1"/>
  <c r="L1504" i="1"/>
  <c r="N1245" i="1"/>
  <c r="L741" i="1"/>
  <c r="N2739" i="1"/>
  <c r="L4270" i="1"/>
  <c r="N2197" i="1"/>
  <c r="L3275" i="1"/>
  <c r="N1482" i="1"/>
  <c r="L2491" i="1"/>
  <c r="N527" i="1"/>
  <c r="L1996" i="1"/>
  <c r="N1224" i="1"/>
  <c r="L34" i="1"/>
  <c r="N2683" i="1"/>
  <c r="L4421" i="1"/>
  <c r="M4315" i="1"/>
  <c r="N216" i="1"/>
  <c r="L293" i="1"/>
  <c r="N1883" i="1"/>
  <c r="X4549" i="1"/>
  <c r="Y227" i="1"/>
  <c r="L3526" i="1"/>
  <c r="N1247" i="1"/>
  <c r="L1041" i="1"/>
  <c r="N2236" i="1"/>
  <c r="L4465" i="1"/>
  <c r="N879" i="1"/>
  <c r="L1155" i="1"/>
  <c r="N3674" i="1"/>
  <c r="L1221" i="1"/>
  <c r="N1314" i="1"/>
  <c r="L3653" i="1"/>
  <c r="N1671" i="1"/>
  <c r="L472" i="1"/>
  <c r="N3265" i="1"/>
  <c r="L3020" i="1"/>
  <c r="L1923" i="1"/>
  <c r="N3567" i="1"/>
  <c r="L2748" i="1"/>
  <c r="N2947" i="1"/>
  <c r="L646" i="1"/>
  <c r="N3484" i="1"/>
  <c r="L740" i="1"/>
  <c r="N171" i="1"/>
  <c r="X3985" i="1"/>
  <c r="L403" i="1"/>
  <c r="N178" i="1"/>
  <c r="X4515" i="1"/>
  <c r="L963" i="1"/>
  <c r="N2076" i="1"/>
  <c r="L985" i="1"/>
  <c r="L4361" i="1"/>
  <c r="N984" i="1"/>
  <c r="L262" i="1"/>
  <c r="N1327" i="1"/>
  <c r="L3603" i="1"/>
  <c r="N3392" i="1"/>
  <c r="L424" i="1"/>
  <c r="N157" i="1"/>
  <c r="L2943" i="1"/>
  <c r="M4339" i="1"/>
  <c r="N3924" i="1"/>
  <c r="L3883" i="1"/>
  <c r="N1736" i="1"/>
  <c r="L125" i="1"/>
  <c r="M4266" i="1"/>
  <c r="N510" i="1"/>
  <c r="L1630" i="1"/>
  <c r="N3412" i="1"/>
  <c r="L139" i="1"/>
  <c r="N922" i="1"/>
  <c r="Y3934" i="1"/>
  <c r="L2780" i="1"/>
  <c r="M4463" i="1"/>
  <c r="N3952" i="1"/>
  <c r="L973" i="1"/>
  <c r="L3553" i="1"/>
  <c r="N2820" i="1"/>
  <c r="L703" i="1"/>
  <c r="N3672" i="1"/>
  <c r="L3043" i="1"/>
  <c r="N1925" i="1"/>
  <c r="L1982" i="1"/>
  <c r="M4288" i="1"/>
  <c r="N680" i="1"/>
  <c r="L235" i="1"/>
  <c r="N383" i="1"/>
  <c r="X4231" i="1"/>
  <c r="L1612" i="1"/>
  <c r="N1898" i="1"/>
  <c r="L2741" i="1"/>
  <c r="N3377" i="1"/>
  <c r="L2396" i="1"/>
  <c r="Y4312" i="1"/>
  <c r="L647" i="1"/>
  <c r="L1582" i="1"/>
  <c r="N3052" i="1"/>
  <c r="L344" i="1"/>
  <c r="N318" i="1"/>
  <c r="L4436" i="1"/>
  <c r="N3192" i="1"/>
  <c r="L1662" i="1"/>
  <c r="N3784" i="1"/>
  <c r="L1222" i="1"/>
  <c r="N3712" i="1"/>
  <c r="X4433" i="1"/>
  <c r="L3233" i="1"/>
  <c r="L799" i="1"/>
  <c r="N4396" i="1"/>
  <c r="L4413" i="1"/>
  <c r="N3463" i="1"/>
  <c r="L2837" i="1"/>
  <c r="N2060" i="1"/>
  <c r="L2317" i="1"/>
  <c r="N540" i="1"/>
  <c r="L4564" i="1"/>
  <c r="N3713" i="1"/>
  <c r="L2620" i="1"/>
  <c r="N3772" i="1"/>
  <c r="L839" i="1"/>
  <c r="N4614" i="1"/>
  <c r="X4279" i="1"/>
  <c r="L4155" i="1"/>
  <c r="N3305" i="1"/>
  <c r="L3450" i="1"/>
  <c r="N1345" i="1"/>
  <c r="X4107" i="1"/>
  <c r="L131" i="1"/>
  <c r="N321" i="1"/>
  <c r="L953" i="1"/>
  <c r="N1724" i="1"/>
  <c r="L915" i="1"/>
  <c r="N3231" i="1"/>
  <c r="L2008" i="1"/>
  <c r="L4448" i="1"/>
  <c r="N2251" i="1"/>
  <c r="L1486" i="1"/>
  <c r="N3559" i="1"/>
  <c r="L559" i="1"/>
  <c r="N3918" i="1"/>
  <c r="L2624" i="1"/>
  <c r="N2146" i="1"/>
  <c r="L620" i="1"/>
  <c r="N2160" i="1"/>
  <c r="L3485" i="1"/>
  <c r="N2849" i="1"/>
  <c r="L3767" i="1"/>
  <c r="L3779" i="1"/>
  <c r="N2001" i="1"/>
  <c r="L903" i="1"/>
  <c r="N2537" i="1"/>
  <c r="L3456" i="1"/>
  <c r="N396" i="1"/>
  <c r="X4374" i="1"/>
  <c r="L1225" i="1"/>
  <c r="N1244" i="1"/>
  <c r="L734" i="1"/>
  <c r="N946" i="1"/>
  <c r="L4267" i="1"/>
  <c r="L124" i="1"/>
  <c r="N2674" i="1"/>
  <c r="L2684" i="1"/>
  <c r="M4354" i="1"/>
  <c r="N928" i="1"/>
  <c r="L2850" i="1"/>
  <c r="N205" i="1"/>
  <c r="L177" i="1"/>
  <c r="N2434" i="1"/>
  <c r="X4559" i="1"/>
  <c r="L508" i="1"/>
  <c r="N132" i="1"/>
  <c r="X4004" i="1"/>
  <c r="L1592" i="1"/>
  <c r="N3490" i="1"/>
  <c r="L2917" i="1"/>
  <c r="N370" i="1"/>
  <c r="L4608" i="1"/>
  <c r="N4564" i="1"/>
  <c r="X4467" i="1"/>
  <c r="L305" i="1"/>
  <c r="N429" i="1"/>
  <c r="L121" i="1"/>
  <c r="N897" i="1"/>
  <c r="L2900" i="1"/>
  <c r="L1278" i="1"/>
  <c r="N2423" i="1"/>
  <c r="L1939" i="1"/>
  <c r="N1507" i="1"/>
  <c r="L2110" i="1"/>
  <c r="N1740" i="1"/>
  <c r="L1007" i="1"/>
  <c r="N3409" i="1"/>
  <c r="L3774" i="1"/>
  <c r="N2418" i="1"/>
  <c r="L465" i="1"/>
  <c r="N4209" i="1"/>
  <c r="L163" i="1"/>
  <c r="N3458" i="1"/>
  <c r="L2924" i="1"/>
  <c r="N4513" i="1"/>
  <c r="L3941" i="1"/>
  <c r="N2954" i="1"/>
  <c r="L604" i="1"/>
  <c r="N2401" i="1"/>
  <c r="X3939" i="1"/>
  <c r="L3103" i="1"/>
  <c r="N4252" i="1"/>
  <c r="L1711" i="1"/>
  <c r="N3485" i="1"/>
  <c r="X3876" i="1"/>
  <c r="L940" i="1"/>
  <c r="N2618" i="1"/>
  <c r="L3074" i="1"/>
  <c r="N4400" i="1"/>
  <c r="L1141" i="1"/>
  <c r="L566" i="1"/>
  <c r="M4484" i="1"/>
  <c r="L3747" i="1"/>
  <c r="N4501" i="1"/>
  <c r="L989" i="1"/>
  <c r="N3984" i="1"/>
  <c r="L2696" i="1"/>
  <c r="N1592" i="1"/>
  <c r="L317" i="1"/>
  <c r="N1904" i="1"/>
  <c r="L4531" i="1"/>
  <c r="N3056" i="1"/>
  <c r="Y4345" i="1"/>
  <c r="L2539" i="1"/>
  <c r="M4483" i="1"/>
  <c r="N2372" i="1"/>
  <c r="L49" i="1"/>
  <c r="X3888" i="1"/>
  <c r="L3225" i="1"/>
  <c r="M4277" i="1"/>
  <c r="N2020" i="1"/>
  <c r="L2542" i="1"/>
  <c r="L4580" i="1"/>
  <c r="N2963" i="1"/>
  <c r="L3416" i="1"/>
  <c r="N741" i="1"/>
  <c r="X3968" i="1"/>
  <c r="L3621" i="1"/>
  <c r="N4114" i="1"/>
  <c r="L2294" i="1"/>
  <c r="L1811" i="1"/>
  <c r="N3345" i="1"/>
  <c r="L414" i="1"/>
  <c r="N3852" i="1"/>
  <c r="L1074" i="1"/>
  <c r="N1846" i="1"/>
  <c r="L2908" i="1"/>
  <c r="N3536" i="1"/>
  <c r="L3385" i="1"/>
  <c r="N579" i="1"/>
  <c r="L2521" i="1"/>
  <c r="L2052" i="1"/>
  <c r="N3257" i="1"/>
  <c r="L926" i="1"/>
  <c r="M4508" i="1"/>
  <c r="N1752" i="1"/>
  <c r="L2246" i="1"/>
  <c r="M4393" i="1"/>
  <c r="N3687" i="1"/>
  <c r="L1635" i="1"/>
  <c r="N2270" i="1"/>
  <c r="L1505" i="1"/>
  <c r="N238" i="1"/>
  <c r="Y4391" i="1"/>
  <c r="L234" i="1"/>
  <c r="N3240" i="1"/>
  <c r="L2776" i="1"/>
  <c r="N1116" i="1"/>
  <c r="L3195" i="1"/>
  <c r="N357" i="1"/>
  <c r="L977" i="1"/>
  <c r="N672" i="1"/>
  <c r="L3576" i="1"/>
  <c r="N2063" i="1"/>
  <c r="X4592" i="1"/>
  <c r="L2558" i="1"/>
  <c r="N1217" i="1"/>
  <c r="L1468" i="1"/>
  <c r="N4563" i="1"/>
  <c r="X4451" i="1"/>
  <c r="Y3921" i="1"/>
  <c r="L400" i="1"/>
  <c r="N2811" i="1"/>
  <c r="L1363" i="1"/>
  <c r="N3725" i="1"/>
  <c r="L2017" i="1"/>
  <c r="Y4567" i="1"/>
  <c r="L3246" i="1"/>
  <c r="N1931" i="1"/>
  <c r="L4575" i="1"/>
  <c r="N3376" i="1"/>
  <c r="L99" i="1"/>
  <c r="N1361" i="1"/>
  <c r="X4596" i="1"/>
  <c r="L1725" i="1"/>
  <c r="N4092" i="1"/>
  <c r="L2420" i="1"/>
  <c r="N3416" i="1"/>
  <c r="Y3849" i="1"/>
  <c r="L3757" i="1"/>
  <c r="N1938" i="1"/>
  <c r="L2688" i="1"/>
  <c r="N229" i="1"/>
  <c r="L1464" i="1"/>
  <c r="N596" i="1"/>
  <c r="X4389" i="1"/>
  <c r="L4033" i="1"/>
  <c r="N4061" i="1"/>
  <c r="L1021" i="1"/>
  <c r="N3066" i="1"/>
  <c r="L3331" i="1"/>
  <c r="N2656" i="1"/>
  <c r="L3624" i="1"/>
  <c r="N3960" i="1"/>
  <c r="L1232" i="1"/>
  <c r="N4412" i="1"/>
  <c r="X4237" i="1"/>
  <c r="L2679" i="1"/>
  <c r="M4410" i="1"/>
  <c r="N794" i="1"/>
  <c r="L2698" i="1"/>
  <c r="N1908" i="1"/>
  <c r="X4210" i="1"/>
  <c r="L1653" i="1"/>
  <c r="N2352" i="1"/>
  <c r="L2775" i="1"/>
  <c r="N1792" i="1"/>
  <c r="L3207" i="1"/>
  <c r="N2288" i="1"/>
  <c r="L3990" i="1"/>
  <c r="N1804" i="1"/>
  <c r="L1537" i="1"/>
  <c r="N215" i="1"/>
  <c r="Y4206" i="1"/>
  <c r="L1264" i="1"/>
  <c r="N750" i="1"/>
  <c r="Y4270" i="1"/>
  <c r="L2335" i="1"/>
  <c r="N115" i="1"/>
  <c r="L347" i="1"/>
  <c r="N4003" i="1"/>
  <c r="L1835" i="1"/>
  <c r="N4124" i="1"/>
  <c r="L2771" i="1"/>
  <c r="N319" i="1"/>
  <c r="L1793" i="1"/>
  <c r="N3608" i="1"/>
  <c r="Y3890" i="1"/>
  <c r="L3739" i="1"/>
  <c r="N948" i="1"/>
  <c r="L957" i="1"/>
  <c r="N3540" i="1"/>
  <c r="X4595" i="1"/>
  <c r="L2664" i="1"/>
  <c r="N496" i="1"/>
  <c r="X3902" i="1"/>
  <c r="L4256" i="1"/>
  <c r="X4187" i="1"/>
  <c r="L2101" i="1"/>
  <c r="N3969" i="1"/>
  <c r="L4232" i="1"/>
  <c r="N2483" i="1"/>
  <c r="Y4249" i="1"/>
  <c r="L2703" i="1"/>
  <c r="L78" i="1"/>
  <c r="N3077" i="1"/>
  <c r="L1173" i="1"/>
  <c r="N1270" i="1"/>
  <c r="L3172" i="1"/>
  <c r="N4480" i="1"/>
  <c r="L473" i="1"/>
  <c r="N302" i="1"/>
  <c r="Y4198" i="1"/>
  <c r="L3449" i="1"/>
  <c r="N2681" i="1"/>
  <c r="L2925" i="1"/>
  <c r="N1905" i="1"/>
  <c r="L2098" i="1"/>
  <c r="N2298" i="1"/>
  <c r="L1753" i="1"/>
  <c r="N3938" i="1"/>
  <c r="L3926" i="1"/>
  <c r="L1777" i="1"/>
  <c r="N847" i="1"/>
  <c r="L3028" i="1"/>
  <c r="X4259" i="1"/>
  <c r="L834" i="1"/>
  <c r="N4295" i="1"/>
  <c r="L3501" i="1"/>
  <c r="N3915" i="1"/>
  <c r="L2795" i="1"/>
  <c r="N3221" i="1"/>
  <c r="L3962" i="1"/>
  <c r="L1168" i="1"/>
  <c r="N4316" i="1"/>
  <c r="Y4128" i="1"/>
  <c r="L1200" i="1"/>
  <c r="N3034" i="1"/>
  <c r="L1497" i="1"/>
  <c r="N3637" i="1"/>
  <c r="L4215" i="1"/>
  <c r="M4310" i="1"/>
  <c r="N1441" i="1"/>
  <c r="Y4272" i="1"/>
  <c r="L1257" i="1"/>
  <c r="N2173" i="1"/>
  <c r="L1207" i="1"/>
  <c r="N1930" i="1"/>
  <c r="L367" i="1"/>
  <c r="N1473" i="1"/>
  <c r="X4150" i="1"/>
  <c r="L2590" i="1"/>
  <c r="N3624" i="1"/>
  <c r="L2284" i="1"/>
  <c r="N4196" i="1"/>
  <c r="L2367" i="1"/>
  <c r="N3324" i="1"/>
  <c r="Y4200" i="1"/>
  <c r="L1293" i="1"/>
  <c r="N186" i="1"/>
  <c r="L1674" i="1"/>
  <c r="N360" i="1"/>
  <c r="L3512" i="1"/>
  <c r="N743" i="1"/>
  <c r="L4354" i="1"/>
  <c r="N1152" i="1"/>
  <c r="L1445" i="1"/>
  <c r="N1726" i="1"/>
  <c r="L1902" i="1"/>
  <c r="L2049" i="1"/>
  <c r="L214" i="1"/>
  <c r="N2377" i="1"/>
  <c r="L3139" i="1"/>
  <c r="N3250" i="1"/>
  <c r="L1045" i="1"/>
  <c r="N2235" i="1"/>
  <c r="L2602" i="1"/>
  <c r="M4358" i="1"/>
  <c r="N3322" i="1"/>
  <c r="Y4001" i="1"/>
  <c r="L181" i="1"/>
  <c r="L3202" i="1"/>
  <c r="N310" i="1"/>
  <c r="L1328" i="1"/>
  <c r="N2254" i="1"/>
  <c r="X3890" i="1"/>
  <c r="L1474" i="1"/>
  <c r="L3273" i="1"/>
  <c r="L4613" i="1"/>
  <c r="L2815" i="1"/>
  <c r="X3861" i="1"/>
  <c r="L3205" i="1"/>
  <c r="N2478" i="1"/>
  <c r="L1186" i="1"/>
  <c r="N1696" i="1"/>
  <c r="L1661" i="1"/>
  <c r="N1499" i="1"/>
  <c r="L554" i="1"/>
  <c r="N3317" i="1"/>
  <c r="Y4117" i="1"/>
  <c r="L2617" i="1"/>
  <c r="M4535" i="1"/>
  <c r="L4594" i="1"/>
  <c r="N4531" i="1"/>
  <c r="L1292" i="1"/>
  <c r="N610" i="1"/>
  <c r="L2479" i="1"/>
  <c r="N2204" i="1"/>
  <c r="L2257" i="1"/>
  <c r="N44" i="1"/>
  <c r="L1327" i="1"/>
  <c r="N1069" i="1"/>
  <c r="Y4398" i="1"/>
  <c r="L1560" i="1"/>
  <c r="N3910" i="1"/>
  <c r="L1429" i="1"/>
  <c r="N1659" i="1"/>
  <c r="L3081" i="1"/>
  <c r="N4391" i="1"/>
  <c r="X3987" i="1"/>
  <c r="L3996" i="1"/>
  <c r="N1791" i="1"/>
  <c r="L2890" i="1"/>
  <c r="N415" i="1"/>
  <c r="X4427" i="1"/>
  <c r="L1136" i="1"/>
  <c r="M4559" i="1"/>
  <c r="N1374" i="1"/>
  <c r="L1807" i="1"/>
  <c r="N3506" i="1"/>
  <c r="Y4308" i="1"/>
  <c r="L4295" i="1"/>
  <c r="N3827" i="1"/>
  <c r="L3632" i="1"/>
  <c r="M4540" i="1"/>
  <c r="N1164" i="1"/>
  <c r="L911" i="1"/>
  <c r="L4202" i="1"/>
  <c r="N3533" i="1"/>
  <c r="Y4315" i="1"/>
  <c r="L2778" i="1"/>
  <c r="N2938" i="1"/>
  <c r="L3049" i="1"/>
  <c r="N1906" i="1"/>
  <c r="L3419" i="1"/>
  <c r="N888" i="1"/>
  <c r="L2857" i="1"/>
  <c r="N446" i="1"/>
  <c r="Y4156" i="1"/>
  <c r="L889" i="1"/>
  <c r="N4613" i="1"/>
  <c r="L2067" i="1"/>
  <c r="N1533" i="1"/>
  <c r="Y4512" i="1"/>
  <c r="L2759" i="1"/>
  <c r="M4414" i="1"/>
  <c r="N3963" i="1"/>
  <c r="L3776" i="1"/>
  <c r="N522" i="1"/>
  <c r="X4270" i="1"/>
  <c r="L2077" i="1"/>
  <c r="N2216" i="1"/>
  <c r="X4478" i="1"/>
  <c r="L2816" i="1"/>
  <c r="N3744" i="1"/>
  <c r="L2270" i="1"/>
  <c r="N3751" i="1"/>
  <c r="Y4083" i="1"/>
  <c r="L3257" i="1"/>
  <c r="N1013" i="1"/>
  <c r="L3178" i="1"/>
  <c r="N2154" i="1"/>
  <c r="L3369" i="1"/>
  <c r="N4040" i="1"/>
  <c r="L1243" i="1"/>
  <c r="N1843" i="1"/>
  <c r="X3849" i="1"/>
  <c r="L1053" i="1"/>
  <c r="M4401" i="1"/>
  <c r="L2483" i="1"/>
  <c r="M4369" i="1"/>
  <c r="N4214" i="1"/>
  <c r="L1055" i="1"/>
  <c r="L631" i="1"/>
  <c r="N2366" i="1"/>
  <c r="L2155" i="1"/>
  <c r="N2055" i="1"/>
  <c r="L3932" i="1"/>
  <c r="L1729" i="1"/>
  <c r="N4237" i="1"/>
  <c r="Y4110" i="1"/>
  <c r="L871" i="1"/>
  <c r="N3581" i="1"/>
  <c r="Y4076" i="1"/>
  <c r="L1691" i="1"/>
  <c r="N3186" i="1"/>
  <c r="L4565" i="1"/>
  <c r="N1030" i="1"/>
  <c r="X4274" i="1"/>
  <c r="L451" i="1"/>
  <c r="N2422" i="1"/>
  <c r="L2089" i="1"/>
  <c r="N734" i="1"/>
  <c r="L3387" i="1"/>
  <c r="N1303" i="1"/>
  <c r="L1351" i="1"/>
  <c r="N2064" i="1"/>
  <c r="L3082" i="1"/>
  <c r="N3543" i="1"/>
  <c r="L79" i="1"/>
  <c r="N819" i="1"/>
  <c r="L2680" i="1"/>
  <c r="L2842" i="1"/>
  <c r="N1161" i="1"/>
  <c r="L2095" i="1"/>
  <c r="M4282" i="1"/>
  <c r="N1957" i="1"/>
  <c r="L3408" i="1"/>
  <c r="L1434" i="1"/>
  <c r="N2591" i="1"/>
  <c r="L1527" i="1"/>
  <c r="N2847" i="1"/>
  <c r="L2781" i="1"/>
  <c r="N2545" i="1"/>
  <c r="L1367" i="1"/>
  <c r="N3415" i="1"/>
  <c r="L2173" i="1"/>
  <c r="N2301" i="1"/>
  <c r="L866" i="1"/>
  <c r="N2143" i="1"/>
  <c r="L1907" i="1"/>
  <c r="N3565" i="1"/>
  <c r="L1016" i="1"/>
  <c r="N4382" i="1"/>
  <c r="L3406" i="1"/>
  <c r="N2648" i="1"/>
  <c r="L3578" i="1"/>
  <c r="N3859" i="1"/>
  <c r="L3935" i="1"/>
  <c r="N3487" i="1"/>
  <c r="L900" i="1"/>
  <c r="N2946" i="1"/>
  <c r="L4206" i="1"/>
  <c r="N2704" i="1"/>
  <c r="L3368" i="1"/>
  <c r="L1503" i="1"/>
  <c r="N298" i="1"/>
  <c r="L797" i="1"/>
  <c r="N635" i="1"/>
  <c r="L728" i="1"/>
  <c r="N2891" i="1"/>
  <c r="L3974" i="1"/>
  <c r="N4188" i="1"/>
  <c r="L3611" i="1"/>
  <c r="N487" i="1"/>
  <c r="L4462" i="1"/>
  <c r="L2767" i="1"/>
  <c r="N2519" i="1"/>
  <c r="X4230" i="1"/>
  <c r="L2382" i="1"/>
  <c r="N386" i="1"/>
  <c r="L2495" i="1"/>
  <c r="N594" i="1"/>
  <c r="L4304" i="1"/>
  <c r="N2321" i="1"/>
  <c r="L3560" i="1"/>
  <c r="L820" i="1"/>
  <c r="L678" i="1"/>
  <c r="M4457" i="1"/>
  <c r="L4029" i="1"/>
  <c r="X3884" i="1"/>
  <c r="L702" i="1"/>
  <c r="N1419" i="1"/>
  <c r="L2489" i="1"/>
  <c r="N4325" i="1"/>
  <c r="L2843" i="1"/>
  <c r="N1653" i="1"/>
  <c r="X4224" i="1"/>
  <c r="L4248" i="1"/>
  <c r="L1570" i="1"/>
  <c r="N2969" i="1"/>
  <c r="X4155" i="1"/>
  <c r="L4061" i="1"/>
  <c r="M4365" i="1"/>
  <c r="L3204" i="1"/>
  <c r="N1257" i="1"/>
  <c r="X3919" i="1"/>
  <c r="Y3944" i="1"/>
  <c r="L4485" i="1"/>
  <c r="N2992" i="1"/>
  <c r="L2737" i="1"/>
  <c r="L652" i="1"/>
  <c r="N350" i="1"/>
  <c r="X3904" i="1"/>
  <c r="L2266" i="1"/>
  <c r="X3951" i="1"/>
  <c r="L2974" i="1"/>
  <c r="L1302" i="1"/>
  <c r="N402" i="1"/>
  <c r="L4549" i="1"/>
  <c r="N1444" i="1"/>
  <c r="Y4393" i="1"/>
  <c r="L395" i="1"/>
  <c r="N2411" i="1"/>
  <c r="L1797" i="1"/>
  <c r="N4487" i="1"/>
  <c r="L2272" i="1"/>
  <c r="N2819" i="1"/>
  <c r="L3395" i="1"/>
  <c r="N4066" i="1"/>
  <c r="L2001" i="1"/>
  <c r="N567" i="1"/>
  <c r="L3820" i="1"/>
  <c r="N2451" i="1"/>
  <c r="L1242" i="1"/>
  <c r="N2913" i="1"/>
  <c r="L4382" i="1"/>
  <c r="L1249" i="1"/>
  <c r="N2955" i="1"/>
  <c r="Y4522" i="1"/>
  <c r="L1988" i="1"/>
  <c r="N3508" i="1"/>
  <c r="L3805" i="1"/>
  <c r="N2268" i="1"/>
  <c r="L283" i="1"/>
  <c r="N413" i="1"/>
  <c r="L689" i="1"/>
  <c r="N4427" i="1"/>
  <c r="X4194" i="1"/>
  <c r="L1844" i="1"/>
  <c r="N3420" i="1"/>
  <c r="L3965" i="1"/>
  <c r="N3104" i="1"/>
  <c r="L4511" i="1"/>
  <c r="M4306" i="1"/>
  <c r="N2134" i="1"/>
  <c r="X4457" i="1"/>
  <c r="L3285" i="1"/>
  <c r="N4261" i="1"/>
  <c r="X4458" i="1"/>
  <c r="L3659" i="1"/>
  <c r="N2652" i="1"/>
  <c r="L426" i="1"/>
  <c r="N455" i="1"/>
  <c r="L762" i="1"/>
  <c r="N4023" i="1"/>
  <c r="Y4179" i="1"/>
  <c r="L928" i="1"/>
  <c r="N504" i="1"/>
  <c r="L948" i="1"/>
  <c r="N16" i="1"/>
  <c r="X4371" i="1"/>
  <c r="L14" i="1"/>
  <c r="M4253" i="1"/>
  <c r="N1894" i="1"/>
  <c r="L301" i="1"/>
  <c r="N470" i="1"/>
  <c r="Y3883" i="1"/>
  <c r="L4080" i="1"/>
  <c r="N3215" i="1"/>
  <c r="L213" i="1"/>
  <c r="N2932" i="1"/>
  <c r="L3604" i="1"/>
  <c r="N2596" i="1"/>
  <c r="Y4421" i="1"/>
  <c r="L2201" i="1"/>
  <c r="M4497" i="1"/>
  <c r="N1709" i="1"/>
  <c r="L4181" i="1"/>
  <c r="M4577" i="1"/>
  <c r="N3866" i="1"/>
  <c r="L1849" i="1"/>
  <c r="N4554" i="1"/>
  <c r="Y4134" i="1"/>
  <c r="L2646" i="1"/>
  <c r="N371" i="1"/>
  <c r="L4136" i="1"/>
  <c r="N4463" i="1"/>
  <c r="L4329" i="1"/>
  <c r="N3438" i="1"/>
  <c r="X4444" i="1"/>
  <c r="Y4388" i="1"/>
  <c r="L3991" i="1"/>
  <c r="N3828" i="1"/>
  <c r="Y4362" i="1"/>
  <c r="L4175" i="1"/>
  <c r="M4278" i="1"/>
  <c r="N3633" i="1"/>
  <c r="L4119" i="1"/>
  <c r="M4486" i="1"/>
  <c r="N1810" i="1"/>
  <c r="X4404" i="1"/>
  <c r="L3366" i="1"/>
  <c r="N1611" i="1"/>
  <c r="L2859" i="1"/>
  <c r="M4427" i="1"/>
  <c r="N26" i="1"/>
  <c r="L2393" i="1"/>
  <c r="M4615" i="1"/>
  <c r="N2626" i="1"/>
  <c r="L1740" i="1"/>
  <c r="N2983" i="1"/>
  <c r="L1999" i="1"/>
  <c r="N757" i="1"/>
  <c r="Y3888" i="1"/>
  <c r="L2547" i="1"/>
  <c r="Y4201" i="1"/>
  <c r="L3893" i="1"/>
  <c r="N2962" i="1"/>
  <c r="L1917" i="1"/>
  <c r="N344" i="1"/>
  <c r="L4127" i="1"/>
  <c r="M114" i="1"/>
  <c r="N2715" i="1"/>
  <c r="L310" i="1"/>
  <c r="N2880" i="1"/>
  <c r="L1255" i="1"/>
  <c r="M4549" i="1"/>
  <c r="N190" i="1"/>
  <c r="L4554" i="1"/>
  <c r="N1426" i="1"/>
  <c r="L3694" i="1"/>
  <c r="N586" i="1"/>
  <c r="Y4418" i="1"/>
  <c r="L2923" i="1"/>
  <c r="L2687" i="1"/>
  <c r="N1832" i="1"/>
  <c r="X4453" i="1"/>
  <c r="L2413" i="1"/>
  <c r="N4326" i="1"/>
  <c r="L4456" i="1"/>
  <c r="L1285" i="1"/>
  <c r="N4250" i="1"/>
  <c r="L3807" i="1"/>
  <c r="N2082" i="1"/>
  <c r="L1966" i="1"/>
  <c r="N2021" i="1"/>
  <c r="X4439" i="1"/>
  <c r="Y4148" i="1"/>
  <c r="L3550" i="1"/>
  <c r="N1480" i="1"/>
  <c r="L1832" i="1"/>
  <c r="L3569" i="1"/>
  <c r="M4448" i="1"/>
  <c r="L3140" i="1"/>
  <c r="N362" i="1"/>
  <c r="X4091" i="1"/>
  <c r="L1768" i="1"/>
  <c r="N3059" i="1"/>
  <c r="L268" i="1"/>
  <c r="N3099" i="1"/>
  <c r="L1025" i="1"/>
  <c r="L3566" i="1"/>
  <c r="N2940" i="1"/>
  <c r="L3695" i="1"/>
  <c r="N3456" i="1"/>
  <c r="L2632" i="1"/>
  <c r="M4318" i="1"/>
  <c r="N3944" i="1"/>
  <c r="L2466" i="1"/>
  <c r="N3961" i="1"/>
  <c r="L573" i="1"/>
  <c r="L2895" i="1"/>
  <c r="N207" i="1"/>
  <c r="L4543" i="1"/>
  <c r="N2507" i="1"/>
  <c r="L693" i="1"/>
  <c r="M4249" i="1"/>
  <c r="N175" i="1"/>
  <c r="Y4057" i="1"/>
  <c r="L102" i="1"/>
  <c r="N933" i="1"/>
  <c r="Y4281" i="1"/>
  <c r="L1583" i="1"/>
  <c r="M4298" i="1"/>
  <c r="N4358" i="1"/>
  <c r="Y4161" i="1"/>
  <c r="Z4524" i="1"/>
  <c r="L3939" i="1"/>
  <c r="N3394" i="1"/>
  <c r="Y4050" i="1"/>
  <c r="L3950" i="1"/>
  <c r="N419" i="1"/>
  <c r="L4153" i="1"/>
  <c r="N2925" i="1"/>
  <c r="Y4268" i="1"/>
  <c r="L582" i="1"/>
  <c r="M4378" i="1"/>
  <c r="L2960" i="1"/>
  <c r="N2781" i="1"/>
  <c r="Y4311" i="1"/>
  <c r="L3325" i="1"/>
  <c r="N197" i="1"/>
  <c r="L735" i="1"/>
  <c r="N740" i="1"/>
  <c r="L1139" i="1"/>
  <c r="N639" i="1"/>
  <c r="X4520" i="1"/>
  <c r="Y4182" i="1"/>
  <c r="L850" i="1"/>
  <c r="N4268" i="1"/>
  <c r="Y3864" i="1"/>
  <c r="L524" i="1"/>
  <c r="N3643" i="1"/>
  <c r="Y4453" i="1"/>
  <c r="L2435" i="1"/>
  <c r="N1623" i="1"/>
  <c r="Y4091" i="1"/>
  <c r="L3509" i="1"/>
  <c r="L3634" i="1"/>
  <c r="N2126" i="1"/>
  <c r="X4542" i="1"/>
  <c r="L974" i="1"/>
  <c r="N3763" i="1"/>
  <c r="L982" i="1"/>
  <c r="N296" i="1"/>
  <c r="X4590" i="1"/>
  <c r="L3089" i="1"/>
  <c r="N4007" i="1"/>
  <c r="L3080" i="1"/>
  <c r="N4010" i="1"/>
  <c r="L3561" i="1"/>
  <c r="N4050" i="1"/>
  <c r="X4506" i="1"/>
  <c r="L811" i="1"/>
  <c r="N3985" i="1"/>
  <c r="L220" i="1"/>
  <c r="N2430" i="1"/>
  <c r="X4312" i="1"/>
  <c r="L931" i="1"/>
  <c r="L3261" i="1"/>
  <c r="N2655" i="1"/>
  <c r="X4284" i="1"/>
  <c r="L1526" i="1"/>
  <c r="N3745" i="1"/>
  <c r="L2937" i="1"/>
  <c r="N3203" i="1"/>
  <c r="L3384" i="1"/>
  <c r="N731" i="1"/>
  <c r="X4222" i="1"/>
  <c r="L2129" i="1"/>
  <c r="N2670" i="1"/>
  <c r="L396" i="1"/>
  <c r="N3254" i="1"/>
  <c r="L1796" i="1"/>
  <c r="N2700" i="1"/>
  <c r="X4298" i="1"/>
  <c r="L3733" i="1"/>
  <c r="N3875" i="1"/>
  <c r="L828" i="1"/>
  <c r="N1005" i="1"/>
  <c r="L3952" i="1"/>
  <c r="N1353" i="1"/>
  <c r="L1110" i="1"/>
  <c r="N4096" i="1"/>
  <c r="L3630" i="1"/>
  <c r="N3614" i="1"/>
  <c r="L614" i="1"/>
  <c r="N166" i="1"/>
  <c r="L3453" i="1"/>
  <c r="X199" i="1"/>
  <c r="L1338" i="1"/>
  <c r="L4084" i="1"/>
  <c r="N3193" i="1"/>
  <c r="L1454" i="1"/>
  <c r="L3350" i="1"/>
  <c r="N773" i="1"/>
  <c r="L230" i="1"/>
  <c r="N164" i="1"/>
  <c r="L97" i="1"/>
  <c r="N2493" i="1"/>
  <c r="X4521" i="1"/>
  <c r="L4179" i="1"/>
  <c r="N3004" i="1"/>
  <c r="L3113" i="1"/>
  <c r="N543" i="1"/>
  <c r="L964" i="1"/>
  <c r="N3478" i="1"/>
  <c r="L4534" i="1"/>
  <c r="N2973" i="1"/>
  <c r="X4148" i="1"/>
  <c r="L1014" i="1"/>
  <c r="N2195" i="1"/>
  <c r="Y4065" i="1"/>
  <c r="L3423" i="1"/>
  <c r="L3365" i="1"/>
  <c r="N2559" i="1"/>
  <c r="L2378" i="1"/>
  <c r="N3514" i="1"/>
  <c r="X4266" i="1"/>
  <c r="L4262" i="1"/>
  <c r="X4220" i="1"/>
  <c r="L3454" i="1"/>
  <c r="N2837" i="1"/>
  <c r="L2804" i="1"/>
  <c r="N793" i="1"/>
  <c r="L488" i="1"/>
  <c r="N2738" i="1"/>
  <c r="L714" i="1"/>
  <c r="N770" i="1"/>
  <c r="L947" i="1"/>
  <c r="N2944" i="1"/>
  <c r="Z4307" i="1"/>
  <c r="L991" i="1"/>
  <c r="N772" i="1"/>
  <c r="L2518" i="1"/>
  <c r="N1082" i="1"/>
  <c r="L1223" i="1"/>
  <c r="N3706" i="1"/>
  <c r="Y4570" i="1"/>
  <c r="L966" i="1"/>
  <c r="N709" i="1"/>
  <c r="L325" i="1"/>
  <c r="N1926" i="1"/>
  <c r="X4461" i="1"/>
  <c r="Y3998" i="1"/>
  <c r="L3595" i="1"/>
  <c r="N825" i="1"/>
  <c r="L282" i="1"/>
  <c r="N3654" i="1"/>
  <c r="L3709" i="1"/>
  <c r="N2665" i="1"/>
  <c r="X4109" i="1"/>
  <c r="Y4507" i="1"/>
  <c r="L3844" i="1"/>
  <c r="N1292" i="1"/>
  <c r="L1104" i="1"/>
  <c r="N2335" i="1"/>
  <c r="Y4276" i="1"/>
  <c r="L2040" i="1"/>
  <c r="X4413" i="1"/>
  <c r="L3771" i="1"/>
  <c r="N528" i="1"/>
  <c r="L4374" i="1"/>
  <c r="N3030" i="1"/>
  <c r="L1641" i="1"/>
  <c r="N4580" i="1"/>
  <c r="L3121" i="1"/>
  <c r="N3217" i="1"/>
  <c r="L3035" i="1"/>
  <c r="X4202" i="1"/>
  <c r="L759" i="1"/>
  <c r="L1371" i="1"/>
  <c r="L3243" i="1"/>
  <c r="N1985" i="1"/>
  <c r="X4511" i="1"/>
  <c r="Y4004" i="1"/>
  <c r="L1463" i="1"/>
  <c r="N3013" i="1"/>
  <c r="L2031" i="1"/>
  <c r="N4229" i="1"/>
  <c r="L1678" i="1"/>
  <c r="X4423" i="1"/>
  <c r="L2965" i="1"/>
  <c r="N2624" i="1"/>
  <c r="L1312" i="1"/>
  <c r="L2457" i="1"/>
  <c r="N3200" i="1"/>
  <c r="L3959" i="1"/>
  <c r="N4520" i="1"/>
  <c r="X4098" i="1"/>
  <c r="L155" i="1"/>
  <c r="N3865" i="1"/>
  <c r="L4535" i="1"/>
  <c r="N3684" i="1"/>
  <c r="L1872" i="1"/>
  <c r="N2967" i="1"/>
  <c r="L2702" i="1"/>
  <c r="N3344" i="1"/>
  <c r="L3628" i="1"/>
  <c r="N4073" i="1"/>
  <c r="L1952" i="1"/>
  <c r="M4469" i="1"/>
  <c r="L3660" i="1"/>
  <c r="N43" i="1"/>
  <c r="L3472" i="1"/>
  <c r="N1268" i="1"/>
  <c r="L3315" i="1"/>
  <c r="N1300" i="1"/>
  <c r="L2162" i="1"/>
  <c r="N473" i="1"/>
  <c r="X4140" i="1"/>
  <c r="L2973" i="1"/>
  <c r="N4603" i="1"/>
  <c r="L2554" i="1"/>
  <c r="N3452" i="1"/>
  <c r="L2825" i="1"/>
  <c r="N94" i="1"/>
  <c r="X4388" i="1"/>
  <c r="L680" i="1"/>
  <c r="N1891" i="1"/>
  <c r="X4291" i="1"/>
  <c r="L1739" i="1"/>
  <c r="N2386" i="1"/>
  <c r="L2793" i="1"/>
  <c r="X4456" i="1"/>
  <c r="L4101" i="1"/>
  <c r="N919" i="1"/>
  <c r="L4482" i="1"/>
  <c r="L4035" i="1"/>
  <c r="N1212" i="1"/>
  <c r="L249" i="1"/>
  <c r="N3731" i="1"/>
  <c r="Y4052" i="1"/>
  <c r="L3878" i="1"/>
  <c r="N2359" i="1"/>
  <c r="L4399" i="1"/>
  <c r="N4522" i="1"/>
  <c r="L140" i="1"/>
  <c r="N286" i="1"/>
  <c r="X4058" i="1"/>
  <c r="L1953" i="1"/>
  <c r="N4205" i="1"/>
  <c r="X4115" i="1"/>
  <c r="L1448" i="1"/>
  <c r="L4096" i="1"/>
  <c r="N1256" i="1"/>
  <c r="L421" i="1"/>
  <c r="X3912" i="1"/>
  <c r="L827" i="1"/>
  <c r="N1765" i="1"/>
  <c r="Y4034" i="1"/>
  <c r="L1658" i="1"/>
  <c r="N270" i="1"/>
  <c r="L3862" i="1"/>
  <c r="N4271" i="1"/>
  <c r="L2591" i="1"/>
  <c r="N632" i="1"/>
  <c r="L321" i="1"/>
  <c r="L2086" i="1"/>
  <c r="N317" i="1"/>
  <c r="L1659" i="1"/>
  <c r="L3794" i="1"/>
  <c r="L3734" i="1"/>
  <c r="N1524" i="1"/>
  <c r="X4311" i="1"/>
  <c r="L1349" i="1"/>
  <c r="L4605" i="1"/>
  <c r="L872" i="1"/>
  <c r="L1639" i="1"/>
  <c r="N53" i="1"/>
  <c r="L727" i="1"/>
  <c r="N465" i="1"/>
  <c r="L3718" i="1"/>
  <c r="L126" i="1"/>
  <c r="N4128" i="1"/>
  <c r="L3780" i="1"/>
  <c r="L60" i="1"/>
  <c r="N2531" i="1"/>
  <c r="L4571" i="1"/>
  <c r="N2982" i="1"/>
  <c r="L2533" i="1"/>
  <c r="N1835" i="1"/>
  <c r="L81" i="1"/>
  <c r="N495" i="1"/>
  <c r="L432" i="1"/>
  <c r="M4575" i="1"/>
  <c r="N959" i="1"/>
  <c r="X4342" i="1"/>
  <c r="Y4037" i="1"/>
  <c r="L2229" i="1"/>
  <c r="M4614" i="1"/>
  <c r="N3396" i="1"/>
  <c r="Y4033" i="1"/>
  <c r="L4098" i="1"/>
  <c r="N67" i="1"/>
  <c r="X4330" i="1"/>
  <c r="Y4483" i="1"/>
  <c r="L2861" i="1"/>
  <c r="M4373" i="1"/>
  <c r="N3" i="1"/>
  <c r="Y4299" i="1"/>
  <c r="L106" i="1"/>
  <c r="N2898" i="1"/>
  <c r="Y4121" i="1"/>
  <c r="L3026" i="1"/>
  <c r="Y4539" i="1"/>
  <c r="L1443" i="1"/>
  <c r="N4069" i="1"/>
  <c r="Y4439" i="1"/>
  <c r="L4229" i="1"/>
  <c r="Y4523" i="1"/>
  <c r="L265" i="1"/>
  <c r="N2508" i="1"/>
  <c r="Y4616" i="1"/>
  <c r="L458" i="1"/>
  <c r="Y4559" i="1"/>
  <c r="Z4328" i="1"/>
  <c r="L3971" i="1"/>
  <c r="N3414" i="1"/>
  <c r="Y4092" i="1"/>
  <c r="L3054" i="1"/>
  <c r="N4206" i="1"/>
  <c r="Y4242" i="1"/>
  <c r="L2148" i="1"/>
  <c r="N1850" i="1"/>
  <c r="Y4560" i="1"/>
  <c r="L3917" i="1"/>
  <c r="M4396" i="1"/>
  <c r="N3906" i="1"/>
  <c r="L1496" i="1"/>
  <c r="N1209" i="1"/>
  <c r="L1194" i="1"/>
  <c r="N2241" i="1"/>
  <c r="Y4113" i="1"/>
  <c r="L2563" i="1"/>
  <c r="M4610" i="1"/>
  <c r="N17" i="1"/>
  <c r="Y4328" i="1"/>
  <c r="L1825" i="1"/>
  <c r="N851" i="1"/>
  <c r="X4096" i="1"/>
  <c r="Y4574" i="1"/>
  <c r="L1682" i="1"/>
  <c r="N3389" i="1"/>
  <c r="Y4066" i="1"/>
  <c r="L3219" i="1"/>
  <c r="N1169" i="1"/>
  <c r="X4572" i="1"/>
  <c r="Y4054" i="1"/>
  <c r="L522" i="1"/>
  <c r="N811" i="1"/>
  <c r="Y4144" i="1"/>
  <c r="L3870" i="1"/>
  <c r="N3232" i="1"/>
  <c r="Y4432" i="1"/>
  <c r="L3729" i="1"/>
  <c r="M4477" i="1"/>
  <c r="N1448" i="1"/>
  <c r="Y4511" i="1"/>
  <c r="L4497" i="1"/>
  <c r="N2260" i="1"/>
  <c r="Y3908" i="1"/>
  <c r="Z4418" i="1"/>
  <c r="L134" i="1"/>
  <c r="N2025" i="1"/>
  <c r="L1134" i="1"/>
  <c r="N1472" i="1"/>
  <c r="X4602" i="1"/>
  <c r="Y4081" i="1"/>
  <c r="L3230" i="1"/>
  <c r="Y4436" i="1"/>
  <c r="L3654" i="1"/>
  <c r="M4346" i="1"/>
  <c r="Y4077" i="1"/>
  <c r="L1146" i="1"/>
  <c r="N2502" i="1"/>
  <c r="X3852" i="1"/>
  <c r="L1026" i="1"/>
  <c r="M4367" i="1"/>
  <c r="N863" i="1"/>
  <c r="L3188" i="1"/>
  <c r="N130" i="1"/>
  <c r="Y4462" i="1"/>
  <c r="L1377" i="1"/>
  <c r="N621" i="1"/>
  <c r="L4088" i="1"/>
  <c r="N549" i="1"/>
  <c r="Y4349" i="1"/>
  <c r="L2156" i="1"/>
  <c r="N1867" i="1"/>
  <c r="X4477" i="1"/>
  <c r="L2872" i="1"/>
  <c r="N139" i="1"/>
  <c r="Y4444" i="1"/>
  <c r="L829" i="1"/>
  <c r="N312" i="1"/>
  <c r="Y4350" i="1"/>
  <c r="L2371" i="1"/>
  <c r="Y3925" i="1"/>
  <c r="L2727" i="1"/>
  <c r="X3906" i="1"/>
  <c r="L2550" i="1"/>
  <c r="N722" i="1"/>
  <c r="Y3939" i="1"/>
  <c r="L2326" i="1"/>
  <c r="N3659" i="1"/>
  <c r="Y4059" i="1"/>
  <c r="L2754" i="1"/>
  <c r="N3457" i="1"/>
  <c r="Y4543" i="1"/>
  <c r="L2478" i="1"/>
  <c r="N3372" i="1"/>
  <c r="Y4215" i="1"/>
  <c r="L1372" i="1"/>
  <c r="Y4445" i="1"/>
  <c r="L2423" i="1"/>
  <c r="N1889" i="1"/>
  <c r="Y4038" i="1"/>
  <c r="L4283" i="1"/>
  <c r="X4228" i="1"/>
  <c r="Y4293" i="1"/>
  <c r="L3027" i="1"/>
  <c r="N2168" i="1"/>
  <c r="L1291" i="1"/>
  <c r="N1048" i="1"/>
  <c r="Y4525" i="1"/>
  <c r="L2552" i="1"/>
  <c r="N2657" i="1"/>
  <c r="Y4548" i="1"/>
  <c r="L4052" i="1"/>
  <c r="M4382" i="1"/>
  <c r="Y4208" i="1"/>
  <c r="L3445" i="1"/>
  <c r="L2305" i="1"/>
  <c r="N3500" i="1"/>
  <c r="L2088" i="1"/>
  <c r="N530" i="1"/>
  <c r="L1309" i="1"/>
  <c r="N1033" i="1"/>
  <c r="X4471" i="1"/>
  <c r="L2454" i="1"/>
  <c r="M4385" i="1"/>
  <c r="N2785" i="1"/>
  <c r="Y4472" i="1"/>
  <c r="L2238" i="1"/>
  <c r="N832" i="1"/>
  <c r="L883" i="1"/>
  <c r="Y3900" i="1"/>
  <c r="L3989" i="1"/>
  <c r="N477" i="1"/>
  <c r="Y4277" i="1"/>
  <c r="L3386" i="1"/>
  <c r="N2564" i="1"/>
  <c r="L2309" i="1"/>
  <c r="N278" i="1"/>
  <c r="Y4484" i="1"/>
  <c r="L2024" i="1"/>
  <c r="Y4119" i="1"/>
  <c r="L2237" i="1"/>
  <c r="M4500" i="1"/>
  <c r="N3334" i="1"/>
  <c r="Y4302" i="1"/>
  <c r="L4239" i="1"/>
  <c r="X4454" i="1"/>
  <c r="Y4178" i="1"/>
  <c r="L3181" i="1"/>
  <c r="N2753" i="1"/>
  <c r="Y4060" i="1"/>
  <c r="L1930" i="1"/>
  <c r="N4177" i="1"/>
  <c r="Y4347" i="1"/>
  <c r="L2874" i="1"/>
  <c r="N4299" i="1"/>
  <c r="X4368" i="1"/>
  <c r="L541" i="1"/>
  <c r="N4550" i="1"/>
  <c r="Y4181" i="1"/>
  <c r="L1845" i="1"/>
  <c r="N434" i="1"/>
  <c r="Y4207" i="1"/>
  <c r="L4188" i="1"/>
  <c r="N2725" i="1"/>
  <c r="Y4176" i="1"/>
  <c r="L1685" i="1"/>
  <c r="N1734" i="1"/>
  <c r="L1492" i="1"/>
  <c r="M4550" i="1"/>
  <c r="N1825" i="1"/>
  <c r="X4522" i="1"/>
  <c r="L4495" i="1"/>
  <c r="M4453" i="1"/>
  <c r="N1581" i="1"/>
  <c r="X4513" i="1"/>
  <c r="L1290" i="1"/>
  <c r="L613" i="1"/>
  <c r="N4574" i="1"/>
  <c r="Y4355" i="1"/>
  <c r="L910" i="1"/>
  <c r="L894" i="1"/>
  <c r="N2051" i="1"/>
  <c r="X4236" i="1"/>
  <c r="L944" i="1"/>
  <c r="L1667" i="1"/>
  <c r="L622" i="1"/>
  <c r="N2084" i="1"/>
  <c r="L1817" i="1"/>
  <c r="X4373" i="1"/>
  <c r="L4048" i="1"/>
  <c r="N4315" i="1"/>
  <c r="Y4039" i="1"/>
  <c r="L3699" i="1"/>
  <c r="N1364" i="1"/>
  <c r="Y4107" i="1"/>
  <c r="L2728" i="1"/>
  <c r="M4553" i="1"/>
  <c r="N4204" i="1"/>
  <c r="Y4267" i="1"/>
  <c r="L3348" i="1"/>
  <c r="Y4115" i="1"/>
  <c r="L993" i="1"/>
  <c r="N1986" i="1"/>
  <c r="Y4196" i="1"/>
  <c r="L3596" i="1"/>
  <c r="N2597" i="1"/>
  <c r="Y4289" i="1"/>
  <c r="L1071" i="1"/>
  <c r="N256" i="1"/>
  <c r="X4396" i="1"/>
  <c r="Y4334" i="1"/>
  <c r="L2235" i="1"/>
  <c r="N1410" i="1"/>
  <c r="X4395" i="1"/>
  <c r="L3149" i="1"/>
  <c r="N989" i="1"/>
  <c r="X69" i="1"/>
  <c r="L1143" i="1"/>
  <c r="M4307" i="1"/>
  <c r="N4167" i="1"/>
  <c r="L1345" i="1"/>
  <c r="N4393" i="1"/>
  <c r="L4416" i="1"/>
  <c r="N1710" i="1"/>
  <c r="X4026" i="1"/>
  <c r="L2932" i="1"/>
  <c r="M4599" i="1"/>
  <c r="N1771" i="1"/>
  <c r="Y3971" i="1"/>
  <c r="L4077" i="1"/>
  <c r="N3502" i="1"/>
  <c r="L1750" i="1"/>
  <c r="N3928" i="1"/>
  <c r="L1191" i="1"/>
  <c r="L188" i="1"/>
  <c r="N4225" i="1"/>
  <c r="L1575" i="1"/>
  <c r="L3309" i="1"/>
  <c r="N486" i="1"/>
  <c r="X4037" i="1"/>
  <c r="L2631" i="1"/>
  <c r="M4445" i="1"/>
  <c r="N3667" i="1"/>
  <c r="L3036" i="1"/>
  <c r="N2284" i="1"/>
  <c r="L518" i="1"/>
  <c r="N2075" i="1"/>
  <c r="L1188" i="1"/>
  <c r="N2164" i="1"/>
  <c r="Z4308" i="1"/>
  <c r="L1574" i="1"/>
  <c r="N377" i="1"/>
  <c r="L1397" i="1"/>
  <c r="N2238" i="1"/>
  <c r="L4335" i="1"/>
  <c r="N1681" i="1"/>
  <c r="L444" i="1"/>
  <c r="L1998" i="1"/>
  <c r="M4541" i="1"/>
  <c r="N3100" i="1"/>
  <c r="L513" i="1"/>
  <c r="N3666" i="1"/>
  <c r="L3907" i="1"/>
  <c r="N3596" i="1"/>
  <c r="L2948" i="1"/>
  <c r="N1749" i="1"/>
  <c r="L870" i="1"/>
  <c r="N3107" i="1"/>
  <c r="L2181" i="1"/>
  <c r="N21" i="1"/>
  <c r="L3783" i="1"/>
  <c r="N2338" i="1"/>
  <c r="L4545" i="1"/>
  <c r="L2615" i="1"/>
  <c r="N706" i="1"/>
  <c r="L3407" i="1"/>
  <c r="N1788" i="1"/>
  <c r="L3647" i="1"/>
  <c r="N3564" i="1"/>
  <c r="L3092" i="1"/>
  <c r="N3488" i="1"/>
  <c r="L2256" i="1"/>
  <c r="N2112" i="1"/>
  <c r="Y4536" i="1"/>
  <c r="L156" i="1"/>
  <c r="N3741" i="1"/>
  <c r="L2344" i="1"/>
  <c r="N723" i="1"/>
  <c r="L1810" i="1"/>
  <c r="N3523" i="1"/>
  <c r="L2262" i="1"/>
  <c r="N3699" i="1"/>
  <c r="L3505" i="1"/>
  <c r="N2469" i="1"/>
  <c r="X4365" i="1"/>
  <c r="L4331" i="1"/>
  <c r="N3676" i="1"/>
  <c r="X4085" i="1"/>
  <c r="L4454" i="1"/>
  <c r="N3477" i="1"/>
  <c r="X3922" i="1"/>
  <c r="L2530" i="1"/>
  <c r="M4530" i="1"/>
  <c r="L4596" i="1"/>
  <c r="M4607" i="1"/>
  <c r="N4444" i="1"/>
  <c r="L1051" i="1"/>
  <c r="N2496" i="1"/>
  <c r="L3513" i="1"/>
  <c r="N2843" i="1"/>
  <c r="L3704" i="1"/>
  <c r="M4533" i="1"/>
  <c r="N3604" i="1"/>
  <c r="X3898" i="1"/>
  <c r="L1080" i="1"/>
  <c r="N3255" i="1"/>
  <c r="L2373" i="1"/>
  <c r="N654" i="1"/>
  <c r="X4341" i="1"/>
  <c r="L2498" i="1"/>
  <c r="L2030" i="1"/>
  <c r="N1099" i="1"/>
  <c r="L895" i="1"/>
  <c r="N281" i="1"/>
  <c r="L1439" i="1"/>
  <c r="N4232" i="1"/>
  <c r="L720" i="1"/>
  <c r="N223" i="1"/>
  <c r="X4146" i="1"/>
  <c r="L4488" i="1"/>
  <c r="N1210" i="1"/>
  <c r="L304" i="1"/>
  <c r="N2796" i="1"/>
  <c r="X4447" i="1"/>
  <c r="L1099" i="1"/>
  <c r="N1460" i="1"/>
  <c r="X4399" i="1"/>
  <c r="Y3997" i="1"/>
  <c r="L2786" i="1"/>
  <c r="M4250" i="1"/>
  <c r="N41" i="1"/>
  <c r="Y4118" i="1"/>
  <c r="L3110" i="1"/>
  <c r="N76" i="1"/>
  <c r="L41" i="1"/>
  <c r="M4439" i="1"/>
  <c r="N1717" i="1"/>
  <c r="Y4535" i="1"/>
  <c r="L2391" i="1"/>
  <c r="M4548" i="1"/>
  <c r="N3991" i="1"/>
  <c r="L1775" i="1"/>
  <c r="L4356" i="1"/>
  <c r="N1008" i="1"/>
  <c r="X4593" i="1"/>
  <c r="L1542" i="1"/>
  <c r="L1506" i="1"/>
  <c r="N3073" i="1"/>
  <c r="Y4238" i="1"/>
  <c r="L2430" i="1"/>
  <c r="M4527" i="1"/>
  <c r="N4369" i="1"/>
  <c r="X4153" i="1"/>
  <c r="L3946" i="1"/>
  <c r="N2719" i="1"/>
  <c r="L2821" i="1"/>
  <c r="N2494" i="1"/>
  <c r="L1268" i="1"/>
  <c r="N250" i="1"/>
  <c r="L2384" i="1"/>
  <c r="X4494" i="1"/>
  <c r="L4167" i="1"/>
  <c r="N2757" i="1"/>
  <c r="L2790" i="1"/>
  <c r="N3208" i="1"/>
  <c r="L3138" i="1"/>
  <c r="N1612" i="1"/>
  <c r="L753" i="1"/>
  <c r="N2957" i="1"/>
  <c r="L152" i="1"/>
  <c r="N4159" i="1"/>
  <c r="L2694" i="1"/>
  <c r="N3894" i="1"/>
  <c r="L3711" i="1"/>
  <c r="N3149" i="1"/>
  <c r="L4003" i="1"/>
  <c r="N2877" i="1"/>
  <c r="L1736" i="1"/>
  <c r="N1105" i="1"/>
  <c r="Y4399" i="1"/>
  <c r="L1144" i="1"/>
  <c r="N1191" i="1"/>
  <c r="L492" i="1"/>
  <c r="N4555" i="1"/>
  <c r="Z4378" i="1"/>
  <c r="L21" i="1"/>
  <c r="N200" i="1"/>
  <c r="L2529" i="1"/>
  <c r="X3933" i="1"/>
  <c r="Y4136" i="1"/>
  <c r="L313" i="1"/>
  <c r="N422" i="1"/>
  <c r="X3997" i="1"/>
  <c r="L4525" i="1"/>
  <c r="L4515" i="1"/>
  <c r="N2793" i="1"/>
  <c r="L1842" i="1"/>
  <c r="N4194" i="1"/>
  <c r="L2111" i="1"/>
  <c r="N1493" i="1"/>
  <c r="X3853" i="1"/>
  <c r="L216" i="1"/>
  <c r="L1737" i="1"/>
  <c r="N2255" i="1"/>
  <c r="L1651" i="1"/>
  <c r="N2746" i="1"/>
  <c r="X4319" i="1"/>
  <c r="L3874" i="1"/>
  <c r="N4594" i="1"/>
  <c r="X4183" i="1"/>
  <c r="L1766" i="1"/>
  <c r="M4415" i="1"/>
  <c r="N563" i="1"/>
  <c r="L3148" i="1"/>
  <c r="N1971" i="1"/>
  <c r="L2653" i="1"/>
  <c r="N2175" i="1"/>
  <c r="L809" i="1"/>
  <c r="M4293" i="1"/>
  <c r="N1141" i="1"/>
  <c r="L4464" i="1"/>
  <c r="N3471" i="1"/>
  <c r="X4282" i="1"/>
  <c r="L2038" i="1"/>
  <c r="N559" i="1"/>
  <c r="L3642" i="1"/>
  <c r="N2562" i="1"/>
  <c r="L1376" i="1"/>
  <c r="N3067" i="1"/>
  <c r="X4144" i="1"/>
  <c r="L2263" i="1"/>
  <c r="L4092" i="1"/>
  <c r="N3917" i="1"/>
  <c r="L3017" i="1"/>
  <c r="N2830" i="1"/>
  <c r="X4110" i="1"/>
  <c r="L1908" i="1"/>
  <c r="M4471" i="1"/>
  <c r="N315" i="1"/>
  <c r="L2198" i="1"/>
  <c r="M4542" i="1"/>
  <c r="N3569" i="1"/>
  <c r="L921" i="1"/>
  <c r="M4595" i="1"/>
  <c r="N40" i="1"/>
  <c r="L1347" i="1"/>
  <c r="L191" i="1"/>
  <c r="N4549" i="1"/>
  <c r="Z227" i="1"/>
  <c r="L885" i="1"/>
  <c r="N2440" i="1"/>
  <c r="L4199" i="1"/>
  <c r="L4010" i="1"/>
  <c r="N1559" i="1"/>
  <c r="L2452" i="1"/>
  <c r="N1484" i="1"/>
  <c r="L2321" i="1"/>
  <c r="N4118" i="1"/>
  <c r="Y4557" i="1"/>
  <c r="L3256" i="1"/>
  <c r="N1302" i="1"/>
  <c r="Y3865" i="1"/>
  <c r="L3511" i="1"/>
  <c r="N1704" i="1"/>
  <c r="Y4608" i="1"/>
  <c r="L2149" i="1"/>
  <c r="N388" i="1"/>
  <c r="L2669" i="1"/>
  <c r="N823" i="1"/>
  <c r="L3839" i="1"/>
  <c r="N3237" i="1"/>
  <c r="L4204" i="1"/>
  <c r="N1346" i="1"/>
  <c r="L2082" i="1"/>
  <c r="N2529" i="1"/>
  <c r="L3060" i="1"/>
  <c r="N1940" i="1"/>
  <c r="Y4162" i="1"/>
  <c r="L752" i="1"/>
  <c r="N12" i="1"/>
  <c r="L563" i="1"/>
  <c r="N4287" i="1"/>
  <c r="L3327" i="1"/>
  <c r="N1277" i="1"/>
  <c r="Y4394" i="1"/>
  <c r="L2534" i="1"/>
  <c r="N4031" i="1"/>
  <c r="L2362" i="1"/>
  <c r="N3920" i="1"/>
  <c r="L3589" i="1"/>
  <c r="N650" i="1"/>
  <c r="Y4292" i="1"/>
  <c r="L517" i="1"/>
  <c r="N1140" i="1"/>
  <c r="L3985" i="1"/>
  <c r="N4552" i="1"/>
  <c r="L3047" i="1"/>
  <c r="N2265" i="1"/>
  <c r="L1721" i="1"/>
  <c r="N36" i="1"/>
  <c r="L888" i="1"/>
  <c r="N1213" i="1"/>
  <c r="L3232" i="1"/>
  <c r="N2735" i="1"/>
  <c r="X4495" i="1"/>
  <c r="L2416" i="1"/>
  <c r="N4065" i="1"/>
  <c r="X4429" i="1"/>
  <c r="L1329" i="1"/>
  <c r="N1596" i="1"/>
  <c r="X4267" i="1"/>
  <c r="L3535" i="1"/>
  <c r="N3216" i="1"/>
  <c r="L663" i="1"/>
  <c r="N1323" i="1"/>
  <c r="L499" i="1"/>
  <c r="M4391" i="1"/>
  <c r="L428" i="1"/>
  <c r="N2047" i="1"/>
  <c r="L1470" i="1"/>
  <c r="N1028" i="1"/>
  <c r="L2867" i="1"/>
  <c r="N580" i="1"/>
  <c r="X4579" i="1"/>
  <c r="L28" i="1"/>
  <c r="N2854" i="1"/>
  <c r="L2936" i="1"/>
  <c r="N339" i="1"/>
  <c r="X3924" i="1"/>
  <c r="L2792" i="1"/>
  <c r="N4141" i="1"/>
  <c r="L477" i="1"/>
  <c r="N698" i="1"/>
  <c r="L983" i="1"/>
  <c r="N346" i="1"/>
  <c r="X4195" i="1"/>
  <c r="L3144" i="1"/>
  <c r="N4546" i="1"/>
  <c r="L251" i="1"/>
  <c r="N2760" i="1"/>
  <c r="L2401" i="1"/>
  <c r="N263" i="1"/>
  <c r="L2239" i="1"/>
  <c r="L1295" i="1"/>
  <c r="N745" i="1"/>
  <c r="L3409" i="1"/>
  <c r="N1702" i="1"/>
  <c r="L2766" i="1"/>
  <c r="N742" i="1"/>
  <c r="L1180" i="1"/>
  <c r="L1640" i="1"/>
  <c r="N1708" i="1"/>
  <c r="L744" i="1"/>
  <c r="N2884" i="1"/>
  <c r="L2545" i="1"/>
  <c r="N380" i="1"/>
  <c r="L3236" i="1"/>
  <c r="N3795" i="1"/>
  <c r="L3244" i="1"/>
  <c r="N2297" i="1"/>
  <c r="L391" i="1"/>
  <c r="N1014" i="1"/>
  <c r="L3508" i="1"/>
  <c r="N1341" i="1"/>
  <c r="L2663" i="1"/>
  <c r="N4112" i="1"/>
  <c r="L3825" i="1"/>
  <c r="N3403" i="1"/>
  <c r="L3675" i="1"/>
  <c r="N3118" i="1"/>
  <c r="L2056" i="1"/>
  <c r="N131" i="1"/>
  <c r="L228" i="1"/>
  <c r="N1050" i="1"/>
  <c r="X4092" i="1"/>
  <c r="L2080" i="1"/>
  <c r="L3762" i="1"/>
  <c r="L1546" i="1"/>
  <c r="L1413" i="1"/>
  <c r="N2009" i="1"/>
  <c r="L4236" i="1"/>
  <c r="N2899" i="1"/>
  <c r="L814" i="1"/>
  <c r="N1039" i="1"/>
  <c r="L1588" i="1"/>
  <c r="N451" i="1"/>
  <c r="L2033" i="1"/>
  <c r="N3636" i="1"/>
  <c r="L2143" i="1"/>
  <c r="N116" i="1"/>
  <c r="L3602" i="1"/>
  <c r="N1860" i="1"/>
  <c r="L3114" i="1"/>
  <c r="N3019" i="1"/>
  <c r="L3480" i="1"/>
  <c r="N2711" i="1"/>
  <c r="L1634" i="1"/>
  <c r="N3096" i="1"/>
  <c r="L3142" i="1"/>
  <c r="N4471" i="1"/>
  <c r="L868" i="1"/>
  <c r="N3204" i="1"/>
  <c r="L1395" i="1"/>
  <c r="N3455" i="1"/>
  <c r="L942" i="1"/>
  <c r="N2357" i="1"/>
  <c r="L77" i="1"/>
  <c r="N18" i="1"/>
  <c r="L3359" i="1"/>
  <c r="N1779" i="1"/>
  <c r="L2580" i="1"/>
  <c r="M4428" i="1"/>
  <c r="N576" i="1"/>
  <c r="X4286" i="1"/>
  <c r="L532" i="1"/>
  <c r="N3424" i="1"/>
  <c r="X4081" i="1"/>
  <c r="L382" i="1"/>
  <c r="N3423" i="1"/>
  <c r="L3494" i="1"/>
  <c r="N1587" i="1"/>
  <c r="L4212" i="1"/>
  <c r="N1877" i="1"/>
  <c r="L108" i="1"/>
  <c r="M4267" i="1"/>
  <c r="N4110" i="1"/>
  <c r="L3966" i="1"/>
  <c r="N3433" i="1"/>
  <c r="L4031" i="1"/>
  <c r="N1727" i="1"/>
  <c r="X3907" i="1"/>
  <c r="L3452" i="1"/>
  <c r="N3719" i="1"/>
  <c r="L511" i="1"/>
  <c r="M4593" i="1"/>
  <c r="N1320" i="1"/>
  <c r="L2099" i="1"/>
  <c r="M4495" i="1"/>
  <c r="N4363" i="1"/>
  <c r="L9" i="1"/>
  <c r="N2503" i="1"/>
  <c r="X4239" i="1"/>
  <c r="Y4229" i="1"/>
  <c r="L3517" i="1"/>
  <c r="N1358" i="1"/>
  <c r="L4313" i="1"/>
  <c r="L4285" i="1"/>
  <c r="M4539" i="1"/>
  <c r="N3740" i="1"/>
  <c r="L4104" i="1"/>
  <c r="X4370" i="1"/>
  <c r="L4453" i="1"/>
  <c r="N2093" i="1"/>
  <c r="L1565" i="1"/>
  <c r="N701" i="1"/>
  <c r="L543" i="1"/>
  <c r="N3603" i="1"/>
  <c r="L3687" i="1"/>
  <c r="L1444" i="1"/>
  <c r="N2040" i="1"/>
  <c r="L2826" i="1"/>
  <c r="N2908" i="1"/>
  <c r="L420" i="1"/>
  <c r="N3504" i="1"/>
  <c r="X4114" i="1"/>
  <c r="L2363" i="1"/>
  <c r="L2871" i="1"/>
  <c r="N55" i="1"/>
  <c r="L3402" i="1"/>
  <c r="L1310" i="1"/>
  <c r="N3180" i="1"/>
  <c r="L2244" i="1"/>
  <c r="L2725" i="1"/>
  <c r="N1235" i="1"/>
  <c r="L4147" i="1"/>
  <c r="N2022" i="1"/>
  <c r="X4027" i="1"/>
  <c r="L1673" i="1"/>
  <c r="N1326" i="1"/>
  <c r="L3085" i="1"/>
  <c r="N83" i="1"/>
  <c r="L402" i="1"/>
  <c r="N1644" i="1"/>
  <c r="L1093" i="1"/>
  <c r="L3474" i="1"/>
  <c r="N2799" i="1"/>
  <c r="L2765" i="1"/>
  <c r="L2275" i="1"/>
  <c r="L2084" i="1"/>
  <c r="N3087" i="1"/>
  <c r="X3941" i="1"/>
  <c r="L2935" i="1"/>
  <c r="N1670" i="1"/>
  <c r="L457" i="1"/>
  <c r="N2243" i="1"/>
  <c r="L3913" i="1"/>
  <c r="L2949" i="1"/>
  <c r="N1715" i="1"/>
  <c r="L3618" i="1"/>
  <c r="N2888" i="1"/>
  <c r="L3672" i="1"/>
  <c r="N1911" i="1"/>
  <c r="L2700" i="1"/>
  <c r="N3323" i="1"/>
  <c r="X4505" i="1"/>
  <c r="L3880" i="1"/>
  <c r="N4611" i="1"/>
  <c r="L2860" i="1"/>
  <c r="N1929" i="1"/>
  <c r="X3973" i="1"/>
  <c r="L3126" i="1"/>
  <c r="N4591" i="1"/>
  <c r="L4427" i="1"/>
  <c r="N573" i="1"/>
  <c r="L371" i="1"/>
  <c r="N2382" i="1"/>
  <c r="L2073" i="1"/>
  <c r="N550" i="1"/>
  <c r="X4425" i="1"/>
  <c r="L1219" i="1"/>
  <c r="N1263" i="1"/>
  <c r="L3599" i="1"/>
  <c r="N2797" i="1"/>
  <c r="L1555" i="1"/>
  <c r="N4120" i="1"/>
  <c r="L3473" i="1"/>
  <c r="L2251" i="1"/>
  <c r="N1408" i="1"/>
  <c r="L2274" i="1"/>
  <c r="L3490" i="1"/>
  <c r="N548" i="1"/>
  <c r="L339" i="1"/>
  <c r="N379" i="1"/>
  <c r="X4463" i="1"/>
  <c r="L2511" i="1"/>
  <c r="N408" i="1"/>
  <c r="L2777" i="1"/>
  <c r="N1588" i="1"/>
  <c r="L2339" i="1"/>
  <c r="X4125" i="1"/>
  <c r="L1523" i="1"/>
  <c r="N416" i="1"/>
  <c r="L129" i="1"/>
  <c r="N1389" i="1"/>
  <c r="L2854" i="1"/>
  <c r="N391" i="1"/>
  <c r="L920" i="1"/>
  <c r="N358" i="1"/>
  <c r="X4563" i="1"/>
  <c r="L4345" i="1"/>
  <c r="N1801" i="1"/>
  <c r="L254" i="1"/>
  <c r="N1311" i="1"/>
  <c r="X4283" i="1"/>
  <c r="L873" i="1"/>
  <c r="N500" i="1"/>
  <c r="L2510" i="1"/>
  <c r="N430" i="1"/>
  <c r="X138" i="1"/>
  <c r="L1663" i="1"/>
  <c r="L3633" i="1"/>
  <c r="N1616" i="1"/>
  <c r="L4561" i="1"/>
  <c r="N4171" i="1"/>
  <c r="X4082" i="1"/>
  <c r="L1272" i="1"/>
  <c r="N636" i="1"/>
  <c r="L2311" i="1"/>
  <c r="N356" i="1"/>
  <c r="L4503" i="1"/>
  <c r="N3877" i="1"/>
  <c r="L203" i="1"/>
  <c r="N2233" i="1"/>
  <c r="L833" i="1"/>
  <c r="N792" i="1"/>
  <c r="L2546" i="1"/>
  <c r="N3651" i="1"/>
  <c r="X4112" i="1"/>
  <c r="L3928" i="1"/>
  <c r="N154" i="1"/>
  <c r="X4332" i="1"/>
  <c r="Y4109" i="1"/>
  <c r="L3438" i="1"/>
  <c r="N1966" i="1"/>
  <c r="L1037" i="1"/>
  <c r="N503" i="1"/>
  <c r="L1212" i="1"/>
  <c r="N4604" i="1"/>
  <c r="L4325" i="1"/>
  <c r="N2602" i="1"/>
  <c r="L1332" i="1"/>
  <c r="N311" i="1"/>
  <c r="L478" i="1"/>
  <c r="N1144" i="1"/>
  <c r="L3976" i="1"/>
  <c r="N1518" i="1"/>
  <c r="L1816" i="1"/>
  <c r="N1015" i="1"/>
  <c r="L2493" i="1"/>
  <c r="N2426" i="1"/>
  <c r="L1216" i="1"/>
  <c r="N2094" i="1"/>
  <c r="Y4568" i="1"/>
  <c r="L3727" i="1"/>
  <c r="N655" i="1"/>
  <c r="L419" i="1"/>
  <c r="N2326" i="1"/>
  <c r="L3167" i="1"/>
  <c r="X4137" i="1"/>
  <c r="L4152" i="1"/>
  <c r="L1513" i="1"/>
  <c r="N1648" i="1"/>
  <c r="Y4583" i="1"/>
  <c r="L3160" i="1"/>
  <c r="N3138" i="1"/>
  <c r="L4025" i="1"/>
  <c r="N4036" i="1"/>
  <c r="L2784" i="1"/>
  <c r="L1132" i="1"/>
  <c r="N1808" i="1"/>
  <c r="X4227" i="1"/>
  <c r="Y4248" i="1"/>
  <c r="L1404" i="1"/>
  <c r="N1307" i="1"/>
  <c r="Y4346" i="1"/>
  <c r="L167" i="1"/>
  <c r="N2460" i="1"/>
  <c r="L2801" i="1"/>
  <c r="N394" i="1"/>
  <c r="L1818" i="1"/>
  <c r="X4226" i="1"/>
  <c r="Y4503" i="1"/>
  <c r="L4447" i="1"/>
  <c r="N3171" i="1"/>
  <c r="X4219" i="1"/>
  <c r="Y4075" i="1"/>
  <c r="L1892" i="1"/>
  <c r="M4324" i="1"/>
  <c r="Y4368" i="1"/>
  <c r="L3009" i="1"/>
  <c r="N280" i="1"/>
  <c r="L1183" i="1"/>
  <c r="N4428" i="1"/>
  <c r="L3156" i="1"/>
  <c r="N2487" i="1"/>
  <c r="L2214" i="1"/>
  <c r="N1231" i="1"/>
  <c r="L1709" i="1"/>
  <c r="N3611" i="1"/>
  <c r="X4335" i="1"/>
  <c r="L4526" i="1"/>
  <c r="L2022" i="1"/>
  <c r="M4273" i="1"/>
  <c r="N3312" i="1"/>
  <c r="L2233" i="1"/>
  <c r="N188" i="1"/>
  <c r="L516" i="1"/>
  <c r="N1413" i="1"/>
  <c r="L1094" i="1"/>
  <c r="N2240" i="1"/>
  <c r="L1508" i="1"/>
  <c r="N4605" i="1"/>
  <c r="X4498" i="1"/>
  <c r="L4129" i="1"/>
  <c r="N405" i="1"/>
  <c r="L3933" i="1"/>
  <c r="N3258" i="1"/>
  <c r="X4276" i="1"/>
  <c r="L3496" i="1"/>
  <c r="M4488" i="1"/>
  <c r="N581" i="1"/>
  <c r="L998" i="1"/>
  <c r="M4531" i="1"/>
  <c r="N3591" i="1"/>
  <c r="L1534" i="1"/>
  <c r="N4309" i="1"/>
  <c r="L311" i="1"/>
  <c r="N4090" i="1"/>
  <c r="L3792" i="1"/>
  <c r="N814" i="1"/>
  <c r="X4111" i="1"/>
  <c r="Y4259" i="1"/>
  <c r="L1896" i="1"/>
  <c r="N4208" i="1"/>
  <c r="L1875" i="1"/>
  <c r="X4158" i="1"/>
  <c r="L4395" i="1"/>
  <c r="N2907" i="1"/>
  <c r="L1914" i="1"/>
  <c r="M4237" i="1"/>
  <c r="N4523" i="1"/>
  <c r="L1984" i="1"/>
  <c r="Y4460" i="1"/>
  <c r="L1499" i="1"/>
  <c r="N126" i="1"/>
  <c r="Y4337" i="1"/>
  <c r="L3451" i="1"/>
  <c r="M4496" i="1"/>
  <c r="L2131" i="1"/>
  <c r="L537" i="1"/>
  <c r="N2731" i="1"/>
  <c r="L4595" i="1"/>
  <c r="Y4537" i="1"/>
  <c r="L2265" i="1"/>
  <c r="N2257" i="1"/>
  <c r="L1034" i="1"/>
  <c r="N2092" i="1"/>
  <c r="X4018" i="1"/>
  <c r="L4458" i="1"/>
  <c r="N4019" i="1"/>
  <c r="L843" i="1"/>
  <c r="N1338" i="1"/>
  <c r="Z4618" i="1"/>
  <c r="L74" i="1"/>
  <c r="N3886" i="1"/>
  <c r="X59" i="1"/>
  <c r="L1778" i="1"/>
  <c r="M4405" i="1"/>
  <c r="L4616" i="1"/>
  <c r="N1807" i="1"/>
  <c r="L272" i="1"/>
  <c r="N4230" i="1"/>
  <c r="L1763" i="1"/>
  <c r="N2864" i="1"/>
  <c r="X4375" i="1"/>
  <c r="L246" i="1"/>
  <c r="N4254" i="1"/>
  <c r="L1576" i="1"/>
  <c r="Y4414" i="1"/>
  <c r="L3291" i="1"/>
  <c r="N1614" i="1"/>
  <c r="X4317" i="1"/>
  <c r="L1874" i="1"/>
  <c r="N3662" i="1"/>
  <c r="L116" i="1"/>
  <c r="N2625" i="1"/>
  <c r="X4605" i="1"/>
  <c r="Y4486" i="1"/>
  <c r="L3125" i="1"/>
  <c r="M4387" i="1"/>
  <c r="N1775" i="1"/>
  <c r="X4378" i="1"/>
  <c r="L2448" i="1"/>
  <c r="N2896" i="1"/>
  <c r="Y4068" i="1"/>
  <c r="L2065" i="1"/>
  <c r="N912" i="1"/>
  <c r="L4400" i="1"/>
  <c r="N3214" i="1"/>
  <c r="L4604" i="1"/>
  <c r="N1893" i="1"/>
  <c r="L607" i="1"/>
  <c r="N2609" i="1"/>
  <c r="Z4614" i="1"/>
  <c r="L1239" i="1"/>
  <c r="N3704" i="1"/>
  <c r="Y4330" i="1"/>
  <c r="L1126" i="1"/>
  <c r="N443" i="1"/>
  <c r="L1822" i="1"/>
  <c r="N1536" i="1"/>
  <c r="L3270" i="1"/>
  <c r="L2044" i="1"/>
  <c r="N1730" i="1"/>
  <c r="L3676" i="1"/>
  <c r="N2012" i="1"/>
  <c r="L4473" i="1"/>
  <c r="N74" i="1"/>
  <c r="L1617" i="1"/>
  <c r="N3641" i="1"/>
  <c r="L626" i="1"/>
  <c r="N4077" i="1"/>
  <c r="L4536" i="1"/>
  <c r="N3813" i="1"/>
  <c r="L2409" i="1"/>
  <c r="M4411" i="1"/>
  <c r="N4217" i="1"/>
  <c r="L4287" i="1"/>
  <c r="N1946" i="1"/>
  <c r="L3" i="1"/>
  <c r="N3260" i="1"/>
  <c r="L1197" i="1"/>
  <c r="M4511" i="1"/>
  <c r="N2868" i="1"/>
  <c r="L1036" i="1"/>
  <c r="N2713" i="1"/>
  <c r="L2819" i="1"/>
  <c r="N2783" i="1"/>
  <c r="L4165" i="1"/>
  <c r="N1815" i="1"/>
  <c r="L1058" i="1"/>
  <c r="Y3868" i="1"/>
  <c r="L4412" i="1"/>
  <c r="N1772" i="1"/>
  <c r="L2714" i="1"/>
  <c r="N1436" i="1"/>
  <c r="L3210" i="1"/>
  <c r="N3776" i="1"/>
  <c r="L11" i="1"/>
  <c r="N1848" i="1"/>
  <c r="L3435" i="1"/>
  <c r="N3338" i="1"/>
  <c r="L934" i="1"/>
  <c r="M4444" i="1"/>
  <c r="N4322" i="1"/>
  <c r="L1253" i="1"/>
  <c r="M4384" i="1"/>
  <c r="N1376" i="1"/>
  <c r="L3288" i="1"/>
  <c r="N2840" i="1"/>
  <c r="L4264" i="1"/>
  <c r="N2318" i="1"/>
  <c r="L2134" i="1"/>
  <c r="N2449" i="1"/>
  <c r="L2794" i="1"/>
  <c r="N1266" i="1"/>
  <c r="L1657" i="1"/>
  <c r="L2258" i="1"/>
  <c r="N2621" i="1"/>
  <c r="X4599" i="1"/>
  <c r="L542" i="1"/>
  <c r="N1174" i="1"/>
  <c r="L4177" i="1"/>
  <c r="Y4494" i="1"/>
  <c r="L2502" i="1"/>
  <c r="N3426" i="1"/>
  <c r="X4234" i="1"/>
  <c r="Y4231" i="1"/>
  <c r="L1374" i="1"/>
  <c r="N2784" i="1"/>
  <c r="L1204" i="1"/>
  <c r="N2696" i="1"/>
  <c r="L3717" i="1"/>
  <c r="M4340" i="1"/>
  <c r="N1435" i="1"/>
  <c r="L2522" i="1"/>
  <c r="N3618" i="1"/>
  <c r="L1758" i="1"/>
  <c r="N2789" i="1"/>
  <c r="L3957" i="1"/>
  <c r="N1166" i="1"/>
  <c r="L3905" i="1"/>
  <c r="N1539" i="1"/>
  <c r="L961" i="1"/>
  <c r="N2894" i="1"/>
  <c r="L774" i="1"/>
  <c r="N1414" i="1"/>
  <c r="L1280" i="1"/>
  <c r="N3642" i="1"/>
  <c r="L133" i="1"/>
  <c r="N60" i="1"/>
  <c r="L225" i="1"/>
  <c r="N2539" i="1"/>
  <c r="L1867" i="1"/>
  <c r="N4041" i="1"/>
  <c r="L2582" i="1"/>
  <c r="N1679" i="1"/>
  <c r="L1670" i="1"/>
  <c r="N4408" i="1"/>
  <c r="L1600" i="1"/>
  <c r="N3469" i="1"/>
  <c r="L3424" i="1"/>
  <c r="N1162" i="1"/>
  <c r="L1135" i="1"/>
  <c r="N1646" i="1"/>
  <c r="Z4610" i="1"/>
  <c r="L630" i="1"/>
  <c r="N1610" i="1"/>
  <c r="X4118" i="1"/>
  <c r="L1156" i="1"/>
  <c r="N728" i="1"/>
  <c r="L682" i="1"/>
  <c r="N2214" i="1"/>
  <c r="L1724" i="1"/>
  <c r="N4153" i="1"/>
  <c r="Y4409" i="1"/>
  <c r="L3778" i="1"/>
  <c r="N2283" i="1"/>
  <c r="X4548" i="1"/>
  <c r="L3015" i="1"/>
  <c r="N3583" i="1"/>
  <c r="L4321" i="1"/>
  <c r="N2156" i="1"/>
  <c r="L4566" i="1"/>
  <c r="N3014" i="1"/>
  <c r="Y3903" i="1"/>
  <c r="L2248" i="1"/>
  <c r="N1103" i="1"/>
  <c r="L2212" i="1"/>
  <c r="N4025" i="1"/>
  <c r="L290" i="1"/>
  <c r="N1430" i="1"/>
  <c r="L4455" i="1"/>
  <c r="N2456" i="1"/>
  <c r="L3690" i="1"/>
  <c r="N2098" i="1"/>
  <c r="L3226" i="1"/>
  <c r="N4049" i="1"/>
  <c r="L3155" i="1"/>
  <c r="N3261" i="1"/>
  <c r="L1359" i="1"/>
  <c r="N1855" i="1"/>
  <c r="X4151" i="1"/>
  <c r="L3524" i="1"/>
  <c r="N2276" i="1"/>
  <c r="L338" i="1"/>
  <c r="N547" i="1"/>
  <c r="L3464" i="1"/>
  <c r="L975" i="1"/>
  <c r="N2109" i="1"/>
  <c r="X3979" i="1"/>
  <c r="L3902" i="1"/>
  <c r="M4557" i="1"/>
  <c r="N509" i="1"/>
  <c r="Y4589" i="1"/>
  <c r="L1769" i="1"/>
  <c r="M4464" i="1"/>
  <c r="N1851" i="1"/>
  <c r="L999" i="1"/>
  <c r="M4375" i="1"/>
  <c r="X4180" i="1"/>
  <c r="L2108" i="1"/>
  <c r="N583" i="1"/>
  <c r="X4391" i="1"/>
  <c r="L1742" i="1"/>
  <c r="M4478" i="1"/>
  <c r="N1433" i="1"/>
  <c r="L2050" i="1"/>
  <c r="N511" i="1"/>
  <c r="L1489" i="1"/>
  <c r="N3374" i="1"/>
  <c r="L1394" i="1"/>
  <c r="N2660" i="1"/>
  <c r="L3507" i="1"/>
  <c r="L1834" i="1"/>
  <c r="N462" i="1"/>
  <c r="X4297" i="1"/>
  <c r="L1586" i="1"/>
  <c r="L1656" i="1"/>
  <c r="N2923" i="1"/>
  <c r="L3334" i="1"/>
  <c r="N521" i="1"/>
  <c r="L1324" i="1"/>
  <c r="N498" i="1"/>
  <c r="L70" i="1"/>
  <c r="X4366" i="1"/>
  <c r="Y4324" i="1"/>
  <c r="L4019" i="1"/>
  <c r="N1951" i="1"/>
  <c r="L2588" i="1"/>
  <c r="N1392" i="1"/>
  <c r="L475" i="1"/>
  <c r="N2111" i="1"/>
  <c r="L4090" i="1"/>
  <c r="N322" i="1"/>
  <c r="L2072" i="1"/>
  <c r="N4411" i="1"/>
  <c r="L1544" i="1"/>
  <c r="N865" i="1"/>
  <c r="Y4586" i="1"/>
  <c r="L2666" i="1"/>
  <c r="N2889" i="1"/>
  <c r="L4518" i="1"/>
  <c r="Y4104" i="1"/>
  <c r="L1969" i="1"/>
  <c r="L3239" i="1"/>
  <c r="M4351" i="1"/>
  <c r="N1829" i="1"/>
  <c r="L4244" i="1"/>
  <c r="N3246" i="1"/>
  <c r="L3389" i="1"/>
  <c r="N3593" i="1"/>
  <c r="L319" i="1"/>
  <c r="N1142" i="1"/>
  <c r="X3943" i="1"/>
  <c r="Y4373" i="1"/>
  <c r="L3095" i="1"/>
  <c r="N1447" i="1"/>
  <c r="X4003" i="1"/>
  <c r="Y4048" i="1"/>
  <c r="L2315" i="1"/>
  <c r="N469" i="1"/>
  <c r="L2462" i="1"/>
  <c r="L3623" i="1"/>
  <c r="N3154" i="1"/>
  <c r="L4275" i="1"/>
  <c r="N2319" i="1"/>
  <c r="L3255" i="1"/>
  <c r="N2712" i="1"/>
  <c r="X4302" i="1"/>
  <c r="L1961" i="1"/>
  <c r="X4361" i="1"/>
  <c r="L912" i="1"/>
  <c r="N1134" i="1"/>
  <c r="L615" i="1"/>
  <c r="N3219" i="1"/>
  <c r="Y54" i="1"/>
  <c r="L3353" i="1"/>
  <c r="L3942" i="1"/>
  <c r="N858" i="1"/>
  <c r="X4308" i="1"/>
  <c r="L1710" i="1"/>
  <c r="L3857" i="1"/>
  <c r="L641" i="1"/>
  <c r="N3191" i="1"/>
  <c r="L1193" i="1"/>
  <c r="L401" i="1"/>
  <c r="L3836" i="1"/>
  <c r="M4403" i="1"/>
  <c r="N4414" i="1"/>
  <c r="L3881" i="1"/>
  <c r="N1782" i="1"/>
  <c r="L23" i="1"/>
  <c r="N417" i="1"/>
  <c r="L1169" i="1"/>
  <c r="N2945" i="1"/>
  <c r="X4126" i="1"/>
  <c r="L1730" i="1"/>
  <c r="N1146" i="1"/>
  <c r="L1879" i="1"/>
  <c r="N2650" i="1"/>
  <c r="X4192" i="1"/>
  <c r="L1683" i="1"/>
  <c r="L4569" i="1"/>
  <c r="L4157" i="1"/>
  <c r="L1932" i="1"/>
  <c r="L2564" i="1"/>
  <c r="N1915" i="1"/>
  <c r="L1564" i="1"/>
  <c r="N3144" i="1"/>
  <c r="L3318" i="1"/>
  <c r="N2865" i="1"/>
  <c r="L2770" i="1"/>
  <c r="L2424" i="1"/>
  <c r="L373" i="1"/>
  <c r="N3127" i="1"/>
  <c r="L2135" i="1"/>
  <c r="L655" i="1"/>
  <c r="N3272" i="1"/>
  <c r="L965" i="1"/>
  <c r="N2505" i="1"/>
  <c r="L3608" i="1"/>
  <c r="N2718" i="1"/>
  <c r="L1383" i="1"/>
  <c r="N3275" i="1"/>
  <c r="L104" i="1"/>
  <c r="N1052" i="1"/>
  <c r="L1092" i="1"/>
  <c r="N2317" i="1"/>
  <c r="X4057" i="1"/>
  <c r="L4185" i="1"/>
  <c r="N1690" i="1"/>
  <c r="X3964" i="1"/>
  <c r="Y4338" i="1"/>
  <c r="L1375" i="1"/>
  <c r="L3721" i="1"/>
  <c r="N1936" i="1"/>
  <c r="L4476" i="1"/>
  <c r="X4075" i="1"/>
  <c r="L2735" i="1"/>
  <c r="N1273" i="1"/>
  <c r="X4314" i="1"/>
  <c r="L3955" i="1"/>
  <c r="L4409" i="1"/>
  <c r="N1732" i="1"/>
  <c r="L3404" i="1"/>
  <c r="L2810" i="1"/>
  <c r="N3335" i="1"/>
  <c r="L2015" i="1"/>
  <c r="L381" i="1"/>
  <c r="N3459" i="1"/>
  <c r="L4273" i="1"/>
  <c r="N2222" i="1"/>
  <c r="L3664" i="1"/>
  <c r="N2998" i="1"/>
  <c r="L166" i="1"/>
  <c r="L221" i="1"/>
  <c r="N2128" i="1"/>
  <c r="L3355" i="1"/>
  <c r="N542" i="1"/>
  <c r="L726" i="1"/>
  <c r="N2174" i="1"/>
  <c r="X3927" i="1"/>
  <c r="L1054" i="1"/>
  <c r="N241" i="1"/>
  <c r="L2467" i="1"/>
  <c r="L2551" i="1"/>
  <c r="N2764" i="1"/>
  <c r="L1833" i="1"/>
  <c r="N2986" i="1"/>
  <c r="L3759" i="1"/>
  <c r="L2476" i="1"/>
  <c r="N333" i="1"/>
  <c r="L296" i="1"/>
  <c r="N980" i="1"/>
  <c r="L3615" i="1"/>
  <c r="N1933" i="1"/>
  <c r="Y3996" i="1"/>
  <c r="L3479" i="1"/>
  <c r="N1920" i="1"/>
  <c r="X4060" i="1"/>
  <c r="L1548" i="1"/>
  <c r="N1038" i="1"/>
  <c r="Y4164" i="1"/>
  <c r="L1948" i="1"/>
  <c r="L653" i="1"/>
  <c r="N2155" i="1"/>
  <c r="X4167" i="1"/>
  <c r="L471" i="1"/>
  <c r="N2330" i="1"/>
  <c r="L3841" i="1"/>
  <c r="N964" i="1"/>
  <c r="L3189" i="1"/>
  <c r="N4072" i="1"/>
  <c r="L619" i="1"/>
  <c r="L1339" i="1"/>
  <c r="N2080" i="1"/>
  <c r="Y4015" i="1"/>
  <c r="L2018" i="1"/>
  <c r="L2245" i="1"/>
  <c r="L2303" i="1"/>
  <c r="N1836" i="1"/>
  <c r="L777" i="1"/>
  <c r="N2261" i="1"/>
  <c r="L2996" i="1"/>
  <c r="N4515" i="1"/>
  <c r="L897" i="1"/>
  <c r="N290" i="1"/>
  <c r="L785" i="1"/>
  <c r="N4093" i="1"/>
  <c r="L3742" i="1"/>
  <c r="N2054" i="1"/>
  <c r="L2599" i="1"/>
  <c r="N2287" i="1"/>
  <c r="L4222" i="1"/>
  <c r="N3679" i="1"/>
  <c r="L3294" i="1"/>
  <c r="N3982" i="1"/>
  <c r="L1933" i="1"/>
  <c r="X4083" i="1"/>
  <c r="L2374" i="1"/>
  <c r="Y3952" i="1"/>
  <c r="L303" i="1"/>
  <c r="N31" i="1"/>
  <c r="L2575" i="1"/>
  <c r="N3182" i="1"/>
  <c r="L3827" i="1"/>
  <c r="N3766" i="1"/>
  <c r="L2651" i="1"/>
  <c r="N2018" i="1"/>
  <c r="L1547" i="1"/>
  <c r="N2333" i="1"/>
  <c r="L1079" i="1"/>
  <c r="N2393" i="1"/>
  <c r="L1465" i="1"/>
  <c r="N4055" i="1"/>
  <c r="L1863" i="1"/>
  <c r="N1369" i="1"/>
  <c r="L3379" i="1"/>
  <c r="L3731" i="1"/>
  <c r="N1950" i="1"/>
  <c r="L2119" i="1"/>
  <c r="L2195" i="1"/>
  <c r="L2565" i="1"/>
  <c r="L2695" i="1"/>
  <c r="L1859" i="1"/>
  <c r="M4578" i="1"/>
  <c r="N397" i="1"/>
  <c r="L4068" i="1"/>
  <c r="N1998" i="1"/>
  <c r="X4510" i="1"/>
  <c r="L1068" i="1"/>
  <c r="L4366" i="1"/>
  <c r="N3061" i="1"/>
  <c r="L260" i="1"/>
  <c r="N3109" i="1"/>
  <c r="X4164" i="1"/>
  <c r="L972" i="1"/>
  <c r="L1275" i="1"/>
  <c r="M4238" i="1"/>
  <c r="N3103" i="1"/>
  <c r="L1088" i="1"/>
  <c r="N3349" i="1"/>
  <c r="L3685" i="1"/>
  <c r="N1954" i="1"/>
  <c r="L3826" i="1"/>
  <c r="N1196" i="1"/>
  <c r="L1458" i="1"/>
  <c r="L22" i="1"/>
  <c r="N3663" i="1"/>
  <c r="L3029" i="1"/>
  <c r="N1902" i="1"/>
  <c r="L3376" i="1"/>
  <c r="N4536" i="1"/>
  <c r="X4435" i="1"/>
  <c r="L792" i="1"/>
  <c r="N3043" i="1"/>
  <c r="X4047" i="1"/>
  <c r="L2427" i="1"/>
  <c r="M4560" i="1"/>
  <c r="N3758" i="1"/>
  <c r="L3038" i="1"/>
  <c r="L3677" i="1"/>
  <c r="N1872" i="1"/>
  <c r="L841" i="1"/>
  <c r="N2042" i="1"/>
  <c r="L2026" i="1"/>
  <c r="N4013" i="1"/>
  <c r="L3159" i="1"/>
  <c r="N2090" i="1"/>
  <c r="L84" i="1"/>
  <c r="L4411" i="1"/>
  <c r="N3000" i="1"/>
  <c r="L1788" i="1"/>
  <c r="N1698" i="1"/>
  <c r="L3013" i="1"/>
  <c r="N2158" i="1"/>
  <c r="L3173" i="1"/>
  <c r="N4197" i="1"/>
  <c r="L1043" i="1"/>
  <c r="N3245" i="1"/>
  <c r="L2372" i="1"/>
  <c r="N3521" i="1"/>
  <c r="L1370" i="1"/>
  <c r="N626" i="1"/>
  <c r="L3154" i="1"/>
  <c r="N1914" i="1"/>
  <c r="L3627" i="1"/>
  <c r="N4303" i="1"/>
  <c r="L2268" i="1"/>
  <c r="N1901" i="1"/>
  <c r="L1066" i="1"/>
  <c r="L583" i="1"/>
  <c r="N645" i="1"/>
  <c r="L1925" i="1"/>
  <c r="N781" i="1"/>
  <c r="L1182" i="1"/>
  <c r="N4294" i="1"/>
  <c r="L1706" i="1"/>
  <c r="N3213" i="1"/>
  <c r="L4423" i="1"/>
  <c r="N1731" i="1"/>
  <c r="L2211" i="1"/>
  <c r="N2861" i="1"/>
  <c r="L4291" i="1"/>
  <c r="N2198" i="1"/>
  <c r="X3996" i="1"/>
  <c r="L608" i="1"/>
  <c r="N733" i="1"/>
  <c r="L690" i="1"/>
  <c r="N1604" i="1"/>
  <c r="Y4443" i="1"/>
  <c r="L4347" i="1"/>
  <c r="N1955" i="1"/>
  <c r="Y4600" i="1"/>
  <c r="L4529" i="1"/>
  <c r="N761" i="1"/>
  <c r="Y4612" i="1"/>
  <c r="L1461" i="1"/>
  <c r="N1366" i="1"/>
  <c r="Y4606" i="1"/>
  <c r="L2141" i="1"/>
  <c r="N1402" i="1"/>
  <c r="Y4611" i="1"/>
  <c r="L1089" i="1"/>
  <c r="N2183" i="1"/>
  <c r="L1712" i="1"/>
  <c r="N4298" i="1"/>
  <c r="X4307" i="1"/>
  <c r="L3465" i="1"/>
  <c r="Y4186" i="1"/>
  <c r="L4134" i="1"/>
  <c r="N3700" i="1"/>
  <c r="Y4137" i="1"/>
  <c r="L1388" i="1"/>
  <c r="N2900" i="1"/>
  <c r="Y4343" i="1"/>
  <c r="L878" i="1"/>
  <c r="N3016" i="1"/>
  <c r="Y4375" i="1"/>
  <c r="L2232" i="1"/>
  <c r="M4569" i="1"/>
  <c r="N3816" i="1"/>
  <c r="X4177" i="1"/>
  <c r="L2671" i="1"/>
  <c r="N4213" i="1"/>
  <c r="X3897" i="1"/>
  <c r="Y4438" i="1"/>
  <c r="L3111" i="1"/>
  <c r="N3251" i="1"/>
  <c r="Y3881" i="1"/>
  <c r="L2125" i="1"/>
  <c r="M4300" i="1"/>
  <c r="X4078" i="1"/>
  <c r="Y4369" i="1"/>
  <c r="L3765" i="1"/>
  <c r="N2566" i="1"/>
  <c r="L1380" i="1"/>
  <c r="N1962" i="1"/>
  <c r="Y4305" i="1"/>
  <c r="L2042" i="1"/>
  <c r="N566" i="1"/>
  <c r="Y4400" i="1"/>
  <c r="L142" i="1"/>
  <c r="Y4476" i="1"/>
  <c r="L2655" i="1"/>
  <c r="N1241" i="1"/>
  <c r="X4594" i="1"/>
  <c r="L2032" i="1"/>
  <c r="N201" i="1"/>
  <c r="Y4481" i="1"/>
  <c r="L2164" i="1"/>
  <c r="N3172" i="1"/>
  <c r="L3597" i="1"/>
  <c r="N2615" i="1"/>
  <c r="Y4232" i="1"/>
  <c r="L3958" i="1"/>
  <c r="N1978" i="1"/>
  <c r="L1342" i="1"/>
  <c r="N3428" i="1"/>
  <c r="L3719" i="1"/>
  <c r="N2608" i="1"/>
  <c r="X4541" i="1"/>
  <c r="Y3855" i="1"/>
  <c r="L3927" i="1"/>
  <c r="N2390" i="1"/>
  <c r="L1208" i="1"/>
  <c r="N3561" i="1"/>
  <c r="L2327" i="1"/>
  <c r="N198" i="1"/>
  <c r="L4508" i="1"/>
  <c r="N3505" i="1"/>
  <c r="L2636" i="1"/>
  <c r="L830" i="1"/>
  <c r="N1529" i="1"/>
  <c r="L1421" i="1"/>
  <c r="M4501" i="1"/>
  <c r="N4453" i="1"/>
  <c r="L881" i="1"/>
  <c r="N10" i="1"/>
  <c r="X4357" i="1"/>
  <c r="L3938" i="1"/>
  <c r="N1565" i="1"/>
  <c r="L3208" i="1"/>
  <c r="N2086" i="1"/>
  <c r="X4268" i="1"/>
  <c r="L1121" i="1"/>
  <c r="N713" i="1"/>
  <c r="X4392" i="1"/>
  <c r="L2813" i="1"/>
  <c r="N2142" i="1"/>
  <c r="Y4028" i="1"/>
  <c r="L1528" i="1"/>
  <c r="N2543" i="1"/>
  <c r="L2063" i="1"/>
  <c r="L1666" i="1"/>
  <c r="N382" i="1"/>
  <c r="L1498" i="1"/>
  <c r="N3278" i="1"/>
  <c r="L4377" i="1"/>
  <c r="X4514" i="1"/>
  <c r="L18" i="1"/>
  <c r="N2984" i="1"/>
  <c r="Y4469" i="1"/>
  <c r="L1820" i="1"/>
  <c r="X4061" i="1"/>
  <c r="L3564" i="1"/>
  <c r="N2788" i="1"/>
  <c r="X4010" i="1"/>
  <c r="L1970" i="1"/>
  <c r="L1307" i="1"/>
  <c r="N2527" i="1"/>
  <c r="L239" i="1"/>
  <c r="N3291" i="1"/>
  <c r="L269" i="1"/>
  <c r="N2045" i="1"/>
  <c r="X3914" i="1"/>
  <c r="L1500" i="1"/>
  <c r="N1114" i="1"/>
  <c r="L856" i="1"/>
  <c r="Y4223" i="1"/>
  <c r="L3051" i="1"/>
  <c r="L4499" i="1"/>
  <c r="N3234" i="1"/>
  <c r="L3520" i="1"/>
  <c r="N546" i="1"/>
  <c r="L2102" i="1"/>
  <c r="L1462" i="1"/>
  <c r="N1589" i="1"/>
  <c r="L1353" i="1"/>
  <c r="N2396" i="1"/>
  <c r="L2707" i="1"/>
  <c r="N86" i="1"/>
  <c r="Y4243" i="1"/>
  <c r="L514" i="1"/>
  <c r="N292" i="1"/>
  <c r="Y4114" i="1"/>
  <c r="L1722" i="1"/>
  <c r="N2935" i="1"/>
  <c r="L3682" i="1"/>
  <c r="N3365" i="1"/>
  <c r="L2761" i="1"/>
  <c r="N260" i="1"/>
  <c r="Y4055" i="1"/>
  <c r="L4363" i="1"/>
  <c r="N2250" i="1"/>
  <c r="L4150" i="1"/>
  <c r="N767" i="1"/>
  <c r="Y4384" i="1"/>
  <c r="L13" i="1"/>
  <c r="N4102" i="1"/>
  <c r="L3514" i="1"/>
  <c r="N4258" i="1"/>
  <c r="L445" i="1"/>
  <c r="Y4413" i="1"/>
  <c r="L4360" i="1"/>
  <c r="N2825" i="1"/>
  <c r="L2247" i="1"/>
  <c r="N3196" i="1"/>
  <c r="X4557" i="1"/>
  <c r="L4383" i="1"/>
  <c r="N4434" i="1"/>
  <c r="X3928" i="1"/>
  <c r="Y4550" i="1"/>
  <c r="L482" i="1"/>
  <c r="M4554" i="1"/>
  <c r="L1931" i="1"/>
  <c r="N3902" i="1"/>
  <c r="L82" i="1"/>
  <c r="N1864" i="1"/>
  <c r="L3886" i="1"/>
  <c r="N2551" i="1"/>
  <c r="X4616" i="1"/>
  <c r="L3876" i="1"/>
  <c r="N2187" i="1"/>
  <c r="L4072" i="1"/>
  <c r="N703" i="1"/>
  <c r="X4009" i="1"/>
  <c r="L357" i="1"/>
  <c r="N72" i="1"/>
  <c r="L2606" i="1"/>
  <c r="N3669" i="1"/>
  <c r="L3495" i="1"/>
  <c r="N3382" i="1"/>
  <c r="L2835" i="1"/>
  <c r="N2555" i="1"/>
  <c r="X4566" i="1"/>
  <c r="L3830" i="1"/>
  <c r="N1087" i="1"/>
  <c r="L2341" i="1"/>
  <c r="M4567" i="1"/>
  <c r="N24" i="1"/>
  <c r="X3944" i="1"/>
  <c r="L826" i="1"/>
  <c r="L1665" i="1"/>
  <c r="N3994" i="1"/>
  <c r="L113" i="1"/>
  <c r="N448" i="1"/>
  <c r="L2434" i="1"/>
  <c r="M4516" i="1"/>
  <c r="N4498" i="1"/>
  <c r="X4398" i="1"/>
  <c r="L1884" i="1"/>
  <c r="N2920" i="1"/>
  <c r="L3777" i="1"/>
  <c r="L4082" i="1"/>
  <c r="Y4573" i="1"/>
  <c r="L2827" i="1"/>
  <c r="N681" i="1"/>
  <c r="L668" i="1"/>
  <c r="N3551" i="1"/>
  <c r="X4491" i="1"/>
  <c r="L1671" i="1"/>
  <c r="N98" i="1"/>
  <c r="Y3990" i="1"/>
  <c r="L1696" i="1"/>
  <c r="M4379" i="1"/>
  <c r="N15" i="1"/>
  <c r="L2200" i="1"/>
  <c r="M4258" i="1"/>
  <c r="N1918" i="1"/>
  <c r="Y3968" i="1"/>
  <c r="L3179" i="1"/>
  <c r="N861" i="1"/>
  <c r="L4496" i="1"/>
  <c r="N3694" i="1"/>
  <c r="L2945" i="1"/>
  <c r="N2742" i="1"/>
  <c r="L2170" i="1"/>
  <c r="X4328" i="1"/>
  <c r="Y4474" i="1"/>
  <c r="L1545" i="1"/>
  <c r="L4066" i="1"/>
  <c r="N4218" i="1"/>
  <c r="L2254" i="1"/>
  <c r="N105" i="1"/>
  <c r="L941" i="1"/>
  <c r="L960" i="1"/>
  <c r="L708" i="1"/>
  <c r="N1498" i="1"/>
  <c r="X3921" i="1"/>
  <c r="L3459" i="1"/>
  <c r="L1557" i="1"/>
  <c r="N2714" i="1"/>
  <c r="L3769" i="1"/>
  <c r="X4197" i="1"/>
  <c r="L1244" i="1"/>
  <c r="N1222" i="1"/>
  <c r="X3970" i="1"/>
  <c r="L1047" i="1"/>
  <c r="N1306" i="1"/>
  <c r="L4368" i="1"/>
  <c r="M4591" i="1"/>
  <c r="N1569" i="1"/>
  <c r="L3914" i="1"/>
  <c r="N2948" i="1"/>
  <c r="L3871" i="1"/>
  <c r="N562" i="1"/>
  <c r="L4228" i="1"/>
  <c r="N2883" i="1"/>
  <c r="X3952" i="1"/>
  <c r="L3542" i="1"/>
  <c r="L1745" i="1"/>
  <c r="N1485" i="1"/>
  <c r="L1886" i="1"/>
  <c r="N3790" i="1"/>
  <c r="Y4295" i="1"/>
  <c r="L89" i="1"/>
  <c r="Y4467" i="1"/>
  <c r="L3034" i="1"/>
  <c r="N2497" i="1"/>
  <c r="Y4408" i="1"/>
  <c r="L1354" i="1"/>
  <c r="Y4307" i="1"/>
  <c r="L2686" i="1"/>
  <c r="N2695" i="1"/>
  <c r="Y4045" i="1"/>
  <c r="L2592" i="1"/>
  <c r="N4266" i="1"/>
  <c r="Y4464" i="1"/>
  <c r="L2726" i="1"/>
  <c r="X3948" i="1"/>
  <c r="Z4538" i="1"/>
  <c r="L4224" i="1"/>
  <c r="N2682" i="1"/>
  <c r="Y4271" i="1"/>
  <c r="L3533" i="1"/>
  <c r="N1576" i="1"/>
  <c r="Y4205" i="1"/>
  <c r="L4243" i="1"/>
  <c r="N2778" i="1"/>
  <c r="L1755" i="1"/>
  <c r="N1250" i="1"/>
  <c r="L1792" i="1"/>
  <c r="L1453" i="1"/>
  <c r="N3072" i="1"/>
  <c r="X4406" i="1"/>
  <c r="L4173" i="1"/>
  <c r="N1767" i="1"/>
  <c r="L3073" i="1"/>
  <c r="N2663" i="1"/>
  <c r="L3980" i="1"/>
  <c r="N102" i="1"/>
  <c r="X4208" i="1"/>
  <c r="L299" i="1"/>
  <c r="N2787" i="1"/>
  <c r="L2290" i="1"/>
  <c r="N3822" i="1"/>
  <c r="L987" i="1"/>
  <c r="N779" i="1"/>
  <c r="L2345" i="1"/>
  <c r="N3337" i="1"/>
  <c r="L2346" i="1"/>
  <c r="N244" i="1"/>
  <c r="L2" i="1"/>
  <c r="N1606" i="1"/>
  <c r="L712" i="1"/>
  <c r="N3401" i="1"/>
  <c r="X4488" i="1"/>
  <c r="Y4310" i="1"/>
  <c r="L138" i="1"/>
  <c r="L550" i="1"/>
  <c r="L2068" i="1"/>
  <c r="L2496" i="1"/>
  <c r="N1862" i="1"/>
  <c r="Y4194" i="1"/>
  <c r="L1552" i="1"/>
  <c r="M4510" i="1"/>
  <c r="N234" i="1"/>
  <c r="L2879" i="1"/>
  <c r="N149" i="1"/>
  <c r="Y4466" i="1"/>
  <c r="L165" i="1"/>
  <c r="N3467" i="1"/>
  <c r="L1073" i="1"/>
  <c r="M4295" i="1"/>
  <c r="N3678" i="1"/>
  <c r="Y4263" i="1"/>
  <c r="L536" i="1"/>
  <c r="N117" i="1"/>
  <c r="L1981" i="1"/>
  <c r="N1284" i="1"/>
  <c r="L2824" i="1"/>
  <c r="L2993" i="1"/>
  <c r="N1976" i="1"/>
  <c r="L1698" i="1"/>
  <c r="N3722" i="1"/>
  <c r="L1231" i="1"/>
  <c r="N3890" i="1"/>
  <c r="L2450" i="1"/>
  <c r="M4462" i="1"/>
  <c r="N3547" i="1"/>
  <c r="L3259" i="1"/>
  <c r="N4199" i="1"/>
  <c r="L1147" i="1"/>
  <c r="L3684" i="1"/>
  <c r="N1947" i="1"/>
  <c r="L87" i="1"/>
  <c r="N447" i="1"/>
  <c r="X3874" i="1"/>
  <c r="L297" i="1"/>
  <c r="M4509" i="1"/>
  <c r="N4496" i="1"/>
  <c r="L4544" i="1"/>
  <c r="N2428" i="1"/>
  <c r="L2004" i="1"/>
  <c r="M4435" i="1"/>
  <c r="N3155" i="1"/>
  <c r="L795" i="1"/>
  <c r="N1510" i="1"/>
  <c r="L47" i="1"/>
  <c r="N2856" i="1"/>
  <c r="X4304" i="1"/>
  <c r="L2574" i="1"/>
  <c r="M4502" i="1"/>
  <c r="N1490" i="1"/>
  <c r="L2883" i="1"/>
  <c r="N1092" i="1"/>
  <c r="L1411" i="1"/>
  <c r="N423" i="1"/>
  <c r="L4414" i="1"/>
  <c r="N4505" i="1"/>
  <c r="L2559" i="1"/>
  <c r="N398" i="1"/>
  <c r="L2010" i="1"/>
  <c r="L1799" i="1"/>
  <c r="N204" i="1"/>
  <c r="L3801" i="1"/>
  <c r="N529" i="1"/>
  <c r="X4525" i="1"/>
  <c r="L908" i="1"/>
  <c r="N2546" i="1"/>
  <c r="L654" i="1"/>
  <c r="L4148" i="1"/>
  <c r="N2692" i="1"/>
  <c r="L587" i="1"/>
  <c r="L2092" i="1"/>
  <c r="N11" i="1"/>
  <c r="Y3906" i="1"/>
  <c r="L1177" i="1"/>
  <c r="L3545" i="1"/>
  <c r="L500" i="1"/>
  <c r="M4240" i="1"/>
  <c r="N3286" i="1"/>
  <c r="Y3969" i="1"/>
  <c r="L4618" i="1"/>
  <c r="X3986" i="1"/>
  <c r="L913" i="1"/>
  <c r="N3332" i="1"/>
  <c r="L4541" i="1"/>
  <c r="N4184" i="1"/>
  <c r="Y4010" i="1"/>
  <c r="L1063" i="1"/>
  <c r="N1412" i="1"/>
  <c r="Y3961" i="1"/>
  <c r="L4260" i="1"/>
  <c r="N1528" i="1"/>
  <c r="Y4404" i="1"/>
  <c r="L2910" i="1"/>
  <c r="N2522" i="1"/>
  <c r="X4575" i="1"/>
  <c r="Y3938" i="1"/>
  <c r="L3813" i="1"/>
  <c r="X4071" i="1"/>
  <c r="L2377" i="1"/>
  <c r="N1790" i="1"/>
  <c r="L2289" i="1"/>
  <c r="N452" i="1"/>
  <c r="L2610" i="1"/>
  <c r="N2620" i="1"/>
  <c r="X4533" i="1"/>
  <c r="Y4427" i="1"/>
  <c r="L2836" i="1"/>
  <c r="N1096" i="1"/>
  <c r="Y4587" i="1"/>
  <c r="L1873" i="1"/>
  <c r="N1003" i="1"/>
  <c r="Y4446" i="1"/>
  <c r="L1655" i="1"/>
  <c r="N96" i="1"/>
  <c r="Y4551" i="1"/>
  <c r="L2938" i="1"/>
  <c r="X4045" i="1"/>
  <c r="Y4395" i="1"/>
  <c r="L772" i="1"/>
  <c r="Y4378" i="1"/>
  <c r="L3999" i="1"/>
  <c r="Y3988" i="1"/>
  <c r="L2601" i="1"/>
  <c r="N2368" i="1"/>
  <c r="Y4224" i="1"/>
  <c r="L1287" i="1"/>
  <c r="N124" i="1"/>
  <c r="Y4376" i="1"/>
  <c r="L823" i="1"/>
  <c r="N3616" i="1"/>
  <c r="L1598" i="1"/>
  <c r="N279" i="1"/>
  <c r="Y4303" i="1"/>
  <c r="L2399" i="1"/>
  <c r="L3066" i="1"/>
  <c r="N3939" i="1"/>
  <c r="Y4532" i="1"/>
  <c r="L4479" i="1"/>
  <c r="N1635" i="1"/>
  <c r="X4280" i="1"/>
  <c r="L3191" i="1"/>
  <c r="N125" i="1"/>
  <c r="Y4335" i="1"/>
  <c r="L648" i="1"/>
  <c r="M4341" i="1"/>
  <c r="N4070" i="1"/>
  <c r="L1752" i="1"/>
  <c r="Y4017" i="1"/>
  <c r="L4192" i="1"/>
  <c r="N551" i="1"/>
  <c r="Y4153" i="1"/>
  <c r="L1502" i="1"/>
  <c r="N2930" i="1"/>
  <c r="Y4520" i="1"/>
  <c r="L3050" i="1"/>
  <c r="N313" i="1"/>
  <c r="Y4058" i="1"/>
  <c r="L1438" i="1"/>
  <c r="N4590" i="1"/>
  <c r="L3919" i="1"/>
  <c r="N3292" i="1"/>
  <c r="L1734" i="1"/>
  <c r="N3108" i="1"/>
  <c r="L2126" i="1"/>
  <c r="Y4341" i="1"/>
  <c r="L2046" i="1"/>
  <c r="N65" i="1"/>
  <c r="Y4253" i="1"/>
  <c r="L2079" i="1"/>
  <c r="N4402" i="1"/>
  <c r="X4012" i="1"/>
  <c r="L3674" i="1"/>
  <c r="N677" i="1"/>
  <c r="L950" i="1"/>
  <c r="L2693" i="1"/>
  <c r="N4032" i="1"/>
  <c r="X4353" i="1"/>
  <c r="L2411" i="1"/>
  <c r="N3621" i="1"/>
  <c r="L2998" i="1"/>
  <c r="N3357" i="1"/>
  <c r="L3169" i="1"/>
  <c r="N213" i="1"/>
  <c r="X4569" i="1"/>
  <c r="L808" i="1"/>
  <c r="N191" i="1"/>
  <c r="X4426" i="1"/>
  <c r="L1928" i="1"/>
  <c r="N604" i="1"/>
  <c r="L233" i="1"/>
  <c r="N2436" i="1"/>
  <c r="X4507" i="1"/>
  <c r="L4527" i="1"/>
  <c r="L1764" i="1"/>
  <c r="N2790" i="1"/>
  <c r="L1277" i="1"/>
  <c r="N3632" i="1"/>
  <c r="X4028" i="1"/>
  <c r="Y4012" i="1"/>
  <c r="L345" i="1"/>
  <c r="N4043" i="1"/>
  <c r="L3600" i="1"/>
  <c r="N295" i="1"/>
  <c r="Y4317" i="1"/>
  <c r="L3484" i="1"/>
  <c r="N2412" i="1"/>
  <c r="L3182" i="1"/>
  <c r="N1481" i="1"/>
  <c r="Y4170" i="1"/>
  <c r="L2204" i="1"/>
  <c r="M4473" i="1"/>
  <c r="N3812" i="1"/>
  <c r="Y3989" i="1"/>
  <c r="L2978" i="1"/>
  <c r="M4285" i="1"/>
  <c r="N4306" i="1"/>
  <c r="L1044" i="1"/>
  <c r="N325" i="1"/>
  <c r="L349" i="1"/>
  <c r="N2151" i="1"/>
  <c r="L2911" i="1"/>
  <c r="N2557" i="1"/>
  <c r="X4162" i="1"/>
  <c r="L358" i="1"/>
  <c r="Y4000" i="1"/>
  <c r="L1032" i="1"/>
  <c r="N3102" i="1"/>
  <c r="X4570" i="1"/>
  <c r="Y4498" i="1"/>
  <c r="L3097" i="1"/>
  <c r="N3801" i="1"/>
  <c r="X4218" i="1"/>
  <c r="Y4256" i="1"/>
  <c r="L4574" i="1"/>
  <c r="N3873" i="1"/>
  <c r="L3112" i="1"/>
  <c r="L1801" i="1"/>
  <c r="N2561" i="1"/>
  <c r="L1042" i="1"/>
  <c r="N568" i="1"/>
  <c r="L2623" i="1"/>
  <c r="L16" i="1"/>
  <c r="L1343" i="1"/>
  <c r="N1585" i="1"/>
  <c r="L1517" i="1"/>
  <c r="N3975" i="1"/>
  <c r="L1629" i="1"/>
  <c r="N4602" i="1"/>
  <c r="L1096" i="1"/>
  <c r="N1452" i="1"/>
  <c r="L7" i="1"/>
  <c r="N3549" i="1"/>
  <c r="L606" i="1"/>
  <c r="N3550" i="1"/>
  <c r="X4030" i="1"/>
  <c r="L3525" i="1"/>
  <c r="N4249" i="1"/>
  <c r="L180" i="1"/>
  <c r="M4576" i="1"/>
  <c r="L3986" i="1"/>
  <c r="N870" i="1"/>
  <c r="X4604" i="1"/>
  <c r="L2683" i="1"/>
  <c r="N3989" i="1"/>
  <c r="L2096" i="1"/>
  <c r="N1023" i="1"/>
  <c r="X4154" i="1"/>
  <c r="L2744" i="1"/>
  <c r="N2554" i="1"/>
  <c r="L3087" i="1"/>
  <c r="N1001" i="1"/>
  <c r="L3214" i="1"/>
  <c r="N1886" i="1"/>
  <c r="L3132" i="1"/>
  <c r="N2616" i="1"/>
  <c r="L1628" i="1"/>
  <c r="N3308" i="1"/>
  <c r="L3723" i="1"/>
  <c r="N2000" i="1"/>
  <c r="L501" i="1"/>
  <c r="N613" i="1"/>
  <c r="L3720" i="1"/>
  <c r="N1043" i="1"/>
  <c r="L2913" i="1"/>
  <c r="N221" i="1"/>
  <c r="L1059" i="1"/>
  <c r="N585" i="1"/>
  <c r="L549" i="1"/>
  <c r="N3833" i="1"/>
  <c r="L1248" i="1"/>
  <c r="N2643" i="1"/>
  <c r="L3137" i="1"/>
  <c r="N4182" i="1"/>
  <c r="X4168" i="1"/>
  <c r="L2298" i="1"/>
  <c r="N1627" i="1"/>
  <c r="L2540" i="1"/>
  <c r="N1786" i="1"/>
  <c r="L4484" i="1"/>
  <c r="N4275" i="1"/>
  <c r="L3726" i="1"/>
  <c r="L617" i="1"/>
  <c r="N1837" i="1"/>
  <c r="L352" i="1"/>
  <c r="N2029" i="1"/>
  <c r="L1346" i="1"/>
  <c r="N574" i="1"/>
  <c r="L2864" i="1"/>
  <c r="N2200" i="1"/>
  <c r="X4400" i="1"/>
  <c r="Y4279" i="1"/>
  <c r="L1694" i="1"/>
  <c r="L2328" i="1"/>
  <c r="N924" i="1"/>
  <c r="L2633" i="1"/>
  <c r="N4376" i="1"/>
  <c r="L1580" i="1"/>
  <c r="N3737" i="1"/>
  <c r="L2410" i="1"/>
  <c r="N520" i="1"/>
  <c r="L484" i="1"/>
  <c r="N1857" i="1"/>
  <c r="L2818" i="1"/>
  <c r="M199" i="1"/>
  <c r="N829" i="1"/>
  <c r="L4309" i="1"/>
  <c r="N2133" i="1"/>
  <c r="L4519" i="1"/>
  <c r="N1830" i="1"/>
  <c r="L733" i="1"/>
  <c r="N2258" i="1"/>
  <c r="L3422" i="1"/>
  <c r="N1523" i="1"/>
  <c r="L925" i="1"/>
  <c r="M4466" i="1"/>
  <c r="N254" i="1"/>
  <c r="L864" i="1"/>
  <c r="N3592" i="1"/>
  <c r="L2016" i="1"/>
  <c r="N909" i="1"/>
  <c r="L2811" i="1"/>
  <c r="N2747" i="1"/>
  <c r="L2480" i="1"/>
  <c r="N2280" i="1"/>
  <c r="L3116" i="1"/>
  <c r="N868" i="1"/>
  <c r="L122" i="1"/>
  <c r="L836" i="1"/>
  <c r="N1701" i="1"/>
  <c r="L2958" i="1"/>
  <c r="N4595" i="1"/>
  <c r="L4489" i="1"/>
  <c r="N4134" i="1"/>
  <c r="L3574" i="1"/>
  <c r="N4083" i="1"/>
  <c r="L2994" i="1"/>
  <c r="N2676" i="1"/>
  <c r="L3477" i="1"/>
  <c r="N3296" i="1"/>
  <c r="L2509" i="1"/>
  <c r="N2073" i="1"/>
  <c r="L1331" i="1"/>
  <c r="M4438" i="1"/>
  <c r="L206" i="1"/>
  <c r="N1917" i="1"/>
  <c r="X4377" i="1"/>
  <c r="L3708" i="1"/>
  <c r="L3220" i="1"/>
  <c r="N2196" i="1"/>
  <c r="L355" i="1"/>
  <c r="N4466" i="1"/>
  <c r="X4184" i="1"/>
  <c r="Y4301" i="1"/>
  <c r="L2002" i="1"/>
  <c r="N1684" i="1"/>
  <c r="L1631" i="1"/>
  <c r="N323" i="1"/>
  <c r="L887" i="1"/>
  <c r="L2876" i="1"/>
  <c r="N1067" i="1"/>
  <c r="L1516" i="1"/>
  <c r="N818" i="1"/>
  <c r="L760" i="1"/>
  <c r="N2866" i="1"/>
  <c r="L4524" i="1"/>
  <c r="N2207" i="1"/>
  <c r="L3418" i="1"/>
  <c r="N2103" i="1"/>
  <c r="L2654" i="1"/>
  <c r="N1409" i="1"/>
  <c r="L3712" i="1"/>
  <c r="N2717" i="1"/>
  <c r="L433" i="1"/>
  <c r="N4137" i="1"/>
  <c r="X4446" i="1"/>
  <c r="L3539" i="1"/>
  <c r="N2587" i="1"/>
  <c r="L2106" i="1"/>
  <c r="L3057" i="1"/>
  <c r="N1994" i="1"/>
  <c r="L1773" i="1"/>
  <c r="N305" i="1"/>
  <c r="L3079" i="1"/>
  <c r="N2634" i="1"/>
  <c r="L1566" i="1"/>
  <c r="L3606" i="1"/>
  <c r="N2096" i="1"/>
  <c r="L3735" i="1"/>
  <c r="N3001" i="1"/>
  <c r="L798" i="1"/>
  <c r="N209" i="1"/>
  <c r="L4252" i="1"/>
  <c r="N3647" i="1"/>
  <c r="L4346" i="1"/>
  <c r="N1831" i="1"/>
  <c r="L4583" i="1"/>
  <c r="N2855" i="1"/>
  <c r="X3855" i="1"/>
  <c r="L4432" i="1"/>
  <c r="M4347" i="1"/>
  <c r="N1838" i="1"/>
  <c r="L2869" i="1"/>
  <c r="N3444" i="1"/>
  <c r="L3856" i="1"/>
  <c r="N746" i="1"/>
  <c r="L2848" i="1"/>
  <c r="M4421" i="1"/>
  <c r="L1199" i="1"/>
  <c r="N696" i="1"/>
  <c r="L267" i="1"/>
  <c r="N668" i="1"/>
  <c r="L3782" i="1"/>
  <c r="N4475" i="1"/>
  <c r="L1386" i="1"/>
  <c r="N2690" i="1"/>
  <c r="L2893" i="1"/>
  <c r="N421" i="1"/>
  <c r="X4161" i="1"/>
  <c r="L1142" i="1"/>
  <c r="N3880" i="1"/>
  <c r="L4049" i="1"/>
  <c r="N810" i="1"/>
  <c r="X4452" i="1"/>
  <c r="L2139" i="1"/>
  <c r="L3563" i="1"/>
  <c r="N3716" i="1"/>
  <c r="L851" i="1"/>
  <c r="N2481" i="1"/>
  <c r="X4382" i="1"/>
  <c r="L4301" i="1"/>
  <c r="N3049" i="1"/>
  <c r="L1556" i="1"/>
  <c r="N3162" i="1"/>
  <c r="L4350" i="1"/>
  <c r="N227" i="1"/>
  <c r="L483" i="1"/>
  <c r="N4099" i="1"/>
  <c r="L3083" i="1"/>
  <c r="N4441" i="1"/>
  <c r="L217" i="1"/>
  <c r="N902" i="1"/>
  <c r="L3371" i="1"/>
  <c r="N927" i="1"/>
  <c r="L1366" i="1"/>
  <c r="N600" i="1"/>
  <c r="X4524" i="1"/>
  <c r="L1643" i="1"/>
  <c r="N3018" i="1"/>
  <c r="L1467" i="1"/>
  <c r="N784" i="1"/>
  <c r="X4068" i="1"/>
  <c r="L340" i="1"/>
  <c r="N1084" i="1"/>
  <c r="L3329" i="1"/>
  <c r="M4474" i="1"/>
  <c r="L4332" i="1"/>
  <c r="N3161" i="1"/>
  <c r="L4449" i="1"/>
  <c r="N2826" i="1"/>
  <c r="L3752" i="1"/>
  <c r="N1127" i="1"/>
  <c r="L1602" i="1"/>
  <c r="N4600" i="1"/>
  <c r="L3693" i="1"/>
  <c r="N1939" i="1"/>
  <c r="L4317" i="1"/>
  <c r="N1020" i="1"/>
  <c r="X4113" i="1"/>
  <c r="L3321" i="1"/>
  <c r="N2644" i="1"/>
  <c r="X4132" i="1"/>
  <c r="L2544" i="1"/>
  <c r="X4258" i="1"/>
  <c r="L4279" i="1"/>
  <c r="N2275" i="1"/>
  <c r="L736" i="1"/>
  <c r="N2299" i="1"/>
  <c r="L1927" i="1"/>
  <c r="N3207" i="1"/>
  <c r="X4086" i="1"/>
  <c r="L3586" i="1"/>
  <c r="N3967" i="1"/>
  <c r="L2710" i="1"/>
  <c r="L610" i="1"/>
  <c r="N2210" i="1"/>
  <c r="L4405" i="1"/>
  <c r="N1711" i="1"/>
  <c r="L679" i="1"/>
  <c r="N853" i="1"/>
  <c r="L3122" i="1"/>
  <c r="N893" i="1"/>
  <c r="L2971" i="1"/>
  <c r="N1988" i="1"/>
  <c r="L805" i="1"/>
  <c r="N3002" i="1"/>
  <c r="L1554" i="1"/>
  <c r="N2313" i="1"/>
  <c r="L3229" i="1"/>
  <c r="L2320" i="1"/>
  <c r="N678" i="1"/>
  <c r="X4255" i="1"/>
  <c r="L1805" i="1"/>
  <c r="N2839" i="1"/>
  <c r="L2853" i="1"/>
  <c r="N4274" i="1"/>
  <c r="L685" i="1"/>
  <c r="N1583" i="1"/>
  <c r="L3978" i="1"/>
  <c r="L4429" i="1"/>
  <c r="N565" i="1"/>
  <c r="L2104" i="1"/>
  <c r="N605" i="1"/>
  <c r="X4504" i="1"/>
  <c r="L72" i="1"/>
  <c r="N2553" i="1"/>
  <c r="X4407" i="1"/>
  <c r="L3457" i="1"/>
  <c r="N4442" i="1"/>
  <c r="L1392" i="1"/>
  <c r="N4045" i="1"/>
  <c r="L857" i="1"/>
  <c r="L681" i="1"/>
  <c r="N4584" i="1"/>
  <c r="X4567" i="1"/>
  <c r="L4439" i="1"/>
  <c r="N2919" i="1"/>
  <c r="L3842" i="1"/>
  <c r="N2034" i="1"/>
  <c r="L2105" i="1"/>
  <c r="N1363" i="1"/>
  <c r="L658" i="1"/>
  <c r="N3535" i="1"/>
  <c r="L4426" i="1"/>
  <c r="N1802" i="1"/>
  <c r="L2732" i="1"/>
  <c r="N3874" i="1"/>
  <c r="L2916" i="1"/>
  <c r="N3680" i="1"/>
  <c r="L3108" i="1"/>
  <c r="N661" i="1"/>
  <c r="L103" i="1"/>
  <c r="N666" i="1"/>
  <c r="L3056" i="1"/>
  <c r="N940" i="1"/>
  <c r="L4298" i="1"/>
  <c r="N2779" i="1"/>
  <c r="L3638" i="1"/>
  <c r="N3979" i="1"/>
  <c r="L4420" i="1"/>
  <c r="N748" i="1"/>
  <c r="L1620" i="1"/>
  <c r="N1393" i="1"/>
  <c r="L2581" i="1"/>
  <c r="N665" i="1"/>
  <c r="L377" i="1"/>
  <c r="N620" i="1"/>
  <c r="L2600" i="1"/>
  <c r="N1132" i="1"/>
  <c r="X4315" i="1"/>
  <c r="L2005" i="1"/>
  <c r="N128" i="1"/>
  <c r="L31" i="1"/>
  <c r="N369" i="1"/>
  <c r="L176" i="1"/>
  <c r="N4033" i="1"/>
  <c r="L3593" i="1"/>
  <c r="N749" i="1"/>
  <c r="L1650" i="1"/>
  <c r="N911" i="1"/>
  <c r="L3272" i="1"/>
  <c r="N1019" i="1"/>
  <c r="L1680" i="1"/>
  <c r="N248" i="1"/>
  <c r="X4000" i="1"/>
  <c r="Y4020" i="1"/>
  <c r="L407" i="1"/>
  <c r="N1179" i="1"/>
  <c r="L2966" i="1"/>
  <c r="N561" i="1"/>
  <c r="L2537" i="1"/>
  <c r="N2421" i="1"/>
  <c r="L1082" i="1"/>
  <c r="N2513" i="1"/>
  <c r="L2569" i="1"/>
  <c r="N1656" i="1"/>
  <c r="L392" i="1"/>
  <c r="N2445" i="1"/>
  <c r="L1757" i="1"/>
  <c r="N3012" i="1"/>
  <c r="X4119" i="1"/>
  <c r="L33" i="1"/>
  <c r="N2485" i="1"/>
  <c r="L2716" i="1"/>
  <c r="N4223" i="1"/>
  <c r="L1991" i="1"/>
  <c r="N4327" i="1"/>
  <c r="L346" i="1"/>
  <c r="N2571" i="1"/>
  <c r="L1922" i="1"/>
  <c r="N1173" i="1"/>
  <c r="X4031" i="1"/>
  <c r="L3306" i="1"/>
  <c r="N2635" i="1"/>
  <c r="L803" i="1"/>
  <c r="N252" i="1"/>
  <c r="L4407" i="1"/>
  <c r="N2300" i="1"/>
  <c r="L4602" i="1"/>
  <c r="N524" i="1"/>
  <c r="L2069" i="1"/>
  <c r="N330" i="1"/>
  <c r="L665" i="1"/>
  <c r="N2026" i="1"/>
  <c r="X3865" i="1"/>
  <c r="L438" i="1"/>
  <c r="N1504" i="1"/>
  <c r="L2301" i="1"/>
  <c r="N3084" i="1"/>
  <c r="L796" i="1"/>
  <c r="N2035" i="1"/>
  <c r="L1046" i="1"/>
  <c r="N708" i="1"/>
  <c r="L4457" i="1"/>
  <c r="N1291" i="1"/>
  <c r="L2715" i="1"/>
  <c r="N1506" i="1"/>
  <c r="L1720" i="1"/>
  <c r="L780" i="1"/>
  <c r="N1237" i="1"/>
  <c r="L1052" i="1"/>
  <c r="N249" i="1"/>
  <c r="L1664" i="1"/>
  <c r="N923" i="1"/>
  <c r="L1609" i="1"/>
  <c r="N2979" i="1"/>
  <c r="L3701" i="1"/>
  <c r="N1879" i="1"/>
  <c r="L2168" i="1"/>
  <c r="N2802" i="1"/>
  <c r="L3470" i="1"/>
  <c r="N2675" i="1"/>
  <c r="L3665" i="1"/>
  <c r="N1461" i="1"/>
  <c r="Y4401" i="1"/>
  <c r="L207" i="1"/>
  <c r="N3327" i="1"/>
  <c r="L2242" i="1"/>
  <c r="N766" i="1"/>
  <c r="L2431" i="1"/>
  <c r="L1273" i="1"/>
  <c r="N1216" i="1"/>
  <c r="L2791" i="1"/>
  <c r="N135" i="1"/>
  <c r="L1181" i="1"/>
  <c r="N247" i="1"/>
  <c r="Y4593" i="1"/>
  <c r="L274" i="1"/>
  <c r="N1629" i="1"/>
  <c r="L1024" i="1"/>
  <c r="N3402" i="1"/>
  <c r="L376" i="1"/>
  <c r="N3718" i="1"/>
  <c r="L1382" i="1"/>
  <c r="Z4343" i="1"/>
  <c r="L2608" i="1"/>
  <c r="N389" i="1"/>
  <c r="L2090" i="1"/>
  <c r="N110" i="1"/>
  <c r="L1038" i="1"/>
  <c r="N3638" i="1"/>
  <c r="X4603" i="1"/>
  <c r="L3750" i="1"/>
  <c r="N4020" i="1"/>
  <c r="L1904" i="1"/>
  <c r="N4342" i="1"/>
  <c r="L4046" i="1"/>
  <c r="L2060" i="1"/>
  <c r="N2171" i="1"/>
  <c r="L4373" i="1"/>
  <c r="L330" i="1"/>
  <c r="N172" i="1"/>
  <c r="L2218" i="1"/>
  <c r="M4326" i="1"/>
  <c r="N3315" i="1"/>
  <c r="L2019" i="1"/>
  <c r="N3930" i="1"/>
  <c r="X4565" i="1"/>
  <c r="L1266" i="1"/>
  <c r="N3996" i="1"/>
  <c r="L1336" i="1"/>
  <c r="N237" i="1"/>
  <c r="L2532" i="1"/>
  <c r="N2768" i="1"/>
  <c r="L2649" i="1"/>
  <c r="N2108" i="1"/>
  <c r="L1279" i="1"/>
  <c r="N3634" i="1"/>
  <c r="L1029" i="1"/>
  <c r="N1468" i="1"/>
  <c r="L4164" i="1"/>
  <c r="N3892" i="1"/>
  <c r="L3730" i="1"/>
  <c r="N3289" i="1"/>
  <c r="L3372" i="1"/>
  <c r="N2863" i="1"/>
  <c r="L2969" i="1"/>
  <c r="N3539" i="1"/>
  <c r="X3920" i="1"/>
  <c r="L2768" i="1"/>
  <c r="N1071" i="1"/>
  <c r="L525" i="1"/>
  <c r="N582" i="1"/>
  <c r="L2469" i="1"/>
  <c r="N476" i="1"/>
  <c r="X4063" i="1"/>
  <c r="Y3919" i="1"/>
  <c r="L1028" i="1"/>
  <c r="L1530" i="1"/>
  <c r="M4252" i="1"/>
  <c r="N1542" i="1"/>
  <c r="L1432" i="1"/>
  <c r="N1147" i="1"/>
  <c r="L2369" i="1"/>
  <c r="L1848" i="1"/>
  <c r="M4543" i="1"/>
  <c r="N2099" i="1"/>
  <c r="Y138" i="1"/>
  <c r="L4233" i="1"/>
  <c r="Y3917" i="1"/>
  <c r="L3617" i="1"/>
  <c r="L3536" i="1"/>
  <c r="N3051" i="1"/>
  <c r="L2260" i="1"/>
  <c r="N2121" i="1"/>
  <c r="L474" i="1"/>
  <c r="N1093" i="1"/>
  <c r="L2922" i="1"/>
  <c r="N3613" i="1"/>
  <c r="L4280" i="1"/>
  <c r="N1312" i="1"/>
  <c r="L2957" i="1"/>
  <c r="N3648" i="1"/>
  <c r="L2048" i="1"/>
  <c r="M4261" i="1"/>
  <c r="L1479" i="1"/>
  <c r="X4418" i="1"/>
  <c r="L460" i="1"/>
  <c r="N1571" i="1"/>
  <c r="L2174" i="1"/>
  <c r="N2706" i="1"/>
  <c r="L408" i="1"/>
  <c r="N758" i="1"/>
  <c r="L4338" i="1"/>
  <c r="N2138" i="1"/>
  <c r="L3193" i="1"/>
  <c r="N1999" i="1"/>
  <c r="L20" i="1"/>
  <c r="N1466" i="1"/>
  <c r="X4421" i="1"/>
  <c r="L3547" i="1"/>
  <c r="N1383" i="1"/>
  <c r="L284" i="1"/>
  <c r="N2647" i="1"/>
  <c r="L3967" i="1"/>
  <c r="M4519" i="1"/>
  <c r="N1070" i="1"/>
  <c r="L2278" i="1"/>
  <c r="L932" i="1"/>
  <c r="L3987" i="1"/>
  <c r="N533" i="1"/>
  <c r="L322" i="1"/>
  <c r="N2542" i="1"/>
  <c r="L2963" i="1"/>
  <c r="L2190" i="1"/>
  <c r="N1780" i="1"/>
  <c r="L2322" i="1"/>
  <c r="N1677" i="1"/>
  <c r="L748" i="1"/>
  <c r="N3708" i="1"/>
  <c r="L3605" i="1"/>
  <c r="N2817" i="1"/>
  <c r="L3061" i="1"/>
  <c r="N1885" i="1"/>
  <c r="L1974" i="1"/>
  <c r="L1230" i="1"/>
  <c r="N1821" i="1"/>
  <c r="L1919" i="1"/>
  <c r="N3121" i="1"/>
  <c r="L2142" i="1"/>
  <c r="N1151" i="1"/>
  <c r="L333" i="1"/>
  <c r="L901" i="1"/>
  <c r="L164" i="1"/>
  <c r="N1342" i="1"/>
  <c r="L3440" i="1"/>
  <c r="N3701" i="1"/>
  <c r="L1106" i="1"/>
  <c r="N2188" i="1"/>
  <c r="L1198" i="1"/>
  <c r="L835" i="1"/>
  <c r="M4481" i="1"/>
  <c r="L4470" i="1"/>
  <c r="N4186" i="1"/>
  <c r="L2712" i="1"/>
  <c r="L3335" i="1"/>
  <c r="N2874" i="1"/>
  <c r="L2037" i="1"/>
  <c r="N2439" i="1"/>
  <c r="L243" i="1"/>
  <c r="M4603" i="1"/>
  <c r="N4368" i="1"/>
  <c r="L3198" i="1"/>
  <c r="N1871" i="1"/>
  <c r="L1836" i="1"/>
  <c r="N4157" i="1"/>
  <c r="Y4204" i="1"/>
  <c r="L2523" i="1"/>
  <c r="M4498" i="1"/>
  <c r="N4201" i="1"/>
  <c r="L205" i="1"/>
  <c r="N4481" i="1"/>
  <c r="L946" i="1"/>
  <c r="L3714" i="1"/>
  <c r="N2773" i="1"/>
  <c r="L3689" i="1"/>
  <c r="N1617" i="1"/>
  <c r="L3249" i="1"/>
  <c r="N3460" i="1"/>
  <c r="L3873" i="1"/>
  <c r="L162" i="1"/>
  <c r="N513" i="1"/>
  <c r="L1283" i="1"/>
  <c r="N1550" i="1"/>
  <c r="X4359" i="1"/>
  <c r="L4102" i="1"/>
  <c r="N180" i="1"/>
  <c r="L413" i="1"/>
  <c r="L813" i="1"/>
  <c r="N267" i="1"/>
  <c r="L3882" i="1"/>
  <c r="M4386" i="1"/>
  <c r="N2893" i="1"/>
  <c r="Y4013" i="1"/>
  <c r="L2746" i="1"/>
  <c r="N2743" i="1"/>
  <c r="X3923" i="1"/>
  <c r="L1743" i="1"/>
  <c r="N3316" i="1"/>
  <c r="L4220" i="1"/>
  <c r="L696" i="1"/>
  <c r="M4283" i="1"/>
  <c r="N3053" i="1"/>
  <c r="L446" i="1"/>
  <c r="L3326" i="1"/>
  <c r="N225" i="1"/>
  <c r="X4324" i="1"/>
  <c r="L2264" i="1"/>
  <c r="N675" i="1"/>
  <c r="L1049" i="1"/>
  <c r="N259" i="1"/>
  <c r="L4392" i="1"/>
  <c r="N2809" i="1"/>
  <c r="L4016" i="1"/>
  <c r="L497" i="1"/>
  <c r="N48" i="1"/>
  <c r="L101" i="1"/>
  <c r="N3794" i="1"/>
  <c r="L2442" i="1"/>
  <c r="N762" i="1"/>
  <c r="L1192" i="1"/>
  <c r="N146" i="1"/>
  <c r="L463" i="1"/>
  <c r="M4424" i="1"/>
  <c r="N892" i="1"/>
  <c r="L4069" i="1"/>
  <c r="M4452" i="1"/>
  <c r="L1086" i="1"/>
  <c r="L677" i="1"/>
  <c r="N1120" i="1"/>
  <c r="L1761" i="1"/>
  <c r="N2548" i="1"/>
  <c r="L1303" i="1"/>
  <c r="N3729" i="1"/>
  <c r="X4606" i="1"/>
  <c r="Y4160" i="1"/>
  <c r="L389" i="1"/>
  <c r="N4189" i="1"/>
  <c r="L1929" i="1"/>
  <c r="N3811" i="1"/>
  <c r="L1573" i="1"/>
  <c r="N2327" i="1"/>
  <c r="L2370" i="1"/>
  <c r="N941" i="1"/>
  <c r="L699" i="1"/>
  <c r="N4257" i="1"/>
  <c r="L2300" i="1"/>
  <c r="M4459" i="1"/>
  <c r="N3519" i="1"/>
  <c r="X4049" i="1"/>
  <c r="Z4331" i="1"/>
  <c r="L3795" i="1"/>
  <c r="N725" i="1"/>
  <c r="L4585" i="1"/>
  <c r="N3474" i="1"/>
  <c r="X4578" i="1"/>
  <c r="L3951" i="1"/>
  <c r="N1652" i="1"/>
  <c r="L2499" i="1"/>
  <c r="N3314" i="1"/>
  <c r="L361" i="1"/>
  <c r="N3972" i="1"/>
  <c r="L1901" i="1"/>
  <c r="L2659" i="1"/>
  <c r="N2262" i="1"/>
  <c r="X3999" i="1"/>
  <c r="L1695" i="1"/>
  <c r="L1286" i="1"/>
  <c r="N327" i="1"/>
  <c r="Y3899" i="1"/>
  <c r="L3216" i="1"/>
  <c r="N2191" i="1"/>
  <c r="L1936" i="1"/>
  <c r="N3095" i="1"/>
  <c r="L4043" i="1"/>
  <c r="N2166" i="1"/>
  <c r="L1101" i="1"/>
  <c r="N167" i="1"/>
  <c r="L862" i="1"/>
  <c r="N631" i="1"/>
  <c r="L3852" i="1"/>
  <c r="N2540" i="1"/>
  <c r="L3077" i="1"/>
  <c r="N1812" i="1"/>
  <c r="L468" i="1"/>
  <c r="N2629" i="1"/>
  <c r="L46" i="1"/>
  <c r="N435" i="1"/>
  <c r="L2392" i="1"/>
  <c r="L4191" i="1"/>
  <c r="N1634" i="1"/>
  <c r="L1802" i="1"/>
  <c r="N2077" i="1"/>
  <c r="L200" i="1"/>
  <c r="N4364" i="1"/>
  <c r="L2742" i="1"/>
  <c r="N4353" i="1"/>
  <c r="X4460" i="1"/>
  <c r="Y4120" i="1"/>
  <c r="L2577" i="1"/>
  <c r="L1436" i="1"/>
  <c r="M4254" i="1"/>
  <c r="N1511" i="1"/>
  <c r="Y4318" i="1"/>
  <c r="L3489" i="1"/>
  <c r="N3166" i="1"/>
  <c r="L2485" i="1"/>
  <c r="L4480" i="1"/>
  <c r="N3997" i="1"/>
  <c r="L2494" i="1"/>
  <c r="N3195" i="1"/>
  <c r="Y4485" i="1"/>
  <c r="L649" i="1"/>
  <c r="L4205" i="1"/>
  <c r="L1615" i="1"/>
  <c r="N299" i="1"/>
  <c r="L1452" i="1"/>
  <c r="L2347" i="1"/>
  <c r="N3462" i="1"/>
  <c r="Y4452" i="1"/>
  <c r="L2866" i="1"/>
  <c r="N400" i="1"/>
  <c r="L3024" i="1"/>
  <c r="N158" i="1"/>
  <c r="L1637" i="1"/>
  <c r="N2438" i="1"/>
  <c r="L3661" i="1"/>
  <c r="N2385" i="1"/>
  <c r="Y3891" i="1"/>
  <c r="L2656" i="1"/>
  <c r="N4107" i="1"/>
  <c r="L3639" i="1"/>
  <c r="N4185" i="1"/>
  <c r="L3995" i="1"/>
  <c r="M4546" i="1"/>
  <c r="N1537" i="1"/>
  <c r="L3753" i="1"/>
  <c r="N4195" i="1"/>
  <c r="Y4168" i="1"/>
  <c r="L1924" i="1"/>
  <c r="L2455" i="1"/>
  <c r="N3695" i="1"/>
  <c r="L917" i="1"/>
  <c r="N1515" i="1"/>
  <c r="L1803" i="1"/>
  <c r="N2857" i="1"/>
  <c r="X4534" i="1"/>
  <c r="Y4255" i="1"/>
  <c r="L3475" i="1"/>
  <c r="L1373" i="1"/>
  <c r="N2691" i="1"/>
  <c r="L4281" i="1"/>
  <c r="N2100" i="1"/>
  <c r="L380" i="1"/>
  <c r="N1733" i="1"/>
  <c r="Y4492" i="1"/>
  <c r="L1061" i="1"/>
  <c r="N239" i="1"/>
  <c r="Y4470" i="1"/>
  <c r="L1010" i="1"/>
  <c r="N2951" i="1"/>
  <c r="L600" i="1"/>
  <c r="N1974" i="1"/>
  <c r="L2109" i="1"/>
  <c r="N481" i="1"/>
  <c r="L2439" i="1"/>
  <c r="N3431" i="1"/>
  <c r="L4117" i="1"/>
  <c r="N1130" i="1"/>
  <c r="X4188" i="1"/>
  <c r="L114" i="1"/>
  <c r="N1980" i="1"/>
  <c r="L2566" i="1"/>
  <c r="N629" i="1"/>
  <c r="Y4361" i="1"/>
  <c r="L1360" i="1"/>
  <c r="N4609" i="1"/>
  <c r="L618" i="1"/>
  <c r="N1626" i="1"/>
  <c r="Y3924" i="1"/>
  <c r="L45" i="1"/>
  <c r="N1721" i="1"/>
  <c r="Y4514" i="1"/>
  <c r="L2555" i="1"/>
  <c r="N47" i="1"/>
  <c r="L329" i="1"/>
  <c r="N411" i="1"/>
  <c r="X4369" i="1"/>
  <c r="L2486" i="1"/>
  <c r="M4392" i="1"/>
  <c r="N2585" i="1"/>
  <c r="L3190" i="1"/>
  <c r="M4279" i="1"/>
  <c r="N33" i="1"/>
  <c r="X4116" i="1"/>
  <c r="L3785" i="1"/>
  <c r="N972" i="1"/>
  <c r="Y4240" i="1"/>
  <c r="L719" i="1"/>
  <c r="N3229" i="1"/>
  <c r="Y4111" i="1"/>
  <c r="L36" i="1"/>
  <c r="L967" i="1"/>
  <c r="N3277" i="1"/>
  <c r="X4299" i="1"/>
  <c r="L2383" i="1"/>
  <c r="M4260" i="1"/>
  <c r="X4416" i="1"/>
  <c r="Y4497" i="1"/>
  <c r="L2324" i="1"/>
  <c r="N3968" i="1"/>
  <c r="L2798" i="1"/>
  <c r="L316" i="1"/>
  <c r="M4616" i="1"/>
  <c r="N1878" i="1"/>
  <c r="X4349" i="1"/>
  <c r="Y4184" i="1"/>
  <c r="L3491" i="1"/>
  <c r="N1865" i="1"/>
  <c r="X4331" i="1"/>
  <c r="L4064" i="1"/>
  <c r="N4557" i="1"/>
  <c r="X3882" i="1"/>
  <c r="L2701" i="1"/>
  <c r="N1354" i="1"/>
  <c r="X4449" i="1"/>
  <c r="L1895" i="1"/>
  <c r="N4357" i="1"/>
  <c r="L2323" i="1"/>
  <c r="N457" i="1"/>
  <c r="L1113" i="1"/>
  <c r="N2701" i="1"/>
  <c r="X3995" i="1"/>
  <c r="L1361" i="1"/>
  <c r="N245" i="1"/>
  <c r="L643" i="1"/>
  <c r="X4088" i="1"/>
  <c r="L531" i="1"/>
  <c r="N4445" i="1"/>
  <c r="X3848" i="1"/>
  <c r="L2318" i="1"/>
  <c r="X4618" i="1"/>
  <c r="L4282" i="1"/>
  <c r="N1969" i="1"/>
  <c r="L1944" i="1"/>
  <c r="N1756" i="1"/>
  <c r="L691" i="1"/>
  <c r="N3572" i="1"/>
  <c r="L2942" i="1"/>
  <c r="N1844" i="1"/>
  <c r="L3740" i="1"/>
  <c r="N2627" i="1"/>
  <c r="L2934" i="1"/>
  <c r="N2776" i="1"/>
  <c r="X4294" i="1"/>
  <c r="L3096" i="1"/>
  <c r="N2011" i="1"/>
  <c r="L2127" i="1"/>
  <c r="L882" i="1"/>
  <c r="N4397" i="1"/>
  <c r="L535" i="1"/>
  <c r="N2645" i="1"/>
  <c r="L3000" i="1"/>
  <c r="N1870" i="1"/>
  <c r="L2808" i="1"/>
  <c r="N366" i="1"/>
  <c r="L1986" i="1"/>
  <c r="M4520" i="1"/>
  <c r="N1168" i="1"/>
  <c r="L1960" i="1"/>
  <c r="M4364" i="1"/>
  <c r="N3178" i="1"/>
  <c r="L4086" i="1"/>
  <c r="X4483" i="1"/>
  <c r="L190" i="1"/>
  <c r="N1451" i="1"/>
  <c r="L1013" i="1"/>
  <c r="N194" i="1"/>
  <c r="L1819" i="1"/>
  <c r="N2658" i="1"/>
  <c r="L3861" i="1"/>
  <c r="N3021" i="1"/>
  <c r="L39" i="1"/>
  <c r="N4125" i="1"/>
  <c r="L3969" i="1"/>
  <c r="N173" i="1"/>
  <c r="L4" i="1"/>
  <c r="L2531" i="1"/>
  <c r="N2464" i="1"/>
  <c r="L4237" i="1"/>
  <c r="L3911" i="1"/>
  <c r="N1713" i="1"/>
  <c r="L4186" i="1"/>
  <c r="M4371" i="1"/>
  <c r="Y4177" i="1"/>
  <c r="L2905" i="1"/>
  <c r="N2303" i="1"/>
  <c r="L35" i="1"/>
  <c r="L186" i="1"/>
  <c r="N2844" i="1"/>
  <c r="L1625" i="1"/>
  <c r="N2902" i="1"/>
  <c r="L2319" i="1"/>
  <c r="N1822" i="1"/>
  <c r="X3929" i="1"/>
  <c r="L1589" i="1"/>
  <c r="N3358" i="1"/>
  <c r="X4247" i="1"/>
  <c r="L2365" i="1"/>
  <c r="N226" i="1"/>
  <c r="X4489" i="1"/>
  <c r="L4513" i="1"/>
  <c r="X4325" i="1"/>
  <c r="Y4016" i="1"/>
  <c r="L3434" i="1"/>
  <c r="N4284" i="1"/>
  <c r="L2287" i="1"/>
  <c r="N1011" i="1"/>
  <c r="L3979" i="1"/>
  <c r="N1738" i="1"/>
  <c r="X4552" i="1"/>
  <c r="L1518" i="1"/>
  <c r="N1805" i="1"/>
  <c r="L4372" i="1"/>
  <c r="X4143" i="1"/>
  <c r="L994" i="1"/>
  <c r="N4479" i="1"/>
  <c r="L1152" i="1"/>
  <c r="N1508" i="1"/>
  <c r="L59" i="1"/>
  <c r="L3997" i="1"/>
  <c r="N211" i="1"/>
  <c r="L2020" i="1"/>
  <c r="N2867" i="1"/>
  <c r="L1189" i="1"/>
  <c r="N2454" i="1"/>
  <c r="X4056" i="1"/>
  <c r="L2014" i="1"/>
  <c r="N3037" i="1"/>
  <c r="L4365" i="1"/>
  <c r="L629" i="1"/>
  <c r="N2574" i="1"/>
  <c r="X4050" i="1"/>
  <c r="L4227" i="1"/>
  <c r="N2881" i="1"/>
  <c r="Y4585" i="1"/>
  <c r="L3278" i="1"/>
  <c r="M4338" i="1"/>
  <c r="N1748" i="1"/>
  <c r="L3364" i="1"/>
  <c r="N2500" i="1"/>
  <c r="L2199" i="1"/>
  <c r="N51" i="1"/>
  <c r="X4301" i="1"/>
  <c r="L3322" i="1"/>
  <c r="N361" i="1"/>
  <c r="L4434" i="1"/>
  <c r="N2563" i="1"/>
  <c r="L867" i="1"/>
  <c r="L2833" i="1"/>
  <c r="N719" i="1"/>
  <c r="L1224" i="1"/>
  <c r="M4263" i="1"/>
  <c r="N4495" i="1"/>
  <c r="Y4142" i="1"/>
  <c r="L547" i="1"/>
  <c r="N2499" i="1"/>
  <c r="Y4556" i="1"/>
  <c r="Z4555" i="1"/>
  <c r="L624" i="1"/>
  <c r="N106" i="1"/>
  <c r="X4066" i="1"/>
  <c r="L1077" i="1"/>
  <c r="N3538" i="1"/>
  <c r="L30" i="1"/>
  <c r="L250" i="1"/>
  <c r="N2176" i="1"/>
  <c r="L4081" i="1"/>
  <c r="M4356" i="1"/>
  <c r="N1334" i="1"/>
  <c r="Y4085" i="1"/>
  <c r="L3498" i="1"/>
  <c r="Y4084" i="1"/>
  <c r="L2342" i="1"/>
  <c r="L3042" i="1"/>
  <c r="X4499" i="1"/>
  <c r="L1921" i="1"/>
  <c r="N4212" i="1"/>
  <c r="X3983" i="1"/>
  <c r="L1258" i="1"/>
  <c r="N2049" i="1"/>
  <c r="L3929" i="1"/>
  <c r="N2906" i="1"/>
  <c r="L1415" i="1"/>
  <c r="N796" i="1"/>
  <c r="L4588" i="1"/>
  <c r="N2083" i="1"/>
  <c r="L1311" i="1"/>
  <c r="N2048" i="1"/>
  <c r="L2852" i="1"/>
  <c r="N4062" i="1"/>
  <c r="X4411" i="1"/>
  <c r="L3760" i="1"/>
  <c r="L3349" i="1"/>
  <c r="L2862" i="1"/>
  <c r="N1797" i="1"/>
  <c r="L1993" i="1"/>
  <c r="L440" i="1"/>
  <c r="N2536" i="1"/>
  <c r="L2271" i="1"/>
  <c r="N104" i="1"/>
  <c r="X54" i="1"/>
  <c r="L1979" i="1"/>
  <c r="M4342" i="1"/>
  <c r="N3176" i="1"/>
  <c r="L2644" i="1"/>
  <c r="N3167" i="1"/>
  <c r="L4111" i="1"/>
  <c r="N1686" i="1"/>
  <c r="L4130" i="1"/>
  <c r="N214" i="1"/>
  <c r="L3930" i="1"/>
  <c r="N2530" i="1"/>
  <c r="L1595" i="1"/>
  <c r="N3181" i="1"/>
  <c r="L4478" i="1"/>
  <c r="L1702" i="1"/>
  <c r="N3761" i="1"/>
  <c r="L4297" i="1"/>
  <c r="L1782" i="1"/>
  <c r="N3798" i="1"/>
  <c r="X4285" i="1"/>
  <c r="L58" i="1"/>
  <c r="N2292" i="1"/>
  <c r="Y3848" i="1"/>
  <c r="L4461" i="1"/>
  <c r="N3732" i="1"/>
  <c r="L4027" i="1"/>
  <c r="N1219" i="1"/>
  <c r="L4493" i="1"/>
  <c r="L4151" i="1"/>
  <c r="N1819" i="1"/>
  <c r="X4277" i="1"/>
  <c r="Y4172" i="1"/>
  <c r="L2888" i="1"/>
  <c r="N3306" i="1"/>
  <c r="Y4381" i="1"/>
  <c r="L3612" i="1"/>
  <c r="N3876" i="1"/>
  <c r="Y4227" i="1"/>
  <c r="L2207" i="1"/>
  <c r="M4580" i="1"/>
  <c r="N3736" i="1"/>
  <c r="L1814" i="1"/>
  <c r="N153" i="1"/>
  <c r="L1316" i="1"/>
  <c r="M4562" i="1"/>
  <c r="N3271" i="1"/>
  <c r="L775" i="1"/>
  <c r="N1208" i="1"/>
  <c r="Y4458" i="1"/>
  <c r="L3228" i="1"/>
  <c r="N3489" i="1"/>
  <c r="Y4102" i="1"/>
  <c r="L4156" i="1"/>
  <c r="N3943" i="1"/>
  <c r="X4540" i="1"/>
  <c r="L891" i="1"/>
  <c r="M4564" i="1"/>
  <c r="N695" i="1"/>
  <c r="Y4547" i="1"/>
  <c r="L3383" i="1"/>
  <c r="N179" i="1"/>
  <c r="X4272" i="1"/>
  <c r="L1881" i="1"/>
  <c r="M4251" i="1"/>
  <c r="N2892" i="1"/>
  <c r="Y3862" i="1"/>
  <c r="L4197" i="1"/>
  <c r="M4572" i="1"/>
  <c r="N2286" i="1"/>
  <c r="Y3957" i="1"/>
  <c r="L3312" i="1"/>
  <c r="N718" i="1"/>
  <c r="X4512" i="1"/>
  <c r="L2316" i="1"/>
  <c r="M4475" i="1"/>
  <c r="N1968" i="1"/>
  <c r="L553" i="1"/>
  <c r="N433" i="1"/>
  <c r="Y4457" i="1"/>
  <c r="L441" i="1"/>
  <c r="N52" i="1"/>
  <c r="Y3853" i="1"/>
  <c r="L838" i="1"/>
  <c r="N1875" i="1"/>
  <c r="L2760" i="1"/>
  <c r="N1783" i="1"/>
  <c r="L4259" i="1"/>
  <c r="N2015" i="1"/>
  <c r="Y4007" i="1"/>
  <c r="L745" i="1"/>
  <c r="N3691" i="1"/>
  <c r="Y4236" i="1"/>
  <c r="L1765" i="1"/>
  <c r="N3685" i="1"/>
  <c r="X4537" i="1"/>
  <c r="L969" i="1"/>
  <c r="N2504" i="1"/>
  <c r="Y4407" i="1"/>
  <c r="L3374" i="1"/>
  <c r="N3328" i="1"/>
  <c r="Y4209" i="1"/>
  <c r="L671" i="1"/>
  <c r="N2740" i="1"/>
  <c r="X4036" i="1"/>
  <c r="L4140" i="1"/>
  <c r="N1723" i="1"/>
  <c r="X4135" i="1"/>
  <c r="L1887" i="1"/>
  <c r="N3069" i="1"/>
  <c r="Y4352" i="1"/>
  <c r="L1325" i="1"/>
  <c r="M4322" i="1"/>
  <c r="N3011" i="1"/>
  <c r="X4121" i="1"/>
  <c r="L2338" i="1"/>
  <c r="N4528" i="1"/>
  <c r="Y4133" i="1"/>
  <c r="L4533" i="1"/>
  <c r="N3264" i="1"/>
  <c r="Y4046" i="1"/>
  <c r="L2670" i="1"/>
  <c r="M4499" i="1"/>
  <c r="N671" i="1"/>
  <c r="L3391" i="1"/>
  <c r="N795" i="1"/>
  <c r="L4584" i="1"/>
  <c r="N3140" i="1"/>
  <c r="X3899" i="1"/>
  <c r="L1827" i="1"/>
  <c r="Y199" i="1"/>
  <c r="L3934" i="1"/>
  <c r="M4412" i="1"/>
  <c r="Y4036" i="1"/>
  <c r="L1703" i="1"/>
  <c r="N4308" i="1"/>
  <c r="Y3912" i="1"/>
  <c r="L968" i="1"/>
  <c r="N2085" i="1"/>
  <c r="Y4599" i="1"/>
  <c r="L545" i="1"/>
  <c r="N3486" i="1"/>
  <c r="Y4451" i="1"/>
  <c r="L2307" i="1"/>
  <c r="M4432" i="1"/>
  <c r="N7" i="1"/>
  <c r="Y4244" i="1"/>
  <c r="L844" i="1"/>
  <c r="M4579" i="1"/>
  <c r="X4348" i="1"/>
  <c r="L1426" i="1"/>
  <c r="N1869" i="1"/>
  <c r="Y3995" i="1"/>
  <c r="L1687" i="1"/>
  <c r="Y4590" i="1"/>
  <c r="L3090" i="1"/>
  <c r="N4256" i="1"/>
  <c r="L4017" i="1"/>
  <c r="N1230" i="1"/>
  <c r="L4333" i="1"/>
  <c r="N4404" i="1"/>
  <c r="Y4516" i="1"/>
  <c r="L3448" i="1"/>
  <c r="N219" i="1"/>
  <c r="Y4009" i="1"/>
  <c r="L2445" i="1"/>
  <c r="M4394" i="1"/>
  <c r="N4366" i="1"/>
  <c r="L2625" i="1"/>
  <c r="N490" i="1"/>
  <c r="X4583" i="1"/>
  <c r="L1591" i="1"/>
  <c r="N156" i="1"/>
  <c r="L4062" i="1"/>
  <c r="N3562" i="1"/>
  <c r="L2753" i="1"/>
  <c r="N384" i="1"/>
  <c r="L1897" i="1"/>
  <c r="N684" i="1"/>
  <c r="X4582" i="1"/>
  <c r="L1776" i="1"/>
  <c r="N1754" i="1"/>
  <c r="X4472" i="1"/>
  <c r="L3732" i="1"/>
  <c r="N1924" i="1"/>
  <c r="L3129" i="1"/>
  <c r="N4165" i="1"/>
  <c r="L4100" i="1"/>
  <c r="N453" i="1"/>
  <c r="X3969" i="1"/>
  <c r="Y4145" i="1"/>
  <c r="L1964" i="1"/>
  <c r="X3981" i="1"/>
  <c r="L3250" i="1"/>
  <c r="L4343" i="1"/>
  <c r="N906" i="1"/>
  <c r="X3974" i="1"/>
  <c r="L4459" i="1"/>
  <c r="N165" i="1"/>
  <c r="X4134" i="1"/>
  <c r="Y4251" i="1"/>
  <c r="L1934" i="1"/>
  <c r="M4597" i="1"/>
  <c r="N3882" i="1"/>
  <c r="X3901" i="1"/>
  <c r="L2487" i="1"/>
  <c r="N3932" i="1"/>
  <c r="X4530" i="1"/>
  <c r="L1783" i="1"/>
  <c r="M4397" i="1"/>
  <c r="N1615" i="1"/>
  <c r="L1229" i="1"/>
  <c r="N4210" i="1"/>
  <c r="Y3979" i="1"/>
  <c r="L3797" i="1"/>
  <c r="M4234" i="1"/>
  <c r="L1611" i="1"/>
  <c r="M4592" i="1"/>
  <c r="L698" i="1"/>
  <c r="N403" i="1"/>
  <c r="L1558" i="1"/>
  <c r="L4542" i="1"/>
  <c r="N2727" i="1"/>
  <c r="L2422" i="1"/>
  <c r="X4352" i="1"/>
  <c r="L3347" i="1"/>
  <c r="N1839" i="1"/>
  <c r="L2805" i="1"/>
  <c r="N1707" i="1"/>
  <c r="L447" i="1"/>
  <c r="N1267" i="1"/>
  <c r="X4551" i="1"/>
  <c r="L4124" i="1"/>
  <c r="L1072" i="1"/>
  <c r="N1248" i="1"/>
  <c r="L3281" i="1"/>
  <c r="N963" i="1"/>
  <c r="L3748" i="1"/>
  <c r="L3086" i="1"/>
  <c r="L724" i="1"/>
  <c r="N4577" i="1"/>
  <c r="L3045" i="1"/>
  <c r="N2374" i="1"/>
  <c r="L1001" i="1"/>
  <c r="N1365" i="1"/>
  <c r="L4314" i="1"/>
  <c r="N3413" i="1"/>
  <c r="L1385" i="1"/>
  <c r="N1380" i="1"/>
  <c r="L2560" i="1"/>
  <c r="L3002" i="1"/>
  <c r="N2824" i="1"/>
  <c r="L794" i="1"/>
  <c r="N860" i="1"/>
  <c r="L1613" i="1"/>
  <c r="N3867" i="1"/>
  <c r="L2743" i="1"/>
  <c r="L586" i="1"/>
  <c r="N4119" i="1"/>
  <c r="L257" i="1"/>
  <c r="N3750" i="1"/>
  <c r="Y4571" i="1"/>
  <c r="L3215" i="1"/>
  <c r="N1981" i="1"/>
  <c r="Y4506" i="1"/>
  <c r="L1460" i="1"/>
  <c r="N3411" i="1"/>
  <c r="L2438" i="1"/>
  <c r="N3353" i="1"/>
  <c r="L3906" i="1"/>
  <c r="N2199" i="1"/>
  <c r="Y3892" i="1"/>
  <c r="L4385" i="1"/>
  <c r="N3165" i="1"/>
  <c r="Y4226" i="1"/>
  <c r="L1837" i="1"/>
  <c r="N2912" i="1"/>
  <c r="X4084" i="1"/>
  <c r="L997" i="1"/>
  <c r="L2528" i="1"/>
  <c r="M4571" i="1"/>
  <c r="N4339" i="1"/>
  <c r="Y4488" i="1"/>
  <c r="L1069" i="1"/>
  <c r="N2744" i="1"/>
  <c r="L723" i="1"/>
  <c r="N2281" i="1"/>
  <c r="L4468" i="1"/>
  <c r="N3047" i="1"/>
  <c r="L859" i="1"/>
  <c r="N1400" i="1"/>
  <c r="X4419" i="1"/>
  <c r="L314" i="1"/>
  <c r="N2488" i="1"/>
  <c r="L4398" i="1"/>
  <c r="N1960" i="1"/>
  <c r="L507" i="1"/>
  <c r="N1289" i="1"/>
  <c r="L3761" i="1"/>
  <c r="N4312" i="1"/>
  <c r="X4601" i="1"/>
  <c r="L1083" i="1"/>
  <c r="L410" i="1"/>
  <c r="N2996" i="1"/>
  <c r="L42" i="1"/>
  <c r="N3025" i="1"/>
  <c r="L3888" i="1"/>
  <c r="N3439" i="1"/>
  <c r="L1978" i="1"/>
  <c r="N803" i="1"/>
  <c r="L3868" i="1"/>
  <c r="L183" i="1"/>
  <c r="N1359" i="1"/>
  <c r="L2000" i="1"/>
  <c r="N4179" i="1"/>
  <c r="L3295" i="1"/>
  <c r="N1372" i="1"/>
  <c r="X4020" i="1"/>
  <c r="L495" i="1"/>
  <c r="N3544" i="1"/>
  <c r="L1466" i="1"/>
  <c r="L2839" i="1"/>
  <c r="N4318" i="1"/>
  <c r="L2357" i="1"/>
  <c r="L4171" i="1"/>
  <c r="N3517" i="1"/>
  <c r="L4196" i="1"/>
  <c r="L3481" i="1"/>
  <c r="N3927" i="1"/>
  <c r="L3899" i="1"/>
  <c r="L3401" i="1"/>
  <c r="N1975" i="1"/>
  <c r="L320" i="1"/>
  <c r="N2459" i="1"/>
  <c r="L4378" i="1"/>
  <c r="N2328" i="1"/>
  <c r="L1352" i="1"/>
  <c r="N2941" i="1"/>
  <c r="L1081" i="1"/>
  <c r="N2237" i="1"/>
  <c r="L3293" i="1"/>
  <c r="N2455" i="1"/>
  <c r="L353" i="1"/>
  <c r="L273" i="1"/>
  <c r="N755" i="1"/>
  <c r="L4516" i="1"/>
  <c r="N2322" i="1"/>
  <c r="L3308" i="1"/>
  <c r="M4325" i="1"/>
  <c r="L3698" i="1"/>
  <c r="N634" i="1"/>
  <c r="L462" i="1"/>
  <c r="N3900" i="1"/>
  <c r="L1856" i="1"/>
  <c r="N37" i="1"/>
  <c r="L4319" i="1"/>
  <c r="L2471" i="1"/>
  <c r="N3378" i="1"/>
  <c r="L169" i="1"/>
  <c r="N121" i="1"/>
  <c r="L393" i="1"/>
  <c r="N4551" i="1"/>
  <c r="L2085" i="1"/>
  <c r="N301" i="1"/>
  <c r="L4517" i="1"/>
  <c r="N3595" i="1"/>
  <c r="L490" i="1"/>
  <c r="N3005" i="1"/>
  <c r="L2185" i="1"/>
  <c r="N1761" i="1"/>
  <c r="X3862" i="1"/>
  <c r="L3011" i="1"/>
  <c r="N4054" i="1"/>
  <c r="L2657" i="1"/>
  <c r="L3432" i="1"/>
  <c r="L3143" i="1"/>
  <c r="N1824" i="1"/>
  <c r="L365" i="1"/>
  <c r="N1018" i="1"/>
  <c r="L817" i="1"/>
  <c r="N1280" i="1"/>
  <c r="L2208" i="1"/>
  <c r="X4316" i="1"/>
  <c r="L2628" i="1"/>
  <c r="N1129" i="1"/>
  <c r="L3394" i="1"/>
  <c r="X4412" i="1"/>
  <c r="L2689" i="1"/>
  <c r="N2362" i="1"/>
  <c r="X4275" i="1"/>
  <c r="L598" i="1"/>
  <c r="N3650" i="1"/>
  <c r="L3802" i="1"/>
  <c r="L242" i="1"/>
  <c r="N4158" i="1"/>
  <c r="L2928" i="1"/>
  <c r="N1884" i="1"/>
  <c r="L1459" i="1"/>
  <c r="N846" i="1"/>
  <c r="L3392" i="1"/>
  <c r="N4190" i="1"/>
  <c r="L3405" i="1"/>
  <c r="N512" i="1"/>
  <c r="X4384" i="1"/>
  <c r="L2901" i="1"/>
  <c r="N2632" i="1"/>
  <c r="L2919" i="1"/>
  <c r="N4279" i="1"/>
  <c r="L3033" i="1"/>
  <c r="N4260" i="1"/>
  <c r="L370" i="1"/>
  <c r="N2462" i="1"/>
  <c r="L1005" i="1"/>
  <c r="N3262" i="1"/>
  <c r="L1804" i="1"/>
  <c r="N3814" i="1"/>
  <c r="L1130" i="1"/>
  <c r="N2246" i="1"/>
  <c r="L3620" i="1"/>
  <c r="N1948" i="1"/>
  <c r="L1234" i="1"/>
  <c r="N1655" i="1"/>
  <c r="L4550" i="1"/>
  <c r="N2929" i="1"/>
  <c r="L3915" i="1"/>
  <c r="N2489" i="1"/>
  <c r="X4211" i="1"/>
  <c r="L2851" i="1"/>
  <c r="N3179" i="1"/>
  <c r="L1889" i="1"/>
  <c r="N2654" i="1"/>
  <c r="L2130" i="1"/>
  <c r="N720" i="1"/>
  <c r="L2820" i="1"/>
  <c r="L4348" i="1"/>
  <c r="N2721" i="1"/>
  <c r="L91" i="1"/>
  <c r="N4156" i="1"/>
  <c r="L768" i="1"/>
  <c r="N3227" i="1"/>
  <c r="L1418" i="1"/>
  <c r="L147" i="1"/>
  <c r="N4098" i="1"/>
  <c r="L2796" i="1"/>
  <c r="N3575" i="1"/>
  <c r="L3302" i="1"/>
  <c r="N3746" i="1"/>
  <c r="L2230" i="1"/>
  <c r="N1328" i="1"/>
  <c r="L3151" i="1"/>
  <c r="N4504" i="1"/>
  <c r="L1572" i="1"/>
  <c r="N210" i="1"/>
  <c r="L3697" i="1"/>
  <c r="N2565" i="1"/>
  <c r="L292" i="1"/>
  <c r="N3028" i="1"/>
  <c r="L1403" i="1"/>
  <c r="N1107" i="1"/>
  <c r="L1326" i="1"/>
  <c r="L1965" i="1"/>
  <c r="N1758" i="1"/>
  <c r="L1491" i="1"/>
  <c r="N255" i="1"/>
  <c r="L264" i="1"/>
  <c r="N716" i="1"/>
  <c r="L1774" i="1"/>
  <c r="N1608" i="1"/>
  <c r="L756" i="1"/>
  <c r="X4157" i="1"/>
  <c r="L2719" i="1"/>
  <c r="N3721" i="1"/>
  <c r="L876" i="1"/>
  <c r="N768" i="1"/>
  <c r="L4369" i="1"/>
  <c r="N2339" i="1"/>
  <c r="L2276" i="1"/>
  <c r="N3177" i="1"/>
  <c r="L3118" i="1"/>
  <c r="N1470" i="1"/>
  <c r="L3269" i="1"/>
  <c r="N3175" i="1"/>
  <c r="L2952" i="1"/>
  <c r="M4436" i="1"/>
  <c r="N611" i="1"/>
  <c r="L3196" i="1"/>
  <c r="N3925" i="1"/>
  <c r="L3248" i="1"/>
  <c r="N862" i="1"/>
  <c r="L1391" i="1"/>
  <c r="N2771" i="1"/>
  <c r="X3857" i="1"/>
  <c r="L589" i="1"/>
  <c r="N1091" i="1"/>
  <c r="L219" i="1"/>
  <c r="M4270" i="1"/>
  <c r="N159" i="1"/>
  <c r="L3493" i="1"/>
  <c r="N273" i="1"/>
  <c r="L1308" i="1"/>
  <c r="N236" i="1"/>
  <c r="L1210" i="1"/>
  <c r="N2688" i="1"/>
  <c r="L4194" i="1"/>
  <c r="L701" i="1"/>
  <c r="N848" i="1"/>
  <c r="X4517" i="1"/>
  <c r="L1167" i="1"/>
  <c r="L1018" i="1"/>
  <c r="N3443" i="1"/>
  <c r="L1236" i="1"/>
  <c r="N4350" i="1"/>
  <c r="L2548" i="1"/>
  <c r="N4129" i="1"/>
  <c r="L2376" i="1"/>
  <c r="L287" i="1"/>
  <c r="N2974" i="1"/>
  <c r="L374" i="1"/>
  <c r="N1118" i="1"/>
  <c r="L1450" i="1"/>
  <c r="L1684" i="1"/>
  <c r="N2814" i="1"/>
  <c r="L4223" i="1"/>
  <c r="N4048" i="1"/>
  <c r="L765" i="1"/>
  <c r="N1718" i="1"/>
  <c r="L2132" i="1"/>
  <c r="Y3986" i="1"/>
  <c r="L3956" i="1"/>
  <c r="N1735" i="1"/>
  <c r="L1956" i="1"/>
  <c r="N2994" i="1"/>
  <c r="L2137" i="1"/>
  <c r="N141" i="1"/>
  <c r="L3715" i="1"/>
  <c r="N2153" i="1"/>
  <c r="L1035" i="1"/>
  <c r="N1138" i="1"/>
  <c r="L146" i="1"/>
  <c r="N1368" i="1"/>
  <c r="L1369" i="1"/>
  <c r="N3270" i="1"/>
  <c r="L1027" i="1"/>
  <c r="N3206" i="1"/>
  <c r="L1614" i="1"/>
  <c r="N3007" i="1"/>
  <c r="L137" i="1"/>
  <c r="N1543" i="1"/>
  <c r="L3582" i="1"/>
  <c r="N628" i="1"/>
  <c r="L1616" i="1"/>
  <c r="L4163" i="1"/>
  <c r="L2729" i="1"/>
  <c r="N1564" i="1"/>
  <c r="X4415" i="1"/>
  <c r="L2215" i="1"/>
  <c r="N3743" i="1"/>
  <c r="L3141" i="1"/>
  <c r="N2097" i="1"/>
  <c r="L4210" i="1"/>
  <c r="L3390" i="1"/>
  <c r="M4345" i="1"/>
  <c r="L448" i="1"/>
  <c r="N4155" i="1"/>
  <c r="L4178" i="1"/>
  <c r="N4051" i="1"/>
  <c r="L4240" i="1"/>
  <c r="N3199" i="1"/>
  <c r="L2809" i="1"/>
  <c r="N268" i="1"/>
  <c r="L3558" i="1"/>
  <c r="N967" i="1"/>
  <c r="L4118" i="1"/>
  <c r="N1360" i="1"/>
  <c r="L880" i="1"/>
  <c r="N2165" i="1"/>
  <c r="Y4397" i="1"/>
  <c r="L3975" i="1"/>
  <c r="N3083" i="1"/>
  <c r="X4305" i="1"/>
  <c r="L1233" i="1"/>
  <c r="N1818" i="1"/>
  <c r="L3681" i="1"/>
  <c r="N2081" i="1"/>
  <c r="Y4193" i="1"/>
  <c r="L4402" i="1"/>
  <c r="L2337" i="1"/>
  <c r="N3194" i="1"/>
  <c r="L3541" i="1"/>
  <c r="N2458" i="1"/>
  <c r="L4172" i="1"/>
  <c r="M4363" i="1"/>
  <c r="Y4278" i="1"/>
  <c r="L485" i="1"/>
  <c r="N2685" i="1"/>
  <c r="Y4274" i="1"/>
  <c r="L2685" i="1"/>
  <c r="N335" i="1"/>
  <c r="L1289" i="1"/>
  <c r="L4120" i="1"/>
  <c r="N592" i="1"/>
  <c r="L2343" i="1"/>
  <c r="N3343" i="1"/>
  <c r="L3923" i="1"/>
  <c r="N955" i="1"/>
  <c r="L3417" i="1"/>
  <c r="N2729" i="1"/>
  <c r="L1688" i="1"/>
  <c r="N2394" i="1"/>
  <c r="L3770" i="1"/>
  <c r="N802" i="1"/>
  <c r="L1858" i="1"/>
  <c r="N3698" i="1"/>
  <c r="L2584" i="1"/>
  <c r="N20" i="1"/>
  <c r="L1274" i="1"/>
  <c r="N3238" i="1"/>
  <c r="L4299" i="1"/>
  <c r="N577" i="1"/>
  <c r="L3304" i="1"/>
  <c r="L2674" i="1"/>
  <c r="N2033" i="1"/>
  <c r="L2672" i="1"/>
  <c r="N2607" i="1"/>
  <c r="L2713" i="1"/>
  <c r="N1574" i="1"/>
  <c r="L2291" i="1"/>
  <c r="N3297" i="1"/>
  <c r="L1954" i="1"/>
  <c r="N2807" i="1"/>
  <c r="L4311" i="1"/>
  <c r="N2106" i="1"/>
  <c r="X3959" i="1"/>
  <c r="L3227" i="1"/>
  <c r="N3749" i="1"/>
  <c r="L2508" i="1"/>
  <c r="N3770" i="1"/>
  <c r="L599" i="1"/>
  <c r="N2910" i="1"/>
  <c r="L4452" i="1"/>
  <c r="N2904" i="1"/>
  <c r="L3320" i="1"/>
  <c r="L2878" i="1"/>
  <c r="N2594" i="1"/>
  <c r="L2381" i="1"/>
  <c r="M4487" i="1"/>
  <c r="N3625" i="1"/>
  <c r="Y4615" i="1"/>
  <c r="L1787" i="1"/>
  <c r="N30" i="1"/>
  <c r="L4389" i="1"/>
  <c r="N3851" i="1"/>
  <c r="X4160" i="1"/>
  <c r="L1790" i="1"/>
  <c r="N2761" i="1"/>
  <c r="L3573" i="1"/>
  <c r="N2808" i="1"/>
  <c r="L4581" i="1"/>
  <c r="N3032" i="1"/>
  <c r="L2003" i="1"/>
  <c r="N4219" i="1"/>
  <c r="L182" i="1"/>
  <c r="N107" i="1"/>
  <c r="L4032" i="1"/>
  <c r="Y4434" i="1"/>
  <c r="L4014" i="1"/>
  <c r="L412" i="1"/>
  <c r="N1022" i="1"/>
  <c r="L1767" i="1"/>
  <c r="N3948" i="1"/>
  <c r="L229" i="1"/>
  <c r="M4259" i="1"/>
  <c r="N700" i="1"/>
  <c r="L4269" i="1"/>
  <c r="L2983" i="1"/>
  <c r="N667" i="1"/>
  <c r="L4036" i="1"/>
  <c r="M4536" i="1"/>
  <c r="N659" i="1"/>
  <c r="L2915" i="1"/>
  <c r="N763" i="1"/>
  <c r="X4191" i="1"/>
  <c r="Z4604" i="1"/>
  <c r="L2314" i="1"/>
  <c r="N4467" i="1"/>
  <c r="L2043" i="1"/>
  <c r="N3220" i="1"/>
  <c r="L459" i="1"/>
  <c r="N531" i="1"/>
  <c r="X4526" i="1"/>
  <c r="Y4290" i="1"/>
  <c r="L2578" i="1"/>
  <c r="N1773" i="1"/>
  <c r="L3891" i="1"/>
  <c r="L2979" i="1"/>
  <c r="N3992" i="1"/>
  <c r="L115" i="1"/>
  <c r="N2120" i="1"/>
  <c r="X4422" i="1"/>
  <c r="L916" i="1"/>
  <c r="N2419" i="1"/>
  <c r="L2643" i="1"/>
  <c r="N2102" i="1"/>
  <c r="X4385" i="1"/>
  <c r="L3268" i="1"/>
  <c r="N1061" i="1"/>
  <c r="L2243" i="1"/>
  <c r="N1647" i="1"/>
  <c r="L1124" i="1"/>
  <c r="N2444" i="1"/>
  <c r="L2358" i="1"/>
  <c r="N591" i="1"/>
  <c r="L4510" i="1"/>
  <c r="N2144" i="1"/>
  <c r="L2404" i="1"/>
  <c r="N1077" i="1"/>
  <c r="L3945" i="1"/>
  <c r="M4357" i="1"/>
  <c r="N1126" i="1"/>
  <c r="X227" i="1"/>
  <c r="L905" i="1"/>
  <c r="N2107" i="1"/>
  <c r="L1420" i="1"/>
  <c r="L2121" i="1"/>
  <c r="N1622" i="1"/>
  <c r="L3224" i="1"/>
  <c r="N3780" i="1"/>
  <c r="L3352" i="1"/>
  <c r="N2848" i="1"/>
  <c r="X4376" i="1"/>
  <c r="L886" i="1"/>
  <c r="N1106" i="1"/>
  <c r="L1913" i="1"/>
  <c r="N3276" i="1"/>
  <c r="L1772" i="1"/>
  <c r="N4235" i="1"/>
  <c r="L1493" i="1"/>
  <c r="L1869" i="1"/>
  <c r="M4388" i="1"/>
  <c r="N2186" i="1"/>
  <c r="L390" i="1"/>
  <c r="N598" i="1"/>
  <c r="L1319" i="1"/>
  <c r="N3664" i="1"/>
  <c r="L506" i="1"/>
  <c r="N658" i="1"/>
  <c r="L4310" i="1"/>
  <c r="M4515" i="1"/>
  <c r="N3298" i="1"/>
  <c r="L1731" i="1"/>
  <c r="L3705" i="1"/>
  <c r="N1952" i="1"/>
  <c r="L3819" i="1"/>
  <c r="N2452" i="1"/>
  <c r="L2704" i="1"/>
  <c r="Y4152" i="1"/>
  <c r="L209" i="1"/>
  <c r="N3364" i="1"/>
  <c r="L1894" i="1"/>
  <c r="M4304" i="1"/>
  <c r="N536" i="1"/>
  <c r="L2216" i="1"/>
  <c r="M4582" i="1"/>
  <c r="N3612" i="1"/>
  <c r="L158" i="1"/>
  <c r="M4269" i="1"/>
  <c r="N4162" i="1"/>
  <c r="Y4518" i="1"/>
  <c r="L1823" i="1"/>
  <c r="X4094" i="1"/>
  <c r="L3784" i="1"/>
  <c r="N2305" i="1"/>
  <c r="L2736" i="1"/>
  <c r="N970" i="1"/>
  <c r="L1250" i="1"/>
  <c r="N4207" i="1"/>
  <c r="L1941" i="1"/>
  <c r="N1816" i="1"/>
  <c r="L697" i="1"/>
  <c r="N2599" i="1"/>
  <c r="L1151" i="1"/>
  <c r="N1760" i="1"/>
  <c r="Y4203" i="1"/>
  <c r="L2192" i="1"/>
  <c r="N137" i="1"/>
  <c r="L2209" i="1"/>
  <c r="N3447" i="1"/>
  <c r="L2691" i="1"/>
  <c r="M4334" i="1"/>
  <c r="N3966" i="1"/>
  <c r="L32" i="1"/>
  <c r="N155" i="1"/>
  <c r="L3413" i="1"/>
  <c r="N2617" i="1"/>
  <c r="Y4411" i="1"/>
  <c r="L1553" i="1"/>
  <c r="N4310" i="1"/>
  <c r="L3351" i="1"/>
  <c r="N3734" i="1"/>
  <c r="L645" i="1"/>
  <c r="N3548" i="1"/>
  <c r="L1315" i="1"/>
  <c r="N4568" i="1"/>
  <c r="L4582" i="1"/>
  <c r="N1578" i="1"/>
  <c r="L2959" i="1"/>
  <c r="N2576" i="1"/>
  <c r="L3260" i="1"/>
  <c r="N1907" i="1"/>
  <c r="L93" i="1"/>
  <c r="N2767" i="1"/>
  <c r="L120" i="1"/>
  <c r="N3036" i="1"/>
  <c r="L4007" i="1"/>
  <c r="N336" i="1"/>
  <c r="L1994" i="1"/>
  <c r="M4456" i="1"/>
  <c r="N4291" i="1"/>
  <c r="L3988" i="1"/>
  <c r="L1148" i="1"/>
  <c r="N2312" i="1"/>
  <c r="L2595" i="1"/>
  <c r="N84" i="1"/>
  <c r="L2158" i="1"/>
  <c r="M4420" i="1"/>
  <c r="N1483" i="1"/>
  <c r="L4073" i="1"/>
  <c r="N4094" i="1"/>
  <c r="L1533" i="1"/>
  <c r="M4589" i="1"/>
  <c r="N1202" i="1"/>
  <c r="Y4510" i="1"/>
  <c r="L1306" i="1"/>
  <c r="L4316" i="1"/>
  <c r="N2150" i="1"/>
  <c r="L4004" i="1"/>
  <c r="N2315" i="1"/>
  <c r="L2355" i="1"/>
  <c r="N375" i="1"/>
  <c r="L2806" i="1"/>
  <c r="L335" i="1"/>
  <c r="N2829" i="1"/>
  <c r="L1843" i="1"/>
  <c r="N990" i="1"/>
  <c r="L4087" i="1"/>
  <c r="N2876" i="1"/>
  <c r="L2889" i="1"/>
  <c r="L4112" i="1"/>
  <c r="L1946" i="1"/>
  <c r="N3352" i="1"/>
  <c r="Y4420" i="1"/>
  <c r="L117" i="1"/>
  <c r="N2579" i="1"/>
  <c r="L1481" i="1"/>
  <c r="N228" i="1"/>
  <c r="Y3960" i="1"/>
  <c r="L4170" i="1"/>
  <c r="N2677" i="1"/>
  <c r="X4250" i="1"/>
  <c r="L3583" i="1"/>
  <c r="N3951" i="1"/>
  <c r="L2858" i="1"/>
  <c r="N4109" i="1"/>
  <c r="L2987" i="1"/>
  <c r="L3798" i="1"/>
  <c r="N2206" i="1"/>
  <c r="L255" i="1"/>
  <c r="N4135" i="1"/>
  <c r="L2136" i="1"/>
  <c r="N1075" i="1"/>
  <c r="L449" i="1"/>
  <c r="L4208" i="1"/>
  <c r="N3805" i="1"/>
  <c r="L2630" i="1"/>
  <c r="N2046" i="1"/>
  <c r="L2772" i="1"/>
  <c r="N2289" i="1"/>
  <c r="L3546" i="1"/>
  <c r="N532" i="1"/>
  <c r="X4042" i="1"/>
  <c r="L2504" i="1"/>
  <c r="N3534" i="1"/>
  <c r="L1085" i="1"/>
  <c r="M4284" i="1"/>
  <c r="N2443" i="1"/>
  <c r="L4486" i="1"/>
  <c r="M4359" i="1"/>
  <c r="N3671" i="1"/>
  <c r="L1409" i="1"/>
  <c r="M4247" i="1"/>
  <c r="N2476" i="1"/>
  <c r="L557" i="1"/>
  <c r="N307" i="1"/>
  <c r="L1172" i="1"/>
  <c r="N2248" i="1"/>
  <c r="L2227" i="1"/>
  <c r="L842" i="1"/>
  <c r="N3755" i="1"/>
  <c r="L2939" i="1"/>
  <c r="N4417" i="1"/>
  <c r="L2087" i="1"/>
  <c r="Y4426" i="1"/>
  <c r="L356" i="1"/>
  <c r="N4579" i="1"/>
  <c r="L1524" i="1"/>
  <c r="N3385" i="1"/>
  <c r="Y4601" i="1"/>
  <c r="L2682" i="1"/>
  <c r="N3640" i="1"/>
  <c r="X4039" i="1"/>
  <c r="L4532" i="1"/>
  <c r="N1896" i="1"/>
  <c r="L2611" i="1"/>
  <c r="M4313" i="1"/>
  <c r="N3329" i="1"/>
  <c r="X4041" i="1"/>
  <c r="L4207" i="1"/>
  <c r="L2011" i="1"/>
  <c r="N454" i="1"/>
  <c r="L2640" i="1"/>
  <c r="M4395" i="1"/>
  <c r="N3891" i="1"/>
  <c r="X3881" i="1"/>
  <c r="L2350" i="1"/>
  <c r="N3333" i="1"/>
  <c r="L3821" i="1"/>
  <c r="N857" i="1"/>
  <c r="X4381" i="1"/>
  <c r="Y3861" i="1"/>
  <c r="L781" i="1"/>
  <c r="N3476" i="1"/>
  <c r="L568" i="1"/>
  <c r="N2806" i="1"/>
  <c r="L595" i="1"/>
  <c r="N1516" i="1"/>
  <c r="L3444" i="1"/>
  <c r="X4585" i="1"/>
  <c r="L3527" i="1"/>
  <c r="N4044" i="1"/>
  <c r="L1490" i="1"/>
  <c r="N2575" i="1"/>
  <c r="L3157" i="1"/>
  <c r="N2220" i="1"/>
  <c r="X4130" i="1"/>
  <c r="Y103" i="1"/>
  <c r="L2039" i="1"/>
  <c r="N2526" i="1"/>
  <c r="L2773" i="1"/>
  <c r="N331" i="1"/>
  <c r="Y4214" i="1"/>
  <c r="L3984" i="1"/>
  <c r="N3855" i="1"/>
  <c r="L2057" i="1"/>
  <c r="N3864" i="1"/>
  <c r="X4233" i="1"/>
  <c r="Y4490" i="1"/>
  <c r="L1771" i="1"/>
  <c r="N3958" i="1"/>
  <c r="X4500" i="1"/>
  <c r="L1211" i="1"/>
  <c r="N553" i="1"/>
  <c r="L576" i="1"/>
  <c r="N3754" i="1"/>
  <c r="L3443" i="1"/>
  <c r="N2124" i="1"/>
  <c r="L37" i="1"/>
  <c r="N1725" i="1"/>
  <c r="L2764" i="1"/>
  <c r="N4491" i="1"/>
  <c r="L3158" i="1"/>
  <c r="N3279" i="1"/>
  <c r="L3201" i="1"/>
  <c r="N2550" i="1"/>
  <c r="L3217" i="1"/>
  <c r="N836" i="1"/>
  <c r="L1926" i="1"/>
  <c r="N1958" i="1"/>
  <c r="L4166" i="1"/>
  <c r="M4507" i="1"/>
  <c r="L1410" i="1"/>
  <c r="N3093" i="1"/>
  <c r="L1424" i="1"/>
  <c r="M4272" i="1"/>
  <c r="N3225" i="1"/>
  <c r="L354" i="1"/>
  <c r="N1046" i="1"/>
  <c r="L375" i="1"/>
  <c r="N1218" i="1"/>
  <c r="L4491" i="1"/>
  <c r="N2336" i="1"/>
  <c r="L4498" i="1"/>
  <c r="N3094" i="1"/>
  <c r="L1056" i="1"/>
  <c r="N2373" i="1"/>
  <c r="L1860" i="1"/>
  <c r="M4490" i="1"/>
  <c r="L1408" i="1"/>
  <c r="M4264" i="1"/>
  <c r="N494" i="1"/>
  <c r="L4103" i="1"/>
  <c r="N1513" i="1"/>
  <c r="L3238" i="1"/>
  <c r="N4569" i="1"/>
  <c r="L2100" i="1"/>
  <c r="N2441" i="1"/>
  <c r="L1023" i="1"/>
  <c r="N890" i="1"/>
  <c r="L955" i="1"/>
  <c r="N523" i="1"/>
  <c r="L4057" i="1"/>
  <c r="X4093" i="1"/>
  <c r="L1522" i="1"/>
  <c r="X4354" i="1"/>
  <c r="L2070" i="1"/>
  <c r="N3241" i="1"/>
  <c r="L1431" i="1"/>
  <c r="N1787" i="1"/>
  <c r="L4231" i="1"/>
  <c r="L4514" i="1"/>
  <c r="N2177" i="1"/>
  <c r="L1487" i="1"/>
  <c r="N4356" i="1"/>
  <c r="X4174" i="1"/>
  <c r="L2282" i="1"/>
  <c r="M4472" i="1"/>
  <c r="N1849" i="1"/>
  <c r="L1213" i="1"/>
  <c r="N2066" i="1"/>
  <c r="L4070" i="1"/>
  <c r="Y4605" i="1"/>
  <c r="L3241" i="1"/>
  <c r="N75" i="1"/>
  <c r="Y424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<sst xmlns="http://schemas.openxmlformats.org/spreadsheetml/2006/main" count="87748" uniqueCount="20270">
  <si>
    <t>Aléatoire</t>
  </si>
  <si>
    <t>NumeroEtudiant</t>
  </si>
  <si>
    <t>NomPrenom</t>
  </si>
  <si>
    <t xml:space="preserve">Formule Nom </t>
  </si>
  <si>
    <t>Formule Prénom</t>
  </si>
  <si>
    <t>Nom</t>
  </si>
  <si>
    <t>Prénom</t>
  </si>
  <si>
    <t>Sexe</t>
  </si>
  <si>
    <t>DateNaissance</t>
  </si>
  <si>
    <t>Age</t>
  </si>
  <si>
    <t>API</t>
  </si>
  <si>
    <t>NoCivique</t>
  </si>
  <si>
    <t>Appartement</t>
  </si>
  <si>
    <t>Rue</t>
  </si>
  <si>
    <t>Ville</t>
  </si>
  <si>
    <t>Ville en erreur</t>
  </si>
  <si>
    <t>Correction suggérée</t>
  </si>
  <si>
    <t>Ville corrigée</t>
  </si>
  <si>
    <t>Région</t>
  </si>
  <si>
    <t>CodePostal</t>
  </si>
  <si>
    <t>CodeProvince</t>
  </si>
  <si>
    <t>Pays</t>
  </si>
  <si>
    <t>TelephonePrincipal</t>
  </si>
  <si>
    <t>TelephoneSecondaire</t>
  </si>
  <si>
    <t>TelephoneBureau</t>
  </si>
  <si>
    <t>TelephoneCellulaire</t>
  </si>
  <si>
    <t>NoProgramme</t>
  </si>
  <si>
    <t>TitreProgramme</t>
  </si>
  <si>
    <t>IndicateurFinissant</t>
  </si>
  <si>
    <t>1563949</t>
  </si>
  <si>
    <t>Dagenais, Nadia</t>
  </si>
  <si>
    <t>Dagenais</t>
  </si>
  <si>
    <t>Nadia</t>
  </si>
  <si>
    <t>Painchaud</t>
  </si>
  <si>
    <t>Thibault</t>
  </si>
  <si>
    <t>M</t>
  </si>
  <si>
    <t>Richer, Marie-Josée</t>
  </si>
  <si>
    <t>SAINT-LIN-LAURENTIDES</t>
  </si>
  <si>
    <t>J0N1H0</t>
  </si>
  <si>
    <t>QC</t>
  </si>
  <si>
    <t>Canada</t>
  </si>
  <si>
    <t>780 667-4647</t>
  </si>
  <si>
    <t>500.AL</t>
  </si>
  <si>
    <t>Gestion d'un établissement de restauration</t>
  </si>
  <si>
    <t>Non</t>
  </si>
  <si>
    <t>1644895</t>
  </si>
  <si>
    <t>Labelle, Justin</t>
  </si>
  <si>
    <t>Labelle</t>
  </si>
  <si>
    <t>Justin</t>
  </si>
  <si>
    <t>Joly</t>
  </si>
  <si>
    <t>Steven</t>
  </si>
  <si>
    <t>SAINT-LIN - LAURENTIDES</t>
  </si>
  <si>
    <t>579 888-3446</t>
  </si>
  <si>
    <t>Sciences de la nature</t>
  </si>
  <si>
    <t>1947205</t>
  </si>
  <si>
    <t>Legault, Houssemeddine</t>
  </si>
  <si>
    <t>Legault</t>
  </si>
  <si>
    <t>Houssemeddine</t>
  </si>
  <si>
    <t>Gagnon-Montreuil</t>
  </si>
  <si>
    <t>Stéphanie</t>
  </si>
  <si>
    <t>F</t>
  </si>
  <si>
    <t>579 888-1904</t>
  </si>
  <si>
    <t>1853075</t>
  </si>
  <si>
    <t>Meunier, Emily</t>
  </si>
  <si>
    <t>Meunier</t>
  </si>
  <si>
    <t>Emily</t>
  </si>
  <si>
    <t>Dewar</t>
  </si>
  <si>
    <t>Khisa-Lee</t>
  </si>
  <si>
    <t>Lehoux , Annik</t>
  </si>
  <si>
    <t>SAINTE-MARGUERITE-DU-LAC-MASSO</t>
  </si>
  <si>
    <t>J7B1S5</t>
  </si>
  <si>
    <t>450 751-0098</t>
  </si>
  <si>
    <t>300.33</t>
  </si>
  <si>
    <t>Soins infirmiers</t>
  </si>
  <si>
    <t>1959386</t>
  </si>
  <si>
    <t>Gingras, Liliana</t>
  </si>
  <si>
    <t>Gingras</t>
  </si>
  <si>
    <t>Liliana</t>
  </si>
  <si>
    <t>Lavchev</t>
  </si>
  <si>
    <t>Tamyann</t>
  </si>
  <si>
    <t>579 888-8515</t>
  </si>
  <si>
    <t>Préalables universitaires</t>
  </si>
  <si>
    <t>1738963</t>
  </si>
  <si>
    <t>Sévigny, Ariane</t>
  </si>
  <si>
    <t>Sévigny</t>
  </si>
  <si>
    <t>Ariane</t>
  </si>
  <si>
    <t>Boisvert</t>
  </si>
  <si>
    <t>Tamara</t>
  </si>
  <si>
    <t>579 888-6396</t>
  </si>
  <si>
    <t>1621624</t>
  </si>
  <si>
    <t>Cleary, Olivier</t>
  </si>
  <si>
    <t>Cleary</t>
  </si>
  <si>
    <t>Olivier</t>
  </si>
  <si>
    <t>Pitre</t>
  </si>
  <si>
    <t>Tanya</t>
  </si>
  <si>
    <t>581 226-8894</t>
  </si>
  <si>
    <t>1741503</t>
  </si>
  <si>
    <t>Lemaire-Jutras, Guillaume</t>
  </si>
  <si>
    <t>Lemaire-Jutras</t>
  </si>
  <si>
    <t>Guillaume</t>
  </si>
  <si>
    <t>Gagnon</t>
  </si>
  <si>
    <t>Thomas</t>
  </si>
  <si>
    <t>J0N1G3</t>
  </si>
  <si>
    <t>819 216-9555</t>
  </si>
  <si>
    <t>1827957</t>
  </si>
  <si>
    <t>Fournier, Marianne</t>
  </si>
  <si>
    <t>Fournier</t>
  </si>
  <si>
    <t>Marianne</t>
  </si>
  <si>
    <t>Lestage</t>
  </si>
  <si>
    <t>Tammy Lee</t>
  </si>
  <si>
    <t>579 888-8183</t>
  </si>
  <si>
    <t>1678139</t>
  </si>
  <si>
    <t>Filiatrault, Marie-Pier</t>
  </si>
  <si>
    <t>Filiatrault</t>
  </si>
  <si>
    <t>Marie-Pier</t>
  </si>
  <si>
    <t>Lussier</t>
  </si>
  <si>
    <t>819 216-9901</t>
  </si>
  <si>
    <t>1438681</t>
  </si>
  <si>
    <t>Larochelle, Jérémy</t>
  </si>
  <si>
    <t>Larochelle</t>
  </si>
  <si>
    <t>Jérémy</t>
  </si>
  <si>
    <t>Goulet</t>
  </si>
  <si>
    <t>Marc-Antoine</t>
  </si>
  <si>
    <t>Pelletier, Marie-Claude</t>
  </si>
  <si>
    <t>SAINT-FAUSTIN-LAC-CARRÉ</t>
  </si>
  <si>
    <t>J5L1Z2</t>
  </si>
  <si>
    <t>450 848-8012</t>
  </si>
  <si>
    <t>322.A0</t>
  </si>
  <si>
    <t>1641760</t>
  </si>
  <si>
    <t>Jutras, Karine</t>
  </si>
  <si>
    <t>Jutras</t>
  </si>
  <si>
    <t>Karine</t>
  </si>
  <si>
    <t>Kongolo</t>
  </si>
  <si>
    <t>579 888-2605</t>
  </si>
  <si>
    <t>1465557</t>
  </si>
  <si>
    <t>Guernon, Laurence</t>
  </si>
  <si>
    <t>Guernon</t>
  </si>
  <si>
    <t>Laurence</t>
  </si>
  <si>
    <t>Lampron</t>
  </si>
  <si>
    <t>819 216-1747</t>
  </si>
  <si>
    <t>1533177</t>
  </si>
  <si>
    <t>Soulière Michelin, Antonin</t>
  </si>
  <si>
    <t>Soulière Michelin</t>
  </si>
  <si>
    <t>Antonin</t>
  </si>
  <si>
    <t>Blais</t>
  </si>
  <si>
    <t>Victor</t>
  </si>
  <si>
    <t>ST JÉRÔME</t>
  </si>
  <si>
    <t>H7W4Y6</t>
  </si>
  <si>
    <t>819 323-9322</t>
  </si>
  <si>
    <t>582.A1</t>
  </si>
  <si>
    <t>Arts, lettres et com. - Option langues</t>
  </si>
  <si>
    <t>1636395</t>
  </si>
  <si>
    <t>Légaré, Hugo</t>
  </si>
  <si>
    <t>Légaré</t>
  </si>
  <si>
    <t>Hugo</t>
  </si>
  <si>
    <t>Garbia</t>
  </si>
  <si>
    <t>Desjardins, Roxanne</t>
  </si>
  <si>
    <t>ROSEMERE</t>
  </si>
  <si>
    <t>J7M1L6</t>
  </si>
  <si>
    <t>450 553-1757</t>
  </si>
  <si>
    <t>241.A0</t>
  </si>
  <si>
    <t>Techniques de travail social</t>
  </si>
  <si>
    <t>1009626</t>
  </si>
  <si>
    <t>Lefebvre, Isabelle</t>
  </si>
  <si>
    <t>Lefebvre</t>
  </si>
  <si>
    <t>Isabelle</t>
  </si>
  <si>
    <t>Gareau</t>
  </si>
  <si>
    <t>Théo</t>
  </si>
  <si>
    <t>597 368-8368</t>
  </si>
  <si>
    <t>1974232</t>
  </si>
  <si>
    <t>Lacasse, Julie</t>
  </si>
  <si>
    <t>Lacasse</t>
  </si>
  <si>
    <t>Julie</t>
  </si>
  <si>
    <t>Jacques</t>
  </si>
  <si>
    <t>J5L1Z6</t>
  </si>
  <si>
    <t>450 848-7654</t>
  </si>
  <si>
    <t>1954633</t>
  </si>
  <si>
    <t>Dubé, Maude</t>
  </si>
  <si>
    <t>Dubé</t>
  </si>
  <si>
    <t>Maude</t>
  </si>
  <si>
    <t>Mayrand</t>
  </si>
  <si>
    <t>Tania Anna</t>
  </si>
  <si>
    <t>579 888-9319</t>
  </si>
  <si>
    <t>1961112</t>
  </si>
  <si>
    <t>Caissy, Sabrina</t>
  </si>
  <si>
    <t>Caissy</t>
  </si>
  <si>
    <t>Sabrina</t>
  </si>
  <si>
    <t>Rijalleblad</t>
  </si>
  <si>
    <t>Joanie</t>
  </si>
  <si>
    <t>SAINT-DONAT-DE-MONTCALM</t>
  </si>
  <si>
    <t>J7E2P7</t>
  </si>
  <si>
    <t>450 612-3312</t>
  </si>
  <si>
    <t>Techniques de génie mécanique</t>
  </si>
  <si>
    <t>1751592</t>
  </si>
  <si>
    <t>Rose, Benjamin</t>
  </si>
  <si>
    <t>Rose</t>
  </si>
  <si>
    <t>Benjamin</t>
  </si>
  <si>
    <t>Brière</t>
  </si>
  <si>
    <t>581 372-6035</t>
  </si>
  <si>
    <t>1864759</t>
  </si>
  <si>
    <t>Natario, Élizabeth</t>
  </si>
  <si>
    <t>Natario</t>
  </si>
  <si>
    <t>Élizabeth</t>
  </si>
  <si>
    <t>Demers</t>
  </si>
  <si>
    <t>Suzie</t>
  </si>
  <si>
    <t>579 888-3720</t>
  </si>
  <si>
    <t>1838190</t>
  </si>
  <si>
    <t>Boucher, Sarah-Jade</t>
  </si>
  <si>
    <t>Boucher</t>
  </si>
  <si>
    <t>Sarah-Jade</t>
  </si>
  <si>
    <t>Sarrazin Verdi</t>
  </si>
  <si>
    <t>Stéfanie</t>
  </si>
  <si>
    <t>579 888-1468</t>
  </si>
  <si>
    <t>500.AK</t>
  </si>
  <si>
    <t>1837071</t>
  </si>
  <si>
    <t>Martinez Scala, Fabrice</t>
  </si>
  <si>
    <t>Martinez Scala</t>
  </si>
  <si>
    <t>Fabrice</t>
  </si>
  <si>
    <t>Dufour</t>
  </si>
  <si>
    <t>Vincent</t>
  </si>
  <si>
    <t>ST-JEROME</t>
  </si>
  <si>
    <t>H7R5L7</t>
  </si>
  <si>
    <t>819 325-2489</t>
  </si>
  <si>
    <t>1825058</t>
  </si>
  <si>
    <t>Robert, Brithany</t>
  </si>
  <si>
    <t>Robert</t>
  </si>
  <si>
    <t>Brithany</t>
  </si>
  <si>
    <t>Brunoro-Laporte</t>
  </si>
  <si>
    <t>Tammy</t>
  </si>
  <si>
    <t>579 888-8053</t>
  </si>
  <si>
    <t>1593339</t>
  </si>
  <si>
    <t>Plante Théberge, Charlotte</t>
  </si>
  <si>
    <t>Plante Théberge</t>
  </si>
  <si>
    <t>Charlotte</t>
  </si>
  <si>
    <t>Claveau</t>
  </si>
  <si>
    <t>ST-JÉRÔME</t>
  </si>
  <si>
    <t>H7R2N6</t>
  </si>
  <si>
    <t>819 326-8456</t>
  </si>
  <si>
    <t>1530436</t>
  </si>
  <si>
    <t>Crevier Richer, Nathaniel</t>
  </si>
  <si>
    <t>Crevier Richer</t>
  </si>
  <si>
    <t>Nathaniel</t>
  </si>
  <si>
    <t>Paril</t>
  </si>
  <si>
    <t>579 888-1946</t>
  </si>
  <si>
    <t>1964858</t>
  </si>
  <si>
    <t>Daoust, Milly-Anne</t>
  </si>
  <si>
    <t>Daoust</t>
  </si>
  <si>
    <t>Milly-Anne</t>
  </si>
  <si>
    <t>Ouellet-Tremblay</t>
  </si>
  <si>
    <t>579 888-2334</t>
  </si>
  <si>
    <t>1963504</t>
  </si>
  <si>
    <t>Lusignan-Fontaine, Gabriel</t>
  </si>
  <si>
    <t>Lusignan-Fontaine</t>
  </si>
  <si>
    <t>Gabriel</t>
  </si>
  <si>
    <t>Fiorani-Piette</t>
  </si>
  <si>
    <t>Tchelby</t>
  </si>
  <si>
    <t>581 922-6688</t>
  </si>
  <si>
    <t>1846403</t>
  </si>
  <si>
    <t>Geoffrey, Louis</t>
  </si>
  <si>
    <t>Geoffrey</t>
  </si>
  <si>
    <t>Louis</t>
  </si>
  <si>
    <t>Le Breton</t>
  </si>
  <si>
    <t>Deblois-Lavallée, Geneviève</t>
  </si>
  <si>
    <t>EGAN</t>
  </si>
  <si>
    <t>J7Z7K1</t>
  </si>
  <si>
    <t>438 888-5903</t>
  </si>
  <si>
    <t>140.C0</t>
  </si>
  <si>
    <t>Technologie d'analyses biomédicales</t>
  </si>
  <si>
    <t>1703014</t>
  </si>
  <si>
    <t>Hodder, Kim</t>
  </si>
  <si>
    <t>Hodder</t>
  </si>
  <si>
    <t>Kim</t>
  </si>
  <si>
    <t>Lafontaine</t>
  </si>
  <si>
    <t>579 888-3356</t>
  </si>
  <si>
    <t>1721580</t>
  </si>
  <si>
    <t>Richer-Palacios, Camille</t>
  </si>
  <si>
    <t>Richer-Palacios</t>
  </si>
  <si>
    <t>Camille</t>
  </si>
  <si>
    <t>Caluori</t>
  </si>
  <si>
    <t>Tiffany</t>
  </si>
  <si>
    <t>J0N1G2</t>
  </si>
  <si>
    <t>819 217-5844</t>
  </si>
  <si>
    <t>Arts, lettres et com. - Option théâtre</t>
  </si>
  <si>
    <t>1957490</t>
  </si>
  <si>
    <t>Messier, Emly Meagan</t>
  </si>
  <si>
    <t>Messier</t>
  </si>
  <si>
    <t>Emly Meagan</t>
  </si>
  <si>
    <t>Dimassimo</t>
  </si>
  <si>
    <t>H7R4E1</t>
  </si>
  <si>
    <t>819 326-6964</t>
  </si>
  <si>
    <t>1931024</t>
  </si>
  <si>
    <t>Lavigne, Jasmine</t>
  </si>
  <si>
    <t>Lavigne</t>
  </si>
  <si>
    <t>Jasmine</t>
  </si>
  <si>
    <t>Gilbert-Therrien</t>
  </si>
  <si>
    <t>Héléna</t>
  </si>
  <si>
    <t>SAINT JÉRÔME</t>
  </si>
  <si>
    <t>J7K3M6</t>
  </si>
  <si>
    <t>450 560-8043</t>
  </si>
  <si>
    <t>241.C0</t>
  </si>
  <si>
    <t>1784828</t>
  </si>
  <si>
    <t>Boyte, Sandra</t>
  </si>
  <si>
    <t>Boyte</t>
  </si>
  <si>
    <t>Sandra</t>
  </si>
  <si>
    <t>Roy</t>
  </si>
  <si>
    <t>Vicky</t>
  </si>
  <si>
    <t>ST JEROME</t>
  </si>
  <si>
    <t>H7X1B7</t>
  </si>
  <si>
    <t>819 323-9222</t>
  </si>
  <si>
    <t>1972976</t>
  </si>
  <si>
    <t>Lemieux, Guillaume</t>
  </si>
  <si>
    <t>Lemieux</t>
  </si>
  <si>
    <t>Gagné</t>
  </si>
  <si>
    <t>Stéphany</t>
  </si>
  <si>
    <t>579 888-3185</t>
  </si>
  <si>
    <t>1940359</t>
  </si>
  <si>
    <t>Rosa, Benjamin</t>
  </si>
  <si>
    <t>Rosa</t>
  </si>
  <si>
    <t>Brillant</t>
  </si>
  <si>
    <t>St-Faustin-Lac-Carré</t>
  </si>
  <si>
    <t>H7R6A2</t>
  </si>
  <si>
    <t>819 324-8902</t>
  </si>
  <si>
    <t>1636393</t>
  </si>
  <si>
    <t>Portelance-Goulet, Charles</t>
  </si>
  <si>
    <t>Portelance-Goulet</t>
  </si>
  <si>
    <t>Charles</t>
  </si>
  <si>
    <t>Charron-Gendron</t>
  </si>
  <si>
    <t>J5L1Z7</t>
  </si>
  <si>
    <t>450 848-7331</t>
  </si>
  <si>
    <t>1874112</t>
  </si>
  <si>
    <t>Corso-Demers, Noémie</t>
  </si>
  <si>
    <t>Corso-Demers</t>
  </si>
  <si>
    <t>Noémie</t>
  </si>
  <si>
    <t>Perron-Charron</t>
  </si>
  <si>
    <t>Stacy</t>
  </si>
  <si>
    <t>SAINT-LÉONARD</t>
  </si>
  <si>
    <t>J0N1M0</t>
  </si>
  <si>
    <t>579 888-0821</t>
  </si>
  <si>
    <t>1947542</t>
  </si>
  <si>
    <t>Thibault-Kuzyk, Amélie</t>
  </si>
  <si>
    <t>Thibault-Kuzyk</t>
  </si>
  <si>
    <t>Amélie</t>
  </si>
  <si>
    <t>Bédard-Richer</t>
  </si>
  <si>
    <t>Stella</t>
  </si>
  <si>
    <t>579 888-1773</t>
  </si>
  <si>
    <t>1937490</t>
  </si>
  <si>
    <t>Laplante, Jessica</t>
  </si>
  <si>
    <t>Laplante</t>
  </si>
  <si>
    <t>Jessica</t>
  </si>
  <si>
    <t>Grenier</t>
  </si>
  <si>
    <t>581 490-2341</t>
  </si>
  <si>
    <t>1948986</t>
  </si>
  <si>
    <t>St-Cyr-Moore, Antoine</t>
  </si>
  <si>
    <t>St-Cyr-Moore</t>
  </si>
  <si>
    <t>Antoine</t>
  </si>
  <si>
    <t>Bissonnette</t>
  </si>
  <si>
    <t>St-Canut (Mirabel)</t>
  </si>
  <si>
    <t>H7W4X6</t>
  </si>
  <si>
    <t>819 323-9440</t>
  </si>
  <si>
    <t>1529882</t>
  </si>
  <si>
    <t>Paquin-Allard, Dany</t>
  </si>
  <si>
    <t>Paquin-Allard</t>
  </si>
  <si>
    <t>Dany</t>
  </si>
  <si>
    <t>Cyr</t>
  </si>
  <si>
    <t>ST-PLACIDE</t>
  </si>
  <si>
    <t>H7P5B8</t>
  </si>
  <si>
    <t>819 334-3602</t>
  </si>
  <si>
    <t>1624004</t>
  </si>
  <si>
    <t>Vidori, Alexandra</t>
  </si>
  <si>
    <t>Vidori</t>
  </si>
  <si>
    <t>Alexandra</t>
  </si>
  <si>
    <t>Angers</t>
  </si>
  <si>
    <t>MONTRÉAL-NORD</t>
  </si>
  <si>
    <t>J7R3R7</t>
  </si>
  <si>
    <t>450 474-5181</t>
  </si>
  <si>
    <t>200.B0</t>
  </si>
  <si>
    <t>Techniques d'éducation spécialisée</t>
  </si>
  <si>
    <t>1966872</t>
  </si>
  <si>
    <t>Bouthillier, Sandrine</t>
  </si>
  <si>
    <t>Bouthillier</t>
  </si>
  <si>
    <t>Sandrine</t>
  </si>
  <si>
    <t>Tommy</t>
  </si>
  <si>
    <t>SAINT-RÉMI-D'AMHERST</t>
  </si>
  <si>
    <t>J0N1E0</t>
  </si>
  <si>
    <t>819 219-0321</t>
  </si>
  <si>
    <t>510.A0</t>
  </si>
  <si>
    <t>1948519</t>
  </si>
  <si>
    <t>Forrestall, Marie-Eve</t>
  </si>
  <si>
    <t>Forrestall</t>
  </si>
  <si>
    <t>Marie-Eve</t>
  </si>
  <si>
    <t>Linteau</t>
  </si>
  <si>
    <t>Titouan</t>
  </si>
  <si>
    <t>819 217-5993</t>
  </si>
  <si>
    <t>1427594</t>
  </si>
  <si>
    <t>Béland, Vanessa</t>
  </si>
  <si>
    <t>Béland</t>
  </si>
  <si>
    <t>Vanessa</t>
  </si>
  <si>
    <t>Kelly-Anne</t>
  </si>
  <si>
    <t>SAINTE-DOROTHÉE</t>
  </si>
  <si>
    <t>J7C0C2</t>
  </si>
  <si>
    <t>450 712-9839</t>
  </si>
  <si>
    <t>Spécialisation en informatique de gestion</t>
  </si>
  <si>
    <t>1626505</t>
  </si>
  <si>
    <t>Gagné, Marc-Olivier</t>
  </si>
  <si>
    <t>Marc-Olivier</t>
  </si>
  <si>
    <t>Victoria</t>
  </si>
  <si>
    <t>STE-ROSE</t>
  </si>
  <si>
    <t>H7T1K8</t>
  </si>
  <si>
    <t>819 324-6285</t>
  </si>
  <si>
    <t>1843697</t>
  </si>
  <si>
    <t>Simard, Ariane</t>
  </si>
  <si>
    <t>Simard</t>
  </si>
  <si>
    <t>Boies</t>
  </si>
  <si>
    <t>J7E2M9</t>
  </si>
  <si>
    <t>450 612-8502</t>
  </si>
  <si>
    <t>1924498</t>
  </si>
  <si>
    <t>Pichette, Christine</t>
  </si>
  <si>
    <t>Pichette</t>
  </si>
  <si>
    <t>Christine</t>
  </si>
  <si>
    <t>Comeau</t>
  </si>
  <si>
    <t>Teslim Bakary</t>
  </si>
  <si>
    <t>581 986-6783</t>
  </si>
  <si>
    <t>1837914</t>
  </si>
  <si>
    <t>Chesne, Pamela</t>
  </si>
  <si>
    <t>Chesne</t>
  </si>
  <si>
    <t>Pamela</t>
  </si>
  <si>
    <t>Plouffe-Laurencelle</t>
  </si>
  <si>
    <t>H7R4H2</t>
  </si>
  <si>
    <t>819 326-4498</t>
  </si>
  <si>
    <t>1783515</t>
  </si>
  <si>
    <t>Demers, Mélody</t>
  </si>
  <si>
    <t>Mélody</t>
  </si>
  <si>
    <t>Naud</t>
  </si>
  <si>
    <t>ST-JÉROME</t>
  </si>
  <si>
    <t>H7R5A9</t>
  </si>
  <si>
    <t>819 325-3066</t>
  </si>
  <si>
    <t>1976240</t>
  </si>
  <si>
    <t>Rochon, Billy</t>
  </si>
  <si>
    <t>Rochon</t>
  </si>
  <si>
    <t>Billy</t>
  </si>
  <si>
    <t>Brouillette</t>
  </si>
  <si>
    <t>Zoé</t>
  </si>
  <si>
    <t>VIMONT</t>
  </si>
  <si>
    <t>G0R3C0</t>
  </si>
  <si>
    <t xml:space="preserve"> -</t>
  </si>
  <si>
    <t>Arts visuels</t>
  </si>
  <si>
    <t>Oui</t>
  </si>
  <si>
    <t>1841935</t>
  </si>
  <si>
    <t>Laurin, Jennifer</t>
  </si>
  <si>
    <t>Laurin</t>
  </si>
  <si>
    <t>Jennifer</t>
  </si>
  <si>
    <t>Girouard</t>
  </si>
  <si>
    <t>Anthony</t>
  </si>
  <si>
    <t>BON-CONSEIL</t>
  </si>
  <si>
    <t>J8A1V8</t>
  </si>
  <si>
    <t>438 869-8729</t>
  </si>
  <si>
    <t>081.06</t>
  </si>
  <si>
    <t>Tremplin DEC</t>
  </si>
  <si>
    <t>1977738</t>
  </si>
  <si>
    <t>Charbonneau, Priska</t>
  </si>
  <si>
    <t>Charbonneau</t>
  </si>
  <si>
    <t>Priska</t>
  </si>
  <si>
    <t>Proulx</t>
  </si>
  <si>
    <t>819 217-5020</t>
  </si>
  <si>
    <t>Formation générale</t>
  </si>
  <si>
    <t>1949064</t>
  </si>
  <si>
    <t>Couvet, Nicholas</t>
  </si>
  <si>
    <t>Couvet</t>
  </si>
  <si>
    <t>Nicholas</t>
  </si>
  <si>
    <t>Paul</t>
  </si>
  <si>
    <t>Sydney</t>
  </si>
  <si>
    <t>579 888-4132</t>
  </si>
  <si>
    <t>1930445</t>
  </si>
  <si>
    <t>Angers, Yan</t>
  </si>
  <si>
    <t>Yan</t>
  </si>
  <si>
    <t>579 888-2469</t>
  </si>
  <si>
    <t>1846681</t>
  </si>
  <si>
    <t>Rancourt, Cassyopée</t>
  </si>
  <si>
    <t>Rancourt</t>
  </si>
  <si>
    <t>Cassyopée</t>
  </si>
  <si>
    <t>Céré-Lauzière</t>
  </si>
  <si>
    <t>St-Lin-Laurentides</t>
  </si>
  <si>
    <t>H7P5C5</t>
  </si>
  <si>
    <t>819 333-4027</t>
  </si>
  <si>
    <t>1830260</t>
  </si>
  <si>
    <t>Bélec, Tristan</t>
  </si>
  <si>
    <t>Bélec</t>
  </si>
  <si>
    <t>Tristan</t>
  </si>
  <si>
    <t>Thériault</t>
  </si>
  <si>
    <t>FABREVILLE</t>
  </si>
  <si>
    <t>J7Z7J6</t>
  </si>
  <si>
    <t>438 888-9536</t>
  </si>
  <si>
    <t>1744505</t>
  </si>
  <si>
    <t>Brisebois, Samuel</t>
  </si>
  <si>
    <t>Brisebois</t>
  </si>
  <si>
    <t>Samuel</t>
  </si>
  <si>
    <t>Rollin</t>
  </si>
  <si>
    <t>STE-SOPHIE</t>
  </si>
  <si>
    <t>H7T0C1</t>
  </si>
  <si>
    <t>819 324-6570</t>
  </si>
  <si>
    <t>1906964</t>
  </si>
  <si>
    <t>Vinette, Alex</t>
  </si>
  <si>
    <t>Vinette</t>
  </si>
  <si>
    <t>Alex</t>
  </si>
  <si>
    <t>Allard</t>
  </si>
  <si>
    <t>579 888-2773</t>
  </si>
  <si>
    <t>1579005</t>
  </si>
  <si>
    <t>Le Sieur, Jade</t>
  </si>
  <si>
    <t>Le Sieur</t>
  </si>
  <si>
    <t>Jade</t>
  </si>
  <si>
    <t>Gendron</t>
  </si>
  <si>
    <t>Laetitia</t>
  </si>
  <si>
    <t>SAINTE-ROSE</t>
  </si>
  <si>
    <t>J6Z4J1</t>
  </si>
  <si>
    <t>450 818-8686</t>
  </si>
  <si>
    <t>300.35</t>
  </si>
  <si>
    <t>1932397</t>
  </si>
  <si>
    <t>Mercier, Emmanuel</t>
  </si>
  <si>
    <t>Mercier</t>
  </si>
  <si>
    <t>Emmanuel</t>
  </si>
  <si>
    <t>Dion</t>
  </si>
  <si>
    <t>Emilya</t>
  </si>
  <si>
    <t>J7R3J9</t>
  </si>
  <si>
    <t>450 475-0542</t>
  </si>
  <si>
    <t>1960824</t>
  </si>
  <si>
    <t>Guertin-Duclos, Laurence</t>
  </si>
  <si>
    <t>Guertin-Duclos</t>
  </si>
  <si>
    <t>Lamoureux</t>
  </si>
  <si>
    <t>819 216-0788</t>
  </si>
  <si>
    <t>1828638</t>
  </si>
  <si>
    <t>Robitaille, Brandon</t>
  </si>
  <si>
    <t>Robitaille</t>
  </si>
  <si>
    <t>Brandon</t>
  </si>
  <si>
    <t>Brunelle</t>
  </si>
  <si>
    <t>H7R4E3</t>
  </si>
  <si>
    <t>819 326-5445</t>
  </si>
  <si>
    <t>1748389</t>
  </si>
  <si>
    <t>Bourgeois-Gendron, Sara</t>
  </si>
  <si>
    <t>Bourgeois-Gendron</t>
  </si>
  <si>
    <t>Sara</t>
  </si>
  <si>
    <t>Sabourin</t>
  </si>
  <si>
    <t>Julien</t>
  </si>
  <si>
    <t>SAINTE-AGATHE DESMONTS</t>
  </si>
  <si>
    <t>J7C5B1</t>
  </si>
  <si>
    <t>450 675-6899</t>
  </si>
  <si>
    <t>Techniques de comptabilité et de gestion</t>
  </si>
  <si>
    <t>1971456</t>
  </si>
  <si>
    <t>Plasse, Charlie</t>
  </si>
  <si>
    <t>Plasse</t>
  </si>
  <si>
    <t>Charlie</t>
  </si>
  <si>
    <t>Chiodoni-Lafrance</t>
  </si>
  <si>
    <t>Armèle</t>
  </si>
  <si>
    <t>HAWKESBURY</t>
  </si>
  <si>
    <t>J7Z7C3</t>
  </si>
  <si>
    <t>438 929-8078</t>
  </si>
  <si>
    <t>1862274</t>
  </si>
  <si>
    <t>Lord, Gabriel</t>
  </si>
  <si>
    <t>Lord</t>
  </si>
  <si>
    <t>Fontaine-Dussault</t>
  </si>
  <si>
    <t>581 307-8922</t>
  </si>
  <si>
    <t>1666925</t>
  </si>
  <si>
    <t>Morin, Emie</t>
  </si>
  <si>
    <t>Morin</t>
  </si>
  <si>
    <t>Emie</t>
  </si>
  <si>
    <t>Desgagnés</t>
  </si>
  <si>
    <t>J7Z7J1</t>
  </si>
  <si>
    <t>438 889-1715</t>
  </si>
  <si>
    <t>0544428</t>
  </si>
  <si>
    <t>Laliberté, Joannie</t>
  </si>
  <si>
    <t>Laliberté</t>
  </si>
  <si>
    <t>Joannie</t>
  </si>
  <si>
    <t>Harbec-Pilotte</t>
  </si>
  <si>
    <t>BROWNSBURG</t>
  </si>
  <si>
    <t>J8A1T7</t>
  </si>
  <si>
    <t>438 870-1685</t>
  </si>
  <si>
    <t>1969921</t>
  </si>
  <si>
    <t>Demers, Mélodie</t>
  </si>
  <si>
    <t>Mélodie</t>
  </si>
  <si>
    <t>Neiderer</t>
  </si>
  <si>
    <t>819 216-1901</t>
  </si>
  <si>
    <t>1943693</t>
  </si>
  <si>
    <t>Tremblay, Alona</t>
  </si>
  <si>
    <t>Tremblay</t>
  </si>
  <si>
    <t>Alona</t>
  </si>
  <si>
    <t>Beaulieu</t>
  </si>
  <si>
    <t>H7T1A7</t>
  </si>
  <si>
    <t>819 324-6401</t>
  </si>
  <si>
    <t>1827873</t>
  </si>
  <si>
    <t>Martinez, Fannie</t>
  </si>
  <si>
    <t>Martinez</t>
  </si>
  <si>
    <t>Fannie</t>
  </si>
  <si>
    <t>J0N1G5</t>
  </si>
  <si>
    <t>819 216-5525</t>
  </si>
  <si>
    <t>1408160</t>
  </si>
  <si>
    <t>ST-LIN LAURENTIDES</t>
  </si>
  <si>
    <t>H7P5S9</t>
  </si>
  <si>
    <t>819 327-5452</t>
  </si>
  <si>
    <t>1838641</t>
  </si>
  <si>
    <t>Desjardins, Mégane</t>
  </si>
  <si>
    <t>Desjardins</t>
  </si>
  <si>
    <t>Mégane</t>
  </si>
  <si>
    <t>Moreau</t>
  </si>
  <si>
    <t>Isaac</t>
  </si>
  <si>
    <t>SAINT-AUGUSTIN DESMAURES</t>
  </si>
  <si>
    <t>J7J2M9</t>
  </si>
  <si>
    <t>450 562-7125</t>
  </si>
  <si>
    <t>300.32</t>
  </si>
  <si>
    <t>1830954</t>
  </si>
  <si>
    <t>Saint-Cyr, Audrey</t>
  </si>
  <si>
    <t>Saint-Cyr</t>
  </si>
  <si>
    <t>Audrey</t>
  </si>
  <si>
    <t>Boulianne</t>
  </si>
  <si>
    <t>579 990-0703</t>
  </si>
  <si>
    <t>1842098</t>
  </si>
  <si>
    <t>Baron, Virginie</t>
  </si>
  <si>
    <t>Baron</t>
  </si>
  <si>
    <t>Virginie</t>
  </si>
  <si>
    <t>Turcotte</t>
  </si>
  <si>
    <t>819 216-1158</t>
  </si>
  <si>
    <t>1954669</t>
  </si>
  <si>
    <t>Grenon, Laurie</t>
  </si>
  <si>
    <t>Grenon</t>
  </si>
  <si>
    <t>Laurie</t>
  </si>
  <si>
    <t>Lanthier</t>
  </si>
  <si>
    <t>ST-EUSTACHE</t>
  </si>
  <si>
    <t>H7S1G9</t>
  </si>
  <si>
    <t>819 324-8220</t>
  </si>
  <si>
    <t>1980487</t>
  </si>
  <si>
    <t>Parent-Simard, Danaé</t>
  </si>
  <si>
    <t>Parent-Simard</t>
  </si>
  <si>
    <t>Danaé</t>
  </si>
  <si>
    <t>819 326-4072</t>
  </si>
  <si>
    <t>1625498</t>
  </si>
  <si>
    <t>Blanchet, Simon</t>
  </si>
  <si>
    <t>Blanchet</t>
  </si>
  <si>
    <t>Simon</t>
  </si>
  <si>
    <t>Songa</t>
  </si>
  <si>
    <t>Zoila</t>
  </si>
  <si>
    <t>POINTE-AUX-TREMBLES</t>
  </si>
  <si>
    <t>FG0.00</t>
  </si>
  <si>
    <t>1571662</t>
  </si>
  <si>
    <t>Carbajal Gonzalez, Roxanne</t>
  </si>
  <si>
    <t>Carbajal Gonzalez</t>
  </si>
  <si>
    <t>Roxanne</t>
  </si>
  <si>
    <t>Richard-Paradis</t>
  </si>
  <si>
    <t>Heïdy</t>
  </si>
  <si>
    <t>SAINT HIPPOLYTE</t>
  </si>
  <si>
    <t>J7K3R1</t>
  </si>
  <si>
    <t>450 560-5888</t>
  </si>
  <si>
    <t>1954973</t>
  </si>
  <si>
    <t>Belley, Thomas</t>
  </si>
  <si>
    <t>Belley</t>
  </si>
  <si>
    <t>Tavares</t>
  </si>
  <si>
    <t>581 999-8022</t>
  </si>
  <si>
    <t>1764755</t>
  </si>
  <si>
    <t>Bibaud, Stéphanie</t>
  </si>
  <si>
    <t>Bibaud</t>
  </si>
  <si>
    <t>St-Jean</t>
  </si>
  <si>
    <t>Emily-Ann</t>
  </si>
  <si>
    <t>J7R3A5</t>
  </si>
  <si>
    <t>450 475-2637</t>
  </si>
  <si>
    <t>1943884</t>
  </si>
  <si>
    <t>Desmanches Gratton, Mégan</t>
  </si>
  <si>
    <t>Desmanches Gratton</t>
  </si>
  <si>
    <t>Mégan</t>
  </si>
  <si>
    <t>Momplaisir</t>
  </si>
  <si>
    <t>Émily</t>
  </si>
  <si>
    <t>J7R3P4</t>
  </si>
  <si>
    <t>450 474-7248</t>
  </si>
  <si>
    <t>1842998</t>
  </si>
  <si>
    <t>Desjardins, Méganne</t>
  </si>
  <si>
    <t>Méganne</t>
  </si>
  <si>
    <t>450 848-7683</t>
  </si>
  <si>
    <t>1560576</t>
  </si>
  <si>
    <t>Arsenault, William Franck</t>
  </si>
  <si>
    <t>Arsenault</t>
  </si>
  <si>
    <t>William Franck</t>
  </si>
  <si>
    <t>Vanier</t>
  </si>
  <si>
    <t>Tania</t>
  </si>
  <si>
    <t>579 888-8575</t>
  </si>
  <si>
    <t>1162848</t>
  </si>
  <si>
    <t>Groulx, Laurianne</t>
  </si>
  <si>
    <t>Groulx</t>
  </si>
  <si>
    <t>Laurianne</t>
  </si>
  <si>
    <t>Langlois</t>
  </si>
  <si>
    <t>Justine</t>
  </si>
  <si>
    <t>SAINTE-AGATHE-NORD</t>
  </si>
  <si>
    <t>J7C4J6</t>
  </si>
  <si>
    <t>450 694-1838</t>
  </si>
  <si>
    <t>1653112</t>
  </si>
  <si>
    <t>Helie, Kristelle</t>
  </si>
  <si>
    <t>Helie</t>
  </si>
  <si>
    <t>Kristelle</t>
  </si>
  <si>
    <t>Lahaie</t>
  </si>
  <si>
    <t>819 216-1627</t>
  </si>
  <si>
    <t>1470415</t>
  </si>
  <si>
    <t>Racette, Catherine</t>
  </si>
  <si>
    <t>Racette</t>
  </si>
  <si>
    <t>Catherine</t>
  </si>
  <si>
    <t>Chamberland</t>
  </si>
  <si>
    <t>819 216-0785</t>
  </si>
  <si>
    <t>1754320</t>
  </si>
  <si>
    <t>Ville, Alexandra</t>
  </si>
  <si>
    <t>Andrade</t>
  </si>
  <si>
    <t>Cassandra</t>
  </si>
  <si>
    <t>LAVAL-OUEST</t>
  </si>
  <si>
    <t>J7Z3J8</t>
  </si>
  <si>
    <t>450 303-0640</t>
  </si>
  <si>
    <t>180.A0</t>
  </si>
  <si>
    <t>Techniques d'intervention en loisir</t>
  </si>
  <si>
    <t>1927504</t>
  </si>
  <si>
    <t>Emard, Marilys</t>
  </si>
  <si>
    <t>Emard</t>
  </si>
  <si>
    <t>Marilys</t>
  </si>
  <si>
    <t>Malette</t>
  </si>
  <si>
    <t>450 848-7756</t>
  </si>
  <si>
    <t>1931478</t>
  </si>
  <si>
    <t>Bélisle, Tristan</t>
  </si>
  <si>
    <t>Bélisle</t>
  </si>
  <si>
    <t>Tessier</t>
  </si>
  <si>
    <t>ST-LIN-LAURENTIDES</t>
  </si>
  <si>
    <t>H7P5N7</t>
  </si>
  <si>
    <t>819 327-5494</t>
  </si>
  <si>
    <t>1936992</t>
  </si>
  <si>
    <t>Locas, Gabriel</t>
  </si>
  <si>
    <t>Locas</t>
  </si>
  <si>
    <t>Forget</t>
  </si>
  <si>
    <t>Stéfanie Jessy</t>
  </si>
  <si>
    <t>579 888-1520</t>
  </si>
  <si>
    <t>1659433</t>
  </si>
  <si>
    <t>Risdon-Dauphin, Camille</t>
  </si>
  <si>
    <t>Risdon-Dauphin</t>
  </si>
  <si>
    <t>Cabot</t>
  </si>
  <si>
    <t>450 848-7919</t>
  </si>
  <si>
    <t>1865180</t>
  </si>
  <si>
    <t>Sergerie, Arianne</t>
  </si>
  <si>
    <t>Sergerie</t>
  </si>
  <si>
    <t>Arianne</t>
  </si>
  <si>
    <t>Boivin</t>
  </si>
  <si>
    <t>450 612-7084</t>
  </si>
  <si>
    <t>1884736</t>
  </si>
  <si>
    <t>Pépin, Coralie</t>
  </si>
  <si>
    <t>Pépin</t>
  </si>
  <si>
    <t>Coralie</t>
  </si>
  <si>
    <t>Cottier Tessier</t>
  </si>
  <si>
    <t>STE-THERESE</t>
  </si>
  <si>
    <t>H7S2G8</t>
  </si>
  <si>
    <t>819 324-6922</t>
  </si>
  <si>
    <t>1457979</t>
  </si>
  <si>
    <t>Larocque, Jérémie</t>
  </si>
  <si>
    <t>Larocque</t>
  </si>
  <si>
    <t>Jérémie</t>
  </si>
  <si>
    <t>Staëlle</t>
  </si>
  <si>
    <t>579 888-1060</t>
  </si>
  <si>
    <t>1950839</t>
  </si>
  <si>
    <t>Titley, Amélia</t>
  </si>
  <si>
    <t>Titley</t>
  </si>
  <si>
    <t>Amélia</t>
  </si>
  <si>
    <t>819 216-1345</t>
  </si>
  <si>
    <t>1825410</t>
  </si>
  <si>
    <t>Langevin, Jessica</t>
  </si>
  <si>
    <t>Langevin</t>
  </si>
  <si>
    <t>Guay</t>
  </si>
  <si>
    <t>579 888-4114</t>
  </si>
  <si>
    <t>1839289</t>
  </si>
  <si>
    <t>Ladouceur, Josie-Ann</t>
  </si>
  <si>
    <t>Ladouceur</t>
  </si>
  <si>
    <t>Josie-Ann</t>
  </si>
  <si>
    <t>Howarth</t>
  </si>
  <si>
    <t>ST-HIPPOLYTE</t>
  </si>
  <si>
    <t>H7R5Z5</t>
  </si>
  <si>
    <t>819 324-9059</t>
  </si>
  <si>
    <t>1933101</t>
  </si>
  <si>
    <t>Mianda Dibula, Émilie</t>
  </si>
  <si>
    <t>Mianda Dibula</t>
  </si>
  <si>
    <t>Émilie</t>
  </si>
  <si>
    <t>Devoyault</t>
  </si>
  <si>
    <t>819 216-2405</t>
  </si>
  <si>
    <t>1951269</t>
  </si>
  <si>
    <t>Théroux, Anabelle</t>
  </si>
  <si>
    <t>Théroux</t>
  </si>
  <si>
    <t>Anabelle</t>
  </si>
  <si>
    <t>Bélanger</t>
  </si>
  <si>
    <t>Symon</t>
  </si>
  <si>
    <t>579 888-5101</t>
  </si>
  <si>
    <t>1524476</t>
  </si>
  <si>
    <t>Larocque, Jeremy</t>
  </si>
  <si>
    <t>Jeremy</t>
  </si>
  <si>
    <t>Gosselin</t>
  </si>
  <si>
    <t>Any-Pier</t>
  </si>
  <si>
    <t>Côteau-du-Lac</t>
  </si>
  <si>
    <t>J8A1A4</t>
  </si>
  <si>
    <t>438 884-0058</t>
  </si>
  <si>
    <t>140.B0</t>
  </si>
  <si>
    <t>1553991</t>
  </si>
  <si>
    <t>Roy, Audrey-Anne</t>
  </si>
  <si>
    <t>Audrey-Anne</t>
  </si>
  <si>
    <t>Sue-Helen</t>
  </si>
  <si>
    <t>SAINT-LIN LAURENTIDES</t>
  </si>
  <si>
    <t>579 888-3484</t>
  </si>
  <si>
    <t>1970409</t>
  </si>
  <si>
    <t>Bastien-Monat, Vincent</t>
  </si>
  <si>
    <t>Bastien-Monat</t>
  </si>
  <si>
    <t>Trudel</t>
  </si>
  <si>
    <t>581 888-7566</t>
  </si>
  <si>
    <t>1587989</t>
  </si>
  <si>
    <t>Verdier, Alexandra</t>
  </si>
  <si>
    <t>Verdier</t>
  </si>
  <si>
    <t>Arcand</t>
  </si>
  <si>
    <t>581 309-4948</t>
  </si>
  <si>
    <t>1743471</t>
  </si>
  <si>
    <t>Filion, Marie-Pier</t>
  </si>
  <si>
    <t>Filion</t>
  </si>
  <si>
    <t>819 216-1611</t>
  </si>
  <si>
    <t>1873548</t>
  </si>
  <si>
    <t>Goyer Richard, Laurie-Ann</t>
  </si>
  <si>
    <t>Goyer Richard</t>
  </si>
  <si>
    <t>Laurie-Ann</t>
  </si>
  <si>
    <t>Laroche</t>
  </si>
  <si>
    <t>819 216-3048</t>
  </si>
  <si>
    <t>1222202</t>
  </si>
  <si>
    <t>Stécy</t>
  </si>
  <si>
    <t>579 888-1414</t>
  </si>
  <si>
    <t>1287959</t>
  </si>
  <si>
    <t>Houle, Kevin</t>
  </si>
  <si>
    <t>Houle</t>
  </si>
  <si>
    <t>Kevin</t>
  </si>
  <si>
    <t>Laflamme</t>
  </si>
  <si>
    <t>Marie-Noëlle</t>
  </si>
  <si>
    <t>SAINT-JEROME</t>
  </si>
  <si>
    <t>J5L1E4</t>
  </si>
  <si>
    <t>450 951-9115</t>
  </si>
  <si>
    <t>351.A0</t>
  </si>
  <si>
    <t>1389285</t>
  </si>
  <si>
    <t>Lemire, Guillaume</t>
  </si>
  <si>
    <t>Lemire</t>
  </si>
  <si>
    <t>450 612-5377</t>
  </si>
  <si>
    <t>1645617</t>
  </si>
  <si>
    <t>Perron, Claudie</t>
  </si>
  <si>
    <t>Perron</t>
  </si>
  <si>
    <t>Claudie</t>
  </si>
  <si>
    <t>Coté</t>
  </si>
  <si>
    <t>579 888-2472</t>
  </si>
  <si>
    <t>1842571</t>
  </si>
  <si>
    <t>Lebel, Jade</t>
  </si>
  <si>
    <t>Lebel</t>
  </si>
  <si>
    <t>Gélinas</t>
  </si>
  <si>
    <t>579 888-1435</t>
  </si>
  <si>
    <t>0364218</t>
  </si>
  <si>
    <t>Dufresne, Mathis</t>
  </si>
  <si>
    <t>Dufresne</t>
  </si>
  <si>
    <t>Mathis</t>
  </si>
  <si>
    <t>Martineau-Lapierre</t>
  </si>
  <si>
    <t>Andy</t>
  </si>
  <si>
    <t>BOIS DES FILION</t>
  </si>
  <si>
    <t>J8B1K6</t>
  </si>
  <si>
    <t>438 823-0070</t>
  </si>
  <si>
    <t>1332836</t>
  </si>
  <si>
    <t>Phan-Lo Man, Clara</t>
  </si>
  <si>
    <t>Phan-Lo Man</t>
  </si>
  <si>
    <t>Clara</t>
  </si>
  <si>
    <t>Cormier</t>
  </si>
  <si>
    <t>Fabiola</t>
  </si>
  <si>
    <t>J7N3H1</t>
  </si>
  <si>
    <t>450 504-7895</t>
  </si>
  <si>
    <t>1762636</t>
  </si>
  <si>
    <t>Pelletier, Corinne</t>
  </si>
  <si>
    <t>Pelletier</t>
  </si>
  <si>
    <t>Corinne</t>
  </si>
  <si>
    <t>Courot</t>
  </si>
  <si>
    <t>ST-HYPPOLITE</t>
  </si>
  <si>
    <t>H7R5X9</t>
  </si>
  <si>
    <t>819 325-1064</t>
  </si>
  <si>
    <t>1531586</t>
  </si>
  <si>
    <t>Ouellet, Edward</t>
  </si>
  <si>
    <t>Ouellet</t>
  </si>
  <si>
    <t>Edward</t>
  </si>
  <si>
    <t>Daunais</t>
  </si>
  <si>
    <t>Thalie</t>
  </si>
  <si>
    <t>581 999-5630</t>
  </si>
  <si>
    <t>0670804</t>
  </si>
  <si>
    <t>Pierre Louis, Christian-Landry</t>
  </si>
  <si>
    <t>Pierre Louis</t>
  </si>
  <si>
    <t>Christian-Landry</t>
  </si>
  <si>
    <t>Collin</t>
  </si>
  <si>
    <t>ST-LIN</t>
  </si>
  <si>
    <t>H7P5W1</t>
  </si>
  <si>
    <t>819 327-3937</t>
  </si>
  <si>
    <t>1873646</t>
  </si>
  <si>
    <t>Chassay, Patricia</t>
  </si>
  <si>
    <t>Chassay</t>
  </si>
  <si>
    <t>Patricia</t>
  </si>
  <si>
    <t>Poliquin</t>
  </si>
  <si>
    <t>SAINT-FAUSTIN--LAC-CARRÉ</t>
  </si>
  <si>
    <t>J5L1Y8</t>
  </si>
  <si>
    <t>450 848-8362</t>
  </si>
  <si>
    <t>1978093</t>
  </si>
  <si>
    <t>Ménard, Emy</t>
  </si>
  <si>
    <t>Ménard</t>
  </si>
  <si>
    <t>Emy</t>
  </si>
  <si>
    <t>Doddridge</t>
  </si>
  <si>
    <t>ST-JOSEPH DU LAC</t>
  </si>
  <si>
    <t>H7P6A7</t>
  </si>
  <si>
    <t>819 327-3859</t>
  </si>
  <si>
    <t>1541347</t>
  </si>
  <si>
    <t>Lupien, Gabriel</t>
  </si>
  <si>
    <t>Lupien</t>
  </si>
  <si>
    <t>Fiorito</t>
  </si>
  <si>
    <t>J7E2V1</t>
  </si>
  <si>
    <t>450 612-3044</t>
  </si>
  <si>
    <t>1483364</t>
  </si>
  <si>
    <t>Fontaine, Marielle</t>
  </si>
  <si>
    <t>Fontaine</t>
  </si>
  <si>
    <t>Marielle</t>
  </si>
  <si>
    <t>Lorrain</t>
  </si>
  <si>
    <t>Antony</t>
  </si>
  <si>
    <t>CHUTE ST PHILIPPE</t>
  </si>
  <si>
    <t>J8A1A8</t>
  </si>
  <si>
    <t>438 883-2303</t>
  </si>
  <si>
    <t>1779868</t>
  </si>
  <si>
    <t>Guénard, Lauriane</t>
  </si>
  <si>
    <t>Guénard</t>
  </si>
  <si>
    <t>Lauriane</t>
  </si>
  <si>
    <t>Laneuville</t>
  </si>
  <si>
    <t>J0N1G4</t>
  </si>
  <si>
    <t>819 216-8675</t>
  </si>
  <si>
    <t>1644514</t>
  </si>
  <si>
    <t>Arruda Tavares, Xavier</t>
  </si>
  <si>
    <t>Arruda Tavares</t>
  </si>
  <si>
    <t>Xavier</t>
  </si>
  <si>
    <t>J7E2S6</t>
  </si>
  <si>
    <t>450 612-3147</t>
  </si>
  <si>
    <t>1976715</t>
  </si>
  <si>
    <t>Bertrand, Swany</t>
  </si>
  <si>
    <t>Bertrand</t>
  </si>
  <si>
    <t>Swany</t>
  </si>
  <si>
    <t>St-Laurent</t>
  </si>
  <si>
    <t>579 990-3551</t>
  </si>
  <si>
    <t>1944386</t>
  </si>
  <si>
    <t>Laflamme, Josiane</t>
  </si>
  <si>
    <t>Josiane</t>
  </si>
  <si>
    <t>579 888-8033</t>
  </si>
  <si>
    <t>1820770</t>
  </si>
  <si>
    <t>Claveau, Olivier</t>
  </si>
  <si>
    <t>Plante</t>
  </si>
  <si>
    <t>819 216-1772</t>
  </si>
  <si>
    <t>1876519</t>
  </si>
  <si>
    <t>Matte, Eve</t>
  </si>
  <si>
    <t>Matte</t>
  </si>
  <si>
    <t>Eve</t>
  </si>
  <si>
    <t>Dubois-Sinotte</t>
  </si>
  <si>
    <t>J7E2L5</t>
  </si>
  <si>
    <t>450 612-9626</t>
  </si>
  <si>
    <t>1831151</t>
  </si>
  <si>
    <t>Lévesque, Gabrielle</t>
  </si>
  <si>
    <t>Lévesque</t>
  </si>
  <si>
    <t>Gabrielle</t>
  </si>
  <si>
    <t>Fortin</t>
  </si>
  <si>
    <t>579 888-2565</t>
  </si>
  <si>
    <t>1945302</t>
  </si>
  <si>
    <t>Beauchamp, Vincent</t>
  </si>
  <si>
    <t>Beauchamp</t>
  </si>
  <si>
    <t>Trempe</t>
  </si>
  <si>
    <t>Thaïna</t>
  </si>
  <si>
    <t>581 990-1468</t>
  </si>
  <si>
    <t>1375042</t>
  </si>
  <si>
    <t>Boismenu-Miller, Shy-Ann</t>
  </si>
  <si>
    <t>Boismenu-Miller</t>
  </si>
  <si>
    <t>Shy-Ann</t>
  </si>
  <si>
    <t>Siaman</t>
  </si>
  <si>
    <t>Marie-Odile</t>
  </si>
  <si>
    <t>SAINT-JÉROME</t>
  </si>
  <si>
    <t>450 951-9774</t>
  </si>
  <si>
    <t>1429086</t>
  </si>
  <si>
    <t>Parizeault, Dalyane</t>
  </si>
  <si>
    <t>Parizeault</t>
  </si>
  <si>
    <t>Dalyane</t>
  </si>
  <si>
    <t>Crépeau</t>
  </si>
  <si>
    <t>H7R0A1</t>
  </si>
  <si>
    <t>819 326-9298</t>
  </si>
  <si>
    <t>1736413</t>
  </si>
  <si>
    <t>Villeneuve, Alexa</t>
  </si>
  <si>
    <t>Villeneuve</t>
  </si>
  <si>
    <t>Alexa</t>
  </si>
  <si>
    <t>Amyot-Cashulette</t>
  </si>
  <si>
    <t>Marie-Lou</t>
  </si>
  <si>
    <t>450 951-5381</t>
  </si>
  <si>
    <t>1849188</t>
  </si>
  <si>
    <t>Goulet, Laurie-Anne</t>
  </si>
  <si>
    <t>Laurie-Anne</t>
  </si>
  <si>
    <t>STE ADÈLE</t>
  </si>
  <si>
    <t>H7V2J9</t>
  </si>
  <si>
    <t>819 324-6107</t>
  </si>
  <si>
    <t>1835354</t>
  </si>
  <si>
    <t>Carrière, Rosalie</t>
  </si>
  <si>
    <t>Carrière</t>
  </si>
  <si>
    <t>Rosalie</t>
  </si>
  <si>
    <t>Rémy</t>
  </si>
  <si>
    <t>ST-COLOMBAN</t>
  </si>
  <si>
    <t>H7W0K2</t>
  </si>
  <si>
    <t>819 324-0086</t>
  </si>
  <si>
    <t>1872389</t>
  </si>
  <si>
    <t>Nobert, Elizabeth</t>
  </si>
  <si>
    <t>Nobert</t>
  </si>
  <si>
    <t>Elizabeth</t>
  </si>
  <si>
    <t>Delorme</t>
  </si>
  <si>
    <t>Staicy</t>
  </si>
  <si>
    <t>579 888-1405</t>
  </si>
  <si>
    <t>1974339</t>
  </si>
  <si>
    <t>Ringuet, Camille</t>
  </si>
  <si>
    <t>Ringuet</t>
  </si>
  <si>
    <t>Caisse</t>
  </si>
  <si>
    <t>450 612-1703</t>
  </si>
  <si>
    <t>1962901</t>
  </si>
  <si>
    <t>Kouki, Justine</t>
  </si>
  <si>
    <t>Kouki</t>
  </si>
  <si>
    <t>Juteau</t>
  </si>
  <si>
    <t>Abigaël</t>
  </si>
  <si>
    <t>BAINVILLE</t>
  </si>
  <si>
    <t>J9T3A1</t>
  </si>
  <si>
    <t>418 426-1252</t>
  </si>
  <si>
    <t>1958041</t>
  </si>
  <si>
    <t>Dumoulin-Nadeau, Mathieu</t>
  </si>
  <si>
    <t>Dumoulin-Nadeau</t>
  </si>
  <si>
    <t>Mathieu</t>
  </si>
  <si>
    <t>Marion</t>
  </si>
  <si>
    <t>H7R5J6</t>
  </si>
  <si>
    <t>819 325-2838</t>
  </si>
  <si>
    <t>1781466</t>
  </si>
  <si>
    <t>Provost, Catherine</t>
  </si>
  <si>
    <t>Provost</t>
  </si>
  <si>
    <t>Chaput</t>
  </si>
  <si>
    <t>Stephan</t>
  </si>
  <si>
    <t>579 888-1812</t>
  </si>
  <si>
    <t>1762738</t>
  </si>
  <si>
    <t>Dionne, Maxime</t>
  </si>
  <si>
    <t>Dionne</t>
  </si>
  <si>
    <t>Maxime</t>
  </si>
  <si>
    <t>Meraglia</t>
  </si>
  <si>
    <t>819 325-0579</t>
  </si>
  <si>
    <t>1945857</t>
  </si>
  <si>
    <t>Morency, Emile</t>
  </si>
  <si>
    <t>Morency</t>
  </si>
  <si>
    <t>Emile</t>
  </si>
  <si>
    <t>H7R4L6</t>
  </si>
  <si>
    <t>819 326-3005</t>
  </si>
  <si>
    <t>1820360</t>
  </si>
  <si>
    <t>Paradis, Danika</t>
  </si>
  <si>
    <t>Paradis</t>
  </si>
  <si>
    <t>Danika</t>
  </si>
  <si>
    <t>Cusson</t>
  </si>
  <si>
    <t>Marie-Maxime</t>
  </si>
  <si>
    <t>450 951-6922</t>
  </si>
  <si>
    <t>1605463</t>
  </si>
  <si>
    <t>Gardner, Maggie</t>
  </si>
  <si>
    <t>Gardner</t>
  </si>
  <si>
    <t>Maggie</t>
  </si>
  <si>
    <t>Lefebvre-Fassio</t>
  </si>
  <si>
    <t>819 216-5576</t>
  </si>
  <si>
    <t>1568282</t>
  </si>
  <si>
    <t>Couture, Nick</t>
  </si>
  <si>
    <t>Couture</t>
  </si>
  <si>
    <t>Nick</t>
  </si>
  <si>
    <t>Pelland</t>
  </si>
  <si>
    <t>H7R5L5</t>
  </si>
  <si>
    <t>819 325-2830</t>
  </si>
  <si>
    <t>1939529</t>
  </si>
  <si>
    <t>Gauthier Fréchette, Luc</t>
  </si>
  <si>
    <t>Gauthier Fréchette</t>
  </si>
  <si>
    <t>Luc</t>
  </si>
  <si>
    <t>Leclerc</t>
  </si>
  <si>
    <t>H7X0G2</t>
  </si>
  <si>
    <t>819 323-9311</t>
  </si>
  <si>
    <t>1991098</t>
  </si>
  <si>
    <t>Perron, Claudiane</t>
  </si>
  <si>
    <t>Claudiane</t>
  </si>
  <si>
    <t>Côté</t>
  </si>
  <si>
    <t>J7E2L2</t>
  </si>
  <si>
    <t>450 613-0038</t>
  </si>
  <si>
    <t>1979495</t>
  </si>
  <si>
    <t>Brière-Gaudet</t>
  </si>
  <si>
    <t>J7Z3K1</t>
  </si>
  <si>
    <t>450 302-7563</t>
  </si>
  <si>
    <t>1945740</t>
  </si>
  <si>
    <t>Legault-Théroux, Heïdi</t>
  </si>
  <si>
    <t>Legault-Théroux</t>
  </si>
  <si>
    <t>Heïdi</t>
  </si>
  <si>
    <t>819 326-6007</t>
  </si>
  <si>
    <t>1946190</t>
  </si>
  <si>
    <t>Pilote, Chloé</t>
  </si>
  <si>
    <t>Pilote</t>
  </si>
  <si>
    <t>Chloé</t>
  </si>
  <si>
    <t>Cloutier</t>
  </si>
  <si>
    <t>613 632-7655</t>
  </si>
  <si>
    <t>1829337</t>
  </si>
  <si>
    <t>Havenne, Lan Huong</t>
  </si>
  <si>
    <t>Havenne</t>
  </si>
  <si>
    <t>Lan Huong</t>
  </si>
  <si>
    <t>Lalande</t>
  </si>
  <si>
    <t>Tom</t>
  </si>
  <si>
    <t>J0N1G1</t>
  </si>
  <si>
    <t>819 217-6246</t>
  </si>
  <si>
    <t>1959354</t>
  </si>
  <si>
    <t>Richer, Camille</t>
  </si>
  <si>
    <t>Richer</t>
  </si>
  <si>
    <t>Calvé-Charron</t>
  </si>
  <si>
    <t>Stefanny</t>
  </si>
  <si>
    <t>579 888-1545</t>
  </si>
  <si>
    <t>6129190</t>
  </si>
  <si>
    <t>Mc Gowan</t>
  </si>
  <si>
    <t>579 888-2488</t>
  </si>
  <si>
    <t>1587158</t>
  </si>
  <si>
    <t>Dupéré, Mathieu</t>
  </si>
  <si>
    <t>Dupéré</t>
  </si>
  <si>
    <t>819 216-0988</t>
  </si>
  <si>
    <t>1642294</t>
  </si>
  <si>
    <t>Chabot, Rawad</t>
  </si>
  <si>
    <t>Chabot</t>
  </si>
  <si>
    <t>Rawad</t>
  </si>
  <si>
    <t>Rajala</t>
  </si>
  <si>
    <t>Joani</t>
  </si>
  <si>
    <t>J7E2V3</t>
  </si>
  <si>
    <t>450 612-1166</t>
  </si>
  <si>
    <t>1561373</t>
  </si>
  <si>
    <t>Scattolin, Ashley</t>
  </si>
  <si>
    <t>Scattolin</t>
  </si>
  <si>
    <t>Ashley</t>
  </si>
  <si>
    <t>Borza</t>
  </si>
  <si>
    <t>Victoria-Isabela</t>
  </si>
  <si>
    <t>STE-THÉRÈSE</t>
  </si>
  <si>
    <t>H7S1Y6</t>
  </si>
  <si>
    <t>819 324-8034</t>
  </si>
  <si>
    <t>1964982</t>
  </si>
  <si>
    <t>Ferreira-Charbonneau, Marie-Soleil</t>
  </si>
  <si>
    <t>Ferreira-Charbonneau</t>
  </si>
  <si>
    <t>Marie-Soleil</t>
  </si>
  <si>
    <t>Maheux</t>
  </si>
  <si>
    <t>SAINTE MARGUERITE DU LAC MASSO</t>
  </si>
  <si>
    <t>J7E2H6</t>
  </si>
  <si>
    <t>450 613-0423</t>
  </si>
  <si>
    <t>1734269</t>
  </si>
  <si>
    <t>Goudreau</t>
  </si>
  <si>
    <t>450 848-7447</t>
  </si>
  <si>
    <t>1185704</t>
  </si>
  <si>
    <t>Brunet, Samuel</t>
  </si>
  <si>
    <t>Brunet</t>
  </si>
  <si>
    <t>Robertson</t>
  </si>
  <si>
    <t>819 216-8054</t>
  </si>
  <si>
    <t>1348135</t>
  </si>
  <si>
    <t>Zein, Abdul-Razak</t>
  </si>
  <si>
    <t>Zein</t>
  </si>
  <si>
    <t>Abdul-Razak</t>
  </si>
  <si>
    <t>Abe Nkoum</t>
  </si>
  <si>
    <t>579 888-6757</t>
  </si>
  <si>
    <t>1572276</t>
  </si>
  <si>
    <t>Guindon, Laurence</t>
  </si>
  <si>
    <t>Guindon</t>
  </si>
  <si>
    <t>Lambert</t>
  </si>
  <si>
    <t>579 888-2966</t>
  </si>
  <si>
    <t>1435728</t>
  </si>
  <si>
    <t>Décembre, Michaël</t>
  </si>
  <si>
    <t>Décembre</t>
  </si>
  <si>
    <t>Michaël</t>
  </si>
  <si>
    <t>Normandin-Leclerc</t>
  </si>
  <si>
    <t>819 216-5036</t>
  </si>
  <si>
    <t>1853592</t>
  </si>
  <si>
    <t>Charron, Pawanjot</t>
  </si>
  <si>
    <t>Charron</t>
  </si>
  <si>
    <t>Pawanjot</t>
  </si>
  <si>
    <t>Poulin</t>
  </si>
  <si>
    <t>STE-ANNE-DES-LACS</t>
  </si>
  <si>
    <t>H7T1M6</t>
  </si>
  <si>
    <t>819 324-6261</t>
  </si>
  <si>
    <t>1948059</t>
  </si>
  <si>
    <t>Picard, Cindy</t>
  </si>
  <si>
    <t>Picard</t>
  </si>
  <si>
    <t>Cindy</t>
  </si>
  <si>
    <t>Corbin</t>
  </si>
  <si>
    <t>H7R4N7</t>
  </si>
  <si>
    <t>819 325-3369</t>
  </si>
  <si>
    <t>1953943</t>
  </si>
  <si>
    <t>Collette, Oksana</t>
  </si>
  <si>
    <t>Collette</t>
  </si>
  <si>
    <t>Oksana</t>
  </si>
  <si>
    <t>Pietroniro</t>
  </si>
  <si>
    <t>H7P5M8</t>
  </si>
  <si>
    <t>819 328-8634</t>
  </si>
  <si>
    <t>1958920</t>
  </si>
  <si>
    <t>Ménard-St-Jacques, Emmanuelle</t>
  </si>
  <si>
    <t>Ménard-St-Jacques</t>
  </si>
  <si>
    <t>Emmanuelle</t>
  </si>
  <si>
    <t>Diotte</t>
  </si>
  <si>
    <t>Kym</t>
  </si>
  <si>
    <t>J6Z4N7</t>
  </si>
  <si>
    <t>450 818-6063</t>
  </si>
  <si>
    <t>1971340</t>
  </si>
  <si>
    <t>Théorêt-Desormeaux, Andréann</t>
  </si>
  <si>
    <t>Théorêt-Desormeaux</t>
  </si>
  <si>
    <t>Andréann</t>
  </si>
  <si>
    <t>Belisle</t>
  </si>
  <si>
    <t>SAINT JEROME</t>
  </si>
  <si>
    <t>450 560-5923</t>
  </si>
  <si>
    <t>1956793</t>
  </si>
  <si>
    <t>Henry, Koraly</t>
  </si>
  <si>
    <t>Henry</t>
  </si>
  <si>
    <t>Koraly</t>
  </si>
  <si>
    <t>Lagacé-Herchel</t>
  </si>
  <si>
    <t>Thierry</t>
  </si>
  <si>
    <t>819 216-0730</t>
  </si>
  <si>
    <t>1692204</t>
  </si>
  <si>
    <t>Muloin, Eloïse</t>
  </si>
  <si>
    <t>Muloin</t>
  </si>
  <si>
    <t>Eloïse</t>
  </si>
  <si>
    <t>Desautels</t>
  </si>
  <si>
    <t>Sainte-Rose</t>
  </si>
  <si>
    <t>J6Z4S3</t>
  </si>
  <si>
    <t>450 818-5466</t>
  </si>
  <si>
    <t>1649835</t>
  </si>
  <si>
    <t>Bolduc, Séréna</t>
  </si>
  <si>
    <t>Bolduc</t>
  </si>
  <si>
    <t>Séréna</t>
  </si>
  <si>
    <t>Semrouni</t>
  </si>
  <si>
    <t>450 951-5620</t>
  </si>
  <si>
    <t>1951363</t>
  </si>
  <si>
    <t>Sermet, Arianne</t>
  </si>
  <si>
    <t>Sermet</t>
  </si>
  <si>
    <t>H7R6B9</t>
  </si>
  <si>
    <t>819 324-8744</t>
  </si>
  <si>
    <t>1632604</t>
  </si>
  <si>
    <t>Langlais, Jessica</t>
  </si>
  <si>
    <t>Langlais</t>
  </si>
  <si>
    <t>Soutsady</t>
  </si>
  <si>
    <t>579 888-0806</t>
  </si>
  <si>
    <t>1983794</t>
  </si>
  <si>
    <t>Lecours, Jacob</t>
  </si>
  <si>
    <t>Lecours</t>
  </si>
  <si>
    <t>Jacob</t>
  </si>
  <si>
    <t>Gaulin</t>
  </si>
  <si>
    <t>J5L1E1</t>
  </si>
  <si>
    <t>450 963-5543</t>
  </si>
  <si>
    <t>1654089</t>
  </si>
  <si>
    <t>Brouillette, Samuel</t>
  </si>
  <si>
    <t>819 217-6377</t>
  </si>
  <si>
    <t>1826455</t>
  </si>
  <si>
    <t>Bossé, Sébastien</t>
  </si>
  <si>
    <t>Bossé</t>
  </si>
  <si>
    <t>Sébastien</t>
  </si>
  <si>
    <t>Saydara</t>
  </si>
  <si>
    <t>Stephanie</t>
  </si>
  <si>
    <t>579 888-1880</t>
  </si>
  <si>
    <t>1877460</t>
  </si>
  <si>
    <t>Beaulieu, Victor</t>
  </si>
  <si>
    <t>Trahan</t>
  </si>
  <si>
    <t>819 216-5760</t>
  </si>
  <si>
    <t>1735079</t>
  </si>
  <si>
    <t>Le Buis, Jaëlle</t>
  </si>
  <si>
    <t>Le Buis</t>
  </si>
  <si>
    <t>Jaëlle</t>
  </si>
  <si>
    <t>Genier</t>
  </si>
  <si>
    <t>579 888-3397</t>
  </si>
  <si>
    <t>1176610</t>
  </si>
  <si>
    <t>Lacroix, Jules</t>
  </si>
  <si>
    <t>Lacroix</t>
  </si>
  <si>
    <t>Jules</t>
  </si>
  <si>
    <t>Hubert</t>
  </si>
  <si>
    <t>819 324-6452</t>
  </si>
  <si>
    <t>0362405</t>
  </si>
  <si>
    <t>Renaud, Carol-Anne</t>
  </si>
  <si>
    <t>Renaud</t>
  </si>
  <si>
    <t>Carol-Anne</t>
  </si>
  <si>
    <t>Carreno Pineda</t>
  </si>
  <si>
    <t>H7R1P7</t>
  </si>
  <si>
    <t>819 326-9191</t>
  </si>
  <si>
    <t>1322455</t>
  </si>
  <si>
    <t>Pelletier, Crystal-Ann</t>
  </si>
  <si>
    <t>Crystal-Ann</t>
  </si>
  <si>
    <t>Coupal-St-Michel</t>
  </si>
  <si>
    <t>Anya</t>
  </si>
  <si>
    <t>CONCEPTION</t>
  </si>
  <si>
    <t>438 883-8842</t>
  </si>
  <si>
    <t>1239074</t>
  </si>
  <si>
    <t>D'Amore, Molly</t>
  </si>
  <si>
    <t>D'Amore</t>
  </si>
  <si>
    <t>Molly</t>
  </si>
  <si>
    <t>Ouimet Gosselin</t>
  </si>
  <si>
    <t>SAINTE-JÉRÔME</t>
  </si>
  <si>
    <t>450 712-9914</t>
  </si>
  <si>
    <t>1938804</t>
  </si>
  <si>
    <t>Moreau, Émile</t>
  </si>
  <si>
    <t>Émile</t>
  </si>
  <si>
    <t>579 888-9234</t>
  </si>
  <si>
    <t>1727615</t>
  </si>
  <si>
    <t>Latreille, Jennifer</t>
  </si>
  <si>
    <t>Latreille</t>
  </si>
  <si>
    <t>Godmer</t>
  </si>
  <si>
    <t>Joany</t>
  </si>
  <si>
    <t>SAINTE-ADELE</t>
  </si>
  <si>
    <t>J7E2G9</t>
  </si>
  <si>
    <t>450 613-0683</t>
  </si>
  <si>
    <t>1831163</t>
  </si>
  <si>
    <t>Parent, Danalie</t>
  </si>
  <si>
    <t>Parent</t>
  </si>
  <si>
    <t>Danalie</t>
  </si>
  <si>
    <t>Croteau</t>
  </si>
  <si>
    <t>SAINTE MARGUERITE</t>
  </si>
  <si>
    <t>J7E2K3</t>
  </si>
  <si>
    <t>450 613-0282</t>
  </si>
  <si>
    <t>1766850</t>
  </si>
  <si>
    <t>Zannalie</t>
  </si>
  <si>
    <t>VERDUN</t>
  </si>
  <si>
    <t>G1E0K4</t>
  </si>
  <si>
    <t>819 995-4433</t>
  </si>
  <si>
    <t>1712993</t>
  </si>
  <si>
    <t>Jolicoeur, Katherine</t>
  </si>
  <si>
    <t>Jolicoeur</t>
  </si>
  <si>
    <t>Katherine</t>
  </si>
  <si>
    <t>Labelle-Beaulieu</t>
  </si>
  <si>
    <t>ST COLOMBAN</t>
  </si>
  <si>
    <t>H7X1N8</t>
  </si>
  <si>
    <t>819 323-8979</t>
  </si>
  <si>
    <t>1639762</t>
  </si>
  <si>
    <t>Heroux, Kloé</t>
  </si>
  <si>
    <t>Heroux</t>
  </si>
  <si>
    <t>Kloé</t>
  </si>
  <si>
    <t>Lagacé</t>
  </si>
  <si>
    <t>J5L1E2</t>
  </si>
  <si>
    <t>450 963-4433</t>
  </si>
  <si>
    <t>1507389</t>
  </si>
  <si>
    <t>Laberge, Juliette</t>
  </si>
  <si>
    <t>Laberge</t>
  </si>
  <si>
    <t>Juliette</t>
  </si>
  <si>
    <t>Jeanneault</t>
  </si>
  <si>
    <t>Kyra</t>
  </si>
  <si>
    <t>J6Z4L2</t>
  </si>
  <si>
    <t>450 818-7689</t>
  </si>
  <si>
    <t>1977125</t>
  </si>
  <si>
    <t>Jacob, Kelly</t>
  </si>
  <si>
    <t>Kelly</t>
  </si>
  <si>
    <t>579 888-8922</t>
  </si>
  <si>
    <t>1745878</t>
  </si>
  <si>
    <t>Renaud, Caroline</t>
  </si>
  <si>
    <t>Caroline</t>
  </si>
  <si>
    <t>Caron Rioux</t>
  </si>
  <si>
    <t>Arlette Carvale</t>
  </si>
  <si>
    <t>GUYENNE</t>
  </si>
  <si>
    <t>J7Z7C4</t>
  </si>
  <si>
    <t>438 929-4545</t>
  </si>
  <si>
    <t>1747446</t>
  </si>
  <si>
    <t>Bourque, Sandrine</t>
  </si>
  <si>
    <t>Bourque</t>
  </si>
  <si>
    <t>Roy-Pelletier</t>
  </si>
  <si>
    <t>450 951-4711</t>
  </si>
  <si>
    <t>1923938</t>
  </si>
  <si>
    <t>Laframboise, Jonathan</t>
  </si>
  <si>
    <t>Laframboise</t>
  </si>
  <si>
    <t>Jonathan</t>
  </si>
  <si>
    <t>Hétu</t>
  </si>
  <si>
    <t>581 922-1002</t>
  </si>
  <si>
    <t>1817995</t>
  </si>
  <si>
    <t>St-Pierre, Annie</t>
  </si>
  <si>
    <t>St-Pierre</t>
  </si>
  <si>
    <t>Annie</t>
  </si>
  <si>
    <t>Bernier</t>
  </si>
  <si>
    <t>579 888-6426</t>
  </si>
  <si>
    <t>1968413</t>
  </si>
  <si>
    <t>Richard, Camille</t>
  </si>
  <si>
    <t>Richard</t>
  </si>
  <si>
    <t>Cardinal</t>
  </si>
  <si>
    <t>819 324-6420</t>
  </si>
  <si>
    <t>1577771</t>
  </si>
  <si>
    <t>Cloutier, Olivier</t>
  </si>
  <si>
    <t>Pilon</t>
  </si>
  <si>
    <t>Marie-Paule</t>
  </si>
  <si>
    <t>450 953-0706</t>
  </si>
  <si>
    <t>1861130</t>
  </si>
  <si>
    <t>Golubyeva, Léa</t>
  </si>
  <si>
    <t>Golubyeva</t>
  </si>
  <si>
    <t>Léa</t>
  </si>
  <si>
    <t>Latour</t>
  </si>
  <si>
    <t>H7V3R3</t>
  </si>
  <si>
    <t>819 324-1077</t>
  </si>
  <si>
    <t>1821001</t>
  </si>
  <si>
    <t>Bergeron Corbeil, Tchelby</t>
  </si>
  <si>
    <t>Bergeron Corbeil</t>
  </si>
  <si>
    <t>Talon</t>
  </si>
  <si>
    <t>579 888-9583</t>
  </si>
  <si>
    <t>1979114</t>
  </si>
  <si>
    <t>Ménard, Emmy</t>
  </si>
  <si>
    <t>Emmy</t>
  </si>
  <si>
    <t>Domingue</t>
  </si>
  <si>
    <t>Marie-Li</t>
  </si>
  <si>
    <t>Saint-Janvier (Mirabel)</t>
  </si>
  <si>
    <t>J5L1E5</t>
  </si>
  <si>
    <t>450 951-3736</t>
  </si>
  <si>
    <t>1938619</t>
  </si>
  <si>
    <t>Chapleau, Rachel</t>
  </si>
  <si>
    <t>Chapleau</t>
  </si>
  <si>
    <t>Rachel</t>
  </si>
  <si>
    <t>Prud'Homme</t>
  </si>
  <si>
    <t>ANJOU</t>
  </si>
  <si>
    <t>J9V1S6</t>
  </si>
  <si>
    <t>418 333-6870</t>
  </si>
  <si>
    <t>1826116</t>
  </si>
  <si>
    <t>Morel-Corneli, Emile</t>
  </si>
  <si>
    <t>Morel-Corneli</t>
  </si>
  <si>
    <t>Stéfany</t>
  </si>
  <si>
    <t>579 888-1739</t>
  </si>
  <si>
    <t>1546450</t>
  </si>
  <si>
    <t>Auger, William</t>
  </si>
  <si>
    <t>Auger</t>
  </si>
  <si>
    <t>William</t>
  </si>
  <si>
    <t>Vachon-Bernard</t>
  </si>
  <si>
    <t>450 951-9137</t>
  </si>
  <si>
    <t>1909196</t>
  </si>
  <si>
    <t>Marceau, Florence</t>
  </si>
  <si>
    <t>Marceau</t>
  </si>
  <si>
    <t>Florence</t>
  </si>
  <si>
    <t>Durocher</t>
  </si>
  <si>
    <t>H7R6G7</t>
  </si>
  <si>
    <t>819 324-8321</t>
  </si>
  <si>
    <t>1665931</t>
  </si>
  <si>
    <t>Matos, Ève</t>
  </si>
  <si>
    <t>Matos</t>
  </si>
  <si>
    <t>Ève</t>
  </si>
  <si>
    <t>Dubuc Abalain</t>
  </si>
  <si>
    <t>Hélène</t>
  </si>
  <si>
    <t>J7K3L6</t>
  </si>
  <si>
    <t>450 560-8064</t>
  </si>
  <si>
    <t>1552378</t>
  </si>
  <si>
    <t>Bujalski, Samahël</t>
  </si>
  <si>
    <t>Bujalski</t>
  </si>
  <si>
    <t>Samahël</t>
  </si>
  <si>
    <t>H7R4E8</t>
  </si>
  <si>
    <t>819 326-5222</t>
  </si>
  <si>
    <t>1963368</t>
  </si>
  <si>
    <t>Lemay, Guillaume</t>
  </si>
  <si>
    <t>Lemay</t>
  </si>
  <si>
    <t>H7R4S2</t>
  </si>
  <si>
    <t>1407047</t>
  </si>
  <si>
    <t>Calvé, Sabrina</t>
  </si>
  <si>
    <t>Calvé</t>
  </si>
  <si>
    <t>Richer-Labelle</t>
  </si>
  <si>
    <t>J7E2M5</t>
  </si>
  <si>
    <t>450 612-8912</t>
  </si>
  <si>
    <t>1804261</t>
  </si>
  <si>
    <t>Comtois, Océane</t>
  </si>
  <si>
    <t>Comtois</t>
  </si>
  <si>
    <t>Océane</t>
  </si>
  <si>
    <t>Piché-Richer</t>
  </si>
  <si>
    <t>579 888-3214</t>
  </si>
  <si>
    <t>1927293</t>
  </si>
  <si>
    <t>Martel, Félicia</t>
  </si>
  <si>
    <t>Martel</t>
  </si>
  <si>
    <t>Félicia</t>
  </si>
  <si>
    <t>Dumas</t>
  </si>
  <si>
    <t>J7E2K9</t>
  </si>
  <si>
    <t>450 613-0239</t>
  </si>
  <si>
    <t>1768566</t>
  </si>
  <si>
    <t>Baillargeon-Faucher, William</t>
  </si>
  <si>
    <t>Baillargeon-Faucher</t>
  </si>
  <si>
    <t>Turgeon</t>
  </si>
  <si>
    <t>H7R5V3</t>
  </si>
  <si>
    <t>819 325-2479</t>
  </si>
  <si>
    <t>1424346</t>
  </si>
  <si>
    <t>Gosselin, Lauryann</t>
  </si>
  <si>
    <t>Lauryann</t>
  </si>
  <si>
    <t>Larose</t>
  </si>
  <si>
    <t>Thomas-William</t>
  </si>
  <si>
    <t>819 217-5123</t>
  </si>
  <si>
    <t>0644479</t>
  </si>
  <si>
    <t>Muir, Eloïse</t>
  </si>
  <si>
    <t>Muir</t>
  </si>
  <si>
    <t>Desbiens</t>
  </si>
  <si>
    <t>Tedgy</t>
  </si>
  <si>
    <t>581 984-0988</t>
  </si>
  <si>
    <t>1955523</t>
  </si>
  <si>
    <t>Lauzon, Jeannine</t>
  </si>
  <si>
    <t>Lauzon</t>
  </si>
  <si>
    <t>Jeannine</t>
  </si>
  <si>
    <t>Girard</t>
  </si>
  <si>
    <t>Toby</t>
  </si>
  <si>
    <t>819 217-6120</t>
  </si>
  <si>
    <t>1137633</t>
  </si>
  <si>
    <t>Methélus, Emily Jade</t>
  </si>
  <si>
    <t>Methélus</t>
  </si>
  <si>
    <t>Emily Jade</t>
  </si>
  <si>
    <t>Di Milo</t>
  </si>
  <si>
    <t>450 848-7571</t>
  </si>
  <si>
    <t>1569464</t>
  </si>
  <si>
    <t>Corbeil</t>
  </si>
  <si>
    <t>Heidy</t>
  </si>
  <si>
    <t>J7K3S4</t>
  </si>
  <si>
    <t>450 560-4956</t>
  </si>
  <si>
    <t>1770240</t>
  </si>
  <si>
    <t>Merrette, Emmanuel</t>
  </si>
  <si>
    <t>Merrette</t>
  </si>
  <si>
    <t>Dinel</t>
  </si>
  <si>
    <t>Soufiane</t>
  </si>
  <si>
    <t>SAINT-LEONARD</t>
  </si>
  <si>
    <t>579 888-0692</t>
  </si>
  <si>
    <t>1539970</t>
  </si>
  <si>
    <t>Gilbert, Lisa</t>
  </si>
  <si>
    <t>Gilbert</t>
  </si>
  <si>
    <t>Lisa</t>
  </si>
  <si>
    <t>Marie-Perle</t>
  </si>
  <si>
    <t>450 963-0255</t>
  </si>
  <si>
    <t>1907046</t>
  </si>
  <si>
    <t>Clément, Olivier</t>
  </si>
  <si>
    <t>Clément</t>
  </si>
  <si>
    <t>Pinheiro</t>
  </si>
  <si>
    <t>J7R3N5</t>
  </si>
  <si>
    <t>450 475-0370</t>
  </si>
  <si>
    <t>1871094</t>
  </si>
  <si>
    <t>Côté, Nkushi Gloire</t>
  </si>
  <si>
    <t>Nkushi Gloire</t>
  </si>
  <si>
    <t>H7R5X4</t>
  </si>
  <si>
    <t>819 325-2206</t>
  </si>
  <si>
    <t>1764207</t>
  </si>
  <si>
    <t>Camitsis, Sabrina</t>
  </si>
  <si>
    <t>Camitsis</t>
  </si>
  <si>
    <t>819 210-1107</t>
  </si>
  <si>
    <t>1559040</t>
  </si>
  <si>
    <t>Vaillancourt, Alexane</t>
  </si>
  <si>
    <t>Vaillancourt</t>
  </si>
  <si>
    <t>Alexane</t>
  </si>
  <si>
    <t>Takou</t>
  </si>
  <si>
    <t>579 888-5658</t>
  </si>
  <si>
    <t>1745264</t>
  </si>
  <si>
    <t>Legault Dubé, Héléna</t>
  </si>
  <si>
    <t>Legault Dubé</t>
  </si>
  <si>
    <t>Ganéo</t>
  </si>
  <si>
    <t>ST-JERÔME</t>
  </si>
  <si>
    <t>H7R4X4</t>
  </si>
  <si>
    <t>819 325-3134</t>
  </si>
  <si>
    <t>1943808</t>
  </si>
  <si>
    <t>Bisson, Soufiane</t>
  </si>
  <si>
    <t>Bisson</t>
  </si>
  <si>
    <t>Stevens</t>
  </si>
  <si>
    <t>Marie-Maude</t>
  </si>
  <si>
    <t>450 951-5724</t>
  </si>
  <si>
    <t>1957012</t>
  </si>
  <si>
    <t>Guibony, Laurence</t>
  </si>
  <si>
    <t>Guibony</t>
  </si>
  <si>
    <t>H7W3X2</t>
  </si>
  <si>
    <t>819 323-9571</t>
  </si>
  <si>
    <t>1924332</t>
  </si>
  <si>
    <t>Vocelle, Alex</t>
  </si>
  <si>
    <t>Vocelle</t>
  </si>
  <si>
    <t>Allaire</t>
  </si>
  <si>
    <t>450 848-8318</t>
  </si>
  <si>
    <t>1974202</t>
  </si>
  <si>
    <t>Forest, Marie-Josée</t>
  </si>
  <si>
    <t>Forest</t>
  </si>
  <si>
    <t>Marie-Josée</t>
  </si>
  <si>
    <t>Lor</t>
  </si>
  <si>
    <t>Taly</t>
  </si>
  <si>
    <t>579 888-6332</t>
  </si>
  <si>
    <t>1365783</t>
  </si>
  <si>
    <t>Cousin, Nicolas</t>
  </si>
  <si>
    <t>Cousin</t>
  </si>
  <si>
    <t>Nicolas</t>
  </si>
  <si>
    <t>579 888-3780</t>
  </si>
  <si>
    <t>1937533</t>
  </si>
  <si>
    <t>Choquette, Olivier</t>
  </si>
  <si>
    <t>Choquette</t>
  </si>
  <si>
    <t>Plante-Complaisance</t>
  </si>
  <si>
    <t>Abigail</t>
  </si>
  <si>
    <t>BELLEFEUILLE</t>
  </si>
  <si>
    <t>J9T2Z6</t>
  </si>
  <si>
    <t>418 439-0706</t>
  </si>
  <si>
    <t>1734804</t>
  </si>
  <si>
    <t>Clarke, Olivier</t>
  </si>
  <si>
    <t>Clarke</t>
  </si>
  <si>
    <t>579 888-2505</t>
  </si>
  <si>
    <t>1405912</t>
  </si>
  <si>
    <t>Boily, Simon</t>
  </si>
  <si>
    <t>Boily</t>
  </si>
  <si>
    <t>Sylvain</t>
  </si>
  <si>
    <t>579 888-4367</t>
  </si>
  <si>
    <t>1923803</t>
  </si>
  <si>
    <t>Bisson-Krix, Sophie</t>
  </si>
  <si>
    <t>Bisson-Krix</t>
  </si>
  <si>
    <t>Sophie</t>
  </si>
  <si>
    <t>St-Denis-Huard</t>
  </si>
  <si>
    <t>Hélody</t>
  </si>
  <si>
    <t>SAINT SOPHIE</t>
  </si>
  <si>
    <t>J7K3H4</t>
  </si>
  <si>
    <t>450 560-8082</t>
  </si>
  <si>
    <t>1838461</t>
  </si>
  <si>
    <t>Prévost, Cédrik</t>
  </si>
  <si>
    <t>Prévost</t>
  </si>
  <si>
    <t>Cédrik</t>
  </si>
  <si>
    <t>Charette</t>
  </si>
  <si>
    <t>ST-MARTHE-SUR-LE-LAC</t>
  </si>
  <si>
    <t>H7P5C1</t>
  </si>
  <si>
    <t>819 333-8711</t>
  </si>
  <si>
    <t>1848198</t>
  </si>
  <si>
    <t>Fortin, Marie-Ange</t>
  </si>
  <si>
    <t>Marie-Ange</t>
  </si>
  <si>
    <t>Zoë</t>
  </si>
  <si>
    <t>WENTWORTH-NORD</t>
  </si>
  <si>
    <t>Wentworth-Nord</t>
  </si>
  <si>
    <t>G0G1J0</t>
  </si>
  <si>
    <t>1535830</t>
  </si>
  <si>
    <t>St-Laurent, Anouk</t>
  </si>
  <si>
    <t>Anouk</t>
  </si>
  <si>
    <t>G0N1P0</t>
  </si>
  <si>
    <t>1831137</t>
  </si>
  <si>
    <t>Brunelle-Allaire</t>
  </si>
  <si>
    <t>VILLE-MARIE</t>
  </si>
  <si>
    <t>Ville-Marie</t>
  </si>
  <si>
    <t>G0S2V0</t>
  </si>
  <si>
    <t>+22 5 7-0156</t>
  </si>
  <si>
    <t>1978894</t>
  </si>
  <si>
    <t>Daraîche-Maheu, Milla</t>
  </si>
  <si>
    <t>Daraîche-Maheu</t>
  </si>
  <si>
    <t>Milla</t>
  </si>
  <si>
    <t>Ouellette</t>
  </si>
  <si>
    <t>VICTORIAVILLE</t>
  </si>
  <si>
    <t>Victoriaville</t>
  </si>
  <si>
    <t>G0X2L0</t>
  </si>
  <si>
    <t>873 255-3011</t>
  </si>
  <si>
    <t>1842155</t>
  </si>
  <si>
    <t>Allard-Vertriest, Yvon Jamesley D</t>
  </si>
  <si>
    <t>Allard-Vertriest</t>
  </si>
  <si>
    <t>Yvon Jamesley D</t>
  </si>
  <si>
    <t>Zélia</t>
  </si>
  <si>
    <t>G1B3S7</t>
  </si>
  <si>
    <t>819 995-9945</t>
  </si>
  <si>
    <t>1732885</t>
  </si>
  <si>
    <t>Hallé, Laurence</t>
  </si>
  <si>
    <t>Hallé</t>
  </si>
  <si>
    <t>Lalumière</t>
  </si>
  <si>
    <t>Zalec</t>
  </si>
  <si>
    <t>VAUDREUIL-DORION</t>
  </si>
  <si>
    <t>Vaudreuil-Dorion</t>
  </si>
  <si>
    <t>G1G2H8</t>
  </si>
  <si>
    <t>819 968-0688</t>
  </si>
  <si>
    <t>1651339</t>
  </si>
  <si>
    <t>Pelletier-Bélanger, Coralie</t>
  </si>
  <si>
    <t>Pelletier-Bélanger</t>
  </si>
  <si>
    <t>Coulombe-Cloutier</t>
  </si>
  <si>
    <t>Zackary</t>
  </si>
  <si>
    <t>VAL-MORIN</t>
  </si>
  <si>
    <t>Val-Morin</t>
  </si>
  <si>
    <t>G6R0T9</t>
  </si>
  <si>
    <t>819 808-7956</t>
  </si>
  <si>
    <t>1960627</t>
  </si>
  <si>
    <t>Ouimet, Dominic</t>
  </si>
  <si>
    <t>Ouimet</t>
  </si>
  <si>
    <t>Dominic</t>
  </si>
  <si>
    <t>Daneau</t>
  </si>
  <si>
    <t>Zack</t>
  </si>
  <si>
    <t>G6V3N4</t>
  </si>
  <si>
    <t>819 808-7496</t>
  </si>
  <si>
    <t>1838663</t>
  </si>
  <si>
    <t>Charlebois, Philip</t>
  </si>
  <si>
    <t>Charlebois</t>
  </si>
  <si>
    <t>Philip</t>
  </si>
  <si>
    <t>Pouliot</t>
  </si>
  <si>
    <t>Zakary</t>
  </si>
  <si>
    <t>G2B0B2</t>
  </si>
  <si>
    <t>819 951-2743</t>
  </si>
  <si>
    <t>1924525</t>
  </si>
  <si>
    <t>Bélanger-Langlois, Tristan</t>
  </si>
  <si>
    <t>Bélanger-Langlois</t>
  </si>
  <si>
    <t>Zak</t>
  </si>
  <si>
    <t>G4A1B3</t>
  </si>
  <si>
    <t>819 818-5554</t>
  </si>
  <si>
    <t>1859904</t>
  </si>
  <si>
    <t>Couture, Nickolas</t>
  </si>
  <si>
    <t>Nickolas</t>
  </si>
  <si>
    <t>Pedneault</t>
  </si>
  <si>
    <t>Zachary</t>
  </si>
  <si>
    <t>G7H6K8</t>
  </si>
  <si>
    <t>819 774-1568</t>
  </si>
  <si>
    <t>1362625</t>
  </si>
  <si>
    <t>Gariepy</t>
  </si>
  <si>
    <t>G6P5H3</t>
  </si>
  <si>
    <t>819 808-9675</t>
  </si>
  <si>
    <t>1828368</t>
  </si>
  <si>
    <t>Mc Cray, Éthienne</t>
  </si>
  <si>
    <t>Mc Cray</t>
  </si>
  <si>
    <t>Éthienne</t>
  </si>
  <si>
    <t>G8Y2E3</t>
  </si>
  <si>
    <t>819 774-1557</t>
  </si>
  <si>
    <t>1873601</t>
  </si>
  <si>
    <t>Rouleau-Pineda, Béatrice</t>
  </si>
  <si>
    <t>Rouleau-Pineda</t>
  </si>
  <si>
    <t>Béatrice</t>
  </si>
  <si>
    <t>Bréard</t>
  </si>
  <si>
    <t>G8Y7B9</t>
  </si>
  <si>
    <t>819 774-0665</t>
  </si>
  <si>
    <t>1756500</t>
  </si>
  <si>
    <t>Ouellet, Dylane</t>
  </si>
  <si>
    <t>Dylane</t>
  </si>
  <si>
    <t>De Champlain</t>
  </si>
  <si>
    <t>G9A5E1</t>
  </si>
  <si>
    <t>819 762-8359</t>
  </si>
  <si>
    <t>1934795</t>
  </si>
  <si>
    <t>Paré, Daniel</t>
  </si>
  <si>
    <t>Paré</t>
  </si>
  <si>
    <t>Daniel</t>
  </si>
  <si>
    <t>Cullen</t>
  </si>
  <si>
    <t>G5V4G9</t>
  </si>
  <si>
    <t>819 808-9699</t>
  </si>
  <si>
    <t>1527704</t>
  </si>
  <si>
    <t>Keita, Karina</t>
  </si>
  <si>
    <t>Keita</t>
  </si>
  <si>
    <t>Karina</t>
  </si>
  <si>
    <t>Kingue Zangue</t>
  </si>
  <si>
    <t>G6V6E4</t>
  </si>
  <si>
    <t>819 808-7308</t>
  </si>
  <si>
    <t>1634335</t>
  </si>
  <si>
    <t>Cyr, Natasha</t>
  </si>
  <si>
    <t>Natasha</t>
  </si>
  <si>
    <t>Paquette</t>
  </si>
  <si>
    <t>G3A0N6</t>
  </si>
  <si>
    <t>819 860-0191</t>
  </si>
  <si>
    <t>1184188</t>
  </si>
  <si>
    <t>Grégoire-Hamper</t>
  </si>
  <si>
    <t>G2B2S2</t>
  </si>
  <si>
    <t>819 944-6764</t>
  </si>
  <si>
    <t>1951992</t>
  </si>
  <si>
    <t>Corbin, Noémie</t>
  </si>
  <si>
    <t>G9N4G6</t>
  </si>
  <si>
    <t>819 762-1180</t>
  </si>
  <si>
    <t>1977484</t>
  </si>
  <si>
    <t>Garbia, Maggy</t>
  </si>
  <si>
    <t>Maggy</t>
  </si>
  <si>
    <t>G3A2T4</t>
  </si>
  <si>
    <t>819 856-9526</t>
  </si>
  <si>
    <t>1867029</t>
  </si>
  <si>
    <t>Gagnon, Marc-Antoine</t>
  </si>
  <si>
    <t>Lelievre</t>
  </si>
  <si>
    <t>Zakaria</t>
  </si>
  <si>
    <t>G3H1T3</t>
  </si>
  <si>
    <t>819 827-3953</t>
  </si>
  <si>
    <t>1739102</t>
  </si>
  <si>
    <t>Nefzi</t>
  </si>
  <si>
    <t>G7A2N4</t>
  </si>
  <si>
    <t>819 787-3473</t>
  </si>
  <si>
    <t>1836288</t>
  </si>
  <si>
    <t>Macedo, Frédérike</t>
  </si>
  <si>
    <t>Macedo</t>
  </si>
  <si>
    <t>Frédérike</t>
  </si>
  <si>
    <t>Fex</t>
  </si>
  <si>
    <t>VAL-D'OR</t>
  </si>
  <si>
    <t>Val-d'Or</t>
  </si>
  <si>
    <t>H1E1W3</t>
  </si>
  <si>
    <t>819 752-3285</t>
  </si>
  <si>
    <t>1475752</t>
  </si>
  <si>
    <t>Beauséjour, Véronique</t>
  </si>
  <si>
    <t>Beauséjour</t>
  </si>
  <si>
    <t>Véronique</t>
  </si>
  <si>
    <t>Thivierge</t>
  </si>
  <si>
    <t>H1A2Z3</t>
  </si>
  <si>
    <t>819 752-6307</t>
  </si>
  <si>
    <t>1947244</t>
  </si>
  <si>
    <t>Vincent, Alex</t>
  </si>
  <si>
    <t>VAL-DES-LACS</t>
  </si>
  <si>
    <t>Val-des-Lacs</t>
  </si>
  <si>
    <t>H1E5N1</t>
  </si>
  <si>
    <t>819 743-4888</t>
  </si>
  <si>
    <t>1481821</t>
  </si>
  <si>
    <t>Roy, Barbara</t>
  </si>
  <si>
    <t>Barbara</t>
  </si>
  <si>
    <t>Bousquet</t>
  </si>
  <si>
    <t>H1G2G4</t>
  </si>
  <si>
    <t>819 740-4344</t>
  </si>
  <si>
    <t>1931739</t>
  </si>
  <si>
    <t>Raynauld, Cassandra</t>
  </si>
  <si>
    <t>Raynauld</t>
  </si>
  <si>
    <t>Castonguay</t>
  </si>
  <si>
    <t>Yakim</t>
  </si>
  <si>
    <t>VAL-DAVID</t>
  </si>
  <si>
    <t>Val-David</t>
  </si>
  <si>
    <t>H4N0C8</t>
  </si>
  <si>
    <t>819 623-6905</t>
  </si>
  <si>
    <t>1674196</t>
  </si>
  <si>
    <t>Berthelette, Tammy</t>
  </si>
  <si>
    <t>Berthelette</t>
  </si>
  <si>
    <t>Yves Christian</t>
  </si>
  <si>
    <t>H1X2J5</t>
  </si>
  <si>
    <t>819 681-7747</t>
  </si>
  <si>
    <t>1838030</t>
  </si>
  <si>
    <t>Whitton, Aïcha</t>
  </si>
  <si>
    <t>Whitton</t>
  </si>
  <si>
    <t>Aïcha</t>
  </si>
  <si>
    <t>Alaoui</t>
  </si>
  <si>
    <t>H1H1N2</t>
  </si>
  <si>
    <t>819 727-4980</t>
  </si>
  <si>
    <t>1524365</t>
  </si>
  <si>
    <t>Grenier, Laurie</t>
  </si>
  <si>
    <t>Lapierre</t>
  </si>
  <si>
    <t>Yesenia</t>
  </si>
  <si>
    <t>H3S1R7</t>
  </si>
  <si>
    <t>819 649-0522</t>
  </si>
  <si>
    <t>1951104</t>
  </si>
  <si>
    <t>Hébert, Kyana</t>
  </si>
  <si>
    <t>Hébert</t>
  </si>
  <si>
    <t>Kyana</t>
  </si>
  <si>
    <t>Lajoie</t>
  </si>
  <si>
    <t>H1J1X1</t>
  </si>
  <si>
    <t>819 695-2046</t>
  </si>
  <si>
    <t>1958255</t>
  </si>
  <si>
    <t>Asselin, William</t>
  </si>
  <si>
    <t>Asselin</t>
  </si>
  <si>
    <t>Valois</t>
  </si>
  <si>
    <t>Yasmine</t>
  </si>
  <si>
    <t>H3W1M5</t>
  </si>
  <si>
    <t>819 629-7938</t>
  </si>
  <si>
    <t>1874703</t>
  </si>
  <si>
    <t>Plouffe, Charlie</t>
  </si>
  <si>
    <t>Plouffe</t>
  </si>
  <si>
    <t>Chevigny</t>
  </si>
  <si>
    <t>Yoann</t>
  </si>
  <si>
    <t>H3L2N7</t>
  </si>
  <si>
    <t>819 660-0396</t>
  </si>
  <si>
    <t>1926084</t>
  </si>
  <si>
    <t>Diaferia, Maxime</t>
  </si>
  <si>
    <t>Diaferia</t>
  </si>
  <si>
    <t>Metellus</t>
  </si>
  <si>
    <t>H1R2W3</t>
  </si>
  <si>
    <t>819 686-9157</t>
  </si>
  <si>
    <t>1860496</t>
  </si>
  <si>
    <t>Chapoy, Rachel</t>
  </si>
  <si>
    <t>Chapoy</t>
  </si>
  <si>
    <t>H4L4H5</t>
  </si>
  <si>
    <t>819 623-7042</t>
  </si>
  <si>
    <t>1135365</t>
  </si>
  <si>
    <t>Provencher, Catherine</t>
  </si>
  <si>
    <t>Provencher</t>
  </si>
  <si>
    <t>H1G5M1</t>
  </si>
  <si>
    <t>819 737-7771</t>
  </si>
  <si>
    <t>1755814</t>
  </si>
  <si>
    <t>Lebeau, Jade</t>
  </si>
  <si>
    <t>Lebeau</t>
  </si>
  <si>
    <t>Yaël</t>
  </si>
  <si>
    <t>H7A1J4</t>
  </si>
  <si>
    <t>819 623-3082</t>
  </si>
  <si>
    <t>1940778</t>
  </si>
  <si>
    <t>Duguay, Mathilde</t>
  </si>
  <si>
    <t>Duguay</t>
  </si>
  <si>
    <t>Mathilde</t>
  </si>
  <si>
    <t>Martin</t>
  </si>
  <si>
    <t>Yannick</t>
  </si>
  <si>
    <t>H4G2Z1</t>
  </si>
  <si>
    <t>819 623-9540</t>
  </si>
  <si>
    <t>1640526</t>
  </si>
  <si>
    <t>Skirvin, Ariane</t>
  </si>
  <si>
    <t>Skirvin</t>
  </si>
  <si>
    <t>Blanchette</t>
  </si>
  <si>
    <t>Youssef Nabil</t>
  </si>
  <si>
    <t>H2E2J3</t>
  </si>
  <si>
    <t>819 681-1422</t>
  </si>
  <si>
    <t>1509170</t>
  </si>
  <si>
    <t>Paradis, Danna</t>
  </si>
  <si>
    <t>Danna</t>
  </si>
  <si>
    <t>Curadeau</t>
  </si>
  <si>
    <t>Yacine Abdelhakim</t>
  </si>
  <si>
    <t>H7A2C7</t>
  </si>
  <si>
    <t>819 616-9947</t>
  </si>
  <si>
    <t>1771819</t>
  </si>
  <si>
    <t>Jetté, Katherine</t>
  </si>
  <si>
    <t>Jetté</t>
  </si>
  <si>
    <t>H1G2S9</t>
  </si>
  <si>
    <t>819 739-8860</t>
  </si>
  <si>
    <t>0982870</t>
  </si>
  <si>
    <t>Coulombe, Nicolas</t>
  </si>
  <si>
    <t>Coulombe</t>
  </si>
  <si>
    <t>Pelletier-Cuillerier</t>
  </si>
  <si>
    <t>Yubisleydi</t>
  </si>
  <si>
    <t>H1X2Y8</t>
  </si>
  <si>
    <t>819 681-1803</t>
  </si>
  <si>
    <t>1523866</t>
  </si>
  <si>
    <t>Brindamour, Samuel</t>
  </si>
  <si>
    <t>Brindamour</t>
  </si>
  <si>
    <t>Rondeau</t>
  </si>
  <si>
    <t>Yosra</t>
  </si>
  <si>
    <t>H2J1J8</t>
  </si>
  <si>
    <t>819 668-4552</t>
  </si>
  <si>
    <t>1663498</t>
  </si>
  <si>
    <t>Delorme, Mélyssa</t>
  </si>
  <si>
    <t>Mélyssa</t>
  </si>
  <si>
    <t>Nodorakis</t>
  </si>
  <si>
    <t>Zacharie</t>
  </si>
  <si>
    <t>H1R1A9</t>
  </si>
  <si>
    <t>819 687-9620</t>
  </si>
  <si>
    <t>1929793</t>
  </si>
  <si>
    <t>Gareau, Magda Bibiana</t>
  </si>
  <si>
    <t>Magda Bibiana</t>
  </si>
  <si>
    <t>Yanni</t>
  </si>
  <si>
    <t>H4L1Y5</t>
  </si>
  <si>
    <t>819 623-9106</t>
  </si>
  <si>
    <t>1760689</t>
  </si>
  <si>
    <t>Urrutia-Hernandez, Alexie</t>
  </si>
  <si>
    <t>Urrutia-Hernandez</t>
  </si>
  <si>
    <t>Alexie</t>
  </si>
  <si>
    <t>Baar-Poulin</t>
  </si>
  <si>
    <t>Zachari</t>
  </si>
  <si>
    <t>H1R1R1</t>
  </si>
  <si>
    <t>819 687-1437</t>
  </si>
  <si>
    <t>1825706</t>
  </si>
  <si>
    <t>Guimond, Laurence</t>
  </si>
  <si>
    <t>Guimond</t>
  </si>
  <si>
    <t>Lamer</t>
  </si>
  <si>
    <t>Yairy Marielle</t>
  </si>
  <si>
    <t>H7A1C6</t>
  </si>
  <si>
    <t>819 623-4681</t>
  </si>
  <si>
    <t>1971875</t>
  </si>
  <si>
    <t>Laquerre, Jérémy</t>
  </si>
  <si>
    <t>Laquerre</t>
  </si>
  <si>
    <t>Gratton</t>
  </si>
  <si>
    <t>H1G3R6</t>
  </si>
  <si>
    <t>819 739-8734</t>
  </si>
  <si>
    <t>1903578</t>
  </si>
  <si>
    <t>Godreau, Léa</t>
  </si>
  <si>
    <t>Godreau</t>
  </si>
  <si>
    <t>H1P2Y3</t>
  </si>
  <si>
    <t>819 688-2879</t>
  </si>
  <si>
    <t>1726977</t>
  </si>
  <si>
    <t>Piché, Christophe</t>
  </si>
  <si>
    <t>Piché</t>
  </si>
  <si>
    <t>Christophe</t>
  </si>
  <si>
    <t>Contant</t>
  </si>
  <si>
    <t>Yvette</t>
  </si>
  <si>
    <t>H1V2P8</t>
  </si>
  <si>
    <t>819 686-2089</t>
  </si>
  <si>
    <t>1977611</t>
  </si>
  <si>
    <t>Boucher, Sarah-Jane</t>
  </si>
  <si>
    <t>Sarah-Jane</t>
  </si>
  <si>
    <t>Sarrazin</t>
  </si>
  <si>
    <t>Yoanna</t>
  </si>
  <si>
    <t>H2M1L1</t>
  </si>
  <si>
    <t>819 660-0435</t>
  </si>
  <si>
    <t>1784914</t>
  </si>
  <si>
    <t>Gommier, Léa</t>
  </si>
  <si>
    <t>Gommier</t>
  </si>
  <si>
    <t>Lassonde</t>
  </si>
  <si>
    <t>H1H4R9</t>
  </si>
  <si>
    <t>819 717-3586</t>
  </si>
  <si>
    <t>6146093</t>
  </si>
  <si>
    <t>Dewar, Maxyme</t>
  </si>
  <si>
    <t>Maxyme</t>
  </si>
  <si>
    <t>Xzandro</t>
  </si>
  <si>
    <t>H7A2J4</t>
  </si>
  <si>
    <t>819 616-9840</t>
  </si>
  <si>
    <t>1977642</t>
  </si>
  <si>
    <t>Rioux, Camille</t>
  </si>
  <si>
    <t>Rioux</t>
  </si>
  <si>
    <t>Cadieux</t>
  </si>
  <si>
    <t>Yohan</t>
  </si>
  <si>
    <t>H2M0A2</t>
  </si>
  <si>
    <t>819 660-4698</t>
  </si>
  <si>
    <t>1372859</t>
  </si>
  <si>
    <t>Licata, Gabriela Alejandra</t>
  </si>
  <si>
    <t>Licata</t>
  </si>
  <si>
    <t>Gabriela Alejandra</t>
  </si>
  <si>
    <t>Fortier</t>
  </si>
  <si>
    <t>H2K4S4</t>
  </si>
  <si>
    <t>819 664-2547</t>
  </si>
  <si>
    <t>1832332</t>
  </si>
  <si>
    <t>De Niverville, Mickael</t>
  </si>
  <si>
    <t>De Niverville</t>
  </si>
  <si>
    <t>Mickael</t>
  </si>
  <si>
    <t>Obry</t>
  </si>
  <si>
    <t>H7A3C4</t>
  </si>
  <si>
    <t>819 616-9448</t>
  </si>
  <si>
    <t>Arts, lettres et com. - Option cinéma</t>
  </si>
  <si>
    <t>1840590</t>
  </si>
  <si>
    <t>Létourneau, Gabrielle</t>
  </si>
  <si>
    <t>Létourneau</t>
  </si>
  <si>
    <t>H1H3R3</t>
  </si>
  <si>
    <t>819 727-4165</t>
  </si>
  <si>
    <t>1571523</t>
  </si>
  <si>
    <t>Deschênes, Melina</t>
  </si>
  <si>
    <t>Deschênes</t>
  </si>
  <si>
    <t>Melina</t>
  </si>
  <si>
    <t>Moulun</t>
  </si>
  <si>
    <t>H4G3B5</t>
  </si>
  <si>
    <t>1536543</t>
  </si>
  <si>
    <t>Lague, Jolyann</t>
  </si>
  <si>
    <t>Lague</t>
  </si>
  <si>
    <t>Jolyann</t>
  </si>
  <si>
    <t>Henley-Leboeuf</t>
  </si>
  <si>
    <t>Yuka</t>
  </si>
  <si>
    <t>H1X2Y1</t>
  </si>
  <si>
    <t>819 681-6576</t>
  </si>
  <si>
    <t>1532898</t>
  </si>
  <si>
    <t>Gariépy-Bill</t>
  </si>
  <si>
    <t>H1H5C3</t>
  </si>
  <si>
    <t>819 717-3115</t>
  </si>
  <si>
    <t>1733231</t>
  </si>
  <si>
    <t>St-Martin, Annie-Pierre</t>
  </si>
  <si>
    <t>St-Martin</t>
  </si>
  <si>
    <t>Annie-Pierre</t>
  </si>
  <si>
    <t>H1M2L6</t>
  </si>
  <si>
    <t>819 688-2954</t>
  </si>
  <si>
    <t>1940997</t>
  </si>
  <si>
    <t>Beaudry, Vincent</t>
  </si>
  <si>
    <t>Beaudry</t>
  </si>
  <si>
    <t>Yoan</t>
  </si>
  <si>
    <t>819 660-0252</t>
  </si>
  <si>
    <t>1823819</t>
  </si>
  <si>
    <t>Mounga Kamaha</t>
  </si>
  <si>
    <t>H1G4J6</t>
  </si>
  <si>
    <t>819 739-8147</t>
  </si>
  <si>
    <t>1624066</t>
  </si>
  <si>
    <t>Côté, Noémie</t>
  </si>
  <si>
    <t>Perreault</t>
  </si>
  <si>
    <t>TROIS-RIVIÈRES</t>
  </si>
  <si>
    <t>Trois-Rivières</t>
  </si>
  <si>
    <t>H7A3X8</t>
  </si>
  <si>
    <t>819 616-9148</t>
  </si>
  <si>
    <t>1622552</t>
  </si>
  <si>
    <t>Benoit Bilodeau, Thomas</t>
  </si>
  <si>
    <t>Benoit Bilodeau</t>
  </si>
  <si>
    <t>Tardif</t>
  </si>
  <si>
    <t>H7A3Y5</t>
  </si>
  <si>
    <t>819 616-2342</t>
  </si>
  <si>
    <t>1549861</t>
  </si>
  <si>
    <t>Baroudi, Virginie</t>
  </si>
  <si>
    <t>Baroudi</t>
  </si>
  <si>
    <t>Turcot</t>
  </si>
  <si>
    <t>H7A4B2</t>
  </si>
  <si>
    <t>819 616-0659</t>
  </si>
  <si>
    <t>1926367</t>
  </si>
  <si>
    <t>Houle, Kianna</t>
  </si>
  <si>
    <t>Kianna</t>
  </si>
  <si>
    <t>THURSO</t>
  </si>
  <si>
    <t>Thurso</t>
  </si>
  <si>
    <t>H7A4E5</t>
  </si>
  <si>
    <t>819 597-4016</t>
  </si>
  <si>
    <t>1855889</t>
  </si>
  <si>
    <t>Ouellet, Dorothée</t>
  </si>
  <si>
    <t>Dorothée</t>
  </si>
  <si>
    <t>De Coene</t>
  </si>
  <si>
    <t>TERREBONNE</t>
  </si>
  <si>
    <t>Terrebonne</t>
  </si>
  <si>
    <t>H7H2T8</t>
  </si>
  <si>
    <t>819 513-0428</t>
  </si>
  <si>
    <t>1685104</t>
  </si>
  <si>
    <t>Lor, Gabriel</t>
  </si>
  <si>
    <t>H7M5Y7</t>
  </si>
  <si>
    <t>819 430-3266</t>
  </si>
  <si>
    <t>1053361</t>
  </si>
  <si>
    <t>Marcotte, Félix</t>
  </si>
  <si>
    <t>Marcotte</t>
  </si>
  <si>
    <t>Félix</t>
  </si>
  <si>
    <t>Dupuis</t>
  </si>
  <si>
    <t>William Alexis</t>
  </si>
  <si>
    <t>H7K3Z4</t>
  </si>
  <si>
    <t>819 499-1328</t>
  </si>
  <si>
    <t>1932314</t>
  </si>
  <si>
    <t>Bourgeois-Racine, Sara</t>
  </si>
  <si>
    <t>Bourgeois-Racine</t>
  </si>
  <si>
    <t>H7A4H4</t>
  </si>
  <si>
    <t>819 597-2880</t>
  </si>
  <si>
    <t>1926838</t>
  </si>
  <si>
    <t>Martineau, Fanny</t>
  </si>
  <si>
    <t>Martineau</t>
  </si>
  <si>
    <t>Fanny</t>
  </si>
  <si>
    <t>Dugas-Pelletier</t>
  </si>
  <si>
    <t>H7M5V9</t>
  </si>
  <si>
    <t>819 430-3777</t>
  </si>
  <si>
    <t>1651363</t>
  </si>
  <si>
    <t>Lamothe, Jessy</t>
  </si>
  <si>
    <t>Lamothe</t>
  </si>
  <si>
    <t>Jessy</t>
  </si>
  <si>
    <t>Guillemette</t>
  </si>
  <si>
    <t>H7G2B3</t>
  </si>
  <si>
    <t>819 585-2473</t>
  </si>
  <si>
    <t>1849184</t>
  </si>
  <si>
    <t>Loranger, Gabriel</t>
  </si>
  <si>
    <t>Loranger</t>
  </si>
  <si>
    <t>H7P3Z5</t>
  </si>
  <si>
    <t>819 358-0303</t>
  </si>
  <si>
    <t>1328262</t>
  </si>
  <si>
    <t>Jeanson, Katherine</t>
  </si>
  <si>
    <t>Jeanson</t>
  </si>
  <si>
    <t>H7L4V9</t>
  </si>
  <si>
    <t>819 436-2164</t>
  </si>
  <si>
    <t>1530011</t>
  </si>
  <si>
    <t>Desrochers, Megan</t>
  </si>
  <si>
    <t>Desrochers</t>
  </si>
  <si>
    <t>Megan</t>
  </si>
  <si>
    <t>Miron</t>
  </si>
  <si>
    <t>Wiktoria</t>
  </si>
  <si>
    <t>H7P1X7</t>
  </si>
  <si>
    <t>819 424-3547</t>
  </si>
  <si>
    <t>1628399</t>
  </si>
  <si>
    <t>Lachaîne, Julie</t>
  </si>
  <si>
    <t>Lachaîne</t>
  </si>
  <si>
    <t>Imananimwe</t>
  </si>
  <si>
    <t>H7P4R9</t>
  </si>
  <si>
    <t>819 355-0627</t>
  </si>
  <si>
    <t>6145258</t>
  </si>
  <si>
    <t>Bouchard, Saskia</t>
  </si>
  <si>
    <t>Bouchard</t>
  </si>
  <si>
    <t>Saskia</t>
  </si>
  <si>
    <t>Savard-Nantel</t>
  </si>
  <si>
    <t>H7G3G6</t>
  </si>
  <si>
    <t>819 550-6577</t>
  </si>
  <si>
    <t>1735682</t>
  </si>
  <si>
    <t>Francoeur, Mariane</t>
  </si>
  <si>
    <t>Francoeur</t>
  </si>
  <si>
    <t>Mariane</t>
  </si>
  <si>
    <t>Leroux-Robert</t>
  </si>
  <si>
    <t>H7N3L1</t>
  </si>
  <si>
    <t>819 430-2093</t>
  </si>
  <si>
    <t>1971017</t>
  </si>
  <si>
    <t>Rhidouani, Carolane</t>
  </si>
  <si>
    <t>Rhidouani</t>
  </si>
  <si>
    <t>Carolane</t>
  </si>
  <si>
    <t>Caron</t>
  </si>
  <si>
    <t>H7H3A9</t>
  </si>
  <si>
    <t>819 507-0920</t>
  </si>
  <si>
    <t>1627142</t>
  </si>
  <si>
    <t>Langlois, Jessica</t>
  </si>
  <si>
    <t>H7P1C4</t>
  </si>
  <si>
    <t>819 424-4998</t>
  </si>
  <si>
    <t>1738070</t>
  </si>
  <si>
    <t>H7G4T2</t>
  </si>
  <si>
    <t>819 527-5244</t>
  </si>
  <si>
    <t>1664915</t>
  </si>
  <si>
    <t>Mathieu, Évelyne</t>
  </si>
  <si>
    <t>Évelyne</t>
  </si>
  <si>
    <t>Duchesne</t>
  </si>
  <si>
    <t>H7L5H1</t>
  </si>
  <si>
    <t>819 430-7784</t>
  </si>
  <si>
    <t>1963067</t>
  </si>
  <si>
    <t>Budry, Samantha</t>
  </si>
  <si>
    <t>Budry</t>
  </si>
  <si>
    <t>Samantha</t>
  </si>
  <si>
    <t>H7P5B7</t>
  </si>
  <si>
    <t>819 334-3926</t>
  </si>
  <si>
    <t>1752407</t>
  </si>
  <si>
    <t>Poirier, Charles-Antoine</t>
  </si>
  <si>
    <t>Poirier</t>
  </si>
  <si>
    <t>Charles-Antoine</t>
  </si>
  <si>
    <t>Chelfat</t>
  </si>
  <si>
    <t>Wilfrid</t>
  </si>
  <si>
    <t>H7P1P4</t>
  </si>
  <si>
    <t>819 424-4594</t>
  </si>
  <si>
    <t>1752128</t>
  </si>
  <si>
    <t>Milanovic, Émilie</t>
  </si>
  <si>
    <t>Milanovic</t>
  </si>
  <si>
    <t>Destina</t>
  </si>
  <si>
    <t>H7P4X9</t>
  </si>
  <si>
    <t>819 341-1411</t>
  </si>
  <si>
    <t>1669933</t>
  </si>
  <si>
    <t>Desousa-Wylde, Mégan</t>
  </si>
  <si>
    <t>Desousa-Wylde</t>
  </si>
  <si>
    <t>Mironchuck</t>
  </si>
  <si>
    <t>H7H1V8</t>
  </si>
  <si>
    <t>819 513-2345</t>
  </si>
  <si>
    <t>1219487</t>
  </si>
  <si>
    <t>Devillers, Maya</t>
  </si>
  <si>
    <t>Devillers</t>
  </si>
  <si>
    <t>Maya</t>
  </si>
  <si>
    <t>Michaud</t>
  </si>
  <si>
    <t>H7K1E2</t>
  </si>
  <si>
    <t>819 507-0175</t>
  </si>
  <si>
    <t>1961301</t>
  </si>
  <si>
    <t>Berniquez, Tammy Lee</t>
  </si>
  <si>
    <t>Berniquez</t>
  </si>
  <si>
    <t>H7L5V5</t>
  </si>
  <si>
    <t>819 430-6834</t>
  </si>
  <si>
    <t>1421948</t>
  </si>
  <si>
    <t>Rozon Desjardins</t>
  </si>
  <si>
    <t>H7L1S8</t>
  </si>
  <si>
    <t>819 474-6983</t>
  </si>
  <si>
    <t>1935825</t>
  </si>
  <si>
    <t>Gareau, Magalie</t>
  </si>
  <si>
    <t>Magalie</t>
  </si>
  <si>
    <t>Lefebvre-Beauchamp</t>
  </si>
  <si>
    <t>H7E5M1</t>
  </si>
  <si>
    <t>819 585-2561</t>
  </si>
  <si>
    <t>1752411</t>
  </si>
  <si>
    <t>Boyer, Sandra Jane</t>
  </si>
  <si>
    <t>Boyer</t>
  </si>
  <si>
    <t>Sandra Jane</t>
  </si>
  <si>
    <t>H7L1N1</t>
  </si>
  <si>
    <t>819 476-0587</t>
  </si>
  <si>
    <t>1745682</t>
  </si>
  <si>
    <t>Sanche, Audrey</t>
  </si>
  <si>
    <t>Sanche</t>
  </si>
  <si>
    <t>Bouhier</t>
  </si>
  <si>
    <t>H7E4P7</t>
  </si>
  <si>
    <t>819 585-4476</t>
  </si>
  <si>
    <t>1912583</t>
  </si>
  <si>
    <t>Pinheiro, Charlotte</t>
  </si>
  <si>
    <t>H7L3Y8</t>
  </si>
  <si>
    <t>819 440-6698</t>
  </si>
  <si>
    <t>1475682</t>
  </si>
  <si>
    <t>Mailloux-Larose, Frédéric</t>
  </si>
  <si>
    <t>Mailloux-Larose</t>
  </si>
  <si>
    <t>Frédéric</t>
  </si>
  <si>
    <t>Faubert</t>
  </si>
  <si>
    <t>H7M2W6</t>
  </si>
  <si>
    <t>819 430-6294</t>
  </si>
  <si>
    <t>1323705</t>
  </si>
  <si>
    <t>Séguin-Mousseau, Ariel</t>
  </si>
  <si>
    <t>Séguin-Mousseau</t>
  </si>
  <si>
    <t>Ariel</t>
  </si>
  <si>
    <t>H7L5J9</t>
  </si>
  <si>
    <t>819 430-7133</t>
  </si>
  <si>
    <t>1952388</t>
  </si>
  <si>
    <t>Bélanger, Valérie</t>
  </si>
  <si>
    <t>Valérie</t>
  </si>
  <si>
    <t>Thérien</t>
  </si>
  <si>
    <t>H7N6J1</t>
  </si>
  <si>
    <t>819 425-4479</t>
  </si>
  <si>
    <t>1824209</t>
  </si>
  <si>
    <t>Monette, Emilie</t>
  </si>
  <si>
    <t>Monette</t>
  </si>
  <si>
    <t>Emilie</t>
  </si>
  <si>
    <t>Deslauriers Dupont</t>
  </si>
  <si>
    <t>H7P0G6</t>
  </si>
  <si>
    <t>819 425-0869</t>
  </si>
  <si>
    <t>1821069</t>
  </si>
  <si>
    <t>Proulx, Cathy</t>
  </si>
  <si>
    <t>Cathy</t>
  </si>
  <si>
    <t>H7P3K7</t>
  </si>
  <si>
    <t>819 421-3507</t>
  </si>
  <si>
    <t>1978157</t>
  </si>
  <si>
    <t>Willyam</t>
  </si>
  <si>
    <t>H7K2A6</t>
  </si>
  <si>
    <t>819 507-0076</t>
  </si>
  <si>
    <t>1847834</t>
  </si>
  <si>
    <t>Landry, Jessica</t>
  </si>
  <si>
    <t>Landry</t>
  </si>
  <si>
    <t>Guénette</t>
  </si>
  <si>
    <t>H7P3M2</t>
  </si>
  <si>
    <t>819 421-1970</t>
  </si>
  <si>
    <t>1533774</t>
  </si>
  <si>
    <t>Ménard, Emrick</t>
  </si>
  <si>
    <t>Emrick</t>
  </si>
  <si>
    <t>H7H2X4</t>
  </si>
  <si>
    <t>819 507-5736</t>
  </si>
  <si>
    <t>1937933</t>
  </si>
  <si>
    <t>Lynch</t>
  </si>
  <si>
    <t>Williame</t>
  </si>
  <si>
    <t>H7K3K7</t>
  </si>
  <si>
    <t>819 507-0044</t>
  </si>
  <si>
    <t>1860294</t>
  </si>
  <si>
    <t>H7P3L3</t>
  </si>
  <si>
    <t>819 421-2818</t>
  </si>
  <si>
    <t>0905139</t>
  </si>
  <si>
    <t>Décoste, Michaël</t>
  </si>
  <si>
    <t>Décoste</t>
  </si>
  <si>
    <t>Normand</t>
  </si>
  <si>
    <t>H7N5R8</t>
  </si>
  <si>
    <t>819 425-4770</t>
  </si>
  <si>
    <t>1034394</t>
  </si>
  <si>
    <t>Bouthot, Sandrine</t>
  </si>
  <si>
    <t>Bouthot</t>
  </si>
  <si>
    <t>H7P3Y7</t>
  </si>
  <si>
    <t>819 421-1066</t>
  </si>
  <si>
    <t>1933199</t>
  </si>
  <si>
    <t>Pelletier, Crystel</t>
  </si>
  <si>
    <t>Crystel</t>
  </si>
  <si>
    <t>Coupal</t>
  </si>
  <si>
    <t>H7L3K8</t>
  </si>
  <si>
    <t>819 441-1770</t>
  </si>
  <si>
    <t>1827810</t>
  </si>
  <si>
    <t>Rosales Garduno, Benjamin</t>
  </si>
  <si>
    <t>Rosales Garduno</t>
  </si>
  <si>
    <t>Briggs</t>
  </si>
  <si>
    <t>H7N3T2</t>
  </si>
  <si>
    <t>819 429-6736</t>
  </si>
  <si>
    <t>1614161</t>
  </si>
  <si>
    <t>Tremblay, Alycia</t>
  </si>
  <si>
    <t>Alycia</t>
  </si>
  <si>
    <t>Beaudry-Millette</t>
  </si>
  <si>
    <t>H7C1Z8</t>
  </si>
  <si>
    <t>819 593-4725</t>
  </si>
  <si>
    <t>1627792</t>
  </si>
  <si>
    <t>Nadon, Elly</t>
  </si>
  <si>
    <t>Nadon</t>
  </si>
  <si>
    <t>Elly</t>
  </si>
  <si>
    <t>Denobriga</t>
  </si>
  <si>
    <t>H7P4T2</t>
  </si>
  <si>
    <t>819 351-1249</t>
  </si>
  <si>
    <t>1994249</t>
  </si>
  <si>
    <t>Cadieux, Sabrina</t>
  </si>
  <si>
    <t>H7N5E7</t>
  </si>
  <si>
    <t>819 425-4859</t>
  </si>
  <si>
    <t>1950409</t>
  </si>
  <si>
    <t>Blondin, Simon</t>
  </si>
  <si>
    <t>Blondin</t>
  </si>
  <si>
    <t>Simard-Blais</t>
  </si>
  <si>
    <t>H7P5A1</t>
  </si>
  <si>
    <t>819 341-0024</t>
  </si>
  <si>
    <t>1461995</t>
  </si>
  <si>
    <t>Brunelle-Allaire, Samuel</t>
  </si>
  <si>
    <t>819 421-2944</t>
  </si>
  <si>
    <t>1946113</t>
  </si>
  <si>
    <t>Marion, Félix</t>
  </si>
  <si>
    <t>Wyllyam</t>
  </si>
  <si>
    <t>H7K1Y3</t>
  </si>
  <si>
    <t>819 507-0113</t>
  </si>
  <si>
    <t>1746061</t>
  </si>
  <si>
    <t>Allie, Yuka</t>
  </si>
  <si>
    <t>Allie</t>
  </si>
  <si>
    <t>H7N4Z7</t>
  </si>
  <si>
    <t>819 425-5589</t>
  </si>
  <si>
    <t>1554958</t>
  </si>
  <si>
    <t>Lapalme, Jessica</t>
  </si>
  <si>
    <t>Lapalme</t>
  </si>
  <si>
    <t>H7C1G8</t>
  </si>
  <si>
    <t>819 597-2058</t>
  </si>
  <si>
    <t>1752412</t>
  </si>
  <si>
    <t>Viettro-Rioux, Alexandra</t>
  </si>
  <si>
    <t>Viettro-Rioux</t>
  </si>
  <si>
    <t>Andrews</t>
  </si>
  <si>
    <t>H7C2M9</t>
  </si>
  <si>
    <t>819 587-2617</t>
  </si>
  <si>
    <t>1838996</t>
  </si>
  <si>
    <t>Lapointe, Jessica</t>
  </si>
  <si>
    <t>Lapointe</t>
  </si>
  <si>
    <t>Gravel</t>
  </si>
  <si>
    <t>H7L2S6</t>
  </si>
  <si>
    <t>819 443-0095</t>
  </si>
  <si>
    <t>1930873</t>
  </si>
  <si>
    <t>Légaré-Deslauriers, Hugo</t>
  </si>
  <si>
    <t>Légaré-Deslauriers</t>
  </si>
  <si>
    <t>Ganley</t>
  </si>
  <si>
    <t>H7L1Z2</t>
  </si>
  <si>
    <t>819 448-3003</t>
  </si>
  <si>
    <t>1801832</t>
  </si>
  <si>
    <t>Desforges-Duarte, Mélanie</t>
  </si>
  <si>
    <t>Desforges-Duarte</t>
  </si>
  <si>
    <t>Mélanie</t>
  </si>
  <si>
    <t>H7L4E1</t>
  </si>
  <si>
    <t>819 440-2073</t>
  </si>
  <si>
    <t>1961638</t>
  </si>
  <si>
    <t>Daunais, Mikaël</t>
  </si>
  <si>
    <t>Mikaël</t>
  </si>
  <si>
    <t>H7P0B5</t>
  </si>
  <si>
    <t>819 425-1735</t>
  </si>
  <si>
    <t>1875610</t>
  </si>
  <si>
    <t>Bernard, Tanya</t>
  </si>
  <si>
    <t>Bernard</t>
  </si>
  <si>
    <t>H7L3W8</t>
  </si>
  <si>
    <t>819 440-8016</t>
  </si>
  <si>
    <t>1563078</t>
  </si>
  <si>
    <t>Vaillancourt, Alexi</t>
  </si>
  <si>
    <t>Alexi</t>
  </si>
  <si>
    <t>Auclair</t>
  </si>
  <si>
    <t>H7H3G2</t>
  </si>
  <si>
    <t>819 507-0916</t>
  </si>
  <si>
    <t>1653565</t>
  </si>
  <si>
    <t>Tremblay, Alyson</t>
  </si>
  <si>
    <t>Alyson</t>
  </si>
  <si>
    <t>Wassima</t>
  </si>
  <si>
    <t>H7P2N6</t>
  </si>
  <si>
    <t>819 421-9089</t>
  </si>
  <si>
    <t>1722992</t>
  </si>
  <si>
    <t>Caron, Rose</t>
  </si>
  <si>
    <t>Repeta</t>
  </si>
  <si>
    <t>H7P3E7</t>
  </si>
  <si>
    <t>819 421-3659</t>
  </si>
  <si>
    <t>1773901</t>
  </si>
  <si>
    <t>H7L4V4</t>
  </si>
  <si>
    <t>819 436-3387</t>
  </si>
  <si>
    <t>1483487</t>
  </si>
  <si>
    <t>Mbogning, Etienne</t>
  </si>
  <si>
    <t>Mbogning</t>
  </si>
  <si>
    <t>Etienne</t>
  </si>
  <si>
    <t>H7L6B5</t>
  </si>
  <si>
    <t>819 430-6432</t>
  </si>
  <si>
    <t>1923848</t>
  </si>
  <si>
    <t>Manoukian, Florence</t>
  </si>
  <si>
    <t>Manoukian</t>
  </si>
  <si>
    <t>Eath</t>
  </si>
  <si>
    <t>819 507-1375</t>
  </si>
  <si>
    <t>1876114</t>
  </si>
  <si>
    <t>Vandette, Alexandre</t>
  </si>
  <si>
    <t>Vandette</t>
  </si>
  <si>
    <t>Alexandre</t>
  </si>
  <si>
    <t>819 421-0968</t>
  </si>
  <si>
    <t>1531915</t>
  </si>
  <si>
    <t>Huguet, Kevin</t>
  </si>
  <si>
    <t>Huguet</t>
  </si>
  <si>
    <t>Lacoste</t>
  </si>
  <si>
    <t>H7P4Y9</t>
  </si>
  <si>
    <t>819 341-0250</t>
  </si>
  <si>
    <t>1638204</t>
  </si>
  <si>
    <t>Audet, William</t>
  </si>
  <si>
    <t>Audet</t>
  </si>
  <si>
    <t>Westerline</t>
  </si>
  <si>
    <t>H7P1X9</t>
  </si>
  <si>
    <t>819 424-1612</t>
  </si>
  <si>
    <t>1957123</t>
  </si>
  <si>
    <t>Céré-Lauzière, Rebecca</t>
  </si>
  <si>
    <t>Rebecca</t>
  </si>
  <si>
    <t>Wendy</t>
  </si>
  <si>
    <t>H7P2C3</t>
  </si>
  <si>
    <t>819 421-9314</t>
  </si>
  <si>
    <t>1367734</t>
  </si>
  <si>
    <t>Turcotte Cayer, Alexis</t>
  </si>
  <si>
    <t>Turcotte Cayer</t>
  </si>
  <si>
    <t>Alexis</t>
  </si>
  <si>
    <t>H7P4K6</t>
  </si>
  <si>
    <t>819 355-9502</t>
  </si>
  <si>
    <t>1957903</t>
  </si>
  <si>
    <t>Clermont, Olivier</t>
  </si>
  <si>
    <t>Clermont</t>
  </si>
  <si>
    <t>Pinau</t>
  </si>
  <si>
    <t>H7L6A8</t>
  </si>
  <si>
    <t>819 430-6701</t>
  </si>
  <si>
    <t>1838645</t>
  </si>
  <si>
    <t>Paquin-Breault, Danny-Rolando</t>
  </si>
  <si>
    <t>Paquin-Breault</t>
  </si>
  <si>
    <t>Danny-Rolando</t>
  </si>
  <si>
    <t>H7P4W3</t>
  </si>
  <si>
    <t>819 341-7190</t>
  </si>
  <si>
    <t>1425771</t>
  </si>
  <si>
    <t>Rojas, Benoit</t>
  </si>
  <si>
    <t>Rojas</t>
  </si>
  <si>
    <t>Benoit</t>
  </si>
  <si>
    <t>Brisson</t>
  </si>
  <si>
    <t>H7N4A3</t>
  </si>
  <si>
    <t>819 427-8359</t>
  </si>
  <si>
    <t>1552269</t>
  </si>
  <si>
    <t>Compère</t>
  </si>
  <si>
    <t>H7H3A1</t>
  </si>
  <si>
    <t>819 507-1309</t>
  </si>
  <si>
    <t>1732990</t>
  </si>
  <si>
    <t>Bonenfant, Séléna</t>
  </si>
  <si>
    <t>Bonenfant</t>
  </si>
  <si>
    <t>Séléna</t>
  </si>
  <si>
    <t>Séguin</t>
  </si>
  <si>
    <t>H7P4T9</t>
  </si>
  <si>
    <t>819 341-7225</t>
  </si>
  <si>
    <t>1640402</t>
  </si>
  <si>
    <t>H7L5E7</t>
  </si>
  <si>
    <t>819 430-8920</t>
  </si>
  <si>
    <t>1733430</t>
  </si>
  <si>
    <t>Théorêt-Dallaire, Andréann</t>
  </si>
  <si>
    <t>Théorêt-Dallaire</t>
  </si>
  <si>
    <t>819 425-1526</t>
  </si>
  <si>
    <t>1961503</t>
  </si>
  <si>
    <t>Racicot, Catherine</t>
  </si>
  <si>
    <t>Racicot</t>
  </si>
  <si>
    <t>Chaloux</t>
  </si>
  <si>
    <t>H7N5L8</t>
  </si>
  <si>
    <t>819 425-4841</t>
  </si>
  <si>
    <t>1723100</t>
  </si>
  <si>
    <t>Allard, Zachary</t>
  </si>
  <si>
    <t>H7L4W7</t>
  </si>
  <si>
    <t>819 436-0551</t>
  </si>
  <si>
    <t>1837628</t>
  </si>
  <si>
    <t>Campbell Lamarre</t>
  </si>
  <si>
    <t>H7M4K1</t>
  </si>
  <si>
    <t>819 430-3845</t>
  </si>
  <si>
    <t>1338123</t>
  </si>
  <si>
    <t>Crepeau, Nellie</t>
  </si>
  <si>
    <t>Crepeau</t>
  </si>
  <si>
    <t>Nellie</t>
  </si>
  <si>
    <t>Parizeau</t>
  </si>
  <si>
    <t>H7L0E5</t>
  </si>
  <si>
    <t>819 499-1280</t>
  </si>
  <si>
    <t>1769898</t>
  </si>
  <si>
    <t>Heynemand, Kimberley</t>
  </si>
  <si>
    <t>Heynemand</t>
  </si>
  <si>
    <t>Kimberley</t>
  </si>
  <si>
    <t>Lafortune</t>
  </si>
  <si>
    <t>H7N3V6</t>
  </si>
  <si>
    <t>819 428-3536</t>
  </si>
  <si>
    <t>1134940</t>
  </si>
  <si>
    <t>Lavoie, Jansy</t>
  </si>
  <si>
    <t>Lavoie</t>
  </si>
  <si>
    <t>Jansy</t>
  </si>
  <si>
    <t>Ghosn</t>
  </si>
  <si>
    <t>819 339-1402</t>
  </si>
  <si>
    <t>0879449</t>
  </si>
  <si>
    <t>Bourgeois, Sara</t>
  </si>
  <si>
    <t>Bourgeois</t>
  </si>
  <si>
    <t>Sabourin-Caluori</t>
  </si>
  <si>
    <t>H7J1E5</t>
  </si>
  <si>
    <t>819 507-0440</t>
  </si>
  <si>
    <t>1834723</t>
  </si>
  <si>
    <t>Labrosse, Julien</t>
  </si>
  <si>
    <t>Labrosse</t>
  </si>
  <si>
    <t>Jardry</t>
  </si>
  <si>
    <t>H7N3B3</t>
  </si>
  <si>
    <t>819 430-2283</t>
  </si>
  <si>
    <t>1551144</t>
  </si>
  <si>
    <t>Long, Gabriel</t>
  </si>
  <si>
    <t>Long</t>
  </si>
  <si>
    <t>H7N3X6</t>
  </si>
  <si>
    <t>819 428-2533</t>
  </si>
  <si>
    <t>1541103</t>
  </si>
  <si>
    <t>Savard, Audrée</t>
  </si>
  <si>
    <t>Savard</t>
  </si>
  <si>
    <t>Audrée</t>
  </si>
  <si>
    <t>H7C1E3</t>
  </si>
  <si>
    <t>819 597-2252</t>
  </si>
  <si>
    <t>1486415</t>
  </si>
  <si>
    <t>Chayer, Pascale</t>
  </si>
  <si>
    <t>Chayer</t>
  </si>
  <si>
    <t>Pascale</t>
  </si>
  <si>
    <t>H7L3S9</t>
  </si>
  <si>
    <t>819 440-9404</t>
  </si>
  <si>
    <t>1340458</t>
  </si>
  <si>
    <t>Capaz</t>
  </si>
  <si>
    <t>819 427-6716</t>
  </si>
  <si>
    <t>1862054</t>
  </si>
  <si>
    <t>Roy, Aurélie</t>
  </si>
  <si>
    <t>Aurélie</t>
  </si>
  <si>
    <t>Boutin-Drapeau</t>
  </si>
  <si>
    <t>H7L5M2</t>
  </si>
  <si>
    <t>819 430-6905</t>
  </si>
  <si>
    <t>1771675</t>
  </si>
  <si>
    <t>Génier, Louis</t>
  </si>
  <si>
    <t>Génier</t>
  </si>
  <si>
    <t>H7N6J3</t>
  </si>
  <si>
    <t>819 425-1829</t>
  </si>
  <si>
    <t>1935935</t>
  </si>
  <si>
    <t>Gagnon-Letarte, Manon</t>
  </si>
  <si>
    <t>Gagnon-Letarte</t>
  </si>
  <si>
    <t>Manon</t>
  </si>
  <si>
    <t>H7K3N4</t>
  </si>
  <si>
    <t>819 499-1421</t>
  </si>
  <si>
    <t>1821338</t>
  </si>
  <si>
    <t>Houle, Khéliane</t>
  </si>
  <si>
    <t>Khéliane</t>
  </si>
  <si>
    <t>H7L5G2</t>
  </si>
  <si>
    <t>819 430-8533</t>
  </si>
  <si>
    <t>1964781</t>
  </si>
  <si>
    <t>Perreault, Coralie</t>
  </si>
  <si>
    <t>Wafa</t>
  </si>
  <si>
    <t>H7P2R3</t>
  </si>
  <si>
    <t>819 421-4721</t>
  </si>
  <si>
    <t>1974418</t>
  </si>
  <si>
    <t>Reda, Caroline</t>
  </si>
  <si>
    <t>Reda</t>
  </si>
  <si>
    <t>819 436-1511</t>
  </si>
  <si>
    <t>1332961</t>
  </si>
  <si>
    <t>Thibault, Amélie</t>
  </si>
  <si>
    <t>H7P3N5</t>
  </si>
  <si>
    <t>819 421-1783</t>
  </si>
  <si>
    <t>1727400</t>
  </si>
  <si>
    <t>Richer-Labelle, Camille</t>
  </si>
  <si>
    <t>H7L3H5</t>
  </si>
  <si>
    <t>819 441-7840</t>
  </si>
  <si>
    <t>1830618</t>
  </si>
  <si>
    <t>Desgroseilliers, Meghann</t>
  </si>
  <si>
    <t>Desgroseilliers</t>
  </si>
  <si>
    <t>Meghann</t>
  </si>
  <si>
    <t>H7L2E2</t>
  </si>
  <si>
    <t>819 444-9937</t>
  </si>
  <si>
    <t>1970216</t>
  </si>
  <si>
    <t>H7N2E5</t>
  </si>
  <si>
    <t>819 430-2803</t>
  </si>
  <si>
    <t>1820967</t>
  </si>
  <si>
    <t>Robinson, Brenda</t>
  </si>
  <si>
    <t>Robinson</t>
  </si>
  <si>
    <t>Brenda</t>
  </si>
  <si>
    <t>H7L3A7</t>
  </si>
  <si>
    <t>819 442-3009</t>
  </si>
  <si>
    <t>1938912</t>
  </si>
  <si>
    <t>Dion, Maxime</t>
  </si>
  <si>
    <t>H7H2P5</t>
  </si>
  <si>
    <t>819 513-1999</t>
  </si>
  <si>
    <t>1236407</t>
  </si>
  <si>
    <t>Boivin, Shanel</t>
  </si>
  <si>
    <t>Shanel</t>
  </si>
  <si>
    <t>819 430-8868</t>
  </si>
  <si>
    <t>1953519</t>
  </si>
  <si>
    <t>Daoust, Mireille Laure</t>
  </si>
  <si>
    <t>Mireille Laure</t>
  </si>
  <si>
    <t>H7G2N1</t>
  </si>
  <si>
    <t>819 552-3927</t>
  </si>
  <si>
    <t>1845663</t>
  </si>
  <si>
    <t>Thibault, Amy</t>
  </si>
  <si>
    <t>Amy</t>
  </si>
  <si>
    <t>Bélair</t>
  </si>
  <si>
    <t>H7L4X8</t>
  </si>
  <si>
    <t>819 431-3176</t>
  </si>
  <si>
    <t>1376407</t>
  </si>
  <si>
    <t>Michaud, Émilie</t>
  </si>
  <si>
    <t>Viviane</t>
  </si>
  <si>
    <t>H7P2Y9</t>
  </si>
  <si>
    <t>819 421-3861</t>
  </si>
  <si>
    <t>1536737</t>
  </si>
  <si>
    <t>Therrien-Béland, Ana Laura</t>
  </si>
  <si>
    <t>Therrien-Béland</t>
  </si>
  <si>
    <t>Ana Laura</t>
  </si>
  <si>
    <t>H7C1R7</t>
  </si>
  <si>
    <t>819 593-5505</t>
  </si>
  <si>
    <t>1064195</t>
  </si>
  <si>
    <t>Cantin</t>
  </si>
  <si>
    <t>H7E4W8</t>
  </si>
  <si>
    <t>819 585-3443</t>
  </si>
  <si>
    <t>1173702</t>
  </si>
  <si>
    <t>Carreiro-Lopes, Rosalie</t>
  </si>
  <si>
    <t>Carreiro-Lopes</t>
  </si>
  <si>
    <t>SHAWINIGAN</t>
  </si>
  <si>
    <t>Shawinigan</t>
  </si>
  <si>
    <t>H7X2Z3</t>
  </si>
  <si>
    <t>819 323-8799</t>
  </si>
  <si>
    <t>1554844</t>
  </si>
  <si>
    <t>Duchesne, Maude</t>
  </si>
  <si>
    <t>SENNETERRE</t>
  </si>
  <si>
    <t>Senneterre</t>
  </si>
  <si>
    <t>H7X3L9</t>
  </si>
  <si>
    <t>819 323-8685</t>
  </si>
  <si>
    <t>6130852</t>
  </si>
  <si>
    <t>Lyonnais, Frédérique</t>
  </si>
  <si>
    <t>Lyonnais</t>
  </si>
  <si>
    <t>Frédérique</t>
  </si>
  <si>
    <t>Ficorilli</t>
  </si>
  <si>
    <t>SAINT-SAUVEUR</t>
  </si>
  <si>
    <t>Saint-Sauveur</t>
  </si>
  <si>
    <t>J0K2L0</t>
  </si>
  <si>
    <t>819 321-3437</t>
  </si>
  <si>
    <t>Arts, lettres et com. - Option médias</t>
  </si>
  <si>
    <t>1847826</t>
  </si>
  <si>
    <t>Germain-Tremblay, Lori</t>
  </si>
  <si>
    <t>Germain-Tremblay</t>
  </si>
  <si>
    <t>Lori</t>
  </si>
  <si>
    <t>819 321-2484</t>
  </si>
  <si>
    <t>1631294</t>
  </si>
  <si>
    <t>Piché-Villeneuve, Christine</t>
  </si>
  <si>
    <t>Piché-Villeneuve</t>
  </si>
  <si>
    <t>Colmor</t>
  </si>
  <si>
    <t>J0K1Z0</t>
  </si>
  <si>
    <t>819 321-5025</t>
  </si>
  <si>
    <t>1932636</t>
  </si>
  <si>
    <t>Dagenais-Rebelo, Myriam</t>
  </si>
  <si>
    <t>Dagenais-Rebelo</t>
  </si>
  <si>
    <t>Myriam</t>
  </si>
  <si>
    <t>J0K1S0</t>
  </si>
  <si>
    <t>819 323-6620</t>
  </si>
  <si>
    <t>1435589</t>
  </si>
  <si>
    <t>Tassé, Anick</t>
  </si>
  <si>
    <t>Tassé</t>
  </si>
  <si>
    <t>Anick</t>
  </si>
  <si>
    <t>Belley-Bresse</t>
  </si>
  <si>
    <t>J0K2T0</t>
  </si>
  <si>
    <t>819 320-0330</t>
  </si>
  <si>
    <t>1835192</t>
  </si>
  <si>
    <t>Michon, Émilie</t>
  </si>
  <si>
    <t>Michon</t>
  </si>
  <si>
    <t>Désy</t>
  </si>
  <si>
    <t>Trycia</t>
  </si>
  <si>
    <t>819 275-8902</t>
  </si>
  <si>
    <t>1656628</t>
  </si>
  <si>
    <t>Rodriguez ruiz, Bessanie</t>
  </si>
  <si>
    <t>Rodriguez ruiz</t>
  </si>
  <si>
    <t>Bessanie</t>
  </si>
  <si>
    <t>Britt</t>
  </si>
  <si>
    <t>Vaïna</t>
  </si>
  <si>
    <t>819 281-0378</t>
  </si>
  <si>
    <t>1777648</t>
  </si>
  <si>
    <t>Gagné-Côté</t>
  </si>
  <si>
    <t>J0K1B0</t>
  </si>
  <si>
    <t>819 323-7849</t>
  </si>
  <si>
    <t>1736627</t>
  </si>
  <si>
    <t>Lamoureux, Jessie</t>
  </si>
  <si>
    <t>Jessie</t>
  </si>
  <si>
    <t>819 321-3388</t>
  </si>
  <si>
    <t>1870302</t>
  </si>
  <si>
    <t>819 323-7027</t>
  </si>
  <si>
    <t>1979787</t>
  </si>
  <si>
    <t>Clavel, Olivier</t>
  </si>
  <si>
    <t>Clavel</t>
  </si>
  <si>
    <t>Pitre-Boiteau</t>
  </si>
  <si>
    <t>819 323-6552</t>
  </si>
  <si>
    <t>1891209</t>
  </si>
  <si>
    <t>Williams, Adryanne</t>
  </si>
  <si>
    <t>Williams</t>
  </si>
  <si>
    <t>Adryanne</t>
  </si>
  <si>
    <t>Alain</t>
  </si>
  <si>
    <t>819 323-1083</t>
  </si>
  <si>
    <t>1949054</t>
  </si>
  <si>
    <t>Slachetka, Ariane</t>
  </si>
  <si>
    <t>Slachetka</t>
  </si>
  <si>
    <t>819 323-2123</t>
  </si>
  <si>
    <t>1858713</t>
  </si>
  <si>
    <t>Cardinal-Bouladier, Roxane</t>
  </si>
  <si>
    <t>Cardinal-Bouladier</t>
  </si>
  <si>
    <t>Roxane</t>
  </si>
  <si>
    <t>819 322-7539</t>
  </si>
  <si>
    <t>1976169</t>
  </si>
  <si>
    <t>Allaire, Zachary</t>
  </si>
  <si>
    <t>Vosburg-Houle</t>
  </si>
  <si>
    <t>819 322-1397</t>
  </si>
  <si>
    <t>1502027</t>
  </si>
  <si>
    <t>Therrien</t>
  </si>
  <si>
    <t>Ugo-Olivier</t>
  </si>
  <si>
    <t>819 278-5519</t>
  </si>
  <si>
    <t>1731212</t>
  </si>
  <si>
    <t>Gauthier, Luisa</t>
  </si>
  <si>
    <t>Gauthier</t>
  </si>
  <si>
    <t>Luisa</t>
  </si>
  <si>
    <t>Leblond</t>
  </si>
  <si>
    <t>J0K3H0</t>
  </si>
  <si>
    <t>819 275-3664</t>
  </si>
  <si>
    <t>1950879</t>
  </si>
  <si>
    <t>Said, Audrey</t>
  </si>
  <si>
    <t>Said</t>
  </si>
  <si>
    <t>Bourassa</t>
  </si>
  <si>
    <t>Ulysse</t>
  </si>
  <si>
    <t>819 278-5652</t>
  </si>
  <si>
    <t>1962048</t>
  </si>
  <si>
    <t>Wilson-Lauzon, Addis</t>
  </si>
  <si>
    <t>Wilson-Lauzon</t>
  </si>
  <si>
    <t>Addis</t>
  </si>
  <si>
    <t>Ahern</t>
  </si>
  <si>
    <t>819 321-2196</t>
  </si>
  <si>
    <t>1836725</t>
  </si>
  <si>
    <t>Gingras, Ligia</t>
  </si>
  <si>
    <t>Ligia</t>
  </si>
  <si>
    <t>Laverdière</t>
  </si>
  <si>
    <t>Vanécia</t>
  </si>
  <si>
    <t>819 321-7291</t>
  </si>
  <si>
    <t>1969441</t>
  </si>
  <si>
    <t>Beauvais, Véronique</t>
  </si>
  <si>
    <t>Beauvais</t>
  </si>
  <si>
    <t>Thiffault</t>
  </si>
  <si>
    <t>819 322-2761</t>
  </si>
  <si>
    <t>1839714</t>
  </si>
  <si>
    <t>Thibodeau, Amélie</t>
  </si>
  <si>
    <t>Thibodeau</t>
  </si>
  <si>
    <t>Bédard</t>
  </si>
  <si>
    <t>Vicente Leonardo</t>
  </si>
  <si>
    <t>819 323-7546</t>
  </si>
  <si>
    <t>1749341</t>
  </si>
  <si>
    <t>Neiderer, Elizabeth</t>
  </si>
  <si>
    <t>819 320-0219</t>
  </si>
  <si>
    <t>1484782</t>
  </si>
  <si>
    <t>Deslongchamps, Mégan</t>
  </si>
  <si>
    <t>Deslongchamps</t>
  </si>
  <si>
    <t>Mondion</t>
  </si>
  <si>
    <t>J0K1T0</t>
  </si>
  <si>
    <t>819 323-6121</t>
  </si>
  <si>
    <t>1868437</t>
  </si>
  <si>
    <t>Legris</t>
  </si>
  <si>
    <t>Tristan R.</t>
  </si>
  <si>
    <t>819 275-8891</t>
  </si>
  <si>
    <t>1976376</t>
  </si>
  <si>
    <t>819 323-6715</t>
  </si>
  <si>
    <t>1727313</t>
  </si>
  <si>
    <t>Paquin-Breault, Danny</t>
  </si>
  <si>
    <t>Danny</t>
  </si>
  <si>
    <t>Véronik</t>
  </si>
  <si>
    <t>819 322-6311</t>
  </si>
  <si>
    <t>1683012</t>
  </si>
  <si>
    <t>Roux-Beaudry, Bastien</t>
  </si>
  <si>
    <t>Roux-Beaudry</t>
  </si>
  <si>
    <t>Bastien</t>
  </si>
  <si>
    <t>Brabant</t>
  </si>
  <si>
    <t>819 322-5094</t>
  </si>
  <si>
    <t>1922138</t>
  </si>
  <si>
    <t>Therrien, Anabelle</t>
  </si>
  <si>
    <t>819 275-7982</t>
  </si>
  <si>
    <t>1951467</t>
  </si>
  <si>
    <t>Dufort Beaucage, Matisse</t>
  </si>
  <si>
    <t>Dufort Beaucage</t>
  </si>
  <si>
    <t>Matisse</t>
  </si>
  <si>
    <t>Masson</t>
  </si>
  <si>
    <t>Valeria</t>
  </si>
  <si>
    <t>819 306-0660</t>
  </si>
  <si>
    <t>1770473</t>
  </si>
  <si>
    <t>Letort, Gabrielle</t>
  </si>
  <si>
    <t>Letort</t>
  </si>
  <si>
    <t>819 275-2563</t>
  </si>
  <si>
    <t>1637146</t>
  </si>
  <si>
    <t>Perrin</t>
  </si>
  <si>
    <t>J0K3K0</t>
  </si>
  <si>
    <t>819 274-1652</t>
  </si>
  <si>
    <t>1632453</t>
  </si>
  <si>
    <t>Isabel, Kelly-Ann</t>
  </si>
  <si>
    <t>Isabel</t>
  </si>
  <si>
    <t>Kelly-Ann</t>
  </si>
  <si>
    <t>Lachaine</t>
  </si>
  <si>
    <t>J0K2S0</t>
  </si>
  <si>
    <t>819 321-1944</t>
  </si>
  <si>
    <t>1877505</t>
  </si>
  <si>
    <t>Gattola, Madeleine</t>
  </si>
  <si>
    <t>Gattola</t>
  </si>
  <si>
    <t>Madeleine</t>
  </si>
  <si>
    <t>Vicki</t>
  </si>
  <si>
    <t>819 323-7613</t>
  </si>
  <si>
    <t>1629486</t>
  </si>
  <si>
    <t>Duperré, Mathieu</t>
  </si>
  <si>
    <t>Duperré</t>
  </si>
  <si>
    <t>Marinier</t>
  </si>
  <si>
    <t>819 322-3502</t>
  </si>
  <si>
    <t>1976465</t>
  </si>
  <si>
    <t>Charette, Philippe</t>
  </si>
  <si>
    <t>Philippe</t>
  </si>
  <si>
    <t>Prévost-Lebel</t>
  </si>
  <si>
    <t>819 322-7069</t>
  </si>
  <si>
    <t>1910157</t>
  </si>
  <si>
    <t>Rousseau, Béatrice</t>
  </si>
  <si>
    <t>Rousseau</t>
  </si>
  <si>
    <t>Brazeau</t>
  </si>
  <si>
    <t>819 275-5299</t>
  </si>
  <si>
    <t>1936273</t>
  </si>
  <si>
    <t>Garant, Maïka</t>
  </si>
  <si>
    <t>Garant</t>
  </si>
  <si>
    <t>Maïka</t>
  </si>
  <si>
    <t>819 275-3957</t>
  </si>
  <si>
    <t>1705120</t>
  </si>
  <si>
    <t>Toutant Bibeau, Amaël</t>
  </si>
  <si>
    <t>Toutant Bibeau</t>
  </si>
  <si>
    <t>Amaël</t>
  </si>
  <si>
    <t>819 275-1997</t>
  </si>
  <si>
    <t>1924154</t>
  </si>
  <si>
    <t>Dion-Piché, Maxime</t>
  </si>
  <si>
    <t>Dion-Piché</t>
  </si>
  <si>
    <t>Mentec</t>
  </si>
  <si>
    <t>819 275-2686</t>
  </si>
  <si>
    <t>1825809</t>
  </si>
  <si>
    <t>Celestin, Rébecca</t>
  </si>
  <si>
    <t>Celestin</t>
  </si>
  <si>
    <t>Rébecca</t>
  </si>
  <si>
    <t>Ravar</t>
  </si>
  <si>
    <t>819 320-0666</t>
  </si>
  <si>
    <t>1833428</t>
  </si>
  <si>
    <t>Beauséjour, Vicente Leonardo</t>
  </si>
  <si>
    <t>Thisdale</t>
  </si>
  <si>
    <t>J0K3A0</t>
  </si>
  <si>
    <t>1963021</t>
  </si>
  <si>
    <t>Levac-Gauthier, Gabrielle</t>
  </si>
  <si>
    <t>Levac-Gauthier</t>
  </si>
  <si>
    <t>Fougère</t>
  </si>
  <si>
    <t>H9H2S6</t>
  </si>
  <si>
    <t>819 323-8245</t>
  </si>
  <si>
    <t>1949315</t>
  </si>
  <si>
    <t>Leblanc, Jade</t>
  </si>
  <si>
    <t>Leblanc</t>
  </si>
  <si>
    <t>819 322-5078</t>
  </si>
  <si>
    <t>1630947</t>
  </si>
  <si>
    <t>Marcil, Félix-Antoine</t>
  </si>
  <si>
    <t>Marcil</t>
  </si>
  <si>
    <t>Félix-Antoine</t>
  </si>
  <si>
    <t>Dupuis-Simard</t>
  </si>
  <si>
    <t>819 275-7557</t>
  </si>
  <si>
    <t>1939553</t>
  </si>
  <si>
    <t>St-Pierre, Ann-Frédérique</t>
  </si>
  <si>
    <t>Ann-Frédérique</t>
  </si>
  <si>
    <t>Vanessa Tanya</t>
  </si>
  <si>
    <t>819 322-5213</t>
  </si>
  <si>
    <t>1943885</t>
  </si>
  <si>
    <t>Houle, Kim</t>
  </si>
  <si>
    <t>Lafarge</t>
  </si>
  <si>
    <t>Verdeley</t>
  </si>
  <si>
    <t>819 322-6205</t>
  </si>
  <si>
    <t>1980305</t>
  </si>
  <si>
    <t>Hubert, Kevin</t>
  </si>
  <si>
    <t>H9S3W7</t>
  </si>
  <si>
    <t>819 323-8197</t>
  </si>
  <si>
    <t>1743049</t>
  </si>
  <si>
    <t>Blier, Simon</t>
  </si>
  <si>
    <t>Blier</t>
  </si>
  <si>
    <t>Singler-Fathallah</t>
  </si>
  <si>
    <t>J0K2B0</t>
  </si>
  <si>
    <t>819 321-3945</t>
  </si>
  <si>
    <t>1802513</t>
  </si>
  <si>
    <t>Dumais-Lépine, Mathieu</t>
  </si>
  <si>
    <t>Dumais-Lépine</t>
  </si>
  <si>
    <t>819 319-2036</t>
  </si>
  <si>
    <t>1753010</t>
  </si>
  <si>
    <t>Picard-Levielle, Christopher</t>
  </si>
  <si>
    <t>Picard-Levielle</t>
  </si>
  <si>
    <t>Christopher</t>
  </si>
  <si>
    <t>819 321-5657</t>
  </si>
  <si>
    <t>1730048</t>
  </si>
  <si>
    <t>Wurtele, Adam</t>
  </si>
  <si>
    <t>Wurtele</t>
  </si>
  <si>
    <t>Adam</t>
  </si>
  <si>
    <t>Adegoke</t>
  </si>
  <si>
    <t>819 322-3853</t>
  </si>
  <si>
    <t>1540437</t>
  </si>
  <si>
    <t>H7X3P5</t>
  </si>
  <si>
    <t>819 323-8552</t>
  </si>
  <si>
    <t>6131227</t>
  </si>
  <si>
    <t>Nguyen, Elizabeth</t>
  </si>
  <si>
    <t>Nguyen</t>
  </si>
  <si>
    <t>819 321-9434</t>
  </si>
  <si>
    <t>1738558</t>
  </si>
  <si>
    <t>Rheault</t>
  </si>
  <si>
    <t>819 323-1552</t>
  </si>
  <si>
    <t>1821369</t>
  </si>
  <si>
    <t>Bélisle, Tommy</t>
  </si>
  <si>
    <t>Theodate</t>
  </si>
  <si>
    <t>819 307-5122</t>
  </si>
  <si>
    <t>1888109</t>
  </si>
  <si>
    <t>Cayuela, Rémi</t>
  </si>
  <si>
    <t>Cayuela</t>
  </si>
  <si>
    <t>Rémi</t>
  </si>
  <si>
    <t>Raymond</t>
  </si>
  <si>
    <t>819 275-2159</t>
  </si>
  <si>
    <t>1924091</t>
  </si>
  <si>
    <t>Boyer, Sandrine</t>
  </si>
  <si>
    <t>819 322-2494</t>
  </si>
  <si>
    <t>1533418</t>
  </si>
  <si>
    <t>Auclair, William</t>
  </si>
  <si>
    <t>Trynité</t>
  </si>
  <si>
    <t>819 278-0139</t>
  </si>
  <si>
    <t>1734192</t>
  </si>
  <si>
    <t>Veilleux, Alexandre</t>
  </si>
  <si>
    <t>Veilleux</t>
  </si>
  <si>
    <t>Archambault</t>
  </si>
  <si>
    <t>J0K1W0</t>
  </si>
  <si>
    <t>819 323-6012</t>
  </si>
  <si>
    <t>1009370</t>
  </si>
  <si>
    <t>Lefebvre, Isaac</t>
  </si>
  <si>
    <t>Gascon</t>
  </si>
  <si>
    <t>819 323-1573</t>
  </si>
  <si>
    <t>1874724</t>
  </si>
  <si>
    <t>Nachef, Élodie</t>
  </si>
  <si>
    <t>Nachef</t>
  </si>
  <si>
    <t>Élodie</t>
  </si>
  <si>
    <t>Deraspe</t>
  </si>
  <si>
    <t>J0K2M0</t>
  </si>
  <si>
    <t>819 321-1975</t>
  </si>
  <si>
    <t>1624003</t>
  </si>
  <si>
    <t>Dupont, Mathieu</t>
  </si>
  <si>
    <t>Dupont</t>
  </si>
  <si>
    <t>Marenger</t>
  </si>
  <si>
    <t>Venessa</t>
  </si>
  <si>
    <t>819 322-5625</t>
  </si>
  <si>
    <t>0818436</t>
  </si>
  <si>
    <t>Macé, Frédérike</t>
  </si>
  <si>
    <t>Macé</t>
  </si>
  <si>
    <t>Fex-Ager</t>
  </si>
  <si>
    <t>1752198</t>
  </si>
  <si>
    <t>Poirier, Charles-Emmanuel</t>
  </si>
  <si>
    <t>Charles-Emmanuel</t>
  </si>
  <si>
    <t>Chaumont</t>
  </si>
  <si>
    <t>819 323-6608</t>
  </si>
  <si>
    <t>1830723</t>
  </si>
  <si>
    <t>Monty, Emilie</t>
  </si>
  <si>
    <t>Monty</t>
  </si>
  <si>
    <t>Desjardins-Lauzon</t>
  </si>
  <si>
    <t>819 321-7377</t>
  </si>
  <si>
    <t>1727252</t>
  </si>
  <si>
    <t>Lebrun, Jade</t>
  </si>
  <si>
    <t>Lebrun</t>
  </si>
  <si>
    <t>819 321-7500</t>
  </si>
  <si>
    <t>1958845</t>
  </si>
  <si>
    <t>Robidas, Brendy</t>
  </si>
  <si>
    <t>Robidas</t>
  </si>
  <si>
    <t>Brendy</t>
  </si>
  <si>
    <t>819 322-1749</t>
  </si>
  <si>
    <t>1825694</t>
  </si>
  <si>
    <t>Thiffault, Amélie</t>
  </si>
  <si>
    <t>Vickie</t>
  </si>
  <si>
    <t>819 323-7694</t>
  </si>
  <si>
    <t>1845652</t>
  </si>
  <si>
    <t>Charbonneau, Pier-Charles</t>
  </si>
  <si>
    <t>Pier-Charles</t>
  </si>
  <si>
    <t>819 321-7245</t>
  </si>
  <si>
    <t>1694293</t>
  </si>
  <si>
    <t>819 275-1940</t>
  </si>
  <si>
    <t>1947964</t>
  </si>
  <si>
    <t>Beaudoin, Vincent</t>
  </si>
  <si>
    <t>Beaudoin</t>
  </si>
  <si>
    <t>H7Y1S1</t>
  </si>
  <si>
    <t>819 323-8418</t>
  </si>
  <si>
    <t>1907606</t>
  </si>
  <si>
    <t>819 321-9573</t>
  </si>
  <si>
    <t>6117323</t>
  </si>
  <si>
    <t>Tessier, Andrew</t>
  </si>
  <si>
    <t>Andrew</t>
  </si>
  <si>
    <t>Ugo</t>
  </si>
  <si>
    <t>819 278-0497</t>
  </si>
  <si>
    <t>1966189</t>
  </si>
  <si>
    <t>Crausaz, Nelly</t>
  </si>
  <si>
    <t>Crausaz</t>
  </si>
  <si>
    <t>Nelly</t>
  </si>
  <si>
    <t>Patone</t>
  </si>
  <si>
    <t>819 321-5012</t>
  </si>
  <si>
    <t>1977546</t>
  </si>
  <si>
    <t>Vézina, Alexandra</t>
  </si>
  <si>
    <t>Vézina</t>
  </si>
  <si>
    <t>Arbi</t>
  </si>
  <si>
    <t>819 275-5526</t>
  </si>
  <si>
    <t>1942564</t>
  </si>
  <si>
    <t>Martin, Fayederick</t>
  </si>
  <si>
    <t>Fayederick</t>
  </si>
  <si>
    <t>J0C1A0</t>
  </si>
  <si>
    <t>819 323-8088</t>
  </si>
  <si>
    <t>1776587</t>
  </si>
  <si>
    <t>Cyr, Nathalie</t>
  </si>
  <si>
    <t>Nathalie</t>
  </si>
  <si>
    <t>819 275-0024</t>
  </si>
  <si>
    <t>0957312</t>
  </si>
  <si>
    <t>Tony</t>
  </si>
  <si>
    <t>SAINT-ROCH-DE-L'ACHIGAN</t>
  </si>
  <si>
    <t>Saint-Roch-de-l'Achigan</t>
  </si>
  <si>
    <t>819 240-1110</t>
  </si>
  <si>
    <t>1754881</t>
  </si>
  <si>
    <t>Kabeya Dibula, Karine</t>
  </si>
  <si>
    <t>Kabeya Dibula</t>
  </si>
  <si>
    <t>Koné</t>
  </si>
  <si>
    <t>Tracey Dora</t>
  </si>
  <si>
    <t>819 242-1733</t>
  </si>
  <si>
    <t>1852264</t>
  </si>
  <si>
    <t>Houle, Kiara</t>
  </si>
  <si>
    <t>Kiara</t>
  </si>
  <si>
    <t>Tricia</t>
  </si>
  <si>
    <t>819 242-7997</t>
  </si>
  <si>
    <t>1358638</t>
  </si>
  <si>
    <t>Rochon, Bianca</t>
  </si>
  <si>
    <t>Bianca</t>
  </si>
  <si>
    <t>Brouz</t>
  </si>
  <si>
    <t>819 219-1006</t>
  </si>
  <si>
    <t>1954791</t>
  </si>
  <si>
    <t>Chagnon, Raphaëlle-Ambre</t>
  </si>
  <si>
    <t>Chagnon</t>
  </si>
  <si>
    <t>Raphaëlle-Ambre</t>
  </si>
  <si>
    <t>Rail</t>
  </si>
  <si>
    <t>Trinidad Paz</t>
  </si>
  <si>
    <t>819 271-8871</t>
  </si>
  <si>
    <t>1742015</t>
  </si>
  <si>
    <t>Anderson, Yoann</t>
  </si>
  <si>
    <t>Anderson</t>
  </si>
  <si>
    <t>Villecourt</t>
  </si>
  <si>
    <t>Trinité</t>
  </si>
  <si>
    <t>J0L2K0</t>
  </si>
  <si>
    <t>819 274-1384</t>
  </si>
  <si>
    <t>1563098</t>
  </si>
  <si>
    <t>Tomy</t>
  </si>
  <si>
    <t>819 219-2800</t>
  </si>
  <si>
    <t>1629571</t>
  </si>
  <si>
    <t>Bérubé, Steven</t>
  </si>
  <si>
    <t>Bérubé</t>
  </si>
  <si>
    <t>SAINT-PLACIDE</t>
  </si>
  <si>
    <t>Saint-Placide</t>
  </si>
  <si>
    <t>819 217-7589</t>
  </si>
  <si>
    <t>1967166</t>
  </si>
  <si>
    <t>Quevillon, Catherine</t>
  </si>
  <si>
    <t>Quevillon</t>
  </si>
  <si>
    <t>Champagne</t>
  </si>
  <si>
    <t>819 218-3842</t>
  </si>
  <si>
    <t>6151708</t>
  </si>
  <si>
    <t>Palma</t>
  </si>
  <si>
    <t>819 219-0153</t>
  </si>
  <si>
    <t>1822225</t>
  </si>
  <si>
    <t>Boivin, Shannon</t>
  </si>
  <si>
    <t>Shannon</t>
  </si>
  <si>
    <t>Sénéchal</t>
  </si>
  <si>
    <t>819 217-9395</t>
  </si>
  <si>
    <t>1249831</t>
  </si>
  <si>
    <t>Labrie, Julien</t>
  </si>
  <si>
    <t>Labrie</t>
  </si>
  <si>
    <t>Jarry</t>
  </si>
  <si>
    <t>SAINT-PHILIPPE</t>
  </si>
  <si>
    <t>Saint-Philippe</t>
  </si>
  <si>
    <t>819 217-7545</t>
  </si>
  <si>
    <t>1637971</t>
  </si>
  <si>
    <t>Abe Nkoum, Zoé</t>
  </si>
  <si>
    <t>SAINT-MARC-DE-FIGUERY</t>
  </si>
  <si>
    <t>Saint-Marc-de-Figuery</t>
  </si>
  <si>
    <t>819 217-6442</t>
  </si>
  <si>
    <t>1993849</t>
  </si>
  <si>
    <t>Lauzon, Jeanne</t>
  </si>
  <si>
    <t>Jeanne</t>
  </si>
  <si>
    <t>SAINT-JOSEPH-DU-LAC</t>
  </si>
  <si>
    <t>Saint-Joseph-du-Lac</t>
  </si>
  <si>
    <t>579 765-3566</t>
  </si>
  <si>
    <t>1633527</t>
  </si>
  <si>
    <t>Sanscartier, Audrey</t>
  </si>
  <si>
    <t>Sanscartier</t>
  </si>
  <si>
    <t>Boudreau</t>
  </si>
  <si>
    <t>Sophia</t>
  </si>
  <si>
    <t>579 688-1668</t>
  </si>
  <si>
    <t>1959073</t>
  </si>
  <si>
    <t>Hamel, Laurel</t>
  </si>
  <si>
    <t>Hamel</t>
  </si>
  <si>
    <t>Laurel</t>
  </si>
  <si>
    <t>Lalonde</t>
  </si>
  <si>
    <t>579 765-0393</t>
  </si>
  <si>
    <t>9138410</t>
  </si>
  <si>
    <t>Galarneau, Malyka</t>
  </si>
  <si>
    <t>Galarneau</t>
  </si>
  <si>
    <t>Malyka</t>
  </si>
  <si>
    <t>579 765-0037</t>
  </si>
  <si>
    <t>1929505</t>
  </si>
  <si>
    <t>Vallée, Alexandre</t>
  </si>
  <si>
    <t>Vallée</t>
  </si>
  <si>
    <t>579 765-7888</t>
  </si>
  <si>
    <t>1257320</t>
  </si>
  <si>
    <t>Sokhna Rokhaya</t>
  </si>
  <si>
    <t>J0N1P0</t>
  </si>
  <si>
    <t>579 634-1594</t>
  </si>
  <si>
    <t>1636081</t>
  </si>
  <si>
    <t>Chénier, Paméla</t>
  </si>
  <si>
    <t>Chénier</t>
  </si>
  <si>
    <t>Paméla</t>
  </si>
  <si>
    <t>Sophie Alexandra</t>
  </si>
  <si>
    <t>579 888-0484</t>
  </si>
  <si>
    <t>1902862</t>
  </si>
  <si>
    <t>St-Jean, Anthony</t>
  </si>
  <si>
    <t>Bérubé Ouellet</t>
  </si>
  <si>
    <t>Sonia</t>
  </si>
  <si>
    <t>579 634-3237</t>
  </si>
  <si>
    <t>1930725</t>
  </si>
  <si>
    <t>Rollin, Benjamyn</t>
  </si>
  <si>
    <t>Benjamyn</t>
  </si>
  <si>
    <t>579 888-0107</t>
  </si>
  <si>
    <t>1322503</t>
  </si>
  <si>
    <t>Meno Kengne, Emmanuelle</t>
  </si>
  <si>
    <t>Meno Kengne</t>
  </si>
  <si>
    <t>Diop</t>
  </si>
  <si>
    <t>Sophonie</t>
  </si>
  <si>
    <t>579 888-0608</t>
  </si>
  <si>
    <t>1844484</t>
  </si>
  <si>
    <t>Coulombe-Cloutier, Nicolas</t>
  </si>
  <si>
    <t>579 765-2136</t>
  </si>
  <si>
    <t>1330602</t>
  </si>
  <si>
    <t>Franc, Marianne</t>
  </si>
  <si>
    <t>Franc</t>
  </si>
  <si>
    <t>Lessard</t>
  </si>
  <si>
    <t>579 634-1810</t>
  </si>
  <si>
    <t>1833323</t>
  </si>
  <si>
    <t>Lessard, Gaëlle</t>
  </si>
  <si>
    <t>Gaëlle</t>
  </si>
  <si>
    <t>Sokayna</t>
  </si>
  <si>
    <t>579 634-1573</t>
  </si>
  <si>
    <t>1753962</t>
  </si>
  <si>
    <t>579 634-3400</t>
  </si>
  <si>
    <t>1081350</t>
  </si>
  <si>
    <t>Bissonnette, Sophie</t>
  </si>
  <si>
    <t>St-Cyr</t>
  </si>
  <si>
    <t>579 888-0098</t>
  </si>
  <si>
    <t>1641522</t>
  </si>
  <si>
    <t>Plante, Charlotte</t>
  </si>
  <si>
    <t>Cibois</t>
  </si>
  <si>
    <t>579 765-0113</t>
  </si>
  <si>
    <t>1822794</t>
  </si>
  <si>
    <t>Berger, Thomas</t>
  </si>
  <si>
    <t>Berger</t>
  </si>
  <si>
    <t>Tanguay</t>
  </si>
  <si>
    <t>Simon-Olivier</t>
  </si>
  <si>
    <t>579 634-1057</t>
  </si>
  <si>
    <t>1910148</t>
  </si>
  <si>
    <t>Lemire-Roy, Giuliana</t>
  </si>
  <si>
    <t>Lemire-Roy</t>
  </si>
  <si>
    <t>Giuliana</t>
  </si>
  <si>
    <t>Furtado</t>
  </si>
  <si>
    <t>579 764-0207</t>
  </si>
  <si>
    <t>1838296</t>
  </si>
  <si>
    <t>Grégoire-Hamper, Laurie</t>
  </si>
  <si>
    <t>579 634-1332</t>
  </si>
  <si>
    <t>6153166</t>
  </si>
  <si>
    <t>Guénette, Laurent</t>
  </si>
  <si>
    <t>Laurent</t>
  </si>
  <si>
    <t>Sophia-Laurie</t>
  </si>
  <si>
    <t>579 764-7376</t>
  </si>
  <si>
    <t>1460277</t>
  </si>
  <si>
    <t>Gignac, Loïc</t>
  </si>
  <si>
    <t>Gignac</t>
  </si>
  <si>
    <t>Loïc</t>
  </si>
  <si>
    <t>Sirine</t>
  </si>
  <si>
    <t>1767115</t>
  </si>
  <si>
    <t>Crépeau, Nell</t>
  </si>
  <si>
    <t>Nell</t>
  </si>
  <si>
    <t>579 888-0032</t>
  </si>
  <si>
    <t>1635392</t>
  </si>
  <si>
    <t>Valiquette, Alexandrine</t>
  </si>
  <si>
    <t>Valiquette</t>
  </si>
  <si>
    <t>Alexandrine</t>
  </si>
  <si>
    <t>Aubin</t>
  </si>
  <si>
    <t>579 765-6147</t>
  </si>
  <si>
    <t>1432508</t>
  </si>
  <si>
    <t>Hains, Laurence</t>
  </si>
  <si>
    <t>Hains</t>
  </si>
  <si>
    <t>Lamarche</t>
  </si>
  <si>
    <t>SAINT-JOSEPH-DE-BEAUCE</t>
  </si>
  <si>
    <t>Saint-Joseph-de-Beauce</t>
  </si>
  <si>
    <t>579 368-7099</t>
  </si>
  <si>
    <t>1976076</t>
  </si>
  <si>
    <t>Leygues, Gabrielle</t>
  </si>
  <si>
    <t>Leygues</t>
  </si>
  <si>
    <t>Pierre-Marc</t>
  </si>
  <si>
    <t>SAINT-JÉRÔME</t>
  </si>
  <si>
    <t>Saint-Jérôme</t>
  </si>
  <si>
    <t>J0R1T0</t>
  </si>
  <si>
    <t>514 794-1799</t>
  </si>
  <si>
    <t>410.B0</t>
  </si>
  <si>
    <t>Sciences humaines - monde &amp; rel. internationales</t>
  </si>
  <si>
    <t>1973150</t>
  </si>
  <si>
    <t>Tremblay-Moffatt, Allison</t>
  </si>
  <si>
    <t>Tremblay-Moffatt</t>
  </si>
  <si>
    <t>Allison</t>
  </si>
  <si>
    <t>Beauchemin</t>
  </si>
  <si>
    <t>Olivia</t>
  </si>
  <si>
    <t>J0T2J0</t>
  </si>
  <si>
    <t>514 706-9379</t>
  </si>
  <si>
    <t>391.A0</t>
  </si>
  <si>
    <t>Sciences humaines - profil administration</t>
  </si>
  <si>
    <t>1938719</t>
  </si>
  <si>
    <t>Moffatt, Emilie</t>
  </si>
  <si>
    <t>Moffatt</t>
  </si>
  <si>
    <t>Desnoyers</t>
  </si>
  <si>
    <t>J0R1A0</t>
  </si>
  <si>
    <t>514 978-4829</t>
  </si>
  <si>
    <t>500.AJ</t>
  </si>
  <si>
    <t>1910485</t>
  </si>
  <si>
    <t>Lamarre, Jhon</t>
  </si>
  <si>
    <t>Lamarre</t>
  </si>
  <si>
    <t>Jhon</t>
  </si>
  <si>
    <t>Guran</t>
  </si>
  <si>
    <t>J0T1J1</t>
  </si>
  <si>
    <t>514 776-8085</t>
  </si>
  <si>
    <t>1331119</t>
  </si>
  <si>
    <t>Boudreau-St-Germain, Sarah</t>
  </si>
  <si>
    <t>Boudreau-St-Germain</t>
  </si>
  <si>
    <t>Sarah</t>
  </si>
  <si>
    <t>J5K1P4</t>
  </si>
  <si>
    <t>514 347-5804</t>
  </si>
  <si>
    <t>Sciences humaines - profil Individu &amp; société</t>
  </si>
  <si>
    <t>1836510</t>
  </si>
  <si>
    <t>J0R1R5</t>
  </si>
  <si>
    <t>514 919-3946</t>
  </si>
  <si>
    <t>420.B0</t>
  </si>
  <si>
    <t>1583476</t>
  </si>
  <si>
    <t>Vaudry, Alexandre</t>
  </si>
  <si>
    <t>Vaudry</t>
  </si>
  <si>
    <t>Ares-Laliberté</t>
  </si>
  <si>
    <t>514 884-3958</t>
  </si>
  <si>
    <t>420.AA</t>
  </si>
  <si>
    <t>9938234</t>
  </si>
  <si>
    <t>Paquette-Rivest, Daphné</t>
  </si>
  <si>
    <t>Paquette-Rivest</t>
  </si>
  <si>
    <t>Daphné</t>
  </si>
  <si>
    <t>J0T2E0</t>
  </si>
  <si>
    <t>514 708-8535</t>
  </si>
  <si>
    <t>1848012</t>
  </si>
  <si>
    <t>Pouliot, Chanel</t>
  </si>
  <si>
    <t>Chanel</t>
  </si>
  <si>
    <t>J2C5Y7</t>
  </si>
  <si>
    <t>514 627-2321</t>
  </si>
  <si>
    <t>388.A0</t>
  </si>
  <si>
    <t>1734037</t>
  </si>
  <si>
    <t>Dufour, Matis</t>
  </si>
  <si>
    <t>Matis</t>
  </si>
  <si>
    <t>514 823-9826</t>
  </si>
  <si>
    <t>0066233</t>
  </si>
  <si>
    <t>Pageau, Delphine</t>
  </si>
  <si>
    <t>Pageau</t>
  </si>
  <si>
    <t>Delphine</t>
  </si>
  <si>
    <t>Daigle</t>
  </si>
  <si>
    <t>Myriam Ruth</t>
  </si>
  <si>
    <t>J5J1H2</t>
  </si>
  <si>
    <t>514 603-3624</t>
  </si>
  <si>
    <t>1982400</t>
  </si>
  <si>
    <t>Bouffard Tremblay</t>
  </si>
  <si>
    <t>Rayaan</t>
  </si>
  <si>
    <t>514 820-6641</t>
  </si>
  <si>
    <t>1937994</t>
  </si>
  <si>
    <t>Ostiguy, Ehsan</t>
  </si>
  <si>
    <t>Ostiguy</t>
  </si>
  <si>
    <t>Ehsan</t>
  </si>
  <si>
    <t>De Cristofano</t>
  </si>
  <si>
    <t>Mélissa</t>
  </si>
  <si>
    <t>J5J2X6</t>
  </si>
  <si>
    <t>514 512-1732</t>
  </si>
  <si>
    <t>1669498</t>
  </si>
  <si>
    <t>J5J2Y7</t>
  </si>
  <si>
    <t>514 503-6366</t>
  </si>
  <si>
    <t>1367955</t>
  </si>
  <si>
    <t>Chambers, Raphaël</t>
  </si>
  <si>
    <t>Chambers</t>
  </si>
  <si>
    <t>Raphaël</t>
  </si>
  <si>
    <t>J5K1K1</t>
  </si>
  <si>
    <t>514 377-1065</t>
  </si>
  <si>
    <t>1924468</t>
  </si>
  <si>
    <t>Brunoro-Laporte, Samantha</t>
  </si>
  <si>
    <t>J5K1E5</t>
  </si>
  <si>
    <t>514 435-6978</t>
  </si>
  <si>
    <t>1684369</t>
  </si>
  <si>
    <t>Saenz Champagne, Audrey</t>
  </si>
  <si>
    <t>Saenz Champagne</t>
  </si>
  <si>
    <t>Bourcier</t>
  </si>
  <si>
    <t>Martyn</t>
  </si>
  <si>
    <t>J5L0C7</t>
  </si>
  <si>
    <t>450 983-2695</t>
  </si>
  <si>
    <t>Sciences informatiques et mathématiques</t>
  </si>
  <si>
    <t>1934298</t>
  </si>
  <si>
    <t>Gagné, Marc-Antoine</t>
  </si>
  <si>
    <t>J0R1K0</t>
  </si>
  <si>
    <t>514 952-3600</t>
  </si>
  <si>
    <t>430.B0</t>
  </si>
  <si>
    <t>1191167</t>
  </si>
  <si>
    <t>J5J2L8</t>
  </si>
  <si>
    <t>514 561-5171</t>
  </si>
  <si>
    <t>1978138</t>
  </si>
  <si>
    <t>Forest-Beaudry, Marie-Joël</t>
  </si>
  <si>
    <t>Forest-Beaudry</t>
  </si>
  <si>
    <t>Marie-Joël</t>
  </si>
  <si>
    <t>Lopes</t>
  </si>
  <si>
    <t>514 898-1072</t>
  </si>
  <si>
    <t>1967555</t>
  </si>
  <si>
    <t>De la Sablonnière, Mickaël</t>
  </si>
  <si>
    <t>De la Sablonnière</t>
  </si>
  <si>
    <t>Mickaël</t>
  </si>
  <si>
    <t>Ohanis</t>
  </si>
  <si>
    <t>J5L1C2</t>
  </si>
  <si>
    <t>450 965-8019</t>
  </si>
  <si>
    <t>1625796</t>
  </si>
  <si>
    <t>Lapointe-Décoste, Jérémy</t>
  </si>
  <si>
    <t>Lapointe-Décoste</t>
  </si>
  <si>
    <t>Gratton Fournier</t>
  </si>
  <si>
    <t>J5K2N9</t>
  </si>
  <si>
    <t>514 238-0154</t>
  </si>
  <si>
    <t>1591503</t>
  </si>
  <si>
    <t>J5K2A1</t>
  </si>
  <si>
    <t>514 290-9205</t>
  </si>
  <si>
    <t>1951122</t>
  </si>
  <si>
    <t>Pilon, Chloé</t>
  </si>
  <si>
    <t>Marjolène</t>
  </si>
  <si>
    <t>J5L0E8</t>
  </si>
  <si>
    <t>450 979-5771</t>
  </si>
  <si>
    <t>1148244</t>
  </si>
  <si>
    <t>Bélanger-Parent, Tristan</t>
  </si>
  <si>
    <t>Bélanger-Parent</t>
  </si>
  <si>
    <t>Maxine</t>
  </si>
  <si>
    <t>J5K1H8</t>
  </si>
  <si>
    <t>514 386-4581</t>
  </si>
  <si>
    <t>1843300</t>
  </si>
  <si>
    <t>J5J1J4</t>
  </si>
  <si>
    <t>514 602-6377</t>
  </si>
  <si>
    <t>1970270</t>
  </si>
  <si>
    <t>Sleiman, Ariane</t>
  </si>
  <si>
    <t>Sleiman</t>
  </si>
  <si>
    <t>Raul Emilio</t>
  </si>
  <si>
    <t>514 817-7168</t>
  </si>
  <si>
    <t>1731719</t>
  </si>
  <si>
    <t>Ianni, Kelly-Anne</t>
  </si>
  <si>
    <t>Ianni</t>
  </si>
  <si>
    <t>Lachance</t>
  </si>
  <si>
    <t>514 865-1018</t>
  </si>
  <si>
    <t>1932505</t>
  </si>
  <si>
    <t>Diotte, Maxime</t>
  </si>
  <si>
    <t>Menasria</t>
  </si>
  <si>
    <t>Matthieu</t>
  </si>
  <si>
    <t>J5K2H2</t>
  </si>
  <si>
    <t>514 248-1347</t>
  </si>
  <si>
    <t>1945403</t>
  </si>
  <si>
    <t>Gariépy</t>
  </si>
  <si>
    <t>Mikael</t>
  </si>
  <si>
    <t>J5J2G8</t>
  </si>
  <si>
    <t>514 573-8021</t>
  </si>
  <si>
    <t>1907637</t>
  </si>
  <si>
    <t>Akchiri, Zackary</t>
  </si>
  <si>
    <t>Akchiri</t>
  </si>
  <si>
    <t>Williston</t>
  </si>
  <si>
    <t>J0R1B0</t>
  </si>
  <si>
    <t>514 971-6634</t>
  </si>
  <si>
    <t>500.AG</t>
  </si>
  <si>
    <t>1151363</t>
  </si>
  <si>
    <t>Leroux-Robert, Gaïa</t>
  </si>
  <si>
    <t>Gaïa</t>
  </si>
  <si>
    <t>Méane</t>
  </si>
  <si>
    <t>J5K1G4</t>
  </si>
  <si>
    <t>514 424-4358</t>
  </si>
  <si>
    <t>1646204</t>
  </si>
  <si>
    <t>Champagne, Raphaël</t>
  </si>
  <si>
    <t>J0T2C0</t>
  </si>
  <si>
    <t>514 713-9812</t>
  </si>
  <si>
    <t>1860818</t>
  </si>
  <si>
    <t>Morin, Emery</t>
  </si>
  <si>
    <t>Emery</t>
  </si>
  <si>
    <t>Deshaies</t>
  </si>
  <si>
    <t>Marilyn</t>
  </si>
  <si>
    <t>J5L0G8</t>
  </si>
  <si>
    <t>450 979-1975</t>
  </si>
  <si>
    <t>1692575</t>
  </si>
  <si>
    <t>Michaudville, Émilie</t>
  </si>
  <si>
    <t>Michaudville</t>
  </si>
  <si>
    <t>Deumeni</t>
  </si>
  <si>
    <t>J0W1S1</t>
  </si>
  <si>
    <t>514 629-4426</t>
  </si>
  <si>
    <t>1724204</t>
  </si>
  <si>
    <t>Ladouceur Morris</t>
  </si>
  <si>
    <t>Meggan</t>
  </si>
  <si>
    <t>J5K0B9</t>
  </si>
  <si>
    <t>514 466-4414</t>
  </si>
  <si>
    <t>0843023</t>
  </si>
  <si>
    <t>Charron-Gendron, Paul</t>
  </si>
  <si>
    <t>J0R1R3</t>
  </si>
  <si>
    <t>514 926-9803</t>
  </si>
  <si>
    <t>1933814</t>
  </si>
  <si>
    <t>Deslauriers-Rapatel, Mégan</t>
  </si>
  <si>
    <t>Deslauriers-Rapatel</t>
  </si>
  <si>
    <t>Mondou</t>
  </si>
  <si>
    <t>Pénélope</t>
  </si>
  <si>
    <t>J0T1L0</t>
  </si>
  <si>
    <t>514 775-0461</t>
  </si>
  <si>
    <t>1720678</t>
  </si>
  <si>
    <t>Rivard, Camille</t>
  </si>
  <si>
    <t>Rivard</t>
  </si>
  <si>
    <t>Bussière-Gauthier</t>
  </si>
  <si>
    <t>Nathan</t>
  </si>
  <si>
    <t>J5J0C4</t>
  </si>
  <si>
    <t>514 623-0686</t>
  </si>
  <si>
    <t>1974461</t>
  </si>
  <si>
    <t>Mercier, Emmanuel Tarek</t>
  </si>
  <si>
    <t>Emmanuel Tarek</t>
  </si>
  <si>
    <t>J5J2S7</t>
  </si>
  <si>
    <t>514 549-5309</t>
  </si>
  <si>
    <t>1840408</t>
  </si>
  <si>
    <t>Juteau, Karine</t>
  </si>
  <si>
    <t>Krasnopolski-Saramito</t>
  </si>
  <si>
    <t>514 884-9250</t>
  </si>
  <si>
    <t>1821616</t>
  </si>
  <si>
    <t>Chalifoux, Raphaël</t>
  </si>
  <si>
    <t>Chalifoux</t>
  </si>
  <si>
    <t>Racine</t>
  </si>
  <si>
    <t>514 949-8444</t>
  </si>
  <si>
    <t>1943896</t>
  </si>
  <si>
    <t>Lalande, Joëlle</t>
  </si>
  <si>
    <t>Joëlle</t>
  </si>
  <si>
    <t>Harvey</t>
  </si>
  <si>
    <t>514 882-8528</t>
  </si>
  <si>
    <t>1816733</t>
  </si>
  <si>
    <t>J5K1C6</t>
  </si>
  <si>
    <t>514 442-1698</t>
  </si>
  <si>
    <t>1535704</t>
  </si>
  <si>
    <t>Roberge, Bruno</t>
  </si>
  <si>
    <t>Roberge</t>
  </si>
  <si>
    <t>Bruno</t>
  </si>
  <si>
    <t>Burgoyne</t>
  </si>
  <si>
    <t>J5K0G7</t>
  </si>
  <si>
    <t>514 462-6059</t>
  </si>
  <si>
    <t>1934908</t>
  </si>
  <si>
    <t>514 239-2203</t>
  </si>
  <si>
    <t>1677172</t>
  </si>
  <si>
    <t>Girouard, Leany</t>
  </si>
  <si>
    <t>Leany</t>
  </si>
  <si>
    <t>Ronald-Junior</t>
  </si>
  <si>
    <t>514 830-9489</t>
  </si>
  <si>
    <t>Sciences de la nature et Arts visuels</t>
  </si>
  <si>
    <t>9733717</t>
  </si>
  <si>
    <t>Joubert</t>
  </si>
  <si>
    <t>J0V1X0</t>
  </si>
  <si>
    <t>514 651-9144</t>
  </si>
  <si>
    <t>1968957</t>
  </si>
  <si>
    <t>Trépanier, Alicia</t>
  </si>
  <si>
    <t>Trépanier</t>
  </si>
  <si>
    <t>Alicia</t>
  </si>
  <si>
    <t>J0Z3C0</t>
  </si>
  <si>
    <t>514 627-2359</t>
  </si>
  <si>
    <t>1894234</t>
  </si>
  <si>
    <t>Beaulieu, Victoria</t>
  </si>
  <si>
    <t>Tourangeau</t>
  </si>
  <si>
    <t>Megane</t>
  </si>
  <si>
    <t>J5K1A7</t>
  </si>
  <si>
    <t>514 444-8574</t>
  </si>
  <si>
    <t>1721702</t>
  </si>
  <si>
    <t>Pierre Louis, Christelle</t>
  </si>
  <si>
    <t>Christelle</t>
  </si>
  <si>
    <t>Maryllis</t>
  </si>
  <si>
    <t>J5L0B5</t>
  </si>
  <si>
    <t>450 996-0706</t>
  </si>
  <si>
    <t>1941859</t>
  </si>
  <si>
    <t>Larouche, Jérémie</t>
  </si>
  <si>
    <t>Larouche</t>
  </si>
  <si>
    <t>Gorry</t>
  </si>
  <si>
    <t>J0R1R6</t>
  </si>
  <si>
    <t>514 914-8335</t>
  </si>
  <si>
    <t>1763195</t>
  </si>
  <si>
    <t>Devault</t>
  </si>
  <si>
    <t>514 952-4678</t>
  </si>
  <si>
    <t>1078895</t>
  </si>
  <si>
    <t>Normand-Larocque, Elianne</t>
  </si>
  <si>
    <t>Normand-Larocque</t>
  </si>
  <si>
    <t>Elianne</t>
  </si>
  <si>
    <t>Décary</t>
  </si>
  <si>
    <t>J5K1N9</t>
  </si>
  <si>
    <t>514 348-1464</t>
  </si>
  <si>
    <t>1823814</t>
  </si>
  <si>
    <t>Lépine, Geneviève</t>
  </si>
  <si>
    <t>Lépine</t>
  </si>
  <si>
    <t>Geneviève</t>
  </si>
  <si>
    <t>Marylie</t>
  </si>
  <si>
    <t>J5L0B6</t>
  </si>
  <si>
    <t>450 990-9570</t>
  </si>
  <si>
    <t>1878396</t>
  </si>
  <si>
    <t>Richard, Camilo</t>
  </si>
  <si>
    <t>Camilo</t>
  </si>
  <si>
    <t>514 973-6310</t>
  </si>
  <si>
    <t>1667298</t>
  </si>
  <si>
    <t>Lord-Shaffer, Gabriel</t>
  </si>
  <si>
    <t>Lord-Shaffer</t>
  </si>
  <si>
    <t>Fontaine-Courville</t>
  </si>
  <si>
    <t>Mylène</t>
  </si>
  <si>
    <t>J5J1N9</t>
  </si>
  <si>
    <t>514 591-8329</t>
  </si>
  <si>
    <t>1840336</t>
  </si>
  <si>
    <t>Joyal, Karolane</t>
  </si>
  <si>
    <t>Joyal</t>
  </si>
  <si>
    <t>Karolane</t>
  </si>
  <si>
    <t>J5K1L7</t>
  </si>
  <si>
    <t>514 358-2687</t>
  </si>
  <si>
    <t>6156550</t>
  </si>
  <si>
    <t>J0R1R2</t>
  </si>
  <si>
    <t>514 926-9896</t>
  </si>
  <si>
    <t>1449231</t>
  </si>
  <si>
    <t>Gélinas, Louis-Philippe</t>
  </si>
  <si>
    <t>Louis-Philippe</t>
  </si>
  <si>
    <t>514 929-2625</t>
  </si>
  <si>
    <t>1736700</t>
  </si>
  <si>
    <t>Tieu, Amélie</t>
  </si>
  <si>
    <t>Tieu</t>
  </si>
  <si>
    <t>Beaulne</t>
  </si>
  <si>
    <t>J5K1L9</t>
  </si>
  <si>
    <t>514 349-2787</t>
  </si>
  <si>
    <t>1823834</t>
  </si>
  <si>
    <t>J0R1H0</t>
  </si>
  <si>
    <t>514 961-8374</t>
  </si>
  <si>
    <t>1358016</t>
  </si>
  <si>
    <t>Ovaud Ruth</t>
  </si>
  <si>
    <t>J0T1T0</t>
  </si>
  <si>
    <t>514 743-9504</t>
  </si>
  <si>
    <t>1644282</t>
  </si>
  <si>
    <t>De Silva Medeiros, Michael Ange</t>
  </si>
  <si>
    <t>De Silva Medeiros</t>
  </si>
  <si>
    <t>Michael Ange</t>
  </si>
  <si>
    <t>Ntumba</t>
  </si>
  <si>
    <t>Noémy</t>
  </si>
  <si>
    <t>J0T2N0</t>
  </si>
  <si>
    <t>514 701-3651</t>
  </si>
  <si>
    <t>1811800</t>
  </si>
  <si>
    <t>Dompierre, Maxime</t>
  </si>
  <si>
    <t>Dompierre</t>
  </si>
  <si>
    <t>J5K2G7</t>
  </si>
  <si>
    <t>514 258-1170</t>
  </si>
  <si>
    <t>1722617</t>
  </si>
  <si>
    <t>Comeault, Océane</t>
  </si>
  <si>
    <t>Comeault</t>
  </si>
  <si>
    <t>J5J1V6</t>
  </si>
  <si>
    <t>514 578-8141</t>
  </si>
  <si>
    <t>1857695</t>
  </si>
  <si>
    <t>Lapierre-Verville, Jessica</t>
  </si>
  <si>
    <t>Lapierre-Verville</t>
  </si>
  <si>
    <t>Meghan</t>
  </si>
  <si>
    <t>514 466-5927</t>
  </si>
  <si>
    <t>1823883</t>
  </si>
  <si>
    <t>Lavoie Perron, Janelle</t>
  </si>
  <si>
    <t>Lavoie Perron</t>
  </si>
  <si>
    <t>Janelle</t>
  </si>
  <si>
    <t>Giguère</t>
  </si>
  <si>
    <t>514 895-6479</t>
  </si>
  <si>
    <t>1112694</t>
  </si>
  <si>
    <t>514 953-0257</t>
  </si>
  <si>
    <t>1841081</t>
  </si>
  <si>
    <t>Côté, Noah</t>
  </si>
  <si>
    <t>Noah</t>
  </si>
  <si>
    <t>J5L0E1</t>
  </si>
  <si>
    <t>450 979-7664</t>
  </si>
  <si>
    <t>1759260</t>
  </si>
  <si>
    <t>J0T1K0</t>
  </si>
  <si>
    <t>514 775-0960</t>
  </si>
  <si>
    <t>1738096</t>
  </si>
  <si>
    <t>Léonard, Georgine</t>
  </si>
  <si>
    <t>Léonard</t>
  </si>
  <si>
    <t>Georgine</t>
  </si>
  <si>
    <t>Froment Rondeau</t>
  </si>
  <si>
    <t>J5K0G5</t>
  </si>
  <si>
    <t>514 464-0481</t>
  </si>
  <si>
    <t>1728613</t>
  </si>
  <si>
    <t>Edouard, Marion</t>
  </si>
  <si>
    <t>Edouard</t>
  </si>
  <si>
    <t>Malo</t>
  </si>
  <si>
    <t>J0V1K0</t>
  </si>
  <si>
    <t>514 662-4001</t>
  </si>
  <si>
    <t>1767780</t>
  </si>
  <si>
    <t>Gauthier, Lucie</t>
  </si>
  <si>
    <t>Lucie</t>
  </si>
  <si>
    <t>Lecavalier-Mondor</t>
  </si>
  <si>
    <t>J5J1C7</t>
  </si>
  <si>
    <t>514 606-1321</t>
  </si>
  <si>
    <t>1925930</t>
  </si>
  <si>
    <t>Engson, Marily</t>
  </si>
  <si>
    <t>Engson</t>
  </si>
  <si>
    <t>Marily</t>
  </si>
  <si>
    <t>Makola-Diakiese</t>
  </si>
  <si>
    <t>Mélissa-Kristyna</t>
  </si>
  <si>
    <t>J5J2W9</t>
  </si>
  <si>
    <t>514 518-2029</t>
  </si>
  <si>
    <t>1961508</t>
  </si>
  <si>
    <t>Major-Chouinard, Francis</t>
  </si>
  <si>
    <t>Major-Chouinard</t>
  </si>
  <si>
    <t>Francis</t>
  </si>
  <si>
    <t>Ethier</t>
  </si>
  <si>
    <t>Marie-Wildarlyne</t>
  </si>
  <si>
    <t>J5L1A5</t>
  </si>
  <si>
    <t>450 971-2989</t>
  </si>
  <si>
    <t>1970327</t>
  </si>
  <si>
    <t>Charron, Pénélope</t>
  </si>
  <si>
    <t>Poudrier</t>
  </si>
  <si>
    <t>J5K2A2</t>
  </si>
  <si>
    <t>514 268-0383</t>
  </si>
  <si>
    <t>1068773</t>
  </si>
  <si>
    <t>Fiorani-Piette, Marie-Pier</t>
  </si>
  <si>
    <t>J5J2G3</t>
  </si>
  <si>
    <t>514 574-2278</t>
  </si>
  <si>
    <t>1582959</t>
  </si>
  <si>
    <t>Laliberté, Joany</t>
  </si>
  <si>
    <t>Hamelin-Lussier</t>
  </si>
  <si>
    <t>Pierre-Henri</t>
  </si>
  <si>
    <t>514 793-8373</t>
  </si>
  <si>
    <t>1154902</t>
  </si>
  <si>
    <t>Cyr, Natacha</t>
  </si>
  <si>
    <t>Natacha</t>
  </si>
  <si>
    <t>Paquin</t>
  </si>
  <si>
    <t>Marylou</t>
  </si>
  <si>
    <t>J5L0B4</t>
  </si>
  <si>
    <t>450 996-0715</t>
  </si>
  <si>
    <t>1823642</t>
  </si>
  <si>
    <t>514 704-7538</t>
  </si>
  <si>
    <t>1983524</t>
  </si>
  <si>
    <t>Mayer, Étienne</t>
  </si>
  <si>
    <t>Mayer</t>
  </si>
  <si>
    <t>Étienne</t>
  </si>
  <si>
    <t>Shaïna</t>
  </si>
  <si>
    <t>514 975-2093</t>
  </si>
  <si>
    <t>1328282</t>
  </si>
  <si>
    <t>Lampron, Jessica Fernanda</t>
  </si>
  <si>
    <t>Jessica Fernanda</t>
  </si>
  <si>
    <t>J5J2Y9</t>
  </si>
  <si>
    <t>514 503-4044</t>
  </si>
  <si>
    <t>1827290</t>
  </si>
  <si>
    <t>Léger, Harry</t>
  </si>
  <si>
    <t>Léger</t>
  </si>
  <si>
    <t>Harry</t>
  </si>
  <si>
    <t>514 699-2080</t>
  </si>
  <si>
    <t>1801397</t>
  </si>
  <si>
    <t>Despins, Megan</t>
  </si>
  <si>
    <t>Despins</t>
  </si>
  <si>
    <t>Miron-Beauséjour</t>
  </si>
  <si>
    <t>514 884-7113</t>
  </si>
  <si>
    <t>1744355</t>
  </si>
  <si>
    <t>Gaudet, Mackenzie</t>
  </si>
  <si>
    <t>Gaudet</t>
  </si>
  <si>
    <t>Mackenzie</t>
  </si>
  <si>
    <t>Ledoux-Laberge</t>
  </si>
  <si>
    <t>Myranda</t>
  </si>
  <si>
    <t>J5J1L8</t>
  </si>
  <si>
    <t>514 592-9348</t>
  </si>
  <si>
    <t>1969669</t>
  </si>
  <si>
    <t>Labonté, Juliette</t>
  </si>
  <si>
    <t>Labonté</t>
  </si>
  <si>
    <t>Jean Philippe</t>
  </si>
  <si>
    <t>J5K0C4</t>
  </si>
  <si>
    <t>514 466-3369</t>
  </si>
  <si>
    <t>1864980</t>
  </si>
  <si>
    <t>Péloquin</t>
  </si>
  <si>
    <t>J5J2J7</t>
  </si>
  <si>
    <t>514 569-7986</t>
  </si>
  <si>
    <t>1625769</t>
  </si>
  <si>
    <t>Bérubé-Ouellet</t>
  </si>
  <si>
    <t>514 647-2272</t>
  </si>
  <si>
    <t>1527594</t>
  </si>
  <si>
    <t>Faucher, Marilou</t>
  </si>
  <si>
    <t>Faucher</t>
  </si>
  <si>
    <t>Marilou</t>
  </si>
  <si>
    <t>Mailloux Labelle</t>
  </si>
  <si>
    <t>J5J1K4</t>
  </si>
  <si>
    <t>514 601-1174</t>
  </si>
  <si>
    <t>1824941</t>
  </si>
  <si>
    <t>Beaudry Rainville, Victoria</t>
  </si>
  <si>
    <t>Beaudry Rainville</t>
  </si>
  <si>
    <t>514 992-9136</t>
  </si>
  <si>
    <t>1723818</t>
  </si>
  <si>
    <t>Silvan-Vigo</t>
  </si>
  <si>
    <t>J5K1N7</t>
  </si>
  <si>
    <t>514 348-2643</t>
  </si>
  <si>
    <t>1932679</t>
  </si>
  <si>
    <t>Sabourin, Audrey-Ann</t>
  </si>
  <si>
    <t>Audrey-Ann</t>
  </si>
  <si>
    <t>Bourget</t>
  </si>
  <si>
    <t>J0T1J3</t>
  </si>
  <si>
    <t>514 775-1215</t>
  </si>
  <si>
    <t>1713907</t>
  </si>
  <si>
    <t>J5J0H9</t>
  </si>
  <si>
    <t>514 619-0307</t>
  </si>
  <si>
    <t>1951200</t>
  </si>
  <si>
    <t>Mironchuck, Emilie</t>
  </si>
  <si>
    <t>514 831-4757</t>
  </si>
  <si>
    <t>6112783</t>
  </si>
  <si>
    <t>Thibault-Charbonneau, Amélie</t>
  </si>
  <si>
    <t>Thibault-Charbonneau</t>
  </si>
  <si>
    <t>Naomie</t>
  </si>
  <si>
    <t>J5J0L1</t>
  </si>
  <si>
    <t>514 616-1324</t>
  </si>
  <si>
    <t>1456774</t>
  </si>
  <si>
    <t>Paquette, Daphnée</t>
  </si>
  <si>
    <t>Daphnée</t>
  </si>
  <si>
    <t>Dabé-Champagne</t>
  </si>
  <si>
    <t>514 778-4743</t>
  </si>
  <si>
    <t>1635109</t>
  </si>
  <si>
    <t>Jean, Katie</t>
  </si>
  <si>
    <t>Jean</t>
  </si>
  <si>
    <t>Katie</t>
  </si>
  <si>
    <t>Labrèche</t>
  </si>
  <si>
    <t>Marilie</t>
  </si>
  <si>
    <t>J5L0L8</t>
  </si>
  <si>
    <t>450 971-6599</t>
  </si>
  <si>
    <t>1851022</t>
  </si>
  <si>
    <t>Nickerson, Elizabeth</t>
  </si>
  <si>
    <t>Nickerson</t>
  </si>
  <si>
    <t>Delvecchio</t>
  </si>
  <si>
    <t>Nidara</t>
  </si>
  <si>
    <t>514 659-7926</t>
  </si>
  <si>
    <t>1577268</t>
  </si>
  <si>
    <t>Gervais, Lorena</t>
  </si>
  <si>
    <t>Gervais</t>
  </si>
  <si>
    <t>Lorena</t>
  </si>
  <si>
    <t>Naomy</t>
  </si>
  <si>
    <t>514 618-9035</t>
  </si>
  <si>
    <t>1774150</t>
  </si>
  <si>
    <t>Sabourin-Caluori, Audrey</t>
  </si>
  <si>
    <t>J5J2X8</t>
  </si>
  <si>
    <t>514 506-8697</t>
  </si>
  <si>
    <t>1855188</t>
  </si>
  <si>
    <t>Jones, Katerine</t>
  </si>
  <si>
    <t>Jones</t>
  </si>
  <si>
    <t>Katerine</t>
  </si>
  <si>
    <t>Mélyna</t>
  </si>
  <si>
    <t>J5J2S3</t>
  </si>
  <si>
    <t>514 550-8466</t>
  </si>
  <si>
    <t>1770523</t>
  </si>
  <si>
    <t>J5K2P4</t>
  </si>
  <si>
    <t>514 235-4943</t>
  </si>
  <si>
    <t>1722354</t>
  </si>
  <si>
    <t>Paquin, Danyka</t>
  </si>
  <si>
    <t>Danyka</t>
  </si>
  <si>
    <t>J0T2R0</t>
  </si>
  <si>
    <t>514 691-1229</t>
  </si>
  <si>
    <t>1950350</t>
  </si>
  <si>
    <t>Campbell, Sabrina</t>
  </si>
  <si>
    <t>Campbell</t>
  </si>
  <si>
    <t>J5J0H2</t>
  </si>
  <si>
    <t>514 621-6482</t>
  </si>
  <si>
    <t>1652191</t>
  </si>
  <si>
    <t>Perras, Coralie</t>
  </si>
  <si>
    <t>Perras</t>
  </si>
  <si>
    <t>J5J1R3</t>
  </si>
  <si>
    <t>514 586-4664</t>
  </si>
  <si>
    <t>1850229</t>
  </si>
  <si>
    <t>Velazquez Garcia, Alexandra Lilia</t>
  </si>
  <si>
    <t>Velazquez Garcia</t>
  </si>
  <si>
    <t>Alexandra Lilia</t>
  </si>
  <si>
    <t>514 885-2720</t>
  </si>
  <si>
    <t>1631238</t>
  </si>
  <si>
    <t>Pelletier, Cristèle</t>
  </si>
  <si>
    <t>Cristèle</t>
  </si>
  <si>
    <t>Courchesne</t>
  </si>
  <si>
    <t>J0W1R0</t>
  </si>
  <si>
    <t>514 632-0691</t>
  </si>
  <si>
    <t>1943173</t>
  </si>
  <si>
    <t>Desrosiers, Medhi</t>
  </si>
  <si>
    <t>Desrosiers</t>
  </si>
  <si>
    <t>Medhi</t>
  </si>
  <si>
    <t>Miller</t>
  </si>
  <si>
    <t>J5J2S1</t>
  </si>
  <si>
    <t>514 553-0452</t>
  </si>
  <si>
    <t>1839968</t>
  </si>
  <si>
    <t>Doré, Maxime</t>
  </si>
  <si>
    <t>Doré</t>
  </si>
  <si>
    <t>Melançon</t>
  </si>
  <si>
    <t>J0X3B0</t>
  </si>
  <si>
    <t>514 627-8161</t>
  </si>
  <si>
    <t>1922269</t>
  </si>
  <si>
    <t>Laurier, Jennifer</t>
  </si>
  <si>
    <t>Laurier</t>
  </si>
  <si>
    <t>Gobeil</t>
  </si>
  <si>
    <t>514 570-1609</t>
  </si>
  <si>
    <t>1844730</t>
  </si>
  <si>
    <t>Dubois, Maude</t>
  </si>
  <si>
    <t>Dubois</t>
  </si>
  <si>
    <t>Matucha</t>
  </si>
  <si>
    <t>514 993-0657</t>
  </si>
  <si>
    <t>1334926</t>
  </si>
  <si>
    <t>Lavoie, Jasmine</t>
  </si>
  <si>
    <t>Germain</t>
  </si>
  <si>
    <t>514 892-4866</t>
  </si>
  <si>
    <t>1949067</t>
  </si>
  <si>
    <t>Lamer, Jessyca</t>
  </si>
  <si>
    <t>Jessyca</t>
  </si>
  <si>
    <t>Selma</t>
  </si>
  <si>
    <t>514 974-6442</t>
  </si>
  <si>
    <t>1964924</t>
  </si>
  <si>
    <t>514 961-5346</t>
  </si>
  <si>
    <t>1636172</t>
  </si>
  <si>
    <t>Castagno, Rosalia</t>
  </si>
  <si>
    <t>Castagno</t>
  </si>
  <si>
    <t>Rosalia</t>
  </si>
  <si>
    <t>Rego</t>
  </si>
  <si>
    <t>Meghan Sidney</t>
  </si>
  <si>
    <t>514 466-6902</t>
  </si>
  <si>
    <t>1636185</t>
  </si>
  <si>
    <t>Toupin-Latour</t>
  </si>
  <si>
    <t>514 996-8335</t>
  </si>
  <si>
    <t>1931018</t>
  </si>
  <si>
    <t>Fecteau, Marilie</t>
  </si>
  <si>
    <t>Fecteau</t>
  </si>
  <si>
    <t>Mailloux</t>
  </si>
  <si>
    <t>Mirka</t>
  </si>
  <si>
    <t>J5J1V2</t>
  </si>
  <si>
    <t>514 581-4340</t>
  </si>
  <si>
    <t>1932186</t>
  </si>
  <si>
    <t>Sarajayne</t>
  </si>
  <si>
    <t>514 970-4769</t>
  </si>
  <si>
    <t>1869036</t>
  </si>
  <si>
    <t>Burgoyne, Sabrina</t>
  </si>
  <si>
    <t>514 546-4629</t>
  </si>
  <si>
    <t>1120961</t>
  </si>
  <si>
    <t>Mathurin, Ève</t>
  </si>
  <si>
    <t>Mathurin</t>
  </si>
  <si>
    <t>Ducellier</t>
  </si>
  <si>
    <t>514 781-8962</t>
  </si>
  <si>
    <t>1324836</t>
  </si>
  <si>
    <t>Dinel, Maxime</t>
  </si>
  <si>
    <t>J0T1W0</t>
  </si>
  <si>
    <t>514 730-6243</t>
  </si>
  <si>
    <t>1853612</t>
  </si>
  <si>
    <t>Fiset, Marie-Pier</t>
  </si>
  <si>
    <t>Fiset</t>
  </si>
  <si>
    <t>Luabeya Kalonji</t>
  </si>
  <si>
    <t>514 889-2201</t>
  </si>
  <si>
    <t>1844399</t>
  </si>
  <si>
    <t>Chaput, Rachel</t>
  </si>
  <si>
    <t>514 965-5215</t>
  </si>
  <si>
    <t>1959264</t>
  </si>
  <si>
    <t>Gougeon</t>
  </si>
  <si>
    <t>J0V2B0</t>
  </si>
  <si>
    <t>514 641-1017</t>
  </si>
  <si>
    <t>1625426</t>
  </si>
  <si>
    <t>Dagenais, Myriam</t>
  </si>
  <si>
    <t>Paquet</t>
  </si>
  <si>
    <t>Michael</t>
  </si>
  <si>
    <t>J5J2M5</t>
  </si>
  <si>
    <t>514 554-7638</t>
  </si>
  <si>
    <t>1924451</t>
  </si>
  <si>
    <t>Perron, Claudia</t>
  </si>
  <si>
    <t>Claudia</t>
  </si>
  <si>
    <t>514 677-5981</t>
  </si>
  <si>
    <t>1925835</t>
  </si>
  <si>
    <t>Loof, Gabriel</t>
  </si>
  <si>
    <t>Loof</t>
  </si>
  <si>
    <t>514 826-4432</t>
  </si>
  <si>
    <t>1844708</t>
  </si>
  <si>
    <t>Arsenault, Willyam</t>
  </si>
  <si>
    <t>J5K2V8</t>
  </si>
  <si>
    <t>514 219-4144</t>
  </si>
  <si>
    <t>1969180</t>
  </si>
  <si>
    <t>Athot, William</t>
  </si>
  <si>
    <t>Athot</t>
  </si>
  <si>
    <t>514 887-5040</t>
  </si>
  <si>
    <t>1527729</t>
  </si>
  <si>
    <t>J5K0B3</t>
  </si>
  <si>
    <t>514 473-1989</t>
  </si>
  <si>
    <t>1931272</t>
  </si>
  <si>
    <t>Paquette, Daphney</t>
  </si>
  <si>
    <t>Daphney</t>
  </si>
  <si>
    <t>Cyr-St-André</t>
  </si>
  <si>
    <t>Pénélope-Amély</t>
  </si>
  <si>
    <t>514 775-6653</t>
  </si>
  <si>
    <t>1432685</t>
  </si>
  <si>
    <t>Meloche, Emy</t>
  </si>
  <si>
    <t>Meloche</t>
  </si>
  <si>
    <t>514 238-6101</t>
  </si>
  <si>
    <t>1701576</t>
  </si>
  <si>
    <t>Lehou</t>
  </si>
  <si>
    <t>J5J1L7</t>
  </si>
  <si>
    <t>514 594-1048</t>
  </si>
  <si>
    <t>1959025</t>
  </si>
  <si>
    <t>Binette, Stécy</t>
  </si>
  <si>
    <t>Binette</t>
  </si>
  <si>
    <t>St-Germain</t>
  </si>
  <si>
    <t>514 813-1425</t>
  </si>
  <si>
    <t>1539910</t>
  </si>
  <si>
    <t>Nehemie Ford</t>
  </si>
  <si>
    <t>J0Y1L0</t>
  </si>
  <si>
    <t>514 627-5823</t>
  </si>
  <si>
    <t>1743087</t>
  </si>
  <si>
    <t>Germain, Lorianne Pavelle</t>
  </si>
  <si>
    <t>Lorianne Pavelle</t>
  </si>
  <si>
    <t>Layer-Marcoux</t>
  </si>
  <si>
    <t>514 885-0951</t>
  </si>
  <si>
    <t>1665046</t>
  </si>
  <si>
    <t>Renaud-Gaboriault, Carolanne</t>
  </si>
  <si>
    <t>Renaud-Gaboriault</t>
  </si>
  <si>
    <t>Carolanne</t>
  </si>
  <si>
    <t>514 892-4705</t>
  </si>
  <si>
    <t>9655919</t>
  </si>
  <si>
    <t>Corbeil, Noémy</t>
  </si>
  <si>
    <t>Melyna</t>
  </si>
  <si>
    <t>J5J2S5</t>
  </si>
  <si>
    <t>514 550-4434</t>
  </si>
  <si>
    <t>1751999</t>
  </si>
  <si>
    <t>Léonard, George Alexandru</t>
  </si>
  <si>
    <t>George Alexandru</t>
  </si>
  <si>
    <t>Fuentes</t>
  </si>
  <si>
    <t>514 971-9348</t>
  </si>
  <si>
    <t>1690368</t>
  </si>
  <si>
    <t>Chanil, Rafael</t>
  </si>
  <si>
    <t>Chanil</t>
  </si>
  <si>
    <t>Rafael</t>
  </si>
  <si>
    <t>Maryanne</t>
  </si>
  <si>
    <t>J5L0C6</t>
  </si>
  <si>
    <t>450 987-0296</t>
  </si>
  <si>
    <t>1953509</t>
  </si>
  <si>
    <t>Gauthier, Lukas</t>
  </si>
  <si>
    <t>Lukas</t>
  </si>
  <si>
    <t>J5K1C7</t>
  </si>
  <si>
    <t>514 442-0085</t>
  </si>
  <si>
    <t>1957581</t>
  </si>
  <si>
    <t>Hébert, Laetitia</t>
  </si>
  <si>
    <t>Lahitte</t>
  </si>
  <si>
    <t>J5K1K6</t>
  </si>
  <si>
    <t>514 358-5828</t>
  </si>
  <si>
    <t>1829558</t>
  </si>
  <si>
    <t>Charron-Morissette, Paul</t>
  </si>
  <si>
    <t>Charron-Morissette</t>
  </si>
  <si>
    <t>Portaria</t>
  </si>
  <si>
    <t>J5L1B5</t>
  </si>
  <si>
    <t>450 971-2043</t>
  </si>
  <si>
    <t>1553755</t>
  </si>
  <si>
    <t>Thomas, Amélie</t>
  </si>
  <si>
    <t>514 867-4848</t>
  </si>
  <si>
    <t>1524935</t>
  </si>
  <si>
    <t>Hurtubise, Kelly-Anne</t>
  </si>
  <si>
    <t>Hurtubise</t>
  </si>
  <si>
    <t>514 969-1294</t>
  </si>
  <si>
    <t>1979437</t>
  </si>
  <si>
    <t>Belhumeur, Tristan</t>
  </si>
  <si>
    <t>Belhumeur</t>
  </si>
  <si>
    <t>Sara-Maude</t>
  </si>
  <si>
    <t>514 970-4812</t>
  </si>
  <si>
    <t>9451264</t>
  </si>
  <si>
    <t>Baston, Vincent</t>
  </si>
  <si>
    <t>Baston</t>
  </si>
  <si>
    <t>514 796-7224</t>
  </si>
  <si>
    <t>1965689</t>
  </si>
  <si>
    <t>Simard-Blais, Ariane</t>
  </si>
  <si>
    <t>514 775-1912</t>
  </si>
  <si>
    <t>1713184</t>
  </si>
  <si>
    <t>Jozsa, Karolane</t>
  </si>
  <si>
    <t>Jozsa</t>
  </si>
  <si>
    <t>J0R1R4</t>
  </si>
  <si>
    <t>514 922-8681</t>
  </si>
  <si>
    <t>1728767</t>
  </si>
  <si>
    <t>Boisvert, Sharlie</t>
  </si>
  <si>
    <t>Sharlie</t>
  </si>
  <si>
    <t>J5K2K4</t>
  </si>
  <si>
    <t>514 244-0773</t>
  </si>
  <si>
    <t>0920844</t>
  </si>
  <si>
    <t>Lajeunesse, Joey</t>
  </si>
  <si>
    <t>Lajeunesse</t>
  </si>
  <si>
    <t>Joey</t>
  </si>
  <si>
    <t>J5L1B7</t>
  </si>
  <si>
    <t>450 968-2946</t>
  </si>
  <si>
    <t>1881501</t>
  </si>
  <si>
    <t>J5K1J8</t>
  </si>
  <si>
    <t>514 377-3505</t>
  </si>
  <si>
    <t>1746867</t>
  </si>
  <si>
    <t>Roulier, Béatrice</t>
  </si>
  <si>
    <t>Roulier</t>
  </si>
  <si>
    <t>Brazeau-Proulx</t>
  </si>
  <si>
    <t>514 894-2717</t>
  </si>
  <si>
    <t>1860620</t>
  </si>
  <si>
    <t>Léger-Dumoulin, Hanh My Thi</t>
  </si>
  <si>
    <t>Léger-Dumoulin</t>
  </si>
  <si>
    <t>Hanh My Thi</t>
  </si>
  <si>
    <t>514 712-3777</t>
  </si>
  <si>
    <t>1833385</t>
  </si>
  <si>
    <t>Lefebvre, Isaac Mathew</t>
  </si>
  <si>
    <t>Isaac Mathew</t>
  </si>
  <si>
    <t>514 951-0052</t>
  </si>
  <si>
    <t>1640923</t>
  </si>
  <si>
    <t>J5K2T9</t>
  </si>
  <si>
    <t>514 222-9145</t>
  </si>
  <si>
    <t>1681567</t>
  </si>
  <si>
    <t>Audette, William</t>
  </si>
  <si>
    <t>Audette</t>
  </si>
  <si>
    <t>Marie-Rose</t>
  </si>
  <si>
    <t>450 971-1516</t>
  </si>
  <si>
    <t>1926151</t>
  </si>
  <si>
    <t>514 999-6027</t>
  </si>
  <si>
    <t>1942694</t>
  </si>
  <si>
    <t>Ridore, Camille</t>
  </si>
  <si>
    <t>Ridore</t>
  </si>
  <si>
    <t>J5L0A3</t>
  </si>
  <si>
    <t>514 213-5824</t>
  </si>
  <si>
    <t>1945398</t>
  </si>
  <si>
    <t>Di Milo, Maxime</t>
  </si>
  <si>
    <t>450 965-4047</t>
  </si>
  <si>
    <t>1628402</t>
  </si>
  <si>
    <t>Bilodeau, Stéfanie Jessy</t>
  </si>
  <si>
    <t>Bilodeau</t>
  </si>
  <si>
    <t>514 825-6643</t>
  </si>
  <si>
    <t>1933817</t>
  </si>
  <si>
    <t>514 795-5097</t>
  </si>
  <si>
    <t>1953365</t>
  </si>
  <si>
    <t>Lacombe-Brouillard, Julia</t>
  </si>
  <si>
    <t>Lacombe-Brouillard</t>
  </si>
  <si>
    <t>Julia</t>
  </si>
  <si>
    <t>Humbert</t>
  </si>
  <si>
    <t>Nève</t>
  </si>
  <si>
    <t>J0W1S0</t>
  </si>
  <si>
    <t>514 629-5701</t>
  </si>
  <si>
    <t>1575202</t>
  </si>
  <si>
    <t>514 649-2845</t>
  </si>
  <si>
    <t>1932563</t>
  </si>
  <si>
    <t>Godbout Ouellette, Léa D.</t>
  </si>
  <si>
    <t>Godbout Ouellette</t>
  </si>
  <si>
    <t>Léa D.</t>
  </si>
  <si>
    <t>Laurendeau</t>
  </si>
  <si>
    <t>514 825-6568</t>
  </si>
  <si>
    <t>1838637</t>
  </si>
  <si>
    <t>Prud'homme, Catherine</t>
  </si>
  <si>
    <t>Prud'homme</t>
  </si>
  <si>
    <t>J5L1B3</t>
  </si>
  <si>
    <t>450 971-2294</t>
  </si>
  <si>
    <t>1927437</t>
  </si>
  <si>
    <t>Ben Seddik-Rouette, Thomas</t>
  </si>
  <si>
    <t>Ben Seddik-Rouette</t>
  </si>
  <si>
    <t>J0T2B0</t>
  </si>
  <si>
    <t>514 717-2023</t>
  </si>
  <si>
    <t>1869412</t>
  </si>
  <si>
    <t>Sauvé, Audrey</t>
  </si>
  <si>
    <t>Sauvé</t>
  </si>
  <si>
    <t>Sharlianne</t>
  </si>
  <si>
    <t>514 980-3622</t>
  </si>
  <si>
    <t>0966490</t>
  </si>
  <si>
    <t>Rafaël</t>
  </si>
  <si>
    <t>514 803-0477</t>
  </si>
  <si>
    <t>1726757</t>
  </si>
  <si>
    <t>Bravo Perez, Samuel</t>
  </si>
  <si>
    <t>Bravo Perez</t>
  </si>
  <si>
    <t>Patrice</t>
  </si>
  <si>
    <t>J0T1S0</t>
  </si>
  <si>
    <t>514 758-9183</t>
  </si>
  <si>
    <t>1822175</t>
  </si>
  <si>
    <t>Pagé, Derik</t>
  </si>
  <si>
    <t>Pagé</t>
  </si>
  <si>
    <t>Derik</t>
  </si>
  <si>
    <t>Daigneault</t>
  </si>
  <si>
    <t>Shanny</t>
  </si>
  <si>
    <t>514 980-3314</t>
  </si>
  <si>
    <t>1878199</t>
  </si>
  <si>
    <t>Rochon-Grenier, Bianca</t>
  </si>
  <si>
    <t>Rochon-Grenier</t>
  </si>
  <si>
    <t>Brosseau</t>
  </si>
  <si>
    <t>514 686-3481</t>
  </si>
  <si>
    <t>1953261</t>
  </si>
  <si>
    <t>Bernier, Tamyann</t>
  </si>
  <si>
    <t>J5J1K1</t>
  </si>
  <si>
    <t>514 601-4711</t>
  </si>
  <si>
    <t>1775847</t>
  </si>
  <si>
    <t>Bergeron, Thierry</t>
  </si>
  <si>
    <t>Bergeron</t>
  </si>
  <si>
    <t>Sylvestre-Cyprien</t>
  </si>
  <si>
    <t>Marika</t>
  </si>
  <si>
    <t>450 971-5248</t>
  </si>
  <si>
    <t>1871022</t>
  </si>
  <si>
    <t>Heppell, Koralie</t>
  </si>
  <si>
    <t>Heppell</t>
  </si>
  <si>
    <t>Koralie</t>
  </si>
  <si>
    <t>Naïa</t>
  </si>
  <si>
    <t>J5J1C2</t>
  </si>
  <si>
    <t>514 607-2736</t>
  </si>
  <si>
    <t>1946438</t>
  </si>
  <si>
    <t>Hobbas-Blanco, Kim</t>
  </si>
  <si>
    <t>Hobbas-Blanco</t>
  </si>
  <si>
    <t>Lafontaine-Giguère</t>
  </si>
  <si>
    <t>Rodrigue</t>
  </si>
  <si>
    <t>514 829-4686</t>
  </si>
  <si>
    <t>1905205</t>
  </si>
  <si>
    <t>Lauzon-Tremblay, Jean-Gabriel</t>
  </si>
  <si>
    <t>Lauzon-Tremblay</t>
  </si>
  <si>
    <t>Jean-Gabriel</t>
  </si>
  <si>
    <t>Gionet</t>
  </si>
  <si>
    <t>Raphaëlle</t>
  </si>
  <si>
    <t>514 815-2186</t>
  </si>
  <si>
    <t>1979456</t>
  </si>
  <si>
    <t>Pagé, Derek</t>
  </si>
  <si>
    <t>Derek</t>
  </si>
  <si>
    <t>Dallaire-Brazeau</t>
  </si>
  <si>
    <t>J5J0E3</t>
  </si>
  <si>
    <t>514 622-3150</t>
  </si>
  <si>
    <t>0825609</t>
  </si>
  <si>
    <t>Djabri, Maxime</t>
  </si>
  <si>
    <t>Djabri</t>
  </si>
  <si>
    <t>Ménard-Fortin</t>
  </si>
  <si>
    <t>J5K1R1</t>
  </si>
  <si>
    <t>514 347-4287</t>
  </si>
  <si>
    <t>1947837</t>
  </si>
  <si>
    <t>Lallemant, Joanie</t>
  </si>
  <si>
    <t>Lallemant</t>
  </si>
  <si>
    <t>Hamelin</t>
  </si>
  <si>
    <t>Médéric</t>
  </si>
  <si>
    <t>J5K1G3</t>
  </si>
  <si>
    <t>514 424-7777</t>
  </si>
  <si>
    <t>1866444</t>
  </si>
  <si>
    <t>Girouard, Léa-Pier</t>
  </si>
  <si>
    <t>Léa-Pier</t>
  </si>
  <si>
    <t>Lauzière</t>
  </si>
  <si>
    <t>514 942-3703</t>
  </si>
  <si>
    <t>1979583</t>
  </si>
  <si>
    <t>Guay, Lauriane</t>
  </si>
  <si>
    <t>514 926-8425</t>
  </si>
  <si>
    <t>1572012</t>
  </si>
  <si>
    <t>Gauvin</t>
  </si>
  <si>
    <t>J0R1R7</t>
  </si>
  <si>
    <t>514 909-1147</t>
  </si>
  <si>
    <t>1546225</t>
  </si>
  <si>
    <t>Crête, Nedjma Amel</t>
  </si>
  <si>
    <t>Crête</t>
  </si>
  <si>
    <t>Nedjma Amel</t>
  </si>
  <si>
    <t>Pariseau</t>
  </si>
  <si>
    <t>514 219-3622</t>
  </si>
  <si>
    <t>1862301</t>
  </si>
  <si>
    <t>Reuter</t>
  </si>
  <si>
    <t>514 886-3441</t>
  </si>
  <si>
    <t>1732164</t>
  </si>
  <si>
    <t>Quesnel, Catherine</t>
  </si>
  <si>
    <t>Quesnel</t>
  </si>
  <si>
    <t>450 971-1674</t>
  </si>
  <si>
    <t>1809634</t>
  </si>
  <si>
    <t>Lafrance, Jonathan</t>
  </si>
  <si>
    <t>Lafrance</t>
  </si>
  <si>
    <t>Hervieux</t>
  </si>
  <si>
    <t>514 775-5886</t>
  </si>
  <si>
    <t>1878486</t>
  </si>
  <si>
    <t>Mailhot, Frédéric</t>
  </si>
  <si>
    <t>Mailhot</t>
  </si>
  <si>
    <t>Ferland</t>
  </si>
  <si>
    <t>J5K1C3</t>
  </si>
  <si>
    <t>514 442-7309</t>
  </si>
  <si>
    <t>1984089</t>
  </si>
  <si>
    <t>Forgues, Marie-Eve</t>
  </si>
  <si>
    <t>Forgues</t>
  </si>
  <si>
    <t>Lippé</t>
  </si>
  <si>
    <t>514 884-4144</t>
  </si>
  <si>
    <t>1754911</t>
  </si>
  <si>
    <t>Gordon, Léa</t>
  </si>
  <si>
    <t>Gordon</t>
  </si>
  <si>
    <t>Shawn</t>
  </si>
  <si>
    <t>J0P1W0</t>
  </si>
  <si>
    <t>514 983-2309</t>
  </si>
  <si>
    <t>0824438</t>
  </si>
  <si>
    <t>Gosselin, Laury</t>
  </si>
  <si>
    <t>Laury</t>
  </si>
  <si>
    <t>514 929-4022</t>
  </si>
  <si>
    <t>1955104</t>
  </si>
  <si>
    <t>Giguère-Petit, Lisseth Dajhana</t>
  </si>
  <si>
    <t>Giguère-Petit</t>
  </si>
  <si>
    <t>Lisseth Dajhana</t>
  </si>
  <si>
    <t>514 942-5869</t>
  </si>
  <si>
    <t>1828364</t>
  </si>
  <si>
    <t>Tanguay, Annabel</t>
  </si>
  <si>
    <t>Annabel</t>
  </si>
  <si>
    <t>J5K1E6</t>
  </si>
  <si>
    <t>514 433-0063</t>
  </si>
  <si>
    <t>1938198</t>
  </si>
  <si>
    <t>Prud'Homme, Catherine</t>
  </si>
  <si>
    <t>Chantepie</t>
  </si>
  <si>
    <t>J5J1K2</t>
  </si>
  <si>
    <t>514 601-3284</t>
  </si>
  <si>
    <t>1724926</t>
  </si>
  <si>
    <t>J5K1A2</t>
  </si>
  <si>
    <t>514 452-3260</t>
  </si>
  <si>
    <t>1960309</t>
  </si>
  <si>
    <t>Piquette, Charlotte</t>
  </si>
  <si>
    <t>Piquette</t>
  </si>
  <si>
    <t>514 773-1646</t>
  </si>
  <si>
    <t>1841453</t>
  </si>
  <si>
    <t>Germain-Richer, Lori</t>
  </si>
  <si>
    <t>Germain-Richer</t>
  </si>
  <si>
    <t>Mattéo</t>
  </si>
  <si>
    <t>J5K2H7</t>
  </si>
  <si>
    <t>514 246-2529</t>
  </si>
  <si>
    <t>1742005</t>
  </si>
  <si>
    <t>Dallaire-Brazeau, Mona</t>
  </si>
  <si>
    <t>Mona</t>
  </si>
  <si>
    <t>Shaun</t>
  </si>
  <si>
    <t>514 983-1047</t>
  </si>
  <si>
    <t>0632158</t>
  </si>
  <si>
    <t>514 799-0370</t>
  </si>
  <si>
    <t>1624081</t>
  </si>
  <si>
    <t>Gauthier Dragon</t>
  </si>
  <si>
    <t>450 965-2016</t>
  </si>
  <si>
    <t>1957167</t>
  </si>
  <si>
    <t>Pitre, Charlotte</t>
  </si>
  <si>
    <t>J0Y1J0</t>
  </si>
  <si>
    <t>514 627-6056</t>
  </si>
  <si>
    <t>1857735</t>
  </si>
  <si>
    <t>Lapierre, Jessica</t>
  </si>
  <si>
    <t>Maygan</t>
  </si>
  <si>
    <t>J5K1G5</t>
  </si>
  <si>
    <t>514 409-9613</t>
  </si>
  <si>
    <t>1973386</t>
  </si>
  <si>
    <t>Noiseux, Elisabeth</t>
  </si>
  <si>
    <t>Noiseux</t>
  </si>
  <si>
    <t>Elisabeth</t>
  </si>
  <si>
    <t>Deguire-Grenon</t>
  </si>
  <si>
    <t>514 432-8129</t>
  </si>
  <si>
    <t>1585208</t>
  </si>
  <si>
    <t>Lorrain, Gabriel</t>
  </si>
  <si>
    <t>J5K2J2</t>
  </si>
  <si>
    <t>514 244-4475</t>
  </si>
  <si>
    <t>1789310</t>
  </si>
  <si>
    <t>Pinel, Charlyn</t>
  </si>
  <si>
    <t>Pinel</t>
  </si>
  <si>
    <t>Charlyn</t>
  </si>
  <si>
    <t>Clément-Gagnon</t>
  </si>
  <si>
    <t>J5J1W7</t>
  </si>
  <si>
    <t>514 578-4078</t>
  </si>
  <si>
    <t>1875343</t>
  </si>
  <si>
    <t>Cyr-Tessier, Naomi</t>
  </si>
  <si>
    <t>Cyr-Tessier</t>
  </si>
  <si>
    <t>Naomi</t>
  </si>
  <si>
    <t>514 641-3979</t>
  </si>
  <si>
    <t>1648029</t>
  </si>
  <si>
    <t>Fortin, Marie-Claude</t>
  </si>
  <si>
    <t>Marie-Claude</t>
  </si>
  <si>
    <t>Léveillé-Marleau</t>
  </si>
  <si>
    <t>Mélisande</t>
  </si>
  <si>
    <t>J5K0A1</t>
  </si>
  <si>
    <t>514 502-2743</t>
  </si>
  <si>
    <t>1820831</t>
  </si>
  <si>
    <t>Gagnon, Marc-André</t>
  </si>
  <si>
    <t>Marc-André</t>
  </si>
  <si>
    <t>514 701-2526</t>
  </si>
  <si>
    <t>1840742</t>
  </si>
  <si>
    <t>Payant-Nadeau, Cynthia</t>
  </si>
  <si>
    <t>Payant-Nadeau</t>
  </si>
  <si>
    <t>Cynthia</t>
  </si>
  <si>
    <t>J5K0E5</t>
  </si>
  <si>
    <t>514 465-1022</t>
  </si>
  <si>
    <t>1034496</t>
  </si>
  <si>
    <t>Lachapelle, Juliane</t>
  </si>
  <si>
    <t>Lachapelle</t>
  </si>
  <si>
    <t>Juliane</t>
  </si>
  <si>
    <t>Huneault Germain</t>
  </si>
  <si>
    <t>Rahma</t>
  </si>
  <si>
    <t>514 804-7469</t>
  </si>
  <si>
    <t>1962982</t>
  </si>
  <si>
    <t>Hooper-Boyer, Kim</t>
  </si>
  <si>
    <t>Hooper-Boyer</t>
  </si>
  <si>
    <t>Lafleur</t>
  </si>
  <si>
    <t>J5L0K2</t>
  </si>
  <si>
    <t>450 974-2926</t>
  </si>
  <si>
    <t>6112271</t>
  </si>
  <si>
    <t>Février, Marie-Soleil</t>
  </si>
  <si>
    <t>Février</t>
  </si>
  <si>
    <t>Maher</t>
  </si>
  <si>
    <t>514 506-9025</t>
  </si>
  <si>
    <t>1934126</t>
  </si>
  <si>
    <t>J5L0H6</t>
  </si>
  <si>
    <t>450 974-9508</t>
  </si>
  <si>
    <t>1707386</t>
  </si>
  <si>
    <t>Des Rosiers, Mélissa</t>
  </si>
  <si>
    <t>Des Rosiers</t>
  </si>
  <si>
    <t>Murphy</t>
  </si>
  <si>
    <t>J5L0G3</t>
  </si>
  <si>
    <t>450 979-5289</t>
  </si>
  <si>
    <t>1965360</t>
  </si>
  <si>
    <t>Brisson, Samuel</t>
  </si>
  <si>
    <t>Roffi</t>
  </si>
  <si>
    <t>514 831-1035</t>
  </si>
  <si>
    <t>1087488</t>
  </si>
  <si>
    <t>Bergeron, Théo</t>
  </si>
  <si>
    <t>Taillon</t>
  </si>
  <si>
    <t>May-Ann</t>
  </si>
  <si>
    <t>514 409-8470</t>
  </si>
  <si>
    <t>1940363</t>
  </si>
  <si>
    <t>Ouellet, Edouard</t>
  </si>
  <si>
    <t>Davidson</t>
  </si>
  <si>
    <t>579 368-1704</t>
  </si>
  <si>
    <t>1753485</t>
  </si>
  <si>
    <t>Rajala, Catherine</t>
  </si>
  <si>
    <t>514 266-9329</t>
  </si>
  <si>
    <t>1953891</t>
  </si>
  <si>
    <t>Melanson, Émy</t>
  </si>
  <si>
    <t>Melanson</t>
  </si>
  <si>
    <t>Émy</t>
  </si>
  <si>
    <t>514 814-0438</t>
  </si>
  <si>
    <t>1829378</t>
  </si>
  <si>
    <t>Carignan Brassard, Rosie</t>
  </si>
  <si>
    <t>Carignan Brassard</t>
  </si>
  <si>
    <t>Rosie</t>
  </si>
  <si>
    <t>Ricci</t>
  </si>
  <si>
    <t>J5J1K7</t>
  </si>
  <si>
    <t>514 594-4801</t>
  </si>
  <si>
    <t>1736359</t>
  </si>
  <si>
    <t>Ringuette, Camille</t>
  </si>
  <si>
    <t>Ringuette</t>
  </si>
  <si>
    <t>Cadieux-Lelaidier</t>
  </si>
  <si>
    <t>514 972-7948</t>
  </si>
  <si>
    <t>1847300</t>
  </si>
  <si>
    <t>Déry, Mélissa</t>
  </si>
  <si>
    <t>Déry</t>
  </si>
  <si>
    <t>Musau Kabuya</t>
  </si>
  <si>
    <t>J5K1G6</t>
  </si>
  <si>
    <t>514 409-7177</t>
  </si>
  <si>
    <t>1331577</t>
  </si>
  <si>
    <t>514 919-8668</t>
  </si>
  <si>
    <t>1639579</t>
  </si>
  <si>
    <t>Labrecque, Julien</t>
  </si>
  <si>
    <t>Labrecque</t>
  </si>
  <si>
    <t>514 754-6165</t>
  </si>
  <si>
    <t>1943009</t>
  </si>
  <si>
    <t>Beaudry, Victoria-Isabela</t>
  </si>
  <si>
    <t>Patrick</t>
  </si>
  <si>
    <t>J0T1M0</t>
  </si>
  <si>
    <t>514 771-3964</t>
  </si>
  <si>
    <t>1982361</t>
  </si>
  <si>
    <t>François</t>
  </si>
  <si>
    <t>514 771-4681</t>
  </si>
  <si>
    <t>1977629</t>
  </si>
  <si>
    <t>Frenette, Marguerite</t>
  </si>
  <si>
    <t>Frenette</t>
  </si>
  <si>
    <t>Marguerite</t>
  </si>
  <si>
    <t>Lepage</t>
  </si>
  <si>
    <t>Roseline</t>
  </si>
  <si>
    <t>514 839-5651</t>
  </si>
  <si>
    <t>1658145</t>
  </si>
  <si>
    <t>Muya, Élodie</t>
  </si>
  <si>
    <t>Muya</t>
  </si>
  <si>
    <t>Derome</t>
  </si>
  <si>
    <t>J5K1C8</t>
  </si>
  <si>
    <t>514 441-6954</t>
  </si>
  <si>
    <t>1987758</t>
  </si>
  <si>
    <t>514 972-8220</t>
  </si>
  <si>
    <t>1835030</t>
  </si>
  <si>
    <t>Pelletier, Corine</t>
  </si>
  <si>
    <t>Corine</t>
  </si>
  <si>
    <t>Courtemanche</t>
  </si>
  <si>
    <t>514 963-4314</t>
  </si>
  <si>
    <t>1874438</t>
  </si>
  <si>
    <t>Boutin</t>
  </si>
  <si>
    <t>514 238-3718</t>
  </si>
  <si>
    <t>1870737</t>
  </si>
  <si>
    <t>Mc Intyre, Esther</t>
  </si>
  <si>
    <t>Mc Intyre</t>
  </si>
  <si>
    <t>Esther</t>
  </si>
  <si>
    <t>Drolet</t>
  </si>
  <si>
    <t>Seléna</t>
  </si>
  <si>
    <t>514 974-0445</t>
  </si>
  <si>
    <t>1980060</t>
  </si>
  <si>
    <t>Maurice</t>
  </si>
  <si>
    <t>514 952-8146</t>
  </si>
  <si>
    <t>1942565</t>
  </si>
  <si>
    <t>Pombert, Charles</t>
  </si>
  <si>
    <t>Pombert</t>
  </si>
  <si>
    <t>Chartré</t>
  </si>
  <si>
    <t>J5K1Z7</t>
  </si>
  <si>
    <t>514 291-7986</t>
  </si>
  <si>
    <t>1748100</t>
  </si>
  <si>
    <t>514 991-4677</t>
  </si>
  <si>
    <t>1844963</t>
  </si>
  <si>
    <t>Marcoux, Félix</t>
  </si>
  <si>
    <t>Marcoux</t>
  </si>
  <si>
    <t>Dupras</t>
  </si>
  <si>
    <t>Marikim</t>
  </si>
  <si>
    <t>J5L0M3</t>
  </si>
  <si>
    <t>450 971-5773</t>
  </si>
  <si>
    <t>1525520</t>
  </si>
  <si>
    <t>Léonard-Lecompte, Geneviève</t>
  </si>
  <si>
    <t>Léonard-Lecompte</t>
  </si>
  <si>
    <t>Frigault</t>
  </si>
  <si>
    <t>514 770-4830</t>
  </si>
  <si>
    <t>1943804</t>
  </si>
  <si>
    <t>Liebner, Gabriel R.</t>
  </si>
  <si>
    <t>Liebner</t>
  </si>
  <si>
    <t>Gabriel R.</t>
  </si>
  <si>
    <t>Pierre-Antoine</t>
  </si>
  <si>
    <t>514 793-3146</t>
  </si>
  <si>
    <t>1929063</t>
  </si>
  <si>
    <t>J5K1A4</t>
  </si>
  <si>
    <t>514 452-1013</t>
  </si>
  <si>
    <t>1946728</t>
  </si>
  <si>
    <t>Therrien Léonard</t>
  </si>
  <si>
    <t>Mary-Lee</t>
  </si>
  <si>
    <t>J5L0B7</t>
  </si>
  <si>
    <t>450 990-5204</t>
  </si>
  <si>
    <t>1871797</t>
  </si>
  <si>
    <t>Turcotte, Alexis</t>
  </si>
  <si>
    <t>Barabé</t>
  </si>
  <si>
    <t>J5K2H1</t>
  </si>
  <si>
    <t>514 250-5017</t>
  </si>
  <si>
    <t>1536846</t>
  </si>
  <si>
    <t>Roussy, Bastien</t>
  </si>
  <si>
    <t>Roussy</t>
  </si>
  <si>
    <t>J5L0G5</t>
  </si>
  <si>
    <t>450 979-3126</t>
  </si>
  <si>
    <t>1823040</t>
  </si>
  <si>
    <t>514 996-5362</t>
  </si>
  <si>
    <t>1864594</t>
  </si>
  <si>
    <t>Dion-Lamoureux</t>
  </si>
  <si>
    <t>450 964-1899</t>
  </si>
  <si>
    <t>1940109</t>
  </si>
  <si>
    <t>Léveillé Clément, Gabrielle</t>
  </si>
  <si>
    <t>Léveillé Clément</t>
  </si>
  <si>
    <t>Foucault</t>
  </si>
  <si>
    <t>J5J2B4</t>
  </si>
  <si>
    <t>514 576-5870</t>
  </si>
  <si>
    <t>1438188</t>
  </si>
  <si>
    <t>Kashemwa, Karine</t>
  </si>
  <si>
    <t>Kashemwa</t>
  </si>
  <si>
    <t>Komto Mbang</t>
  </si>
  <si>
    <t>514 649-9395</t>
  </si>
  <si>
    <t>1962346</t>
  </si>
  <si>
    <t>Vachon, Alexia</t>
  </si>
  <si>
    <t>Vachon</t>
  </si>
  <si>
    <t>Alexia</t>
  </si>
  <si>
    <t>Aumont</t>
  </si>
  <si>
    <t>514 434-6460</t>
  </si>
  <si>
    <t>1643865</t>
  </si>
  <si>
    <t>Frate-Beaulac, Mariane</t>
  </si>
  <si>
    <t>Frate-Beaulac</t>
  </si>
  <si>
    <t>Rogelane Waina</t>
  </si>
  <si>
    <t>514 830-0825</t>
  </si>
  <si>
    <t>1960948</t>
  </si>
  <si>
    <t>Lapointe-Léonard, Jérémy</t>
  </si>
  <si>
    <t>Lapointe-Léonard</t>
  </si>
  <si>
    <t>514 993-6865</t>
  </si>
  <si>
    <t>1756128</t>
  </si>
  <si>
    <t>Cloutier-De Grâce, Olivier</t>
  </si>
  <si>
    <t>Cloutier-De Grâce</t>
  </si>
  <si>
    <t>J5J2G4</t>
  </si>
  <si>
    <t>514 573-8404</t>
  </si>
  <si>
    <t>1735617</t>
  </si>
  <si>
    <t>Monseur, Emilie</t>
  </si>
  <si>
    <t>Monseur</t>
  </si>
  <si>
    <t>Deslandes</t>
  </si>
  <si>
    <t>Sarahève</t>
  </si>
  <si>
    <t>514 967-7960</t>
  </si>
  <si>
    <t>1429335</t>
  </si>
  <si>
    <t>Huot, Kelsey</t>
  </si>
  <si>
    <t>Huot</t>
  </si>
  <si>
    <t>Kelsey</t>
  </si>
  <si>
    <t>514 371-5967</t>
  </si>
  <si>
    <t>1959257</t>
  </si>
  <si>
    <t>Descoeurs, Mélanie</t>
  </si>
  <si>
    <t>Descoeurs</t>
  </si>
  <si>
    <t>Morissette</t>
  </si>
  <si>
    <t>J5J2M2</t>
  </si>
  <si>
    <t>514 559-7816</t>
  </si>
  <si>
    <t>1738656</t>
  </si>
  <si>
    <t>Valois, Alexandre</t>
  </si>
  <si>
    <t>514 972-7942</t>
  </si>
  <si>
    <t>1821838</t>
  </si>
  <si>
    <t>Tedone, Angélika</t>
  </si>
  <si>
    <t>Tedone</t>
  </si>
  <si>
    <t>Angélika</t>
  </si>
  <si>
    <t>Bell</t>
  </si>
  <si>
    <t>514 838-7473</t>
  </si>
  <si>
    <t>1929433</t>
  </si>
  <si>
    <t>Koné, Justine</t>
  </si>
  <si>
    <t>J5K1Z8</t>
  </si>
  <si>
    <t>514 291-7611</t>
  </si>
  <si>
    <t>1847151</t>
  </si>
  <si>
    <t>Ibrahim, Kelly-Ann</t>
  </si>
  <si>
    <t>Ibrahim</t>
  </si>
  <si>
    <t>514 808-0428</t>
  </si>
  <si>
    <t>1737870</t>
  </si>
  <si>
    <t>Mélina</t>
  </si>
  <si>
    <t>J5K0A2</t>
  </si>
  <si>
    <t>514 501-4281</t>
  </si>
  <si>
    <t>1279722</t>
  </si>
  <si>
    <t>Soucy, Anylise</t>
  </si>
  <si>
    <t>Soucy</t>
  </si>
  <si>
    <t>Anylise</t>
  </si>
  <si>
    <t>514 926-5309</t>
  </si>
  <si>
    <t>9011340</t>
  </si>
  <si>
    <t>Lachance, Julianne</t>
  </si>
  <si>
    <t>Julianne</t>
  </si>
  <si>
    <t>514 913-4661</t>
  </si>
  <si>
    <t>1669464</t>
  </si>
  <si>
    <t>Bruyère, Samantha</t>
  </si>
  <si>
    <t>Bruyère</t>
  </si>
  <si>
    <t>J5K1L8</t>
  </si>
  <si>
    <t>514 358-0992</t>
  </si>
  <si>
    <t>1777893</t>
  </si>
  <si>
    <t>Vermette, Alexandra</t>
  </si>
  <si>
    <t>Vermette</t>
  </si>
  <si>
    <t>Arbour-Gonthier</t>
  </si>
  <si>
    <t>514 559-3078</t>
  </si>
  <si>
    <t>1961554</t>
  </si>
  <si>
    <t>Miranda Rivas, Emilie</t>
  </si>
  <si>
    <t>Miranda Rivas</t>
  </si>
  <si>
    <t>J5K2B9</t>
  </si>
  <si>
    <t>514 264-4672</t>
  </si>
  <si>
    <t>1708483</t>
  </si>
  <si>
    <t>Hétu, Kimberly</t>
  </si>
  <si>
    <t>Kimberly</t>
  </si>
  <si>
    <t>514 969-7959</t>
  </si>
  <si>
    <t>1821947</t>
  </si>
  <si>
    <t>St-Germain, Antoine</t>
  </si>
  <si>
    <t>J0T1H0</t>
  </si>
  <si>
    <t>514 777-6711</t>
  </si>
  <si>
    <t>1423762</t>
  </si>
  <si>
    <t>Sheehy Grenon, Ariane</t>
  </si>
  <si>
    <t>Sheehy Grenon</t>
  </si>
  <si>
    <t>Boissonneault</t>
  </si>
  <si>
    <t>Marine</t>
  </si>
  <si>
    <t>450 979-4853</t>
  </si>
  <si>
    <t>1924647</t>
  </si>
  <si>
    <t>Tremblay, Alyssa</t>
  </si>
  <si>
    <t>Alyssa</t>
  </si>
  <si>
    <t>Beaudette</t>
  </si>
  <si>
    <t>514 971-7464</t>
  </si>
  <si>
    <t>1752182</t>
  </si>
  <si>
    <t>Legault, Hugo</t>
  </si>
  <si>
    <t>Gagnon-Arsenault</t>
  </si>
  <si>
    <t>J5K2V3</t>
  </si>
  <si>
    <t>514 222-1616</t>
  </si>
  <si>
    <t>1919712</t>
  </si>
  <si>
    <t>Corbeil, Noémie</t>
  </si>
  <si>
    <t>514 974-7043</t>
  </si>
  <si>
    <t>1744025</t>
  </si>
  <si>
    <t>Barbeau</t>
  </si>
  <si>
    <t>514 713-2672</t>
  </si>
  <si>
    <t>1256073</t>
  </si>
  <si>
    <t>Forget, Marie-Frédérique</t>
  </si>
  <si>
    <t>Marie-Frédérique</t>
  </si>
  <si>
    <t>Lledo</t>
  </si>
  <si>
    <t>450 963-7628</t>
  </si>
  <si>
    <t>1668925</t>
  </si>
  <si>
    <t>Lauzon-Schlachter, Jeanine</t>
  </si>
  <si>
    <t>Lauzon-Schlachter</t>
  </si>
  <si>
    <t>Jeanine</t>
  </si>
  <si>
    <t>514 704-0299</t>
  </si>
  <si>
    <t>1966318</t>
  </si>
  <si>
    <t>Goupil, Laurie-Anne</t>
  </si>
  <si>
    <t>Goupil</t>
  </si>
  <si>
    <t>514 919-3620</t>
  </si>
  <si>
    <t>1868824</t>
  </si>
  <si>
    <t>Bissonnette-Salvas, Sophie</t>
  </si>
  <si>
    <t>Bissonnette-Salvas</t>
  </si>
  <si>
    <t>Simone</t>
  </si>
  <si>
    <t>579 368-2202</t>
  </si>
  <si>
    <t>1534564</t>
  </si>
  <si>
    <t>Shanen</t>
  </si>
  <si>
    <t>514 977-1342</t>
  </si>
  <si>
    <t>1276446</t>
  </si>
  <si>
    <t>514 892-6923</t>
  </si>
  <si>
    <t>1880248</t>
  </si>
  <si>
    <t>Pietroniro, Chloey</t>
  </si>
  <si>
    <t>Chloey</t>
  </si>
  <si>
    <t>J5K2T5</t>
  </si>
  <si>
    <t>514 224-7674</t>
  </si>
  <si>
    <t>1826776</t>
  </si>
  <si>
    <t>Bolduc, Selma</t>
  </si>
  <si>
    <t>Senay</t>
  </si>
  <si>
    <t>Philomène</t>
  </si>
  <si>
    <t>514 779-8784</t>
  </si>
  <si>
    <t>6112607</t>
  </si>
  <si>
    <t>J5K1R2</t>
  </si>
  <si>
    <t>514 347-1813</t>
  </si>
  <si>
    <t>1745369</t>
  </si>
  <si>
    <t>Binette, Stéfanie</t>
  </si>
  <si>
    <t>514 703-9479</t>
  </si>
  <si>
    <t>1648098</t>
  </si>
  <si>
    <t>514 894-4860</t>
  </si>
  <si>
    <t>1733135</t>
  </si>
  <si>
    <t>Chatelois, Patrice</t>
  </si>
  <si>
    <t>Chatelois</t>
  </si>
  <si>
    <t>Maud</t>
  </si>
  <si>
    <t>514 248-2374</t>
  </si>
  <si>
    <t>1973029</t>
  </si>
  <si>
    <t>Bergeron, Tedgy</t>
  </si>
  <si>
    <t>Talii</t>
  </si>
  <si>
    <t>514 518-2703</t>
  </si>
  <si>
    <t>1971227</t>
  </si>
  <si>
    <t>Proulx, Cédric</t>
  </si>
  <si>
    <t>Cédric</t>
  </si>
  <si>
    <t>514 895-8359</t>
  </si>
  <si>
    <t>1729161</t>
  </si>
  <si>
    <t>Fortin, Marie Claude</t>
  </si>
  <si>
    <t>Marie Claude</t>
  </si>
  <si>
    <t>Nancy</t>
  </si>
  <si>
    <t>J5J1B1</t>
  </si>
  <si>
    <t>514 607-8027</t>
  </si>
  <si>
    <t>1625045</t>
  </si>
  <si>
    <t>Gosselin, Laury-Ann</t>
  </si>
  <si>
    <t>Laury-Ann</t>
  </si>
  <si>
    <t>J5L0B3</t>
  </si>
  <si>
    <t>450 996-1049</t>
  </si>
  <si>
    <t>1433127</t>
  </si>
  <si>
    <t>Martin, Fée</t>
  </si>
  <si>
    <t>Fée</t>
  </si>
  <si>
    <t>J5K1J3</t>
  </si>
  <si>
    <t>514 377-5151</t>
  </si>
  <si>
    <t>1233276</t>
  </si>
  <si>
    <t>Devoyault, Maya</t>
  </si>
  <si>
    <t>Nolann</t>
  </si>
  <si>
    <t>514 702-1852</t>
  </si>
  <si>
    <t>1934094</t>
  </si>
  <si>
    <t>Georges, Lory-Ann</t>
  </si>
  <si>
    <t>Georges</t>
  </si>
  <si>
    <t>Lory-Ann</t>
  </si>
  <si>
    <t>Le Brasseur</t>
  </si>
  <si>
    <t>514 805-9864</t>
  </si>
  <si>
    <t>1859684</t>
  </si>
  <si>
    <t>Chantepie, Rachelle</t>
  </si>
  <si>
    <t>Rachelle</t>
  </si>
  <si>
    <t>J5K1A6</t>
  </si>
  <si>
    <t>514 445-7364</t>
  </si>
  <si>
    <t>1623767</t>
  </si>
  <si>
    <t>Labelle-Paquin, Juliette</t>
  </si>
  <si>
    <t>Labelle-Paquin</t>
  </si>
  <si>
    <t>Jobin</t>
  </si>
  <si>
    <t>J5L0A2</t>
  </si>
  <si>
    <t>514 214-7288</t>
  </si>
  <si>
    <t>1423694</t>
  </si>
  <si>
    <t>Leclerc, Jacob</t>
  </si>
  <si>
    <t>514 629-9128</t>
  </si>
  <si>
    <t>1858778</t>
  </si>
  <si>
    <t>Cubas Carrasco, Nathan</t>
  </si>
  <si>
    <t>Cubas Carrasco</t>
  </si>
  <si>
    <t>514 833-4547</t>
  </si>
  <si>
    <t>1743009</t>
  </si>
  <si>
    <t>Proteau, Cédrick</t>
  </si>
  <si>
    <t>Proteau</t>
  </si>
  <si>
    <t>Cédrick</t>
  </si>
  <si>
    <t>Charbonneau-Dallaire</t>
  </si>
  <si>
    <t>514 926-0947</t>
  </si>
  <si>
    <t>1644035</t>
  </si>
  <si>
    <t>Lachaine, Julie</t>
  </si>
  <si>
    <t>Jackmino</t>
  </si>
  <si>
    <t>514 953-4756</t>
  </si>
  <si>
    <t>1830588</t>
  </si>
  <si>
    <t>Durand, Mary-Lee</t>
  </si>
  <si>
    <t>Durand</t>
  </si>
  <si>
    <t>Marchand</t>
  </si>
  <si>
    <t>J5J2X4</t>
  </si>
  <si>
    <t>514 515-2836</t>
  </si>
  <si>
    <t>1643269</t>
  </si>
  <si>
    <t>Onoro, Elena Cristina</t>
  </si>
  <si>
    <t>Onoro</t>
  </si>
  <si>
    <t>Elena Cristina</t>
  </si>
  <si>
    <t>De Grâce</t>
  </si>
  <si>
    <t>514 692-1580</t>
  </si>
  <si>
    <t>1838452</t>
  </si>
  <si>
    <t>Léveillé</t>
  </si>
  <si>
    <t>J5J2R5</t>
  </si>
  <si>
    <t>514 553-6233</t>
  </si>
  <si>
    <t>1754397</t>
  </si>
  <si>
    <t>514 963-3214</t>
  </si>
  <si>
    <t>1124876</t>
  </si>
  <si>
    <t>Lanoie, Jessica</t>
  </si>
  <si>
    <t>Lanoie</t>
  </si>
  <si>
    <t>Grondin</t>
  </si>
  <si>
    <t>J5K1K7</t>
  </si>
  <si>
    <t>514 358-3732</t>
  </si>
  <si>
    <t>0672474</t>
  </si>
  <si>
    <t>Lacroix-Francoeur, Jude Martial</t>
  </si>
  <si>
    <t>Lacroix-Francoeur</t>
  </si>
  <si>
    <t>Jude Martial</t>
  </si>
  <si>
    <t>514 802-7400</t>
  </si>
  <si>
    <t>1981032</t>
  </si>
  <si>
    <t>Najd</t>
  </si>
  <si>
    <t>J5J1B6</t>
  </si>
  <si>
    <t>514 607-4239</t>
  </si>
  <si>
    <t>1958477</t>
  </si>
  <si>
    <t>Thériault, Andréa</t>
  </si>
  <si>
    <t>Andréa</t>
  </si>
  <si>
    <t>514 778-4837</t>
  </si>
  <si>
    <t>1980570</t>
  </si>
  <si>
    <t>Roseberry, Benjamin</t>
  </si>
  <si>
    <t>Roseberry</t>
  </si>
  <si>
    <t>Rosalye</t>
  </si>
  <si>
    <t>514 834-6483</t>
  </si>
  <si>
    <t>1461807</t>
  </si>
  <si>
    <t>514 557-8301</t>
  </si>
  <si>
    <t>0852430</t>
  </si>
  <si>
    <t>Dupont-Hébert</t>
  </si>
  <si>
    <t>Maxim</t>
  </si>
  <si>
    <t>J5K1W1</t>
  </si>
  <si>
    <t>514 294-5247</t>
  </si>
  <si>
    <t>1709774</t>
  </si>
  <si>
    <t>Côté, Noémi</t>
  </si>
  <si>
    <t>Noémi</t>
  </si>
  <si>
    <t>514 217-9378</t>
  </si>
  <si>
    <t>Sciences humaines et Arts visuels</t>
  </si>
  <si>
    <t>1772552</t>
  </si>
  <si>
    <t>Crassoski, Neno</t>
  </si>
  <si>
    <t>Crassoski</t>
  </si>
  <si>
    <t>Neno</t>
  </si>
  <si>
    <t>Patry</t>
  </si>
  <si>
    <t>514 966-9811</t>
  </si>
  <si>
    <t>1763147</t>
  </si>
  <si>
    <t>Cyr, Naomie</t>
  </si>
  <si>
    <t>Paquin-Pellerin</t>
  </si>
  <si>
    <t>579 368-1299</t>
  </si>
  <si>
    <t>1937989</t>
  </si>
  <si>
    <t>Côté, Noé</t>
  </si>
  <si>
    <t>Noé</t>
  </si>
  <si>
    <t>J5J2Y2</t>
  </si>
  <si>
    <t>514 506-5626</t>
  </si>
  <si>
    <t>1960584</t>
  </si>
  <si>
    <t>Cecere, Rébecca</t>
  </si>
  <si>
    <t>Cecere</t>
  </si>
  <si>
    <t>Ravary</t>
  </si>
  <si>
    <t>450 979-4489</t>
  </si>
  <si>
    <t>1435862</t>
  </si>
  <si>
    <t>Gingras, Liam</t>
  </si>
  <si>
    <t>Liam</t>
  </si>
  <si>
    <t>Lavergne-Gagnon</t>
  </si>
  <si>
    <t>514 647-5015</t>
  </si>
  <si>
    <t>0057051</t>
  </si>
  <si>
    <t>Genois-Dubreuil, Louis</t>
  </si>
  <si>
    <t>Genois-Dubreuil</t>
  </si>
  <si>
    <t>Le Brun</t>
  </si>
  <si>
    <t>J5K0B2</t>
  </si>
  <si>
    <t>514 475-2803</t>
  </si>
  <si>
    <t>1969085</t>
  </si>
  <si>
    <t>514 560-7977</t>
  </si>
  <si>
    <t>1943134</t>
  </si>
  <si>
    <t>Ouimet, Djamel</t>
  </si>
  <si>
    <t>Djamel</t>
  </si>
  <si>
    <t>Danis</t>
  </si>
  <si>
    <t>J5K2L5</t>
  </si>
  <si>
    <t>514 240-9824</t>
  </si>
  <si>
    <t>1823922</t>
  </si>
  <si>
    <t>Sharomova, Ariane</t>
  </si>
  <si>
    <t>Sharomova</t>
  </si>
  <si>
    <t>Boissonneault-Goessens</t>
  </si>
  <si>
    <t>514 518-4837</t>
  </si>
  <si>
    <t>1735618</t>
  </si>
  <si>
    <t>Guilbault</t>
  </si>
  <si>
    <t>Méridith</t>
  </si>
  <si>
    <t>J5J2N5</t>
  </si>
  <si>
    <t>514 554-1717</t>
  </si>
  <si>
    <t>1955961</t>
  </si>
  <si>
    <t>Arruda, Xavier</t>
  </si>
  <si>
    <t>Arruda</t>
  </si>
  <si>
    <t>J5K1E3</t>
  </si>
  <si>
    <t>514 436-5499</t>
  </si>
  <si>
    <t>6129405</t>
  </si>
  <si>
    <t>Benchabla, Thomas</t>
  </si>
  <si>
    <t>Benchabla</t>
  </si>
  <si>
    <t>514 794-2405</t>
  </si>
  <si>
    <t>1842074</t>
  </si>
  <si>
    <t>Robertson Lenfesty, Brieuc</t>
  </si>
  <si>
    <t>Robertson Lenfesty</t>
  </si>
  <si>
    <t>Brieuc</t>
  </si>
  <si>
    <t>514 249-1886</t>
  </si>
  <si>
    <t>1951407</t>
  </si>
  <si>
    <t>Ntakaburimvo, Éliane</t>
  </si>
  <si>
    <t>Ntakaburimvo</t>
  </si>
  <si>
    <t>Éliane</t>
  </si>
  <si>
    <t>De Silva-Medeiros</t>
  </si>
  <si>
    <t>514 973-0801</t>
  </si>
  <si>
    <t>1577999</t>
  </si>
  <si>
    <t>Rémi-Francis</t>
  </si>
  <si>
    <t>514 826-6121</t>
  </si>
  <si>
    <t>1571936</t>
  </si>
  <si>
    <t>Turenne, Alexis</t>
  </si>
  <si>
    <t>Turenne</t>
  </si>
  <si>
    <t>Banos</t>
  </si>
  <si>
    <t>514 699-4625</t>
  </si>
  <si>
    <t>0865186</t>
  </si>
  <si>
    <t>Valence, Alexane</t>
  </si>
  <si>
    <t>Valence</t>
  </si>
  <si>
    <t>Aubry-Wingfield</t>
  </si>
  <si>
    <t>514 953-6244</t>
  </si>
  <si>
    <t>1963712</t>
  </si>
  <si>
    <t>Martineau, Fannie</t>
  </si>
  <si>
    <t>Dugré</t>
  </si>
  <si>
    <t>514 805-9069</t>
  </si>
  <si>
    <t>1855007</t>
  </si>
  <si>
    <t>Campeau, Sabriel</t>
  </si>
  <si>
    <t>Campeau</t>
  </si>
  <si>
    <t>Sabriel</t>
  </si>
  <si>
    <t>J5J1J8</t>
  </si>
  <si>
    <t>514 601-6262</t>
  </si>
  <si>
    <t>1728137</t>
  </si>
  <si>
    <t>Fex-Ager, Marie-Pierre</t>
  </si>
  <si>
    <t>Marie-Pierre</t>
  </si>
  <si>
    <t>514 290-7977</t>
  </si>
  <si>
    <t>6112048</t>
  </si>
  <si>
    <t>Jourdain, Karol-Ane</t>
  </si>
  <si>
    <t>Jourdain</t>
  </si>
  <si>
    <t>Karol-Ane</t>
  </si>
  <si>
    <t>J5L0H5</t>
  </si>
  <si>
    <t>450 979-0437</t>
  </si>
  <si>
    <t>1821628</t>
  </si>
  <si>
    <t>Lambert, Jessyka</t>
  </si>
  <si>
    <t>Jessyka</t>
  </si>
  <si>
    <t>Sabie</t>
  </si>
  <si>
    <t>514 880-0390</t>
  </si>
  <si>
    <t>1772311</t>
  </si>
  <si>
    <t>Poirier, Charles-Olivier</t>
  </si>
  <si>
    <t>Charles-Olivier</t>
  </si>
  <si>
    <t>J0T2P0</t>
  </si>
  <si>
    <t>514 691-2822</t>
  </si>
  <si>
    <t>1924582</t>
  </si>
  <si>
    <t>Mirna</t>
  </si>
  <si>
    <t>J5J1V1</t>
  </si>
  <si>
    <t>514 581-5332</t>
  </si>
  <si>
    <t>1785939</t>
  </si>
  <si>
    <t>Leboeuf, Jade</t>
  </si>
  <si>
    <t>Leboeuf</t>
  </si>
  <si>
    <t>514 836-0579</t>
  </si>
  <si>
    <t>1929876</t>
  </si>
  <si>
    <t>Cinq-Mars, Olivier</t>
  </si>
  <si>
    <t>Cinq-Mars</t>
  </si>
  <si>
    <t>J5K1A3</t>
  </si>
  <si>
    <t>514 452-1887</t>
  </si>
  <si>
    <t>1835526</t>
  </si>
  <si>
    <t>Cataford, Richard Wayne</t>
  </si>
  <si>
    <t>Cataford</t>
  </si>
  <si>
    <t>Richard Wayne</t>
  </si>
  <si>
    <t>Mikaëlle</t>
  </si>
  <si>
    <t>J5J1X9</t>
  </si>
  <si>
    <t>514 577-4519</t>
  </si>
  <si>
    <t>1943897</t>
  </si>
  <si>
    <t>514 587-8772</t>
  </si>
  <si>
    <t>1838177</t>
  </si>
  <si>
    <t>Hamel-Dangléant, Lauranne</t>
  </si>
  <si>
    <t>Hamel-Dangléant</t>
  </si>
  <si>
    <t>Lauranne</t>
  </si>
  <si>
    <t>514 966-5559</t>
  </si>
  <si>
    <t>1633130</t>
  </si>
  <si>
    <t>Ethier, Marilou</t>
  </si>
  <si>
    <t>Major</t>
  </si>
  <si>
    <t>514 755-9398</t>
  </si>
  <si>
    <t>1953477</t>
  </si>
  <si>
    <t>Bourgoin, Sara</t>
  </si>
  <si>
    <t>Bourgoin</t>
  </si>
  <si>
    <t>Ruszkaï-Marcotte</t>
  </si>
  <si>
    <t>514 887-1525</t>
  </si>
  <si>
    <t>1625418</t>
  </si>
  <si>
    <t>Bertrand, Steven</t>
  </si>
  <si>
    <t>St-Louis</t>
  </si>
  <si>
    <t>J5K1B7</t>
  </si>
  <si>
    <t>514 443-5376</t>
  </si>
  <si>
    <t>1856181</t>
  </si>
  <si>
    <t>Plante-Balthazard, Charlie</t>
  </si>
  <si>
    <t>Plante-Balthazard</t>
  </si>
  <si>
    <t>Choquette-Lapointe</t>
  </si>
  <si>
    <t>514 706-5341</t>
  </si>
  <si>
    <t>1979792</t>
  </si>
  <si>
    <t xml:space="preserve">Perreault, Cora </t>
  </si>
  <si>
    <t xml:space="preserve">Cora </t>
  </si>
  <si>
    <t>J5K1J9</t>
  </si>
  <si>
    <t>514 377-2998</t>
  </si>
  <si>
    <t>1736438</t>
  </si>
  <si>
    <t>Pelletier, Coraly</t>
  </si>
  <si>
    <t>Coraly</t>
  </si>
  <si>
    <t>514 502-3114</t>
  </si>
  <si>
    <t>1859624</t>
  </si>
  <si>
    <t>J5L0H3</t>
  </si>
  <si>
    <t>450 979-1331</t>
  </si>
  <si>
    <t>1733243</t>
  </si>
  <si>
    <t>Carreno Pineda, Rosalie</t>
  </si>
  <si>
    <t>Matthew</t>
  </si>
  <si>
    <t>J5K2H4</t>
  </si>
  <si>
    <t>514 247-8774</t>
  </si>
  <si>
    <t>1848680</t>
  </si>
  <si>
    <t>Fraser</t>
  </si>
  <si>
    <t>514 594-9632</t>
  </si>
  <si>
    <t>1938852</t>
  </si>
  <si>
    <t>Lessard-Plouffe, Gabrielle</t>
  </si>
  <si>
    <t>Lessard-Plouffe</t>
  </si>
  <si>
    <t>514 915-8224</t>
  </si>
  <si>
    <t>1938467</t>
  </si>
  <si>
    <t>Kouri</t>
  </si>
  <si>
    <t>J5J1H6</t>
  </si>
  <si>
    <t>514 603-0445</t>
  </si>
  <si>
    <t>1343815</t>
  </si>
  <si>
    <t>Mayville</t>
  </si>
  <si>
    <t>514 557-4449</t>
  </si>
  <si>
    <t>1756945</t>
  </si>
  <si>
    <t>J5K2W2</t>
  </si>
  <si>
    <t>514 216-4330</t>
  </si>
  <si>
    <t>1947456</t>
  </si>
  <si>
    <t>Ophélie</t>
  </si>
  <si>
    <t>J0T1V0</t>
  </si>
  <si>
    <t>514 742-3462</t>
  </si>
  <si>
    <t>1871462</t>
  </si>
  <si>
    <t>Maheux, Frederick</t>
  </si>
  <si>
    <t>Frederick</t>
  </si>
  <si>
    <t>Festekjian</t>
  </si>
  <si>
    <t>J5J0J3</t>
  </si>
  <si>
    <t>514 618-6258</t>
  </si>
  <si>
    <t>1929188</t>
  </si>
  <si>
    <t>Lauzon, Jean-Samuel</t>
  </si>
  <si>
    <t>Jean-Samuel</t>
  </si>
  <si>
    <t>514 238-9365</t>
  </si>
  <si>
    <t>1635422</t>
  </si>
  <si>
    <t>Perrier, Clersh</t>
  </si>
  <si>
    <t>Perrier</t>
  </si>
  <si>
    <t>Clersh</t>
  </si>
  <si>
    <t>514 970-7940</t>
  </si>
  <si>
    <t>0781316</t>
  </si>
  <si>
    <t>Bastien-Ducharme, Vincent</t>
  </si>
  <si>
    <t>Bastien-Ducharme</t>
  </si>
  <si>
    <t>J5K0H7</t>
  </si>
  <si>
    <t>514 462-4616</t>
  </si>
  <si>
    <t>1838537</t>
  </si>
  <si>
    <t>Fortin, Marie-Anne</t>
  </si>
  <si>
    <t>Marie-Anne</t>
  </si>
  <si>
    <t>514 914-1375</t>
  </si>
  <si>
    <t>1842513</t>
  </si>
  <si>
    <t>Sylvestre-Cyprien, Anne Valerie Jessica</t>
  </si>
  <si>
    <t>Anne Valerie Jessica</t>
  </si>
  <si>
    <t>Millie</t>
  </si>
  <si>
    <t>J5J1W8</t>
  </si>
  <si>
    <t>514 578-2386</t>
  </si>
  <si>
    <t>1933608</t>
  </si>
  <si>
    <t>Milot, Émilie</t>
  </si>
  <si>
    <t>Milot</t>
  </si>
  <si>
    <t>514 947-7442</t>
  </si>
  <si>
    <t>1870931</t>
  </si>
  <si>
    <t>Naomi Luabeya</t>
  </si>
  <si>
    <t>J5J0N1</t>
  </si>
  <si>
    <t>514 609-4514</t>
  </si>
  <si>
    <t>1510869</t>
  </si>
  <si>
    <t>514 778-5086</t>
  </si>
  <si>
    <t>1976264</t>
  </si>
  <si>
    <t>Samuel, Audrey</t>
  </si>
  <si>
    <t>Boulet</t>
  </si>
  <si>
    <t>J5J2M3</t>
  </si>
  <si>
    <t>514 559-7122</t>
  </si>
  <si>
    <t>0866334</t>
  </si>
  <si>
    <t>Lajoie, Joey</t>
  </si>
  <si>
    <t>514 971-7183</t>
  </si>
  <si>
    <t>1635106</t>
  </si>
  <si>
    <t>Latour, Jenny</t>
  </si>
  <si>
    <t>Jenny</t>
  </si>
  <si>
    <t>Gohier</t>
  </si>
  <si>
    <t>Mariève</t>
  </si>
  <si>
    <t>1934373</t>
  </si>
  <si>
    <t>Levert</t>
  </si>
  <si>
    <t>514 812-4091</t>
  </si>
  <si>
    <t>1834270</t>
  </si>
  <si>
    <t>Labossière, Julie-Pier</t>
  </si>
  <si>
    <t>Labossière</t>
  </si>
  <si>
    <t>Julie-Pier</t>
  </si>
  <si>
    <t>514 929-4788</t>
  </si>
  <si>
    <t>1529298</t>
  </si>
  <si>
    <t>Cherubin, Pamela</t>
  </si>
  <si>
    <t>Cherubin</t>
  </si>
  <si>
    <t>Plourde</t>
  </si>
  <si>
    <t>Shana</t>
  </si>
  <si>
    <t>514 975-2733</t>
  </si>
  <si>
    <t>1626062</t>
  </si>
  <si>
    <t>Gariepy, Magalie</t>
  </si>
  <si>
    <t>J5K0G1</t>
  </si>
  <si>
    <t>514 464-4780</t>
  </si>
  <si>
    <t>1532488</t>
  </si>
  <si>
    <t>Tristani-Charbonneau</t>
  </si>
  <si>
    <t>J0T1B0</t>
  </si>
  <si>
    <t>514 778-1898</t>
  </si>
  <si>
    <t>1864427</t>
  </si>
  <si>
    <t>Hardy, Laura</t>
  </si>
  <si>
    <t>Hardy</t>
  </si>
  <si>
    <t>Laura</t>
  </si>
  <si>
    <t>514 714-8495</t>
  </si>
  <si>
    <t>1931698</t>
  </si>
  <si>
    <t>Mazariego, Etienne</t>
  </si>
  <si>
    <t>Mazariego</t>
  </si>
  <si>
    <t>J5K2B4</t>
  </si>
  <si>
    <t>514 264-6445</t>
  </si>
  <si>
    <t>1820107</t>
  </si>
  <si>
    <t>Beaucage, Vincent</t>
  </si>
  <si>
    <t>Beaucage</t>
  </si>
  <si>
    <t>Trottier</t>
  </si>
  <si>
    <t>514 432-9665</t>
  </si>
  <si>
    <t>1944547</t>
  </si>
  <si>
    <t>Bouras, Sarah</t>
  </si>
  <si>
    <t>Bouras</t>
  </si>
  <si>
    <t>Saint Luc</t>
  </si>
  <si>
    <t>Maxime Charbonneau</t>
  </si>
  <si>
    <t>514 377-6419</t>
  </si>
  <si>
    <t>1930967</t>
  </si>
  <si>
    <t>Gauthier Fréchette, Lucas</t>
  </si>
  <si>
    <t>Lucas</t>
  </si>
  <si>
    <t>Nadège</t>
  </si>
  <si>
    <t>J5J1E6</t>
  </si>
  <si>
    <t>514 604-7012</t>
  </si>
  <si>
    <t>1881069</t>
  </si>
  <si>
    <t>Vosburg-Houle, Alessia</t>
  </si>
  <si>
    <t>Alessia</t>
  </si>
  <si>
    <t>514 961-9356</t>
  </si>
  <si>
    <t>1839614</t>
  </si>
  <si>
    <t>Cofsky, Olivier</t>
  </si>
  <si>
    <t>Cofsky</t>
  </si>
  <si>
    <t>J5K1V8</t>
  </si>
  <si>
    <t>514 296-6266</t>
  </si>
  <si>
    <t>1948009</t>
  </si>
  <si>
    <t>Cherhal, Pamela</t>
  </si>
  <si>
    <t>Cherhal</t>
  </si>
  <si>
    <t>514 923-1203</t>
  </si>
  <si>
    <t>1869635</t>
  </si>
  <si>
    <t>Sarah-Maude</t>
  </si>
  <si>
    <t>J0R1B1</t>
  </si>
  <si>
    <t>514 969-9322</t>
  </si>
  <si>
    <t>1636951</t>
  </si>
  <si>
    <t>Charlebois, Peter</t>
  </si>
  <si>
    <t>Peter</t>
  </si>
  <si>
    <t>J5K1Y6</t>
  </si>
  <si>
    <t>514 293-2439</t>
  </si>
  <si>
    <t>1947665</t>
  </si>
  <si>
    <t>Lanthier, Jessica</t>
  </si>
  <si>
    <t>Meere</t>
  </si>
  <si>
    <t>J5K1E7</t>
  </si>
  <si>
    <t>514 431-0537</t>
  </si>
  <si>
    <t>1826919</t>
  </si>
  <si>
    <t>Ross, Benjamin</t>
  </si>
  <si>
    <t>Ross</t>
  </si>
  <si>
    <t>Brien-Roy</t>
  </si>
  <si>
    <t>514 431-3304</t>
  </si>
  <si>
    <t>1930711</t>
  </si>
  <si>
    <t>Dallaire, Munyerenkana</t>
  </si>
  <si>
    <t>Dallaire</t>
  </si>
  <si>
    <t>Munyerenkana</t>
  </si>
  <si>
    <t>514 352-9144</t>
  </si>
  <si>
    <t>1749940</t>
  </si>
  <si>
    <t>Duran, Marylie</t>
  </si>
  <si>
    <t>Duran</t>
  </si>
  <si>
    <t>Marchante-Escobedo</t>
  </si>
  <si>
    <t>Raphaële</t>
  </si>
  <si>
    <t>514 815-2108</t>
  </si>
  <si>
    <t>1972318</t>
  </si>
  <si>
    <t>Loiselle, Gabriel</t>
  </si>
  <si>
    <t>Loiselle</t>
  </si>
  <si>
    <t>Sean</t>
  </si>
  <si>
    <t>514 971-1460</t>
  </si>
  <si>
    <t>9049331</t>
  </si>
  <si>
    <t>Bergeron, Thibault</t>
  </si>
  <si>
    <t>Tackoor</t>
  </si>
  <si>
    <t>514 929-9940</t>
  </si>
  <si>
    <t>1843785</t>
  </si>
  <si>
    <t>Arbi, Xzandro</t>
  </si>
  <si>
    <t>514 833-8375</t>
  </si>
  <si>
    <t>1826716</t>
  </si>
  <si>
    <t>Beauchesne, Vincent</t>
  </si>
  <si>
    <t>Beauchesne</t>
  </si>
  <si>
    <t>Tremblay-Falardeau</t>
  </si>
  <si>
    <t>514 808-4438</t>
  </si>
  <si>
    <t>1461339</t>
  </si>
  <si>
    <t>Rocray, Bianca</t>
  </si>
  <si>
    <t>Rocray</t>
  </si>
  <si>
    <t>Brossard</t>
  </si>
  <si>
    <t>J5J2G9</t>
  </si>
  <si>
    <t>514 572-2489</t>
  </si>
  <si>
    <t>1934988</t>
  </si>
  <si>
    <t>Dallaire, Mukarubibi-Karolyne</t>
  </si>
  <si>
    <t>Mukarubibi-Karolyne</t>
  </si>
  <si>
    <t>514 730-5711</t>
  </si>
  <si>
    <t>1744046</t>
  </si>
  <si>
    <t>514 690-7486</t>
  </si>
  <si>
    <t>1826123</t>
  </si>
  <si>
    <t>Davidson, Mikaël</t>
  </si>
  <si>
    <t>Scheulla</t>
  </si>
  <si>
    <t>514 971-0435</t>
  </si>
  <si>
    <t>1779286</t>
  </si>
  <si>
    <t>Komto Mbang, Justine</t>
  </si>
  <si>
    <t>Meldred</t>
  </si>
  <si>
    <t>514 475-8358</t>
  </si>
  <si>
    <t>1724279</t>
  </si>
  <si>
    <t>J5K1Y8</t>
  </si>
  <si>
    <t>514 293-0651</t>
  </si>
  <si>
    <t>1848302</t>
  </si>
  <si>
    <t>514 915-6108</t>
  </si>
  <si>
    <t>1749352</t>
  </si>
  <si>
    <t>Umana, Alexis</t>
  </si>
  <si>
    <t>Umana</t>
  </si>
  <si>
    <t>Bachelili</t>
  </si>
  <si>
    <t>J5K0C8</t>
  </si>
  <si>
    <t>514 466-2970</t>
  </si>
  <si>
    <t>1587668</t>
  </si>
  <si>
    <t>Léonard, Gessa Kerngie</t>
  </si>
  <si>
    <t>Gessa Kerngie</t>
  </si>
  <si>
    <t>Frojan-L'Heureux</t>
  </si>
  <si>
    <t>Nabil</t>
  </si>
  <si>
    <t>J5J1H1</t>
  </si>
  <si>
    <t>514 604-6138</t>
  </si>
  <si>
    <t>1325262</t>
  </si>
  <si>
    <t>Martineau-Lapierre, Fannie</t>
  </si>
  <si>
    <t>J5J1P5</t>
  </si>
  <si>
    <t>514 589-5925</t>
  </si>
  <si>
    <t>1776426</t>
  </si>
  <si>
    <t>J5J0J5</t>
  </si>
  <si>
    <t>514 618-2768</t>
  </si>
  <si>
    <t>1664506</t>
  </si>
  <si>
    <t>Aoudé, Yaël</t>
  </si>
  <si>
    <t>Aoudé</t>
  </si>
  <si>
    <t>Viau</t>
  </si>
  <si>
    <t>514 969-4180</t>
  </si>
  <si>
    <t>1853578</t>
  </si>
  <si>
    <t>Zver, Abbas</t>
  </si>
  <si>
    <t>Zver</t>
  </si>
  <si>
    <t>Abbas</t>
  </si>
  <si>
    <t>Abdallah</t>
  </si>
  <si>
    <t>514 776-6425</t>
  </si>
  <si>
    <t>1893891</t>
  </si>
  <si>
    <t>Poirier, Charles</t>
  </si>
  <si>
    <t>514 922-0834</t>
  </si>
  <si>
    <t>1929418</t>
  </si>
  <si>
    <t>Pierre-Luc</t>
  </si>
  <si>
    <t>514 794-1404</t>
  </si>
  <si>
    <t>1871061</t>
  </si>
  <si>
    <t>Ouellette, Dominique</t>
  </si>
  <si>
    <t>Dominique</t>
  </si>
  <si>
    <t>J0V1W0</t>
  </si>
  <si>
    <t>514 652-6683</t>
  </si>
  <si>
    <t>1527332</t>
  </si>
  <si>
    <t>Leblond, Jade</t>
  </si>
  <si>
    <t>514 824-3502</t>
  </si>
  <si>
    <t>1683284</t>
  </si>
  <si>
    <t>514 995-5502</t>
  </si>
  <si>
    <t>1848124</t>
  </si>
  <si>
    <t>Vital</t>
  </si>
  <si>
    <t>514 619-8997</t>
  </si>
  <si>
    <t>1605325</t>
  </si>
  <si>
    <t>Garavito Basante</t>
  </si>
  <si>
    <t>514 880-2561</t>
  </si>
  <si>
    <t>1829285</t>
  </si>
  <si>
    <t>Colard</t>
  </si>
  <si>
    <t>514 409-7262</t>
  </si>
  <si>
    <t>1924536</t>
  </si>
  <si>
    <t>J5J2M1</t>
  </si>
  <si>
    <t>514 561-3803</t>
  </si>
  <si>
    <t>1675341</t>
  </si>
  <si>
    <t>Cormier, Noémie</t>
  </si>
  <si>
    <t>Pételle</t>
  </si>
  <si>
    <t>579 368-1172</t>
  </si>
  <si>
    <t>1810578</t>
  </si>
  <si>
    <t>Gariépy, Magali</t>
  </si>
  <si>
    <t>Magali</t>
  </si>
  <si>
    <t>Shanie</t>
  </si>
  <si>
    <t>514 977-3542</t>
  </si>
  <si>
    <t>6127300</t>
  </si>
  <si>
    <t>Smith</t>
  </si>
  <si>
    <t>J5K1R4</t>
  </si>
  <si>
    <t>514 347-1232</t>
  </si>
  <si>
    <t>1888896</t>
  </si>
  <si>
    <t>Savard-Nantel, Audréanne</t>
  </si>
  <si>
    <t>Audréanne</t>
  </si>
  <si>
    <t>514 249-5959</t>
  </si>
  <si>
    <t>9156950</t>
  </si>
  <si>
    <t>Arbic</t>
  </si>
  <si>
    <t>J5K1M7</t>
  </si>
  <si>
    <t>514 349-0751</t>
  </si>
  <si>
    <t>1889538</t>
  </si>
  <si>
    <t>Chamberland, Raphaël</t>
  </si>
  <si>
    <t>514 755-9112</t>
  </si>
  <si>
    <t>1749807</t>
  </si>
  <si>
    <t>Girard, Léia</t>
  </si>
  <si>
    <t>Léia</t>
  </si>
  <si>
    <t>514 703-1014</t>
  </si>
  <si>
    <t>1192095</t>
  </si>
  <si>
    <t>Gilbert, Line</t>
  </si>
  <si>
    <t>Line</t>
  </si>
  <si>
    <t>514 886-7331</t>
  </si>
  <si>
    <t>1718096</t>
  </si>
  <si>
    <t>Deslauriers, Megane</t>
  </si>
  <si>
    <t>Deslauriers</t>
  </si>
  <si>
    <t>514 946-8172</t>
  </si>
  <si>
    <t>0930220</t>
  </si>
  <si>
    <t>Nycola</t>
  </si>
  <si>
    <t>514 702-7105</t>
  </si>
  <si>
    <t>0856928</t>
  </si>
  <si>
    <t>Fauteux, Marilou</t>
  </si>
  <si>
    <t>Fauteux</t>
  </si>
  <si>
    <t>514 947-1347</t>
  </si>
  <si>
    <t>1409085</t>
  </si>
  <si>
    <t>Franch, Marianne</t>
  </si>
  <si>
    <t>Franch</t>
  </si>
  <si>
    <t>L'Espérance-Joyal</t>
  </si>
  <si>
    <t>Roger Stevin</t>
  </si>
  <si>
    <t>514 830-6084</t>
  </si>
  <si>
    <t>1542316</t>
  </si>
  <si>
    <t>Tessier, Angela</t>
  </si>
  <si>
    <t>Angela</t>
  </si>
  <si>
    <t>514 758-1767</t>
  </si>
  <si>
    <t>1290590</t>
  </si>
  <si>
    <t>Tremblay-Tétreault</t>
  </si>
  <si>
    <t>514 649-6344</t>
  </si>
  <si>
    <t>0756935</t>
  </si>
  <si>
    <t>514 824-2774</t>
  </si>
  <si>
    <t>1672250</t>
  </si>
  <si>
    <t>Chenail, Pascal</t>
  </si>
  <si>
    <t>Chenail</t>
  </si>
  <si>
    <t>Pascal</t>
  </si>
  <si>
    <t>J5K2K9</t>
  </si>
  <si>
    <t>514 242-2462</t>
  </si>
  <si>
    <t>1358040</t>
  </si>
  <si>
    <t>Ahern, Zak</t>
  </si>
  <si>
    <t>Miguel</t>
  </si>
  <si>
    <t>J5J2H8</t>
  </si>
  <si>
    <t>514 570-5609</t>
  </si>
  <si>
    <t>1852203</t>
  </si>
  <si>
    <t>Bérubé, Stéphanie</t>
  </si>
  <si>
    <t>J5J2Y3</t>
  </si>
  <si>
    <t>514 506-4458</t>
  </si>
  <si>
    <t>1854729</t>
  </si>
  <si>
    <t>514 778-8561</t>
  </si>
  <si>
    <t>1837869</t>
  </si>
  <si>
    <t>Pruneau, Catherine</t>
  </si>
  <si>
    <t>Pruneau</t>
  </si>
  <si>
    <t>Champoux</t>
  </si>
  <si>
    <t>514 823-0643</t>
  </si>
  <si>
    <t>1837871</t>
  </si>
  <si>
    <t>Radwan, Catherine</t>
  </si>
  <si>
    <t>Radwan</t>
  </si>
  <si>
    <t>Chainé</t>
  </si>
  <si>
    <t>450 963-7168</t>
  </si>
  <si>
    <t>1640049</t>
  </si>
  <si>
    <t>Agsous, Zakaria</t>
  </si>
  <si>
    <t>Agsous</t>
  </si>
  <si>
    <t>Wilson-Ouellet</t>
  </si>
  <si>
    <t>J5J2H7</t>
  </si>
  <si>
    <t>514 571-6792</t>
  </si>
  <si>
    <t>1834907</t>
  </si>
  <si>
    <t>Rami</t>
  </si>
  <si>
    <t>514 805-2924</t>
  </si>
  <si>
    <t>1703476</t>
  </si>
  <si>
    <t>Menasria, Emmanuelle</t>
  </si>
  <si>
    <t>514 907-6203</t>
  </si>
  <si>
    <t>0048871</t>
  </si>
  <si>
    <t>Hurteau, Kelly-Anne</t>
  </si>
  <si>
    <t>Hurteau</t>
  </si>
  <si>
    <t>514 431-8159</t>
  </si>
  <si>
    <t>1955944</t>
  </si>
  <si>
    <t>Mercier, Emmanuelle</t>
  </si>
  <si>
    <t>514 926-1116</t>
  </si>
  <si>
    <t>1064879</t>
  </si>
  <si>
    <t>Levert, Gabrielle</t>
  </si>
  <si>
    <t>Savanna</t>
  </si>
  <si>
    <t>514 970-9075</t>
  </si>
  <si>
    <t>1329757</t>
  </si>
  <si>
    <t>Charbonneau, Pier-Luc</t>
  </si>
  <si>
    <t>Pier-Luc</t>
  </si>
  <si>
    <t>514 641-8617</t>
  </si>
  <si>
    <t>1746179</t>
  </si>
  <si>
    <t>514 267-7388</t>
  </si>
  <si>
    <t>9200597</t>
  </si>
  <si>
    <t>Galarneau Rodrigue, Malorie</t>
  </si>
  <si>
    <t>Galarneau Rodrigue</t>
  </si>
  <si>
    <t>Malorie</t>
  </si>
  <si>
    <t>514 295-8745</t>
  </si>
  <si>
    <t>1347217</t>
  </si>
  <si>
    <t>Lett, Gabrielle</t>
  </si>
  <si>
    <t>Lett</t>
  </si>
  <si>
    <t>514 629-6563</t>
  </si>
  <si>
    <t>1822944</t>
  </si>
  <si>
    <t>Taillon, Anna-Zakarina</t>
  </si>
  <si>
    <t>Anna-Zakarina</t>
  </si>
  <si>
    <t>J5J1G6</t>
  </si>
  <si>
    <t>514 604-6898</t>
  </si>
  <si>
    <t>1855084</t>
  </si>
  <si>
    <t>Leung, Gabrielle</t>
  </si>
  <si>
    <t>Leung</t>
  </si>
  <si>
    <t>J5L0J9</t>
  </si>
  <si>
    <t>450 974-3261</t>
  </si>
  <si>
    <t>1750548</t>
  </si>
  <si>
    <t>Gonzalez Garcia, Léa</t>
  </si>
  <si>
    <t>Gonzalez Garcia</t>
  </si>
  <si>
    <t>Larrivée</t>
  </si>
  <si>
    <t>514 978-9223</t>
  </si>
  <si>
    <t>1642228</t>
  </si>
  <si>
    <t>Talii, Annabelle</t>
  </si>
  <si>
    <t>Annabelle</t>
  </si>
  <si>
    <t>J0Y2A0</t>
  </si>
  <si>
    <t>514 627-4653</t>
  </si>
  <si>
    <t>1841098</t>
  </si>
  <si>
    <t>Bourré, Sandrine</t>
  </si>
  <si>
    <t>Bourré</t>
  </si>
  <si>
    <t>Roy-Couillard</t>
  </si>
  <si>
    <t>J0T1J0</t>
  </si>
  <si>
    <t>514 776-9413</t>
  </si>
  <si>
    <t>1945443</t>
  </si>
  <si>
    <t>Poirier, Charles Antoine</t>
  </si>
  <si>
    <t>Charles Antoine</t>
  </si>
  <si>
    <t>Mina</t>
  </si>
  <si>
    <t>J5J1W1</t>
  </si>
  <si>
    <t>514 578-4129</t>
  </si>
  <si>
    <t>1869276</t>
  </si>
  <si>
    <t>Rémy, Caroline</t>
  </si>
  <si>
    <t>514 835-0975</t>
  </si>
  <si>
    <t>1022528</t>
  </si>
  <si>
    <t>514 833-0486</t>
  </si>
  <si>
    <t>1320931</t>
  </si>
  <si>
    <t>Brunelle, Samuel</t>
  </si>
  <si>
    <t>514 742-3474</t>
  </si>
  <si>
    <t>1575373</t>
  </si>
  <si>
    <t>Mathieu, Evelyne</t>
  </si>
  <si>
    <t>Evelyne</t>
  </si>
  <si>
    <t>514 915-3181</t>
  </si>
  <si>
    <t>1938063</t>
  </si>
  <si>
    <t>J5L0K4</t>
  </si>
  <si>
    <t>450 974-2540</t>
  </si>
  <si>
    <t>1830792</t>
  </si>
  <si>
    <t>Duplantie, Mathieu</t>
  </si>
  <si>
    <t>Duplantie</t>
  </si>
  <si>
    <t>Marentette</t>
  </si>
  <si>
    <t>514 708-3364</t>
  </si>
  <si>
    <t>1828753</t>
  </si>
  <si>
    <t>514 913-1475</t>
  </si>
  <si>
    <t>1652927</t>
  </si>
  <si>
    <t>Fortin, Marie-Christine</t>
  </si>
  <si>
    <t>Marie-Christine</t>
  </si>
  <si>
    <t>514 977-5174</t>
  </si>
  <si>
    <t>9968175</t>
  </si>
  <si>
    <t>Deslauriers, Mégan</t>
  </si>
  <si>
    <t>514 887-7123</t>
  </si>
  <si>
    <t>1839343</t>
  </si>
  <si>
    <t>Drolet, Maude</t>
  </si>
  <si>
    <t>McGarry</t>
  </si>
  <si>
    <t>514 641-7248</t>
  </si>
  <si>
    <t>1934239</t>
  </si>
  <si>
    <t>Trottier, Alicia</t>
  </si>
  <si>
    <t>J2J0A3</t>
  </si>
  <si>
    <t>514 627-0650</t>
  </si>
  <si>
    <t>1563177</t>
  </si>
  <si>
    <t>Mayrand, Étienne</t>
  </si>
  <si>
    <t>J5K2C1</t>
  </si>
  <si>
    <t>514 262-2058</t>
  </si>
  <si>
    <t>1969570</t>
  </si>
  <si>
    <t>Lauzon, Jean-Nicolas</t>
  </si>
  <si>
    <t>Jean-Nicolas</t>
  </si>
  <si>
    <t>Rudler</t>
  </si>
  <si>
    <t>514 867-7614</t>
  </si>
  <si>
    <t>1665627</t>
  </si>
  <si>
    <t>514 433-7122</t>
  </si>
  <si>
    <t>1678822</t>
  </si>
  <si>
    <t>Léger-Dallaire, Harley</t>
  </si>
  <si>
    <t>Léger-Dallaire</t>
  </si>
  <si>
    <t>Harley</t>
  </si>
  <si>
    <t>J5K2S8</t>
  </si>
  <si>
    <t>514 232-2112</t>
  </si>
  <si>
    <t>0588102</t>
  </si>
  <si>
    <t>Villeneuve, Alexandra</t>
  </si>
  <si>
    <t>Allard-Dansereau</t>
  </si>
  <si>
    <t>514 433-0688</t>
  </si>
  <si>
    <t>1266704</t>
  </si>
  <si>
    <t>Wright, Adam</t>
  </si>
  <si>
    <t>Wright</t>
  </si>
  <si>
    <t>Adégoké</t>
  </si>
  <si>
    <t>514 506-5615</t>
  </si>
  <si>
    <t>1971289</t>
  </si>
  <si>
    <t>Trépanier, Alison</t>
  </si>
  <si>
    <t>Alison</t>
  </si>
  <si>
    <t>Nancy Tshiabu</t>
  </si>
  <si>
    <t>J5J1A5</t>
  </si>
  <si>
    <t>514 607-9192</t>
  </si>
  <si>
    <t>1968509</t>
  </si>
  <si>
    <t>Paradis-Thibault, Daniel</t>
  </si>
  <si>
    <t>Paradis-Thibault</t>
  </si>
  <si>
    <t>Cuman-Landreville</t>
  </si>
  <si>
    <t>514 973-0953</t>
  </si>
  <si>
    <t>1912278</t>
  </si>
  <si>
    <t>Godin</t>
  </si>
  <si>
    <t>514 746-2456</t>
  </si>
  <si>
    <t>8948322</t>
  </si>
  <si>
    <t>Injili, Kelly-Ann</t>
  </si>
  <si>
    <t>Injili</t>
  </si>
  <si>
    <t>Sihem</t>
  </si>
  <si>
    <t>514 984-2325</t>
  </si>
  <si>
    <t>9566673</t>
  </si>
  <si>
    <t>Louis, Gabriel</t>
  </si>
  <si>
    <t>Fleurent</t>
  </si>
  <si>
    <t>514 714-0920</t>
  </si>
  <si>
    <t>1822415</t>
  </si>
  <si>
    <t>Ares-Laliberté, Xavier</t>
  </si>
  <si>
    <t>Michelle</t>
  </si>
  <si>
    <t>J5J2K5</t>
  </si>
  <si>
    <t>514 567-3628</t>
  </si>
  <si>
    <t>1640132</t>
  </si>
  <si>
    <t>Courtois, Nicolas</t>
  </si>
  <si>
    <t>Courtois</t>
  </si>
  <si>
    <t>Shad Linn</t>
  </si>
  <si>
    <t>514 974-8258</t>
  </si>
  <si>
    <t>1833469</t>
  </si>
  <si>
    <t>Hosson, Kim</t>
  </si>
  <si>
    <t>Hosson</t>
  </si>
  <si>
    <t>Rashel</t>
  </si>
  <si>
    <t>514 816-9943</t>
  </si>
  <si>
    <t>1372884</t>
  </si>
  <si>
    <t>Gauthier, Lucas</t>
  </si>
  <si>
    <t>Leclair</t>
  </si>
  <si>
    <t>514 917-3487</t>
  </si>
  <si>
    <t>1760578</t>
  </si>
  <si>
    <t>Gosteau, Laurine</t>
  </si>
  <si>
    <t>Gosteau</t>
  </si>
  <si>
    <t>Laurine</t>
  </si>
  <si>
    <t>J5K0H9</t>
  </si>
  <si>
    <t>514 462-0623</t>
  </si>
  <si>
    <t>1787530</t>
  </si>
  <si>
    <t>Nazari, Elizabeth</t>
  </si>
  <si>
    <t>Nazari</t>
  </si>
  <si>
    <t>J5K1S1</t>
  </si>
  <si>
    <t>514 318-9559</t>
  </si>
  <si>
    <t>1932663</t>
  </si>
  <si>
    <t>Dewar, Maxym</t>
  </si>
  <si>
    <t>Maxym</t>
  </si>
  <si>
    <t>Meunier-Audelin</t>
  </si>
  <si>
    <t>J5K0C1</t>
  </si>
  <si>
    <t>514 466-4246</t>
  </si>
  <si>
    <t>1351270</t>
  </si>
  <si>
    <t>Maurice, Étienne</t>
  </si>
  <si>
    <t>J5K2C9</t>
  </si>
  <si>
    <t>514 260-4174</t>
  </si>
  <si>
    <t>1463588</t>
  </si>
  <si>
    <t>Carignan, Rosie</t>
  </si>
  <si>
    <t>Carignan</t>
  </si>
  <si>
    <t>Ricard</t>
  </si>
  <si>
    <t>514 895-5453</t>
  </si>
  <si>
    <t>1923735</t>
  </si>
  <si>
    <t>Diotte-Brière, Maxime</t>
  </si>
  <si>
    <t>Diotte-Brière</t>
  </si>
  <si>
    <t>Ménard-Roy</t>
  </si>
  <si>
    <t>Nikita</t>
  </si>
  <si>
    <t>514 660-0450</t>
  </si>
  <si>
    <t>1822525</t>
  </si>
  <si>
    <t>Mercier, Emmanuel-Baron</t>
  </si>
  <si>
    <t>Emmanuel-Baron</t>
  </si>
  <si>
    <t>514 444-7206</t>
  </si>
  <si>
    <t>1926238</t>
  </si>
  <si>
    <t>Sirard, Ariane</t>
  </si>
  <si>
    <t>Sirard</t>
  </si>
  <si>
    <t>Blanchette-Jacob</t>
  </si>
  <si>
    <t>514 833-7451</t>
  </si>
  <si>
    <t>1776067</t>
  </si>
  <si>
    <t>Sartori-Thériault, Audrey</t>
  </si>
  <si>
    <t>Sartori-Thériault</t>
  </si>
  <si>
    <t>Sabrine</t>
  </si>
  <si>
    <t>514 889-2252</t>
  </si>
  <si>
    <t>1634349</t>
  </si>
  <si>
    <t>Jean, Katuisia</t>
  </si>
  <si>
    <t>Katuisia</t>
  </si>
  <si>
    <t>J0T2V0</t>
  </si>
  <si>
    <t>514 668-2694</t>
  </si>
  <si>
    <t>1643859</t>
  </si>
  <si>
    <t>Marina</t>
  </si>
  <si>
    <t>450 979-3401</t>
  </si>
  <si>
    <t>1957809</t>
  </si>
  <si>
    <t>Hurtubise-Perron</t>
  </si>
  <si>
    <t>J5J2V3</t>
  </si>
  <si>
    <t>514 531-4796</t>
  </si>
  <si>
    <t>1484729</t>
  </si>
  <si>
    <t>Albert, Zachary</t>
  </si>
  <si>
    <t>Albert</t>
  </si>
  <si>
    <t>Voyer</t>
  </si>
  <si>
    <t>450 971-2934</t>
  </si>
  <si>
    <t>1328742</t>
  </si>
  <si>
    <t>Béland-Savoie, Valérie</t>
  </si>
  <si>
    <t>Béland-Savoie</t>
  </si>
  <si>
    <t>Maryse</t>
  </si>
  <si>
    <t>J5L0A7</t>
  </si>
  <si>
    <t>514 208-5386</t>
  </si>
  <si>
    <t>1557339</t>
  </si>
  <si>
    <t>Thériault, André</t>
  </si>
  <si>
    <t>André</t>
  </si>
  <si>
    <t>514 886-0436</t>
  </si>
  <si>
    <t>1839795</t>
  </si>
  <si>
    <t>Bourbeau, Sarah</t>
  </si>
  <si>
    <t>Bourbeau</t>
  </si>
  <si>
    <t>Sagala</t>
  </si>
  <si>
    <t>514 701-5951</t>
  </si>
  <si>
    <t>1853822</t>
  </si>
  <si>
    <t>David, Mikaël</t>
  </si>
  <si>
    <t>David</t>
  </si>
  <si>
    <t>514 660-6989</t>
  </si>
  <si>
    <t>1529059</t>
  </si>
  <si>
    <t>J5J2E2</t>
  </si>
  <si>
    <t>514 575-0951</t>
  </si>
  <si>
    <t>1664442</t>
  </si>
  <si>
    <t>Boucher, Sarah-Maude</t>
  </si>
  <si>
    <t>514 924-4297</t>
  </si>
  <si>
    <t>1527280</t>
  </si>
  <si>
    <t>Musau Kabuya, Elody</t>
  </si>
  <si>
    <t>Elody</t>
  </si>
  <si>
    <t>J5K2G2</t>
  </si>
  <si>
    <t>514 258-9835</t>
  </si>
  <si>
    <t>1844811</t>
  </si>
  <si>
    <t>Thisdale, Amélie</t>
  </si>
  <si>
    <t>514 248-4579</t>
  </si>
  <si>
    <t>1752394</t>
  </si>
  <si>
    <t>Béchard, Véronique</t>
  </si>
  <si>
    <t>Béchard</t>
  </si>
  <si>
    <t>514 260-2137</t>
  </si>
  <si>
    <t>1380128</t>
  </si>
  <si>
    <t>Coupal, Nicolas</t>
  </si>
  <si>
    <t>514 996-6976</t>
  </si>
  <si>
    <t>1965466</t>
  </si>
  <si>
    <t>Garant, Mahau</t>
  </si>
  <si>
    <t>Mahau</t>
  </si>
  <si>
    <t>514 775-0000</t>
  </si>
  <si>
    <t>1641655</t>
  </si>
  <si>
    <t>514 441-9337</t>
  </si>
  <si>
    <t>1828005</t>
  </si>
  <si>
    <t>Gohier, Léa</t>
  </si>
  <si>
    <t>514 774-0423</t>
  </si>
  <si>
    <t>1725325</t>
  </si>
  <si>
    <t>Texier-Barrette, Andréanne</t>
  </si>
  <si>
    <t>Texier-Barrette</t>
  </si>
  <si>
    <t>Andréanne</t>
  </si>
  <si>
    <t>514 629-7333</t>
  </si>
  <si>
    <t>1744430</t>
  </si>
  <si>
    <t>Arsenault, Wyllyam</t>
  </si>
  <si>
    <t>Vanderbellen</t>
  </si>
  <si>
    <t>J5J2S6</t>
  </si>
  <si>
    <t>514 550-0883</t>
  </si>
  <si>
    <t>1874949</t>
  </si>
  <si>
    <t>Béliveau, Tom</t>
  </si>
  <si>
    <t>Béliveau</t>
  </si>
  <si>
    <t>Tellier</t>
  </si>
  <si>
    <t>514 795-1239</t>
  </si>
  <si>
    <t>1929981</t>
  </si>
  <si>
    <t>J5K2N7</t>
  </si>
  <si>
    <t>514 240-0123</t>
  </si>
  <si>
    <t>1833991</t>
  </si>
  <si>
    <t>Morin, Émie</t>
  </si>
  <si>
    <t>Émie</t>
  </si>
  <si>
    <t>J5K1L5</t>
  </si>
  <si>
    <t>514 358-2800</t>
  </si>
  <si>
    <t>1326313</t>
  </si>
  <si>
    <t>Velleman, Alexandra Kelly</t>
  </si>
  <si>
    <t>Velleman</t>
  </si>
  <si>
    <t>Alexandra Kelly</t>
  </si>
  <si>
    <t>514 993-4499</t>
  </si>
  <si>
    <t>1931694</t>
  </si>
  <si>
    <t>Lecompte, Jacob</t>
  </si>
  <si>
    <t>Lecompte</t>
  </si>
  <si>
    <t>Gaumond</t>
  </si>
  <si>
    <t>Miguël</t>
  </si>
  <si>
    <t>J5J2H1</t>
  </si>
  <si>
    <t>514 571-7634</t>
  </si>
  <si>
    <t>1742057</t>
  </si>
  <si>
    <t>Bussey</t>
  </si>
  <si>
    <t>514 260-2328</t>
  </si>
  <si>
    <t>1955400</t>
  </si>
  <si>
    <t>J5J1Z9</t>
  </si>
  <si>
    <t>514 576-7546</t>
  </si>
  <si>
    <t>1684798</t>
  </si>
  <si>
    <t>450 974-3142</t>
  </si>
  <si>
    <t>1779271</t>
  </si>
  <si>
    <t>Raymond, Cassandra</t>
  </si>
  <si>
    <t>Castonguay-Justum</t>
  </si>
  <si>
    <t>514 248-3053</t>
  </si>
  <si>
    <t>1833599</t>
  </si>
  <si>
    <t>Di Francesco, Maxime</t>
  </si>
  <si>
    <t>Di Francesco</t>
  </si>
  <si>
    <t>Metras</t>
  </si>
  <si>
    <t>Marylène</t>
  </si>
  <si>
    <t>450 990-7885</t>
  </si>
  <si>
    <t>1737522</t>
  </si>
  <si>
    <t>Charbonneau, Philomène</t>
  </si>
  <si>
    <t>Proulx-Duquette</t>
  </si>
  <si>
    <t>514 922-2336</t>
  </si>
  <si>
    <t>1834763</t>
  </si>
  <si>
    <t>J5J2Y5</t>
  </si>
  <si>
    <t>514 506-2973</t>
  </si>
  <si>
    <t>1375226</t>
  </si>
  <si>
    <t>Maryane</t>
  </si>
  <si>
    <t>450 983-6653</t>
  </si>
  <si>
    <t>1635608</t>
  </si>
  <si>
    <t>Boutin, Sandrine</t>
  </si>
  <si>
    <t>Phillippe</t>
  </si>
  <si>
    <t>514 779-8258</t>
  </si>
  <si>
    <t>1923401</t>
  </si>
  <si>
    <t>Bouchard, Scheulla</t>
  </si>
  <si>
    <t>J3L3G4</t>
  </si>
  <si>
    <t>514 625-5005</t>
  </si>
  <si>
    <t>1646218</t>
  </si>
  <si>
    <t>Chamaillard</t>
  </si>
  <si>
    <t>514 863-2815</t>
  </si>
  <si>
    <t>1802535</t>
  </si>
  <si>
    <t>Garrigues, Maëlle</t>
  </si>
  <si>
    <t>Garrigues</t>
  </si>
  <si>
    <t>Maëlle</t>
  </si>
  <si>
    <t>514 913-2477</t>
  </si>
  <si>
    <t>1834857</t>
  </si>
  <si>
    <t>Acena, Zannalie</t>
  </si>
  <si>
    <t>Acena</t>
  </si>
  <si>
    <t>Yombé</t>
  </si>
  <si>
    <t>514 701-0176</t>
  </si>
  <si>
    <t>1765259</t>
  </si>
  <si>
    <t>Paquette, Daphné</t>
  </si>
  <si>
    <t>514 817-8177</t>
  </si>
  <si>
    <t>9366789</t>
  </si>
  <si>
    <t>Allen</t>
  </si>
  <si>
    <t>J5K0B6</t>
  </si>
  <si>
    <t>514 467-5417</t>
  </si>
  <si>
    <t>1933185</t>
  </si>
  <si>
    <t>Roy, Ayllen</t>
  </si>
  <si>
    <t>Ayllen</t>
  </si>
  <si>
    <t>514 702-8892</t>
  </si>
  <si>
    <t>1552268</t>
  </si>
  <si>
    <t>514 503-8662</t>
  </si>
  <si>
    <t>1828607</t>
  </si>
  <si>
    <t>Lavigne, Jason</t>
  </si>
  <si>
    <t>Jason</t>
  </si>
  <si>
    <t>514 647-0381</t>
  </si>
  <si>
    <t>1200793</t>
  </si>
  <si>
    <t>Sepho, Arianne</t>
  </si>
  <si>
    <t>Sepho</t>
  </si>
  <si>
    <t>Rocio</t>
  </si>
  <si>
    <t>514 827-9299</t>
  </si>
  <si>
    <t>1806621</t>
  </si>
  <si>
    <t>Lagacé, Jonathan</t>
  </si>
  <si>
    <t>Hernandez</t>
  </si>
  <si>
    <t>J5J0C1</t>
  </si>
  <si>
    <t>514 623-0911</t>
  </si>
  <si>
    <t>1954899</t>
  </si>
  <si>
    <t>514 377-2114</t>
  </si>
  <si>
    <t>1946285</t>
  </si>
  <si>
    <t>Haspeck, Landry Sergino</t>
  </si>
  <si>
    <t>Haspeck</t>
  </si>
  <si>
    <t>Landry Sergino</t>
  </si>
  <si>
    <t>514 686-9642</t>
  </si>
  <si>
    <t>1819360</t>
  </si>
  <si>
    <t>O'Leary Barry, Éléonore</t>
  </si>
  <si>
    <t>O'Leary Barry</t>
  </si>
  <si>
    <t>Éléonore</t>
  </si>
  <si>
    <t>De la Durantaye</t>
  </si>
  <si>
    <t>514 771-2874</t>
  </si>
  <si>
    <t>1978278</t>
  </si>
  <si>
    <t>Chartrand, Patrick</t>
  </si>
  <si>
    <t>Chartrand</t>
  </si>
  <si>
    <t>Pomerleau</t>
  </si>
  <si>
    <t>450 971-0525</t>
  </si>
  <si>
    <t>1941148</t>
  </si>
  <si>
    <t>Kadje Tchonang, Karine</t>
  </si>
  <si>
    <t>Kadje Tchonang</t>
  </si>
  <si>
    <t>Konde Bilogui</t>
  </si>
  <si>
    <t>514 980-4427</t>
  </si>
  <si>
    <t>1953413</t>
  </si>
  <si>
    <t>Cyr, Naomy</t>
  </si>
  <si>
    <t>J5K1P3</t>
  </si>
  <si>
    <t>514 347-8765</t>
  </si>
  <si>
    <t>6107324</t>
  </si>
  <si>
    <t>Alaoui, Zachary</t>
  </si>
  <si>
    <t>Pamèlie</t>
  </si>
  <si>
    <t>514 755-0542</t>
  </si>
  <si>
    <t>1375703</t>
  </si>
  <si>
    <t>Ladouceur, Josianne</t>
  </si>
  <si>
    <t>Josianne</t>
  </si>
  <si>
    <t>Huberdeau</t>
  </si>
  <si>
    <t>J0R1R1</t>
  </si>
  <si>
    <t>514 944-5465</t>
  </si>
  <si>
    <t>1255998</t>
  </si>
  <si>
    <t>514 885-4147</t>
  </si>
  <si>
    <t>1627596</t>
  </si>
  <si>
    <t>Boudreau, Sarah-Ève</t>
  </si>
  <si>
    <t>Sarah-Ève</t>
  </si>
  <si>
    <t>Sanscartier Thifault</t>
  </si>
  <si>
    <t>J5K0E8</t>
  </si>
  <si>
    <t>514 465-0711</t>
  </si>
  <si>
    <t>1823038</t>
  </si>
  <si>
    <t>St-Amour, Antoine</t>
  </si>
  <si>
    <t>St-Amour</t>
  </si>
  <si>
    <t>J5K2M1</t>
  </si>
  <si>
    <t>514 240-8259</t>
  </si>
  <si>
    <t>1758908</t>
  </si>
  <si>
    <t>Lapointe, Jérôme</t>
  </si>
  <si>
    <t>Jérôme</t>
  </si>
  <si>
    <t>Gravel-Richer</t>
  </si>
  <si>
    <t>J5K2W1</t>
  </si>
  <si>
    <t>514 216-8940</t>
  </si>
  <si>
    <t>1790884</t>
  </si>
  <si>
    <t>Marilyne</t>
  </si>
  <si>
    <t>J5L0G7</t>
  </si>
  <si>
    <t>1924411</t>
  </si>
  <si>
    <t>Hébert, Kyara</t>
  </si>
  <si>
    <t>Kyara</t>
  </si>
  <si>
    <t>Nadim</t>
  </si>
  <si>
    <t>J5J1C5</t>
  </si>
  <si>
    <t>514 606-5525</t>
  </si>
  <si>
    <t>1822492</t>
  </si>
  <si>
    <t>Chesney, Ovaud Ruth</t>
  </si>
  <si>
    <t>Chesney</t>
  </si>
  <si>
    <t>Plouffe-Chagnon</t>
  </si>
  <si>
    <t>514 709-2775</t>
  </si>
  <si>
    <t>1979888</t>
  </si>
  <si>
    <t>Jobin, Katherine</t>
  </si>
  <si>
    <t>514 833-5846</t>
  </si>
  <si>
    <t>1740439</t>
  </si>
  <si>
    <t>Desjardins-Lauzon, Mégane</t>
  </si>
  <si>
    <t>J5L1C7</t>
  </si>
  <si>
    <t>1776802</t>
  </si>
  <si>
    <t>Brière, Samuel</t>
  </si>
  <si>
    <t>J0V1B0</t>
  </si>
  <si>
    <t>514 663-0982</t>
  </si>
  <si>
    <t>1965229</t>
  </si>
  <si>
    <t>Bernard-Charles</t>
  </si>
  <si>
    <t>514 655-5821</t>
  </si>
  <si>
    <t>1623471</t>
  </si>
  <si>
    <t>Fortin, Marie-Clara</t>
  </si>
  <si>
    <t>Marie-Clara</t>
  </si>
  <si>
    <t>Rose-Alice</t>
  </si>
  <si>
    <t>514 839-3091</t>
  </si>
  <si>
    <t>1739340</t>
  </si>
  <si>
    <t>Frenette-Sabourin, Marguerite</t>
  </si>
  <si>
    <t>Frenette-Sabourin</t>
  </si>
  <si>
    <t>J5K2M8</t>
  </si>
  <si>
    <t>514 240-4310</t>
  </si>
  <si>
    <t>1161834</t>
  </si>
  <si>
    <t>Hamilton</t>
  </si>
  <si>
    <t>514 814-7935</t>
  </si>
  <si>
    <t>1739802</t>
  </si>
  <si>
    <t>Décarie, Michaël</t>
  </si>
  <si>
    <t>Décarie</t>
  </si>
  <si>
    <t>Noumeu Sime</t>
  </si>
  <si>
    <t>J5K0K1</t>
  </si>
  <si>
    <t>514 452-6784</t>
  </si>
  <si>
    <t>1547110</t>
  </si>
  <si>
    <t>J0V1R0</t>
  </si>
  <si>
    <t>514 653-9255</t>
  </si>
  <si>
    <t>1924900</t>
  </si>
  <si>
    <t>Marquis, Félix</t>
  </si>
  <si>
    <t>Marquis</t>
  </si>
  <si>
    <t>Dumoulin</t>
  </si>
  <si>
    <t>J5L0J8</t>
  </si>
  <si>
    <t>450 974-3367</t>
  </si>
  <si>
    <t>1756471</t>
  </si>
  <si>
    <t>Honoré, Kim</t>
  </si>
  <si>
    <t>Honoré</t>
  </si>
  <si>
    <t>J0T2A0</t>
  </si>
  <si>
    <t>514 718-3026</t>
  </si>
  <si>
    <t>1255674</t>
  </si>
  <si>
    <t>Rochon, Bibi Thamirah Faatimah</t>
  </si>
  <si>
    <t>Bibi Thamirah Faatimah</t>
  </si>
  <si>
    <t>Brousseau</t>
  </si>
  <si>
    <t>514 967-2067</t>
  </si>
  <si>
    <t>1811714</t>
  </si>
  <si>
    <t>De Foy-Schlybeurt, Miguel</t>
  </si>
  <si>
    <t>De Foy-Schlybeurt</t>
  </si>
  <si>
    <t>Orozco-Herrera</t>
  </si>
  <si>
    <t>514 969-0837</t>
  </si>
  <si>
    <t>1773743</t>
  </si>
  <si>
    <t>Garavito Basante, Magson</t>
  </si>
  <si>
    <t>Magson</t>
  </si>
  <si>
    <t>514 318-0051</t>
  </si>
  <si>
    <t>1873332</t>
  </si>
  <si>
    <t>Rego, Caroline</t>
  </si>
  <si>
    <t>514 806-6824</t>
  </si>
  <si>
    <t>1870014</t>
  </si>
  <si>
    <t>Boisvert, Sharlianne</t>
  </si>
  <si>
    <t>514 449-1699</t>
  </si>
  <si>
    <t>1970808</t>
  </si>
  <si>
    <t>Fleurent-Boisvenu, Marie-Maxime</t>
  </si>
  <si>
    <t>Fleurent-Boisvenu</t>
  </si>
  <si>
    <t>Loubier</t>
  </si>
  <si>
    <t>514 966-3300</t>
  </si>
  <si>
    <t>1979211</t>
  </si>
  <si>
    <t>Magnan, Frédérick</t>
  </si>
  <si>
    <t>Magnan</t>
  </si>
  <si>
    <t>Frédérick</t>
  </si>
  <si>
    <t>514 451-6720</t>
  </si>
  <si>
    <t>1954417</t>
  </si>
  <si>
    <t>Painchaud, David</t>
  </si>
  <si>
    <t>514 778-4116</t>
  </si>
  <si>
    <t>1158623</t>
  </si>
  <si>
    <t>Deshaies, Meghan Sidney</t>
  </si>
  <si>
    <t>514 915-7153</t>
  </si>
  <si>
    <t>1873235</t>
  </si>
  <si>
    <t>Servant-Gagné, Arianne</t>
  </si>
  <si>
    <t>Servant-Gagné</t>
  </si>
  <si>
    <t>Rémis</t>
  </si>
  <si>
    <t>514 827-2423</t>
  </si>
  <si>
    <t>1678206</t>
  </si>
  <si>
    <t>Giraldeau-Alarie, Léonie</t>
  </si>
  <si>
    <t>Giraldeau-Alarie</t>
  </si>
  <si>
    <t>Léonie</t>
  </si>
  <si>
    <t>Lauzon-Boily</t>
  </si>
  <si>
    <t>514 814-2646</t>
  </si>
  <si>
    <t>1570366</t>
  </si>
  <si>
    <t>Daigle, Mylène</t>
  </si>
  <si>
    <t>Pageau-Ruffet</t>
  </si>
  <si>
    <t>514 775-2938</t>
  </si>
  <si>
    <t>1724927</t>
  </si>
  <si>
    <t>Desgagnés, Melanie</t>
  </si>
  <si>
    <t>Melanie</t>
  </si>
  <si>
    <t>514 983-1194</t>
  </si>
  <si>
    <t>0564665</t>
  </si>
  <si>
    <t>Joseph, Kassandra</t>
  </si>
  <si>
    <t>Joseph</t>
  </si>
  <si>
    <t>Kassandra</t>
  </si>
  <si>
    <t>514 475-5594</t>
  </si>
  <si>
    <t>1873772</t>
  </si>
  <si>
    <t>McRae, Erika</t>
  </si>
  <si>
    <t>McRae</t>
  </si>
  <si>
    <t>Erika</t>
  </si>
  <si>
    <t>Draghici</t>
  </si>
  <si>
    <t>514 746-4051</t>
  </si>
  <si>
    <t>1969078</t>
  </si>
  <si>
    <t>Turgeon, Alexis</t>
  </si>
  <si>
    <t>514 802-9622</t>
  </si>
  <si>
    <t>1980523</t>
  </si>
  <si>
    <t>J5K0A9</t>
  </si>
  <si>
    <t>514 475-9585</t>
  </si>
  <si>
    <t>1953220</t>
  </si>
  <si>
    <t>514 622-5659</t>
  </si>
  <si>
    <t>1960670</t>
  </si>
  <si>
    <t>Renaude</t>
  </si>
  <si>
    <t>514 827-6812</t>
  </si>
  <si>
    <t>1937588</t>
  </si>
  <si>
    <t>Charland-Duguay, Philippe</t>
  </si>
  <si>
    <t>Charland-Duguay</t>
  </si>
  <si>
    <t>Prégent</t>
  </si>
  <si>
    <t>514 297-2238</t>
  </si>
  <si>
    <t>1852957</t>
  </si>
  <si>
    <t>J5L0K8</t>
  </si>
  <si>
    <t>450 974-1356</t>
  </si>
  <si>
    <t>1335516</t>
  </si>
  <si>
    <t>514 715-4504</t>
  </si>
  <si>
    <t>1079383</t>
  </si>
  <si>
    <t>Melfi, Émy</t>
  </si>
  <si>
    <t>Melfi</t>
  </si>
  <si>
    <t>514 797-2276</t>
  </si>
  <si>
    <t>1831858</t>
  </si>
  <si>
    <t>Labelle, Julius</t>
  </si>
  <si>
    <t>Julius</t>
  </si>
  <si>
    <t>J0T1Y1</t>
  </si>
  <si>
    <t>514 718-8910</t>
  </si>
  <si>
    <t>1933312</t>
  </si>
  <si>
    <t>Naud, Élizabeth</t>
  </si>
  <si>
    <t>514 808-6581</t>
  </si>
  <si>
    <t>1821870</t>
  </si>
  <si>
    <t>Moisan, Emilie</t>
  </si>
  <si>
    <t>Moisan</t>
  </si>
  <si>
    <t>Desmarais</t>
  </si>
  <si>
    <t>514 709-6474</t>
  </si>
  <si>
    <t>9460976</t>
  </si>
  <si>
    <t>Caisse, Sabrina</t>
  </si>
  <si>
    <t>514 919-2639</t>
  </si>
  <si>
    <t>1821185</t>
  </si>
  <si>
    <t>Robidoux, Brendon</t>
  </si>
  <si>
    <t>Robidoux</t>
  </si>
  <si>
    <t>Brendon</t>
  </si>
  <si>
    <t>514 629-5516</t>
  </si>
  <si>
    <t>1763225</t>
  </si>
  <si>
    <t>Dupuis, Maryse</t>
  </si>
  <si>
    <t>450 983-3484</t>
  </si>
  <si>
    <t>1625598</t>
  </si>
  <si>
    <t>514 638-6912</t>
  </si>
  <si>
    <t>1967263</t>
  </si>
  <si>
    <t>Lemyre, Giana</t>
  </si>
  <si>
    <t>Lemyre</t>
  </si>
  <si>
    <t>Giana</t>
  </si>
  <si>
    <t>Fugère</t>
  </si>
  <si>
    <t>Sebastien</t>
  </si>
  <si>
    <t>514 971-3529</t>
  </si>
  <si>
    <t>1857680</t>
  </si>
  <si>
    <t>Legault, Hubert</t>
  </si>
  <si>
    <t>514 553-7085</t>
  </si>
  <si>
    <t>9241699</t>
  </si>
  <si>
    <t>Narbonne, Elliot</t>
  </si>
  <si>
    <t>Narbonne</t>
  </si>
  <si>
    <t>Elliot</t>
  </si>
  <si>
    <t>Demontigny</t>
  </si>
  <si>
    <t>514 679-2276</t>
  </si>
  <si>
    <t>1838481</t>
  </si>
  <si>
    <t>Rosabelle</t>
  </si>
  <si>
    <t>514 831-0789</t>
  </si>
  <si>
    <t>1732079</t>
  </si>
  <si>
    <t>514 993-0191</t>
  </si>
  <si>
    <t>1873499</t>
  </si>
  <si>
    <t>Gregoire</t>
  </si>
  <si>
    <t>J5J2X2</t>
  </si>
  <si>
    <t>514 516-0371</t>
  </si>
  <si>
    <t>1040102</t>
  </si>
  <si>
    <t>Blanchette, Simon</t>
  </si>
  <si>
    <t>514 718-4395</t>
  </si>
  <si>
    <t>1986957</t>
  </si>
  <si>
    <t>514 703-5634</t>
  </si>
  <si>
    <t>1967622</t>
  </si>
  <si>
    <t>Contant, Normand</t>
  </si>
  <si>
    <t>Oriane</t>
  </si>
  <si>
    <t>514 742-3826</t>
  </si>
  <si>
    <t>1945393</t>
  </si>
  <si>
    <t>Punniyathasan, Catherine</t>
  </si>
  <si>
    <t>Punniyathasan</t>
  </si>
  <si>
    <t>Champagne Pointejour</t>
  </si>
  <si>
    <t>Marjory</t>
  </si>
  <si>
    <t>J5L0E7</t>
  </si>
  <si>
    <t>450 979-6420</t>
  </si>
  <si>
    <t>1973389</t>
  </si>
  <si>
    <t>Reid, Caroline</t>
  </si>
  <si>
    <t>Reid</t>
  </si>
  <si>
    <t>Carvalho</t>
  </si>
  <si>
    <t>J5J0H7</t>
  </si>
  <si>
    <t>514 619-2836</t>
  </si>
  <si>
    <t>1980601</t>
  </si>
  <si>
    <t>Harton, Laura</t>
  </si>
  <si>
    <t>Harton</t>
  </si>
  <si>
    <t>Lalande-Gauthier</t>
  </si>
  <si>
    <t>514 944-0019</t>
  </si>
  <si>
    <t>1819780</t>
  </si>
  <si>
    <t>Gagné-Côté, Marc-Antoine</t>
  </si>
  <si>
    <t>J5K1T9</t>
  </si>
  <si>
    <t>514 299-7464</t>
  </si>
  <si>
    <t>1988961</t>
  </si>
  <si>
    <t>Tsogbe-Hamel, Alexis</t>
  </si>
  <si>
    <t>Tsogbe-Hamel</t>
  </si>
  <si>
    <t>Barrette</t>
  </si>
  <si>
    <t>Marijane</t>
  </si>
  <si>
    <t>450 971-4231</t>
  </si>
  <si>
    <t>1333097</t>
  </si>
  <si>
    <t>Bertrand, Sylvain</t>
  </si>
  <si>
    <t>J5J0B1</t>
  </si>
  <si>
    <t>514 623-8980</t>
  </si>
  <si>
    <t>1248271</t>
  </si>
  <si>
    <t>Joseph, Karyne</t>
  </si>
  <si>
    <t>Karyne</t>
  </si>
  <si>
    <t>J5J0G6</t>
  </si>
  <si>
    <t>514 621-9981</t>
  </si>
  <si>
    <t>1931734</t>
  </si>
  <si>
    <t>J0V1V0</t>
  </si>
  <si>
    <t>514 653-2805</t>
  </si>
  <si>
    <t>1836445</t>
  </si>
  <si>
    <t>Daneau, Molly</t>
  </si>
  <si>
    <t>514 834-3157</t>
  </si>
  <si>
    <t>1839092</t>
  </si>
  <si>
    <t>Lamont</t>
  </si>
  <si>
    <t>Penelope</t>
  </si>
  <si>
    <t>514 772-7949</t>
  </si>
  <si>
    <t>1831692</t>
  </si>
  <si>
    <t>Moreau-Chouinard</t>
  </si>
  <si>
    <t>514 688-4838</t>
  </si>
  <si>
    <t>1653598</t>
  </si>
  <si>
    <t>Lesage-Lebeau, Gaëlle</t>
  </si>
  <si>
    <t>Lesage-Lebeau</t>
  </si>
  <si>
    <t>Francis-Martel</t>
  </si>
  <si>
    <t>514 652-6308</t>
  </si>
  <si>
    <t>1731084</t>
  </si>
  <si>
    <t>Chapman</t>
  </si>
  <si>
    <t>Mathilda</t>
  </si>
  <si>
    <t>J5K2R4</t>
  </si>
  <si>
    <t>514 234-7317</t>
  </si>
  <si>
    <t>1719177</t>
  </si>
  <si>
    <t>Potvin, Charles</t>
  </si>
  <si>
    <t>Potvin</t>
  </si>
  <si>
    <t>Charron-Cloutier</t>
  </si>
  <si>
    <t>514 567-9449</t>
  </si>
  <si>
    <t>1984581</t>
  </si>
  <si>
    <t>Dumoulin, Mathieu</t>
  </si>
  <si>
    <t>Marleau</t>
  </si>
  <si>
    <t>514 701-0503</t>
  </si>
  <si>
    <t>1131207</t>
  </si>
  <si>
    <t>Ducellier, Maude</t>
  </si>
  <si>
    <t>Mathurin Gauthier</t>
  </si>
  <si>
    <t>Mérédith</t>
  </si>
  <si>
    <t>J5J2P9</t>
  </si>
  <si>
    <t>514 553-9633</t>
  </si>
  <si>
    <t>1670051</t>
  </si>
  <si>
    <t>514 865-1189</t>
  </si>
  <si>
    <t>1664838</t>
  </si>
  <si>
    <t>Vanier-Pena, Alexandre</t>
  </si>
  <si>
    <t>Vanier-Pena</t>
  </si>
  <si>
    <t>Arnault-Champagne</t>
  </si>
  <si>
    <t>514 965-3675</t>
  </si>
  <si>
    <t>1842071</t>
  </si>
  <si>
    <t>Saint Luc, Audrey</t>
  </si>
  <si>
    <t>514 778-2503</t>
  </si>
  <si>
    <t>1945160</t>
  </si>
  <si>
    <t>Smith, Ariane</t>
  </si>
  <si>
    <t>514 865-7105</t>
  </si>
  <si>
    <t>1937032</t>
  </si>
  <si>
    <t>Maxeen</t>
  </si>
  <si>
    <t>J5K1W8</t>
  </si>
  <si>
    <t>514 293-8290</t>
  </si>
  <si>
    <t>1844048</t>
  </si>
  <si>
    <t>514 715-7927</t>
  </si>
  <si>
    <t>1870131</t>
  </si>
  <si>
    <t>Paquin, Dany</t>
  </si>
  <si>
    <t>J5K1R7</t>
  </si>
  <si>
    <t>514 346-1623</t>
  </si>
  <si>
    <t>1659627</t>
  </si>
  <si>
    <t>Chouinard, Olivier</t>
  </si>
  <si>
    <t>Chouinard</t>
  </si>
  <si>
    <t>514 808-8984</t>
  </si>
  <si>
    <t>1969726</t>
  </si>
  <si>
    <t>Gougeon, Laurie-Jeanne</t>
  </si>
  <si>
    <t>Laurie-Jeanne</t>
  </si>
  <si>
    <t>Mythia</t>
  </si>
  <si>
    <t>514 604-2712</t>
  </si>
  <si>
    <t>1621877</t>
  </si>
  <si>
    <t>Caravalho</t>
  </si>
  <si>
    <t>514 917-7778</t>
  </si>
  <si>
    <t>1939260</t>
  </si>
  <si>
    <t>Fleurant, Marie-Odile</t>
  </si>
  <si>
    <t>Fleurant</t>
  </si>
  <si>
    <t>Louis-Seize</t>
  </si>
  <si>
    <t>514 264-6073</t>
  </si>
  <si>
    <t>1869573</t>
  </si>
  <si>
    <t>Augustin Tellier</t>
  </si>
  <si>
    <t>Rose-Marie</t>
  </si>
  <si>
    <t>514 839-8519</t>
  </si>
  <si>
    <t>1868155</t>
  </si>
  <si>
    <t>Felx, Marikim</t>
  </si>
  <si>
    <t>Felx</t>
  </si>
  <si>
    <t>Maillé</t>
  </si>
  <si>
    <t>514 836-4081</t>
  </si>
  <si>
    <t>1484407</t>
  </si>
  <si>
    <t>514 924-6619</t>
  </si>
  <si>
    <t>1766025</t>
  </si>
  <si>
    <t>Nadeau, Élodie</t>
  </si>
  <si>
    <t>Nadeau</t>
  </si>
  <si>
    <t>Déom</t>
  </si>
  <si>
    <t>J5L1C9</t>
  </si>
  <si>
    <t>450 965-7550</t>
  </si>
  <si>
    <t>1941590</t>
  </si>
  <si>
    <t>514 442-4425</t>
  </si>
  <si>
    <t>1515424</t>
  </si>
  <si>
    <t>Sigouin, Ariane</t>
  </si>
  <si>
    <t>Sigouin</t>
  </si>
  <si>
    <t>Boisclair</t>
  </si>
  <si>
    <t>J5J1P6</t>
  </si>
  <si>
    <t>514 589-2476</t>
  </si>
  <si>
    <t>1044913</t>
  </si>
  <si>
    <t>Carrier, Rosalie</t>
  </si>
  <si>
    <t>Carrier</t>
  </si>
  <si>
    <t>514 831-5417</t>
  </si>
  <si>
    <t>1985739</t>
  </si>
  <si>
    <t>Dulanto Rodriguez, Mathieu</t>
  </si>
  <si>
    <t>Dulanto Rodriguez</t>
  </si>
  <si>
    <t>Sébastian</t>
  </si>
  <si>
    <t>514 971-3412</t>
  </si>
  <si>
    <t>1414916</t>
  </si>
  <si>
    <t>514 290-2956</t>
  </si>
  <si>
    <t>1910198</t>
  </si>
  <si>
    <t>Pellerin, Cynthia</t>
  </si>
  <si>
    <t>Pellerin</t>
  </si>
  <si>
    <t>Coutu</t>
  </si>
  <si>
    <t>514 929-9418</t>
  </si>
  <si>
    <t>1637956</t>
  </si>
  <si>
    <t>Nodorakis, Éliza</t>
  </si>
  <si>
    <t>Éliza</t>
  </si>
  <si>
    <t>450 974-1807</t>
  </si>
  <si>
    <t>1550699</t>
  </si>
  <si>
    <t>Chamaillard, Raphaël</t>
  </si>
  <si>
    <t>514 971-1296</t>
  </si>
  <si>
    <t>1954991</t>
  </si>
  <si>
    <t>Mark</t>
  </si>
  <si>
    <t>J5L0E6</t>
  </si>
  <si>
    <t>450 979-6951</t>
  </si>
  <si>
    <t>1962981</t>
  </si>
  <si>
    <t>514 826-0622</t>
  </si>
  <si>
    <t>1557087</t>
  </si>
  <si>
    <t>Tremblay Filion, Allyson</t>
  </si>
  <si>
    <t>Tremblay Filion</t>
  </si>
  <si>
    <t>Allyson</t>
  </si>
  <si>
    <t>Sharly</t>
  </si>
  <si>
    <t>514 980-5366</t>
  </si>
  <si>
    <t>1933130</t>
  </si>
  <si>
    <t>Saravanamuthu, Audrey</t>
  </si>
  <si>
    <t>Saravanamuthu</t>
  </si>
  <si>
    <t>Boucher-Brousseau</t>
  </si>
  <si>
    <t>514 998-7391</t>
  </si>
  <si>
    <t>0475164</t>
  </si>
  <si>
    <t>J0W1A0</t>
  </si>
  <si>
    <t>514 638-6616</t>
  </si>
  <si>
    <t>1757555</t>
  </si>
  <si>
    <t>514 249-8659</t>
  </si>
  <si>
    <t>1838292</t>
  </si>
  <si>
    <t>Gendron, Louisianne</t>
  </si>
  <si>
    <t>Louisianne</t>
  </si>
  <si>
    <t>Sammy</t>
  </si>
  <si>
    <t>514 892-9456</t>
  </si>
  <si>
    <t>1628505</t>
  </si>
  <si>
    <t>J5J2K6</t>
  </si>
  <si>
    <t>514 566-7228</t>
  </si>
  <si>
    <t>1928792</t>
  </si>
  <si>
    <t>514 825-9605</t>
  </si>
  <si>
    <t>1846347</t>
  </si>
  <si>
    <t>Maisonneuve, Françoise</t>
  </si>
  <si>
    <t>Maisonneuve</t>
  </si>
  <si>
    <t>Françoise</t>
  </si>
  <si>
    <t>Fallu</t>
  </si>
  <si>
    <t>J5K1E2</t>
  </si>
  <si>
    <t>514 441-1064</t>
  </si>
  <si>
    <t>1532379</t>
  </si>
  <si>
    <t>Leroux, Geneviève</t>
  </si>
  <si>
    <t>Leroux</t>
  </si>
  <si>
    <t>J5K2A5</t>
  </si>
  <si>
    <t>514 265-7723</t>
  </si>
  <si>
    <t>1933906</t>
  </si>
  <si>
    <t>Brin</t>
  </si>
  <si>
    <t>514 318-3751</t>
  </si>
  <si>
    <t>1636086</t>
  </si>
  <si>
    <t>514 299-2034</t>
  </si>
  <si>
    <t>0476228</t>
  </si>
  <si>
    <t>Acosta, Zalec</t>
  </si>
  <si>
    <t>Acosta</t>
  </si>
  <si>
    <t>Yepgang Ngongang</t>
  </si>
  <si>
    <t>514 884-7659</t>
  </si>
  <si>
    <t>1855674</t>
  </si>
  <si>
    <t>Gervais-Legault, Loïck</t>
  </si>
  <si>
    <t>Gervais-Legault</t>
  </si>
  <si>
    <t>Loïck</t>
  </si>
  <si>
    <t>514 562-2803</t>
  </si>
  <si>
    <t>1646206</t>
  </si>
  <si>
    <t>Chainey, Raphaëlle</t>
  </si>
  <si>
    <t>Chainey</t>
  </si>
  <si>
    <t>Racine-Simard</t>
  </si>
  <si>
    <t>J5L0H2</t>
  </si>
  <si>
    <t>450 979-1419</t>
  </si>
  <si>
    <t>6129903</t>
  </si>
  <si>
    <t>Jodoin, Katherine</t>
  </si>
  <si>
    <t>Jodoin</t>
  </si>
  <si>
    <t>Labelle-Latour</t>
  </si>
  <si>
    <t>514 961-5638</t>
  </si>
  <si>
    <t>1864687</t>
  </si>
  <si>
    <t>J5K1Y9</t>
  </si>
  <si>
    <t>514 292-9623</t>
  </si>
  <si>
    <t>1957933</t>
  </si>
  <si>
    <t>Barkouk, Virginie</t>
  </si>
  <si>
    <t>Barkouk</t>
  </si>
  <si>
    <t>514 951-8668</t>
  </si>
  <si>
    <t>1873486</t>
  </si>
  <si>
    <t>Cordeiro, Noémie</t>
  </si>
  <si>
    <t>Cordeiro</t>
  </si>
  <si>
    <t>Piazza</t>
  </si>
  <si>
    <t>J5J2J8</t>
  </si>
  <si>
    <t>514 568-8333</t>
  </si>
  <si>
    <t>1677028</t>
  </si>
  <si>
    <t>Hermann</t>
  </si>
  <si>
    <t>450 974-3709</t>
  </si>
  <si>
    <t>1927828</t>
  </si>
  <si>
    <t>Grégoire-Forget, Laurie</t>
  </si>
  <si>
    <t>Grégoire-Forget</t>
  </si>
  <si>
    <t>J5J0J8</t>
  </si>
  <si>
    <t>514 618-2204</t>
  </si>
  <si>
    <t>1678345</t>
  </si>
  <si>
    <t>Hébert, Kym</t>
  </si>
  <si>
    <t>514 922-9068</t>
  </si>
  <si>
    <t>1561455</t>
  </si>
  <si>
    <t>Cusson, Nathan</t>
  </si>
  <si>
    <t>J5J1R1</t>
  </si>
  <si>
    <t>514 588-6311</t>
  </si>
  <si>
    <t>1226982</t>
  </si>
  <si>
    <t>Jones, Kassandra</t>
  </si>
  <si>
    <t>514 712-7650</t>
  </si>
  <si>
    <t>9464922</t>
  </si>
  <si>
    <t>Mathieu, Ève</t>
  </si>
  <si>
    <t>Duchesne-Bartolini</t>
  </si>
  <si>
    <t>514 726-6226</t>
  </si>
  <si>
    <t>1811297</t>
  </si>
  <si>
    <t>Henley-Leboeuf, Kristel</t>
  </si>
  <si>
    <t>Kristel</t>
  </si>
  <si>
    <t>514 250-5059</t>
  </si>
  <si>
    <t>1824660</t>
  </si>
  <si>
    <t>Alary, Zachary</t>
  </si>
  <si>
    <t>Alary</t>
  </si>
  <si>
    <t>Wanadi</t>
  </si>
  <si>
    <t>514 952-9771</t>
  </si>
  <si>
    <t>1828242</t>
  </si>
  <si>
    <t>Normand, Élie</t>
  </si>
  <si>
    <t>Élie</t>
  </si>
  <si>
    <t>Defoy</t>
  </si>
  <si>
    <t>514 557-2926</t>
  </si>
  <si>
    <t>1868282</t>
  </si>
  <si>
    <t>514 238-1980</t>
  </si>
  <si>
    <t>1967816</t>
  </si>
  <si>
    <t>Marta, Félix</t>
  </si>
  <si>
    <t>Marta</t>
  </si>
  <si>
    <t>Dumont</t>
  </si>
  <si>
    <t>514 805-3417</t>
  </si>
  <si>
    <t>1479106</t>
  </si>
  <si>
    <t>Ravar, Cassandra</t>
  </si>
  <si>
    <t>514 707-1163</t>
  </si>
  <si>
    <t>1755882</t>
  </si>
  <si>
    <t>514 945-6288</t>
  </si>
  <si>
    <t>1750628</t>
  </si>
  <si>
    <t>Ndengani</t>
  </si>
  <si>
    <t>J5J1T2</t>
  </si>
  <si>
    <t>514 583-8863</t>
  </si>
  <si>
    <t>0182224</t>
  </si>
  <si>
    <t>Rodrigue, Bétsaléel</t>
  </si>
  <si>
    <t>Bétsaléel</t>
  </si>
  <si>
    <t>Brophy</t>
  </si>
  <si>
    <t>514 654-0195</t>
  </si>
  <si>
    <t>1932143</t>
  </si>
  <si>
    <t>J5K2P6</t>
  </si>
  <si>
    <t>514 235-2150</t>
  </si>
  <si>
    <t>1858403</t>
  </si>
  <si>
    <t>Gagnon-Boies</t>
  </si>
  <si>
    <t>514 884-8804</t>
  </si>
  <si>
    <t>1972026</t>
  </si>
  <si>
    <t>Gobeil, Lea-Frederyk</t>
  </si>
  <si>
    <t>Lea-Frederyk</t>
  </si>
  <si>
    <t>514 991-6336</t>
  </si>
  <si>
    <t>1339508</t>
  </si>
  <si>
    <t>Fallu, Marilou</t>
  </si>
  <si>
    <t>514 690-0298</t>
  </si>
  <si>
    <t>1593419</t>
  </si>
  <si>
    <t>Valade-Charette, Alexane</t>
  </si>
  <si>
    <t>Valade-Charette</t>
  </si>
  <si>
    <t>Aubut</t>
  </si>
  <si>
    <t>Selena</t>
  </si>
  <si>
    <t>514 973-9969</t>
  </si>
  <si>
    <t>1732462</t>
  </si>
  <si>
    <t>514 451-3807</t>
  </si>
  <si>
    <t>1891481</t>
  </si>
  <si>
    <t>Blais, Sophia</t>
  </si>
  <si>
    <t>J5K0A5</t>
  </si>
  <si>
    <t>514 476-0955</t>
  </si>
  <si>
    <t>1874672</t>
  </si>
  <si>
    <t>514 827-7696</t>
  </si>
  <si>
    <t>1929834</t>
  </si>
  <si>
    <t>514 748-6094</t>
  </si>
  <si>
    <t>0683140</t>
  </si>
  <si>
    <t>Roussel, Béatrice</t>
  </si>
  <si>
    <t>Roussel</t>
  </si>
  <si>
    <t>Brassard</t>
  </si>
  <si>
    <t>J5K2S1</t>
  </si>
  <si>
    <t>514 234-6066</t>
  </si>
  <si>
    <t>1211030</t>
  </si>
  <si>
    <t>514 867-2726</t>
  </si>
  <si>
    <t>1826282</t>
  </si>
  <si>
    <t>McDonald</t>
  </si>
  <si>
    <t>514 742-3512</t>
  </si>
  <si>
    <t>1942980</t>
  </si>
  <si>
    <t>Gratton, Laurie</t>
  </si>
  <si>
    <t>514 831-9776</t>
  </si>
  <si>
    <t>1438235</t>
  </si>
  <si>
    <t>Rainville-Lasnier, Catherine</t>
  </si>
  <si>
    <t>Rainville-Lasnier</t>
  </si>
  <si>
    <t>Roger</t>
  </si>
  <si>
    <t>514 830-3983</t>
  </si>
  <si>
    <t>1942966</t>
  </si>
  <si>
    <t>Hilaire-Odélus, Kim</t>
  </si>
  <si>
    <t>Hilaire-Odélus</t>
  </si>
  <si>
    <t>Laforest-Joseph</t>
  </si>
  <si>
    <t>514 929-0193</t>
  </si>
  <si>
    <t>1981329</t>
  </si>
  <si>
    <t>Perreault, Cloé</t>
  </si>
  <si>
    <t>Cloé</t>
  </si>
  <si>
    <t>514 974-0637</t>
  </si>
  <si>
    <t>1857548</t>
  </si>
  <si>
    <t>Matton, Eusèbe</t>
  </si>
  <si>
    <t>Matton</t>
  </si>
  <si>
    <t>Eusèbe</t>
  </si>
  <si>
    <t>Nadjat</t>
  </si>
  <si>
    <t>J5J1C3</t>
  </si>
  <si>
    <t>514 606-8807</t>
  </si>
  <si>
    <t>1761736</t>
  </si>
  <si>
    <t>514 609-2954</t>
  </si>
  <si>
    <t>1971567</t>
  </si>
  <si>
    <t>Tessier, Andree</t>
  </si>
  <si>
    <t>Andree</t>
  </si>
  <si>
    <t>Bélisle-Mongrain</t>
  </si>
  <si>
    <t>514 649-4216</t>
  </si>
  <si>
    <t>1740263</t>
  </si>
  <si>
    <t>Cabot, Sabrina</t>
  </si>
  <si>
    <t>514 716-2631</t>
  </si>
  <si>
    <t>1948724</t>
  </si>
  <si>
    <t>Nkurunziza, Elizabeth</t>
  </si>
  <si>
    <t>Nkurunziza</t>
  </si>
  <si>
    <t>514 214-9266</t>
  </si>
  <si>
    <t>1963434</t>
  </si>
  <si>
    <t>Sianna</t>
  </si>
  <si>
    <t>J0P1B0</t>
  </si>
  <si>
    <t>514 984-1010</t>
  </si>
  <si>
    <t>1857474</t>
  </si>
  <si>
    <t>Dumas, Mathieu</t>
  </si>
  <si>
    <t>514 266-8120</t>
  </si>
  <si>
    <t>0351910</t>
  </si>
  <si>
    <t>Mallette, Francesca</t>
  </si>
  <si>
    <t>Mallette</t>
  </si>
  <si>
    <t>Francesca</t>
  </si>
  <si>
    <t>El Faid</t>
  </si>
  <si>
    <t>Ophélia</t>
  </si>
  <si>
    <t>514 730-7626</t>
  </si>
  <si>
    <t>1741081</t>
  </si>
  <si>
    <t>514 916-1608</t>
  </si>
  <si>
    <t>1857683</t>
  </si>
  <si>
    <t>Coulibeuf, Nicolas</t>
  </si>
  <si>
    <t>Coulibeuf</t>
  </si>
  <si>
    <t>514 778-5541</t>
  </si>
  <si>
    <t>1713561</t>
  </si>
  <si>
    <t>514 917-6204</t>
  </si>
  <si>
    <t>1734656</t>
  </si>
  <si>
    <t>Bélanger, Ugo</t>
  </si>
  <si>
    <t>514 439-8798</t>
  </si>
  <si>
    <t>1832730</t>
  </si>
  <si>
    <t>Boileau</t>
  </si>
  <si>
    <t>514 883-3425</t>
  </si>
  <si>
    <t>1937351</t>
  </si>
  <si>
    <t>Taillon, Anndia</t>
  </si>
  <si>
    <t>Anndia</t>
  </si>
  <si>
    <t>Maude-Sophie</t>
  </si>
  <si>
    <t>J5K1X4</t>
  </si>
  <si>
    <t>514 293-4535</t>
  </si>
  <si>
    <t>1730660</t>
  </si>
  <si>
    <t>Biron, Staëlle</t>
  </si>
  <si>
    <t>Biron</t>
  </si>
  <si>
    <t>Miriam</t>
  </si>
  <si>
    <t>J5J1V4</t>
  </si>
  <si>
    <t>514 578-8225</t>
  </si>
  <si>
    <t>1875331</t>
  </si>
  <si>
    <t>Giasson-Plourde, Loïc</t>
  </si>
  <si>
    <t>Giasson-Plourde</t>
  </si>
  <si>
    <t>Sarajane</t>
  </si>
  <si>
    <t>514 970-4494</t>
  </si>
  <si>
    <t>1137541</t>
  </si>
  <si>
    <t>Petit, Claude</t>
  </si>
  <si>
    <t>Petit</t>
  </si>
  <si>
    <t>Claude</t>
  </si>
  <si>
    <t>514 947-1329</t>
  </si>
  <si>
    <t>1032792</t>
  </si>
  <si>
    <t>Bousquet, Sandrine</t>
  </si>
  <si>
    <t>514 623-2087</t>
  </si>
  <si>
    <t>1857608</t>
  </si>
  <si>
    <t>St-Vincent, Anne-Marie</t>
  </si>
  <si>
    <t>St-Vincent</t>
  </si>
  <si>
    <t>Anne-Marie</t>
  </si>
  <si>
    <t>Nour</t>
  </si>
  <si>
    <t>514 702-5003</t>
  </si>
  <si>
    <t>1443390</t>
  </si>
  <si>
    <t>Vaillancourt, Alexanne</t>
  </si>
  <si>
    <t>Alexanne</t>
  </si>
  <si>
    <t>514 708-2606</t>
  </si>
  <si>
    <t>1702070</t>
  </si>
  <si>
    <t>Kosinski, Justine</t>
  </si>
  <si>
    <t>Kosinski</t>
  </si>
  <si>
    <t>Juteau-Séguin</t>
  </si>
  <si>
    <t>514 247-0356</t>
  </si>
  <si>
    <t>1826042</t>
  </si>
  <si>
    <t>Reuter, Carolann</t>
  </si>
  <si>
    <t>Carolann</t>
  </si>
  <si>
    <t>514 516-2067</t>
  </si>
  <si>
    <t>1653517</t>
  </si>
  <si>
    <t>Pauzé, Cynthia</t>
  </si>
  <si>
    <t>Pauzé</t>
  </si>
  <si>
    <t>514 703-5054</t>
  </si>
  <si>
    <t>1634523</t>
  </si>
  <si>
    <t>Hébert, Kwany</t>
  </si>
  <si>
    <t>Kwany</t>
  </si>
  <si>
    <t>J5K2T4</t>
  </si>
  <si>
    <t>514 226-0104</t>
  </si>
  <si>
    <t>1624654</t>
  </si>
  <si>
    <t>Caya, Rémi</t>
  </si>
  <si>
    <t>Caya</t>
  </si>
  <si>
    <t>J5K2T2</t>
  </si>
  <si>
    <t>514 226-6016</t>
  </si>
  <si>
    <t>1819760</t>
  </si>
  <si>
    <t>514 709-9446</t>
  </si>
  <si>
    <t>1624256</t>
  </si>
  <si>
    <t>Huddy, Kevin</t>
  </si>
  <si>
    <t>Huddy</t>
  </si>
  <si>
    <t>514 886-6753</t>
  </si>
  <si>
    <t>1966154</t>
  </si>
  <si>
    <t>Sébastien A.</t>
  </si>
  <si>
    <t>514 973-7775</t>
  </si>
  <si>
    <t>1568690</t>
  </si>
  <si>
    <t>514 953-5435</t>
  </si>
  <si>
    <t>1926684</t>
  </si>
  <si>
    <t>450 990-9689</t>
  </si>
  <si>
    <t>1890073</t>
  </si>
  <si>
    <t>Desmet, Mégan</t>
  </si>
  <si>
    <t>Desmet</t>
  </si>
  <si>
    <t>Moffette</t>
  </si>
  <si>
    <t>J5K1C4</t>
  </si>
  <si>
    <t>514 442-2286</t>
  </si>
  <si>
    <t>1850366</t>
  </si>
  <si>
    <t>Boismenu, Sianna</t>
  </si>
  <si>
    <t>Boismenu</t>
  </si>
  <si>
    <t>Sicard</t>
  </si>
  <si>
    <t>514 825-3343</t>
  </si>
  <si>
    <t>1814613</t>
  </si>
  <si>
    <t>Gagné, Marco</t>
  </si>
  <si>
    <t>Marco</t>
  </si>
  <si>
    <t>Océanne</t>
  </si>
  <si>
    <t>514 705-2272</t>
  </si>
  <si>
    <t>1926027</t>
  </si>
  <si>
    <t>Maitland, François</t>
  </si>
  <si>
    <t>Maitland</t>
  </si>
  <si>
    <t>Falardeau</t>
  </si>
  <si>
    <t>Maxence</t>
  </si>
  <si>
    <t>J5K1W6</t>
  </si>
  <si>
    <t>514 293-9156</t>
  </si>
  <si>
    <t>1115233</t>
  </si>
  <si>
    <t>Lehou, Guylaine</t>
  </si>
  <si>
    <t>Guylaine</t>
  </si>
  <si>
    <t>450 983-3789</t>
  </si>
  <si>
    <t>1272402</t>
  </si>
  <si>
    <t>Ruszkaï-Marcotte, Audrey-Ann</t>
  </si>
  <si>
    <t>514 668-5613</t>
  </si>
  <si>
    <t>1958670</t>
  </si>
  <si>
    <t>514 663-3107</t>
  </si>
  <si>
    <t>1532245</t>
  </si>
  <si>
    <t>514 880-9073</t>
  </si>
  <si>
    <t>1940453</t>
  </si>
  <si>
    <t>Belisle, Tristan</t>
  </si>
  <si>
    <t>Tétreault</t>
  </si>
  <si>
    <t>514 653-1093</t>
  </si>
  <si>
    <t>1834098</t>
  </si>
  <si>
    <t>Donaldson</t>
  </si>
  <si>
    <t>Seth</t>
  </si>
  <si>
    <t>514 974-7469</t>
  </si>
  <si>
    <t>1964192</t>
  </si>
  <si>
    <t>Lafontaine, Jordane</t>
  </si>
  <si>
    <t>Jordane</t>
  </si>
  <si>
    <t>Hogue</t>
  </si>
  <si>
    <t>0913526</t>
  </si>
  <si>
    <t>Musoy, Élodie</t>
  </si>
  <si>
    <t>Musoy</t>
  </si>
  <si>
    <t>514 984-0155</t>
  </si>
  <si>
    <t>1382485</t>
  </si>
  <si>
    <t>Blouin</t>
  </si>
  <si>
    <t>J5K2S2</t>
  </si>
  <si>
    <t>514 233-1621</t>
  </si>
  <si>
    <t>1434390</t>
  </si>
  <si>
    <t>Taillefer, Anne</t>
  </si>
  <si>
    <t>Taillefer</t>
  </si>
  <si>
    <t>Anne</t>
  </si>
  <si>
    <t>514 705-0502</t>
  </si>
  <si>
    <t>1976904</t>
  </si>
  <si>
    <t>Arbic, Xavier</t>
  </si>
  <si>
    <t>514 945-3471</t>
  </si>
  <si>
    <t>1571179</t>
  </si>
  <si>
    <t>Frigault, Marek</t>
  </si>
  <si>
    <t>Marek</t>
  </si>
  <si>
    <t>J0T1G0</t>
  </si>
  <si>
    <t>514 778-0293</t>
  </si>
  <si>
    <t>1525978</t>
  </si>
  <si>
    <t>Rochon-Lauzon, Bianca</t>
  </si>
  <si>
    <t>Rochon-Lauzon</t>
  </si>
  <si>
    <t>514 778-5494</t>
  </si>
  <si>
    <t>1713178</t>
  </si>
  <si>
    <t>Fontaine-Dussault, Marie-Josée</t>
  </si>
  <si>
    <t>514 691-6399</t>
  </si>
  <si>
    <t>1843760</t>
  </si>
  <si>
    <t>514 374-8121</t>
  </si>
  <si>
    <t>1951798</t>
  </si>
  <si>
    <t>Contant, Nycola</t>
  </si>
  <si>
    <t>Maxime-Olivier</t>
  </si>
  <si>
    <t>514 386-0447</t>
  </si>
  <si>
    <t>1938289</t>
  </si>
  <si>
    <t>Brassard, Samuel</t>
  </si>
  <si>
    <t>J5J0P3</t>
  </si>
  <si>
    <t>514 609-0364</t>
  </si>
  <si>
    <t>0922438</t>
  </si>
  <si>
    <t>Therrien-Lachance, Amy-Lou</t>
  </si>
  <si>
    <t>Therrien-Lachance</t>
  </si>
  <si>
    <t>Amy-Lou</t>
  </si>
  <si>
    <t>514 575-7148</t>
  </si>
  <si>
    <t>1553333</t>
  </si>
  <si>
    <t>Webster, Alec</t>
  </si>
  <si>
    <t>Webster</t>
  </si>
  <si>
    <t>Alec</t>
  </si>
  <si>
    <t>Alarie</t>
  </si>
  <si>
    <t>514 966-0012</t>
  </si>
  <si>
    <t>1774990</t>
  </si>
  <si>
    <t>Roland, Benoit</t>
  </si>
  <si>
    <t>Roland</t>
  </si>
  <si>
    <t>514 926-9484</t>
  </si>
  <si>
    <t>1737710</t>
  </si>
  <si>
    <t>Abdelkrim, Zoé</t>
  </si>
  <si>
    <t>Abdelkrim</t>
  </si>
  <si>
    <t>514 219-7275</t>
  </si>
  <si>
    <t>1075687</t>
  </si>
  <si>
    <t>Pagé, Derrick</t>
  </si>
  <si>
    <t>Derrick</t>
  </si>
  <si>
    <t>514 690-0597</t>
  </si>
  <si>
    <t>1839611</t>
  </si>
  <si>
    <t>Champagne, Ralph Handley</t>
  </si>
  <si>
    <t>Ralph Handley</t>
  </si>
  <si>
    <t>Quiroga-Hernandez</t>
  </si>
  <si>
    <t>514 268-2529</t>
  </si>
  <si>
    <t>0482490</t>
  </si>
  <si>
    <t>514 808-5672</t>
  </si>
  <si>
    <t>1335566</t>
  </si>
  <si>
    <t>Cawthorn</t>
  </si>
  <si>
    <t>514 929-9061</t>
  </si>
  <si>
    <t>1933437</t>
  </si>
  <si>
    <t>Sarah Mélissa</t>
  </si>
  <si>
    <t>514 967-6048</t>
  </si>
  <si>
    <t>1932346</t>
  </si>
  <si>
    <t>Côté Tessier, Nisrine</t>
  </si>
  <si>
    <t>Côté Tessier</t>
  </si>
  <si>
    <t>Nisrine</t>
  </si>
  <si>
    <t>514 795-0727</t>
  </si>
  <si>
    <t>1822626</t>
  </si>
  <si>
    <t>Durocher, Markus</t>
  </si>
  <si>
    <t>Markus</t>
  </si>
  <si>
    <t>Martine</t>
  </si>
  <si>
    <t>450 979-9772</t>
  </si>
  <si>
    <t>1939059</t>
  </si>
  <si>
    <t>Doyle-Veronneau, Maxim</t>
  </si>
  <si>
    <t>Doyle-Veronneau</t>
  </si>
  <si>
    <t>Medeiros</t>
  </si>
  <si>
    <t>514 601-1327</t>
  </si>
  <si>
    <t>1828456</t>
  </si>
  <si>
    <t>Aubin-Légaré, William</t>
  </si>
  <si>
    <t>Aubin-Légaré</t>
  </si>
  <si>
    <t>514 834-9401</t>
  </si>
  <si>
    <t>1636180</t>
  </si>
  <si>
    <t>Anctil, Yoanna</t>
  </si>
  <si>
    <t>Anctil</t>
  </si>
  <si>
    <t>Villemaire</t>
  </si>
  <si>
    <t>514 996-4105</t>
  </si>
  <si>
    <t>1822906</t>
  </si>
  <si>
    <t>514 883-9045</t>
  </si>
  <si>
    <t>1837092</t>
  </si>
  <si>
    <t>Ruel</t>
  </si>
  <si>
    <t>514 770-8562</t>
  </si>
  <si>
    <t>1845478</t>
  </si>
  <si>
    <t>Beaulieu, Vicky</t>
  </si>
  <si>
    <t>514 796-4354</t>
  </si>
  <si>
    <t>1802343</t>
  </si>
  <si>
    <t>J0R1R0</t>
  </si>
  <si>
    <t>514 946-0709</t>
  </si>
  <si>
    <t>1838295</t>
  </si>
  <si>
    <t>Séguin, Arlette Carvale</t>
  </si>
  <si>
    <t>J5J0H8</t>
  </si>
  <si>
    <t>514 619-1817</t>
  </si>
  <si>
    <t>1968286</t>
  </si>
  <si>
    <t>Domingue, Maxime</t>
  </si>
  <si>
    <t>J0V1J0</t>
  </si>
  <si>
    <t>514 662-4584</t>
  </si>
  <si>
    <t>1929736</t>
  </si>
  <si>
    <t>Simeon Marcellus, Ariane</t>
  </si>
  <si>
    <t>Simeon Marcellus</t>
  </si>
  <si>
    <t>514 823-5426</t>
  </si>
  <si>
    <t>1636049</t>
  </si>
  <si>
    <t>Boyer, Sandra</t>
  </si>
  <si>
    <t>514 475-6254</t>
  </si>
  <si>
    <t>1946783</t>
  </si>
  <si>
    <t>Laroche, Jérémy</t>
  </si>
  <si>
    <t>Goyer</t>
  </si>
  <si>
    <t>J5L0L4</t>
  </si>
  <si>
    <t>450 971-6659</t>
  </si>
  <si>
    <t>1634109</t>
  </si>
  <si>
    <t>Ouellette, Dominick</t>
  </si>
  <si>
    <t>Dominick</t>
  </si>
  <si>
    <t>D'Aronco</t>
  </si>
  <si>
    <t>514 654-7515</t>
  </si>
  <si>
    <t>1546481</t>
  </si>
  <si>
    <t>Audet-Pepin, William</t>
  </si>
  <si>
    <t>Audet-Pepin</t>
  </si>
  <si>
    <t>J5J2X1</t>
  </si>
  <si>
    <t>514 516-8978</t>
  </si>
  <si>
    <t>1648780</t>
  </si>
  <si>
    <t>Bernier, Tania</t>
  </si>
  <si>
    <t>514 969-7167</t>
  </si>
  <si>
    <t>1823777</t>
  </si>
  <si>
    <t>514 713-9999</t>
  </si>
  <si>
    <t>1952487</t>
  </si>
  <si>
    <t>Goyer, Laurie-Ann</t>
  </si>
  <si>
    <t>514 217-1742</t>
  </si>
  <si>
    <t>1941517</t>
  </si>
  <si>
    <t>514 703-0759</t>
  </si>
  <si>
    <t>1681406</t>
  </si>
  <si>
    <t>Pier-Luc L</t>
  </si>
  <si>
    <t>514 792-4094</t>
  </si>
  <si>
    <t>1862247</t>
  </si>
  <si>
    <t>Mia-Maude</t>
  </si>
  <si>
    <t>J5J2M6</t>
  </si>
  <si>
    <t>514 554-5035</t>
  </si>
  <si>
    <t>1758785</t>
  </si>
  <si>
    <t>Blanchette-Bertrand, Simon</t>
  </si>
  <si>
    <t>Blanchette-Bertrand</t>
  </si>
  <si>
    <t>Sivrais Larocque</t>
  </si>
  <si>
    <t>514 298-1652</t>
  </si>
  <si>
    <t>1762637</t>
  </si>
  <si>
    <t>514 971-7416</t>
  </si>
  <si>
    <t>1971248</t>
  </si>
  <si>
    <t>Berthiaume, Tamara</t>
  </si>
  <si>
    <t>Berthiaume</t>
  </si>
  <si>
    <t>St-Onge</t>
  </si>
  <si>
    <t>450 971-1199</t>
  </si>
  <si>
    <t>1976144</t>
  </si>
  <si>
    <t>Baumann, Vincent</t>
  </si>
  <si>
    <t>Baumann</t>
  </si>
  <si>
    <t>Trudeau</t>
  </si>
  <si>
    <t>J5L0H9</t>
  </si>
  <si>
    <t>450 974-6909</t>
  </si>
  <si>
    <t>1725397</t>
  </si>
  <si>
    <t>Fleurent, Marie-Noëlle</t>
  </si>
  <si>
    <t>514 951-8369</t>
  </si>
  <si>
    <t>1741214</t>
  </si>
  <si>
    <t>Blouin, Simon</t>
  </si>
  <si>
    <t>514 779-1824</t>
  </si>
  <si>
    <t>1229889</t>
  </si>
  <si>
    <t>El Archi, Marine</t>
  </si>
  <si>
    <t>El Archi</t>
  </si>
  <si>
    <t>514 978-4862</t>
  </si>
  <si>
    <t>1685294</t>
  </si>
  <si>
    <t>Leclair-Légaré</t>
  </si>
  <si>
    <t>514 592-8820</t>
  </si>
  <si>
    <t>1958502</t>
  </si>
  <si>
    <t>Derome, Mélissa</t>
  </si>
  <si>
    <t>J5L0E4</t>
  </si>
  <si>
    <t>450 979-6989</t>
  </si>
  <si>
    <t>1944335</t>
  </si>
  <si>
    <t>Marie-soleil</t>
  </si>
  <si>
    <t>450 971-2007</t>
  </si>
  <si>
    <t>0175615</t>
  </si>
  <si>
    <t>Théberge, Andréanne</t>
  </si>
  <si>
    <t>Théberge</t>
  </si>
  <si>
    <t>J5K2N8</t>
  </si>
  <si>
    <t>514 239-6643</t>
  </si>
  <si>
    <t>1862923</t>
  </si>
  <si>
    <t>Beaupré</t>
  </si>
  <si>
    <t>514 886-5343</t>
  </si>
  <si>
    <t>1863512</t>
  </si>
  <si>
    <t>Messier, Emmanuel</t>
  </si>
  <si>
    <t>Dickson</t>
  </si>
  <si>
    <t>514 992-7182</t>
  </si>
  <si>
    <t>1838286</t>
  </si>
  <si>
    <t>Fontaine, Marie-Laurence</t>
  </si>
  <si>
    <t>Marie-Laurence</t>
  </si>
  <si>
    <t>J5J1X2</t>
  </si>
  <si>
    <t>514 577-7542</t>
  </si>
  <si>
    <t>6152946</t>
  </si>
  <si>
    <t>Pelletier Tessier</t>
  </si>
  <si>
    <t>J5J1J7</t>
  </si>
  <si>
    <t>514 602-0738</t>
  </si>
  <si>
    <t>1953376</t>
  </si>
  <si>
    <t>Laliberté, Joanie</t>
  </si>
  <si>
    <t>Harrisson</t>
  </si>
  <si>
    <t>Rasha</t>
  </si>
  <si>
    <t>514 816-8460</t>
  </si>
  <si>
    <t>1944507</t>
  </si>
  <si>
    <t>Millette, Émilie</t>
  </si>
  <si>
    <t>Millette</t>
  </si>
  <si>
    <t>Desroches</t>
  </si>
  <si>
    <t>514 296-4527</t>
  </si>
  <si>
    <t>1944957</t>
  </si>
  <si>
    <t>Arsenault, Williame</t>
  </si>
  <si>
    <t>514 717-3483</t>
  </si>
  <si>
    <t>1738849</t>
  </si>
  <si>
    <t>Ruest, Audrey-Ann</t>
  </si>
  <si>
    <t>Ruest</t>
  </si>
  <si>
    <t>Bourguignon</t>
  </si>
  <si>
    <t>514 795-9754</t>
  </si>
  <si>
    <t>1927231</t>
  </si>
  <si>
    <t>Léonard, Gérard</t>
  </si>
  <si>
    <t>Gérard</t>
  </si>
  <si>
    <t>Froment</t>
  </si>
  <si>
    <t>514 886-6541</t>
  </si>
  <si>
    <t>1775919</t>
  </si>
  <si>
    <t>Kauffeisen, Karine</t>
  </si>
  <si>
    <t>Kauffeisen</t>
  </si>
  <si>
    <t>Kodsi</t>
  </si>
  <si>
    <t>514 222-4991</t>
  </si>
  <si>
    <t>1834194</t>
  </si>
  <si>
    <t>514 377-1506</t>
  </si>
  <si>
    <t>1800592</t>
  </si>
  <si>
    <t>Bélanger-Bouchard, Trycia</t>
  </si>
  <si>
    <t>Bélanger-Bouchard</t>
  </si>
  <si>
    <t>Thériault-Degagné</t>
  </si>
  <si>
    <t>514 943-2904</t>
  </si>
  <si>
    <t>1976158</t>
  </si>
  <si>
    <t>Foka Mogouon</t>
  </si>
  <si>
    <t>Rose Johanne</t>
  </si>
  <si>
    <t>514 839-1596</t>
  </si>
  <si>
    <t>1533776</t>
  </si>
  <si>
    <t>Laurin, Jenifer</t>
  </si>
  <si>
    <t>Jenifer</t>
  </si>
  <si>
    <t>Giroux</t>
  </si>
  <si>
    <t>J5J2R9</t>
  </si>
  <si>
    <t>514 553-0988</t>
  </si>
  <si>
    <t>1863714</t>
  </si>
  <si>
    <t>514 690-0112</t>
  </si>
  <si>
    <t>1649082</t>
  </si>
  <si>
    <t>Duhaime, Mathieu</t>
  </si>
  <si>
    <t>Duhaime</t>
  </si>
  <si>
    <t>514 995-9269</t>
  </si>
  <si>
    <t>1742447</t>
  </si>
  <si>
    <t>514 887-3763</t>
  </si>
  <si>
    <t>1626426</t>
  </si>
  <si>
    <t>Bayard, Vincent</t>
  </si>
  <si>
    <t>Bayard</t>
  </si>
  <si>
    <t>514 865-6640</t>
  </si>
  <si>
    <t>1957819</t>
  </si>
  <si>
    <t>Lefebvre, Ines</t>
  </si>
  <si>
    <t>Ines</t>
  </si>
  <si>
    <t>Nicola</t>
  </si>
  <si>
    <t>J0W1J0</t>
  </si>
  <si>
    <t>514 632-7695</t>
  </si>
  <si>
    <t>1976282</t>
  </si>
  <si>
    <t>Rouleau, Beatrice Roxana</t>
  </si>
  <si>
    <t>Rouleau</t>
  </si>
  <si>
    <t>Beatrice Roxana</t>
  </si>
  <si>
    <t>Breton</t>
  </si>
  <si>
    <t>514 713-4531</t>
  </si>
  <si>
    <t>1925837</t>
  </si>
  <si>
    <t>514 641-1783</t>
  </si>
  <si>
    <t>1552727</t>
  </si>
  <si>
    <t>514 912-8507</t>
  </si>
  <si>
    <t>0659227</t>
  </si>
  <si>
    <t>Teasdale, Angélique</t>
  </si>
  <si>
    <t>Teasdale</t>
  </si>
  <si>
    <t>Angélique</t>
  </si>
  <si>
    <t>Belleau</t>
  </si>
  <si>
    <t>514 594-6440</t>
  </si>
  <si>
    <t>1864245</t>
  </si>
  <si>
    <t>Léveillé, Gabrielle</t>
  </si>
  <si>
    <t>Fortin Deschênes</t>
  </si>
  <si>
    <t>J5K2C7</t>
  </si>
  <si>
    <t>514 260-5187</t>
  </si>
  <si>
    <t>1426515</t>
  </si>
  <si>
    <t>514 914-2537</t>
  </si>
  <si>
    <t>1984158</t>
  </si>
  <si>
    <t>Vallières</t>
  </si>
  <si>
    <t>J5K1Z4</t>
  </si>
  <si>
    <t>514 292-3730</t>
  </si>
  <si>
    <t>1436120</t>
  </si>
  <si>
    <t>Jackmino, Kelly</t>
  </si>
  <si>
    <t>514 967-5686</t>
  </si>
  <si>
    <t>1853523</t>
  </si>
  <si>
    <t>Providence</t>
  </si>
  <si>
    <t>514 794-7900</t>
  </si>
  <si>
    <t>1383532</t>
  </si>
  <si>
    <t>514 713-3176</t>
  </si>
  <si>
    <t>1928842</t>
  </si>
  <si>
    <t>Godon, Léa</t>
  </si>
  <si>
    <t>Godon</t>
  </si>
  <si>
    <t>514 895-2642</t>
  </si>
  <si>
    <t>1728439</t>
  </si>
  <si>
    <t>Larivée, Jérémy</t>
  </si>
  <si>
    <t>Larivée</t>
  </si>
  <si>
    <t>Goyer-Villeneuve</t>
  </si>
  <si>
    <t>514 827-6444</t>
  </si>
  <si>
    <t>1536723</t>
  </si>
  <si>
    <t>Giang, Loïc</t>
  </si>
  <si>
    <t>Giang</t>
  </si>
  <si>
    <t>Mirza</t>
  </si>
  <si>
    <t>J5J1T6</t>
  </si>
  <si>
    <t>514 581-6086</t>
  </si>
  <si>
    <t>1742188</t>
  </si>
  <si>
    <t>J5K2B1</t>
  </si>
  <si>
    <t>514 265-1413</t>
  </si>
  <si>
    <t>1978235</t>
  </si>
  <si>
    <t>Corona-Pilon, Noémie</t>
  </si>
  <si>
    <t>Corona-Pilon</t>
  </si>
  <si>
    <t>Perron-Dupuis</t>
  </si>
  <si>
    <t>J5K2H9</t>
  </si>
  <si>
    <t>514 245-4430</t>
  </si>
  <si>
    <t>1826697</t>
  </si>
  <si>
    <t>Robillard St-Louis</t>
  </si>
  <si>
    <t>J5J2S8</t>
  </si>
  <si>
    <t>514 531-9546</t>
  </si>
  <si>
    <t>1941234</t>
  </si>
  <si>
    <t>Giguère, Loïc</t>
  </si>
  <si>
    <t>514 432-0005</t>
  </si>
  <si>
    <t>1936018</t>
  </si>
  <si>
    <t>J5L1B9</t>
  </si>
  <si>
    <t>450 967-5346</t>
  </si>
  <si>
    <t>1981480</t>
  </si>
  <si>
    <t>Vitabile-Cantin</t>
  </si>
  <si>
    <t>514 991-3506</t>
  </si>
  <si>
    <t>1636219</t>
  </si>
  <si>
    <t>Gagnon-Forget, Manuel</t>
  </si>
  <si>
    <t>Gagnon-Forget</t>
  </si>
  <si>
    <t>Manuel</t>
  </si>
  <si>
    <t>J5J0J9</t>
  </si>
  <si>
    <t>514 616-9622</t>
  </si>
  <si>
    <t>1753540</t>
  </si>
  <si>
    <t>J5L0A5</t>
  </si>
  <si>
    <t>514 210-9551</t>
  </si>
  <si>
    <t>1629858</t>
  </si>
  <si>
    <t>Milica</t>
  </si>
  <si>
    <t>514 577-5640</t>
  </si>
  <si>
    <t>1960729</t>
  </si>
  <si>
    <t>Durocher, Marlène</t>
  </si>
  <si>
    <t>Marlène</t>
  </si>
  <si>
    <t>514 557-9316</t>
  </si>
  <si>
    <t>1822689</t>
  </si>
  <si>
    <t>514 972-3930</t>
  </si>
  <si>
    <t>1772838</t>
  </si>
  <si>
    <t>Brien Hamer</t>
  </si>
  <si>
    <t>514 850-9355</t>
  </si>
  <si>
    <t>1375687</t>
  </si>
  <si>
    <t>Doan-Mai</t>
  </si>
  <si>
    <t>514 442-6008</t>
  </si>
  <si>
    <t>1984187</t>
  </si>
  <si>
    <t>Messier-Lalande, Emily-Ann</t>
  </si>
  <si>
    <t>Messier-Lalande</t>
  </si>
  <si>
    <t>Dick</t>
  </si>
  <si>
    <t>514 887-2454</t>
  </si>
  <si>
    <t>1552171</t>
  </si>
  <si>
    <t>Legault, Héloïse</t>
  </si>
  <si>
    <t>Héloïse</t>
  </si>
  <si>
    <t>Galipeau</t>
  </si>
  <si>
    <t>J0T1R0</t>
  </si>
  <si>
    <t>514 771-0210</t>
  </si>
  <si>
    <t>1838468</t>
  </si>
  <si>
    <t>Gauthier, Luis-Miguel</t>
  </si>
  <si>
    <t>Luis-Miguel</t>
  </si>
  <si>
    <t>Leblanc Muloin</t>
  </si>
  <si>
    <t>514 224-6271</t>
  </si>
  <si>
    <t>1226002</t>
  </si>
  <si>
    <t>514 898-4598</t>
  </si>
  <si>
    <t>1963638</t>
  </si>
  <si>
    <t>Ryan</t>
  </si>
  <si>
    <t>514 869-7572</t>
  </si>
  <si>
    <t>6147623</t>
  </si>
  <si>
    <t>Chaumont, Pascale</t>
  </si>
  <si>
    <t>514 993-0026</t>
  </si>
  <si>
    <t>1441278</t>
  </si>
  <si>
    <t>Lachapelle, Julia</t>
  </si>
  <si>
    <t>J5K2S3</t>
  </si>
  <si>
    <t>514 233-1436</t>
  </si>
  <si>
    <t>1949714</t>
  </si>
  <si>
    <t>Brabant, Samuel</t>
  </si>
  <si>
    <t>514 353-2331</t>
  </si>
  <si>
    <t>1753135</t>
  </si>
  <si>
    <t>Robitaille, Brenda</t>
  </si>
  <si>
    <t>Bruneau-Bujold</t>
  </si>
  <si>
    <t>Paul Jr</t>
  </si>
  <si>
    <t>514 771-8638</t>
  </si>
  <si>
    <t>6148536</t>
  </si>
  <si>
    <t>Vaudrin, Alexandre</t>
  </si>
  <si>
    <t>Vaudrin</t>
  </si>
  <si>
    <t>Arias</t>
  </si>
  <si>
    <t>514 679-8170</t>
  </si>
  <si>
    <t>1838078</t>
  </si>
  <si>
    <t>Tisserand, Amelie</t>
  </si>
  <si>
    <t>Tisserand</t>
  </si>
  <si>
    <t>Amelie</t>
  </si>
  <si>
    <t>Beaulieu-Grondin</t>
  </si>
  <si>
    <t>Sandryne</t>
  </si>
  <si>
    <t>514 951-6642</t>
  </si>
  <si>
    <t>1839771</t>
  </si>
  <si>
    <t>Théoret-Larrivée</t>
  </si>
  <si>
    <t>J0T1Y0</t>
  </si>
  <si>
    <t>514 726-2528</t>
  </si>
  <si>
    <t>1828633</t>
  </si>
  <si>
    <t>Gauthier-St-Maurice, Loupca</t>
  </si>
  <si>
    <t>Gauthier-St-Maurice</t>
  </si>
  <si>
    <t>Loupca</t>
  </si>
  <si>
    <t>514 663-4801</t>
  </si>
  <si>
    <t>1288437</t>
  </si>
  <si>
    <t>Trempe, Alisson</t>
  </si>
  <si>
    <t>Alisson</t>
  </si>
  <si>
    <t>Rosally</t>
  </si>
  <si>
    <t>514 834-4206</t>
  </si>
  <si>
    <t>1757871</t>
  </si>
  <si>
    <t>Mélodye</t>
  </si>
  <si>
    <t>514 550-2798</t>
  </si>
  <si>
    <t>1837061</t>
  </si>
  <si>
    <t>Thibeault, Amélie</t>
  </si>
  <si>
    <t>Thibeault</t>
  </si>
  <si>
    <t>514 318-4163</t>
  </si>
  <si>
    <t>1644377</t>
  </si>
  <si>
    <t>514 922-5951</t>
  </si>
  <si>
    <t>1735912</t>
  </si>
  <si>
    <t>Charbonneau, Pierre-Henri</t>
  </si>
  <si>
    <t>J5J1P7</t>
  </si>
  <si>
    <t>514 589-0673</t>
  </si>
  <si>
    <t>1741988</t>
  </si>
  <si>
    <t>514 943-2921</t>
  </si>
  <si>
    <t>1966852</t>
  </si>
  <si>
    <t>J5J2X3</t>
  </si>
  <si>
    <t>514 515-8326</t>
  </si>
  <si>
    <t>1658102</t>
  </si>
  <si>
    <t>Lahaise-Dion, Johany</t>
  </si>
  <si>
    <t>Lahaise-Dion</t>
  </si>
  <si>
    <t>Johany</t>
  </si>
  <si>
    <t>514 895-6137</t>
  </si>
  <si>
    <t>1834189</t>
  </si>
  <si>
    <t>Pacitto-Charbonneau, Diana</t>
  </si>
  <si>
    <t>Pacitto-Charbonneau</t>
  </si>
  <si>
    <t>Diana</t>
  </si>
  <si>
    <t>Dame</t>
  </si>
  <si>
    <t>514 662-9897</t>
  </si>
  <si>
    <t>1725122</t>
  </si>
  <si>
    <t>Lasanté, Jennyfer</t>
  </si>
  <si>
    <t>Lasanté</t>
  </si>
  <si>
    <t>Jennyfer</t>
  </si>
  <si>
    <t>Gonzalez</t>
  </si>
  <si>
    <t>450 979-4065</t>
  </si>
  <si>
    <t>1636187</t>
  </si>
  <si>
    <t>Moreault</t>
  </si>
  <si>
    <t>514 709-6256</t>
  </si>
  <si>
    <t>1561503</t>
  </si>
  <si>
    <t>Isabelle, Kelly-Ann</t>
  </si>
  <si>
    <t>514 755-8887</t>
  </si>
  <si>
    <t>1835581</t>
  </si>
  <si>
    <t>J5J2H9</t>
  </si>
  <si>
    <t>514 570-5385</t>
  </si>
  <si>
    <t>1979461</t>
  </si>
  <si>
    <t>Poulin, Charles</t>
  </si>
  <si>
    <t>Charlebois-Gagné</t>
  </si>
  <si>
    <t>Paulina</t>
  </si>
  <si>
    <t>514 772-4262</t>
  </si>
  <si>
    <t>1977216</t>
  </si>
  <si>
    <t>Renaud, Carole-Anne</t>
  </si>
  <si>
    <t>Carole-Anne</t>
  </si>
  <si>
    <t>Carreau</t>
  </si>
  <si>
    <t>Meyghan</t>
  </si>
  <si>
    <t>J5J2N4</t>
  </si>
  <si>
    <t>514 554-4265</t>
  </si>
  <si>
    <t>1725612</t>
  </si>
  <si>
    <t>514 771-8232</t>
  </si>
  <si>
    <t>1855443</t>
  </si>
  <si>
    <t>Sacha</t>
  </si>
  <si>
    <t>514 891-0629</t>
  </si>
  <si>
    <t>1768829</t>
  </si>
  <si>
    <t>Stevens, Antoine</t>
  </si>
  <si>
    <t>Melissa</t>
  </si>
  <si>
    <t>514 503-2952</t>
  </si>
  <si>
    <t>1705985</t>
  </si>
  <si>
    <t>Forget-Laramée, Marie-Eve</t>
  </si>
  <si>
    <t>Forget-Laramée</t>
  </si>
  <si>
    <t>Lizotte</t>
  </si>
  <si>
    <t>514 924-7150</t>
  </si>
  <si>
    <t>1909978</t>
  </si>
  <si>
    <t>Laforest-Joseph, Jonathan</t>
  </si>
  <si>
    <t>514 883-9136</t>
  </si>
  <si>
    <t>0243211</t>
  </si>
  <si>
    <t>Raffaël</t>
  </si>
  <si>
    <t>514 803-7940</t>
  </si>
  <si>
    <t>1243714</t>
  </si>
  <si>
    <t>Courcelles, Nicolas</t>
  </si>
  <si>
    <t>Courcelles</t>
  </si>
  <si>
    <t>J5K1K5</t>
  </si>
  <si>
    <t>514 358-7508</t>
  </si>
  <si>
    <t>1565617</t>
  </si>
  <si>
    <t>Gaulin, Lydia</t>
  </si>
  <si>
    <t>Lydia</t>
  </si>
  <si>
    <t>J0T2L0</t>
  </si>
  <si>
    <t>514 706-3289</t>
  </si>
  <si>
    <t>6146568</t>
  </si>
  <si>
    <t>Morin, Élyssa</t>
  </si>
  <si>
    <t>Élyssa</t>
  </si>
  <si>
    <t>514 952-8624</t>
  </si>
  <si>
    <t>1881383</t>
  </si>
  <si>
    <t>Nguimdoh</t>
  </si>
  <si>
    <t>J5K2C4</t>
  </si>
  <si>
    <t>514 261-2126</t>
  </si>
  <si>
    <t>1558205</t>
  </si>
  <si>
    <t>Selianise Mania</t>
  </si>
  <si>
    <t>514 974-4594</t>
  </si>
  <si>
    <t>1857302</t>
  </si>
  <si>
    <t>Lessard, Gabryelle</t>
  </si>
  <si>
    <t>Gabryelle</t>
  </si>
  <si>
    <t>Méghane</t>
  </si>
  <si>
    <t>514 467-3107</t>
  </si>
  <si>
    <t>1529594</t>
  </si>
  <si>
    <t>Lejeune, Guyaume</t>
  </si>
  <si>
    <t>Lejeune</t>
  </si>
  <si>
    <t>Guyaume</t>
  </si>
  <si>
    <t>514 961-0703</t>
  </si>
  <si>
    <t>1965068</t>
  </si>
  <si>
    <t>Laforest, Jordan</t>
  </si>
  <si>
    <t>Laforest</t>
  </si>
  <si>
    <t>Jordan</t>
  </si>
  <si>
    <t>Hinse</t>
  </si>
  <si>
    <t>514 250-0120</t>
  </si>
  <si>
    <t>1936004</t>
  </si>
  <si>
    <t>514 885-4737</t>
  </si>
  <si>
    <t>1923613</t>
  </si>
  <si>
    <t>514 778-8021</t>
  </si>
  <si>
    <t>1724388</t>
  </si>
  <si>
    <t>514 943-3395</t>
  </si>
  <si>
    <t>1530810</t>
  </si>
  <si>
    <t>Héroux, Kina</t>
  </si>
  <si>
    <t>Héroux</t>
  </si>
  <si>
    <t>Kina</t>
  </si>
  <si>
    <t>J5K0A3</t>
  </si>
  <si>
    <t>514 476-1219</t>
  </si>
  <si>
    <t>1935669</t>
  </si>
  <si>
    <t>Asfaw</t>
  </si>
  <si>
    <t>514 662-4218</t>
  </si>
  <si>
    <t>1554666</t>
  </si>
  <si>
    <t>D'Addona</t>
  </si>
  <si>
    <t>J5K0E4</t>
  </si>
  <si>
    <t>514 466-2887</t>
  </si>
  <si>
    <t>1376226</t>
  </si>
  <si>
    <t>Nadon-Laramée, Elly</t>
  </si>
  <si>
    <t>Nadon-Laramée</t>
  </si>
  <si>
    <t>Denis</t>
  </si>
  <si>
    <t>514 649-5096</t>
  </si>
  <si>
    <t>1964525</t>
  </si>
  <si>
    <t>514 588-4421</t>
  </si>
  <si>
    <t>1509336</t>
  </si>
  <si>
    <t>Vignola, Alexandra</t>
  </si>
  <si>
    <t>Vignola</t>
  </si>
  <si>
    <t>Andréani-Labelle</t>
  </si>
  <si>
    <t>514 816-7535</t>
  </si>
  <si>
    <t>1956795</t>
  </si>
  <si>
    <t>Velasquez, Alexandra-Melody</t>
  </si>
  <si>
    <t>Velasquez</t>
  </si>
  <si>
    <t>Alexandra-Melody</t>
  </si>
  <si>
    <t>514 927-9156</t>
  </si>
  <si>
    <t>1965019</t>
  </si>
  <si>
    <t>514 755-7350</t>
  </si>
  <si>
    <t>1639967</t>
  </si>
  <si>
    <t>Dumouchel</t>
  </si>
  <si>
    <t>514 967-9165</t>
  </si>
  <si>
    <t>1009436</t>
  </si>
  <si>
    <t>514 347-1731</t>
  </si>
  <si>
    <t>1622512</t>
  </si>
  <si>
    <t>Foucault, Marie</t>
  </si>
  <si>
    <t>Marie</t>
  </si>
  <si>
    <t>Levasseur</t>
  </si>
  <si>
    <t>514 713-0598</t>
  </si>
  <si>
    <t>1761475</t>
  </si>
  <si>
    <t>Castellon, Rosabelle</t>
  </si>
  <si>
    <t>Castellon</t>
  </si>
  <si>
    <t>Regimballe</t>
  </si>
  <si>
    <t>514 885-2948</t>
  </si>
  <si>
    <t>1527477</t>
  </si>
  <si>
    <t>Garcia, Maggy</t>
  </si>
  <si>
    <t>Garcia</t>
  </si>
  <si>
    <t>Lefebvre-Monette</t>
  </si>
  <si>
    <t>Natascha</t>
  </si>
  <si>
    <t>J5J0H3</t>
  </si>
  <si>
    <t>514 619-6294</t>
  </si>
  <si>
    <t>1172982</t>
  </si>
  <si>
    <t>Cousineau-Gamache, Nicolas</t>
  </si>
  <si>
    <t>Cousineau-Gamache</t>
  </si>
  <si>
    <t>514 706-0725</t>
  </si>
  <si>
    <t>1237275</t>
  </si>
  <si>
    <t>Rialland, Carl-Emmanuel</t>
  </si>
  <si>
    <t>Rialland</t>
  </si>
  <si>
    <t>Carl-Emmanuel</t>
  </si>
  <si>
    <t>J5J0E2</t>
  </si>
  <si>
    <t>514 622-7128</t>
  </si>
  <si>
    <t>1938843</t>
  </si>
  <si>
    <t>Emond, Marilyn</t>
  </si>
  <si>
    <t>Emond</t>
  </si>
  <si>
    <t>J0V1S0</t>
  </si>
  <si>
    <t>514 653-4578</t>
  </si>
  <si>
    <t>1937798</t>
  </si>
  <si>
    <t>Péloquin, Coralie</t>
  </si>
  <si>
    <t>514 917-8960</t>
  </si>
  <si>
    <t>1765436</t>
  </si>
  <si>
    <t>Medina</t>
  </si>
  <si>
    <t>514 430-2043</t>
  </si>
  <si>
    <t>1669670</t>
  </si>
  <si>
    <t>D Ducharme</t>
  </si>
  <si>
    <t>514 772-7809</t>
  </si>
  <si>
    <t>1767403</t>
  </si>
  <si>
    <t>Tourigny</t>
  </si>
  <si>
    <t>J5J0L7</t>
  </si>
  <si>
    <t>514 609-6466</t>
  </si>
  <si>
    <t>1937427</t>
  </si>
  <si>
    <t>Landriault, Jessica</t>
  </si>
  <si>
    <t>Landriault</t>
  </si>
  <si>
    <t>514 882-4288</t>
  </si>
  <si>
    <t>1944244</t>
  </si>
  <si>
    <t>McDonald, Esteban</t>
  </si>
  <si>
    <t>Esteban</t>
  </si>
  <si>
    <t>514 833-3023</t>
  </si>
  <si>
    <t>1951729</t>
  </si>
  <si>
    <t>Laurin, Jean-Sébastien</t>
  </si>
  <si>
    <t>Jean-Sébastien</t>
  </si>
  <si>
    <t>J5K0B1</t>
  </si>
  <si>
    <t>514 475-8842</t>
  </si>
  <si>
    <t>1730636</t>
  </si>
  <si>
    <t>Comeau, Océane</t>
  </si>
  <si>
    <t>514 266-4347</t>
  </si>
  <si>
    <t>1274535</t>
  </si>
  <si>
    <t>Vieira, Alexandra</t>
  </si>
  <si>
    <t>Vieira</t>
  </si>
  <si>
    <t>514 972-5460</t>
  </si>
  <si>
    <t>1973747</t>
  </si>
  <si>
    <t>514 836-6623</t>
  </si>
  <si>
    <t>1338982</t>
  </si>
  <si>
    <t>Legault, Hughes P.</t>
  </si>
  <si>
    <t>Hughes P.</t>
  </si>
  <si>
    <t>Gagnon-Lapointe</t>
  </si>
  <si>
    <t>514 704-5169</t>
  </si>
  <si>
    <t>1871108</t>
  </si>
  <si>
    <t>514 713-4287</t>
  </si>
  <si>
    <t>1373785</t>
  </si>
  <si>
    <t>Bellemare, Thomas</t>
  </si>
  <si>
    <t>Bellemare</t>
  </si>
  <si>
    <t>Taylor</t>
  </si>
  <si>
    <t>514 946-0807</t>
  </si>
  <si>
    <t>1282206</t>
  </si>
  <si>
    <t>Duquette, Marylou</t>
  </si>
  <si>
    <t>Duquette</t>
  </si>
  <si>
    <t>514 945-0344</t>
  </si>
  <si>
    <t>1624053</t>
  </si>
  <si>
    <t>Legault, Hiba</t>
  </si>
  <si>
    <t>Hiba</t>
  </si>
  <si>
    <t>Galibois</t>
  </si>
  <si>
    <t>514 909-0146</t>
  </si>
  <si>
    <t>1773293</t>
  </si>
  <si>
    <t>Valletta, Alexandre</t>
  </si>
  <si>
    <t>Valletta</t>
  </si>
  <si>
    <t>514 967-8764</t>
  </si>
  <si>
    <t>1850363</t>
  </si>
  <si>
    <t>Clément Lavallée, Olivier</t>
  </si>
  <si>
    <t>Clément Lavallée</t>
  </si>
  <si>
    <t>Oumou</t>
  </si>
  <si>
    <t>514 743-7461</t>
  </si>
  <si>
    <t>1802790</t>
  </si>
  <si>
    <t>Kigeme, Justine</t>
  </si>
  <si>
    <t>Kigeme</t>
  </si>
  <si>
    <t>Keller</t>
  </si>
  <si>
    <t>514 883-8805</t>
  </si>
  <si>
    <t>1237763</t>
  </si>
  <si>
    <t>Leroux-Robert, Galia</t>
  </si>
  <si>
    <t>Galia</t>
  </si>
  <si>
    <t>Rose Aline</t>
  </si>
  <si>
    <t>514 839-1097</t>
  </si>
  <si>
    <t>1722960</t>
  </si>
  <si>
    <t>Desjardins-Lapointe, Mégane</t>
  </si>
  <si>
    <t>Desjardins-Lapointe</t>
  </si>
  <si>
    <t>Monty-Dupont</t>
  </si>
  <si>
    <t>J5K1T1</t>
  </si>
  <si>
    <t>514 299-9005</t>
  </si>
  <si>
    <t>1724165</t>
  </si>
  <si>
    <t>Purchase, Catherine</t>
  </si>
  <si>
    <t>Purchase</t>
  </si>
  <si>
    <t>J5J0A3</t>
  </si>
  <si>
    <t>514 625-0762</t>
  </si>
  <si>
    <t>0759940</t>
  </si>
  <si>
    <t>Theodate, Andréanne</t>
  </si>
  <si>
    <t>Miriame</t>
  </si>
  <si>
    <t>514 581-3061</t>
  </si>
  <si>
    <t>1864744</t>
  </si>
  <si>
    <t>Fortin, Marie Denise</t>
  </si>
  <si>
    <t>Marie Denise</t>
  </si>
  <si>
    <t>Natalia</t>
  </si>
  <si>
    <t>514 619-5111</t>
  </si>
  <si>
    <t>1854669</t>
  </si>
  <si>
    <t>514 823-7586</t>
  </si>
  <si>
    <t>1638426</t>
  </si>
  <si>
    <t>514 862-3398</t>
  </si>
  <si>
    <t>1873467</t>
  </si>
  <si>
    <t>Prévost, Cendrine</t>
  </si>
  <si>
    <t>Cendrine</t>
  </si>
  <si>
    <t>450 971-2209</t>
  </si>
  <si>
    <t>1078880</t>
  </si>
  <si>
    <t>Kubik, Justine</t>
  </si>
  <si>
    <t>Kubik</t>
  </si>
  <si>
    <t>Juneau</t>
  </si>
  <si>
    <t>J5K0M5</t>
  </si>
  <si>
    <t>514 452-6581</t>
  </si>
  <si>
    <t>1853342</t>
  </si>
  <si>
    <t>514 706-1998</t>
  </si>
  <si>
    <t>1845508</t>
  </si>
  <si>
    <t>Blais, Simon-Olivier</t>
  </si>
  <si>
    <t>Spino</t>
  </si>
  <si>
    <t>514 638-1608</t>
  </si>
  <si>
    <t>1967480</t>
  </si>
  <si>
    <t>Charlebois-Gagné, Perla</t>
  </si>
  <si>
    <t>Perla</t>
  </si>
  <si>
    <t>Samini</t>
  </si>
  <si>
    <t>514 892-7203</t>
  </si>
  <si>
    <t>1976408</t>
  </si>
  <si>
    <t>Bujold, Salimata</t>
  </si>
  <si>
    <t>Bujold</t>
  </si>
  <si>
    <t>Salimata</t>
  </si>
  <si>
    <t>514 699-4215</t>
  </si>
  <si>
    <t>1626443</t>
  </si>
  <si>
    <t>Robert, Brittany</t>
  </si>
  <si>
    <t>Brittany</t>
  </si>
  <si>
    <t>514 808-3969</t>
  </si>
  <si>
    <t>1842569</t>
  </si>
  <si>
    <t>Matte-Pelletier, Eva</t>
  </si>
  <si>
    <t>Matte-Pelletier</t>
  </si>
  <si>
    <t>Eva</t>
  </si>
  <si>
    <t>Mohammed Amine</t>
  </si>
  <si>
    <t>J5J1T5</t>
  </si>
  <si>
    <t>514 582-7353</t>
  </si>
  <si>
    <t>1833586</t>
  </si>
  <si>
    <t>514 713-4029</t>
  </si>
  <si>
    <t>1864418</t>
  </si>
  <si>
    <t>Chapman, Rachel</t>
  </si>
  <si>
    <t>514 808-1550</t>
  </si>
  <si>
    <t>1648753</t>
  </si>
  <si>
    <t>Jean-Mary, Kathie</t>
  </si>
  <si>
    <t>Jean-Mary</t>
  </si>
  <si>
    <t>Kathie</t>
  </si>
  <si>
    <t>514 989-1882</t>
  </si>
  <si>
    <t>1273785</t>
  </si>
  <si>
    <t>Lafortune, Jonathan</t>
  </si>
  <si>
    <t>514 771-0531</t>
  </si>
  <si>
    <t>1320118</t>
  </si>
  <si>
    <t>Brien Hamer, Samuel</t>
  </si>
  <si>
    <t>514 999-6915</t>
  </si>
  <si>
    <t>6141582</t>
  </si>
  <si>
    <t>Melançon, Émy</t>
  </si>
  <si>
    <t>Dorfeuille</t>
  </si>
  <si>
    <t>514 824-1853</t>
  </si>
  <si>
    <t>1943002</t>
  </si>
  <si>
    <t>514 804-8635</t>
  </si>
  <si>
    <t>9964073</t>
  </si>
  <si>
    <t>514 292-5404</t>
  </si>
  <si>
    <t>1956402</t>
  </si>
  <si>
    <t>514 975-8511</t>
  </si>
  <si>
    <t>1959563</t>
  </si>
  <si>
    <t>Patenaude, Dahlia</t>
  </si>
  <si>
    <t>Patenaude</t>
  </si>
  <si>
    <t>Dahlia</t>
  </si>
  <si>
    <t>Creighton</t>
  </si>
  <si>
    <t>514 961-8372</t>
  </si>
  <si>
    <t>6134555</t>
  </si>
  <si>
    <t>Touko Moukam</t>
  </si>
  <si>
    <t>J0W1H0</t>
  </si>
  <si>
    <t>514 632-7875</t>
  </si>
  <si>
    <t>1362105</t>
  </si>
  <si>
    <t>Lafontaine, Jordan</t>
  </si>
  <si>
    <t>Honein</t>
  </si>
  <si>
    <t>514 865-5915</t>
  </si>
  <si>
    <t>1772745</t>
  </si>
  <si>
    <t>Terrier, Angélie</t>
  </si>
  <si>
    <t>Terrier</t>
  </si>
  <si>
    <t>Angélie</t>
  </si>
  <si>
    <t>514 951-2577</t>
  </si>
  <si>
    <t>1975134</t>
  </si>
  <si>
    <t>Simard-Gauthier, Ariane</t>
  </si>
  <si>
    <t>Simard-Gauthier</t>
  </si>
  <si>
    <t>514 638-0188</t>
  </si>
  <si>
    <t>1343431</t>
  </si>
  <si>
    <t>Coursol, Nicolas</t>
  </si>
  <si>
    <t>Coursol</t>
  </si>
  <si>
    <t>J5J2V7</t>
  </si>
  <si>
    <t>514 519-5009</t>
  </si>
  <si>
    <t>1833661</t>
  </si>
  <si>
    <t>Galarneau-Larin, Malik</t>
  </si>
  <si>
    <t>Galarneau-Larin</t>
  </si>
  <si>
    <t>Malik</t>
  </si>
  <si>
    <t>Maxim-Alexandre</t>
  </si>
  <si>
    <t>514 299-8385</t>
  </si>
  <si>
    <t>1733309</t>
  </si>
  <si>
    <t>Daudet-Boisvert, Mikaël André</t>
  </si>
  <si>
    <t>Daudet-Boisvert</t>
  </si>
  <si>
    <t>Mikaël André</t>
  </si>
  <si>
    <t>514 907-9913</t>
  </si>
  <si>
    <t>1904430</t>
  </si>
  <si>
    <t>514 660-3802</t>
  </si>
  <si>
    <t>1847359</t>
  </si>
  <si>
    <t>Alphonso, Youssef Nabil</t>
  </si>
  <si>
    <t>Alphonso</t>
  </si>
  <si>
    <t>514 779-3710</t>
  </si>
  <si>
    <t>1755153</t>
  </si>
  <si>
    <t>Ferland, Marika</t>
  </si>
  <si>
    <t>Mahoney</t>
  </si>
  <si>
    <t>514 916-7031</t>
  </si>
  <si>
    <t>1838695</t>
  </si>
  <si>
    <t>514 969-6574</t>
  </si>
  <si>
    <t>1734077</t>
  </si>
  <si>
    <t>514 629-1223</t>
  </si>
  <si>
    <t>1838651</t>
  </si>
  <si>
    <t>Herrera Rodriguez, Kimily</t>
  </si>
  <si>
    <t>Herrera Rodriguez</t>
  </si>
  <si>
    <t>Kimily</t>
  </si>
  <si>
    <t>Lafrenière</t>
  </si>
  <si>
    <t>514 433-5435</t>
  </si>
  <si>
    <t>1773763</t>
  </si>
  <si>
    <t>514 224-4895</t>
  </si>
  <si>
    <t>1460311</t>
  </si>
  <si>
    <t>Charron, Penelope</t>
  </si>
  <si>
    <t>514 919-3668</t>
  </si>
  <si>
    <t>1749519</t>
  </si>
  <si>
    <t>514 923-9815</t>
  </si>
  <si>
    <t>1857767</t>
  </si>
  <si>
    <t>Couture, Nicolas</t>
  </si>
  <si>
    <t>Payant</t>
  </si>
  <si>
    <t>514 430-0154</t>
  </si>
  <si>
    <t>1829190</t>
  </si>
  <si>
    <t>St-Gelais, Antoine</t>
  </si>
  <si>
    <t>St-Gelais</t>
  </si>
  <si>
    <t>450 974-7821</t>
  </si>
  <si>
    <t>1306741</t>
  </si>
  <si>
    <t>Lessard Blais</t>
  </si>
  <si>
    <t>514 632-9029</t>
  </si>
  <si>
    <t>1231326</t>
  </si>
  <si>
    <t>514 816-5417</t>
  </si>
  <si>
    <t>1802856</t>
  </si>
  <si>
    <t>Courchesne, Nicolas</t>
  </si>
  <si>
    <t>Michel</t>
  </si>
  <si>
    <t>514 566-2799</t>
  </si>
  <si>
    <t>1533670</t>
  </si>
  <si>
    <t>514 775-0824</t>
  </si>
  <si>
    <t>1138297</t>
  </si>
  <si>
    <t>Montreuil, Emilie</t>
  </si>
  <si>
    <t>Montreuil</t>
  </si>
  <si>
    <t>Desjardins-Mansot</t>
  </si>
  <si>
    <t>Philipe</t>
  </si>
  <si>
    <t>J0T1J2</t>
  </si>
  <si>
    <t>514 776-5245</t>
  </si>
  <si>
    <t>1949092</t>
  </si>
  <si>
    <t>Mia</t>
  </si>
  <si>
    <t>J5J2N2</t>
  </si>
  <si>
    <t>514 554-4292</t>
  </si>
  <si>
    <t>9665669</t>
  </si>
  <si>
    <t>Beausoleil</t>
  </si>
  <si>
    <t>514 476-0258</t>
  </si>
  <si>
    <t>1962389</t>
  </si>
  <si>
    <t>Faubert, Marilou</t>
  </si>
  <si>
    <t>Mainville-Chamberland</t>
  </si>
  <si>
    <t>514 924-9721</t>
  </si>
  <si>
    <t>1746415</t>
  </si>
  <si>
    <t>Tremblay-St-Louis</t>
  </si>
  <si>
    <t>514 779-2696</t>
  </si>
  <si>
    <t>1713260</t>
  </si>
  <si>
    <t>Nora</t>
  </si>
  <si>
    <t>514 702-1858</t>
  </si>
  <si>
    <t>1837758</t>
  </si>
  <si>
    <t>Keller, Karim</t>
  </si>
  <si>
    <t>Karim</t>
  </si>
  <si>
    <t>514 475-5180</t>
  </si>
  <si>
    <t>1228366</t>
  </si>
  <si>
    <t>Désy, Meaghan</t>
  </si>
  <si>
    <t>Meaghan</t>
  </si>
  <si>
    <t>514 996-4622</t>
  </si>
  <si>
    <t>1828527</t>
  </si>
  <si>
    <t>Servant, Arianne</t>
  </si>
  <si>
    <t>Servant</t>
  </si>
  <si>
    <t>514 850-1832</t>
  </si>
  <si>
    <t>1728494</t>
  </si>
  <si>
    <t>514 801-0286</t>
  </si>
  <si>
    <t>0354439</t>
  </si>
  <si>
    <t>Deslauriers Dupont, Mégan</t>
  </si>
  <si>
    <t>Mongeon</t>
  </si>
  <si>
    <t>514 712-0682</t>
  </si>
  <si>
    <t>1771029</t>
  </si>
  <si>
    <t>Bastien-Ducharme, Virginie</t>
  </si>
  <si>
    <t>514 713-9293</t>
  </si>
  <si>
    <t>1427590</t>
  </si>
  <si>
    <t>514 943-1299</t>
  </si>
  <si>
    <t>1930671</t>
  </si>
  <si>
    <t>Francoeur-Morin, Mariane</t>
  </si>
  <si>
    <t>Francoeur-Morin</t>
  </si>
  <si>
    <t>Noa</t>
  </si>
  <si>
    <t>514 662-2561</t>
  </si>
  <si>
    <t>1860213</t>
  </si>
  <si>
    <t>Girard, Léonie</t>
  </si>
  <si>
    <t>514 467-6580</t>
  </si>
  <si>
    <t>1833944</t>
  </si>
  <si>
    <t>Legueré</t>
  </si>
  <si>
    <t>J5J1R9</t>
  </si>
  <si>
    <t>514 586-4203</t>
  </si>
  <si>
    <t>1759217</t>
  </si>
  <si>
    <t>Mika</t>
  </si>
  <si>
    <t>514 572-2110</t>
  </si>
  <si>
    <t>1952348</t>
  </si>
  <si>
    <t>Desforges, Mélanie</t>
  </si>
  <si>
    <t>Desforges</t>
  </si>
  <si>
    <t>514 992-6230</t>
  </si>
  <si>
    <t>1870714</t>
  </si>
  <si>
    <t>Labranche, Julie-Pier</t>
  </si>
  <si>
    <t>Labranche</t>
  </si>
  <si>
    <t>450 979-3040</t>
  </si>
  <si>
    <t>1925842</t>
  </si>
  <si>
    <t>Plamondon, Charlotte</t>
  </si>
  <si>
    <t>Plamondon</t>
  </si>
  <si>
    <t>514 714-2852</t>
  </si>
  <si>
    <t>1943837</t>
  </si>
  <si>
    <t>514 433-4466</t>
  </si>
  <si>
    <t>1459849</t>
  </si>
  <si>
    <t>Bellerose, Thomas</t>
  </si>
  <si>
    <t>Bellerose</t>
  </si>
  <si>
    <t>Tavares Quental</t>
  </si>
  <si>
    <t>514 726-8534</t>
  </si>
  <si>
    <t>1988008</t>
  </si>
  <si>
    <t>Ouimet Gosselin, Diandra</t>
  </si>
  <si>
    <t>Diandra</t>
  </si>
  <si>
    <t>Dao Sidibe</t>
  </si>
  <si>
    <t>J5L0J4</t>
  </si>
  <si>
    <t>450 974-4106</t>
  </si>
  <si>
    <t>1846266</t>
  </si>
  <si>
    <t>514 831-6224</t>
  </si>
  <si>
    <t>0174088</t>
  </si>
  <si>
    <t>Nassif, Elizaveta</t>
  </si>
  <si>
    <t>Nassif</t>
  </si>
  <si>
    <t>Elizaveta</t>
  </si>
  <si>
    <t>J5J0E1</t>
  </si>
  <si>
    <t>514 622-9601</t>
  </si>
  <si>
    <t>1974137</t>
  </si>
  <si>
    <t>St-Vincent, Anne-Sophie</t>
  </si>
  <si>
    <t>Anne-Sophie</t>
  </si>
  <si>
    <t>Bergevin</t>
  </si>
  <si>
    <t>J5K1Z6</t>
  </si>
  <si>
    <t>514 292-0774</t>
  </si>
  <si>
    <t>1815941</t>
  </si>
  <si>
    <t>Desjarlais, Mégane</t>
  </si>
  <si>
    <t>Desjarlais</t>
  </si>
  <si>
    <t>Montanaro Lamothe</t>
  </si>
  <si>
    <t>514 891-1143</t>
  </si>
  <si>
    <t>1653550</t>
  </si>
  <si>
    <t>Gonzalez Diaz De Cerio, Léa</t>
  </si>
  <si>
    <t>Gonzalez Diaz De Cerio</t>
  </si>
  <si>
    <t>Mykaelle</t>
  </si>
  <si>
    <t>J5J1P2</t>
  </si>
  <si>
    <t>514 591-4879</t>
  </si>
  <si>
    <t>1958509</t>
  </si>
  <si>
    <t>Ricard, Carl</t>
  </si>
  <si>
    <t>Carl</t>
  </si>
  <si>
    <t>514 746-0498</t>
  </si>
  <si>
    <t>1852413</t>
  </si>
  <si>
    <t>Miron, Emilie</t>
  </si>
  <si>
    <t>450 965-9695</t>
  </si>
  <si>
    <t>1583870</t>
  </si>
  <si>
    <t>514 502-7362</t>
  </si>
  <si>
    <t>1222156</t>
  </si>
  <si>
    <t>Mc Martin-Boutin, Esteban</t>
  </si>
  <si>
    <t>Mc Martin-Boutin</t>
  </si>
  <si>
    <t>Shade</t>
  </si>
  <si>
    <t>514 974-9622</t>
  </si>
  <si>
    <t>1986979</t>
  </si>
  <si>
    <t>Hurtubise-Perron, Kelly-Anne</t>
  </si>
  <si>
    <t>J5K0G3</t>
  </si>
  <si>
    <t>514 464-3135</t>
  </si>
  <si>
    <t>1972831</t>
  </si>
  <si>
    <t>J5L0A6</t>
  </si>
  <si>
    <t>514 209-7761</t>
  </si>
  <si>
    <t>1413563</t>
  </si>
  <si>
    <t>514 430-1147</t>
  </si>
  <si>
    <t>1960744</t>
  </si>
  <si>
    <t>Desrosiers, Medina</t>
  </si>
  <si>
    <t>Milian-Chambers</t>
  </si>
  <si>
    <t>J0X3C0</t>
  </si>
  <si>
    <t>514 627-7022</t>
  </si>
  <si>
    <t>1828248</t>
  </si>
  <si>
    <t>St-Amour-Grenier, Antoine</t>
  </si>
  <si>
    <t>St-Amour-Grenier</t>
  </si>
  <si>
    <t>Blain</t>
  </si>
  <si>
    <t>514 663-3839</t>
  </si>
  <si>
    <t>1622497</t>
  </si>
  <si>
    <t>Panneton, David</t>
  </si>
  <si>
    <t>Panneton</t>
  </si>
  <si>
    <t>514 892-1295</t>
  </si>
  <si>
    <t>1761452</t>
  </si>
  <si>
    <t>Lizotte, Gabriel</t>
  </si>
  <si>
    <t>J5K1M8</t>
  </si>
  <si>
    <t>514 349-0400</t>
  </si>
  <si>
    <t>1930847</t>
  </si>
  <si>
    <t>Emond, Marilyne</t>
  </si>
  <si>
    <t>Malboeuf</t>
  </si>
  <si>
    <t>514 775-7333</t>
  </si>
  <si>
    <t>1844626</t>
  </si>
  <si>
    <t>Brousseau, Samuel</t>
  </si>
  <si>
    <t>514 668-1054</t>
  </si>
  <si>
    <t>1820759</t>
  </si>
  <si>
    <t>Létourneau-Smith, Gabrielle</t>
  </si>
  <si>
    <t>Létourneau-Smith</t>
  </si>
  <si>
    <t>450 963-9877</t>
  </si>
  <si>
    <t>1757874</t>
  </si>
  <si>
    <t>Mollie</t>
  </si>
  <si>
    <t>514 583-7674</t>
  </si>
  <si>
    <t>1723680</t>
  </si>
  <si>
    <t>Phaneuf, Clara</t>
  </si>
  <si>
    <t>Phaneuf</t>
  </si>
  <si>
    <t>514 813-8416</t>
  </si>
  <si>
    <t>1927479</t>
  </si>
  <si>
    <t>Pilotte-Gascon, Chloé</t>
  </si>
  <si>
    <t>Pilotte-Gascon</t>
  </si>
  <si>
    <t>Closter</t>
  </si>
  <si>
    <t>514 701-1218</t>
  </si>
  <si>
    <t>1722112</t>
  </si>
  <si>
    <t>Primeau, Cédrik</t>
  </si>
  <si>
    <t>Primeau</t>
  </si>
  <si>
    <t>Charest</t>
  </si>
  <si>
    <t>514 515-2905</t>
  </si>
  <si>
    <t>1633939</t>
  </si>
  <si>
    <t>Brown, Samuel</t>
  </si>
  <si>
    <t>Brown</t>
  </si>
  <si>
    <t>J5K2L6</t>
  </si>
  <si>
    <t>514 240-9559</t>
  </si>
  <si>
    <t>1831258</t>
  </si>
  <si>
    <t>Joly, Katherine</t>
  </si>
  <si>
    <t>514 701-3706</t>
  </si>
  <si>
    <t>1967365</t>
  </si>
  <si>
    <t>Périard</t>
  </si>
  <si>
    <t>Shayne</t>
  </si>
  <si>
    <t>J0P1S0</t>
  </si>
  <si>
    <t>514 983-4599</t>
  </si>
  <si>
    <t>1733587</t>
  </si>
  <si>
    <t>514 882-0570</t>
  </si>
  <si>
    <t>1983636</t>
  </si>
  <si>
    <t>Dulude, Mathieu</t>
  </si>
  <si>
    <t>Dulude</t>
  </si>
  <si>
    <t>514 377-1529</t>
  </si>
  <si>
    <t>1792505</t>
  </si>
  <si>
    <t>514 214-5056</t>
  </si>
  <si>
    <t>1870864</t>
  </si>
  <si>
    <t>Pomerleau, Charles</t>
  </si>
  <si>
    <t>514 882-9902</t>
  </si>
  <si>
    <t>1627350</t>
  </si>
  <si>
    <t>J5L0L1</t>
  </si>
  <si>
    <t>450 974-1139</t>
  </si>
  <si>
    <t>1845511</t>
  </si>
  <si>
    <t>Baril</t>
  </si>
  <si>
    <t>514 714-7065</t>
  </si>
  <si>
    <t>1924567</t>
  </si>
  <si>
    <t>Bisaillon, Stacy</t>
  </si>
  <si>
    <t>Bisaillon</t>
  </si>
  <si>
    <t>St-Georges</t>
  </si>
  <si>
    <t>J5J1M3</t>
  </si>
  <si>
    <t>514 592-5572</t>
  </si>
  <si>
    <t>1938372</t>
  </si>
  <si>
    <t>Durette-Hart, Maryane</t>
  </si>
  <si>
    <t>Durette-Hart</t>
  </si>
  <si>
    <t>514 688-7001</t>
  </si>
  <si>
    <t>1928756</t>
  </si>
  <si>
    <t>Bousquet-Barrette, Sandrine</t>
  </si>
  <si>
    <t>Bousquet-Barrette</t>
  </si>
  <si>
    <t>514 924-8797</t>
  </si>
  <si>
    <t>1745063</t>
  </si>
  <si>
    <t>Doré, Maxim-Alexandre</t>
  </si>
  <si>
    <t>514 776-5134</t>
  </si>
  <si>
    <t>1404970</t>
  </si>
  <si>
    <t>Daigneault, Mylène</t>
  </si>
  <si>
    <t>514 224-0658</t>
  </si>
  <si>
    <t>1923703</t>
  </si>
  <si>
    <t>514 473-0777</t>
  </si>
  <si>
    <t>1926422</t>
  </si>
  <si>
    <t>J5J2Y6</t>
  </si>
  <si>
    <t>514 503-6897</t>
  </si>
  <si>
    <t>0269302</t>
  </si>
  <si>
    <t>J5J0L4</t>
  </si>
  <si>
    <t>514 609-8796</t>
  </si>
  <si>
    <t>1828801</t>
  </si>
  <si>
    <t>514 726-0885</t>
  </si>
  <si>
    <t>1321987</t>
  </si>
  <si>
    <t>Bernaquez, Tanya</t>
  </si>
  <si>
    <t>Bernaquez</t>
  </si>
  <si>
    <t>514 923-6693</t>
  </si>
  <si>
    <t>1734458</t>
  </si>
  <si>
    <t>Hogue, Kim</t>
  </si>
  <si>
    <t>514 701-2948</t>
  </si>
  <si>
    <t>1858248</t>
  </si>
  <si>
    <t>J5J2T5</t>
  </si>
  <si>
    <t>514 531-8626</t>
  </si>
  <si>
    <t>1945946</t>
  </si>
  <si>
    <t>Cardinal, Roxanne</t>
  </si>
  <si>
    <t>Mathys</t>
  </si>
  <si>
    <t>514 241-6615</t>
  </si>
  <si>
    <t>1823956</t>
  </si>
  <si>
    <t>Chiappe Reyes</t>
  </si>
  <si>
    <t>514 834-0551</t>
  </si>
  <si>
    <t>1589359</t>
  </si>
  <si>
    <t>Nadya</t>
  </si>
  <si>
    <t>514 606-8900</t>
  </si>
  <si>
    <t>1733252</t>
  </si>
  <si>
    <t>Forget, Marie-Ève</t>
  </si>
  <si>
    <t>Marie-Ève</t>
  </si>
  <si>
    <t>514 701-0752</t>
  </si>
  <si>
    <t>0655638</t>
  </si>
  <si>
    <t>514 928-9932</t>
  </si>
  <si>
    <t>1868056</t>
  </si>
  <si>
    <t>Vaillancourt, Alexann</t>
  </si>
  <si>
    <t>Alexann</t>
  </si>
  <si>
    <t>Nicolas-Olivier</t>
  </si>
  <si>
    <t>514 659-0801</t>
  </si>
  <si>
    <t>1968487</t>
  </si>
  <si>
    <t>Montanaro Lamothe, Emilie</t>
  </si>
  <si>
    <t>514 894-3759</t>
  </si>
  <si>
    <t>6150149</t>
  </si>
  <si>
    <t>Belle-Isle Desmarais, Thomas-William</t>
  </si>
  <si>
    <t>Belle-Isle Desmarais</t>
  </si>
  <si>
    <t>Tcheukam</t>
  </si>
  <si>
    <t>514 991-4215</t>
  </si>
  <si>
    <t>1650420</t>
  </si>
  <si>
    <t>Byrne-Langlois, Sabrina</t>
  </si>
  <si>
    <t>Byrne-Langlois</t>
  </si>
  <si>
    <t>Ritchie-Corbeil</t>
  </si>
  <si>
    <t>514 291-8460</t>
  </si>
  <si>
    <t>1991196</t>
  </si>
  <si>
    <t>514 963-6083</t>
  </si>
  <si>
    <t>1762000</t>
  </si>
  <si>
    <t>Bédard, Venessa</t>
  </si>
  <si>
    <t>514 691-5529</t>
  </si>
  <si>
    <t>1968262</t>
  </si>
  <si>
    <t>Lafrance-Brown, Jonathan</t>
  </si>
  <si>
    <t>Lafrance-Brown</t>
  </si>
  <si>
    <t>Herrera-Couture</t>
  </si>
  <si>
    <t>J5K1W4</t>
  </si>
  <si>
    <t>514 294-1973</t>
  </si>
  <si>
    <t>1935265</t>
  </si>
  <si>
    <t>Bordeleau-Wapachee, Sébastien</t>
  </si>
  <si>
    <t>Bordeleau-Wapachee</t>
  </si>
  <si>
    <t>Seers</t>
  </si>
  <si>
    <t>514 993-8659</t>
  </si>
  <si>
    <t>1574880</t>
  </si>
  <si>
    <t>Lamarche, Jillian</t>
  </si>
  <si>
    <t>Jillian</t>
  </si>
  <si>
    <t>Hainault</t>
  </si>
  <si>
    <t>514 791-1010</t>
  </si>
  <si>
    <t>1959843</t>
  </si>
  <si>
    <t>Morand, Emilianne</t>
  </si>
  <si>
    <t>Morand</t>
  </si>
  <si>
    <t>Emilianne</t>
  </si>
  <si>
    <t>Desjardins-Aboushaybeh</t>
  </si>
  <si>
    <t>514 623-7185</t>
  </si>
  <si>
    <t>1873228</t>
  </si>
  <si>
    <t>Meilleur, Erika</t>
  </si>
  <si>
    <t>Meilleur</t>
  </si>
  <si>
    <t>Doucet</t>
  </si>
  <si>
    <t>514 601-1564</t>
  </si>
  <si>
    <t>1826848</t>
  </si>
  <si>
    <t>Herrera-Couture, Kimilie</t>
  </si>
  <si>
    <t>Kimilie</t>
  </si>
  <si>
    <t>J5K1G8</t>
  </si>
  <si>
    <t>514 404-7976</t>
  </si>
  <si>
    <t>1660066</t>
  </si>
  <si>
    <t>Vachon-Bernard, Alexia</t>
  </si>
  <si>
    <t>514 442-8434</t>
  </si>
  <si>
    <t>1879537</t>
  </si>
  <si>
    <t>Huot-Milliard, Kelly-Anne</t>
  </si>
  <si>
    <t>Huot-Milliard</t>
  </si>
  <si>
    <t>Pier-Alexandre</t>
  </si>
  <si>
    <t>514 781-3956</t>
  </si>
  <si>
    <t>1843151</t>
  </si>
  <si>
    <t>Blais Boileau, Simon-Olivier</t>
  </si>
  <si>
    <t>Blais Boileau</t>
  </si>
  <si>
    <t>514 714-2526</t>
  </si>
  <si>
    <t>1954507</t>
  </si>
  <si>
    <t>J5L0E2</t>
  </si>
  <si>
    <t>450 979-7398</t>
  </si>
  <si>
    <t>1779381</t>
  </si>
  <si>
    <t>Tsaï, Alexy</t>
  </si>
  <si>
    <t>Tsaï</t>
  </si>
  <si>
    <t>Alexy</t>
  </si>
  <si>
    <t>Barsetti</t>
  </si>
  <si>
    <t>514 778-6520</t>
  </si>
  <si>
    <t>1828560</t>
  </si>
  <si>
    <t>Plourde, Charles-Olivier</t>
  </si>
  <si>
    <t>514 839-0023</t>
  </si>
  <si>
    <t>1718767</t>
  </si>
  <si>
    <t>Saulnier, Audrey</t>
  </si>
  <si>
    <t>Saulnier</t>
  </si>
  <si>
    <t>Bouchard-St-Jacques</t>
  </si>
  <si>
    <t>514 266-0052</t>
  </si>
  <si>
    <t>1653309</t>
  </si>
  <si>
    <t>Dorval-Robitaille</t>
  </si>
  <si>
    <t>579 368-1072</t>
  </si>
  <si>
    <t>1435629</t>
  </si>
  <si>
    <t>J5J0P4</t>
  </si>
  <si>
    <t>514 608-6577</t>
  </si>
  <si>
    <t>1892334</t>
  </si>
  <si>
    <t>J0V1P0</t>
  </si>
  <si>
    <t>514 654-5970</t>
  </si>
  <si>
    <t>1825966</t>
  </si>
  <si>
    <t>Bourgault, Sara-Ève</t>
  </si>
  <si>
    <t>Bourgault</t>
  </si>
  <si>
    <t>Sara-Ève</t>
  </si>
  <si>
    <t>Sabourin-Massé</t>
  </si>
  <si>
    <t>J2G4S5</t>
  </si>
  <si>
    <t>514 627-1376</t>
  </si>
  <si>
    <t>1130016</t>
  </si>
  <si>
    <t>Carreau, Rosalie</t>
  </si>
  <si>
    <t>514 922-3590</t>
  </si>
  <si>
    <t>1545791</t>
  </si>
  <si>
    <t>Gougeon, Laurie-Ève</t>
  </si>
  <si>
    <t>Laurie-Ève</t>
  </si>
  <si>
    <t>514 717-1806</t>
  </si>
  <si>
    <t>1761729</t>
  </si>
  <si>
    <t>Brière-Emard</t>
  </si>
  <si>
    <t>450 979-6318</t>
  </si>
  <si>
    <t>1861901</t>
  </si>
  <si>
    <t>Larrivée, Jérémi</t>
  </si>
  <si>
    <t>Jérémi</t>
  </si>
  <si>
    <t>514 799-7499</t>
  </si>
  <si>
    <t>1759374</t>
  </si>
  <si>
    <t>Kline</t>
  </si>
  <si>
    <t>Simon-Karl</t>
  </si>
  <si>
    <t>579 368-3900</t>
  </si>
  <si>
    <t>1849306</t>
  </si>
  <si>
    <t>Dugas</t>
  </si>
  <si>
    <t>J5K0K3</t>
  </si>
  <si>
    <t>514 452-6760</t>
  </si>
  <si>
    <t>1567188</t>
  </si>
  <si>
    <t>514 549-5998</t>
  </si>
  <si>
    <t>1822572</t>
  </si>
  <si>
    <t>514 463-9177</t>
  </si>
  <si>
    <t>1663426</t>
  </si>
  <si>
    <t>Avoine</t>
  </si>
  <si>
    <t>514 291-1288</t>
  </si>
  <si>
    <t>1654330</t>
  </si>
  <si>
    <t>Dumais, Mathieu</t>
  </si>
  <si>
    <t>Dumais</t>
  </si>
  <si>
    <t>514 952-8172</t>
  </si>
  <si>
    <t>1374375</t>
  </si>
  <si>
    <t>514 803-5499</t>
  </si>
  <si>
    <t>1542162</t>
  </si>
  <si>
    <t>Yepgang Ngongang, Abygaël</t>
  </si>
  <si>
    <t>Abygaël</t>
  </si>
  <si>
    <t>Sarah-Jeanne</t>
  </si>
  <si>
    <t>514 969-8877</t>
  </si>
  <si>
    <t>1545667</t>
  </si>
  <si>
    <t>Hébert, Krystel</t>
  </si>
  <si>
    <t>Krystel</t>
  </si>
  <si>
    <t>Lake</t>
  </si>
  <si>
    <t>514 970-1189</t>
  </si>
  <si>
    <t>1730817</t>
  </si>
  <si>
    <t>Jacques Morel, Kélianne</t>
  </si>
  <si>
    <t>Jacques Morel</t>
  </si>
  <si>
    <t>Kélianne</t>
  </si>
  <si>
    <t>514 702-8445</t>
  </si>
  <si>
    <t>1838310</t>
  </si>
  <si>
    <t>Allard, Zacharie</t>
  </si>
  <si>
    <t>Vital Edouard</t>
  </si>
  <si>
    <t>514 962-8497</t>
  </si>
  <si>
    <t>7532254</t>
  </si>
  <si>
    <t>Roussy, Béatrice</t>
  </si>
  <si>
    <t>J5L1A8</t>
  </si>
  <si>
    <t>450 971-2342</t>
  </si>
  <si>
    <t>1839612</t>
  </si>
  <si>
    <t>LeBlanc, Jade</t>
  </si>
  <si>
    <t>LeBlanc</t>
  </si>
  <si>
    <t>Gauthier Houle</t>
  </si>
  <si>
    <t>J5J2E4</t>
  </si>
  <si>
    <t>514 574-2895</t>
  </si>
  <si>
    <t>1577649</t>
  </si>
  <si>
    <t>Lessard Lamarche</t>
  </si>
  <si>
    <t>450 996-1028</t>
  </si>
  <si>
    <t>1983193</t>
  </si>
  <si>
    <t>450 974-2647</t>
  </si>
  <si>
    <t>0166725</t>
  </si>
  <si>
    <t>Sharon Rose</t>
  </si>
  <si>
    <t>514 980-6090</t>
  </si>
  <si>
    <t>1458297</t>
  </si>
  <si>
    <t>Morissette, Elyana</t>
  </si>
  <si>
    <t>Elyana</t>
  </si>
  <si>
    <t>J5J1S3</t>
  </si>
  <si>
    <t>514 585-9850</t>
  </si>
  <si>
    <t>1764926</t>
  </si>
  <si>
    <t>Shank, Ariane</t>
  </si>
  <si>
    <t>Shank</t>
  </si>
  <si>
    <t>Boissy</t>
  </si>
  <si>
    <t>514 641-9288</t>
  </si>
  <si>
    <t>1514011</t>
  </si>
  <si>
    <t>Daigle, Myriam</t>
  </si>
  <si>
    <t>J5J2V4</t>
  </si>
  <si>
    <t>514 531-0667</t>
  </si>
  <si>
    <t>1949383</t>
  </si>
  <si>
    <t>Carmel-Rochette</t>
  </si>
  <si>
    <t>J5L0A9</t>
  </si>
  <si>
    <t>514 206-5171</t>
  </si>
  <si>
    <t>1731495</t>
  </si>
  <si>
    <t>Guérin, Laurence</t>
  </si>
  <si>
    <t>Guérin</t>
  </si>
  <si>
    <t>Landreville</t>
  </si>
  <si>
    <t>J5J2R4</t>
  </si>
  <si>
    <t>514 553-7967</t>
  </si>
  <si>
    <t>1930934</t>
  </si>
  <si>
    <t>Li, Gabriele</t>
  </si>
  <si>
    <t>Li</t>
  </si>
  <si>
    <t>Gabriele</t>
  </si>
  <si>
    <t>514 226-1308</t>
  </si>
  <si>
    <t>1854336</t>
  </si>
  <si>
    <t>Palma, David</t>
  </si>
  <si>
    <t>514 602-5028</t>
  </si>
  <si>
    <t>1242636</t>
  </si>
  <si>
    <t>Cea Inostroza, Rémi</t>
  </si>
  <si>
    <t>Cea Inostroza</t>
  </si>
  <si>
    <t>Rawlins</t>
  </si>
  <si>
    <t>514 442-3674</t>
  </si>
  <si>
    <t>1774605</t>
  </si>
  <si>
    <t>Wester, Alec</t>
  </si>
  <si>
    <t>Wester</t>
  </si>
  <si>
    <t>Sara-Michèle</t>
  </si>
  <si>
    <t>514 970-7298</t>
  </si>
  <si>
    <t>1857907</t>
  </si>
  <si>
    <t>Leblanc Muloin, Jade</t>
  </si>
  <si>
    <t>Gauvreau</t>
  </si>
  <si>
    <t>514 442-8700</t>
  </si>
  <si>
    <t>1937964</t>
  </si>
  <si>
    <t>Charron-Cloutier, Paul Jr</t>
  </si>
  <si>
    <t>514 424-6033</t>
  </si>
  <si>
    <t>1931071</t>
  </si>
  <si>
    <t>Caumartin, Rémis</t>
  </si>
  <si>
    <t>Caumartin</t>
  </si>
  <si>
    <t>514 249-9620</t>
  </si>
  <si>
    <t>1575076</t>
  </si>
  <si>
    <t>Tessier, Angélick</t>
  </si>
  <si>
    <t>Angélick</t>
  </si>
  <si>
    <t>514 712-6352</t>
  </si>
  <si>
    <t>1635256</t>
  </si>
  <si>
    <t>Ouellette, Donovan</t>
  </si>
  <si>
    <t>Donovan</t>
  </si>
  <si>
    <t>Meg-Anne</t>
  </si>
  <si>
    <t>514 466-1102</t>
  </si>
  <si>
    <t>1743017</t>
  </si>
  <si>
    <t>514 415-8504</t>
  </si>
  <si>
    <t>1850692</t>
  </si>
  <si>
    <t>Picard-Audet, Ciela</t>
  </si>
  <si>
    <t>Picard-Audet</t>
  </si>
  <si>
    <t>Ciela</t>
  </si>
  <si>
    <t>514 261-8083</t>
  </si>
  <si>
    <t>1551081</t>
  </si>
  <si>
    <t>Presseau, Chana</t>
  </si>
  <si>
    <t>Presseau</t>
  </si>
  <si>
    <t>Chana</t>
  </si>
  <si>
    <t>Charland</t>
  </si>
  <si>
    <t>450 965-7102</t>
  </si>
  <si>
    <t>1952581</t>
  </si>
  <si>
    <t>Fleurival, Marie-Lou</t>
  </si>
  <si>
    <t>Fleurival</t>
  </si>
  <si>
    <t>Lortie</t>
  </si>
  <si>
    <t>514 802-2619</t>
  </si>
  <si>
    <t>1923921</t>
  </si>
  <si>
    <t>Lavoie, Janie</t>
  </si>
  <si>
    <t>Janie</t>
  </si>
  <si>
    <t>J5K1K2</t>
  </si>
  <si>
    <t>514 371-1306</t>
  </si>
  <si>
    <t>1615166</t>
  </si>
  <si>
    <t>514 923-8163</t>
  </si>
  <si>
    <t>1843238</t>
  </si>
  <si>
    <t>Patone, Dafney</t>
  </si>
  <si>
    <t>Dafney</t>
  </si>
  <si>
    <t>514 475-3892</t>
  </si>
  <si>
    <t>1967810</t>
  </si>
  <si>
    <t>Dumouchel, Mathieu</t>
  </si>
  <si>
    <t>514 677-2689</t>
  </si>
  <si>
    <t>1882450</t>
  </si>
  <si>
    <t>Bélisle-Durand, Tommy</t>
  </si>
  <si>
    <t>Bélisle-Durand</t>
  </si>
  <si>
    <t>514 833-7212</t>
  </si>
  <si>
    <t>1823643</t>
  </si>
  <si>
    <t>J5J1H5</t>
  </si>
  <si>
    <t>514 603-1045</t>
  </si>
  <si>
    <t>1762221</t>
  </si>
  <si>
    <t>514 475-4329</t>
  </si>
  <si>
    <t>1375836</t>
  </si>
  <si>
    <t>514 865-4850</t>
  </si>
  <si>
    <t>1855303</t>
  </si>
  <si>
    <t>Daoust, Miriam</t>
  </si>
  <si>
    <t>514 915-7180</t>
  </si>
  <si>
    <t>1846946</t>
  </si>
  <si>
    <t>Lussier, Frédérique</t>
  </si>
  <si>
    <t>Finnerty-Fortier</t>
  </si>
  <si>
    <t>Samori</t>
  </si>
  <si>
    <t>514 893-7756</t>
  </si>
  <si>
    <t>1926626</t>
  </si>
  <si>
    <t>Momplaisir, Emilie</t>
  </si>
  <si>
    <t>514 889-1516</t>
  </si>
  <si>
    <t>1430451</t>
  </si>
  <si>
    <t>Savard, Audréanne</t>
  </si>
  <si>
    <t>514 910-4541</t>
  </si>
  <si>
    <t>1821413</t>
  </si>
  <si>
    <t>St-Pierre, Anne-Sophie</t>
  </si>
  <si>
    <t>579 368-1069</t>
  </si>
  <si>
    <t>1855351</t>
  </si>
  <si>
    <t>Bélisle, Tricia</t>
  </si>
  <si>
    <t>514 377-0853</t>
  </si>
  <si>
    <t>1026835</t>
  </si>
  <si>
    <t>Medeiros, Erika</t>
  </si>
  <si>
    <t>Melody</t>
  </si>
  <si>
    <t>514 546-0752</t>
  </si>
  <si>
    <t>1644488</t>
  </si>
  <si>
    <t>514 226-0023</t>
  </si>
  <si>
    <t>6145470</t>
  </si>
  <si>
    <t>Masson, Ève-Marie</t>
  </si>
  <si>
    <t>Ève-Marie</t>
  </si>
  <si>
    <t>Dufault</t>
  </si>
  <si>
    <t>J5J2X9</t>
  </si>
  <si>
    <t>514 506-8303</t>
  </si>
  <si>
    <t>8690454</t>
  </si>
  <si>
    <t>514 755-3767</t>
  </si>
  <si>
    <t>6100203</t>
  </si>
  <si>
    <t>Robert, Brithanie</t>
  </si>
  <si>
    <t>Brithanie</t>
  </si>
  <si>
    <t>J5K1G7</t>
  </si>
  <si>
    <t>514 404-8025</t>
  </si>
  <si>
    <t>1869485</t>
  </si>
  <si>
    <t>Scanlan, Ashvin</t>
  </si>
  <si>
    <t>Scanlan</t>
  </si>
  <si>
    <t>Ashvin</t>
  </si>
  <si>
    <t>Borzelli-Cadieux</t>
  </si>
  <si>
    <t>514 245-4487</t>
  </si>
  <si>
    <t>1949263</t>
  </si>
  <si>
    <t>Donaldson, Maxime</t>
  </si>
  <si>
    <t>514 219-0556</t>
  </si>
  <si>
    <t>1431020</t>
  </si>
  <si>
    <t>Pivin</t>
  </si>
  <si>
    <t>514 928-6893</t>
  </si>
  <si>
    <t>1837073</t>
  </si>
  <si>
    <t>Nathanael</t>
  </si>
  <si>
    <t>J2X1H1</t>
  </si>
  <si>
    <t>514 625-7971</t>
  </si>
  <si>
    <t>1979312</t>
  </si>
  <si>
    <t>Bergevin, Tanya</t>
  </si>
  <si>
    <t>Suijs</t>
  </si>
  <si>
    <t>514 219-5456</t>
  </si>
  <si>
    <t>1767705</t>
  </si>
  <si>
    <t>Nelson</t>
  </si>
  <si>
    <t>514 267-9095</t>
  </si>
  <si>
    <t>0763213</t>
  </si>
  <si>
    <t>Charade, Providence</t>
  </si>
  <si>
    <t>Charade</t>
  </si>
  <si>
    <t>514 794-2972</t>
  </si>
  <si>
    <t>1969873</t>
  </si>
  <si>
    <t>Desaulniers-Pichette, Mélissa</t>
  </si>
  <si>
    <t>Desaulniers-Pichette</t>
  </si>
  <si>
    <t>Muro</t>
  </si>
  <si>
    <t>514 497-7804</t>
  </si>
  <si>
    <t>1926200</t>
  </si>
  <si>
    <t>Legault-Pilon</t>
  </si>
  <si>
    <t>514 891-9738</t>
  </si>
  <si>
    <t>1885367</t>
  </si>
  <si>
    <t>J5K0J7</t>
  </si>
  <si>
    <t>514 458-5666</t>
  </si>
  <si>
    <t>1568090</t>
  </si>
  <si>
    <t>Gagnon-Lapointe, Manu</t>
  </si>
  <si>
    <t>Manu</t>
  </si>
  <si>
    <t>J5J2W8</t>
  </si>
  <si>
    <t>514 519-4402</t>
  </si>
  <si>
    <t>1741066</t>
  </si>
  <si>
    <t>Roy, Barbarra</t>
  </si>
  <si>
    <t>Barbarra</t>
  </si>
  <si>
    <t>J5L0H1</t>
  </si>
  <si>
    <t>450 979-1915</t>
  </si>
  <si>
    <t>1965496</t>
  </si>
  <si>
    <t>Beauchamp Rojas, Vincent</t>
  </si>
  <si>
    <t>Beauchamp Rojas</t>
  </si>
  <si>
    <t>514 777-9004</t>
  </si>
  <si>
    <t>1767125</t>
  </si>
  <si>
    <t>Bararuhanya, Wendy</t>
  </si>
  <si>
    <t>Bararuhanya</t>
  </si>
  <si>
    <t>514 701-5700</t>
  </si>
  <si>
    <t>1990549</t>
  </si>
  <si>
    <t>Lamadeleine, Jimmy</t>
  </si>
  <si>
    <t>Lamadeleine</t>
  </si>
  <si>
    <t>Jimmy</t>
  </si>
  <si>
    <t>Halder</t>
  </si>
  <si>
    <t>J5K0J8</t>
  </si>
  <si>
    <t>514 458-3164</t>
  </si>
  <si>
    <t>1734288</t>
  </si>
  <si>
    <t>Ducharme, Maude</t>
  </si>
  <si>
    <t>Ducharme</t>
  </si>
  <si>
    <t>514 692-2686</t>
  </si>
  <si>
    <t>1923893</t>
  </si>
  <si>
    <t>Ghosn, Loïc</t>
  </si>
  <si>
    <t>514 451-2353</t>
  </si>
  <si>
    <t>1644916</t>
  </si>
  <si>
    <t>Gariépy-Bill, Maéva</t>
  </si>
  <si>
    <t>Maéva</t>
  </si>
  <si>
    <t>J0W1C0</t>
  </si>
  <si>
    <t>514 638-0841</t>
  </si>
  <si>
    <t>1752009</t>
  </si>
  <si>
    <t>514 914-8260</t>
  </si>
  <si>
    <t>1404647</t>
  </si>
  <si>
    <t>Launière, Jennifer</t>
  </si>
  <si>
    <t>Launière</t>
  </si>
  <si>
    <t>Godfrin</t>
  </si>
  <si>
    <t>Odessa</t>
  </si>
  <si>
    <t>514 706-4038</t>
  </si>
  <si>
    <t>1866897</t>
  </si>
  <si>
    <t>Gaumond-Bienvenu</t>
  </si>
  <si>
    <t>514 606-3598</t>
  </si>
  <si>
    <t>1871140</t>
  </si>
  <si>
    <t>Fex, Marie-Soleil</t>
  </si>
  <si>
    <t>J5L0A1</t>
  </si>
  <si>
    <t>514 214-7819</t>
  </si>
  <si>
    <t>1923681</t>
  </si>
  <si>
    <t>Borges, Sébastien</t>
  </si>
  <si>
    <t>Borges</t>
  </si>
  <si>
    <t>Schmidt</t>
  </si>
  <si>
    <t>J5J1Z7</t>
  </si>
  <si>
    <t>514 577-1419</t>
  </si>
  <si>
    <t>1750900</t>
  </si>
  <si>
    <t>Olesen-Despres, Éléonore</t>
  </si>
  <si>
    <t>Olesen-Despres</t>
  </si>
  <si>
    <t>De Koster</t>
  </si>
  <si>
    <t>514 663-8432</t>
  </si>
  <si>
    <t>1857291</t>
  </si>
  <si>
    <t>Marylise</t>
  </si>
  <si>
    <t>450 996-0556</t>
  </si>
  <si>
    <t>1762201</t>
  </si>
  <si>
    <t>Pierre</t>
  </si>
  <si>
    <t>514 792-8533</t>
  </si>
  <si>
    <t>1582781</t>
  </si>
  <si>
    <t>Creighton, Nelly</t>
  </si>
  <si>
    <t>514 991-8815</t>
  </si>
  <si>
    <t>1571257</t>
  </si>
  <si>
    <t>Paradis, Danik</t>
  </si>
  <si>
    <t>Danik</t>
  </si>
  <si>
    <t>579 366-1051</t>
  </si>
  <si>
    <t>1924672</t>
  </si>
  <si>
    <t>Massé, Fabien Quetzalcoalt</t>
  </si>
  <si>
    <t>Massé</t>
  </si>
  <si>
    <t>Fabien Quetzalcoalt</t>
  </si>
  <si>
    <t>J5K1V9</t>
  </si>
  <si>
    <t>514 295-6642</t>
  </si>
  <si>
    <t>1547443</t>
  </si>
  <si>
    <t>Meunier-Audelin, Émilie</t>
  </si>
  <si>
    <t>514 702-4467</t>
  </si>
  <si>
    <t>1940858</t>
  </si>
  <si>
    <t>Chevalier, Oumou</t>
  </si>
  <si>
    <t>Chevalier</t>
  </si>
  <si>
    <t>J5J0K5</t>
  </si>
  <si>
    <t>514 616-4683</t>
  </si>
  <si>
    <t>1746781</t>
  </si>
  <si>
    <t>Gionest-Charpentier, Lexis</t>
  </si>
  <si>
    <t>Gionest-Charpentier</t>
  </si>
  <si>
    <t>Lexis</t>
  </si>
  <si>
    <t>Lavallée</t>
  </si>
  <si>
    <t>Mohamed Elamine</t>
  </si>
  <si>
    <t>514 582-0928</t>
  </si>
  <si>
    <t>1755695</t>
  </si>
  <si>
    <t>Duval-Legault, Marjory</t>
  </si>
  <si>
    <t>Duval-Legault</t>
  </si>
  <si>
    <t>Manseau</t>
  </si>
  <si>
    <t>514 706-4318</t>
  </si>
  <si>
    <t>1838639</t>
  </si>
  <si>
    <t>J5J1E4</t>
  </si>
  <si>
    <t>514 604-9074</t>
  </si>
  <si>
    <t>1514904</t>
  </si>
  <si>
    <t>Mapp, Florence</t>
  </si>
  <si>
    <t>Mapp</t>
  </si>
  <si>
    <t>1289889</t>
  </si>
  <si>
    <t>Vanier, Alexandre</t>
  </si>
  <si>
    <t>514 431-5443</t>
  </si>
  <si>
    <t>1990497</t>
  </si>
  <si>
    <t>Girouard, Ledis</t>
  </si>
  <si>
    <t>Ledis</t>
  </si>
  <si>
    <t>514 714-1558</t>
  </si>
  <si>
    <t>1955042</t>
  </si>
  <si>
    <t>Beaudet</t>
  </si>
  <si>
    <t>514 716-2677</t>
  </si>
  <si>
    <t>1720870</t>
  </si>
  <si>
    <t>Deschambault, Mélisande</t>
  </si>
  <si>
    <t>Deschambault</t>
  </si>
  <si>
    <t>Mrad</t>
  </si>
  <si>
    <t>514 928-7433</t>
  </si>
  <si>
    <t>1525007</t>
  </si>
  <si>
    <t>514 294-2820</t>
  </si>
  <si>
    <t>1628691</t>
  </si>
  <si>
    <t>Lepage, Geneviève</t>
  </si>
  <si>
    <t>Marissa</t>
  </si>
  <si>
    <t>J5L0G2</t>
  </si>
  <si>
    <t>450 979-5546</t>
  </si>
  <si>
    <t>1965183</t>
  </si>
  <si>
    <t>Pelletier, Cynthia</t>
  </si>
  <si>
    <t>450 983-1396</t>
  </si>
  <si>
    <t>1826054</t>
  </si>
  <si>
    <t>Giroux, Léanne</t>
  </si>
  <si>
    <t>Léanne</t>
  </si>
  <si>
    <t>514 758-7719</t>
  </si>
  <si>
    <t>1759677</t>
  </si>
  <si>
    <t>514 294-5147</t>
  </si>
  <si>
    <t>1841052</t>
  </si>
  <si>
    <t>Narbonne, Ellen</t>
  </si>
  <si>
    <t>Ellen</t>
  </si>
  <si>
    <t>Deneault</t>
  </si>
  <si>
    <t>450 974-7960</t>
  </si>
  <si>
    <t>1536387</t>
  </si>
  <si>
    <t>Dufour, Mathis</t>
  </si>
  <si>
    <t>Masse-Lalonde</t>
  </si>
  <si>
    <t>514 883-9256</t>
  </si>
  <si>
    <t>1844827</t>
  </si>
  <si>
    <t>Kavanagh, Karina</t>
  </si>
  <si>
    <t>Kavanagh</t>
  </si>
  <si>
    <t>Kitumaini</t>
  </si>
  <si>
    <t>514 978-2141</t>
  </si>
  <si>
    <t>1330421</t>
  </si>
  <si>
    <t>Chalut, Raphaël</t>
  </si>
  <si>
    <t>Chalut</t>
  </si>
  <si>
    <t>514 929-5746</t>
  </si>
  <si>
    <t>1970177</t>
  </si>
  <si>
    <t>Deshaies, Méghane</t>
  </si>
  <si>
    <t>Rose-des-Vents</t>
  </si>
  <si>
    <t>514 839-3833</t>
  </si>
  <si>
    <t>1732720</t>
  </si>
  <si>
    <t>Crispin, Nathaniel</t>
  </si>
  <si>
    <t>Crispin</t>
  </si>
  <si>
    <t>514 884-9384</t>
  </si>
  <si>
    <t>1749237</t>
  </si>
  <si>
    <t>514 834-2577</t>
  </si>
  <si>
    <t>1657747</t>
  </si>
  <si>
    <t>514 554-4737</t>
  </si>
  <si>
    <t>1832449</t>
  </si>
  <si>
    <t>Gobeil, Léane</t>
  </si>
  <si>
    <t>Léane</t>
  </si>
  <si>
    <t>J5L0A4</t>
  </si>
  <si>
    <t>514 212-8516</t>
  </si>
  <si>
    <t>1961276</t>
  </si>
  <si>
    <t>Goyeneche Sarmiento</t>
  </si>
  <si>
    <t>514 224-7955</t>
  </si>
  <si>
    <t>1841612</t>
  </si>
  <si>
    <t>Sabourin, Audrey Ann</t>
  </si>
  <si>
    <t>Audrey Ann</t>
  </si>
  <si>
    <t>450 965-0413</t>
  </si>
  <si>
    <t>1340769</t>
  </si>
  <si>
    <t>450 969-3394</t>
  </si>
  <si>
    <t>1512423</t>
  </si>
  <si>
    <t>Maurice Larente, Étienne</t>
  </si>
  <si>
    <t>Maurice Larente</t>
  </si>
  <si>
    <t>Marybel</t>
  </si>
  <si>
    <t>450 987-0815</t>
  </si>
  <si>
    <t>1746137</t>
  </si>
  <si>
    <t>Danella-Cloutier, Molly</t>
  </si>
  <si>
    <t>Danella-Cloutier</t>
  </si>
  <si>
    <t>514 943-9898</t>
  </si>
  <si>
    <t>1953536</t>
  </si>
  <si>
    <t>Alarie, Zachary</t>
  </si>
  <si>
    <t>Waterbury</t>
  </si>
  <si>
    <t>514 952-9363</t>
  </si>
  <si>
    <t>1939591</t>
  </si>
  <si>
    <t>Girard-Lafrance</t>
  </si>
  <si>
    <t>514 913-4966</t>
  </si>
  <si>
    <t>1425541</t>
  </si>
  <si>
    <t>Larivière-Arsenault, Jérémy</t>
  </si>
  <si>
    <t>Larivière-Arsenault</t>
  </si>
  <si>
    <t>Goyer-Raby</t>
  </si>
  <si>
    <t>514 961-7363</t>
  </si>
  <si>
    <t>1235750</t>
  </si>
  <si>
    <t>Bruneau, Samuel</t>
  </si>
  <si>
    <t>Bruneau</t>
  </si>
  <si>
    <t>Roche-Busque</t>
  </si>
  <si>
    <t>Précilla</t>
  </si>
  <si>
    <t>514 794-2038</t>
  </si>
  <si>
    <t>1954326</t>
  </si>
  <si>
    <t>Paiement, David Yannick Cédric</t>
  </si>
  <si>
    <t>Paiement</t>
  </si>
  <si>
    <t>David Yannick Cédric</t>
  </si>
  <si>
    <t>Dagesse</t>
  </si>
  <si>
    <t>514 770-3767</t>
  </si>
  <si>
    <t>1524514</t>
  </si>
  <si>
    <t>Forget, Marie-Hélène</t>
  </si>
  <si>
    <t>Marie-Hélène</t>
  </si>
  <si>
    <t>514 922-7078</t>
  </si>
  <si>
    <t>1334983</t>
  </si>
  <si>
    <t>Jolin Gagnon</t>
  </si>
  <si>
    <t>514 915-2591</t>
  </si>
  <si>
    <t>1821399</t>
  </si>
  <si>
    <t>514 887-3327</t>
  </si>
  <si>
    <t>1788925</t>
  </si>
  <si>
    <t>Fournier-Rolland, Marianne</t>
  </si>
  <si>
    <t>Fournier-Rolland</t>
  </si>
  <si>
    <t>J5J2C3</t>
  </si>
  <si>
    <t>514 575-2590</t>
  </si>
  <si>
    <t>1808797</t>
  </si>
  <si>
    <t>514 756-1985</t>
  </si>
  <si>
    <t>1428649</t>
  </si>
  <si>
    <t>Malette, Francheska</t>
  </si>
  <si>
    <t>Francheska</t>
  </si>
  <si>
    <t>514 632-5276</t>
  </si>
  <si>
    <t>1873593</t>
  </si>
  <si>
    <t>Ellis, Marina</t>
  </si>
  <si>
    <t>Ellis</t>
  </si>
  <si>
    <t>Savanah</t>
  </si>
  <si>
    <t>514 970-8105</t>
  </si>
  <si>
    <t>1976241</t>
  </si>
  <si>
    <t>Gaudet, Lynn</t>
  </si>
  <si>
    <t>Lynn</t>
  </si>
  <si>
    <t>514 679-2566</t>
  </si>
  <si>
    <t>1409563</t>
  </si>
  <si>
    <t>Grimard, Laurianne</t>
  </si>
  <si>
    <t>Grimard</t>
  </si>
  <si>
    <t>Lantagne</t>
  </si>
  <si>
    <t>J5K1H6</t>
  </si>
  <si>
    <t>514 386-8220</t>
  </si>
  <si>
    <t>1979134</t>
  </si>
  <si>
    <t>Boisvert, Shanny</t>
  </si>
  <si>
    <t>Sévigny-Deschambault</t>
  </si>
  <si>
    <t>514 519-7820</t>
  </si>
  <si>
    <t>1633995</t>
  </si>
  <si>
    <t>Pierre, Christina</t>
  </si>
  <si>
    <t>Christina</t>
  </si>
  <si>
    <t>Nazarit</t>
  </si>
  <si>
    <t>J0Y2M0</t>
  </si>
  <si>
    <t>514 627-4099</t>
  </si>
  <si>
    <t>1787765</t>
  </si>
  <si>
    <t>Girard, Léo-Julien</t>
  </si>
  <si>
    <t>Léo-Julien</t>
  </si>
  <si>
    <t>514 730-5344</t>
  </si>
  <si>
    <t>1744763</t>
  </si>
  <si>
    <t>Colmor, Océane</t>
  </si>
  <si>
    <t>J5J0G5</t>
  </si>
  <si>
    <t>514 622-2273</t>
  </si>
  <si>
    <t>1941335</t>
  </si>
  <si>
    <t>McKenna, Esperanta</t>
  </si>
  <si>
    <t>McKenna</t>
  </si>
  <si>
    <t>Esperanta</t>
  </si>
  <si>
    <t>Dridi</t>
  </si>
  <si>
    <t>514 702-1855</t>
  </si>
  <si>
    <t>1765178</t>
  </si>
  <si>
    <t>Bouchard-Chesnay, Sarajayne</t>
  </si>
  <si>
    <t>Bouchard-Chesnay</t>
  </si>
  <si>
    <t>Sauvageau</t>
  </si>
  <si>
    <t>J5K1K9</t>
  </si>
  <si>
    <t>514 358-3556</t>
  </si>
  <si>
    <t>1747728</t>
  </si>
  <si>
    <t>514 655-3445</t>
  </si>
  <si>
    <t>1957920</t>
  </si>
  <si>
    <t>Noël, Elise</t>
  </si>
  <si>
    <t>Noël</t>
  </si>
  <si>
    <t>Elise</t>
  </si>
  <si>
    <t>Delisle</t>
  </si>
  <si>
    <t>Mathew</t>
  </si>
  <si>
    <t>514 210-0659</t>
  </si>
  <si>
    <t>1745031</t>
  </si>
  <si>
    <t>Boulanger, Sarah</t>
  </si>
  <si>
    <t>Boulanger</t>
  </si>
  <si>
    <t>J5K2T8</t>
  </si>
  <si>
    <t>514 224-0062</t>
  </si>
  <si>
    <t>1074993</t>
  </si>
  <si>
    <t>Fortier-Papineau, Marie-Claude</t>
  </si>
  <si>
    <t>Fortier-Papineau</t>
  </si>
  <si>
    <t>514 912-7924</t>
  </si>
  <si>
    <t>1630958</t>
  </si>
  <si>
    <t>Imananimwe, Kelly-Ann</t>
  </si>
  <si>
    <t>514 690-0576</t>
  </si>
  <si>
    <t>1978209</t>
  </si>
  <si>
    <t>Peprah, Coralie</t>
  </si>
  <si>
    <t>Peprah</t>
  </si>
  <si>
    <t>Côté-Ouellette</t>
  </si>
  <si>
    <t>514 927-4061</t>
  </si>
  <si>
    <t>1830475</t>
  </si>
  <si>
    <t>Milette, Émilie</t>
  </si>
  <si>
    <t>Milette</t>
  </si>
  <si>
    <t>Dessureault Raymond</t>
  </si>
  <si>
    <t>Séléna-Rose</t>
  </si>
  <si>
    <t>514 974-4043</t>
  </si>
  <si>
    <t>1968397</t>
  </si>
  <si>
    <t>Castonguay, Rodrigue</t>
  </si>
  <si>
    <t>Regimbald</t>
  </si>
  <si>
    <t>450 974-2294</t>
  </si>
  <si>
    <t>1859414</t>
  </si>
  <si>
    <t>Meunier, Émilien</t>
  </si>
  <si>
    <t>Émilien</t>
  </si>
  <si>
    <t>Dextraze</t>
  </si>
  <si>
    <t>450 964-6687</t>
  </si>
  <si>
    <t>1957558</t>
  </si>
  <si>
    <t>514 777-1872</t>
  </si>
  <si>
    <t>0887299</t>
  </si>
  <si>
    <t>Piette, Chloé</t>
  </si>
  <si>
    <t>Piette</t>
  </si>
  <si>
    <t>Collard</t>
  </si>
  <si>
    <t>514 679-5882</t>
  </si>
  <si>
    <t>1941503</t>
  </si>
  <si>
    <t>Gaudet, Lysandre</t>
  </si>
  <si>
    <t>Lysandre</t>
  </si>
  <si>
    <t>Lee</t>
  </si>
  <si>
    <t>514 702-1005</t>
  </si>
  <si>
    <t>1433626</t>
  </si>
  <si>
    <t>Romero, Benjamin</t>
  </si>
  <si>
    <t>Romero</t>
  </si>
  <si>
    <t>Brind'Amour-Knackstedt</t>
  </si>
  <si>
    <t>514 889-0041</t>
  </si>
  <si>
    <t>0562393</t>
  </si>
  <si>
    <t>J5J0C6</t>
  </si>
  <si>
    <t>514 623-0528</t>
  </si>
  <si>
    <t>1454852</t>
  </si>
  <si>
    <t>Boudreau-Benoit</t>
  </si>
  <si>
    <t>514 775-8225</t>
  </si>
  <si>
    <t>1427388</t>
  </si>
  <si>
    <t>Lessard, Gabrielle</t>
  </si>
  <si>
    <t>Fournier-Gauthier</t>
  </si>
  <si>
    <t>SAINT-JEAN-SUR-RICHELIEU</t>
  </si>
  <si>
    <t>Saint-Jean-sur-Richelieu</t>
  </si>
  <si>
    <t>450 951-4518</t>
  </si>
  <si>
    <t>1746482</t>
  </si>
  <si>
    <t>SAINT-JEAN-DE-MATHA</t>
  </si>
  <si>
    <t>Saint-Jean-de-Matha</t>
  </si>
  <si>
    <t>450 951-3989</t>
  </si>
  <si>
    <t>1929516</t>
  </si>
  <si>
    <t>SAINT-HIPPOLYTE</t>
  </si>
  <si>
    <t>Saint-Hippolyte</t>
  </si>
  <si>
    <t>J5L1T7</t>
  </si>
  <si>
    <t>450 858-2023</t>
  </si>
  <si>
    <t>1502830</t>
  </si>
  <si>
    <t>Gascon-Nepveu, Maël</t>
  </si>
  <si>
    <t>Gascon-Nepveu</t>
  </si>
  <si>
    <t>Maël</t>
  </si>
  <si>
    <t>J5L1K8</t>
  </si>
  <si>
    <t>450 883-8659</t>
  </si>
  <si>
    <t>1956821</t>
  </si>
  <si>
    <t>J5L1J2</t>
  </si>
  <si>
    <t>450 937-5695</t>
  </si>
  <si>
    <t>1773222</t>
  </si>
  <si>
    <t>Mentec, Emmanuelle</t>
  </si>
  <si>
    <t>J5L1N2</t>
  </si>
  <si>
    <t>450 858-4420</t>
  </si>
  <si>
    <t>1962783</t>
  </si>
  <si>
    <t>Gauthier, Ludérik</t>
  </si>
  <si>
    <t>Ludérik</t>
  </si>
  <si>
    <t>J5L1H4</t>
  </si>
  <si>
    <t>450 939-3226</t>
  </si>
  <si>
    <t>1221372</t>
  </si>
  <si>
    <t>Grenier-Chénier</t>
  </si>
  <si>
    <t>Maria-Alexandra</t>
  </si>
  <si>
    <t>J5L1W9</t>
  </si>
  <si>
    <t>450 858-1390</t>
  </si>
  <si>
    <t>1632595</t>
  </si>
  <si>
    <t>Robert, Britany</t>
  </si>
  <si>
    <t>Britany</t>
  </si>
  <si>
    <t>Marianna</t>
  </si>
  <si>
    <t>J5L1V1</t>
  </si>
  <si>
    <t>450 858-2001</t>
  </si>
  <si>
    <t>1559337</t>
  </si>
  <si>
    <t>Crane, Nève</t>
  </si>
  <si>
    <t>Crane</t>
  </si>
  <si>
    <t>Patterson</t>
  </si>
  <si>
    <t>J5L1R6</t>
  </si>
  <si>
    <t>450 858-2575</t>
  </si>
  <si>
    <t>1755149</t>
  </si>
  <si>
    <t>Tétreault, Andréanne</t>
  </si>
  <si>
    <t>450 858-1657</t>
  </si>
  <si>
    <t>1767608</t>
  </si>
  <si>
    <t>J5L1H1</t>
  </si>
  <si>
    <t>450 940-0531</t>
  </si>
  <si>
    <t>1874975</t>
  </si>
  <si>
    <t>J5L1P1</t>
  </si>
  <si>
    <t>450 858-3413</t>
  </si>
  <si>
    <t>1925411</t>
  </si>
  <si>
    <t>Bowes-Théberge</t>
  </si>
  <si>
    <t>J5L1G8</t>
  </si>
  <si>
    <t>450 940-1387</t>
  </si>
  <si>
    <t>1860623</t>
  </si>
  <si>
    <t>Mayrand, Etienne</t>
  </si>
  <si>
    <t>J5L1H7</t>
  </si>
  <si>
    <t>450 939-1713</t>
  </si>
  <si>
    <t>9334475</t>
  </si>
  <si>
    <t>Talon, Annabelle</t>
  </si>
  <si>
    <t>J5L1Y4</t>
  </si>
  <si>
    <t>450 848-8876</t>
  </si>
  <si>
    <t>1838309</t>
  </si>
  <si>
    <t>Eath, Marjory</t>
  </si>
  <si>
    <t>Marie Rachel</t>
  </si>
  <si>
    <t>J5L1L6</t>
  </si>
  <si>
    <t>450 858-4644</t>
  </si>
  <si>
    <t>1561835</t>
  </si>
  <si>
    <t>Ghassemian</t>
  </si>
  <si>
    <t>J5L1G9</t>
  </si>
  <si>
    <t>450 940-0552</t>
  </si>
  <si>
    <t>1871107</t>
  </si>
  <si>
    <t>Turcot, Alexis</t>
  </si>
  <si>
    <t>J5L1E6</t>
  </si>
  <si>
    <t>450 951-2197</t>
  </si>
  <si>
    <t>1959118</t>
  </si>
  <si>
    <t>Thériault, Anakin</t>
  </si>
  <si>
    <t>Anakin</t>
  </si>
  <si>
    <t>J5L1J3</t>
  </si>
  <si>
    <t>450 937-2849</t>
  </si>
  <si>
    <t>1924079</t>
  </si>
  <si>
    <t>Charbonneau, Pierre</t>
  </si>
  <si>
    <t>J5L1K6</t>
  </si>
  <si>
    <t>450 889-4202</t>
  </si>
  <si>
    <t>0806315</t>
  </si>
  <si>
    <t>450 939-0681</t>
  </si>
  <si>
    <t>1642206</t>
  </si>
  <si>
    <t>J5L1E7</t>
  </si>
  <si>
    <t>450 951-0674</t>
  </si>
  <si>
    <t>1068801</t>
  </si>
  <si>
    <t>Grandlair, Laurie</t>
  </si>
  <si>
    <t>Grandlair</t>
  </si>
  <si>
    <t>Larin</t>
  </si>
  <si>
    <t>450 898-5787</t>
  </si>
  <si>
    <t>0831464</t>
  </si>
  <si>
    <t>Desroches, Megan</t>
  </si>
  <si>
    <t>Millier</t>
  </si>
  <si>
    <t>J5L1T5</t>
  </si>
  <si>
    <t>450 858-2109</t>
  </si>
  <si>
    <t>1869068</t>
  </si>
  <si>
    <t>Labelle, Juliette</t>
  </si>
  <si>
    <t>450 940-0909</t>
  </si>
  <si>
    <t>1744346</t>
  </si>
  <si>
    <t>Guénette, Laurence</t>
  </si>
  <si>
    <t>Landuydt</t>
  </si>
  <si>
    <t>J5L1K2</t>
  </si>
  <si>
    <t>450 910-1747</t>
  </si>
  <si>
    <t>1624820</t>
  </si>
  <si>
    <t>J5L1V4</t>
  </si>
  <si>
    <t>450 858-1894</t>
  </si>
  <si>
    <t>1635639</t>
  </si>
  <si>
    <t>Lévesque-Milot, Gabrielle</t>
  </si>
  <si>
    <t>Lévesque-Milot</t>
  </si>
  <si>
    <t>450 937-6542</t>
  </si>
  <si>
    <t>1771507</t>
  </si>
  <si>
    <t>450 939-2491</t>
  </si>
  <si>
    <t>1782353</t>
  </si>
  <si>
    <t>Denis, Mélissa</t>
  </si>
  <si>
    <t>J5L1L3</t>
  </si>
  <si>
    <t>450 858-4727</t>
  </si>
  <si>
    <t>1939963</t>
  </si>
  <si>
    <t>Forget-Plouffe, Marie-Eve</t>
  </si>
  <si>
    <t>Forget-Plouffe</t>
  </si>
  <si>
    <t>Lippé Perez</t>
  </si>
  <si>
    <t>J5L1Y3</t>
  </si>
  <si>
    <t>450 848-9109</t>
  </si>
  <si>
    <t>1971183</t>
  </si>
  <si>
    <t>Daigle, Myranda</t>
  </si>
  <si>
    <t>J5L1J6</t>
  </si>
  <si>
    <t>450 917-1808</t>
  </si>
  <si>
    <t>1647467</t>
  </si>
  <si>
    <t>Plante-Complaisance, Charlie</t>
  </si>
  <si>
    <t>J5L1N6</t>
  </si>
  <si>
    <t>450 858-3810</t>
  </si>
  <si>
    <t>1173474</t>
  </si>
  <si>
    <t>Legault-Gagnon</t>
  </si>
  <si>
    <t>J5L1S2</t>
  </si>
  <si>
    <t>450 858-2316</t>
  </si>
  <si>
    <t>1523737</t>
  </si>
  <si>
    <t>Le Blanc, Jakob</t>
  </si>
  <si>
    <t>Le Blanc</t>
  </si>
  <si>
    <t>Jakob</t>
  </si>
  <si>
    <t>J5L1S1</t>
  </si>
  <si>
    <t>450 858-2504</t>
  </si>
  <si>
    <t>1109681</t>
  </si>
  <si>
    <t>Allard Grenier</t>
  </si>
  <si>
    <t>450 906-3484</t>
  </si>
  <si>
    <t>1255855</t>
  </si>
  <si>
    <t>Morin, Émerick</t>
  </si>
  <si>
    <t>Émerick</t>
  </si>
  <si>
    <t>Désilets</t>
  </si>
  <si>
    <t>J5L1X6</t>
  </si>
  <si>
    <t>450 848-9923</t>
  </si>
  <si>
    <t>1776170</t>
  </si>
  <si>
    <t>Stival, Antoine</t>
  </si>
  <si>
    <t>Stival</t>
  </si>
  <si>
    <t>Bigras Lacasse</t>
  </si>
  <si>
    <t>J5L1E8</t>
  </si>
  <si>
    <t>450 949-2200</t>
  </si>
  <si>
    <t>1781256</t>
  </si>
  <si>
    <t>Bélisle, Tomy</t>
  </si>
  <si>
    <t>J5L1P9</t>
  </si>
  <si>
    <t>450 858-2882</t>
  </si>
  <si>
    <t>1767434</t>
  </si>
  <si>
    <t>Tran Huynh, Alyssandre</t>
  </si>
  <si>
    <t>Tran Huynh</t>
  </si>
  <si>
    <t>Alyssandre</t>
  </si>
  <si>
    <t>Marie-France</t>
  </si>
  <si>
    <t>J5L1G4</t>
  </si>
  <si>
    <t>450 944-1070</t>
  </si>
  <si>
    <t>1941150</t>
  </si>
  <si>
    <t>J5L1T1</t>
  </si>
  <si>
    <t>450 858-2267</t>
  </si>
  <si>
    <t>1950645</t>
  </si>
  <si>
    <t>Lezerac, Gabriella</t>
  </si>
  <si>
    <t>Lezerac</t>
  </si>
  <si>
    <t>Gabriella</t>
  </si>
  <si>
    <t>450 848-8948</t>
  </si>
  <si>
    <t>1855696</t>
  </si>
  <si>
    <t>450 858-1774</t>
  </si>
  <si>
    <t>1980805</t>
  </si>
  <si>
    <t>J5L1X8</t>
  </si>
  <si>
    <t>450 848-9147</t>
  </si>
  <si>
    <t>1822237</t>
  </si>
  <si>
    <t>Minville, Émilie</t>
  </si>
  <si>
    <t>Minville</t>
  </si>
  <si>
    <t>450 858-2174</t>
  </si>
  <si>
    <t>1733994</t>
  </si>
  <si>
    <t>Deumeni, Maygan</t>
  </si>
  <si>
    <t>450 858-4705</t>
  </si>
  <si>
    <t>1577384</t>
  </si>
  <si>
    <t>Arsenault, Xavier</t>
  </si>
  <si>
    <t>Vandal</t>
  </si>
  <si>
    <t>450 858-4001</t>
  </si>
  <si>
    <t>1968474</t>
  </si>
  <si>
    <t>Lafleur, Josee</t>
  </si>
  <si>
    <t>Josee</t>
  </si>
  <si>
    <t>Hotte</t>
  </si>
  <si>
    <t>450 918-4149</t>
  </si>
  <si>
    <t>1843058</t>
  </si>
  <si>
    <t>1933780</t>
  </si>
  <si>
    <t>Martin, Fanny</t>
  </si>
  <si>
    <t>450 927-0133</t>
  </si>
  <si>
    <t>1130969</t>
  </si>
  <si>
    <t>Ouimet, Dina</t>
  </si>
  <si>
    <t>Dina</t>
  </si>
  <si>
    <t>Dansereau</t>
  </si>
  <si>
    <t>450 939-1798</t>
  </si>
  <si>
    <t>1913416</t>
  </si>
  <si>
    <t>Barsetti, Virginie</t>
  </si>
  <si>
    <t>J5L1R2</t>
  </si>
  <si>
    <t>450 858-2845</t>
  </si>
  <si>
    <t>1715644</t>
  </si>
  <si>
    <t>Daoust-Jean</t>
  </si>
  <si>
    <t>450 937-7817</t>
  </si>
  <si>
    <t>1860613</t>
  </si>
  <si>
    <t>Paquette-Bélanger</t>
  </si>
  <si>
    <t>450 949-1537</t>
  </si>
  <si>
    <t>1964309</t>
  </si>
  <si>
    <t>Sévigny, Arianne</t>
  </si>
  <si>
    <t>Marie-Elaine</t>
  </si>
  <si>
    <t>450 933-3322</t>
  </si>
  <si>
    <t>1871002</t>
  </si>
  <si>
    <t>Therrien, Anabel</t>
  </si>
  <si>
    <t>Anabel</t>
  </si>
  <si>
    <t>450 848-8879</t>
  </si>
  <si>
    <t>1458861</t>
  </si>
  <si>
    <t>Herring, Kimberly Joy</t>
  </si>
  <si>
    <t>Herring</t>
  </si>
  <si>
    <t>Kimberly Joy</t>
  </si>
  <si>
    <t>J5L1P6</t>
  </si>
  <si>
    <t>450 858-3104</t>
  </si>
  <si>
    <t>1940493</t>
  </si>
  <si>
    <t>Gariépy, Magalie</t>
  </si>
  <si>
    <t>J5L1P5</t>
  </si>
  <si>
    <t>450 858-3323</t>
  </si>
  <si>
    <t>1970902</t>
  </si>
  <si>
    <t>Fréchette</t>
  </si>
  <si>
    <t>450 848-8849</t>
  </si>
  <si>
    <t>1855402</t>
  </si>
  <si>
    <t>Goyer-Villeneuve, Laurie</t>
  </si>
  <si>
    <t>J5L1X5</t>
  </si>
  <si>
    <t>450 858-1045</t>
  </si>
  <si>
    <t>1458878</t>
  </si>
  <si>
    <t>Gauvin-Léveillé, Louka</t>
  </si>
  <si>
    <t>Gauvin-Léveillé</t>
  </si>
  <si>
    <t>Louka</t>
  </si>
  <si>
    <t>J5L1N9</t>
  </si>
  <si>
    <t>450 858-3748</t>
  </si>
  <si>
    <t>1739124</t>
  </si>
  <si>
    <t>Lantagne, Jessica</t>
  </si>
  <si>
    <t>Marick</t>
  </si>
  <si>
    <t>450 858-3986</t>
  </si>
  <si>
    <t>1621059</t>
  </si>
  <si>
    <t>J5L1G1</t>
  </si>
  <si>
    <t>450 949-0520</t>
  </si>
  <si>
    <t>0969802</t>
  </si>
  <si>
    <t>D'Addona, Nadim</t>
  </si>
  <si>
    <t>450 941-1518</t>
  </si>
  <si>
    <t>1836663</t>
  </si>
  <si>
    <t>Savage, Audrey</t>
  </si>
  <si>
    <t>Savage</t>
  </si>
  <si>
    <t>Marcus</t>
  </si>
  <si>
    <t>450 848-9466</t>
  </si>
  <si>
    <t>1986715</t>
  </si>
  <si>
    <t>Lague, Jolyane</t>
  </si>
  <si>
    <t>Jolyane</t>
  </si>
  <si>
    <t>Henner</t>
  </si>
  <si>
    <t>J5L1S3</t>
  </si>
  <si>
    <t>450 858-2268</t>
  </si>
  <si>
    <t>1441611</t>
  </si>
  <si>
    <t>Perreault, Constance</t>
  </si>
  <si>
    <t>Constance</t>
  </si>
  <si>
    <t>450 949-0093</t>
  </si>
  <si>
    <t>1489760</t>
  </si>
  <si>
    <t>450 949-0134</t>
  </si>
  <si>
    <t>8572319</t>
  </si>
  <si>
    <t>Charbonneau, Pierre-Luc</t>
  </si>
  <si>
    <t>450 858-2531</t>
  </si>
  <si>
    <t>1726247</t>
  </si>
  <si>
    <t>450 858-2590</t>
  </si>
  <si>
    <t>1758959</t>
  </si>
  <si>
    <t>Norman, Elisa</t>
  </si>
  <si>
    <t>Norman</t>
  </si>
  <si>
    <t>Elisa</t>
  </si>
  <si>
    <t>Deguire</t>
  </si>
  <si>
    <t>1973897</t>
  </si>
  <si>
    <t>450 917-2737</t>
  </si>
  <si>
    <t>1072481</t>
  </si>
  <si>
    <t>Bouchard, Sean</t>
  </si>
  <si>
    <t>J5L1L1</t>
  </si>
  <si>
    <t>450 882-1928</t>
  </si>
  <si>
    <t>1542801</t>
  </si>
  <si>
    <t>Gendron, Louis-Nicolas</t>
  </si>
  <si>
    <t>Louis-Nicolas</t>
  </si>
  <si>
    <t>450 858-1908</t>
  </si>
  <si>
    <t>1973392</t>
  </si>
  <si>
    <t>Durocher, Martyn</t>
  </si>
  <si>
    <t>Mantha</t>
  </si>
  <si>
    <t>450 939-4762</t>
  </si>
  <si>
    <t>1630787</t>
  </si>
  <si>
    <t>450 858-4655</t>
  </si>
  <si>
    <t>0655058</t>
  </si>
  <si>
    <t>Bell, Toby</t>
  </si>
  <si>
    <t>450 858-2294</t>
  </si>
  <si>
    <t>1962938</t>
  </si>
  <si>
    <t>Capistran</t>
  </si>
  <si>
    <t>450 918-0774</t>
  </si>
  <si>
    <t>1726671</t>
  </si>
  <si>
    <t>Fortier, Marie-Eve</t>
  </si>
  <si>
    <t>L'Hérault</t>
  </si>
  <si>
    <t>450 858-4631</t>
  </si>
  <si>
    <t>1729915</t>
  </si>
  <si>
    <t>Paril, Danaé</t>
  </si>
  <si>
    <t>Crevier</t>
  </si>
  <si>
    <t>J5L1G6</t>
  </si>
  <si>
    <t>450 941-3618</t>
  </si>
  <si>
    <t>1849362</t>
  </si>
  <si>
    <t>Lamontagne, Jessy</t>
  </si>
  <si>
    <t>Lamontagne</t>
  </si>
  <si>
    <t>Guillot</t>
  </si>
  <si>
    <t>450 848-8936</t>
  </si>
  <si>
    <t>1658010</t>
  </si>
  <si>
    <t>Pagé, Deyez Lydet Audrey</t>
  </si>
  <si>
    <t>Deyez Lydet Audrey</t>
  </si>
  <si>
    <t>450 927-0247</t>
  </si>
  <si>
    <t>1731235</t>
  </si>
  <si>
    <t>Savard Michaud, Audréanne</t>
  </si>
  <si>
    <t>Savard Michaud</t>
  </si>
  <si>
    <t>450 858-2857</t>
  </si>
  <si>
    <t>1743657</t>
  </si>
  <si>
    <t>Lauzon-Boily, Jean-Lionel</t>
  </si>
  <si>
    <t>Jean-Lionel</t>
  </si>
  <si>
    <t>450 939-2819</t>
  </si>
  <si>
    <t>1955789</t>
  </si>
  <si>
    <t>Décary, Michaël</t>
  </si>
  <si>
    <t>J5L1V3</t>
  </si>
  <si>
    <t>450 858-2000</t>
  </si>
  <si>
    <t>1677087</t>
  </si>
  <si>
    <t>Toupin-Latour, Amélia</t>
  </si>
  <si>
    <t>Marie Claudine</t>
  </si>
  <si>
    <t>J5L1M1</t>
  </si>
  <si>
    <t>450 858-4589</t>
  </si>
  <si>
    <t>1861995</t>
  </si>
  <si>
    <t>Ramirez Bouchard, Catherine</t>
  </si>
  <si>
    <t>Ramirez Bouchard</t>
  </si>
  <si>
    <t>Maria Paz</t>
  </si>
  <si>
    <t>450 858-1204</t>
  </si>
  <si>
    <t>1846461</t>
  </si>
  <si>
    <t>Racine, Catherine</t>
  </si>
  <si>
    <t>J5L1K7</t>
  </si>
  <si>
    <t>450 888-0689</t>
  </si>
  <si>
    <t>1931237</t>
  </si>
  <si>
    <t>Hamelin-Lussier, Laurane</t>
  </si>
  <si>
    <t>Laurane</t>
  </si>
  <si>
    <t>J5L1W8</t>
  </si>
  <si>
    <t>450 858-1817</t>
  </si>
  <si>
    <t>1770908</t>
  </si>
  <si>
    <t>450 858-2706</t>
  </si>
  <si>
    <t>1361114</t>
  </si>
  <si>
    <t>Dupras Godbout</t>
  </si>
  <si>
    <t>450 949-0121</t>
  </si>
  <si>
    <t>1991676</t>
  </si>
  <si>
    <t>Marie Anne</t>
  </si>
  <si>
    <t>J5L1M9</t>
  </si>
  <si>
    <t>450 858-4535</t>
  </si>
  <si>
    <t>1326564</t>
  </si>
  <si>
    <t>Pierre-Louis, Christa</t>
  </si>
  <si>
    <t>Pierre-Louis</t>
  </si>
  <si>
    <t>Christa</t>
  </si>
  <si>
    <t>450 883-5590</t>
  </si>
  <si>
    <t>1676184</t>
  </si>
  <si>
    <t>Ouellet, Edeline</t>
  </si>
  <si>
    <t>Edeline</t>
  </si>
  <si>
    <t>J5L1T2</t>
  </si>
  <si>
    <t>450 858-2156</t>
  </si>
  <si>
    <t>1984810</t>
  </si>
  <si>
    <t>Mailloux, Frédéric</t>
  </si>
  <si>
    <t>450 858-1906</t>
  </si>
  <si>
    <t>1623980</t>
  </si>
  <si>
    <t>Makrian, Francis</t>
  </si>
  <si>
    <t>Makrian</t>
  </si>
  <si>
    <t>English</t>
  </si>
  <si>
    <t>J5L1N3</t>
  </si>
  <si>
    <t>450 858-4288</t>
  </si>
  <si>
    <t>1962089</t>
  </si>
  <si>
    <t>St-Onge, Annie-Pier</t>
  </si>
  <si>
    <t>Annie-Pier</t>
  </si>
  <si>
    <t>450 858-1498</t>
  </si>
  <si>
    <t>1683164</t>
  </si>
  <si>
    <t>Lemmetti, Gire</t>
  </si>
  <si>
    <t>Lemmetti</t>
  </si>
  <si>
    <t>Gire</t>
  </si>
  <si>
    <t>Fulker</t>
  </si>
  <si>
    <t>J5L1H5</t>
  </si>
  <si>
    <t>450 939-2277</t>
  </si>
  <si>
    <t>1784131</t>
  </si>
  <si>
    <t>Dion-Lamoureux, Maxime</t>
  </si>
  <si>
    <t>J5L1M8</t>
  </si>
  <si>
    <t>450 858-4565</t>
  </si>
  <si>
    <t>1732311</t>
  </si>
  <si>
    <t>Ficorilli, Marie-Pier</t>
  </si>
  <si>
    <t>Mariam</t>
  </si>
  <si>
    <t>450 858-1474</t>
  </si>
  <si>
    <t>1869676</t>
  </si>
  <si>
    <t>450 949-5000</t>
  </si>
  <si>
    <t>1478298</t>
  </si>
  <si>
    <t>Boudreau, Sarah Mélissa</t>
  </si>
  <si>
    <t>Santerre</t>
  </si>
  <si>
    <t>450 858-0514</t>
  </si>
  <si>
    <t>1977742</t>
  </si>
  <si>
    <t>Aubry, William</t>
  </si>
  <si>
    <t>Aubry</t>
  </si>
  <si>
    <t>J5L1R4</t>
  </si>
  <si>
    <t>450 858-2626</t>
  </si>
  <si>
    <t>1731827</t>
  </si>
  <si>
    <t>450 848-8893</t>
  </si>
  <si>
    <t>1825533</t>
  </si>
  <si>
    <t>Lavoie-Whitlock, Jamie</t>
  </si>
  <si>
    <t>Lavoie-Whitlock</t>
  </si>
  <si>
    <t>Jamie</t>
  </si>
  <si>
    <t>J5L1H2</t>
  </si>
  <si>
    <t>450 939-3721</t>
  </si>
  <si>
    <t>1771807</t>
  </si>
  <si>
    <t>Durocher, Martine</t>
  </si>
  <si>
    <t>Maria Camila</t>
  </si>
  <si>
    <t>450 858-1126</t>
  </si>
  <si>
    <t>1846571</t>
  </si>
  <si>
    <t>Desnoyers, Mégan</t>
  </si>
  <si>
    <t>450 858-3327</t>
  </si>
  <si>
    <t>1840464</t>
  </si>
  <si>
    <t>450 858-1726</t>
  </si>
  <si>
    <t>1681289</t>
  </si>
  <si>
    <t>450 858-4495</t>
  </si>
  <si>
    <t>1580321</t>
  </si>
  <si>
    <t>Papineau, David</t>
  </si>
  <si>
    <t>Papineau</t>
  </si>
  <si>
    <t>450 858-3634</t>
  </si>
  <si>
    <t>1741647</t>
  </si>
  <si>
    <t>450 848-8804</t>
  </si>
  <si>
    <t>1903156</t>
  </si>
  <si>
    <t>SAINT-GERVAIS</t>
  </si>
  <si>
    <t>Saint-Gervais</t>
  </si>
  <si>
    <t>450 848-8803</t>
  </si>
  <si>
    <t>6131792</t>
  </si>
  <si>
    <t>Le Gresley, Jade</t>
  </si>
  <si>
    <t>Le Gresley</t>
  </si>
  <si>
    <t>Généreux</t>
  </si>
  <si>
    <t>Marchal</t>
  </si>
  <si>
    <t>SAINT-FRÉDÉRIC</t>
  </si>
  <si>
    <t>Saint-Frédéric</t>
  </si>
  <si>
    <t>J5L1Y6</t>
  </si>
  <si>
    <t>450 848-8689</t>
  </si>
  <si>
    <t>1751372</t>
  </si>
  <si>
    <t>Frenette, Maria Camila</t>
  </si>
  <si>
    <t>Marcelle Kévine</t>
  </si>
  <si>
    <t>SAINT-FÉLIX-DE-VALOIS</t>
  </si>
  <si>
    <t>Saint-Félix-de-Valois</t>
  </si>
  <si>
    <t>J5L1Y7</t>
  </si>
  <si>
    <t>450 848-8410</t>
  </si>
  <si>
    <t>1472331</t>
  </si>
  <si>
    <t>Plaum, Charlie</t>
  </si>
  <si>
    <t>Plaum</t>
  </si>
  <si>
    <t>Chiasson</t>
  </si>
  <si>
    <t>SAINT-EUSTACHE</t>
  </si>
  <si>
    <t>Saint-Eustache</t>
  </si>
  <si>
    <t>J5L2A2</t>
  </si>
  <si>
    <t>450 848-7018</t>
  </si>
  <si>
    <t>1754403</t>
  </si>
  <si>
    <t>Gaudreau, Lydia</t>
  </si>
  <si>
    <t>Gaudreau</t>
  </si>
  <si>
    <t>Lécuyer</t>
  </si>
  <si>
    <t>J5L2E6</t>
  </si>
  <si>
    <t>450 848-5487</t>
  </si>
  <si>
    <t>1645499</t>
  </si>
  <si>
    <t>Ludovic</t>
  </si>
  <si>
    <t>J5L2M7</t>
  </si>
  <si>
    <t>450 848-0868</t>
  </si>
  <si>
    <t>1635910</t>
  </si>
  <si>
    <t>Dubeau</t>
  </si>
  <si>
    <t>Maèva</t>
  </si>
  <si>
    <t>J5L2K3</t>
  </si>
  <si>
    <t>450 848-3322</t>
  </si>
  <si>
    <t>1729012</t>
  </si>
  <si>
    <t>Maev</t>
  </si>
  <si>
    <t>J5L2K5</t>
  </si>
  <si>
    <t>450 848-3247</t>
  </si>
  <si>
    <t>1217919</t>
  </si>
  <si>
    <t>Poirier, Charles-Alexandre</t>
  </si>
  <si>
    <t>Charles-Alexandre</t>
  </si>
  <si>
    <t>J5L2H8</t>
  </si>
  <si>
    <t>450 848-4625</t>
  </si>
  <si>
    <t>1931428</t>
  </si>
  <si>
    <t>Thibault, Amély</t>
  </si>
  <si>
    <t>Amély</t>
  </si>
  <si>
    <t>Beland</t>
  </si>
  <si>
    <t>J5L2P7</t>
  </si>
  <si>
    <t>450 848-0660</t>
  </si>
  <si>
    <t>1526462</t>
  </si>
  <si>
    <t>St-Cyr, Antoine</t>
  </si>
  <si>
    <t>450 848-4756</t>
  </si>
  <si>
    <t>1962686</t>
  </si>
  <si>
    <t>Duranleau, Maryanne</t>
  </si>
  <si>
    <t>Duranleau</t>
  </si>
  <si>
    <t>J5L2L7</t>
  </si>
  <si>
    <t>450 848-2188</t>
  </si>
  <si>
    <t>1915906</t>
  </si>
  <si>
    <t>J5L2J2</t>
  </si>
  <si>
    <t>450 848-4067</t>
  </si>
  <si>
    <t>0842805</t>
  </si>
  <si>
    <t>450 848-0883</t>
  </si>
  <si>
    <t>1855267</t>
  </si>
  <si>
    <t>Pelletier-Cuillerier, Coralie</t>
  </si>
  <si>
    <t>J5L2M3</t>
  </si>
  <si>
    <t>450 848-1398</t>
  </si>
  <si>
    <t>1553798</t>
  </si>
  <si>
    <t>Plante Théberge, Charline</t>
  </si>
  <si>
    <t>Charline</t>
  </si>
  <si>
    <t>Lysianne</t>
  </si>
  <si>
    <t>J5L2L2</t>
  </si>
  <si>
    <t>450 848-2751</t>
  </si>
  <si>
    <t>0859845</t>
  </si>
  <si>
    <t>Longpré, Gabriel</t>
  </si>
  <si>
    <t>Longpré</t>
  </si>
  <si>
    <t>450 848-2611</t>
  </si>
  <si>
    <t>1775625</t>
  </si>
  <si>
    <t>Dumont, Mathieu</t>
  </si>
  <si>
    <t>Marseille</t>
  </si>
  <si>
    <t>450 848-4174</t>
  </si>
  <si>
    <t>1839233</t>
  </si>
  <si>
    <t>De la Durantaye, Mickaël</t>
  </si>
  <si>
    <t>J5L2B5</t>
  </si>
  <si>
    <t>450 848-6192</t>
  </si>
  <si>
    <t>1724260</t>
  </si>
  <si>
    <t>Lafleur, Josée</t>
  </si>
  <si>
    <t>Josée</t>
  </si>
  <si>
    <t>450 848-0937</t>
  </si>
  <si>
    <t>1984059</t>
  </si>
  <si>
    <t>Hamel, Laurence</t>
  </si>
  <si>
    <t>Manolo</t>
  </si>
  <si>
    <t>J5L2E4</t>
  </si>
  <si>
    <t>450 848-5685</t>
  </si>
  <si>
    <t>1990992</t>
  </si>
  <si>
    <t>Bédard-Cortey</t>
  </si>
  <si>
    <t>Malika</t>
  </si>
  <si>
    <t>450 848-5444</t>
  </si>
  <si>
    <t>1856366</t>
  </si>
  <si>
    <t>Devault, May-Ann</t>
  </si>
  <si>
    <t>J5L2B1</t>
  </si>
  <si>
    <t>450 848-6335</t>
  </si>
  <si>
    <t>1725435</t>
  </si>
  <si>
    <t>Hébert, Krystelle</t>
  </si>
  <si>
    <t>Krystelle</t>
  </si>
  <si>
    <t>450 848-3820</t>
  </si>
  <si>
    <t>1868514</t>
  </si>
  <si>
    <t>450 848-4620</t>
  </si>
  <si>
    <t>1755503</t>
  </si>
  <si>
    <t>Harvey, Laura</t>
  </si>
  <si>
    <t>450 848-1351</t>
  </si>
  <si>
    <t>1869851</t>
  </si>
  <si>
    <t>Sentenne, Arianne</t>
  </si>
  <si>
    <t>Sentenne</t>
  </si>
  <si>
    <t>450 848-2509</t>
  </si>
  <si>
    <t>1860652</t>
  </si>
  <si>
    <t>Legault, Hélody</t>
  </si>
  <si>
    <t>Gallon</t>
  </si>
  <si>
    <t>J5L2B6</t>
  </si>
  <si>
    <t>450 848-6069</t>
  </si>
  <si>
    <t>1854455</t>
  </si>
  <si>
    <t>Lamoureux, Jessy</t>
  </si>
  <si>
    <t>Guertin</t>
  </si>
  <si>
    <t>450 848-6606</t>
  </si>
  <si>
    <t>1835165</t>
  </si>
  <si>
    <t>Collin, Odessa</t>
  </si>
  <si>
    <t>Piercy</t>
  </si>
  <si>
    <t>Maïlie</t>
  </si>
  <si>
    <t>J5L2G9</t>
  </si>
  <si>
    <t>450 848-4919</t>
  </si>
  <si>
    <t>1961321</t>
  </si>
  <si>
    <t>Lalonde, Joanie</t>
  </si>
  <si>
    <t>450 848-2336</t>
  </si>
  <si>
    <t>1840011</t>
  </si>
  <si>
    <t>Primeau, Cedrik</t>
  </si>
  <si>
    <t>Cedrik</t>
  </si>
  <si>
    <t>J5L2H4</t>
  </si>
  <si>
    <t>450 848-4879</t>
  </si>
  <si>
    <t>1724280</t>
  </si>
  <si>
    <t>Lessard, Gaël</t>
  </si>
  <si>
    <t>Gaël</t>
  </si>
  <si>
    <t>J5L2A9</t>
  </si>
  <si>
    <t>450 848-6414</t>
  </si>
  <si>
    <t>1904263</t>
  </si>
  <si>
    <t>Ledoux-Ranger, Ivanna Paola</t>
  </si>
  <si>
    <t>Ledoux-Ranger</t>
  </si>
  <si>
    <t>Ivanna Paola</t>
  </si>
  <si>
    <t>450 848-7199</t>
  </si>
  <si>
    <t>1964500</t>
  </si>
  <si>
    <t>Colavita, Olivia</t>
  </si>
  <si>
    <t>Colavita</t>
  </si>
  <si>
    <t>J5L2H7</t>
  </si>
  <si>
    <t>450 848-4799</t>
  </si>
  <si>
    <t>1571351</t>
  </si>
  <si>
    <t>Cawthorn, Rémi-Francis</t>
  </si>
  <si>
    <t>450 848-7251</t>
  </si>
  <si>
    <t>1723670</t>
  </si>
  <si>
    <t>Fraser, Mariane</t>
  </si>
  <si>
    <t>J5L2K8</t>
  </si>
  <si>
    <t>450 848-2844</t>
  </si>
  <si>
    <t>1732291</t>
  </si>
  <si>
    <t>Laurin, Jeffrey</t>
  </si>
  <si>
    <t>Jeffrey</t>
  </si>
  <si>
    <t>J5L2P9</t>
  </si>
  <si>
    <t>450 848-0367</t>
  </si>
  <si>
    <t>1837070</t>
  </si>
  <si>
    <t>Feidler, Marilie</t>
  </si>
  <si>
    <t>Feidler</t>
  </si>
  <si>
    <t>450 848-0465</t>
  </si>
  <si>
    <t>1878672</t>
  </si>
  <si>
    <t>Rioux-Burdet, Camille</t>
  </si>
  <si>
    <t>Rioux-Burdet</t>
  </si>
  <si>
    <t>450 848-2023</t>
  </si>
  <si>
    <t>1843869</t>
  </si>
  <si>
    <t>Garneau</t>
  </si>
  <si>
    <t>450 848-4818</t>
  </si>
  <si>
    <t>1976983</t>
  </si>
  <si>
    <t>Huard, Kevin</t>
  </si>
  <si>
    <t>Huard</t>
  </si>
  <si>
    <t>Macha</t>
  </si>
  <si>
    <t>450 848-2838</t>
  </si>
  <si>
    <t>1724918</t>
  </si>
  <si>
    <t>Malcolm Junior</t>
  </si>
  <si>
    <t>J5L2G4</t>
  </si>
  <si>
    <t>450 848-5338</t>
  </si>
  <si>
    <t>1915831</t>
  </si>
  <si>
    <t>Hamdikene, Laurence</t>
  </si>
  <si>
    <t>Hamdikene</t>
  </si>
  <si>
    <t>J5L2M6</t>
  </si>
  <si>
    <t>450 848-0994</t>
  </si>
  <si>
    <t>1847622</t>
  </si>
  <si>
    <t>Cartwright, Rosalie</t>
  </si>
  <si>
    <t>Cartwright</t>
  </si>
  <si>
    <t>Rejouis</t>
  </si>
  <si>
    <t>J5L2K6</t>
  </si>
  <si>
    <t>450 848-3043</t>
  </si>
  <si>
    <t>1033868</t>
  </si>
  <si>
    <t>Désir, Meggan</t>
  </si>
  <si>
    <t>Désir</t>
  </si>
  <si>
    <t>450 848-2845</t>
  </si>
  <si>
    <t>1860876</t>
  </si>
  <si>
    <t>Jolin</t>
  </si>
  <si>
    <t>450 848-6306</t>
  </si>
  <si>
    <t>1875216</t>
  </si>
  <si>
    <t>Charmettant, Pénélope</t>
  </si>
  <si>
    <t>Charmettant</t>
  </si>
  <si>
    <t>Lylirose</t>
  </si>
  <si>
    <t>450 848-2392</t>
  </si>
  <si>
    <t>1841307</t>
  </si>
  <si>
    <t>Séguin, Arielle</t>
  </si>
  <si>
    <t>Arielle</t>
  </si>
  <si>
    <t>Bonnot-Courtemanche</t>
  </si>
  <si>
    <t>Marc-Alexandre</t>
  </si>
  <si>
    <t>J5L2C3</t>
  </si>
  <si>
    <t>450 848-5945</t>
  </si>
  <si>
    <t>1316990</t>
  </si>
  <si>
    <t>Cyr-Vanier, Naomi</t>
  </si>
  <si>
    <t>Cyr-Vanier</t>
  </si>
  <si>
    <t>450 848-4622</t>
  </si>
  <si>
    <t>1826394</t>
  </si>
  <si>
    <t>Nirasinh Guindon, Elizabeth</t>
  </si>
  <si>
    <t>Nirasinh Guindon</t>
  </si>
  <si>
    <t>Delorme-Bordoni</t>
  </si>
  <si>
    <t>Ludjie</t>
  </si>
  <si>
    <t>J5L2N6</t>
  </si>
  <si>
    <t>450 848-0818</t>
  </si>
  <si>
    <t>1666801</t>
  </si>
  <si>
    <t>De Koster, Mickaël</t>
  </si>
  <si>
    <t>J5L2J7</t>
  </si>
  <si>
    <t>450 848-3378</t>
  </si>
  <si>
    <t>1847055</t>
  </si>
  <si>
    <t>Metellus, Emilya</t>
  </si>
  <si>
    <t>450 848-6234</t>
  </si>
  <si>
    <t>1772645</t>
  </si>
  <si>
    <t>Caravalho, Roxanne</t>
  </si>
  <si>
    <t>Marc</t>
  </si>
  <si>
    <t>J5L2C4</t>
  </si>
  <si>
    <t>450 848-5922</t>
  </si>
  <si>
    <t>1963074</t>
  </si>
  <si>
    <t>Duhaime, Mathilda</t>
  </si>
  <si>
    <t>450 848-4010</t>
  </si>
  <si>
    <t>1946708</t>
  </si>
  <si>
    <t>Majorie</t>
  </si>
  <si>
    <t>450 848-5315</t>
  </si>
  <si>
    <t>1542328</t>
  </si>
  <si>
    <t>Breton, Samuel</t>
  </si>
  <si>
    <t>J5L2C5</t>
  </si>
  <si>
    <t>450 848-5836</t>
  </si>
  <si>
    <t>0842895</t>
  </si>
  <si>
    <t>Germain, Lorie</t>
  </si>
  <si>
    <t>Lorie</t>
  </si>
  <si>
    <t>Lavoie-Lachapelle</t>
  </si>
  <si>
    <t>450 848-2149</t>
  </si>
  <si>
    <t>1363816</t>
  </si>
  <si>
    <t>Giroux, Léane</t>
  </si>
  <si>
    <t>Lyndsey</t>
  </si>
  <si>
    <t>450 848-2406</t>
  </si>
  <si>
    <t>1748121</t>
  </si>
  <si>
    <t>Saey Lefebvre, Audrey</t>
  </si>
  <si>
    <t>Saey Lefebvre</t>
  </si>
  <si>
    <t>Bourbonnais</t>
  </si>
  <si>
    <t>J5L2A3</t>
  </si>
  <si>
    <t>450 848-6478</t>
  </si>
  <si>
    <t>1545986</t>
  </si>
  <si>
    <t>Dumornay, Mathieu</t>
  </si>
  <si>
    <t>Dumornay</t>
  </si>
  <si>
    <t>Marschall</t>
  </si>
  <si>
    <t>450 848-2300</t>
  </si>
  <si>
    <t>1858059</t>
  </si>
  <si>
    <t>Nelson, Elizabeth</t>
  </si>
  <si>
    <t>J5L2M4</t>
  </si>
  <si>
    <t>450 848-1112</t>
  </si>
  <si>
    <t>1959872</t>
  </si>
  <si>
    <t>Benoit, Thomas</t>
  </si>
  <si>
    <t>450 848-0706</t>
  </si>
  <si>
    <t>1647147</t>
  </si>
  <si>
    <t>Semrouni, Ariel</t>
  </si>
  <si>
    <t>J5L2K7</t>
  </si>
  <si>
    <t>450 848-3010</t>
  </si>
  <si>
    <t>1837081</t>
  </si>
  <si>
    <t>Larouche-Thibault, Jérémi</t>
  </si>
  <si>
    <t>Larouche-Thibault</t>
  </si>
  <si>
    <t>Goodman</t>
  </si>
  <si>
    <t>Magaly</t>
  </si>
  <si>
    <t>450 848-4289</t>
  </si>
  <si>
    <t>1718712</t>
  </si>
  <si>
    <t>Barbeau, Viviane</t>
  </si>
  <si>
    <t>450 848-0700</t>
  </si>
  <si>
    <t>1765972</t>
  </si>
  <si>
    <t>J5L2P2</t>
  </si>
  <si>
    <t>450 848-0723</t>
  </si>
  <si>
    <t>1189754</t>
  </si>
  <si>
    <t>450 848-3234</t>
  </si>
  <si>
    <t>0824742</t>
  </si>
  <si>
    <t>Howarth, Kevin</t>
  </si>
  <si>
    <t>450 848-4809</t>
  </si>
  <si>
    <t>1625525</t>
  </si>
  <si>
    <t>Cottier Tessier, Nicolas</t>
  </si>
  <si>
    <t>J5L2E7</t>
  </si>
  <si>
    <t>450 848-5369</t>
  </si>
  <si>
    <t>1924628</t>
  </si>
  <si>
    <t>Drapeau, Maxence</t>
  </si>
  <si>
    <t>Drapeau</t>
  </si>
  <si>
    <t>McNamara</t>
  </si>
  <si>
    <t>J5L2J5</t>
  </si>
  <si>
    <t>450 848-3693</t>
  </si>
  <si>
    <t>1841362</t>
  </si>
  <si>
    <t>Stanger Wolnitzky, Antoine</t>
  </si>
  <si>
    <t>Stanger Wolnitzky</t>
  </si>
  <si>
    <t>Blackburn</t>
  </si>
  <si>
    <t>Maé</t>
  </si>
  <si>
    <t>450 848-2874</t>
  </si>
  <si>
    <t>1944636</t>
  </si>
  <si>
    <t>L'Espérance-Joyal, Gaëlle</t>
  </si>
  <si>
    <t>J5L2C8</t>
  </si>
  <si>
    <t>450 848-5804</t>
  </si>
  <si>
    <t>0686949</t>
  </si>
  <si>
    <t>450 848-6038</t>
  </si>
  <si>
    <t>1350171</t>
  </si>
  <si>
    <t>Jara Chartrand</t>
  </si>
  <si>
    <t>J5L2H6</t>
  </si>
  <si>
    <t>450 848-4808</t>
  </si>
  <si>
    <t>1983806</t>
  </si>
  <si>
    <t>Payette, Cynthia</t>
  </si>
  <si>
    <t>Payette</t>
  </si>
  <si>
    <t>Maïna</t>
  </si>
  <si>
    <t>J5L2G8</t>
  </si>
  <si>
    <t>450 848-5171</t>
  </si>
  <si>
    <t>1976518</t>
  </si>
  <si>
    <t>Lyana</t>
  </si>
  <si>
    <t>450 848-1720</t>
  </si>
  <si>
    <t>1868735</t>
  </si>
  <si>
    <t>Sabourin-Massé, Audrey</t>
  </si>
  <si>
    <t>J5L2J6</t>
  </si>
  <si>
    <t>450 848-3562</t>
  </si>
  <si>
    <t>1844202</t>
  </si>
  <si>
    <t>Lauzon, Jean-Noël</t>
  </si>
  <si>
    <t>Jean-Noël</t>
  </si>
  <si>
    <t>450 848-3561</t>
  </si>
  <si>
    <t>1955271</t>
  </si>
  <si>
    <t>Mayville, Etienne</t>
  </si>
  <si>
    <t>Marc-Anthony</t>
  </si>
  <si>
    <t>450 848-6330</t>
  </si>
  <si>
    <t>1980890</t>
  </si>
  <si>
    <t>Tsar, Alexis</t>
  </si>
  <si>
    <t>Tsar</t>
  </si>
  <si>
    <t>Barrios Calvé</t>
  </si>
  <si>
    <t>450 848-5851</t>
  </si>
  <si>
    <t>1630568</t>
  </si>
  <si>
    <t>Lucien</t>
  </si>
  <si>
    <t>Madeline</t>
  </si>
  <si>
    <t>450 848-2862</t>
  </si>
  <si>
    <t>1741967</t>
  </si>
  <si>
    <t>Lounsbury, Gabriel</t>
  </si>
  <si>
    <t>Lounsbury</t>
  </si>
  <si>
    <t>Flamand</t>
  </si>
  <si>
    <t>450 848-5578</t>
  </si>
  <si>
    <t>0748266</t>
  </si>
  <si>
    <t>Fournier-Hébert</t>
  </si>
  <si>
    <t>450 848-4495</t>
  </si>
  <si>
    <t>1726068</t>
  </si>
  <si>
    <t>Séguin, Arièl</t>
  </si>
  <si>
    <t>Arièl</t>
  </si>
  <si>
    <t>Borcard</t>
  </si>
  <si>
    <t>450 848-6578</t>
  </si>
  <si>
    <t>1954144</t>
  </si>
  <si>
    <t>Luna Jimenez, Gabriel</t>
  </si>
  <si>
    <t>Luna Jimenez</t>
  </si>
  <si>
    <t>Fischer</t>
  </si>
  <si>
    <t>Luna</t>
  </si>
  <si>
    <t>J5L2M1</t>
  </si>
  <si>
    <t>450 848-1638</t>
  </si>
  <si>
    <t>1253857</t>
  </si>
  <si>
    <t>Forget, Marie-France</t>
  </si>
  <si>
    <t>J5L2N7</t>
  </si>
  <si>
    <t>450 848-0770</t>
  </si>
  <si>
    <t>1945289</t>
  </si>
  <si>
    <t>J5L1Z8</t>
  </si>
  <si>
    <t>450 848-7191</t>
  </si>
  <si>
    <t>1725984</t>
  </si>
  <si>
    <t>Lycia</t>
  </si>
  <si>
    <t>450 848-1747</t>
  </si>
  <si>
    <t>1933005</t>
  </si>
  <si>
    <t>Bergeron, Thalie</t>
  </si>
  <si>
    <t>Talbot</t>
  </si>
  <si>
    <t>450 848-0610</t>
  </si>
  <si>
    <t>1630153</t>
  </si>
  <si>
    <t>Lyam</t>
  </si>
  <si>
    <t>J5L2L9</t>
  </si>
  <si>
    <t>450 848-1692</t>
  </si>
  <si>
    <t>1731886</t>
  </si>
  <si>
    <t>Dagenais, Mythia</t>
  </si>
  <si>
    <t>450 848-2253</t>
  </si>
  <si>
    <t>1950004</t>
  </si>
  <si>
    <t>J5L2E1</t>
  </si>
  <si>
    <t>450 848-5788</t>
  </si>
  <si>
    <t>1749997</t>
  </si>
  <si>
    <t>Wolfe, Adam</t>
  </si>
  <si>
    <t>Wolfe</t>
  </si>
  <si>
    <t>Adli</t>
  </si>
  <si>
    <t>450 848-7085</t>
  </si>
  <si>
    <t>1878108</t>
  </si>
  <si>
    <t>Gagnon-Bélisle, Marc</t>
  </si>
  <si>
    <t>Gagnon-Bélisle</t>
  </si>
  <si>
    <t>Legault Lachaine</t>
  </si>
  <si>
    <t>450 848-5460</t>
  </si>
  <si>
    <t>1636048</t>
  </si>
  <si>
    <t>Cadieux-Lelaidier, Sabrina</t>
  </si>
  <si>
    <t>Maïly</t>
  </si>
  <si>
    <t>450 848-5053</t>
  </si>
  <si>
    <t>1936811</t>
  </si>
  <si>
    <t>Tawel-Thibert, Angélyque</t>
  </si>
  <si>
    <t>Tawel-Thibert</t>
  </si>
  <si>
    <t>Angélyque</t>
  </si>
  <si>
    <t>Bellerive</t>
  </si>
  <si>
    <t>450 848-5806</t>
  </si>
  <si>
    <t>1926652</t>
  </si>
  <si>
    <t>Castonguay, Roger Stevin</t>
  </si>
  <si>
    <t>Razouk</t>
  </si>
  <si>
    <t>Maïté</t>
  </si>
  <si>
    <t>J5L2G5</t>
  </si>
  <si>
    <t>450 848-5195</t>
  </si>
  <si>
    <t>1362452</t>
  </si>
  <si>
    <t>Desfossés-Ouellette</t>
  </si>
  <si>
    <t>450 848-6642</t>
  </si>
  <si>
    <t>1106602</t>
  </si>
  <si>
    <t>450 848-3207</t>
  </si>
  <si>
    <t>1983298</t>
  </si>
  <si>
    <t>Parent, Danica</t>
  </si>
  <si>
    <t>Danica</t>
  </si>
  <si>
    <t>Croisetière</t>
  </si>
  <si>
    <t>450 848-3293</t>
  </si>
  <si>
    <t>1408430</t>
  </si>
  <si>
    <t>Desrosiers Beaudin, Médéric</t>
  </si>
  <si>
    <t>Desrosiers Beaudin</t>
  </si>
  <si>
    <t>Malie</t>
  </si>
  <si>
    <t>J5L2G3</t>
  </si>
  <si>
    <t>450 848-5366</t>
  </si>
  <si>
    <t>1572398</t>
  </si>
  <si>
    <t>Gauvin, Loukina</t>
  </si>
  <si>
    <t>Loukina</t>
  </si>
  <si>
    <t>450 848-2546</t>
  </si>
  <si>
    <t>1325799</t>
  </si>
  <si>
    <t>450 848-0600</t>
  </si>
  <si>
    <t>1925772</t>
  </si>
  <si>
    <t>Ludovik</t>
  </si>
  <si>
    <t>450 848-0941</t>
  </si>
  <si>
    <t>1959138</t>
  </si>
  <si>
    <t>Lee, Isabelle</t>
  </si>
  <si>
    <t>450 848-4420</t>
  </si>
  <si>
    <t>1978016</t>
  </si>
  <si>
    <t>Arbour, Xavier</t>
  </si>
  <si>
    <t>Arbour</t>
  </si>
  <si>
    <t>450 848-6493</t>
  </si>
  <si>
    <t>1976048</t>
  </si>
  <si>
    <t>Genest, Louis Olivier</t>
  </si>
  <si>
    <t>Genest</t>
  </si>
  <si>
    <t>Louis Olivier</t>
  </si>
  <si>
    <t>Le Cunff</t>
  </si>
  <si>
    <t>Manyé Anne Cécilia</t>
  </si>
  <si>
    <t>J5L2C6</t>
  </si>
  <si>
    <t>450 848-5812</t>
  </si>
  <si>
    <t>1909478</t>
  </si>
  <si>
    <t>Leclair, Jacob C.</t>
  </si>
  <si>
    <t>Jacob C.</t>
  </si>
  <si>
    <t>450 848-2918</t>
  </si>
  <si>
    <t>1653926</t>
  </si>
  <si>
    <t>Lavallée, Jean-François</t>
  </si>
  <si>
    <t>Jean-François</t>
  </si>
  <si>
    <t>Magally</t>
  </si>
  <si>
    <t>450 848-4223</t>
  </si>
  <si>
    <t>9578520</t>
  </si>
  <si>
    <t>Charbonneau, Pierre-Marc</t>
  </si>
  <si>
    <t>450 848-6147</t>
  </si>
  <si>
    <t>1724935</t>
  </si>
  <si>
    <t>Major, François</t>
  </si>
  <si>
    <t>Éthier</t>
  </si>
  <si>
    <t>SAINTE-THÉRÈSE</t>
  </si>
  <si>
    <t>Sainte-Thérèse</t>
  </si>
  <si>
    <t>J5M1C3</t>
  </si>
  <si>
    <t>450 822-6910</t>
  </si>
  <si>
    <t>310.C0</t>
  </si>
  <si>
    <t>1923556</t>
  </si>
  <si>
    <t>Poncelet</t>
  </si>
  <si>
    <t>J5M1M4</t>
  </si>
  <si>
    <t>450 822-6654</t>
  </si>
  <si>
    <t>1938623</t>
  </si>
  <si>
    <t>J5L2S2</t>
  </si>
  <si>
    <t>450 831-4244</t>
  </si>
  <si>
    <t>1832670</t>
  </si>
  <si>
    <t>Beaubrun</t>
  </si>
  <si>
    <t>450 822-9544</t>
  </si>
  <si>
    <t>1546137</t>
  </si>
  <si>
    <t>Da Silva-Almeida</t>
  </si>
  <si>
    <t>450 848-0294</t>
  </si>
  <si>
    <t>1938802</t>
  </si>
  <si>
    <t>Sylvestre</t>
  </si>
  <si>
    <t>J5L2R5</t>
  </si>
  <si>
    <t>450 838-8588</t>
  </si>
  <si>
    <t>1130396</t>
  </si>
  <si>
    <t>J5M1J5</t>
  </si>
  <si>
    <t>450 822-6765</t>
  </si>
  <si>
    <t>9914993</t>
  </si>
  <si>
    <t>450 822-9089</t>
  </si>
  <si>
    <t>1958401</t>
  </si>
  <si>
    <t>Beaudette, Vincent</t>
  </si>
  <si>
    <t>Lindsay</t>
  </si>
  <si>
    <t>J5M0K1</t>
  </si>
  <si>
    <t>450 822-7420</t>
  </si>
  <si>
    <t>1481950</t>
  </si>
  <si>
    <t>Pelletier Tessier, Coralie</t>
  </si>
  <si>
    <t>Ligia Stefany</t>
  </si>
  <si>
    <t>J5M1B2</t>
  </si>
  <si>
    <t>450 822-7128</t>
  </si>
  <si>
    <t>1768024</t>
  </si>
  <si>
    <t>Kevorkian, Karel</t>
  </si>
  <si>
    <t>Kevorkian</t>
  </si>
  <si>
    <t>Karel</t>
  </si>
  <si>
    <t>Keobouarabath</t>
  </si>
  <si>
    <t>Lila</t>
  </si>
  <si>
    <t>J5M0W2</t>
  </si>
  <si>
    <t>450 822-7175</t>
  </si>
  <si>
    <t>0930309</t>
  </si>
  <si>
    <t>J5L2R3</t>
  </si>
  <si>
    <t>450 839-1067</t>
  </si>
  <si>
    <t>1777907</t>
  </si>
  <si>
    <t>Constantineau, Océane</t>
  </si>
  <si>
    <t>Constantineau</t>
  </si>
  <si>
    <t>Louise</t>
  </si>
  <si>
    <t>450 824-3426</t>
  </si>
  <si>
    <t>1835284</t>
  </si>
  <si>
    <t>Line Carolle</t>
  </si>
  <si>
    <t>J5M0G6</t>
  </si>
  <si>
    <t>450 822-7846</t>
  </si>
  <si>
    <t>1126115</t>
  </si>
  <si>
    <t>Lecavalier-Mondor, Jade</t>
  </si>
  <si>
    <t>J5L2S7</t>
  </si>
  <si>
    <t>450 822-8613</t>
  </si>
  <si>
    <t>1864541</t>
  </si>
  <si>
    <t>Pelletier, Cristina</t>
  </si>
  <si>
    <t>Cristina</t>
  </si>
  <si>
    <t>J5L2S9</t>
  </si>
  <si>
    <t>450 822-8383</t>
  </si>
  <si>
    <t>1839126</t>
  </si>
  <si>
    <t>Andréani-Labelle, Yasmine</t>
  </si>
  <si>
    <t>Louis-Félix</t>
  </si>
  <si>
    <t>450 824-7517</t>
  </si>
  <si>
    <t>1947258</t>
  </si>
  <si>
    <t>Chagnon, Rasha</t>
  </si>
  <si>
    <t>Rafeiro</t>
  </si>
  <si>
    <t>450 822-8502</t>
  </si>
  <si>
    <t>1855728</t>
  </si>
  <si>
    <t>Cataford, Renaude</t>
  </si>
  <si>
    <t>Louis Félix</t>
  </si>
  <si>
    <t>450 822-9866</t>
  </si>
  <si>
    <t>1944655</t>
  </si>
  <si>
    <t>Massicotte, Ève-Marie</t>
  </si>
  <si>
    <t>Massicotte</t>
  </si>
  <si>
    <t>J5L2R9</t>
  </si>
  <si>
    <t>450 838-6735</t>
  </si>
  <si>
    <t>1941103</t>
  </si>
  <si>
    <t>English, Marilyn</t>
  </si>
  <si>
    <t>450 822-8328</t>
  </si>
  <si>
    <t>1726806</t>
  </si>
  <si>
    <t>Browne, Samuel</t>
  </si>
  <si>
    <t>Browne</t>
  </si>
  <si>
    <t>Rochefort</t>
  </si>
  <si>
    <t>Lorie-Ann</t>
  </si>
  <si>
    <t>450 822-9143</t>
  </si>
  <si>
    <t>1973677</t>
  </si>
  <si>
    <t>Nielly, Elizabeth</t>
  </si>
  <si>
    <t>Nielly</t>
  </si>
  <si>
    <t>Deluy</t>
  </si>
  <si>
    <t>Loryane</t>
  </si>
  <si>
    <t>450 822-9363</t>
  </si>
  <si>
    <t>1628219</t>
  </si>
  <si>
    <t>Martigny, Fée-Anne</t>
  </si>
  <si>
    <t>Martigny</t>
  </si>
  <si>
    <t>Fée-Anne</t>
  </si>
  <si>
    <t>J5L2S3</t>
  </si>
  <si>
    <t>450 822-8897</t>
  </si>
  <si>
    <t>1947085</t>
  </si>
  <si>
    <t>Arcand, Xavier</t>
  </si>
  <si>
    <t>Venne</t>
  </si>
  <si>
    <t>Leny</t>
  </si>
  <si>
    <t>J5M1W7</t>
  </si>
  <si>
    <t>450 822-6198</t>
  </si>
  <si>
    <t>1728557</t>
  </si>
  <si>
    <t>Robillard St-Louis, Brendan</t>
  </si>
  <si>
    <t>Brendan</t>
  </si>
  <si>
    <t>450 848-0324</t>
  </si>
  <si>
    <t>1759058</t>
  </si>
  <si>
    <t>450 822-9604</t>
  </si>
  <si>
    <t>1834228</t>
  </si>
  <si>
    <t>Ganéo, Maïka</t>
  </si>
  <si>
    <t>450 822-9848</t>
  </si>
  <si>
    <t>1823717</t>
  </si>
  <si>
    <t>Durocher, Martin</t>
  </si>
  <si>
    <t>Maptouom Kengne</t>
  </si>
  <si>
    <t>450 822-8866</t>
  </si>
  <si>
    <t>1933053</t>
  </si>
  <si>
    <t>Dallemand</t>
  </si>
  <si>
    <t>Léo</t>
  </si>
  <si>
    <t>J5M1S2</t>
  </si>
  <si>
    <t>450 822-6381</t>
  </si>
  <si>
    <t>1955966</t>
  </si>
  <si>
    <t>450 822-8285</t>
  </si>
  <si>
    <t>1358400</t>
  </si>
  <si>
    <t>Périard, Coralie</t>
  </si>
  <si>
    <t>J5L2S8</t>
  </si>
  <si>
    <t>450 822-8473</t>
  </si>
  <si>
    <t>1924457</t>
  </si>
  <si>
    <t>Lanteigne, Jessica</t>
  </si>
  <si>
    <t>Lanteigne</t>
  </si>
  <si>
    <t>Loïane</t>
  </si>
  <si>
    <t>J5M0G1</t>
  </si>
  <si>
    <t>450 822-8099</t>
  </si>
  <si>
    <t>1667452</t>
  </si>
  <si>
    <t>Bourassa, Sarah</t>
  </si>
  <si>
    <t>Sagot</t>
  </si>
  <si>
    <t>450 848-0225</t>
  </si>
  <si>
    <t>1187801</t>
  </si>
  <si>
    <t>Deschesne Tessier, Mélanie</t>
  </si>
  <si>
    <t>Deschesne Tessier</t>
  </si>
  <si>
    <t>Morissette-Sirois</t>
  </si>
  <si>
    <t>J5M1P5</t>
  </si>
  <si>
    <t>450 822-6432</t>
  </si>
  <si>
    <t>1936747</t>
  </si>
  <si>
    <t>450 822-8644</t>
  </si>
  <si>
    <t>1640729</t>
  </si>
  <si>
    <t>Sagala, Audrey</t>
  </si>
  <si>
    <t>450 848-0282</t>
  </si>
  <si>
    <t>1748355</t>
  </si>
  <si>
    <t>J5M1E3</t>
  </si>
  <si>
    <t>450 822-6819</t>
  </si>
  <si>
    <t>1944787</t>
  </si>
  <si>
    <t>Cataphard, Renaud</t>
  </si>
  <si>
    <t>Cataphard</t>
  </si>
  <si>
    <t>450 822-9872</t>
  </si>
  <si>
    <t>1401767</t>
  </si>
  <si>
    <t>Fex, Marie-Rose</t>
  </si>
  <si>
    <t>J5L2R6</t>
  </si>
  <si>
    <t>450 838-7593</t>
  </si>
  <si>
    <t>1969171</t>
  </si>
  <si>
    <t>Leclair, Jacob</t>
  </si>
  <si>
    <t>J5M1N3</t>
  </si>
  <si>
    <t>450 822-6632</t>
  </si>
  <si>
    <t>1873604</t>
  </si>
  <si>
    <t>Labarre, Justine</t>
  </si>
  <si>
    <t>Labarre</t>
  </si>
  <si>
    <t>J5L2R4</t>
  </si>
  <si>
    <t>450 838-9618</t>
  </si>
  <si>
    <t>1839210</t>
  </si>
  <si>
    <t>Venne, Alexandra</t>
  </si>
  <si>
    <t>Leslie</t>
  </si>
  <si>
    <t>J5M1K8</t>
  </si>
  <si>
    <t>450 822-6750</t>
  </si>
  <si>
    <t>1659768</t>
  </si>
  <si>
    <t>Lovenskie Raphaëlle</t>
  </si>
  <si>
    <t>450 848-0101</t>
  </si>
  <si>
    <t>1961541</t>
  </si>
  <si>
    <t>Bolduc, Shad Linn</t>
  </si>
  <si>
    <t>450 831-4112</t>
  </si>
  <si>
    <t>1947829</t>
  </si>
  <si>
    <t>Sherman, Ariane</t>
  </si>
  <si>
    <t>Sherman</t>
  </si>
  <si>
    <t>450 822-7069</t>
  </si>
  <si>
    <t>1859542</t>
  </si>
  <si>
    <t>450 822-7924</t>
  </si>
  <si>
    <t>1976223</t>
  </si>
  <si>
    <t>450 822-9660</t>
  </si>
  <si>
    <t>1822956</t>
  </si>
  <si>
    <t>Guertin-Couillard, Laurence</t>
  </si>
  <si>
    <t>Guertin-Couillard</t>
  </si>
  <si>
    <t>450 822-6410</t>
  </si>
  <si>
    <t>0916986</t>
  </si>
  <si>
    <t>Vo, Alex</t>
  </si>
  <si>
    <t>Vo</t>
  </si>
  <si>
    <t>450 822-8428</t>
  </si>
  <si>
    <t>1718922</t>
  </si>
  <si>
    <t>Marras, Félix</t>
  </si>
  <si>
    <t>Marras</t>
  </si>
  <si>
    <t>J5M0J2</t>
  </si>
  <si>
    <t>450 822-7702</t>
  </si>
  <si>
    <t>1755720</t>
  </si>
  <si>
    <t>Lory</t>
  </si>
  <si>
    <t>450 822-9202</t>
  </si>
  <si>
    <t>1844589</t>
  </si>
  <si>
    <t>Luis, Gabriel</t>
  </si>
  <si>
    <t>Luis</t>
  </si>
  <si>
    <t>Lou-Philippe</t>
  </si>
  <si>
    <t>450 846-3034</t>
  </si>
  <si>
    <t>1926292</t>
  </si>
  <si>
    <t>Archambault Labelle, Xavier</t>
  </si>
  <si>
    <t>Archambault Labelle</t>
  </si>
  <si>
    <t>Vendette</t>
  </si>
  <si>
    <t>450 838-9536</t>
  </si>
  <si>
    <t>1735881</t>
  </si>
  <si>
    <t>Lili-Rose</t>
  </si>
  <si>
    <t>J5M0K4</t>
  </si>
  <si>
    <t>450 822-7294</t>
  </si>
  <si>
    <t>1975045</t>
  </si>
  <si>
    <t>Daniel, Mollie</t>
  </si>
  <si>
    <t>450 822-9082</t>
  </si>
  <si>
    <t>1969192</t>
  </si>
  <si>
    <t>450 822-9031</t>
  </si>
  <si>
    <t>1864527</t>
  </si>
  <si>
    <t>J5M0N1</t>
  </si>
  <si>
    <t>450 822-7181</t>
  </si>
  <si>
    <t>1863572</t>
  </si>
  <si>
    <t>J5L2S1</t>
  </si>
  <si>
    <t>450 834-2113</t>
  </si>
  <si>
    <t>1861191</t>
  </si>
  <si>
    <t>Vitabile-Cantin, Alex</t>
  </si>
  <si>
    <t>J5M0E5</t>
  </si>
  <si>
    <t>450 822-8203</t>
  </si>
  <si>
    <t>1967182</t>
  </si>
  <si>
    <t>450 822-9308</t>
  </si>
  <si>
    <t>1562705</t>
  </si>
  <si>
    <t>Lindsey</t>
  </si>
  <si>
    <t>J5M0J7</t>
  </si>
  <si>
    <t>450 822-7530</t>
  </si>
  <si>
    <t>1623981</t>
  </si>
  <si>
    <t>Desrosiers, Médéric</t>
  </si>
  <si>
    <t>450 822-6307</t>
  </si>
  <si>
    <t>1753690</t>
  </si>
  <si>
    <t>Laurin, Jennie</t>
  </si>
  <si>
    <t>Jennie</t>
  </si>
  <si>
    <t>Liliane</t>
  </si>
  <si>
    <t>J5M0K5</t>
  </si>
  <si>
    <t>450 822-7251</t>
  </si>
  <si>
    <t>1470792</t>
  </si>
  <si>
    <t>Ouellet-Tremblay, Dominic</t>
  </si>
  <si>
    <t>450 822-9619</t>
  </si>
  <si>
    <t>1974559</t>
  </si>
  <si>
    <t>Dassylva</t>
  </si>
  <si>
    <t>J5M0C6</t>
  </si>
  <si>
    <t>450 822-8210</t>
  </si>
  <si>
    <t>0068622</t>
  </si>
  <si>
    <t>Kelouche, Karika</t>
  </si>
  <si>
    <t>Kelouche</t>
  </si>
  <si>
    <t>Karika</t>
  </si>
  <si>
    <t>Khemiri</t>
  </si>
  <si>
    <t>Louis-Georges</t>
  </si>
  <si>
    <t>450 831-3441</t>
  </si>
  <si>
    <t>1930292</t>
  </si>
  <si>
    <t>J5M0G3</t>
  </si>
  <si>
    <t>450 822-8028</t>
  </si>
  <si>
    <t>0989567</t>
  </si>
  <si>
    <t>Lecourt, Jacob</t>
  </si>
  <si>
    <t>Lecourt</t>
  </si>
  <si>
    <t>Lorianne</t>
  </si>
  <si>
    <t>450 822-8979</t>
  </si>
  <si>
    <t>1755007</t>
  </si>
  <si>
    <t>Lavoie, Janik</t>
  </si>
  <si>
    <t>Janik</t>
  </si>
  <si>
    <t>450 834-3342</t>
  </si>
  <si>
    <t>1845685</t>
  </si>
  <si>
    <t>Santerre, Audrey</t>
  </si>
  <si>
    <t>Boucher-Charbonneau</t>
  </si>
  <si>
    <t>Louis-David</t>
  </si>
  <si>
    <t>450 824-1801</t>
  </si>
  <si>
    <t>1950529</t>
  </si>
  <si>
    <t>Louis-Olivier</t>
  </si>
  <si>
    <t>450 831-4292</t>
  </si>
  <si>
    <t>1954816</t>
  </si>
  <si>
    <t>J5M1T2</t>
  </si>
  <si>
    <t>450 822-6216</t>
  </si>
  <si>
    <t>1828902</t>
  </si>
  <si>
    <t>Rafeiro, Catherine</t>
  </si>
  <si>
    <t>Leonie</t>
  </si>
  <si>
    <t>450 822-6604</t>
  </si>
  <si>
    <t>1674870</t>
  </si>
  <si>
    <t>Caluori, Sabrina</t>
  </si>
  <si>
    <t>450 822-8465</t>
  </si>
  <si>
    <t>1788952</t>
  </si>
  <si>
    <t>Louisanne</t>
  </si>
  <si>
    <t>450 822-9975</t>
  </si>
  <si>
    <t>1848260</t>
  </si>
  <si>
    <t>Mondou, Emilie</t>
  </si>
  <si>
    <t>Louis-Thomas</t>
  </si>
  <si>
    <t>450 838-8043</t>
  </si>
  <si>
    <t>1825147</t>
  </si>
  <si>
    <t>Roy-Couillard, Audrey-Anne</t>
  </si>
  <si>
    <t>450 848-0167</t>
  </si>
  <si>
    <t>1729814</t>
  </si>
  <si>
    <t>Mathieu Gingras</t>
  </si>
  <si>
    <t>J5M0B7</t>
  </si>
  <si>
    <t>450 822-8216</t>
  </si>
  <si>
    <t>1558166</t>
  </si>
  <si>
    <t>450 822-8478</t>
  </si>
  <si>
    <t>1840731</t>
  </si>
  <si>
    <t>Lesiège, Gaëlle</t>
  </si>
  <si>
    <t>Lesiège</t>
  </si>
  <si>
    <t>Franche</t>
  </si>
  <si>
    <t>J5M1L2</t>
  </si>
  <si>
    <t>450 822-6717</t>
  </si>
  <si>
    <t>1782603</t>
  </si>
  <si>
    <t>Turcotte-Bureau, Alexis</t>
  </si>
  <si>
    <t>Turcotte-Bureau</t>
  </si>
  <si>
    <t>Loriane</t>
  </si>
  <si>
    <t>450 822-8915</t>
  </si>
  <si>
    <t>1943037</t>
  </si>
  <si>
    <t>Lena</t>
  </si>
  <si>
    <t>SAINT-ESPRIT</t>
  </si>
  <si>
    <t>Saint-Esprit</t>
  </si>
  <si>
    <t>J5M1X8</t>
  </si>
  <si>
    <t>450 822-6192</t>
  </si>
  <si>
    <t>1942988</t>
  </si>
  <si>
    <t>Leila</t>
  </si>
  <si>
    <t>J5M1Y3</t>
  </si>
  <si>
    <t>450 822-6183</t>
  </si>
  <si>
    <t>1873561</t>
  </si>
  <si>
    <t>Lemieux-Castro</t>
  </si>
  <si>
    <t>Leevia</t>
  </si>
  <si>
    <t>J5M2A2</t>
  </si>
  <si>
    <t>450 822-6018</t>
  </si>
  <si>
    <t>1664402</t>
  </si>
  <si>
    <t>Primeau, Cédrick</t>
  </si>
  <si>
    <t>J5M1Z7</t>
  </si>
  <si>
    <t>450 822-6174</t>
  </si>
  <si>
    <t>1468549</t>
  </si>
  <si>
    <t>Abdallah, Zoë</t>
  </si>
  <si>
    <t>Leïla</t>
  </si>
  <si>
    <t>450 822-6187</t>
  </si>
  <si>
    <t>1662651</t>
  </si>
  <si>
    <t>Pinel-Lafontaine</t>
  </si>
  <si>
    <t>SAINTE-SOPHIE</t>
  </si>
  <si>
    <t>Sainte-Sophie</t>
  </si>
  <si>
    <t>J6Y1B6</t>
  </si>
  <si>
    <t>450 821-4551</t>
  </si>
  <si>
    <t>1935533</t>
  </si>
  <si>
    <t>J6W6E1</t>
  </si>
  <si>
    <t>450 821-6394</t>
  </si>
  <si>
    <t>1667848</t>
  </si>
  <si>
    <t>Archambault, Xavier</t>
  </si>
  <si>
    <t>J6Y2B1</t>
  </si>
  <si>
    <t>450 821-2170</t>
  </si>
  <si>
    <t>1729968</t>
  </si>
  <si>
    <t>J6Z4A2</t>
  </si>
  <si>
    <t>450 820-1105</t>
  </si>
  <si>
    <t>1774119</t>
  </si>
  <si>
    <t>Viens, Alexandra</t>
  </si>
  <si>
    <t>Viens</t>
  </si>
  <si>
    <t>Ane</t>
  </si>
  <si>
    <t>J6X0E7</t>
  </si>
  <si>
    <t>450 821-6106</t>
  </si>
  <si>
    <t>1792978</t>
  </si>
  <si>
    <t>de Vasconcellos Pellizza, Michaël</t>
  </si>
  <si>
    <t>de Vasconcellos Pellizza</t>
  </si>
  <si>
    <t>Novosad</t>
  </si>
  <si>
    <t>450 820-0844</t>
  </si>
  <si>
    <t>1730685</t>
  </si>
  <si>
    <t>Camirand, Sabrina</t>
  </si>
  <si>
    <t>Camirand</t>
  </si>
  <si>
    <t>J6E3Z1</t>
  </si>
  <si>
    <t>450 821-8598</t>
  </si>
  <si>
    <t>1786449</t>
  </si>
  <si>
    <t>Mathieu, Èvelyne</t>
  </si>
  <si>
    <t>Èvelyne</t>
  </si>
  <si>
    <t>J5M2G7</t>
  </si>
  <si>
    <t>450 822-5074</t>
  </si>
  <si>
    <t>1827837</t>
  </si>
  <si>
    <t>Joannette-Lafrance</t>
  </si>
  <si>
    <t>J6E8J3</t>
  </si>
  <si>
    <t>450 821-7881</t>
  </si>
  <si>
    <t>1531174</t>
  </si>
  <si>
    <t>Laverdière, Jean-Christophe</t>
  </si>
  <si>
    <t>Jean-Christophe</t>
  </si>
  <si>
    <t>J5M2G1</t>
  </si>
  <si>
    <t>450 822-5269</t>
  </si>
  <si>
    <t>1621682</t>
  </si>
  <si>
    <t>J6Z3M7</t>
  </si>
  <si>
    <t>450 820-1914</t>
  </si>
  <si>
    <t>1821124</t>
  </si>
  <si>
    <t>Fichault, Marie-Pier</t>
  </si>
  <si>
    <t>Fichault</t>
  </si>
  <si>
    <t>J5M2G2</t>
  </si>
  <si>
    <t>450 822-5171</t>
  </si>
  <si>
    <t>1958226</t>
  </si>
  <si>
    <t>Roy, Audrey-Maude</t>
  </si>
  <si>
    <t>Audrey-Maude</t>
  </si>
  <si>
    <t>J5M2R2</t>
  </si>
  <si>
    <t>450 822-3322</t>
  </si>
  <si>
    <t>1761298</t>
  </si>
  <si>
    <t>Tremblay-Coulombe, Allyson</t>
  </si>
  <si>
    <t>Tremblay-Coulombe</t>
  </si>
  <si>
    <t>J5M2J2</t>
  </si>
  <si>
    <t>450 822-4177</t>
  </si>
  <si>
    <t>1563484</t>
  </si>
  <si>
    <t>Aubut, William</t>
  </si>
  <si>
    <t>J6W0C3</t>
  </si>
  <si>
    <t>450 821-7248</t>
  </si>
  <si>
    <t>1854004</t>
  </si>
  <si>
    <t>J6X4M3</t>
  </si>
  <si>
    <t>450 821-5246</t>
  </si>
  <si>
    <t>1947638</t>
  </si>
  <si>
    <t>J5W2A2</t>
  </si>
  <si>
    <t>450 821-9394</t>
  </si>
  <si>
    <t>1651653</t>
  </si>
  <si>
    <t>Marinier, Félix</t>
  </si>
  <si>
    <t>J6E9B9</t>
  </si>
  <si>
    <t>450 821-7868</t>
  </si>
  <si>
    <t>1225978</t>
  </si>
  <si>
    <t>Roy-Guillemette, Audrey-Anne</t>
  </si>
  <si>
    <t>Roy-Guillemette</t>
  </si>
  <si>
    <t>J6Z2Z1</t>
  </si>
  <si>
    <t>450 820-5393</t>
  </si>
  <si>
    <t>1974532</t>
  </si>
  <si>
    <t>J5M3E7</t>
  </si>
  <si>
    <t>450 822-0241</t>
  </si>
  <si>
    <t>1811634</t>
  </si>
  <si>
    <t>Lacombe, Julia</t>
  </si>
  <si>
    <t>Lacombe</t>
  </si>
  <si>
    <t>Hummel</t>
  </si>
  <si>
    <t>J6Y1K1</t>
  </si>
  <si>
    <t>450 821-3559</t>
  </si>
  <si>
    <t>1990641</t>
  </si>
  <si>
    <t>Lamarche-Renaud, Jhon Jairo</t>
  </si>
  <si>
    <t>Lamarche-Renaud</t>
  </si>
  <si>
    <t>Jhon Jairo</t>
  </si>
  <si>
    <t>Guy-Lafleur</t>
  </si>
  <si>
    <t>J5M3E5</t>
  </si>
  <si>
    <t>450 822-0524</t>
  </si>
  <si>
    <t>1734023</t>
  </si>
  <si>
    <t>Renaud, Carolanne</t>
  </si>
  <si>
    <t>J6Z2M5</t>
  </si>
  <si>
    <t>450 821-0736</t>
  </si>
  <si>
    <t>0776753</t>
  </si>
  <si>
    <t>Pageau-Ruffet, Debby</t>
  </si>
  <si>
    <t>Debby</t>
  </si>
  <si>
    <t>J6X3Z9</t>
  </si>
  <si>
    <t>450 821-5250</t>
  </si>
  <si>
    <t>1861604</t>
  </si>
  <si>
    <t>Doucet, Maxim</t>
  </si>
  <si>
    <t>J6Z1M6</t>
  </si>
  <si>
    <t>450 821-1237</t>
  </si>
  <si>
    <t>1685223</t>
  </si>
  <si>
    <t>J6E2G7</t>
  </si>
  <si>
    <t>450 821-8653</t>
  </si>
  <si>
    <t>1889970</t>
  </si>
  <si>
    <t>J6E1C4</t>
  </si>
  <si>
    <t>450 821-8777</t>
  </si>
  <si>
    <t>1923182</t>
  </si>
  <si>
    <t>Jacques, Kellie</t>
  </si>
  <si>
    <t>Kellie</t>
  </si>
  <si>
    <t>Lacas</t>
  </si>
  <si>
    <t>J5M2T2</t>
  </si>
  <si>
    <t>450 822-2372</t>
  </si>
  <si>
    <t>1938006</t>
  </si>
  <si>
    <t>Kozel, Justine</t>
  </si>
  <si>
    <t>Kozel</t>
  </si>
  <si>
    <t>J6Y1N8</t>
  </si>
  <si>
    <t>450 821-3020</t>
  </si>
  <si>
    <t>1967078</t>
  </si>
  <si>
    <t>Guay, Laurianne</t>
  </si>
  <si>
    <t>Langevin-Guilbault</t>
  </si>
  <si>
    <t>J6W5Y1</t>
  </si>
  <si>
    <t>450 821-6550</t>
  </si>
  <si>
    <t>1758786</t>
  </si>
  <si>
    <t>J6Y1S6</t>
  </si>
  <si>
    <t>450 821-2575</t>
  </si>
  <si>
    <t>1968430</t>
  </si>
  <si>
    <t>Ouellette, Dorothé</t>
  </si>
  <si>
    <t>Dorothé</t>
  </si>
  <si>
    <t>J5M2C5</t>
  </si>
  <si>
    <t>450 822-5386</t>
  </si>
  <si>
    <t>1938647</t>
  </si>
  <si>
    <t>Mathieu Gingras, Ève</t>
  </si>
  <si>
    <t>Duclos</t>
  </si>
  <si>
    <t>Laylou</t>
  </si>
  <si>
    <t>J5M2P9</t>
  </si>
  <si>
    <t>450 822-3482</t>
  </si>
  <si>
    <t>1942018</t>
  </si>
  <si>
    <t>J5M3A4</t>
  </si>
  <si>
    <t>450 822-1177</t>
  </si>
  <si>
    <t>1845878</t>
  </si>
  <si>
    <t>Paquin, Daphné</t>
  </si>
  <si>
    <t>J6W3R3</t>
  </si>
  <si>
    <t>450 821-7038</t>
  </si>
  <si>
    <t>1773923</t>
  </si>
  <si>
    <t>Racine-Simard, Catherine</t>
  </si>
  <si>
    <t>J6X3P1</t>
  </si>
  <si>
    <t>450 821-5455</t>
  </si>
  <si>
    <t>1838471</t>
  </si>
  <si>
    <t>Charbonneau, Pier-Luc L</t>
  </si>
  <si>
    <t>J5M2S5</t>
  </si>
  <si>
    <t>450 822-3079</t>
  </si>
  <si>
    <t>1659189</t>
  </si>
  <si>
    <t>St-Louis, Ann-Sophie</t>
  </si>
  <si>
    <t>Ann-Sophie</t>
  </si>
  <si>
    <t>J5M2W4</t>
  </si>
  <si>
    <t>450 822-2169</t>
  </si>
  <si>
    <t>1424393</t>
  </si>
  <si>
    <t>Saydara, Asmaa</t>
  </si>
  <si>
    <t>Asmaa</t>
  </si>
  <si>
    <t>450 822-3249</t>
  </si>
  <si>
    <t>1761838</t>
  </si>
  <si>
    <t>Boileau, Simon</t>
  </si>
  <si>
    <t>J6Y1L5</t>
  </si>
  <si>
    <t>450 821-3363</t>
  </si>
  <si>
    <t>1956981</t>
  </si>
  <si>
    <t>Asfaw, William</t>
  </si>
  <si>
    <t>J5M2W5</t>
  </si>
  <si>
    <t>450 822-1956</t>
  </si>
  <si>
    <t>1991572</t>
  </si>
  <si>
    <t>Marenger, Félix</t>
  </si>
  <si>
    <t>Lee-Ann</t>
  </si>
  <si>
    <t>J5M2A4</t>
  </si>
  <si>
    <t>450 822-6013</t>
  </si>
  <si>
    <t>1442405</t>
  </si>
  <si>
    <t>Lefebvre-Monette, Ian</t>
  </si>
  <si>
    <t>Ian</t>
  </si>
  <si>
    <t>J5Y4B5</t>
  </si>
  <si>
    <t>450 821-9087</t>
  </si>
  <si>
    <t>1823880</t>
  </si>
  <si>
    <t>Larose, Jérémie</t>
  </si>
  <si>
    <t>J5M2L3</t>
  </si>
  <si>
    <t>450 822-3967</t>
  </si>
  <si>
    <t>0802526</t>
  </si>
  <si>
    <t>J6Y1C4</t>
  </si>
  <si>
    <t>450 821-4161</t>
  </si>
  <si>
    <t>1935720</t>
  </si>
  <si>
    <t>Pinel-Lafontaine, Charly</t>
  </si>
  <si>
    <t>Charly</t>
  </si>
  <si>
    <t>J5W3J7</t>
  </si>
  <si>
    <t>450 821-9257</t>
  </si>
  <si>
    <t>1838470</t>
  </si>
  <si>
    <t>Rodrigue, Beverley</t>
  </si>
  <si>
    <t>Beverley</t>
  </si>
  <si>
    <t>Broekaert</t>
  </si>
  <si>
    <t>J5X2M7</t>
  </si>
  <si>
    <t>450 821-9131</t>
  </si>
  <si>
    <t>1642500</t>
  </si>
  <si>
    <t>Brosseau, Samuel</t>
  </si>
  <si>
    <t>450 822-2384</t>
  </si>
  <si>
    <t>1791069</t>
  </si>
  <si>
    <t>Bouchard, Savanah</t>
  </si>
  <si>
    <t>450 822-0314</t>
  </si>
  <si>
    <t>1874418</t>
  </si>
  <si>
    <t>Gamache, Maïlie</t>
  </si>
  <si>
    <t>Gamache</t>
  </si>
  <si>
    <t>Lauréane</t>
  </si>
  <si>
    <t>J6Z1M5</t>
  </si>
  <si>
    <t>450 821-1291</t>
  </si>
  <si>
    <t>1328420</t>
  </si>
  <si>
    <t>Mrad, Eloïse</t>
  </si>
  <si>
    <t>Lara</t>
  </si>
  <si>
    <t>J6Z3G3</t>
  </si>
  <si>
    <t>450 820-2737</t>
  </si>
  <si>
    <t>1847239</t>
  </si>
  <si>
    <t>Boulet, Sarah</t>
  </si>
  <si>
    <t>Salois-Gingras</t>
  </si>
  <si>
    <t>J5M2S7</t>
  </si>
  <si>
    <t>450 822-2625</t>
  </si>
  <si>
    <t>1948563</t>
  </si>
  <si>
    <t>Mc Graw-Mignault, Estrella</t>
  </si>
  <si>
    <t>Mc Graw-Mignault</t>
  </si>
  <si>
    <t>Estrella</t>
  </si>
  <si>
    <t>Du Cap</t>
  </si>
  <si>
    <t>J6Z1R7</t>
  </si>
  <si>
    <t>450 821-1205</t>
  </si>
  <si>
    <t>1937804</t>
  </si>
  <si>
    <t>Bouchard, Sara-Michèle</t>
  </si>
  <si>
    <t>Savaria</t>
  </si>
  <si>
    <t>J6A4T4</t>
  </si>
  <si>
    <t>450 821-9020</t>
  </si>
  <si>
    <t>1353675</t>
  </si>
  <si>
    <t>Charbonneau, Pierre-Antoine</t>
  </si>
  <si>
    <t>J6X3E9</t>
  </si>
  <si>
    <t>450 821-6071</t>
  </si>
  <si>
    <t>1290228</t>
  </si>
  <si>
    <t>Blaise, Simon-Olivier</t>
  </si>
  <si>
    <t>Blaise</t>
  </si>
  <si>
    <t>J6Y1S5</t>
  </si>
  <si>
    <t>450 821-2620</t>
  </si>
  <si>
    <t>1085391</t>
  </si>
  <si>
    <t>Vigneau, Alexandra</t>
  </si>
  <si>
    <t>Vigneau</t>
  </si>
  <si>
    <t>J5M2T9</t>
  </si>
  <si>
    <t>450 822-2254</t>
  </si>
  <si>
    <t>1765388</t>
  </si>
  <si>
    <t>Layer-Marcoux, James</t>
  </si>
  <si>
    <t>James</t>
  </si>
  <si>
    <t>Leeam</t>
  </si>
  <si>
    <t>J5M2A7</t>
  </si>
  <si>
    <t>450 822-5747</t>
  </si>
  <si>
    <t>1729732</t>
  </si>
  <si>
    <t>Remy</t>
  </si>
  <si>
    <t>J5M2H6</t>
  </si>
  <si>
    <t>450 822-4629</t>
  </si>
  <si>
    <t>1950715</t>
  </si>
  <si>
    <t>J6Z0B6</t>
  </si>
  <si>
    <t>450 821-1807</t>
  </si>
  <si>
    <t>1514955</t>
  </si>
  <si>
    <t>Legault-Pilon, Heïdi</t>
  </si>
  <si>
    <t>450 821-1262</t>
  </si>
  <si>
    <t>0841188</t>
  </si>
  <si>
    <t>Marchand, Florance</t>
  </si>
  <si>
    <t>Florance</t>
  </si>
  <si>
    <t>J5R6K5</t>
  </si>
  <si>
    <t>450 821-9872</t>
  </si>
  <si>
    <t>1848277</t>
  </si>
  <si>
    <t>Rozon Desjardins, Audrey-Anne</t>
  </si>
  <si>
    <t>J5M2E5</t>
  </si>
  <si>
    <t>450 822-5376</t>
  </si>
  <si>
    <t>1429254</t>
  </si>
  <si>
    <t>Gionet, Leslie</t>
  </si>
  <si>
    <t>J5M2H2</t>
  </si>
  <si>
    <t>450 822-5061</t>
  </si>
  <si>
    <t>1960985</t>
  </si>
  <si>
    <t>J6W3V6</t>
  </si>
  <si>
    <t>450 821-7022</t>
  </si>
  <si>
    <t>1762782</t>
  </si>
  <si>
    <t>Côté-Bédard, Nikita</t>
  </si>
  <si>
    <t>Côté-Bédard</t>
  </si>
  <si>
    <t>Pereira-Pacilio</t>
  </si>
  <si>
    <t>J5M2N4</t>
  </si>
  <si>
    <t>450 822-3772</t>
  </si>
  <si>
    <t>1753820</t>
  </si>
  <si>
    <t>Piccolo, Christopher</t>
  </si>
  <si>
    <t>Piccolo</t>
  </si>
  <si>
    <t>J5M2W7</t>
  </si>
  <si>
    <t>450 822-1937</t>
  </si>
  <si>
    <t>1919182</t>
  </si>
  <si>
    <t>450 822-2003</t>
  </si>
  <si>
    <t>1984244</t>
  </si>
  <si>
    <t>Gendron, Louis-Félix</t>
  </si>
  <si>
    <t>Lebeault</t>
  </si>
  <si>
    <t>J5M2K9</t>
  </si>
  <si>
    <t>450 822-4106</t>
  </si>
  <si>
    <t>1882037</t>
  </si>
  <si>
    <t>Drolet, Maude-Sophie</t>
  </si>
  <si>
    <t>J6X0A2</t>
  </si>
  <si>
    <t>450 821-6128</t>
  </si>
  <si>
    <t>1668101</t>
  </si>
  <si>
    <t>Fradette, Marianne</t>
  </si>
  <si>
    <t>Fradette</t>
  </si>
  <si>
    <t>J6X2C9</t>
  </si>
  <si>
    <t>450 821-6100</t>
  </si>
  <si>
    <t>6137659</t>
  </si>
  <si>
    <t>Blanchette-Jacob, Simon</t>
  </si>
  <si>
    <t>450 822-5483</t>
  </si>
  <si>
    <t>1017449</t>
  </si>
  <si>
    <t>Zanetti, Abigail</t>
  </si>
  <si>
    <t>Zanetti</t>
  </si>
  <si>
    <t>Abu Thahir</t>
  </si>
  <si>
    <t>Laurie-Pier</t>
  </si>
  <si>
    <t>450 822-2609</t>
  </si>
  <si>
    <t>1327392</t>
  </si>
  <si>
    <t>Vidal-Valdes, Alexandra</t>
  </si>
  <si>
    <t>Vidal-Valdes</t>
  </si>
  <si>
    <t>450 822-4974</t>
  </si>
  <si>
    <t>1051228</t>
  </si>
  <si>
    <t>J6Y1K4</t>
  </si>
  <si>
    <t>450 821-3494</t>
  </si>
  <si>
    <t>1493230</t>
  </si>
  <si>
    <t>Dériger</t>
  </si>
  <si>
    <t>J6Y0M2</t>
  </si>
  <si>
    <t>450 821-4802</t>
  </si>
  <si>
    <t>1835989</t>
  </si>
  <si>
    <t>Lavoie, Janika</t>
  </si>
  <si>
    <t>Janika</t>
  </si>
  <si>
    <t>Ghzaiel</t>
  </si>
  <si>
    <t>J6Z2L1</t>
  </si>
  <si>
    <t>450 821-0954</t>
  </si>
  <si>
    <t>1365925</t>
  </si>
  <si>
    <t>J5M2P7</t>
  </si>
  <si>
    <t>450 822-3494</t>
  </si>
  <si>
    <t>1972445</t>
  </si>
  <si>
    <t>Guillemette, Laurence</t>
  </si>
  <si>
    <t>J5M2N8</t>
  </si>
  <si>
    <t>450 822-3737</t>
  </si>
  <si>
    <t>1822247</t>
  </si>
  <si>
    <t>Lapointe, Jesse</t>
  </si>
  <si>
    <t>Jesse</t>
  </si>
  <si>
    <t>450 822-2387</t>
  </si>
  <si>
    <t>1727310</t>
  </si>
  <si>
    <t>450 822-3497</t>
  </si>
  <si>
    <t>1830147</t>
  </si>
  <si>
    <t>Bouchard Chesnay, Sara-Maude</t>
  </si>
  <si>
    <t>Bouchard Chesnay</t>
  </si>
  <si>
    <t>Savoie</t>
  </si>
  <si>
    <t>J6Y1T5</t>
  </si>
  <si>
    <t>450 821-2227</t>
  </si>
  <si>
    <t>1544043</t>
  </si>
  <si>
    <t>Tremblay-Falardeau, Ally</t>
  </si>
  <si>
    <t>Ally</t>
  </si>
  <si>
    <t>Lauralee</t>
  </si>
  <si>
    <t>J6Z2H9</t>
  </si>
  <si>
    <t>450 821-1035</t>
  </si>
  <si>
    <t>1756710</t>
  </si>
  <si>
    <t>J6Y1M6</t>
  </si>
  <si>
    <t>450 821-3220</t>
  </si>
  <si>
    <t>1632480</t>
  </si>
  <si>
    <t>Bergeron, Teslim Bakary</t>
  </si>
  <si>
    <t>Taleb</t>
  </si>
  <si>
    <t>J6Y1R3</t>
  </si>
  <si>
    <t>450 821-2761</t>
  </si>
  <si>
    <t>1849187</t>
  </si>
  <si>
    <t>Festekjian, Marie-Soleil</t>
  </si>
  <si>
    <t>J6X3X1</t>
  </si>
  <si>
    <t>450 821-5437</t>
  </si>
  <si>
    <t>1733105</t>
  </si>
  <si>
    <t>Simoneau</t>
  </si>
  <si>
    <t>J5M2Z3</t>
  </si>
  <si>
    <t>450 822-1347</t>
  </si>
  <si>
    <t>1640385</t>
  </si>
  <si>
    <t>450 822-4338</t>
  </si>
  <si>
    <t>1872425</t>
  </si>
  <si>
    <t>Bastien, Virginie</t>
  </si>
  <si>
    <t>450 822-2763</t>
  </si>
  <si>
    <t>1745388</t>
  </si>
  <si>
    <t>Viau, Alexandra</t>
  </si>
  <si>
    <t>J6E7G5</t>
  </si>
  <si>
    <t>450 821-8409</t>
  </si>
  <si>
    <t>1633066</t>
  </si>
  <si>
    <t>Laporte</t>
  </si>
  <si>
    <t>J6Y1B7</t>
  </si>
  <si>
    <t>450 821-4439</t>
  </si>
  <si>
    <t>8243258</t>
  </si>
  <si>
    <t>J5M2B8</t>
  </si>
  <si>
    <t>450 822-5493</t>
  </si>
  <si>
    <t>1743851</t>
  </si>
  <si>
    <t>Legendre, Hary</t>
  </si>
  <si>
    <t>Legendre</t>
  </si>
  <si>
    <t>Hary</t>
  </si>
  <si>
    <t>J6Y1J9</t>
  </si>
  <si>
    <t>450 821-3676</t>
  </si>
  <si>
    <t>1722635</t>
  </si>
  <si>
    <t>450 822-5641</t>
  </si>
  <si>
    <t>1826151</t>
  </si>
  <si>
    <t>J5R4G8</t>
  </si>
  <si>
    <t>450 822-0160</t>
  </si>
  <si>
    <t>1922678</t>
  </si>
  <si>
    <t>Hioco</t>
  </si>
  <si>
    <t>J6Z2T4</t>
  </si>
  <si>
    <t>450 821-0094</t>
  </si>
  <si>
    <t>0700458</t>
  </si>
  <si>
    <t>Petit, Claudel</t>
  </si>
  <si>
    <t>Claudel</t>
  </si>
  <si>
    <t>Laurian</t>
  </si>
  <si>
    <t>J6Y0C3</t>
  </si>
  <si>
    <t>450 821-4921</t>
  </si>
  <si>
    <t>1485253</t>
  </si>
  <si>
    <t>J6X3L5</t>
  </si>
  <si>
    <t>450 821-5555</t>
  </si>
  <si>
    <t>6150731</t>
  </si>
  <si>
    <t>St-Pierre-Ganéo, Anne-Sophie</t>
  </si>
  <si>
    <t>St-Pierre-Ganéo</t>
  </si>
  <si>
    <t>J6E9E8</t>
  </si>
  <si>
    <t>450 821-7599</t>
  </si>
  <si>
    <t>1723071</t>
  </si>
  <si>
    <t>Charland, Philippe</t>
  </si>
  <si>
    <t>Pressé-Lefebvre</t>
  </si>
  <si>
    <t>Lauri-Anne</t>
  </si>
  <si>
    <t>J6W4T3</t>
  </si>
  <si>
    <t>450 821-6628</t>
  </si>
  <si>
    <t>1853397</t>
  </si>
  <si>
    <t>Deschamps, Mélina</t>
  </si>
  <si>
    <t>Deschamps</t>
  </si>
  <si>
    <t>Moyeka</t>
  </si>
  <si>
    <t>J6W6J5</t>
  </si>
  <si>
    <t>450 821-6263</t>
  </si>
  <si>
    <t>1645663</t>
  </si>
  <si>
    <t>Valiquette-Berthelot, Alexandre</t>
  </si>
  <si>
    <t>Valiquette-Berthelot</t>
  </si>
  <si>
    <t>Aubertin</t>
  </si>
  <si>
    <t>J6E0C5</t>
  </si>
  <si>
    <t>450 821-8937</t>
  </si>
  <si>
    <t>1925136</t>
  </si>
  <si>
    <t>Chabot, Raul Emilio</t>
  </si>
  <si>
    <t>J5Z1V3</t>
  </si>
  <si>
    <t>450 821-9069</t>
  </si>
  <si>
    <t>1831957</t>
  </si>
  <si>
    <t>Courtemanche, Nicolas</t>
  </si>
  <si>
    <t>J5W2M2</t>
  </si>
  <si>
    <t>450 821-9364</t>
  </si>
  <si>
    <t>1648201</t>
  </si>
  <si>
    <t>Brazeau, Samuel</t>
  </si>
  <si>
    <t>Laury Ann</t>
  </si>
  <si>
    <t>450 822-2958</t>
  </si>
  <si>
    <t>1733019</t>
  </si>
  <si>
    <t>St-Godard-Bertrand, Antoine</t>
  </si>
  <si>
    <t>St-Godard-Bertrand</t>
  </si>
  <si>
    <t>Bigras-Henri</t>
  </si>
  <si>
    <t>J5M2X2</t>
  </si>
  <si>
    <t>450 822-1397</t>
  </si>
  <si>
    <t>1747290</t>
  </si>
  <si>
    <t>J6E7N9</t>
  </si>
  <si>
    <t>450 821-8155</t>
  </si>
  <si>
    <t>1683265</t>
  </si>
  <si>
    <t>Sylvain, Anne-Marie</t>
  </si>
  <si>
    <t>J5M2V4</t>
  </si>
  <si>
    <t>450 822-2186</t>
  </si>
  <si>
    <t>1627696</t>
  </si>
  <si>
    <t>Tessier-Maurice</t>
  </si>
  <si>
    <t>J5M2N5</t>
  </si>
  <si>
    <t>450 822-3758</t>
  </si>
  <si>
    <t>1821459</t>
  </si>
  <si>
    <t>Lefebvre-Fassio, Ilian</t>
  </si>
  <si>
    <t>Ilian</t>
  </si>
  <si>
    <t>450 821-4579</t>
  </si>
  <si>
    <t>1877706</t>
  </si>
  <si>
    <t>Giguère, Loïane</t>
  </si>
  <si>
    <t>J5M2B7</t>
  </si>
  <si>
    <t>450 822-5630</t>
  </si>
  <si>
    <t>1971410</t>
  </si>
  <si>
    <t>Recht, Caroll-Ann</t>
  </si>
  <si>
    <t>Recht</t>
  </si>
  <si>
    <t>Caroll-Ann</t>
  </si>
  <si>
    <t>J5M2M4</t>
  </si>
  <si>
    <t>450 822-3854</t>
  </si>
  <si>
    <t>1822790</t>
  </si>
  <si>
    <t>J6Y1R6</t>
  </si>
  <si>
    <t>450 821-2623</t>
  </si>
  <si>
    <t>1749533</t>
  </si>
  <si>
    <t>Labelle-Latour, Juliette</t>
  </si>
  <si>
    <t>J5T1E8</t>
  </si>
  <si>
    <t>450 821-9745</t>
  </si>
  <si>
    <t>1891391</t>
  </si>
  <si>
    <t>Marcellin, Florence</t>
  </si>
  <si>
    <t>Marcellin</t>
  </si>
  <si>
    <t>Durivage</t>
  </si>
  <si>
    <t>J6Y2E2</t>
  </si>
  <si>
    <t>450 821-2131</t>
  </si>
  <si>
    <t>1715877</t>
  </si>
  <si>
    <t>Levac-Arruda, Gabrielle</t>
  </si>
  <si>
    <t>Levac-Arruda</t>
  </si>
  <si>
    <t>Fournelle</t>
  </si>
  <si>
    <t>J6Y1C7</t>
  </si>
  <si>
    <t>450 821-4118</t>
  </si>
  <si>
    <t>1593099</t>
  </si>
  <si>
    <t>J6Y1P5</t>
  </si>
  <si>
    <t>450 821-2848</t>
  </si>
  <si>
    <t>1826199</t>
  </si>
  <si>
    <t>Labrèche, Julien</t>
  </si>
  <si>
    <t>J6E3W5</t>
  </si>
  <si>
    <t>450 821-8649</t>
  </si>
  <si>
    <t>1723607</t>
  </si>
  <si>
    <t>Laurent-Philippe</t>
  </si>
  <si>
    <t>J6Y0G5</t>
  </si>
  <si>
    <t>450 821-4906</t>
  </si>
  <si>
    <t>9342842</t>
  </si>
  <si>
    <t>Truchon, Alicia</t>
  </si>
  <si>
    <t>Truchon</t>
  </si>
  <si>
    <t>Bazinet</t>
  </si>
  <si>
    <t>J6Y1H7</t>
  </si>
  <si>
    <t>450 821-3731</t>
  </si>
  <si>
    <t>1014851</t>
  </si>
  <si>
    <t>J5M2S6</t>
  </si>
  <si>
    <t>450 822-2950</t>
  </si>
  <si>
    <t>1827879</t>
  </si>
  <si>
    <t>Beaulieu-Grondin, Vicky</t>
  </si>
  <si>
    <t>J6W2H3</t>
  </si>
  <si>
    <t>450 821-7146</t>
  </si>
  <si>
    <t>1528387</t>
  </si>
  <si>
    <t>Brind'Amour-Knackstedt, Samuel</t>
  </si>
  <si>
    <t>J6W1B9</t>
  </si>
  <si>
    <t>450 821-7219</t>
  </si>
  <si>
    <t>1742331</t>
  </si>
  <si>
    <t>Galibois, Malie</t>
  </si>
  <si>
    <t>J5M2M2</t>
  </si>
  <si>
    <t>450 822-3922</t>
  </si>
  <si>
    <t>1821046</t>
  </si>
  <si>
    <t>Boisclair, Sihem</t>
  </si>
  <si>
    <t>J6X3G2</t>
  </si>
  <si>
    <t>450 821-6003</t>
  </si>
  <si>
    <t>0684405</t>
  </si>
  <si>
    <t>Siaman, Ariane</t>
  </si>
  <si>
    <t>J6J5E1</t>
  </si>
  <si>
    <t>450 821-7296</t>
  </si>
  <si>
    <t>1669792</t>
  </si>
  <si>
    <t>450 821-4797</t>
  </si>
  <si>
    <t>1659544</t>
  </si>
  <si>
    <t>Gendron, Louise</t>
  </si>
  <si>
    <t>J5M2M7</t>
  </si>
  <si>
    <t>450 822-3790</t>
  </si>
  <si>
    <t>1835370</t>
  </si>
  <si>
    <t>St-Georges, Antoine</t>
  </si>
  <si>
    <t>J6Y0C1</t>
  </si>
  <si>
    <t>450 821-4963</t>
  </si>
  <si>
    <t>1838474</t>
  </si>
  <si>
    <t>J6W4G1</t>
  </si>
  <si>
    <t>450 821-6892</t>
  </si>
  <si>
    <t>0907311</t>
  </si>
  <si>
    <t>Collin, Océanne</t>
  </si>
  <si>
    <t>J6W6L2</t>
  </si>
  <si>
    <t>450 821-6161</t>
  </si>
  <si>
    <t>1646437</t>
  </si>
  <si>
    <t>Lavigne, Jean</t>
  </si>
  <si>
    <t>450 822-4510</t>
  </si>
  <si>
    <t>1324682</t>
  </si>
  <si>
    <t>J5M2P6</t>
  </si>
  <si>
    <t>450 822-3608</t>
  </si>
  <si>
    <t>1664335</t>
  </si>
  <si>
    <t>Allen, Yves Christian</t>
  </si>
  <si>
    <t>J5M2T4</t>
  </si>
  <si>
    <t>450 822-2342</t>
  </si>
  <si>
    <t>1646280</t>
  </si>
  <si>
    <t>450 822-2628</t>
  </si>
  <si>
    <t>0414778</t>
  </si>
  <si>
    <t>L'Hérault, Gabriella</t>
  </si>
  <si>
    <t>J6Z4H7</t>
  </si>
  <si>
    <t>450 818-9230</t>
  </si>
  <si>
    <t>1954516</t>
  </si>
  <si>
    <t>Dufort, Matthew</t>
  </si>
  <si>
    <t>Dufort</t>
  </si>
  <si>
    <t>J5M2K5</t>
  </si>
  <si>
    <t>450 822-4126</t>
  </si>
  <si>
    <t>1734631</t>
  </si>
  <si>
    <t>Sirois, Ariane</t>
  </si>
  <si>
    <t>Sirois</t>
  </si>
  <si>
    <t>J6W6J3</t>
  </si>
  <si>
    <t>450 821-6280</t>
  </si>
  <si>
    <t>1977477</t>
  </si>
  <si>
    <t>J6Y0M3</t>
  </si>
  <si>
    <t>450 821-4694</t>
  </si>
  <si>
    <t>1640344</t>
  </si>
  <si>
    <t>Dextradeur</t>
  </si>
  <si>
    <t>J5M2H4</t>
  </si>
  <si>
    <t>450 822-4657</t>
  </si>
  <si>
    <t>1834221</t>
  </si>
  <si>
    <t>450 822-2898</t>
  </si>
  <si>
    <t>1946115</t>
  </si>
  <si>
    <t>Matta, Eve</t>
  </si>
  <si>
    <t>Matta</t>
  </si>
  <si>
    <t>Dubuc</t>
  </si>
  <si>
    <t>Laurélie</t>
  </si>
  <si>
    <t>J6Z1G3</t>
  </si>
  <si>
    <t>450 821-1305</t>
  </si>
  <si>
    <t>1950603</t>
  </si>
  <si>
    <t>Huot, Kesser</t>
  </si>
  <si>
    <t>Kesser</t>
  </si>
  <si>
    <t>J6Z2S7</t>
  </si>
  <si>
    <t>450 821-0359</t>
  </si>
  <si>
    <t>1850357</t>
  </si>
  <si>
    <t>Lopera Cuesta</t>
  </si>
  <si>
    <t>J6Y2E3</t>
  </si>
  <si>
    <t>450 821-1974</t>
  </si>
  <si>
    <t>1938391</t>
  </si>
  <si>
    <t>Kodsi, Justine</t>
  </si>
  <si>
    <t>J5Y0A9</t>
  </si>
  <si>
    <t>450 821-9120</t>
  </si>
  <si>
    <t>1721645</t>
  </si>
  <si>
    <t>Avoine, William</t>
  </si>
  <si>
    <t>J6Y1G4</t>
  </si>
  <si>
    <t>450 821-3844</t>
  </si>
  <si>
    <t>1664052</t>
  </si>
  <si>
    <t>J6W5H2</t>
  </si>
  <si>
    <t>450 821-6613</t>
  </si>
  <si>
    <t>1866776</t>
  </si>
  <si>
    <t>Camiré, Sabrina</t>
  </si>
  <si>
    <t>Camiré</t>
  </si>
  <si>
    <t>J6Z2W7</t>
  </si>
  <si>
    <t>450 821-0049</t>
  </si>
  <si>
    <t>1513101</t>
  </si>
  <si>
    <t>Sanford, Audrey</t>
  </si>
  <si>
    <t>Sanford</t>
  </si>
  <si>
    <t>Boudrias</t>
  </si>
  <si>
    <t>J6Z3A9</t>
  </si>
  <si>
    <t>450 820-4019</t>
  </si>
  <si>
    <t>1878180</t>
  </si>
  <si>
    <t>Leclair, Jacqueline</t>
  </si>
  <si>
    <t>Jacqueline</t>
  </si>
  <si>
    <t>450 822-0828</t>
  </si>
  <si>
    <t>1968401</t>
  </si>
  <si>
    <t>Thérien, Anabelle</t>
  </si>
  <si>
    <t>J6Y1R1</t>
  </si>
  <si>
    <t>450 821-2791</t>
  </si>
  <si>
    <t>1728205</t>
  </si>
  <si>
    <t>Dubreuil</t>
  </si>
  <si>
    <t>J6Y1M9</t>
  </si>
  <si>
    <t>450 821-3053</t>
  </si>
  <si>
    <t>1989206</t>
  </si>
  <si>
    <t>Suijs, Anne-Marie</t>
  </si>
  <si>
    <t>J6W6K6</t>
  </si>
  <si>
    <t>450 821-6163</t>
  </si>
  <si>
    <t>1908759</t>
  </si>
  <si>
    <t>Vallières, Alexandre</t>
  </si>
  <si>
    <t>450 821-2096</t>
  </si>
  <si>
    <t>1925629</t>
  </si>
  <si>
    <t>Gilbert-Therrien, Lindsay</t>
  </si>
  <si>
    <t>Léanna</t>
  </si>
  <si>
    <t>J5M2E7</t>
  </si>
  <si>
    <t>450 822-5287</t>
  </si>
  <si>
    <t>1659952</t>
  </si>
  <si>
    <t>J6Z1K1</t>
  </si>
  <si>
    <t>450 821-1295</t>
  </si>
  <si>
    <t>1639209</t>
  </si>
  <si>
    <t>Mailloux Labelle, Frédéric</t>
  </si>
  <si>
    <t>450 821-4924</t>
  </si>
  <si>
    <t>1557849</t>
  </si>
  <si>
    <t>Lassonde, Jennyfer</t>
  </si>
  <si>
    <t>J5W1H9</t>
  </si>
  <si>
    <t>450 821-9721</t>
  </si>
  <si>
    <t>1229997</t>
  </si>
  <si>
    <t>Calvé-Charron, Sabrina</t>
  </si>
  <si>
    <t>J5M2H3</t>
  </si>
  <si>
    <t>450 822-4759</t>
  </si>
  <si>
    <t>1752005</t>
  </si>
  <si>
    <t>Normand, Elisa</t>
  </si>
  <si>
    <t>J6Y1E1</t>
  </si>
  <si>
    <t>450 821-4031</t>
  </si>
  <si>
    <t>1977136</t>
  </si>
  <si>
    <t>Simoneau, Ariane</t>
  </si>
  <si>
    <t>450 821-4155</t>
  </si>
  <si>
    <t>1960808</t>
  </si>
  <si>
    <t>Bélair-Boileau</t>
  </si>
  <si>
    <t>450 822-3305</t>
  </si>
  <si>
    <t>1824110</t>
  </si>
  <si>
    <t>450 822-5313</t>
  </si>
  <si>
    <t>1775368</t>
  </si>
  <si>
    <t>Brunet-Berbudeau, Sammy</t>
  </si>
  <si>
    <t>Brunet-Berbudeau</t>
  </si>
  <si>
    <t>J6Y1L2</t>
  </si>
  <si>
    <t>450 821-3396</t>
  </si>
  <si>
    <t>1950059</t>
  </si>
  <si>
    <t>Lacroix, Judy</t>
  </si>
  <si>
    <t>Judy</t>
  </si>
  <si>
    <t>J6Y1K6</t>
  </si>
  <si>
    <t>450 821-3463</t>
  </si>
  <si>
    <t>1890732</t>
  </si>
  <si>
    <t>J6Z2N8</t>
  </si>
  <si>
    <t>450 821-0368</t>
  </si>
  <si>
    <t>1730249</t>
  </si>
  <si>
    <t>Pelletier, Cyndia</t>
  </si>
  <si>
    <t>Cyndia</t>
  </si>
  <si>
    <t>J6Y1B4</t>
  </si>
  <si>
    <t>450 821-4583</t>
  </si>
  <si>
    <t>1628084</t>
  </si>
  <si>
    <t>J5M3E2</t>
  </si>
  <si>
    <t>450 822-0554</t>
  </si>
  <si>
    <t>1940663</t>
  </si>
  <si>
    <t>J6Y2E4</t>
  </si>
  <si>
    <t>450 821-1909</t>
  </si>
  <si>
    <t>1733127</t>
  </si>
  <si>
    <t>Brunet, Samori</t>
  </si>
  <si>
    <t>450 822-2731</t>
  </si>
  <si>
    <t>1944490</t>
  </si>
  <si>
    <t>Goyeneche Sarmiento, Laurie-Anne</t>
  </si>
  <si>
    <t>450 822-1623</t>
  </si>
  <si>
    <t>1635805</t>
  </si>
  <si>
    <t>Brophy, Samuel</t>
  </si>
  <si>
    <t>J6W3Y4</t>
  </si>
  <si>
    <t>450 821-6906</t>
  </si>
  <si>
    <t>1961754</t>
  </si>
  <si>
    <t>Chartrand-Girouard</t>
  </si>
  <si>
    <t>J6Z2X1</t>
  </si>
  <si>
    <t>450 820-7799</t>
  </si>
  <si>
    <t>1651864</t>
  </si>
  <si>
    <t>Imbeault, Kelly-Ann</t>
  </si>
  <si>
    <t>Imbeault</t>
  </si>
  <si>
    <t>J6Y1M3</t>
  </si>
  <si>
    <t>450 821-3320</t>
  </si>
  <si>
    <t>1565303</t>
  </si>
  <si>
    <t>SAINTE-MÉLANIE</t>
  </si>
  <si>
    <t>Sainte-Mélanie</t>
  </si>
  <si>
    <t>J6Z4T8</t>
  </si>
  <si>
    <t>450 818-5270</t>
  </si>
  <si>
    <t>1721815</t>
  </si>
  <si>
    <t>SAINTE-MARTHE-SUR-LE-LAC</t>
  </si>
  <si>
    <t>Sainte-Marthe-sur-le-Lac</t>
  </si>
  <si>
    <t>J7B1H4</t>
  </si>
  <si>
    <t>450 806-0445</t>
  </si>
  <si>
    <t>1732675</t>
  </si>
  <si>
    <t>Goyer, Laurie-Anne</t>
  </si>
  <si>
    <t>J7B1J3</t>
  </si>
  <si>
    <t>450 803-4135</t>
  </si>
  <si>
    <t>1777918</t>
  </si>
  <si>
    <t>J7A4J6</t>
  </si>
  <si>
    <t>450 806-6120</t>
  </si>
  <si>
    <t>1670435</t>
  </si>
  <si>
    <t>Robert-Charbonneau, Britannie</t>
  </si>
  <si>
    <t>Robert-Charbonneau</t>
  </si>
  <si>
    <t>Britannie</t>
  </si>
  <si>
    <t>J7B1C6</t>
  </si>
  <si>
    <t>450 806-2429</t>
  </si>
  <si>
    <t>1651388</t>
  </si>
  <si>
    <t>Castonguay-Justum, Rocio</t>
  </si>
  <si>
    <t>J7B1L8</t>
  </si>
  <si>
    <t>450 777-6296</t>
  </si>
  <si>
    <t>1828896</t>
  </si>
  <si>
    <t>Saison, Audrey</t>
  </si>
  <si>
    <t>Saison</t>
  </si>
  <si>
    <t>J7A4P5</t>
  </si>
  <si>
    <t>450 806-5078</t>
  </si>
  <si>
    <t>1752177</t>
  </si>
  <si>
    <t>Voyer, Aleksandra</t>
  </si>
  <si>
    <t>Aleksandra</t>
  </si>
  <si>
    <t>J7A4N4</t>
  </si>
  <si>
    <t>450 806-5114</t>
  </si>
  <si>
    <t>1664973</t>
  </si>
  <si>
    <t>Guran, Laurence</t>
  </si>
  <si>
    <t>J6Z4W9</t>
  </si>
  <si>
    <t>450 818-4189</t>
  </si>
  <si>
    <t>1624988</t>
  </si>
  <si>
    <t>Collard, Olivia</t>
  </si>
  <si>
    <t>J7A4Y8</t>
  </si>
  <si>
    <t>450 806-4494</t>
  </si>
  <si>
    <t>1973819</t>
  </si>
  <si>
    <t>Laganière, Jonatane</t>
  </si>
  <si>
    <t>Laganière</t>
  </si>
  <si>
    <t>Jonatane</t>
  </si>
  <si>
    <t>Henri-Lachapelle</t>
  </si>
  <si>
    <t>J7B1N2</t>
  </si>
  <si>
    <t>450 760-3167</t>
  </si>
  <si>
    <t>1857696</t>
  </si>
  <si>
    <t>Hamel Larivière, Lauréane</t>
  </si>
  <si>
    <t>Hamel Larivière</t>
  </si>
  <si>
    <t>J7B1M1</t>
  </si>
  <si>
    <t>450 760-8370</t>
  </si>
  <si>
    <t>1677171</t>
  </si>
  <si>
    <t>Honein, Kim</t>
  </si>
  <si>
    <t>J7A3B6</t>
  </si>
  <si>
    <t>450 818-1033</t>
  </si>
  <si>
    <t>1929998</t>
  </si>
  <si>
    <t>J7A1K4</t>
  </si>
  <si>
    <t>450 818-2278</t>
  </si>
  <si>
    <t>1813056</t>
  </si>
  <si>
    <t>Bigras Presseault, Stella</t>
  </si>
  <si>
    <t>Bigras Presseault</t>
  </si>
  <si>
    <t>J7A4K1</t>
  </si>
  <si>
    <t>450 806-5302</t>
  </si>
  <si>
    <t>1980910</t>
  </si>
  <si>
    <t>J7A4L4</t>
  </si>
  <si>
    <t>450 806-5166</t>
  </si>
  <si>
    <t>1736895</t>
  </si>
  <si>
    <t>J7A3S6</t>
  </si>
  <si>
    <t>450 806-6924</t>
  </si>
  <si>
    <t>1444412</t>
  </si>
  <si>
    <t>J7A4A3</t>
  </si>
  <si>
    <t>450 806-6385</t>
  </si>
  <si>
    <t>1862694</t>
  </si>
  <si>
    <t>J6Z4V2</t>
  </si>
  <si>
    <t>450 818-4935</t>
  </si>
  <si>
    <t>1656374</t>
  </si>
  <si>
    <t>Bukusu-Nguala, Sacha</t>
  </si>
  <si>
    <t>Bukusu-Nguala</t>
  </si>
  <si>
    <t>J7A1G7</t>
  </si>
  <si>
    <t>450 818-2994</t>
  </si>
  <si>
    <t>1845299</t>
  </si>
  <si>
    <t>J7A3L9</t>
  </si>
  <si>
    <t>450 806-8163</t>
  </si>
  <si>
    <t>1838955</t>
  </si>
  <si>
    <t>Lalande, Joe</t>
  </si>
  <si>
    <t>Joe</t>
  </si>
  <si>
    <t>J7B1J2</t>
  </si>
  <si>
    <t>450 806-0220</t>
  </si>
  <si>
    <t>1757054</t>
  </si>
  <si>
    <t>Roche-Busque, Brandon</t>
  </si>
  <si>
    <t>450 803-9985</t>
  </si>
  <si>
    <t>1954053</t>
  </si>
  <si>
    <t>Cepeda, Rébecca</t>
  </si>
  <si>
    <t>Cepeda</t>
  </si>
  <si>
    <t>Ranger</t>
  </si>
  <si>
    <t>J7A4A8</t>
  </si>
  <si>
    <t>450 806-6368</t>
  </si>
  <si>
    <t>1857124</t>
  </si>
  <si>
    <t>Sivrais Larocque, Ariane</t>
  </si>
  <si>
    <t>J7B1B1</t>
  </si>
  <si>
    <t>450 806-3838</t>
  </si>
  <si>
    <t>1745573</t>
  </si>
  <si>
    <t>J7A2P5</t>
  </si>
  <si>
    <t>450 818-1619</t>
  </si>
  <si>
    <t>1933258</t>
  </si>
  <si>
    <t>Lavergne-Gagnon, Jean-Charles</t>
  </si>
  <si>
    <t>Jean-Charles</t>
  </si>
  <si>
    <t>J7B0A7</t>
  </si>
  <si>
    <t>450 806-4487</t>
  </si>
  <si>
    <t>1860640</t>
  </si>
  <si>
    <t>Delorme-Bordoni, Mélyna</t>
  </si>
  <si>
    <t>J7B0B5</t>
  </si>
  <si>
    <t>450 806-4186</t>
  </si>
  <si>
    <t>1948562</t>
  </si>
  <si>
    <t>J7B1H5</t>
  </si>
  <si>
    <t>450 806-0430</t>
  </si>
  <si>
    <t>1827613</t>
  </si>
  <si>
    <t>Ruel, Audrey-Ann</t>
  </si>
  <si>
    <t>J7A3P7</t>
  </si>
  <si>
    <t>450 806-7829</t>
  </si>
  <si>
    <t>1974483</t>
  </si>
  <si>
    <t>Tanguay, Annabelle</t>
  </si>
  <si>
    <t>Bérard-Vallée</t>
  </si>
  <si>
    <t>J7A3Z6</t>
  </si>
  <si>
    <t>450 806-6810</t>
  </si>
  <si>
    <t>1529235</t>
  </si>
  <si>
    <t>Villecourt, Alexandra</t>
  </si>
  <si>
    <t>J7B1C9</t>
  </si>
  <si>
    <t>450 806-1174</t>
  </si>
  <si>
    <t>1935637</t>
  </si>
  <si>
    <t>Tardif, Anie</t>
  </si>
  <si>
    <t>Anie</t>
  </si>
  <si>
    <t>J7A3S4</t>
  </si>
  <si>
    <t>450 806-7774</t>
  </si>
  <si>
    <t>1739308</t>
  </si>
  <si>
    <t>Gariépy-Millette</t>
  </si>
  <si>
    <t>J7A4T1</t>
  </si>
  <si>
    <t>450 806-4756</t>
  </si>
  <si>
    <t>1574192</t>
  </si>
  <si>
    <t>J6Z4X2</t>
  </si>
  <si>
    <t>450 818-3786</t>
  </si>
  <si>
    <t>1938406</t>
  </si>
  <si>
    <t>Korie</t>
  </si>
  <si>
    <t>J7A3J4</t>
  </si>
  <si>
    <t>450 806-9204</t>
  </si>
  <si>
    <t>1978771</t>
  </si>
  <si>
    <t>Ranger-Marchand, Cassandra</t>
  </si>
  <si>
    <t>Ranger-Marchand</t>
  </si>
  <si>
    <t>Célestin-Fabien</t>
  </si>
  <si>
    <t>J7A4B1</t>
  </si>
  <si>
    <t>450 806-6123</t>
  </si>
  <si>
    <t>1231372</t>
  </si>
  <si>
    <t>Pedneault, Cynthia</t>
  </si>
  <si>
    <t>J6Z4W7</t>
  </si>
  <si>
    <t>450 818-4476</t>
  </si>
  <si>
    <t>1722086</t>
  </si>
  <si>
    <t>Monty-Dupont, Emilie</t>
  </si>
  <si>
    <t>J7A4S5</t>
  </si>
  <si>
    <t>450 806-4820</t>
  </si>
  <si>
    <t>1950213</t>
  </si>
  <si>
    <t>Borcard, Sébastien</t>
  </si>
  <si>
    <t>J7B1H2</t>
  </si>
  <si>
    <t>450 806-0644</t>
  </si>
  <si>
    <t>1931801</t>
  </si>
  <si>
    <t>Beaudet-Raymond</t>
  </si>
  <si>
    <t>1838280</t>
  </si>
  <si>
    <t>Kory</t>
  </si>
  <si>
    <t>J7A3C7</t>
  </si>
  <si>
    <t>450 818-0453</t>
  </si>
  <si>
    <t>1756993</t>
  </si>
  <si>
    <t>Trudel, Alice</t>
  </si>
  <si>
    <t>Alice</t>
  </si>
  <si>
    <t>SAINTE-MARTHE</t>
  </si>
  <si>
    <t>Sainte-Marthe</t>
  </si>
  <si>
    <t>J7B1N3</t>
  </si>
  <si>
    <t>450 760-1443</t>
  </si>
  <si>
    <t>0854524</t>
  </si>
  <si>
    <t>Kïarra</t>
  </si>
  <si>
    <t>SAINTE-MARGUERITE-DU-LAC-MASSON</t>
  </si>
  <si>
    <t>Sainte-Marguerite-du-Lac-Masson</t>
  </si>
  <si>
    <t>J7B1R6</t>
  </si>
  <si>
    <t>450 755-4260</t>
  </si>
  <si>
    <t>6153529</t>
  </si>
  <si>
    <t>Gauthier, Lyam</t>
  </si>
  <si>
    <t>J7B1S2</t>
  </si>
  <si>
    <t>450 752-2161</t>
  </si>
  <si>
    <t>1735960</t>
  </si>
  <si>
    <t>Lacerte Desjardins, Julie</t>
  </si>
  <si>
    <t>Lacerte Desjardins</t>
  </si>
  <si>
    <t>Jackson</t>
  </si>
  <si>
    <t>J7B1N9</t>
  </si>
  <si>
    <t>450 760-0410</t>
  </si>
  <si>
    <t>1647615</t>
  </si>
  <si>
    <t>J7B1P9</t>
  </si>
  <si>
    <t>450 756-7935</t>
  </si>
  <si>
    <t>1842651</t>
  </si>
  <si>
    <t>Guy-Lafleur, Laurence</t>
  </si>
  <si>
    <t>J7B1S1</t>
  </si>
  <si>
    <t>450 754-3951</t>
  </si>
  <si>
    <t>1623665</t>
  </si>
  <si>
    <t>Bessette, Stéphanie</t>
  </si>
  <si>
    <t>Bessette</t>
  </si>
  <si>
    <t>J7B1N6</t>
  </si>
  <si>
    <t>450 760-0575</t>
  </si>
  <si>
    <t>0752550</t>
  </si>
  <si>
    <t>D'Amour</t>
  </si>
  <si>
    <t>SAINTE-LUCIE-DES-LAURENTIDES</t>
  </si>
  <si>
    <t>Sainte-Lucie-des-Laurentides</t>
  </si>
  <si>
    <t>J7B1T4</t>
  </si>
  <si>
    <t>450 750-1032</t>
  </si>
  <si>
    <t>1852816</t>
  </si>
  <si>
    <t>J7B1S7</t>
  </si>
  <si>
    <t>450 750-2420</t>
  </si>
  <si>
    <t>1734275</t>
  </si>
  <si>
    <t>J7B1T7</t>
  </si>
  <si>
    <t>450 745-3265</t>
  </si>
  <si>
    <t>1724925</t>
  </si>
  <si>
    <t>Gouin, Laurie-Anne</t>
  </si>
  <si>
    <t>Gouin</t>
  </si>
  <si>
    <t>J7B1S6</t>
  </si>
  <si>
    <t>450 750-4467</t>
  </si>
  <si>
    <t>1923337</t>
  </si>
  <si>
    <t>Fournier-Gauthier, Marianne</t>
  </si>
  <si>
    <t>J7B1V1</t>
  </si>
  <si>
    <t>450 745-1736</t>
  </si>
  <si>
    <t>1724269</t>
  </si>
  <si>
    <t>SAINTE-JULIENNE</t>
  </si>
  <si>
    <t>Sainte-Julienne</t>
  </si>
  <si>
    <t>J7B1V6</t>
  </si>
  <si>
    <t>450 745-1466</t>
  </si>
  <si>
    <t>6118589</t>
  </si>
  <si>
    <t>Kéven</t>
  </si>
  <si>
    <t>J7B2A6</t>
  </si>
  <si>
    <t>450 744-0257</t>
  </si>
  <si>
    <t>1664362</t>
  </si>
  <si>
    <t>J7B2A3</t>
  </si>
  <si>
    <t>450 744-1498</t>
  </si>
  <si>
    <t>1752178</t>
  </si>
  <si>
    <t>Kernz E</t>
  </si>
  <si>
    <t>J7C0A7</t>
  </si>
  <si>
    <t>450 735-3800</t>
  </si>
  <si>
    <t>1576736</t>
  </si>
  <si>
    <t>Boivin, Shanie</t>
  </si>
  <si>
    <t>J7C0A5</t>
  </si>
  <si>
    <t>450 735-4335</t>
  </si>
  <si>
    <t>1967146</t>
  </si>
  <si>
    <t>Tessier, Andrei</t>
  </si>
  <si>
    <t>Andrei</t>
  </si>
  <si>
    <t>Keven</t>
  </si>
  <si>
    <t>J7C0A1</t>
  </si>
  <si>
    <t>450 736-4151</t>
  </si>
  <si>
    <t>1693438</t>
  </si>
  <si>
    <t>Gilbert, Line Carolle</t>
  </si>
  <si>
    <t>J7B1W7</t>
  </si>
  <si>
    <t>450 745-1432</t>
  </si>
  <si>
    <t>1789849</t>
  </si>
  <si>
    <t>J7B1Z6</t>
  </si>
  <si>
    <t>450 745-0319</t>
  </si>
  <si>
    <t>1846060</t>
  </si>
  <si>
    <t>J7B1Y1</t>
  </si>
  <si>
    <t>450 745-0334</t>
  </si>
  <si>
    <t>1774123</t>
  </si>
  <si>
    <t>D'Aronco, Milica</t>
  </si>
  <si>
    <t>J7B1X2</t>
  </si>
  <si>
    <t>450 745-0654</t>
  </si>
  <si>
    <t>1834118</t>
  </si>
  <si>
    <t>J7C0B9</t>
  </si>
  <si>
    <t>450 735-0623</t>
  </si>
  <si>
    <t>1230803</t>
  </si>
  <si>
    <t>Martin-Hardy, Fabiola</t>
  </si>
  <si>
    <t>Martin-Hardy</t>
  </si>
  <si>
    <t>Kelyane</t>
  </si>
  <si>
    <t>450 735-1630</t>
  </si>
  <si>
    <t>1963572</t>
  </si>
  <si>
    <t>St-Onge, Annie-Claude</t>
  </si>
  <si>
    <t>Annie-Claude</t>
  </si>
  <si>
    <t>J7B1X3</t>
  </si>
  <si>
    <t>450 745-0482</t>
  </si>
  <si>
    <t>1678111</t>
  </si>
  <si>
    <t>Yombé, Aboubakar</t>
  </si>
  <si>
    <t>Aboubakar</t>
  </si>
  <si>
    <t>450 712-9926</t>
  </si>
  <si>
    <t>1763415</t>
  </si>
  <si>
    <t>Kessey</t>
  </si>
  <si>
    <t>J7C0A4</t>
  </si>
  <si>
    <t>450 735-6703</t>
  </si>
  <si>
    <t>1755501</t>
  </si>
  <si>
    <t>450 744-0873</t>
  </si>
  <si>
    <t>1734844</t>
  </si>
  <si>
    <t>Sanelus, Audrey</t>
  </si>
  <si>
    <t>Sanelus</t>
  </si>
  <si>
    <t>Bouffard</t>
  </si>
  <si>
    <t>SAINTE-ANNE-DES-PLAINES</t>
  </si>
  <si>
    <t>Sainte-Anne-des-Plaines</t>
  </si>
  <si>
    <t>J7C2S4</t>
  </si>
  <si>
    <t>450 712-1863</t>
  </si>
  <si>
    <t>1855517</t>
  </si>
  <si>
    <t>Minogianis-Bourgeois, Émilie</t>
  </si>
  <si>
    <t>Minogianis-Bourgeois</t>
  </si>
  <si>
    <t>Keecha</t>
  </si>
  <si>
    <t>J7C0T5</t>
  </si>
  <si>
    <t>450 712-6973</t>
  </si>
  <si>
    <t>1977832</t>
  </si>
  <si>
    <t>Ledoux-Laberge, Jacinthe</t>
  </si>
  <si>
    <t>Jacinthe</t>
  </si>
  <si>
    <t>J7C2X6</t>
  </si>
  <si>
    <t>450 712-1642</t>
  </si>
  <si>
    <t>1725393</t>
  </si>
  <si>
    <t>Kayla</t>
  </si>
  <si>
    <t>J7C1H5</t>
  </si>
  <si>
    <t>450 712-6767</t>
  </si>
  <si>
    <t>6134536</t>
  </si>
  <si>
    <t>Larin, Jérémy</t>
  </si>
  <si>
    <t>J7C1V3</t>
  </si>
  <si>
    <t>450 712-4336</t>
  </si>
  <si>
    <t>1950138</t>
  </si>
  <si>
    <t>D'Almeida, Molly</t>
  </si>
  <si>
    <t>D'Almeida</t>
  </si>
  <si>
    <t>Karmélia</t>
  </si>
  <si>
    <t>J7C2Y9</t>
  </si>
  <si>
    <t>450 712-1576</t>
  </si>
  <si>
    <t>0585524</t>
  </si>
  <si>
    <t>Grosleau, Laurianne</t>
  </si>
  <si>
    <t>Grosleau</t>
  </si>
  <si>
    <t>Langlois-Barré</t>
  </si>
  <si>
    <t>J7C0J5</t>
  </si>
  <si>
    <t>450 712-7894</t>
  </si>
  <si>
    <t>1825881</t>
  </si>
  <si>
    <t>J7C2Z4</t>
  </si>
  <si>
    <t>450 712-1568</t>
  </si>
  <si>
    <t>1702622</t>
  </si>
  <si>
    <t>Laflamme, Josianne</t>
  </si>
  <si>
    <t>J7C1N7</t>
  </si>
  <si>
    <t>450 712-5343</t>
  </si>
  <si>
    <t>1778197</t>
  </si>
  <si>
    <t>J7C2R6</t>
  </si>
  <si>
    <t>450 712-1989</t>
  </si>
  <si>
    <t>1966857</t>
  </si>
  <si>
    <t>Mémé, Emy</t>
  </si>
  <si>
    <t>Mémé</t>
  </si>
  <si>
    <t>Donfack</t>
  </si>
  <si>
    <t>Kaysie</t>
  </si>
  <si>
    <t>J7C0V4</t>
  </si>
  <si>
    <t>450 712-6968</t>
  </si>
  <si>
    <t>1935539</t>
  </si>
  <si>
    <t>J7C1W2</t>
  </si>
  <si>
    <t>450 712-3786</t>
  </si>
  <si>
    <t>1835707</t>
  </si>
  <si>
    <t>Labrecque-Gionest, Julien</t>
  </si>
  <si>
    <t>Labrecque-Gionest</t>
  </si>
  <si>
    <t>Jarvis</t>
  </si>
  <si>
    <t>Kathy</t>
  </si>
  <si>
    <t>J7C1N6</t>
  </si>
  <si>
    <t>450 712-5411</t>
  </si>
  <si>
    <t>1974050</t>
  </si>
  <si>
    <t>Lafleur, Joseph André</t>
  </si>
  <si>
    <t>Joseph André</t>
  </si>
  <si>
    <t>J7C1T8</t>
  </si>
  <si>
    <t>450 712-4388</t>
  </si>
  <si>
    <t>1422783</t>
  </si>
  <si>
    <t>Morin, Élysabel</t>
  </si>
  <si>
    <t>Élysabel</t>
  </si>
  <si>
    <t>Katrina</t>
  </si>
  <si>
    <t>J7C1N1</t>
  </si>
  <si>
    <t>450 712-6032</t>
  </si>
  <si>
    <t>1976569</t>
  </si>
  <si>
    <t>Bouchard-St-Jacques, Sarajane</t>
  </si>
  <si>
    <t>J7C1K4</t>
  </si>
  <si>
    <t>450 712-6470</t>
  </si>
  <si>
    <t>1768237</t>
  </si>
  <si>
    <t>450 712-3744</t>
  </si>
  <si>
    <t>1350691</t>
  </si>
  <si>
    <t>J7C2X7</t>
  </si>
  <si>
    <t>450 712-1638</t>
  </si>
  <si>
    <t>1741190</t>
  </si>
  <si>
    <t>Pimparé, Chloe</t>
  </si>
  <si>
    <t>Pimparé</t>
  </si>
  <si>
    <t>Chloe</t>
  </si>
  <si>
    <t>Cloran</t>
  </si>
  <si>
    <t>J7C0J9</t>
  </si>
  <si>
    <t>450 712-7889</t>
  </si>
  <si>
    <t>1527682</t>
  </si>
  <si>
    <t>Guénette, Laurian</t>
  </si>
  <si>
    <t>Katty</t>
  </si>
  <si>
    <t>J7C1L1</t>
  </si>
  <si>
    <t>450 712-6313</t>
  </si>
  <si>
    <t>1430893</t>
  </si>
  <si>
    <t>Doan-Mai, Maxime</t>
  </si>
  <si>
    <t>J7C2W9</t>
  </si>
  <si>
    <t>450 712-1668</t>
  </si>
  <si>
    <t>1864798</t>
  </si>
  <si>
    <t>Bruneau-Sauvé, Samuel</t>
  </si>
  <si>
    <t>Bruneau-Sauvé</t>
  </si>
  <si>
    <t>J7C0P6</t>
  </si>
  <si>
    <t>450 712-7053</t>
  </si>
  <si>
    <t>1862056</t>
  </si>
  <si>
    <t>J7C1R3</t>
  </si>
  <si>
    <t>450 712-4915</t>
  </si>
  <si>
    <t>1936925</t>
  </si>
  <si>
    <t>Thongrasamy, Amélie</t>
  </si>
  <si>
    <t>Thongrasamy</t>
  </si>
  <si>
    <t>J7C0G6</t>
  </si>
  <si>
    <t>450 712-9355</t>
  </si>
  <si>
    <t>1977024</t>
  </si>
  <si>
    <t>J7C0G8</t>
  </si>
  <si>
    <t>450 712-9204</t>
  </si>
  <si>
    <t>1186397</t>
  </si>
  <si>
    <t>Pelletier, Crecia Mélina</t>
  </si>
  <si>
    <t>Crecia Mélina</t>
  </si>
  <si>
    <t>Courcy</t>
  </si>
  <si>
    <t>J7C0E2</t>
  </si>
  <si>
    <t>450 712-9664</t>
  </si>
  <si>
    <t>1987488</t>
  </si>
  <si>
    <t>Campbell Lamarre, Sabrina</t>
  </si>
  <si>
    <t>J7C1V5</t>
  </si>
  <si>
    <t>450 712-3960</t>
  </si>
  <si>
    <t>1939364</t>
  </si>
  <si>
    <t>Legault, Hélène</t>
  </si>
  <si>
    <t>J7C2V1</t>
  </si>
  <si>
    <t>450 712-1772</t>
  </si>
  <si>
    <t>1948507</t>
  </si>
  <si>
    <t>Thiebaux, Amélie</t>
  </si>
  <si>
    <t>Thiebaux</t>
  </si>
  <si>
    <t>Beauvais-Bélanger</t>
  </si>
  <si>
    <t>J7C0C6</t>
  </si>
  <si>
    <t>450 712-9806</t>
  </si>
  <si>
    <t>1969641</t>
  </si>
  <si>
    <t>J7C2P3</t>
  </si>
  <si>
    <t>450 712-1992</t>
  </si>
  <si>
    <t>1663007</t>
  </si>
  <si>
    <t>Singler-Fathallah, Ariane</t>
  </si>
  <si>
    <t>J7C0C8</t>
  </si>
  <si>
    <t>450 712-9791</t>
  </si>
  <si>
    <t>1855603</t>
  </si>
  <si>
    <t>Bélair, Vanessa</t>
  </si>
  <si>
    <t>J7C2E1</t>
  </si>
  <si>
    <t>450 712-2617</t>
  </si>
  <si>
    <t>1281776</t>
  </si>
  <si>
    <t>Vivier, Alex</t>
  </si>
  <si>
    <t>Vivier</t>
  </si>
  <si>
    <t>Katya</t>
  </si>
  <si>
    <t>J7C1J7</t>
  </si>
  <si>
    <t>450 712-6471</t>
  </si>
  <si>
    <t>1464013</t>
  </si>
  <si>
    <t>Ménard-Roy, Emma-Rose</t>
  </si>
  <si>
    <t>Emma-Rose</t>
  </si>
  <si>
    <t>Karyanne</t>
  </si>
  <si>
    <t>J7C2K8</t>
  </si>
  <si>
    <t>450 712-2181</t>
  </si>
  <si>
    <t>1871651</t>
  </si>
  <si>
    <t>J7C2H5</t>
  </si>
  <si>
    <t>450 712-2279</t>
  </si>
  <si>
    <t>1930852</t>
  </si>
  <si>
    <t>Boisvert, Sharly</t>
  </si>
  <si>
    <t>Katharina</t>
  </si>
  <si>
    <t>J7C1V7</t>
  </si>
  <si>
    <t>450 712-3917</t>
  </si>
  <si>
    <t>1975325</t>
  </si>
  <si>
    <t>Bernier, Tania Anna</t>
  </si>
  <si>
    <t>Karolanne</t>
  </si>
  <si>
    <t>J7C2N9</t>
  </si>
  <si>
    <t>450 712-2170</t>
  </si>
  <si>
    <t>1448542</t>
  </si>
  <si>
    <t>Katry</t>
  </si>
  <si>
    <t>J7C1L7</t>
  </si>
  <si>
    <t>450 712-6241</t>
  </si>
  <si>
    <t>1630130</t>
  </si>
  <si>
    <t>Morel, Émile</t>
  </si>
  <si>
    <t>Morel</t>
  </si>
  <si>
    <t>J7C0M9</t>
  </si>
  <si>
    <t>450 712-7729</t>
  </si>
  <si>
    <t>1867768</t>
  </si>
  <si>
    <t>Tessier, Andy</t>
  </si>
  <si>
    <t>J7C1Y5</t>
  </si>
  <si>
    <t>450 712-2889</t>
  </si>
  <si>
    <t>1923448</t>
  </si>
  <si>
    <t>J7C1V4</t>
  </si>
  <si>
    <t>450 712-4201</t>
  </si>
  <si>
    <t>1752323</t>
  </si>
  <si>
    <t>Hainault, Laurence</t>
  </si>
  <si>
    <t>J7C1N9</t>
  </si>
  <si>
    <t>450 712-5165</t>
  </si>
  <si>
    <t>1541349</t>
  </si>
  <si>
    <t>De Castro, Mikaël</t>
  </si>
  <si>
    <t>De Castro</t>
  </si>
  <si>
    <t>J7C1Y6</t>
  </si>
  <si>
    <t>450 712-2687</t>
  </si>
  <si>
    <t>1926212</t>
  </si>
  <si>
    <t>Bélisle, Trinité</t>
  </si>
  <si>
    <t>Kayliann</t>
  </si>
  <si>
    <t>J7C0Y5</t>
  </si>
  <si>
    <t>450 712-6952</t>
  </si>
  <si>
    <t>1849191</t>
  </si>
  <si>
    <t>Karolan</t>
  </si>
  <si>
    <t>J7C2Y4</t>
  </si>
  <si>
    <t>450 712-1633</t>
  </si>
  <si>
    <t>1552994</t>
  </si>
  <si>
    <t>Katiana</t>
  </si>
  <si>
    <t>450 712-5589</t>
  </si>
  <si>
    <t>1874870</t>
  </si>
  <si>
    <t>J7C0N7</t>
  </si>
  <si>
    <t>450 712-7553</t>
  </si>
  <si>
    <t>1742439</t>
  </si>
  <si>
    <t>Parisien, Damien</t>
  </si>
  <si>
    <t>Parisien</t>
  </si>
  <si>
    <t>Damien</t>
  </si>
  <si>
    <t>J7C0H1</t>
  </si>
  <si>
    <t>450 712-8569</t>
  </si>
  <si>
    <t>1633430</t>
  </si>
  <si>
    <t>Dugas-Pelletier, Mathis</t>
  </si>
  <si>
    <t>J7C0G9</t>
  </si>
  <si>
    <t>450 712-8841</t>
  </si>
  <si>
    <t>1735764</t>
  </si>
  <si>
    <t>Wanadi, Alec-Kyle</t>
  </si>
  <si>
    <t>Alec-Kyle</t>
  </si>
  <si>
    <t>Kayleigh</t>
  </si>
  <si>
    <t>J7C1G1</t>
  </si>
  <si>
    <t>450 712-6803</t>
  </si>
  <si>
    <t>1546934</t>
  </si>
  <si>
    <t>Vucetic</t>
  </si>
  <si>
    <t>450 712-8933</t>
  </si>
  <si>
    <t>1733053</t>
  </si>
  <si>
    <t>Valiquette Robert, Alexandrine</t>
  </si>
  <si>
    <t>Valiquette Robert</t>
  </si>
  <si>
    <t>Kellyann</t>
  </si>
  <si>
    <t>J7C0J2</t>
  </si>
  <si>
    <t>450 712-8287</t>
  </si>
  <si>
    <t>1742780</t>
  </si>
  <si>
    <t>Bonègre, Séléna-Rose</t>
  </si>
  <si>
    <t>Bonègre</t>
  </si>
  <si>
    <t>450 712-5370</t>
  </si>
  <si>
    <t>1322420</t>
  </si>
  <si>
    <t>Madelein, Frédérik</t>
  </si>
  <si>
    <t>Madelein</t>
  </si>
  <si>
    <t>Frédérik</t>
  </si>
  <si>
    <t>J7C0G7</t>
  </si>
  <si>
    <t>450 712-9319</t>
  </si>
  <si>
    <t>1557804</t>
  </si>
  <si>
    <t>Jarvis, Kayla</t>
  </si>
  <si>
    <t>J7C2E4</t>
  </si>
  <si>
    <t>450 712-2443</t>
  </si>
  <si>
    <t>1636955</t>
  </si>
  <si>
    <t>Perrier-Dansereau, Clémence</t>
  </si>
  <si>
    <t>Perrier-Dansereau</t>
  </si>
  <si>
    <t>Clémence</t>
  </si>
  <si>
    <t>450 712-9424</t>
  </si>
  <si>
    <t>1907499</t>
  </si>
  <si>
    <t>Bezeau-Jean, Stéphanie</t>
  </si>
  <si>
    <t>Bezeau-Jean</t>
  </si>
  <si>
    <t>J7C1R9</t>
  </si>
  <si>
    <t>450 712-4692</t>
  </si>
  <si>
    <t>1827093</t>
  </si>
  <si>
    <t>Léveillé-Marleau, Gabrielle</t>
  </si>
  <si>
    <t>J7C0G3</t>
  </si>
  <si>
    <t>450 712-9643</t>
  </si>
  <si>
    <t>1260864</t>
  </si>
  <si>
    <t>450 712-1979</t>
  </si>
  <si>
    <t>1687501</t>
  </si>
  <si>
    <t>Nantel, Elliot</t>
  </si>
  <si>
    <t>Nantel</t>
  </si>
  <si>
    <t>Deniger</t>
  </si>
  <si>
    <t>450 712-4636</t>
  </si>
  <si>
    <t>1772984</t>
  </si>
  <si>
    <t>Karl</t>
  </si>
  <si>
    <t>J7C2Z3</t>
  </si>
  <si>
    <t>450 712-1574</t>
  </si>
  <si>
    <t>1554466</t>
  </si>
  <si>
    <t>450 712-2432</t>
  </si>
  <si>
    <t>1839188</t>
  </si>
  <si>
    <t>Major, Francis</t>
  </si>
  <si>
    <t>Exumé</t>
  </si>
  <si>
    <t>Katia-Stéphanie</t>
  </si>
  <si>
    <t>450 712-5600</t>
  </si>
  <si>
    <t>6140971</t>
  </si>
  <si>
    <t>Mathon, Ève</t>
  </si>
  <si>
    <t>Mathon</t>
  </si>
  <si>
    <t>450 712-4737</t>
  </si>
  <si>
    <t>1741079</t>
  </si>
  <si>
    <t>Généreux, Louisanne</t>
  </si>
  <si>
    <t>J7C1Z7</t>
  </si>
  <si>
    <t>450 712-2657</t>
  </si>
  <si>
    <t>1670233</t>
  </si>
  <si>
    <t>Boucher-Charbonneau, Sarah-Ève</t>
  </si>
  <si>
    <t>J7C1M4</t>
  </si>
  <si>
    <t>450 712-6208</t>
  </si>
  <si>
    <t>1126463</t>
  </si>
  <si>
    <t>Fratelli, Mariane</t>
  </si>
  <si>
    <t>Fratelli</t>
  </si>
  <si>
    <t>J7C0K4</t>
  </si>
  <si>
    <t>450 712-7844</t>
  </si>
  <si>
    <t>1516332</t>
  </si>
  <si>
    <t>Genier, Louis Félix</t>
  </si>
  <si>
    <t>450 712-7798</t>
  </si>
  <si>
    <t>1961617</t>
  </si>
  <si>
    <t>Boucher-Brousseau, Sarah-Jade</t>
  </si>
  <si>
    <t>450 712-8296</t>
  </si>
  <si>
    <t>1864380</t>
  </si>
  <si>
    <t>Vital, Alex</t>
  </si>
  <si>
    <t>J7C1S8</t>
  </si>
  <si>
    <t>450 712-4462</t>
  </si>
  <si>
    <t>1976772</t>
  </si>
  <si>
    <t>Frenette, Maria Paz</t>
  </si>
  <si>
    <t>450 712-2835</t>
  </si>
  <si>
    <t>1822808</t>
  </si>
  <si>
    <t>Pilon-Agüero</t>
  </si>
  <si>
    <t>J7C1R1</t>
  </si>
  <si>
    <t>450 712-5014</t>
  </si>
  <si>
    <t>1672313</t>
  </si>
  <si>
    <t>Katerina</t>
  </si>
  <si>
    <t>J7C1W9</t>
  </si>
  <si>
    <t>450 712-3409</t>
  </si>
  <si>
    <t>1935184</t>
  </si>
  <si>
    <t>Bazinet, Vincent</t>
  </si>
  <si>
    <t>J7C0J3</t>
  </si>
  <si>
    <t>450 712-8225</t>
  </si>
  <si>
    <t>1874826</t>
  </si>
  <si>
    <t>J7C0L5</t>
  </si>
  <si>
    <t>450 712-7785</t>
  </si>
  <si>
    <t>1978945</t>
  </si>
  <si>
    <t>Talbot-Saad, Annabelle</t>
  </si>
  <si>
    <t>Talbot-Saad</t>
  </si>
  <si>
    <t>450 712-5954</t>
  </si>
  <si>
    <t>1924490</t>
  </si>
  <si>
    <t>Morin, Émanuel</t>
  </si>
  <si>
    <t>Émanuel</t>
  </si>
  <si>
    <t>Keliane</t>
  </si>
  <si>
    <t>J7C0T4</t>
  </si>
  <si>
    <t>450 712-7009</t>
  </si>
  <si>
    <t>1561565</t>
  </si>
  <si>
    <t>Châteauvert, Patricia</t>
  </si>
  <si>
    <t>Châteauvert</t>
  </si>
  <si>
    <t>Poissant</t>
  </si>
  <si>
    <t>Kelliane</t>
  </si>
  <si>
    <t>450 712-7306</t>
  </si>
  <si>
    <t>1844070</t>
  </si>
  <si>
    <t>Makola-Diakiese, Francis</t>
  </si>
  <si>
    <t>SAINTE-ANNE-DES-LACS</t>
  </si>
  <si>
    <t>Sainte-Anne-des-Lacs</t>
  </si>
  <si>
    <t>J7C3P4</t>
  </si>
  <si>
    <t>450 712-0096</t>
  </si>
  <si>
    <t>1980661</t>
  </si>
  <si>
    <t>Kacey-Angely</t>
  </si>
  <si>
    <t>J7C3R6</t>
  </si>
  <si>
    <t>450 712-0045</t>
  </si>
  <si>
    <t>1959671</t>
  </si>
  <si>
    <t>J7C3J5</t>
  </si>
  <si>
    <t>450 712-0428</t>
  </si>
  <si>
    <t>1673439</t>
  </si>
  <si>
    <t>Sansregret, Audrey</t>
  </si>
  <si>
    <t>Sansregret</t>
  </si>
  <si>
    <t>J7C3S4</t>
  </si>
  <si>
    <t>450 707-0783</t>
  </si>
  <si>
    <t>0884513</t>
  </si>
  <si>
    <t>Trudel, Alice Olivia</t>
  </si>
  <si>
    <t>Alice Olivia</t>
  </si>
  <si>
    <t>J7C3C8</t>
  </si>
  <si>
    <t>450 712-0842</t>
  </si>
  <si>
    <t>1728013</t>
  </si>
  <si>
    <t>Bérubé, Stéphany</t>
  </si>
  <si>
    <t>J7C4H8</t>
  </si>
  <si>
    <t>450 694-2717</t>
  </si>
  <si>
    <t>1471024</t>
  </si>
  <si>
    <t>Boisclair, Simon</t>
  </si>
  <si>
    <t>J7C3K6</t>
  </si>
  <si>
    <t>450 712-0417</t>
  </si>
  <si>
    <t>1469182</t>
  </si>
  <si>
    <t>Karianne</t>
  </si>
  <si>
    <t>J7C3M6</t>
  </si>
  <si>
    <t>450 712-0384</t>
  </si>
  <si>
    <t>1826905</t>
  </si>
  <si>
    <t>J7C3B8</t>
  </si>
  <si>
    <t>450 712-0997</t>
  </si>
  <si>
    <t>1873886</t>
  </si>
  <si>
    <t>Barbeau, Wafa</t>
  </si>
  <si>
    <t>J7C4H5</t>
  </si>
  <si>
    <t>450 694-2937</t>
  </si>
  <si>
    <t>1767912</t>
  </si>
  <si>
    <t>Bélisle-Mongrain, Tommy</t>
  </si>
  <si>
    <t>J7C3M7</t>
  </si>
  <si>
    <t>450 712-0210</t>
  </si>
  <si>
    <t>1179335</t>
  </si>
  <si>
    <t>Marques Vera-Cruz Pinto, Félix</t>
  </si>
  <si>
    <t>Marques Vera-Cruz Pinto</t>
  </si>
  <si>
    <t>Karelle</t>
  </si>
  <si>
    <t>450 712-0203</t>
  </si>
  <si>
    <t>1777381</t>
  </si>
  <si>
    <t>Laurin, Jean-Victor</t>
  </si>
  <si>
    <t>Jean-Victor</t>
  </si>
  <si>
    <t>J7C3J4</t>
  </si>
  <si>
    <t>450 712-0472</t>
  </si>
  <si>
    <t>1835138</t>
  </si>
  <si>
    <t>Poirier, Charles-Étienne</t>
  </si>
  <si>
    <t>Charles-Étienne</t>
  </si>
  <si>
    <t>Chauffournier</t>
  </si>
  <si>
    <t>J7C3S1</t>
  </si>
  <si>
    <t>450 710-1493</t>
  </si>
  <si>
    <t>1947134</t>
  </si>
  <si>
    <t>Girard, Leïla</t>
  </si>
  <si>
    <t>J7C3A9</t>
  </si>
  <si>
    <t>450 712-1356</t>
  </si>
  <si>
    <t>1627234</t>
  </si>
  <si>
    <t>Renaud-Moyneur, Carol-Ann</t>
  </si>
  <si>
    <t>Renaud-Moyneur</t>
  </si>
  <si>
    <t>Carol-Ann</t>
  </si>
  <si>
    <t>J7C3X4</t>
  </si>
  <si>
    <t>450 694-4040</t>
  </si>
  <si>
    <t>1722845</t>
  </si>
  <si>
    <t>Duquette-Godon, Marylise</t>
  </si>
  <si>
    <t>Duquette-Godon</t>
  </si>
  <si>
    <t>Marcheterre</t>
  </si>
  <si>
    <t>J7C4C2</t>
  </si>
  <si>
    <t>450 694-3530</t>
  </si>
  <si>
    <t>6106942</t>
  </si>
  <si>
    <t>Bergeron-Cyr, Tanya</t>
  </si>
  <si>
    <t>Bergeron-Cyr</t>
  </si>
  <si>
    <t>Surma</t>
  </si>
  <si>
    <t>J7C2Z7</t>
  </si>
  <si>
    <t>450 712-1376</t>
  </si>
  <si>
    <t>1821048</t>
  </si>
  <si>
    <t>Rossi-Gauthier, Beline</t>
  </si>
  <si>
    <t>Rossi-Gauthier</t>
  </si>
  <si>
    <t>Beline</t>
  </si>
  <si>
    <t>Brideau</t>
  </si>
  <si>
    <t>450 712-0751</t>
  </si>
  <si>
    <t>1578663</t>
  </si>
  <si>
    <t>Houle, Kïarra</t>
  </si>
  <si>
    <t>J7C3B2</t>
  </si>
  <si>
    <t>450 712-1241</t>
  </si>
  <si>
    <t>1978498</t>
  </si>
  <si>
    <t>J7C3G5</t>
  </si>
  <si>
    <t>450 712-0511</t>
  </si>
  <si>
    <t>1830349</t>
  </si>
  <si>
    <t>Franche, Marianne</t>
  </si>
  <si>
    <t>J7C3R7</t>
  </si>
  <si>
    <t>1966177</t>
  </si>
  <si>
    <t>Muro, Eloïse</t>
  </si>
  <si>
    <t>J7C3C5</t>
  </si>
  <si>
    <t>450 712-0907</t>
  </si>
  <si>
    <t>1676154</t>
  </si>
  <si>
    <t>Riel</t>
  </si>
  <si>
    <t>Kamylle</t>
  </si>
  <si>
    <t>J7C3R2</t>
  </si>
  <si>
    <t>450 712-0070</t>
  </si>
  <si>
    <t>1528937</t>
  </si>
  <si>
    <t>J7C3T2</t>
  </si>
  <si>
    <t>450 694-4505</t>
  </si>
  <si>
    <t>1835554</t>
  </si>
  <si>
    <t>450 712-1506</t>
  </si>
  <si>
    <t>1986060</t>
  </si>
  <si>
    <t>Surprenant, Anne-Marie</t>
  </si>
  <si>
    <t>Surprenant</t>
  </si>
  <si>
    <t>450 712-0455</t>
  </si>
  <si>
    <t>1850998</t>
  </si>
  <si>
    <t>Comte-Marcil, Océane</t>
  </si>
  <si>
    <t>Comte-Marcil</t>
  </si>
  <si>
    <t>Piché-Saint-Louis</t>
  </si>
  <si>
    <t>450 694-5475</t>
  </si>
  <si>
    <t>1732394</t>
  </si>
  <si>
    <t>Maptouom Kengne, Florence</t>
  </si>
  <si>
    <t>J7C3E7</t>
  </si>
  <si>
    <t>450 712-0519</t>
  </si>
  <si>
    <t>1916505</t>
  </si>
  <si>
    <t>Fier, Marie-Pier</t>
  </si>
  <si>
    <t>Fier</t>
  </si>
  <si>
    <t>J7C3W5</t>
  </si>
  <si>
    <t>450 694-4059</t>
  </si>
  <si>
    <t>1871730</t>
  </si>
  <si>
    <t>Beauvais-Bélanger, Véronique</t>
  </si>
  <si>
    <t>J7C4J1</t>
  </si>
  <si>
    <t>450 694-2055</t>
  </si>
  <si>
    <t>1625332</t>
  </si>
  <si>
    <t>Dame, Molly</t>
  </si>
  <si>
    <t>J7C4H1</t>
  </si>
  <si>
    <t>450 694-3008</t>
  </si>
  <si>
    <t>1738441</t>
  </si>
  <si>
    <t>J7C3E6</t>
  </si>
  <si>
    <t>450 712-0694</t>
  </si>
  <si>
    <t>1236296</t>
  </si>
  <si>
    <t>Fougère, Marie</t>
  </si>
  <si>
    <t>SAINTE-AGATHE-DES-MONTS</t>
  </si>
  <si>
    <t>Sainte-Agathe-des-Monts</t>
  </si>
  <si>
    <t>J7C4Y4</t>
  </si>
  <si>
    <t>450 675-8268</t>
  </si>
  <si>
    <t>1957397</t>
  </si>
  <si>
    <t>Daoust, Miriame</t>
  </si>
  <si>
    <t>J7C4W4</t>
  </si>
  <si>
    <t>450 675-8655</t>
  </si>
  <si>
    <t>1953001</t>
  </si>
  <si>
    <t>Gagnon-Boies, Manyé Anne Cécilia</t>
  </si>
  <si>
    <t>J7C4K5</t>
  </si>
  <si>
    <t>450 694-1621</t>
  </si>
  <si>
    <t>1752006</t>
  </si>
  <si>
    <t>Dallemand, Molly</t>
  </si>
  <si>
    <t>450 675-8222</t>
  </si>
  <si>
    <t>1976594</t>
  </si>
  <si>
    <t>Fortier-Ouellet</t>
  </si>
  <si>
    <t>J7C4W2</t>
  </si>
  <si>
    <t>450 675-8741</t>
  </si>
  <si>
    <t>1664346</t>
  </si>
  <si>
    <t>Hétu, Kimberley</t>
  </si>
  <si>
    <t>J7C4R8</t>
  </si>
  <si>
    <t>450 694-0175</t>
  </si>
  <si>
    <t>1983397</t>
  </si>
  <si>
    <t>Malo, Florent</t>
  </si>
  <si>
    <t>Florent</t>
  </si>
  <si>
    <t>J7C5A9</t>
  </si>
  <si>
    <t>450 675-6991</t>
  </si>
  <si>
    <t>1624755</t>
  </si>
  <si>
    <t>St-Laurent, Anthony</t>
  </si>
  <si>
    <t>J7C4R1</t>
  </si>
  <si>
    <t>450 694-0370</t>
  </si>
  <si>
    <t>1725192</t>
  </si>
  <si>
    <t>Haltman, Laurence</t>
  </si>
  <si>
    <t>Haltman</t>
  </si>
  <si>
    <t>Lalonde-Marcheterre</t>
  </si>
  <si>
    <t>J7C4K9</t>
  </si>
  <si>
    <t>450 694-1535</t>
  </si>
  <si>
    <t>1974543</t>
  </si>
  <si>
    <t>Laberge Dubuc, Juliette</t>
  </si>
  <si>
    <t>Laberge Dubuc</t>
  </si>
  <si>
    <t>J7C4L1</t>
  </si>
  <si>
    <t>450 694-1309</t>
  </si>
  <si>
    <t>1312700</t>
  </si>
  <si>
    <t>J7C4V1</t>
  </si>
  <si>
    <t>450 675-8992</t>
  </si>
  <si>
    <t>1821149</t>
  </si>
  <si>
    <t>Flamand, Marie-Paule</t>
  </si>
  <si>
    <t>450 692-3243</t>
  </si>
  <si>
    <t>1722596</t>
  </si>
  <si>
    <t>Crête, Nazarit</t>
  </si>
  <si>
    <t>J7C4W6</t>
  </si>
  <si>
    <t>450 675-8558</t>
  </si>
  <si>
    <t>1728062</t>
  </si>
  <si>
    <t>Melançon, Eric</t>
  </si>
  <si>
    <t>Eric</t>
  </si>
  <si>
    <t>J7C5A7</t>
  </si>
  <si>
    <t>450 675-7211</t>
  </si>
  <si>
    <t>1225635</t>
  </si>
  <si>
    <t>Ballard</t>
  </si>
  <si>
    <t>J7C4L6</t>
  </si>
  <si>
    <t>450 694-1236</t>
  </si>
  <si>
    <t>1979275</t>
  </si>
  <si>
    <t>J7C4Z7</t>
  </si>
  <si>
    <t>450 675-7911</t>
  </si>
  <si>
    <t>1721274</t>
  </si>
  <si>
    <t>Tshilumba, Alexis</t>
  </si>
  <si>
    <t>Tshilumba</t>
  </si>
  <si>
    <t>Barriault-Vachon</t>
  </si>
  <si>
    <t>450 675-8533</t>
  </si>
  <si>
    <t>1854022</t>
  </si>
  <si>
    <t>Gélinas, Louis-Olivier</t>
  </si>
  <si>
    <t>J7C4P8</t>
  </si>
  <si>
    <t>450 694-0601</t>
  </si>
  <si>
    <t>1827233</t>
  </si>
  <si>
    <t>Legault Purchase, Heïdy</t>
  </si>
  <si>
    <t>Legault Purchase</t>
  </si>
  <si>
    <t>450 675-7210</t>
  </si>
  <si>
    <t>1332216</t>
  </si>
  <si>
    <t>Poulin, Charle-Antoine</t>
  </si>
  <si>
    <t>Charle-Antoine</t>
  </si>
  <si>
    <t>J7C4V9</t>
  </si>
  <si>
    <t>450 675-8794</t>
  </si>
  <si>
    <t>1938720</t>
  </si>
  <si>
    <t>De Silva-Medeiros, Michaël</t>
  </si>
  <si>
    <t>450 675-7002</t>
  </si>
  <si>
    <t>1938386</t>
  </si>
  <si>
    <t>Gingras, Lila</t>
  </si>
  <si>
    <t>Laveault</t>
  </si>
  <si>
    <t>J7C4W7</t>
  </si>
  <si>
    <t>450 675-8518</t>
  </si>
  <si>
    <t>1721983</t>
  </si>
  <si>
    <t>Le Bel, James</t>
  </si>
  <si>
    <t>Le Bel</t>
  </si>
  <si>
    <t>J7C4S6</t>
  </si>
  <si>
    <t>450 689-8546</t>
  </si>
  <si>
    <t>1791885</t>
  </si>
  <si>
    <t>J7C4P1</t>
  </si>
  <si>
    <t>450 694-0621</t>
  </si>
  <si>
    <t>1441956</t>
  </si>
  <si>
    <t>J7C4M2</t>
  </si>
  <si>
    <t>450 694-1051</t>
  </si>
  <si>
    <t>0264208</t>
  </si>
  <si>
    <t>Prévost, Céleste</t>
  </si>
  <si>
    <t>Céleste</t>
  </si>
  <si>
    <t>J7C5A3</t>
  </si>
  <si>
    <t>450 675-7478</t>
  </si>
  <si>
    <t>1762549</t>
  </si>
  <si>
    <t>Williston, Adèle</t>
  </si>
  <si>
    <t>Adèle</t>
  </si>
  <si>
    <t>J7C4Z6</t>
  </si>
  <si>
    <t>450 675-8044</t>
  </si>
  <si>
    <t>1621362</t>
  </si>
  <si>
    <t>J7C4R7</t>
  </si>
  <si>
    <t>450 694-0213</t>
  </si>
  <si>
    <t>1853204</t>
  </si>
  <si>
    <t>Brière-Gaudet, Samuel</t>
  </si>
  <si>
    <t>J7C4M3</t>
  </si>
  <si>
    <t>450 694-1025</t>
  </si>
  <si>
    <t>1534681</t>
  </si>
  <si>
    <t>J7C4Z9</t>
  </si>
  <si>
    <t>1964798</t>
  </si>
  <si>
    <t>Quimpère, Catherine</t>
  </si>
  <si>
    <t>Quimpère</t>
  </si>
  <si>
    <t>J7C4X7</t>
  </si>
  <si>
    <t>450 675-8366</t>
  </si>
  <si>
    <t>1963060</t>
  </si>
  <si>
    <t>Benmansour, Thomas</t>
  </si>
  <si>
    <t>Benmansour</t>
  </si>
  <si>
    <t>J7C4R2</t>
  </si>
  <si>
    <t>450 694-0363</t>
  </si>
  <si>
    <t>1843918</t>
  </si>
  <si>
    <t>Dufault, Matthew</t>
  </si>
  <si>
    <t>J7C4R3</t>
  </si>
  <si>
    <t>450 694-0291</t>
  </si>
  <si>
    <t>1983964</t>
  </si>
  <si>
    <t>Froment, Marc-Olivier</t>
  </si>
  <si>
    <t>J7C4X6</t>
  </si>
  <si>
    <t>450 675-8397</t>
  </si>
  <si>
    <t>1969671</t>
  </si>
  <si>
    <t>Deslandes, Megane</t>
  </si>
  <si>
    <t>J7C4Y7</t>
  </si>
  <si>
    <t>450 675-8215</t>
  </si>
  <si>
    <t>1746305</t>
  </si>
  <si>
    <t>Hioco, Kim</t>
  </si>
  <si>
    <t>J7C4S7</t>
  </si>
  <si>
    <t>450 675-9231</t>
  </si>
  <si>
    <t>1176974</t>
  </si>
  <si>
    <t>Mounga Kamaha, Éloïse</t>
  </si>
  <si>
    <t>Éloïse</t>
  </si>
  <si>
    <t>J7C4N5</t>
  </si>
  <si>
    <t>450 694-0810</t>
  </si>
  <si>
    <t>1320390</t>
  </si>
  <si>
    <t>J7C4T1</t>
  </si>
  <si>
    <t>450 675-9067</t>
  </si>
  <si>
    <t>1821555</t>
  </si>
  <si>
    <t>Brin, Samuel</t>
  </si>
  <si>
    <t>450 675-6909</t>
  </si>
  <si>
    <t>1826777</t>
  </si>
  <si>
    <t>Maillé, Frédéric</t>
  </si>
  <si>
    <t>450 675-9420</t>
  </si>
  <si>
    <t>9635353</t>
  </si>
  <si>
    <t>J7C4W3</t>
  </si>
  <si>
    <t>450 675-8681</t>
  </si>
  <si>
    <t>1954354</t>
  </si>
  <si>
    <t>450 675-8156</t>
  </si>
  <si>
    <t>1978525</t>
  </si>
  <si>
    <t>Defoy, Michael</t>
  </si>
  <si>
    <t>J7C4T9</t>
  </si>
  <si>
    <t>450 675-9010</t>
  </si>
  <si>
    <t>1545086</t>
  </si>
  <si>
    <t>Crevier, Nathaniel</t>
  </si>
  <si>
    <t>J7C4N8</t>
  </si>
  <si>
    <t>450 694-0790</t>
  </si>
  <si>
    <t>1657839</t>
  </si>
  <si>
    <t>Paquet, David</t>
  </si>
  <si>
    <t>J7C4K1</t>
  </si>
  <si>
    <t>450 694-1682</t>
  </si>
  <si>
    <t>1770211</t>
  </si>
  <si>
    <t>450 675-7937</t>
  </si>
  <si>
    <t>1663110</t>
  </si>
  <si>
    <t>Lavallée-Bélanger, Jean-Félix</t>
  </si>
  <si>
    <t>Lavallée-Bélanger</t>
  </si>
  <si>
    <t>Jean-Félix</t>
  </si>
  <si>
    <t>450 675-8388</t>
  </si>
  <si>
    <t>1445658</t>
  </si>
  <si>
    <t>450 694-0243</t>
  </si>
  <si>
    <t>1773024</t>
  </si>
  <si>
    <t>J7C4T6</t>
  </si>
  <si>
    <t>450 675-9052</t>
  </si>
  <si>
    <t>1832632</t>
  </si>
  <si>
    <t>Brouillet, Samuel</t>
  </si>
  <si>
    <t>Brouillet</t>
  </si>
  <si>
    <t>Rochon-Alary</t>
  </si>
  <si>
    <t>450 675-8691</t>
  </si>
  <si>
    <t>1944467</t>
  </si>
  <si>
    <t>Chiasson, Ophélie</t>
  </si>
  <si>
    <t>J7C4X9</t>
  </si>
  <si>
    <t>450 675-8302</t>
  </si>
  <si>
    <t>1876177</t>
  </si>
  <si>
    <t>Plouffe-Laurencelle, Charles-William</t>
  </si>
  <si>
    <t>Charles-William</t>
  </si>
  <si>
    <t>José-Miguel</t>
  </si>
  <si>
    <t>SAINTE-ADÈLE</t>
  </si>
  <si>
    <t>Sainte-Adèle</t>
  </si>
  <si>
    <t>J7C5T5</t>
  </si>
  <si>
    <t>450 643-0454</t>
  </si>
  <si>
    <t>1948370</t>
  </si>
  <si>
    <t>Jacob Vincent, Kelly</t>
  </si>
  <si>
    <t>Jacob Vincent</t>
  </si>
  <si>
    <t>J7C5X7</t>
  </si>
  <si>
    <t>450 624-0816</t>
  </si>
  <si>
    <t>1745965</t>
  </si>
  <si>
    <t>J7C6B5</t>
  </si>
  <si>
    <t>450 621-9116</t>
  </si>
  <si>
    <t>1970249</t>
  </si>
  <si>
    <t>J7C5E8</t>
  </si>
  <si>
    <t>450 675-4113</t>
  </si>
  <si>
    <t>1851446</t>
  </si>
  <si>
    <t>Daoust-Jean, Millie</t>
  </si>
  <si>
    <t>J7C5E5</t>
  </si>
  <si>
    <t>450 675-4311</t>
  </si>
  <si>
    <t>1828573</t>
  </si>
  <si>
    <t>J7C5Z4</t>
  </si>
  <si>
    <t>450 623-5858</t>
  </si>
  <si>
    <t>1846258</t>
  </si>
  <si>
    <t>St-Denis</t>
  </si>
  <si>
    <t>J7C5S5</t>
  </si>
  <si>
    <t>450 660-4454</t>
  </si>
  <si>
    <t>1247934</t>
  </si>
  <si>
    <t>J7E1S5</t>
  </si>
  <si>
    <t>450 613-2314</t>
  </si>
  <si>
    <t>1628930</t>
  </si>
  <si>
    <t>Lopes, Gabriel</t>
  </si>
  <si>
    <t>J7C5T2</t>
  </si>
  <si>
    <t>450 660-0102</t>
  </si>
  <si>
    <t>1070883</t>
  </si>
  <si>
    <t>Jolianne</t>
  </si>
  <si>
    <t>J7C6A9</t>
  </si>
  <si>
    <t>450 623-1450</t>
  </si>
  <si>
    <t>0551637</t>
  </si>
  <si>
    <t>Desmarais, Mégan</t>
  </si>
  <si>
    <t>450 660-4422</t>
  </si>
  <si>
    <t>1965468</t>
  </si>
  <si>
    <t>Roffi, Berthony Lucien</t>
  </si>
  <si>
    <t>Berthony Lucien</t>
  </si>
  <si>
    <t>J7C5B3</t>
  </si>
  <si>
    <t>450 675-6388</t>
  </si>
  <si>
    <t>1726272</t>
  </si>
  <si>
    <t>Patry, Dafnée</t>
  </si>
  <si>
    <t>Dafnée</t>
  </si>
  <si>
    <t>J7E1B6</t>
  </si>
  <si>
    <t>450 613-7116</t>
  </si>
  <si>
    <t>1664419</t>
  </si>
  <si>
    <t>Desbiens, Mélisande</t>
  </si>
  <si>
    <t>Mulkers</t>
  </si>
  <si>
    <t>J7C5R5</t>
  </si>
  <si>
    <t>450 660-6104</t>
  </si>
  <si>
    <t>1543146</t>
  </si>
  <si>
    <t>Fournelle, Marick</t>
  </si>
  <si>
    <t>J7C5G6</t>
  </si>
  <si>
    <t>450 675-3029</t>
  </si>
  <si>
    <t>1835666</t>
  </si>
  <si>
    <t>Lemelin, Guillaume</t>
  </si>
  <si>
    <t>Lemelin</t>
  </si>
  <si>
    <t>J7C5T4</t>
  </si>
  <si>
    <t>450 644-0066</t>
  </si>
  <si>
    <t>1839783</t>
  </si>
  <si>
    <t>Ben Fredj, Thomas</t>
  </si>
  <si>
    <t>Ben Fredj</t>
  </si>
  <si>
    <t>J7C5S2</t>
  </si>
  <si>
    <t>450 660-4498</t>
  </si>
  <si>
    <t>1707488</t>
  </si>
  <si>
    <t>Grondin, Laurianne</t>
  </si>
  <si>
    <t>J7C5X2</t>
  </si>
  <si>
    <t>450 625-9832</t>
  </si>
  <si>
    <t>1954873</t>
  </si>
  <si>
    <t>Blondel, Simon</t>
  </si>
  <si>
    <t>Blondel</t>
  </si>
  <si>
    <t>J7C5B2</t>
  </si>
  <si>
    <t>450 675-6640</t>
  </si>
  <si>
    <t>1623527</t>
  </si>
  <si>
    <t>J7C5L3</t>
  </si>
  <si>
    <t>450 675-2190</t>
  </si>
  <si>
    <t>1750810</t>
  </si>
  <si>
    <t>Gareau, Magally</t>
  </si>
  <si>
    <t>J7C5C8</t>
  </si>
  <si>
    <t>450 675-4799</t>
  </si>
  <si>
    <t>1157662</t>
  </si>
  <si>
    <t>Cliche, Olivier</t>
  </si>
  <si>
    <t>Cliche</t>
  </si>
  <si>
    <t>Pinard</t>
  </si>
  <si>
    <t>J7C5S7</t>
  </si>
  <si>
    <t>450 660-2274</t>
  </si>
  <si>
    <t>1643733</t>
  </si>
  <si>
    <t>J7C5Y3</t>
  </si>
  <si>
    <t>450 623-7902</t>
  </si>
  <si>
    <t>9201809</t>
  </si>
  <si>
    <t>Leclair, Jade</t>
  </si>
  <si>
    <t>J7C5V9</t>
  </si>
  <si>
    <t>450 628-4856</t>
  </si>
  <si>
    <t>1729232</t>
  </si>
  <si>
    <t>De Champlain, Mikael</t>
  </si>
  <si>
    <t>J7C5R6</t>
  </si>
  <si>
    <t>450 660-6024</t>
  </si>
  <si>
    <t>1674225</t>
  </si>
  <si>
    <t>J7C5J1</t>
  </si>
  <si>
    <t>450 675-2424</t>
  </si>
  <si>
    <t>1734587</t>
  </si>
  <si>
    <t>Lemire, Glenn Colbert</t>
  </si>
  <si>
    <t>Glenn Colbert</t>
  </si>
  <si>
    <t>Joémi</t>
  </si>
  <si>
    <t>J7E1B2</t>
  </si>
  <si>
    <t>450 613-8128</t>
  </si>
  <si>
    <t>1180622</t>
  </si>
  <si>
    <t>Wibrin, Ahmad Faisal</t>
  </si>
  <si>
    <t>Wibrin</t>
  </si>
  <si>
    <t>Ahmad Faisal</t>
  </si>
  <si>
    <t>J7C5B9</t>
  </si>
  <si>
    <t>450 675-6193</t>
  </si>
  <si>
    <t>1930107</t>
  </si>
  <si>
    <t>Hunter, Kessey</t>
  </si>
  <si>
    <t>Hunter</t>
  </si>
  <si>
    <t>J7C5C5</t>
  </si>
  <si>
    <t>450 675-4997</t>
  </si>
  <si>
    <t>0817284</t>
  </si>
  <si>
    <t>El Faid, Marine</t>
  </si>
  <si>
    <t>J7C5W1</t>
  </si>
  <si>
    <t>450 628-2399</t>
  </si>
  <si>
    <t>1935899</t>
  </si>
  <si>
    <t>J7C5H4</t>
  </si>
  <si>
    <t>450 675-2627</t>
  </si>
  <si>
    <t>1138308</t>
  </si>
  <si>
    <t>Harrisson, Laura</t>
  </si>
  <si>
    <t>Judith</t>
  </si>
  <si>
    <t>J7C5P4</t>
  </si>
  <si>
    <t>450 665-6159</t>
  </si>
  <si>
    <t>1390153</t>
  </si>
  <si>
    <t>José</t>
  </si>
  <si>
    <t>J7C5V1</t>
  </si>
  <si>
    <t>450 634-1683</t>
  </si>
  <si>
    <t>1567484</t>
  </si>
  <si>
    <t>Chateauneuf, Patricia</t>
  </si>
  <si>
    <t>Chateauneuf</t>
  </si>
  <si>
    <t>J7C5Y1</t>
  </si>
  <si>
    <t>450 623-9681</t>
  </si>
  <si>
    <t>1730066</t>
  </si>
  <si>
    <t>Pariseau, Damyen</t>
  </si>
  <si>
    <t>Damyen</t>
  </si>
  <si>
    <t>J7C5C6</t>
  </si>
  <si>
    <t>450 675-4980</t>
  </si>
  <si>
    <t>1871029</t>
  </si>
  <si>
    <t>Tremblay-Pagé, Allison</t>
  </si>
  <si>
    <t>Tremblay-Pagé</t>
  </si>
  <si>
    <t>450 660-1007</t>
  </si>
  <si>
    <t>1181380</t>
  </si>
  <si>
    <t>Brouz, Samuel</t>
  </si>
  <si>
    <t>J7C5G2</t>
  </si>
  <si>
    <t>450 675-3470</t>
  </si>
  <si>
    <t>1838856</t>
  </si>
  <si>
    <t>J7C5G5</t>
  </si>
  <si>
    <t>450 675-3105</t>
  </si>
  <si>
    <t>1930523</t>
  </si>
  <si>
    <t>Bozec-Guevremont, Samuel</t>
  </si>
  <si>
    <t>Bozec-Guevremont</t>
  </si>
  <si>
    <t>J7E1A1</t>
  </si>
  <si>
    <t>450 621-0275</t>
  </si>
  <si>
    <t>1369067</t>
  </si>
  <si>
    <t>J7C5L4</t>
  </si>
  <si>
    <t>450 675-2134</t>
  </si>
  <si>
    <t>1811293</t>
  </si>
  <si>
    <t>450 660-6157</t>
  </si>
  <si>
    <t>1725616</t>
  </si>
  <si>
    <t>Fulker, Marc-Olivier</t>
  </si>
  <si>
    <t>J7C5G7</t>
  </si>
  <si>
    <t>450 675-2890</t>
  </si>
  <si>
    <t>1958267</t>
  </si>
  <si>
    <t>Lauzon, Jean-Marie</t>
  </si>
  <si>
    <t>Jean-Marie</t>
  </si>
  <si>
    <t>450 675-6835</t>
  </si>
  <si>
    <t>1463095</t>
  </si>
  <si>
    <t>Pivin, Charlotte</t>
  </si>
  <si>
    <t>450 675-6441</t>
  </si>
  <si>
    <t>1867739</t>
  </si>
  <si>
    <t>Bergeron, Thomas</t>
  </si>
  <si>
    <t>Joudi</t>
  </si>
  <si>
    <t>450 660-6294</t>
  </si>
  <si>
    <t>1762648</t>
  </si>
  <si>
    <t>Bussières</t>
  </si>
  <si>
    <t>J7C5C2</t>
  </si>
  <si>
    <t>450 675-6115</t>
  </si>
  <si>
    <t>1860435</t>
  </si>
  <si>
    <t>Binette, Staicy</t>
  </si>
  <si>
    <t>450 643-0299</t>
  </si>
  <si>
    <t>1956901</t>
  </si>
  <si>
    <t>Tourangeau, Amélia</t>
  </si>
  <si>
    <t>J7C5M2</t>
  </si>
  <si>
    <t>450 675-0079</t>
  </si>
  <si>
    <t>1653922</t>
  </si>
  <si>
    <t>Yale, Adam</t>
  </si>
  <si>
    <t>Yale</t>
  </si>
  <si>
    <t>Acquas</t>
  </si>
  <si>
    <t>J7C5M1</t>
  </si>
  <si>
    <t>450 675-1006</t>
  </si>
  <si>
    <t>1924372</t>
  </si>
  <si>
    <t>450 675-6682</t>
  </si>
  <si>
    <t>0980016</t>
  </si>
  <si>
    <t>Chabot, Rashel</t>
  </si>
  <si>
    <t>Ramon Hernandez</t>
  </si>
  <si>
    <t>J7C5S1</t>
  </si>
  <si>
    <t>450 660-4540</t>
  </si>
  <si>
    <t>1737866</t>
  </si>
  <si>
    <t>J7C5Z3</t>
  </si>
  <si>
    <t>450 623-7647</t>
  </si>
  <si>
    <t>1340700</t>
  </si>
  <si>
    <t>Urbain, Alexie Ann</t>
  </si>
  <si>
    <t>Urbain</t>
  </si>
  <si>
    <t>Alexie Ann</t>
  </si>
  <si>
    <t>Babala</t>
  </si>
  <si>
    <t>450 675-2240</t>
  </si>
  <si>
    <t>1941528</t>
  </si>
  <si>
    <t>Chauret Décoste, Pascale</t>
  </si>
  <si>
    <t>Chauret Décoste</t>
  </si>
  <si>
    <t>J7C5W9</t>
  </si>
  <si>
    <t>450 627-0891</t>
  </si>
  <si>
    <t>1654127</t>
  </si>
  <si>
    <t>Jean, Katiana</t>
  </si>
  <si>
    <t>450 675-6460</t>
  </si>
  <si>
    <t>1842864</t>
  </si>
  <si>
    <t>J7C6A5</t>
  </si>
  <si>
    <t>450 623-3132</t>
  </si>
  <si>
    <t>1752418</t>
  </si>
  <si>
    <t>Jordany</t>
  </si>
  <si>
    <t>J7C5V5</t>
  </si>
  <si>
    <t>450 628-9907</t>
  </si>
  <si>
    <t>1256966</t>
  </si>
  <si>
    <t>Vadeboncoeur</t>
  </si>
  <si>
    <t>J7C5V7</t>
  </si>
  <si>
    <t>450 628-8135</t>
  </si>
  <si>
    <t>1426287</t>
  </si>
  <si>
    <t>Parent Noël, Danaë</t>
  </si>
  <si>
    <t>Parent Noël</t>
  </si>
  <si>
    <t>Danaë</t>
  </si>
  <si>
    <t>J7C6B7</t>
  </si>
  <si>
    <t>450 621-7492</t>
  </si>
  <si>
    <t>1922112</t>
  </si>
  <si>
    <t>Grendene, Laurie</t>
  </si>
  <si>
    <t>Grendene</t>
  </si>
  <si>
    <t>J7C5Z7</t>
  </si>
  <si>
    <t>450 623-5478</t>
  </si>
  <si>
    <t>1924077</t>
  </si>
  <si>
    <t>Deguire-Grenon, Mia-Maude</t>
  </si>
  <si>
    <t>J7E1J9</t>
  </si>
  <si>
    <t>450 613-2424</t>
  </si>
  <si>
    <t>1460601</t>
  </si>
  <si>
    <t>J7E1Z9</t>
  </si>
  <si>
    <t>450 613-1091</t>
  </si>
  <si>
    <t>1430834</t>
  </si>
  <si>
    <t>Dorfeuille, Maxim</t>
  </si>
  <si>
    <t>Melancon</t>
  </si>
  <si>
    <t>450 675-2459</t>
  </si>
  <si>
    <t>1475873</t>
  </si>
  <si>
    <t>Beaudet, Vincent</t>
  </si>
  <si>
    <t>J7C5B4</t>
  </si>
  <si>
    <t>450 675-6288</t>
  </si>
  <si>
    <t>1838469</t>
  </si>
  <si>
    <t>Lemieux-Castro, Guillaume</t>
  </si>
  <si>
    <t>J7C5L5</t>
  </si>
  <si>
    <t>450 675-1966</t>
  </si>
  <si>
    <t>1748455</t>
  </si>
  <si>
    <t>Pressé-Lefebvre, Chade</t>
  </si>
  <si>
    <t>Chade</t>
  </si>
  <si>
    <t>Julie-Anne</t>
  </si>
  <si>
    <t>J7C5B6</t>
  </si>
  <si>
    <t>450 675-6231</t>
  </si>
  <si>
    <t>1668728</t>
  </si>
  <si>
    <t>J7E0C1</t>
  </si>
  <si>
    <t>450 621-2355</t>
  </si>
  <si>
    <t>1873396</t>
  </si>
  <si>
    <t>Joé</t>
  </si>
  <si>
    <t>J7E1W3</t>
  </si>
  <si>
    <t>450 613-1224</t>
  </si>
  <si>
    <t>1824326</t>
  </si>
  <si>
    <t>Juan-Manuel</t>
  </si>
  <si>
    <t>J7C5R3</t>
  </si>
  <si>
    <t>450 660-6610</t>
  </si>
  <si>
    <t>1636101</t>
  </si>
  <si>
    <t>Hinse, Kim</t>
  </si>
  <si>
    <t>J7C5K1</t>
  </si>
  <si>
    <t>450 675-2270</t>
  </si>
  <si>
    <t>1974628</t>
  </si>
  <si>
    <t>Laurin, Jeff</t>
  </si>
  <si>
    <t>Jeff</t>
  </si>
  <si>
    <t>450 624-0791</t>
  </si>
  <si>
    <t>1972184</t>
  </si>
  <si>
    <t>J7C5L9</t>
  </si>
  <si>
    <t>450 675-1889</t>
  </si>
  <si>
    <t>1854006</t>
  </si>
  <si>
    <t>J7C5H6</t>
  </si>
  <si>
    <t>450 675-2548</t>
  </si>
  <si>
    <t>1868870</t>
  </si>
  <si>
    <t>Johanne</t>
  </si>
  <si>
    <t>J7C6B3</t>
  </si>
  <si>
    <t>450 622-1179</t>
  </si>
  <si>
    <t>1870582</t>
  </si>
  <si>
    <t>J7C5T9</t>
  </si>
  <si>
    <t>450 639-2400</t>
  </si>
  <si>
    <t>1759319</t>
  </si>
  <si>
    <t>Joël</t>
  </si>
  <si>
    <t>J7E1V9</t>
  </si>
  <si>
    <t>450 613-1586</t>
  </si>
  <si>
    <t>1968888</t>
  </si>
  <si>
    <t>Poulin, Chantal</t>
  </si>
  <si>
    <t>Chantal</t>
  </si>
  <si>
    <t>450 624-1287</t>
  </si>
  <si>
    <t>1722787</t>
  </si>
  <si>
    <t>450 675-2126</t>
  </si>
  <si>
    <t>1706050</t>
  </si>
  <si>
    <t>Julien, Karolane</t>
  </si>
  <si>
    <t>450 621-6761</t>
  </si>
  <si>
    <t>1823863</t>
  </si>
  <si>
    <t>Sanscartier Thifault, Audrey</t>
  </si>
  <si>
    <t>J7C5E6</t>
  </si>
  <si>
    <t>450 675-4309</t>
  </si>
  <si>
    <t>1148184</t>
  </si>
  <si>
    <t>Goudreau, Laurie-Pier</t>
  </si>
  <si>
    <t>J7E0A8</t>
  </si>
  <si>
    <t>450 621-6974</t>
  </si>
  <si>
    <t>1926711</t>
  </si>
  <si>
    <t>450 643-0180</t>
  </si>
  <si>
    <t>1625521</t>
  </si>
  <si>
    <t>450 675-0667</t>
  </si>
  <si>
    <t>0844951</t>
  </si>
  <si>
    <t>Black-Guimond, Sophie</t>
  </si>
  <si>
    <t>Black-Guimond</t>
  </si>
  <si>
    <t>St-André</t>
  </si>
  <si>
    <t>J7C5R1</t>
  </si>
  <si>
    <t>450 663-1828</t>
  </si>
  <si>
    <t>1742090</t>
  </si>
  <si>
    <t>Dupuis-Bissonnette, Maryse</t>
  </si>
  <si>
    <t>Dupuis-Bissonnette</t>
  </si>
  <si>
    <t>J7C5M8</t>
  </si>
  <si>
    <t>450 668-7938</t>
  </si>
  <si>
    <t>1860885</t>
  </si>
  <si>
    <t>Landuydt, Jessica</t>
  </si>
  <si>
    <t>J7C5G4</t>
  </si>
  <si>
    <t>450 675-3297</t>
  </si>
  <si>
    <t>1672863</t>
  </si>
  <si>
    <t>Bydal</t>
  </si>
  <si>
    <t>450 675-6179</t>
  </si>
  <si>
    <t>1970873</t>
  </si>
  <si>
    <t>J7C5R7</t>
  </si>
  <si>
    <t>450 660-4849</t>
  </si>
  <si>
    <t>1823229</t>
  </si>
  <si>
    <t>450 621-8007</t>
  </si>
  <si>
    <t>1935160</t>
  </si>
  <si>
    <t>Lepage Migneault, Geneviève</t>
  </si>
  <si>
    <t>Lepage Migneault</t>
  </si>
  <si>
    <t>J7E2B9</t>
  </si>
  <si>
    <t>450 613-0913</t>
  </si>
  <si>
    <t>1952778</t>
  </si>
  <si>
    <t>De Niverville, Michelle</t>
  </si>
  <si>
    <t>O'Connor</t>
  </si>
  <si>
    <t>450 623-0225</t>
  </si>
  <si>
    <t>1340440</t>
  </si>
  <si>
    <t>Tellier, Angelik</t>
  </si>
  <si>
    <t>Angelik</t>
  </si>
  <si>
    <t>450 627-5017</t>
  </si>
  <si>
    <t>1543450</t>
  </si>
  <si>
    <t>Boulianne, Sarah</t>
  </si>
  <si>
    <t>John</t>
  </si>
  <si>
    <t>450 623-1341</t>
  </si>
  <si>
    <t>1625849</t>
  </si>
  <si>
    <t>J7C5X6</t>
  </si>
  <si>
    <t>1538695</t>
  </si>
  <si>
    <t>Poulin, Chanel</t>
  </si>
  <si>
    <t>450 625-8338</t>
  </si>
  <si>
    <t>1690218</t>
  </si>
  <si>
    <t>J7C6A4</t>
  </si>
  <si>
    <t>450 623-3240</t>
  </si>
  <si>
    <t>1857127</t>
  </si>
  <si>
    <t>Taleb, Annabelle</t>
  </si>
  <si>
    <t>J7C5G8</t>
  </si>
  <si>
    <t>450 675-2875</t>
  </si>
  <si>
    <t>0639997</t>
  </si>
  <si>
    <t>Lirette</t>
  </si>
  <si>
    <t>J7C5X4</t>
  </si>
  <si>
    <t>450 625-8286</t>
  </si>
  <si>
    <t>1729020</t>
  </si>
  <si>
    <t>450 675-3039</t>
  </si>
  <si>
    <t>1533951</t>
  </si>
  <si>
    <t>Boulay, Sarah</t>
  </si>
  <si>
    <t>Boulay</t>
  </si>
  <si>
    <t>450 623-4729</t>
  </si>
  <si>
    <t>1427406</t>
  </si>
  <si>
    <t>450 623-2738</t>
  </si>
  <si>
    <t>1793938</t>
  </si>
  <si>
    <t>Prévost-Desrosiers</t>
  </si>
  <si>
    <t>450 661-2239</t>
  </si>
  <si>
    <t>1984391</t>
  </si>
  <si>
    <t>Trudel, Alice Flore</t>
  </si>
  <si>
    <t>Alice Flore</t>
  </si>
  <si>
    <t>J7C5W6</t>
  </si>
  <si>
    <t>450 628-2067</t>
  </si>
  <si>
    <t>1969214</t>
  </si>
  <si>
    <t>Neveu, Elizabeth</t>
  </si>
  <si>
    <t>Neveu</t>
  </si>
  <si>
    <t>J7E1Z3</t>
  </si>
  <si>
    <t>450 613-1130</t>
  </si>
  <si>
    <t>1654731</t>
  </si>
  <si>
    <t>Alliette-Lauzon, Yubisleydi</t>
  </si>
  <si>
    <t>Alliette-Lauzon</t>
  </si>
  <si>
    <t>Jules-Andre</t>
  </si>
  <si>
    <t>450 675-0548</t>
  </si>
  <si>
    <t>1931777</t>
  </si>
  <si>
    <t>Gravel-Richer, Laurie</t>
  </si>
  <si>
    <t>450 628-2829</t>
  </si>
  <si>
    <t>1955719</t>
  </si>
  <si>
    <t>Bouchard, Sébastien</t>
  </si>
  <si>
    <t>450 675-3934</t>
  </si>
  <si>
    <t>0920859</t>
  </si>
  <si>
    <t>450 623-2727</t>
  </si>
  <si>
    <t>1649321</t>
  </si>
  <si>
    <t>Chalifoux, Raphaële</t>
  </si>
  <si>
    <t>Joriane</t>
  </si>
  <si>
    <t>450 630-4811</t>
  </si>
  <si>
    <t>1952845</t>
  </si>
  <si>
    <t>Gascon, Maëlle</t>
  </si>
  <si>
    <t>J7E1C1</t>
  </si>
  <si>
    <t>450 613-6844</t>
  </si>
  <si>
    <t>1946573</t>
  </si>
  <si>
    <t>Gaudet, Macha</t>
  </si>
  <si>
    <t>450 625-3936</t>
  </si>
  <si>
    <t>1635877</t>
  </si>
  <si>
    <t>Hernandez-Gonzalez, Kloé</t>
  </si>
  <si>
    <t>Hernandez-Gonzalez</t>
  </si>
  <si>
    <t>J7E1G5</t>
  </si>
  <si>
    <t>450 613-2456</t>
  </si>
  <si>
    <t>1479879</t>
  </si>
  <si>
    <t>450 613-1140</t>
  </si>
  <si>
    <t>1930784</t>
  </si>
  <si>
    <t>Mérineau</t>
  </si>
  <si>
    <t>J7E1T9</t>
  </si>
  <si>
    <t>450 613-1656</t>
  </si>
  <si>
    <t>1635479</t>
  </si>
  <si>
    <t>450 628-2295</t>
  </si>
  <si>
    <t>1768883</t>
  </si>
  <si>
    <t>Griffiths Brault</t>
  </si>
  <si>
    <t>SAINT-DONAT</t>
  </si>
  <si>
    <t>Saint-Donat</t>
  </si>
  <si>
    <t>J7E3C2</t>
  </si>
  <si>
    <t>450 612-0667</t>
  </si>
  <si>
    <t>1964180</t>
  </si>
  <si>
    <t>Bois, Simon</t>
  </si>
  <si>
    <t>Bois</t>
  </si>
  <si>
    <t>Sikitu Wayali</t>
  </si>
  <si>
    <t>J7E2V5</t>
  </si>
  <si>
    <t>450 612-1144</t>
  </si>
  <si>
    <t>1819500</t>
  </si>
  <si>
    <t>Gauvreau, Louka</t>
  </si>
  <si>
    <t>450 612-0677</t>
  </si>
  <si>
    <t>1829397</t>
  </si>
  <si>
    <t>Laverrière, Jean Gabriel</t>
  </si>
  <si>
    <t>Laverrière</t>
  </si>
  <si>
    <t>Jean Gabriel</t>
  </si>
  <si>
    <t>Gilot</t>
  </si>
  <si>
    <t>J7E2Z8</t>
  </si>
  <si>
    <t>450 612-1000</t>
  </si>
  <si>
    <t>1685496</t>
  </si>
  <si>
    <t>Jihane</t>
  </si>
  <si>
    <t>SAINT-CÔME</t>
  </si>
  <si>
    <t>Saint-Côme</t>
  </si>
  <si>
    <t>J7E3K3</t>
  </si>
  <si>
    <t>450 602-9865</t>
  </si>
  <si>
    <t>1746612</t>
  </si>
  <si>
    <t>J7E3G7</t>
  </si>
  <si>
    <t>450 602-9894</t>
  </si>
  <si>
    <t>9475491</t>
  </si>
  <si>
    <t>Mérineau, Emmanuel</t>
  </si>
  <si>
    <t>SAINT-COLOMBAN</t>
  </si>
  <si>
    <t>Saint-Colomban</t>
  </si>
  <si>
    <t>J7J1R8</t>
  </si>
  <si>
    <t>450 565-5836</t>
  </si>
  <si>
    <t>1986219</t>
  </si>
  <si>
    <t>Fiorito, Marie-Pier</t>
  </si>
  <si>
    <t>J7H1T9</t>
  </si>
  <si>
    <t>450 569-8755</t>
  </si>
  <si>
    <t>Techniques de l'informatique</t>
  </si>
  <si>
    <t>1461131</t>
  </si>
  <si>
    <t>Saillant</t>
  </si>
  <si>
    <t>J7E5K3</t>
  </si>
  <si>
    <t>450 602-0625</t>
  </si>
  <si>
    <t>1864232</t>
  </si>
  <si>
    <t>Graoro, Laurie</t>
  </si>
  <si>
    <t>Graoro</t>
  </si>
  <si>
    <t>Lardinois</t>
  </si>
  <si>
    <t>J7G2X3</t>
  </si>
  <si>
    <t>450 592-2673</t>
  </si>
  <si>
    <t>1647914</t>
  </si>
  <si>
    <t>Barbieri-Michaud</t>
  </si>
  <si>
    <t>J7J0V1</t>
  </si>
  <si>
    <t>450 569-0513</t>
  </si>
  <si>
    <t>Techniques de transformation des matériaux composites</t>
  </si>
  <si>
    <t>1982815</t>
  </si>
  <si>
    <t>J7G2Z4</t>
  </si>
  <si>
    <t>450 592-2405</t>
  </si>
  <si>
    <t>1740605</t>
  </si>
  <si>
    <t>Gauthier Houle, Lovenskie Raphaëlle</t>
  </si>
  <si>
    <t>J7J1C9</t>
  </si>
  <si>
    <t>450 566-1785</t>
  </si>
  <si>
    <t>6153616</t>
  </si>
  <si>
    <t>Akli Capuano, Zackary</t>
  </si>
  <si>
    <t>Akli Capuano</t>
  </si>
  <si>
    <t>Jean-Raymi</t>
  </si>
  <si>
    <t>J7J0P8</t>
  </si>
  <si>
    <t>450 569-2041</t>
  </si>
  <si>
    <t>9543483</t>
  </si>
  <si>
    <t>J7E4S9</t>
  </si>
  <si>
    <t>450 602-5899</t>
  </si>
  <si>
    <t>1960250</t>
  </si>
  <si>
    <t>J7J1S2</t>
  </si>
  <si>
    <t>450 565-5765</t>
  </si>
  <si>
    <t>1960755</t>
  </si>
  <si>
    <t>Prégent, Chancelle</t>
  </si>
  <si>
    <t>Chancelle</t>
  </si>
  <si>
    <t>J7E3R4</t>
  </si>
  <si>
    <t>450 602-9724</t>
  </si>
  <si>
    <t>1321293</t>
  </si>
  <si>
    <t>Mongeon, Emilie</t>
  </si>
  <si>
    <t>J7G3J1</t>
  </si>
  <si>
    <t>450 592-0977</t>
  </si>
  <si>
    <t>1728047</t>
  </si>
  <si>
    <t>Rawlins, Cassandra</t>
  </si>
  <si>
    <t>J7G2N8</t>
  </si>
  <si>
    <t>450 592-2914</t>
  </si>
  <si>
    <t>1857471</t>
  </si>
  <si>
    <t>J7J0A8</t>
  </si>
  <si>
    <t>450 569-8286</t>
  </si>
  <si>
    <t>1871058</t>
  </si>
  <si>
    <t>Bourgon, Sandryne</t>
  </si>
  <si>
    <t>Bourgon</t>
  </si>
  <si>
    <t>Ruscito-Bourdon</t>
  </si>
  <si>
    <t>J7J1T8</t>
  </si>
  <si>
    <t>450 565-4271</t>
  </si>
  <si>
    <t>1736006</t>
  </si>
  <si>
    <t>Lafrenière, Jonathan</t>
  </si>
  <si>
    <t>J7J1V1</t>
  </si>
  <si>
    <t>450 565-4264</t>
  </si>
  <si>
    <t>1750583</t>
  </si>
  <si>
    <t>Henner, Kory</t>
  </si>
  <si>
    <t>J7J0A5</t>
  </si>
  <si>
    <t>450 569-8744</t>
  </si>
  <si>
    <t>1866082</t>
  </si>
  <si>
    <t>Makin-Leblanc, Francis</t>
  </si>
  <si>
    <t>Makin-Leblanc</t>
  </si>
  <si>
    <t>Essindi</t>
  </si>
  <si>
    <t>J7J1W7</t>
  </si>
  <si>
    <t>450 565-3213</t>
  </si>
  <si>
    <t>1929448</t>
  </si>
  <si>
    <t>Lareault-Caron, Jérémy</t>
  </si>
  <si>
    <t>Lareault-Caron</t>
  </si>
  <si>
    <t>Grandmougin</t>
  </si>
  <si>
    <t>J7J1G5</t>
  </si>
  <si>
    <t>450 565-9933</t>
  </si>
  <si>
    <t>1934437</t>
  </si>
  <si>
    <t>Volmar</t>
  </si>
  <si>
    <t>J7E4G8</t>
  </si>
  <si>
    <t>450 602-7058</t>
  </si>
  <si>
    <t>1970757</t>
  </si>
  <si>
    <t>Dériger, Mélissa</t>
  </si>
  <si>
    <t>J7H1G9</t>
  </si>
  <si>
    <t>450 588-6630</t>
  </si>
  <si>
    <t>0933354</t>
  </si>
  <si>
    <t>J7J1C7</t>
  </si>
  <si>
    <t>450 566-2194</t>
  </si>
  <si>
    <t>1765973</t>
  </si>
  <si>
    <t>Berthiaume, Takou</t>
  </si>
  <si>
    <t>J7J0H2</t>
  </si>
  <si>
    <t>450 569-6284</t>
  </si>
  <si>
    <t>1825886</t>
  </si>
  <si>
    <t>Fischer, Marie-Pier</t>
  </si>
  <si>
    <t>J7H0B8</t>
  </si>
  <si>
    <t>450 592-0654</t>
  </si>
  <si>
    <t>1773732</t>
  </si>
  <si>
    <t>J7J1E3</t>
  </si>
  <si>
    <t>450 566-1271</t>
  </si>
  <si>
    <t>1962514</t>
  </si>
  <si>
    <t>Germain, Loryane</t>
  </si>
  <si>
    <t>J7J1X1</t>
  </si>
  <si>
    <t>450 565-2761</t>
  </si>
  <si>
    <t>1907291</t>
  </si>
  <si>
    <t>Pinel, Chelsea</t>
  </si>
  <si>
    <t>Chelsea</t>
  </si>
  <si>
    <t>J7G1L8</t>
  </si>
  <si>
    <t>450 592-4925</t>
  </si>
  <si>
    <t>0939719</t>
  </si>
  <si>
    <t>J7J0K4</t>
  </si>
  <si>
    <t>450 569-2268</t>
  </si>
  <si>
    <t>1186334</t>
  </si>
  <si>
    <t>J7E3V3</t>
  </si>
  <si>
    <t>450 602-9695</t>
  </si>
  <si>
    <t>1828929</t>
  </si>
  <si>
    <t>Dupuis, Mathew</t>
  </si>
  <si>
    <t>J7J0P2</t>
  </si>
  <si>
    <t>450 569-2066</t>
  </si>
  <si>
    <t>1640173</t>
  </si>
  <si>
    <t>Lajoie, Joémi</t>
  </si>
  <si>
    <t>J7J1B8</t>
  </si>
  <si>
    <t>450 566-9802</t>
  </si>
  <si>
    <t>1975726</t>
  </si>
  <si>
    <t>Lachance, Julie</t>
  </si>
  <si>
    <t>J7E5N5</t>
  </si>
  <si>
    <t>450 598-6022</t>
  </si>
  <si>
    <t>1822234</t>
  </si>
  <si>
    <t>Moussette</t>
  </si>
  <si>
    <t>J7J1G2</t>
  </si>
  <si>
    <t>450 565-9998</t>
  </si>
  <si>
    <t>1222663</t>
  </si>
  <si>
    <t>Fortin-Lalande, Marie</t>
  </si>
  <si>
    <t>Fortin-Lalande</t>
  </si>
  <si>
    <t>J7J1A5</t>
  </si>
  <si>
    <t>450 569-0200</t>
  </si>
  <si>
    <t>1534455</t>
  </si>
  <si>
    <t>Bydal, Sabrina</t>
  </si>
  <si>
    <t>J7E4V4</t>
  </si>
  <si>
    <t>450 602-4867</t>
  </si>
  <si>
    <t>1102451</t>
  </si>
  <si>
    <t>Soucy Langlois, Antony</t>
  </si>
  <si>
    <t>Soucy Langlois</t>
  </si>
  <si>
    <t>Blanchard</t>
  </si>
  <si>
    <t>J7J0M8</t>
  </si>
  <si>
    <t>1747974</t>
  </si>
  <si>
    <t>Charbonneau, Phillippe</t>
  </si>
  <si>
    <t>450 592-2415</t>
  </si>
  <si>
    <t>1948699</t>
  </si>
  <si>
    <t>Doré Bélair, Maxim</t>
  </si>
  <si>
    <t>Doré Bélair</t>
  </si>
  <si>
    <t>J7H1B1</t>
  </si>
  <si>
    <t>450 591-0945</t>
  </si>
  <si>
    <t>1926096</t>
  </si>
  <si>
    <t>J7E4Y7</t>
  </si>
  <si>
    <t>450 602-4436</t>
  </si>
  <si>
    <t>1979315</t>
  </si>
  <si>
    <t>Moffette, Emilie</t>
  </si>
  <si>
    <t>J7J1T3</t>
  </si>
  <si>
    <t>450 565-5518</t>
  </si>
  <si>
    <t>1930285</t>
  </si>
  <si>
    <t>1829215</t>
  </si>
  <si>
    <t>J7G1N4</t>
  </si>
  <si>
    <t>450 592-4113</t>
  </si>
  <si>
    <t>1987656</t>
  </si>
  <si>
    <t>J7J1K6</t>
  </si>
  <si>
    <t>450 565-9024</t>
  </si>
  <si>
    <t>1937215</t>
  </si>
  <si>
    <t>Langlois-Barré, Jessica</t>
  </si>
  <si>
    <t>Jane</t>
  </si>
  <si>
    <t>J7J1M5</t>
  </si>
  <si>
    <t>450 565-7931</t>
  </si>
  <si>
    <t>1940501</t>
  </si>
  <si>
    <t>Legault, Holy Taïna</t>
  </si>
  <si>
    <t>Holy Taïna</t>
  </si>
  <si>
    <t>J7J1J2</t>
  </si>
  <si>
    <t>450 565-9514</t>
  </si>
  <si>
    <t>1777453</t>
  </si>
  <si>
    <t>Barabé, Wiktoria</t>
  </si>
  <si>
    <t>J7E5H4</t>
  </si>
  <si>
    <t>450 602-1390</t>
  </si>
  <si>
    <t>1873849</t>
  </si>
  <si>
    <t>Sériès, Arianne</t>
  </si>
  <si>
    <t>Sériès</t>
  </si>
  <si>
    <t>J7J0E8</t>
  </si>
  <si>
    <t>450 569-6757</t>
  </si>
  <si>
    <t>1937836</t>
  </si>
  <si>
    <t>J7J0B3</t>
  </si>
  <si>
    <t>450 569-8078</t>
  </si>
  <si>
    <t>1849475</t>
  </si>
  <si>
    <t>Girard-Lafrance, Leeam</t>
  </si>
  <si>
    <t>J7G3H7</t>
  </si>
  <si>
    <t>450 592-1242</t>
  </si>
  <si>
    <t>1560347</t>
  </si>
  <si>
    <t>J7H1T6</t>
  </si>
  <si>
    <t>450 569-9391</t>
  </si>
  <si>
    <t>1630150</t>
  </si>
  <si>
    <t>Paré-Dufour, Daniel</t>
  </si>
  <si>
    <t>Paré-Dufour</t>
  </si>
  <si>
    <t>J7J1X4</t>
  </si>
  <si>
    <t>450 565-1763</t>
  </si>
  <si>
    <t>1960517</t>
  </si>
  <si>
    <t>J7J1W8</t>
  </si>
  <si>
    <t>450 565-2854</t>
  </si>
  <si>
    <t>6102121</t>
  </si>
  <si>
    <t>Nadon, Elodie</t>
  </si>
  <si>
    <t>Elodie</t>
  </si>
  <si>
    <t>J7E5X1</t>
  </si>
  <si>
    <t>450 594-0578</t>
  </si>
  <si>
    <t>1360366</t>
  </si>
  <si>
    <t>Foka Mogouon, Marielle</t>
  </si>
  <si>
    <t>J7H1M9</t>
  </si>
  <si>
    <t>450 569-9863</t>
  </si>
  <si>
    <t>1931158</t>
  </si>
  <si>
    <t>Leduc</t>
  </si>
  <si>
    <t>J7G2K2</t>
  </si>
  <si>
    <t>450 592-3443</t>
  </si>
  <si>
    <t>1829148</t>
  </si>
  <si>
    <t>Slavnicu-Painchaud</t>
  </si>
  <si>
    <t>J7E5P2</t>
  </si>
  <si>
    <t>450 598-4615</t>
  </si>
  <si>
    <t>1933299</t>
  </si>
  <si>
    <t>Thériault-Garon</t>
  </si>
  <si>
    <t>J7E4N9</t>
  </si>
  <si>
    <t>450 602-5984</t>
  </si>
  <si>
    <t>1932257</t>
  </si>
  <si>
    <t>Marenger-Narbonne</t>
  </si>
  <si>
    <t>J7J1R5</t>
  </si>
  <si>
    <t>450 565-5982</t>
  </si>
  <si>
    <t>1864485</t>
  </si>
  <si>
    <t>Jolin, Katherine</t>
  </si>
  <si>
    <t>J7E5J7</t>
  </si>
  <si>
    <t>450 602-0767</t>
  </si>
  <si>
    <t>1763546</t>
  </si>
  <si>
    <t>J7E5M7</t>
  </si>
  <si>
    <t>450 602-0366</t>
  </si>
  <si>
    <t>1624943</t>
  </si>
  <si>
    <t>Choquette-Lapointe, Olivier</t>
  </si>
  <si>
    <t>J7J1T4</t>
  </si>
  <si>
    <t>450 565-4902</t>
  </si>
  <si>
    <t>1230820</t>
  </si>
  <si>
    <t>J7J0G5</t>
  </si>
  <si>
    <t>450 569-6373</t>
  </si>
  <si>
    <t>1646850</t>
  </si>
  <si>
    <t>Khimjee, Kacey-Angely</t>
  </si>
  <si>
    <t>Khimjee</t>
  </si>
  <si>
    <t>J7J1L3</t>
  </si>
  <si>
    <t>450 565-8537</t>
  </si>
  <si>
    <t>1551566</t>
  </si>
  <si>
    <t>Germain, Lory</t>
  </si>
  <si>
    <t>J7J1W1</t>
  </si>
  <si>
    <t>450 565-3398</t>
  </si>
  <si>
    <t>1692708</t>
  </si>
  <si>
    <t>Larins, Jérémy</t>
  </si>
  <si>
    <t>Larins</t>
  </si>
  <si>
    <t>Granda Obando</t>
  </si>
  <si>
    <t>J7E5M2</t>
  </si>
  <si>
    <t>450 602-0460</t>
  </si>
  <si>
    <t>1926414</t>
  </si>
  <si>
    <t>Roy, Audric</t>
  </si>
  <si>
    <t>Audric</t>
  </si>
  <si>
    <t>J7J1C3</t>
  </si>
  <si>
    <t>450 566-9619</t>
  </si>
  <si>
    <t>1961044</t>
  </si>
  <si>
    <t>Béland, Vanécia</t>
  </si>
  <si>
    <t>J7G1V4</t>
  </si>
  <si>
    <t>450 592-3714</t>
  </si>
  <si>
    <t>1911230</t>
  </si>
  <si>
    <t>Babala, William</t>
  </si>
  <si>
    <t>J7J0B5</t>
  </si>
  <si>
    <t>450 569-8008</t>
  </si>
  <si>
    <t>1821339</t>
  </si>
  <si>
    <t>Lalande-Gauthier, Joe</t>
  </si>
  <si>
    <t>J7J0K1</t>
  </si>
  <si>
    <t>450 569-2728</t>
  </si>
  <si>
    <t>1722438</t>
  </si>
  <si>
    <t>Rheault, Carolane</t>
  </si>
  <si>
    <t>J7G1T8</t>
  </si>
  <si>
    <t>450 592-3725</t>
  </si>
  <si>
    <t>1659000</t>
  </si>
  <si>
    <t>450 569-3381</t>
  </si>
  <si>
    <t>1933524</t>
  </si>
  <si>
    <t>J7G2L6</t>
  </si>
  <si>
    <t>450 592-3090</t>
  </si>
  <si>
    <t>1682843</t>
  </si>
  <si>
    <t>Blais, Sonia</t>
  </si>
  <si>
    <t>Soucy Plouffe</t>
  </si>
  <si>
    <t>J7J1T7</t>
  </si>
  <si>
    <t>450 565-4505</t>
  </si>
  <si>
    <t>1840313</t>
  </si>
  <si>
    <t>Jean-Eddy</t>
  </si>
  <si>
    <t>J7J1C4</t>
  </si>
  <si>
    <t>450 566-4389</t>
  </si>
  <si>
    <t>1962051</t>
  </si>
  <si>
    <t>Lalande, Joël</t>
  </si>
  <si>
    <t>J7J0H4</t>
  </si>
  <si>
    <t>450 569-4994</t>
  </si>
  <si>
    <t>1839268</t>
  </si>
  <si>
    <t>Dieu, Maxime</t>
  </si>
  <si>
    <t>Dieu</t>
  </si>
  <si>
    <t>J7G1G8</t>
  </si>
  <si>
    <t>450 592-7635</t>
  </si>
  <si>
    <t>1742828</t>
  </si>
  <si>
    <t>450 565-6384</t>
  </si>
  <si>
    <t>1023582</t>
  </si>
  <si>
    <t>Marentette, Félix</t>
  </si>
  <si>
    <t>J7G3H1</t>
  </si>
  <si>
    <t>450 592-1312</t>
  </si>
  <si>
    <t>1738552</t>
  </si>
  <si>
    <t>Décoste, Michael</t>
  </si>
  <si>
    <t>Normandin</t>
  </si>
  <si>
    <t>J7G1N3</t>
  </si>
  <si>
    <t>450 592-4262</t>
  </si>
  <si>
    <t>1427161</t>
  </si>
  <si>
    <t>Valentin, Alexandrine</t>
  </si>
  <si>
    <t>Valentin</t>
  </si>
  <si>
    <t>J7J1A8</t>
  </si>
  <si>
    <t>450 569-0129</t>
  </si>
  <si>
    <t>1981366</t>
  </si>
  <si>
    <t>Piché-Richer, Christophe</t>
  </si>
  <si>
    <t>J7J1M7</t>
  </si>
  <si>
    <t>450 565-7644</t>
  </si>
  <si>
    <t>1140672</t>
  </si>
  <si>
    <t>Bolduc, Shade</t>
  </si>
  <si>
    <t>J7J1S7</t>
  </si>
  <si>
    <t>450 565-5708</t>
  </si>
  <si>
    <t>1971259</t>
  </si>
  <si>
    <t>Lledo, Gabriel</t>
  </si>
  <si>
    <t>J7J1J7</t>
  </si>
  <si>
    <t>450 565-9230</t>
  </si>
  <si>
    <t>1892281</t>
  </si>
  <si>
    <t>J7G1K2</t>
  </si>
  <si>
    <t>450 592-5330</t>
  </si>
  <si>
    <t>1834969</t>
  </si>
  <si>
    <t>Vandal, Alexandre</t>
  </si>
  <si>
    <t>J7J1M9</t>
  </si>
  <si>
    <t>450 565-7458</t>
  </si>
  <si>
    <t>1242359</t>
  </si>
  <si>
    <t>J7G1A8</t>
  </si>
  <si>
    <t>450 592-7877</t>
  </si>
  <si>
    <t>1468324</t>
  </si>
  <si>
    <t>Fortier, Marie-Elaine</t>
  </si>
  <si>
    <t>Liboiron</t>
  </si>
  <si>
    <t>J7E5P3</t>
  </si>
  <si>
    <t>450 598-1727</t>
  </si>
  <si>
    <t>1645256</t>
  </si>
  <si>
    <t>Gaudreau, Lylirose</t>
  </si>
  <si>
    <t>Jean-Simon</t>
  </si>
  <si>
    <t>J7J0L9</t>
  </si>
  <si>
    <t>450 569-2217</t>
  </si>
  <si>
    <t>1789908</t>
  </si>
  <si>
    <t>Delorme, Mérédith</t>
  </si>
  <si>
    <t>Niyogushima</t>
  </si>
  <si>
    <t>J7J1M8</t>
  </si>
  <si>
    <t>450 565-7490</t>
  </si>
  <si>
    <t>1672652</t>
  </si>
  <si>
    <t>Turpin, Alexis</t>
  </si>
  <si>
    <t>Turpin</t>
  </si>
  <si>
    <t>Bagnon</t>
  </si>
  <si>
    <t>450 569-0198</t>
  </si>
  <si>
    <t>1823244</t>
  </si>
  <si>
    <t>Guertin, Laurence</t>
  </si>
  <si>
    <t>J7J1W4</t>
  </si>
  <si>
    <t>450 565-3220</t>
  </si>
  <si>
    <t>1904274</t>
  </si>
  <si>
    <t>J7G3G8</t>
  </si>
  <si>
    <t>450 592-1539</t>
  </si>
  <si>
    <t>1628176</t>
  </si>
  <si>
    <t>Perron-Dupuis, Claudia</t>
  </si>
  <si>
    <t>J7E3Z7</t>
  </si>
  <si>
    <t>450 602-8652</t>
  </si>
  <si>
    <t>1973435</t>
  </si>
  <si>
    <t>Caron, Rose Aline</t>
  </si>
  <si>
    <t>René</t>
  </si>
  <si>
    <t>J7E5N4</t>
  </si>
  <si>
    <t>450 601-3813</t>
  </si>
  <si>
    <t>1284162</t>
  </si>
  <si>
    <t>J7J0E4</t>
  </si>
  <si>
    <t>450 569-7248</t>
  </si>
  <si>
    <t>1759460</t>
  </si>
  <si>
    <t>Bernard-Charles, Tanya</t>
  </si>
  <si>
    <t>Jaëlle-Alexia</t>
  </si>
  <si>
    <t>J7J1P9</t>
  </si>
  <si>
    <t>450 565-6738</t>
  </si>
  <si>
    <t>1886897</t>
  </si>
  <si>
    <t>Coutu, Nicolas</t>
  </si>
  <si>
    <t>J7E5W2</t>
  </si>
  <si>
    <t>450 597-0507</t>
  </si>
  <si>
    <t>1930712</t>
  </si>
  <si>
    <t>Morissette, Elrick</t>
  </si>
  <si>
    <t>Elrick</t>
  </si>
  <si>
    <t>J7E5R5</t>
  </si>
  <si>
    <t>450 598-1488</t>
  </si>
  <si>
    <t>1744801</t>
  </si>
  <si>
    <t>Macari, Frédérike</t>
  </si>
  <si>
    <t>Macari</t>
  </si>
  <si>
    <t>Fex-Jacob</t>
  </si>
  <si>
    <t>J7J0C5</t>
  </si>
  <si>
    <t>450 569-7703</t>
  </si>
  <si>
    <t>1928265</t>
  </si>
  <si>
    <t>J7E4H4</t>
  </si>
  <si>
    <t>450 602-6682</t>
  </si>
  <si>
    <t>1841722</t>
  </si>
  <si>
    <t>Brasseur, Samuel</t>
  </si>
  <si>
    <t>Brasseur</t>
  </si>
  <si>
    <t>Rousseau-Rioux</t>
  </si>
  <si>
    <t>J7J0A9</t>
  </si>
  <si>
    <t>450 569-8247</t>
  </si>
  <si>
    <t>1426607</t>
  </si>
  <si>
    <t>Zuck, Abby</t>
  </si>
  <si>
    <t>Zuck</t>
  </si>
  <si>
    <t>Abby</t>
  </si>
  <si>
    <t>J7J0A7</t>
  </si>
  <si>
    <t>450 569-8711</t>
  </si>
  <si>
    <t>1176861</t>
  </si>
  <si>
    <t>Rondeau, Benjamin</t>
  </si>
  <si>
    <t>1624903</t>
  </si>
  <si>
    <t>Blain, Sophia-Laurie</t>
  </si>
  <si>
    <t>J7H1L8</t>
  </si>
  <si>
    <t>450 586-3097</t>
  </si>
  <si>
    <t>1937648</t>
  </si>
  <si>
    <t>Noël, Élisabeth</t>
  </si>
  <si>
    <t>Élisabeth</t>
  </si>
  <si>
    <t>450 569-0580</t>
  </si>
  <si>
    <t>1636808</t>
  </si>
  <si>
    <t>Boutin-Drapeau, Sandrine</t>
  </si>
  <si>
    <t>450 602-0634</t>
  </si>
  <si>
    <t>1861680</t>
  </si>
  <si>
    <t>Robert, Bruce</t>
  </si>
  <si>
    <t>Bruce</t>
  </si>
  <si>
    <t>J7H1J3</t>
  </si>
  <si>
    <t>450 588-0461</t>
  </si>
  <si>
    <t>1205797</t>
  </si>
  <si>
    <t>Burelle, Sabrina</t>
  </si>
  <si>
    <t>Burelle</t>
  </si>
  <si>
    <t>J7J1J5</t>
  </si>
  <si>
    <t>450 565-9287</t>
  </si>
  <si>
    <t>1708552</t>
  </si>
  <si>
    <t>Jarry, Kayliann</t>
  </si>
  <si>
    <t>J7J0H8</t>
  </si>
  <si>
    <t>450 569-4023</t>
  </si>
  <si>
    <t>1954123</t>
  </si>
  <si>
    <t>Coupal-St-Michel, Nicolas</t>
  </si>
  <si>
    <t>J7J1A4</t>
  </si>
  <si>
    <t>450 569-0325</t>
  </si>
  <si>
    <t>1275458</t>
  </si>
  <si>
    <t>Desnoyers-Vaillancourt, Mégan</t>
  </si>
  <si>
    <t>Desnoyers-Vaillancourt</t>
  </si>
  <si>
    <t>Mitchell</t>
  </si>
  <si>
    <t>J7G3A8</t>
  </si>
  <si>
    <t>450 592-1800</t>
  </si>
  <si>
    <t>1821068</t>
  </si>
  <si>
    <t>Borduas, Sébastien</t>
  </si>
  <si>
    <t>Borduas</t>
  </si>
  <si>
    <t>Scylla</t>
  </si>
  <si>
    <t>J7H1J8</t>
  </si>
  <si>
    <t>450 588-0219</t>
  </si>
  <si>
    <t>1737380</t>
  </si>
  <si>
    <t>Sow, Antoinette</t>
  </si>
  <si>
    <t>Sow</t>
  </si>
  <si>
    <t>Antoinette</t>
  </si>
  <si>
    <t>J7G2Y9</t>
  </si>
  <si>
    <t>450 592-2526</t>
  </si>
  <si>
    <t>1522421</t>
  </si>
  <si>
    <t>450 569-6091</t>
  </si>
  <si>
    <t>1570507</t>
  </si>
  <si>
    <t>Maiorano, François-Xavier</t>
  </si>
  <si>
    <t>Maiorano</t>
  </si>
  <si>
    <t>François-Xavier</t>
  </si>
  <si>
    <t>Fasseau</t>
  </si>
  <si>
    <t>J7J1B1</t>
  </si>
  <si>
    <t>450 569-0011</t>
  </si>
  <si>
    <t>1828040</t>
  </si>
  <si>
    <t>450 566-2254</t>
  </si>
  <si>
    <t>1950069</t>
  </si>
  <si>
    <t>Jean-Denis</t>
  </si>
  <si>
    <t>J7J1C6</t>
  </si>
  <si>
    <t>450 566-3797</t>
  </si>
  <si>
    <t>1853869</t>
  </si>
  <si>
    <t>J7J1H9</t>
  </si>
  <si>
    <t>450 565-9770</t>
  </si>
  <si>
    <t>1856126</t>
  </si>
  <si>
    <t>450 569-8794</t>
  </si>
  <si>
    <t>1979725</t>
  </si>
  <si>
    <t>J7G3J5</t>
  </si>
  <si>
    <t>450 592-0832</t>
  </si>
  <si>
    <t>1667233</t>
  </si>
  <si>
    <t>Ouellet, Édouard</t>
  </si>
  <si>
    <t>Édouard</t>
  </si>
  <si>
    <t>450 569-3737</t>
  </si>
  <si>
    <t>1756530</t>
  </si>
  <si>
    <t>Waterbury, Alec</t>
  </si>
  <si>
    <t>J7J0X3</t>
  </si>
  <si>
    <t>450 569-0461</t>
  </si>
  <si>
    <t>1760529</t>
  </si>
  <si>
    <t>J7E5E3</t>
  </si>
  <si>
    <t>450 602-1441</t>
  </si>
  <si>
    <t>1646167</t>
  </si>
  <si>
    <t>Vaillancourt, Alexe</t>
  </si>
  <si>
    <t>Alexe</t>
  </si>
  <si>
    <t>J7J1W2</t>
  </si>
  <si>
    <t>450 565-3245</t>
  </si>
  <si>
    <t>1838207</t>
  </si>
  <si>
    <t>Piercy, Christine</t>
  </si>
  <si>
    <t>J7E3L8</t>
  </si>
  <si>
    <t>450 602-9858</t>
  </si>
  <si>
    <t>1761265</t>
  </si>
  <si>
    <t>Moreault, Émile</t>
  </si>
  <si>
    <t>J7H1C6</t>
  </si>
  <si>
    <t>450 589-6230</t>
  </si>
  <si>
    <t>1928872</t>
  </si>
  <si>
    <t>Désilets, Meghan</t>
  </si>
  <si>
    <t>450 565-5002</t>
  </si>
  <si>
    <t>1833423</t>
  </si>
  <si>
    <t>Halder, Laurence</t>
  </si>
  <si>
    <t>J7J1R1</t>
  </si>
  <si>
    <t>450 565-6486</t>
  </si>
  <si>
    <t>1928490</t>
  </si>
  <si>
    <t>Picard-Jacques, Chrystelle</t>
  </si>
  <si>
    <t>Picard-Jacques</t>
  </si>
  <si>
    <t>Chrystelle</t>
  </si>
  <si>
    <t>450 569-7174</t>
  </si>
  <si>
    <t>1745842</t>
  </si>
  <si>
    <t>Bonneville, Seléna</t>
  </si>
  <si>
    <t>Bonneville</t>
  </si>
  <si>
    <t>J7G1J3</t>
  </si>
  <si>
    <t>450 592-6575</t>
  </si>
  <si>
    <t>1734552</t>
  </si>
  <si>
    <t>Séguin, Arnaud</t>
  </si>
  <si>
    <t>Arnaud</t>
  </si>
  <si>
    <t>0416993</t>
  </si>
  <si>
    <t>Cérat, Rebecca</t>
  </si>
  <si>
    <t>Cérat</t>
  </si>
  <si>
    <t>450 565-4960</t>
  </si>
  <si>
    <t>0354630</t>
  </si>
  <si>
    <t>Jean-Philippe</t>
  </si>
  <si>
    <t>J7J0R3</t>
  </si>
  <si>
    <t>450 569-1887</t>
  </si>
  <si>
    <t>1951541</t>
  </si>
  <si>
    <t>Fortin Deschênes, Marie Anne</t>
  </si>
  <si>
    <t>J7J1B3</t>
  </si>
  <si>
    <t>450 567-8852</t>
  </si>
  <si>
    <t>1931054</t>
  </si>
  <si>
    <t>Chevigny, Oriane</t>
  </si>
  <si>
    <t>J7J0C9</t>
  </si>
  <si>
    <t>450 569-7368</t>
  </si>
  <si>
    <t>1955244</t>
  </si>
  <si>
    <t>Beaudin, Vincent</t>
  </si>
  <si>
    <t>Beaudin</t>
  </si>
  <si>
    <t>J7E4A7</t>
  </si>
  <si>
    <t>450 602-7386</t>
  </si>
  <si>
    <t>1959240</t>
  </si>
  <si>
    <t>450 602-1183</t>
  </si>
  <si>
    <t>0547822</t>
  </si>
  <si>
    <t>Rijalleblad, Camille</t>
  </si>
  <si>
    <t>450 592-4885</t>
  </si>
  <si>
    <t>1617814</t>
  </si>
  <si>
    <t>Sicard, Ariane</t>
  </si>
  <si>
    <t>450 565-5631</t>
  </si>
  <si>
    <t>1838936</t>
  </si>
  <si>
    <t>Niyogushima, Elizabeth</t>
  </si>
  <si>
    <t>J7J0J8</t>
  </si>
  <si>
    <t>450 569-3835</t>
  </si>
  <si>
    <t>1976803</t>
  </si>
  <si>
    <t>J7J1X3</t>
  </si>
  <si>
    <t>450 565-1907</t>
  </si>
  <si>
    <t>1670488</t>
  </si>
  <si>
    <t>Poulin, Charlène</t>
  </si>
  <si>
    <t>Charlène</t>
  </si>
  <si>
    <t>Charles-Pierre</t>
  </si>
  <si>
    <t>450 565-5610</t>
  </si>
  <si>
    <t>1938578</t>
  </si>
  <si>
    <t>Girard, Léo</t>
  </si>
  <si>
    <t>Jainy</t>
  </si>
  <si>
    <t>J7J1P4</t>
  </si>
  <si>
    <t>450 565-6795</t>
  </si>
  <si>
    <t>1573376</t>
  </si>
  <si>
    <t>Ferland, Mariève</t>
  </si>
  <si>
    <t>J7J0B4</t>
  </si>
  <si>
    <t>450 569-8060</t>
  </si>
  <si>
    <t>1952181</t>
  </si>
  <si>
    <t>Caron Rioux, Rosalie</t>
  </si>
  <si>
    <t>J7J1E8</t>
  </si>
  <si>
    <t>450 566-1190</t>
  </si>
  <si>
    <t>1760315</t>
  </si>
  <si>
    <t>J7J0B8</t>
  </si>
  <si>
    <t>450 569-7870</t>
  </si>
  <si>
    <t>1757040</t>
  </si>
  <si>
    <t>Vanderbellen, Alexandre</t>
  </si>
  <si>
    <t>450 565-6635</t>
  </si>
  <si>
    <t>1380428</t>
  </si>
  <si>
    <t>Kong, Justine</t>
  </si>
  <si>
    <t>Kong</t>
  </si>
  <si>
    <t>J7E3W4</t>
  </si>
  <si>
    <t>450 602-9562</t>
  </si>
  <si>
    <t>1329874</t>
  </si>
  <si>
    <t>J7G1J4</t>
  </si>
  <si>
    <t>450 592-5431</t>
  </si>
  <si>
    <t>1822795</t>
  </si>
  <si>
    <t>Houde, Kim</t>
  </si>
  <si>
    <t>Houde</t>
  </si>
  <si>
    <t>J7J1N5</t>
  </si>
  <si>
    <t>450 565-6803</t>
  </si>
  <si>
    <t>1978742</t>
  </si>
  <si>
    <t>Fallu Bissonnette, Marilou</t>
  </si>
  <si>
    <t>Fallu Bissonnette</t>
  </si>
  <si>
    <t>J7J1L1</t>
  </si>
  <si>
    <t>450 565-8603</t>
  </si>
  <si>
    <t>1639152</t>
  </si>
  <si>
    <t>J7G3C9</t>
  </si>
  <si>
    <t>450 592-1643</t>
  </si>
  <si>
    <t>1738539</t>
  </si>
  <si>
    <t>Savoie-Lestage, Assitan Dite Aïda</t>
  </si>
  <si>
    <t>Savoie-Lestage</t>
  </si>
  <si>
    <t>Assitan Dite Aïda</t>
  </si>
  <si>
    <t>Jade-Elyane</t>
  </si>
  <si>
    <t>450 565-6544</t>
  </si>
  <si>
    <t>1164120</t>
  </si>
  <si>
    <t>Ramsay, Catalina Andrea</t>
  </si>
  <si>
    <t>Ramsay</t>
  </si>
  <si>
    <t>Catalina Andrea</t>
  </si>
  <si>
    <t>Chabauty</t>
  </si>
  <si>
    <t>J7J1H6</t>
  </si>
  <si>
    <t>450 565-9796</t>
  </si>
  <si>
    <t>1971328</t>
  </si>
  <si>
    <t>Lafleur, Joriane</t>
  </si>
  <si>
    <t>J7E3X8</t>
  </si>
  <si>
    <t>450 602-8773</t>
  </si>
  <si>
    <t>1744480</t>
  </si>
  <si>
    <t>J7E3M8</t>
  </si>
  <si>
    <t>450 602-9852</t>
  </si>
  <si>
    <t>1507776</t>
  </si>
  <si>
    <t>Fiorillo, Marie-Pier</t>
  </si>
  <si>
    <t>Fiorillo</t>
  </si>
  <si>
    <t>Lupuyo</t>
  </si>
  <si>
    <t>J7J0B2</t>
  </si>
  <si>
    <t>1764432</t>
  </si>
  <si>
    <t>Morin, Émi-Ann</t>
  </si>
  <si>
    <t>Émi-Ann</t>
  </si>
  <si>
    <t>J7J1S9</t>
  </si>
  <si>
    <t>450 565-5676</t>
  </si>
  <si>
    <t>1852879</t>
  </si>
  <si>
    <t>Rainville, Catherine</t>
  </si>
  <si>
    <t>Rainville</t>
  </si>
  <si>
    <t>450 601-8887</t>
  </si>
  <si>
    <t>1723747</t>
  </si>
  <si>
    <t>Charbonneau, Providence</t>
  </si>
  <si>
    <t>J7J0S5</t>
  </si>
  <si>
    <t>450 569-0855</t>
  </si>
  <si>
    <t>1755143</t>
  </si>
  <si>
    <t>J7H1G5</t>
  </si>
  <si>
    <t>450 588-7026</t>
  </si>
  <si>
    <t>1851056</t>
  </si>
  <si>
    <t>Remy, Caroline</t>
  </si>
  <si>
    <t>J7J1S3</t>
  </si>
  <si>
    <t>450 565-5754</t>
  </si>
  <si>
    <t>1549651</t>
  </si>
  <si>
    <t>Novosad, Éliane</t>
  </si>
  <si>
    <t>450 592-6069</t>
  </si>
  <si>
    <t>1963155</t>
  </si>
  <si>
    <t>J7E4G9</t>
  </si>
  <si>
    <t>450 602-6967</t>
  </si>
  <si>
    <t>1537351</t>
  </si>
  <si>
    <t>J7H1P3</t>
  </si>
  <si>
    <t>450 569-9604</t>
  </si>
  <si>
    <t>1853374</t>
  </si>
  <si>
    <t>Blanchard, Simon-Karl</t>
  </si>
  <si>
    <t>J7G1J2</t>
  </si>
  <si>
    <t>450 592-6777</t>
  </si>
  <si>
    <t>1976995</t>
  </si>
  <si>
    <t>Moreau-Chouinard, Émile</t>
  </si>
  <si>
    <t>J7J1C8</t>
  </si>
  <si>
    <t>450 566-2068</t>
  </si>
  <si>
    <t>1867492</t>
  </si>
  <si>
    <t>J7G2Z5</t>
  </si>
  <si>
    <t>450 592-2241</t>
  </si>
  <si>
    <t>0754975</t>
  </si>
  <si>
    <t>Doré, Maxim</t>
  </si>
  <si>
    <t>J7G2G6</t>
  </si>
  <si>
    <t>450 592-3477</t>
  </si>
  <si>
    <t>1593092</t>
  </si>
  <si>
    <t>Senécal, Arianne</t>
  </si>
  <si>
    <t>Senécal</t>
  </si>
  <si>
    <t>J7G3A5</t>
  </si>
  <si>
    <t>450 592-1990</t>
  </si>
  <si>
    <t>1733223</t>
  </si>
  <si>
    <t>Mitrovic, Emilie</t>
  </si>
  <si>
    <t>Mitrovic</t>
  </si>
  <si>
    <t>Desnoyers Corbeil</t>
  </si>
  <si>
    <t>J7E5E2</t>
  </si>
  <si>
    <t>450 602-1792</t>
  </si>
  <si>
    <t>1821803</t>
  </si>
  <si>
    <t>Croteau, Nathan</t>
  </si>
  <si>
    <t>J7G3G1</t>
  </si>
  <si>
    <t>450 592-1560</t>
  </si>
  <si>
    <t>1838633</t>
  </si>
  <si>
    <t>J7J0H7</t>
  </si>
  <si>
    <t>450 569-4992</t>
  </si>
  <si>
    <t>1850776</t>
  </si>
  <si>
    <t>Allen, Yvette</t>
  </si>
  <si>
    <t>450 569-5241</t>
  </si>
  <si>
    <t>1381258</t>
  </si>
  <si>
    <t>Bonami, Selianise Mania</t>
  </si>
  <si>
    <t>Bonami</t>
  </si>
  <si>
    <t>J7E5T7</t>
  </si>
  <si>
    <t>450 597-0833</t>
  </si>
  <si>
    <t>0539817</t>
  </si>
  <si>
    <t>450 569-0042</t>
  </si>
  <si>
    <t>1660734</t>
  </si>
  <si>
    <t>J7E5N3</t>
  </si>
  <si>
    <t>450 602-0215</t>
  </si>
  <si>
    <t>1975037</t>
  </si>
  <si>
    <t>Ritchie, Camille</t>
  </si>
  <si>
    <t>Ritchie</t>
  </si>
  <si>
    <t>Cabana</t>
  </si>
  <si>
    <t>J7E4X4</t>
  </si>
  <si>
    <t>450 602-4451</t>
  </si>
  <si>
    <t>1905044</t>
  </si>
  <si>
    <t>Duquette, Maryllis</t>
  </si>
  <si>
    <t>Jana</t>
  </si>
  <si>
    <t>J7J1M6</t>
  </si>
  <si>
    <t>450 565-7709</t>
  </si>
  <si>
    <t>1969202</t>
  </si>
  <si>
    <t>Poissant, Charles</t>
  </si>
  <si>
    <t>J7G3C3</t>
  </si>
  <si>
    <t>450 592-1730</t>
  </si>
  <si>
    <t>1537153</t>
  </si>
  <si>
    <t>Dessureault Raymond, Méane</t>
  </si>
  <si>
    <t>1863798</t>
  </si>
  <si>
    <t>Gariépy-Bill, Maèva</t>
  </si>
  <si>
    <t>J7H1M3</t>
  </si>
  <si>
    <t>450 581-8183</t>
  </si>
  <si>
    <t>1842581</t>
  </si>
  <si>
    <t>Martin, Faye</t>
  </si>
  <si>
    <t>Faye</t>
  </si>
  <si>
    <t>J7J1H3</t>
  </si>
  <si>
    <t>1552996</t>
  </si>
  <si>
    <t>Piché, Christopher</t>
  </si>
  <si>
    <t>Jessica Ann</t>
  </si>
  <si>
    <t>J7E4M2</t>
  </si>
  <si>
    <t>450 602-6433</t>
  </si>
  <si>
    <t>1652473</t>
  </si>
  <si>
    <t>J7H1P6</t>
  </si>
  <si>
    <t>450 569-9471</t>
  </si>
  <si>
    <t>1946680</t>
  </si>
  <si>
    <t>J7J0S3</t>
  </si>
  <si>
    <t>450 569-0865</t>
  </si>
  <si>
    <t>1784008</t>
  </si>
  <si>
    <t>J7G3K3</t>
  </si>
  <si>
    <t>450 592-0814</t>
  </si>
  <si>
    <t>1860389</t>
  </si>
  <si>
    <t>Pinau, Chelsea Yunuet</t>
  </si>
  <si>
    <t>Chelsea Yunuet</t>
  </si>
  <si>
    <t>450 565-1635</t>
  </si>
  <si>
    <t>1665839</t>
  </si>
  <si>
    <t>J7E3N9</t>
  </si>
  <si>
    <t>450 602-9814</t>
  </si>
  <si>
    <t>1841254</t>
  </si>
  <si>
    <t>Fex-Jacob, Marie-Pier</t>
  </si>
  <si>
    <t>450 565-9979</t>
  </si>
  <si>
    <t>1634065</t>
  </si>
  <si>
    <t>J7G1R6</t>
  </si>
  <si>
    <t>1937649</t>
  </si>
  <si>
    <t>450 602-7465</t>
  </si>
  <si>
    <t>1850155</t>
  </si>
  <si>
    <t>450 565-1833</t>
  </si>
  <si>
    <t>1976153</t>
  </si>
  <si>
    <t>Paquet, Davens</t>
  </si>
  <si>
    <t>Davens</t>
  </si>
  <si>
    <t>Jairo Armando</t>
  </si>
  <si>
    <t>J7J1P3</t>
  </si>
  <si>
    <t>450 565-6800</t>
  </si>
  <si>
    <t>1960433</t>
  </si>
  <si>
    <t>Guénette, Laurent-Philippe</t>
  </si>
  <si>
    <t>J7J1V8</t>
  </si>
  <si>
    <t>450 565-3550</t>
  </si>
  <si>
    <t>1721695</t>
  </si>
  <si>
    <t>Lapointe, Jérémy</t>
  </si>
  <si>
    <t>450 565-8808</t>
  </si>
  <si>
    <t>1923674</t>
  </si>
  <si>
    <t>Turmel, Alexis</t>
  </si>
  <si>
    <t>Turmel</t>
  </si>
  <si>
    <t>Baïa</t>
  </si>
  <si>
    <t>J7E4C2</t>
  </si>
  <si>
    <t>450 602-7325</t>
  </si>
  <si>
    <t>1355985</t>
  </si>
  <si>
    <t>Jaevee</t>
  </si>
  <si>
    <t>450 565-6770</t>
  </si>
  <si>
    <t>1761928</t>
  </si>
  <si>
    <t>De Sève, Michel</t>
  </si>
  <si>
    <t>De Sève</t>
  </si>
  <si>
    <t>Nydegger-Ducharme</t>
  </si>
  <si>
    <t>450 565-7299</t>
  </si>
  <si>
    <t>1446396</t>
  </si>
  <si>
    <t>450 602-4155</t>
  </si>
  <si>
    <t>1880757</t>
  </si>
  <si>
    <t>J7G1L7</t>
  </si>
  <si>
    <t>450 592-5229</t>
  </si>
  <si>
    <t>1724266</t>
  </si>
  <si>
    <t>Vosburg-Houle, Alex</t>
  </si>
  <si>
    <t>Alectus</t>
  </si>
  <si>
    <t>Jayden</t>
  </si>
  <si>
    <t>450 565-9981</t>
  </si>
  <si>
    <t>1562133</t>
  </si>
  <si>
    <t>J7J1L4</t>
  </si>
  <si>
    <t>450 565-8148</t>
  </si>
  <si>
    <t>1655437</t>
  </si>
  <si>
    <t>Abidi, Zoé</t>
  </si>
  <si>
    <t>Abidi</t>
  </si>
  <si>
    <t>Zavarreza</t>
  </si>
  <si>
    <t>J7J1T2</t>
  </si>
  <si>
    <t>450 565-5666</t>
  </si>
  <si>
    <t>1637856</t>
  </si>
  <si>
    <t>J7E4V6</t>
  </si>
  <si>
    <t>450 602-4575</t>
  </si>
  <si>
    <t>1821252</t>
  </si>
  <si>
    <t>J7J1X8</t>
  </si>
  <si>
    <t>450 565-1454</t>
  </si>
  <si>
    <t>0754038</t>
  </si>
  <si>
    <t>450 565-2744</t>
  </si>
  <si>
    <t>1859419</t>
  </si>
  <si>
    <t>450 602-6909</t>
  </si>
  <si>
    <t>1949898</t>
  </si>
  <si>
    <t>Joron, Kassandra</t>
  </si>
  <si>
    <t>Joron</t>
  </si>
  <si>
    <t>1879915</t>
  </si>
  <si>
    <t>Dupuy, Marylou</t>
  </si>
  <si>
    <t>Dupuy</t>
  </si>
  <si>
    <t>J7J1V3</t>
  </si>
  <si>
    <t>450 565-3984</t>
  </si>
  <si>
    <t>1718214</t>
  </si>
  <si>
    <t>450 602-5742</t>
  </si>
  <si>
    <t>1349578</t>
  </si>
  <si>
    <t>Labelle-Beaulieu, Juliette</t>
  </si>
  <si>
    <t>J7J1K1</t>
  </si>
  <si>
    <t>450 565-9063</t>
  </si>
  <si>
    <t>1954807</t>
  </si>
  <si>
    <t>Boissonneault-Goessens, Shawn</t>
  </si>
  <si>
    <t>J7J0S9</t>
  </si>
  <si>
    <t>450 569-0645</t>
  </si>
  <si>
    <t>1152711</t>
  </si>
  <si>
    <t>J7G2V2</t>
  </si>
  <si>
    <t>450 592-2829</t>
  </si>
  <si>
    <t>1728528</t>
  </si>
  <si>
    <t>450 565-4373</t>
  </si>
  <si>
    <t>1645031</t>
  </si>
  <si>
    <t>Laverdure, Jean-Christophe</t>
  </si>
  <si>
    <t>Laverdure</t>
  </si>
  <si>
    <t>450 569-1761</t>
  </si>
  <si>
    <t>1967177</t>
  </si>
  <si>
    <t>Lefebvre, Inessa</t>
  </si>
  <si>
    <t>Inessa</t>
  </si>
  <si>
    <t>J7J0E2</t>
  </si>
  <si>
    <t>450 569-7304</t>
  </si>
  <si>
    <t>1523154</t>
  </si>
  <si>
    <t>Nault, Élizabeth</t>
  </si>
  <si>
    <t>Nault</t>
  </si>
  <si>
    <t>450 565-3581</t>
  </si>
  <si>
    <t>1842774</t>
  </si>
  <si>
    <t>Umana, Alexina</t>
  </si>
  <si>
    <t>Alexina</t>
  </si>
  <si>
    <t>Badal</t>
  </si>
  <si>
    <t>J7E4H5</t>
  </si>
  <si>
    <t>450 602-6511</t>
  </si>
  <si>
    <t>1548827</t>
  </si>
  <si>
    <t>Gagnon-Montreuil, Manolo</t>
  </si>
  <si>
    <t>Janick</t>
  </si>
  <si>
    <t>J7J1L9</t>
  </si>
  <si>
    <t>450 565-8085</t>
  </si>
  <si>
    <t>1557149</t>
  </si>
  <si>
    <t>J7G1X9</t>
  </si>
  <si>
    <t>450 592-3613</t>
  </si>
  <si>
    <t>1337824</t>
  </si>
  <si>
    <t>Ouimet, Domenic</t>
  </si>
  <si>
    <t>Domenic</t>
  </si>
  <si>
    <t>450 569-4912</t>
  </si>
  <si>
    <t>1823108</t>
  </si>
  <si>
    <t>J7E5M5</t>
  </si>
  <si>
    <t>450 602-0455</t>
  </si>
  <si>
    <t>1977150</t>
  </si>
  <si>
    <t>J7J1J8</t>
  </si>
  <si>
    <t>450 565-9196</t>
  </si>
  <si>
    <t>1539348</t>
  </si>
  <si>
    <t>Paquette, Daryane</t>
  </si>
  <si>
    <t>Daryane</t>
  </si>
  <si>
    <t>J7H1L7</t>
  </si>
  <si>
    <t>450 588-0059</t>
  </si>
  <si>
    <t>1967872</t>
  </si>
  <si>
    <t>Couillard De Beaumont, Nicolas</t>
  </si>
  <si>
    <t>Couillard De Beaumont</t>
  </si>
  <si>
    <t>J7E5C7</t>
  </si>
  <si>
    <t>450 602-2008</t>
  </si>
  <si>
    <t>0645961</t>
  </si>
  <si>
    <t>Vincze, Alex</t>
  </si>
  <si>
    <t>Vincze</t>
  </si>
  <si>
    <t>1969935</t>
  </si>
  <si>
    <t>J7G2Z2</t>
  </si>
  <si>
    <t>1862280</t>
  </si>
  <si>
    <t>Boivin, Shanen</t>
  </si>
  <si>
    <t>J7J1W9</t>
  </si>
  <si>
    <t>450 565-2807</t>
  </si>
  <si>
    <t>1752710</t>
  </si>
  <si>
    <t>Bachelili, William</t>
  </si>
  <si>
    <t>450 565-3180</t>
  </si>
  <si>
    <t>0345221</t>
  </si>
  <si>
    <t>450 565-2528</t>
  </si>
  <si>
    <t>1225606</t>
  </si>
  <si>
    <t>Marchica, Félix-Antoine</t>
  </si>
  <si>
    <t>Marchica</t>
  </si>
  <si>
    <t>J7G2N5</t>
  </si>
  <si>
    <t>450 592-3004</t>
  </si>
  <si>
    <t>1750182</t>
  </si>
  <si>
    <t>Marchante-Escobedo, Flavie</t>
  </si>
  <si>
    <t>Flavie</t>
  </si>
  <si>
    <t>Jalexina</t>
  </si>
  <si>
    <t>J7J1N1</t>
  </si>
  <si>
    <t>450 565-7248</t>
  </si>
  <si>
    <t>1848564</t>
  </si>
  <si>
    <t>Deslauriers-Juteau</t>
  </si>
  <si>
    <t>450 565-8017</t>
  </si>
  <si>
    <t>1930005</t>
  </si>
  <si>
    <t>J7G2Y7</t>
  </si>
  <si>
    <t>450 592-2626</t>
  </si>
  <si>
    <t>1982420</t>
  </si>
  <si>
    <t>Repeta, Carol-Ann</t>
  </si>
  <si>
    <t>J7J0L8</t>
  </si>
  <si>
    <t>450 569-2225</t>
  </si>
  <si>
    <t>1481983</t>
  </si>
  <si>
    <t>Ladouceur Morris, Josianne</t>
  </si>
  <si>
    <t>J7E4V3</t>
  </si>
  <si>
    <t>450 602-4963</t>
  </si>
  <si>
    <t>1824675</t>
  </si>
  <si>
    <t>Thompson, Amélie</t>
  </si>
  <si>
    <t>Thompson</t>
  </si>
  <si>
    <t>450 569-1836</t>
  </si>
  <si>
    <t>1722701</t>
  </si>
  <si>
    <t>J7E4M9</t>
  </si>
  <si>
    <t>450 602-6139</t>
  </si>
  <si>
    <t>9370695</t>
  </si>
  <si>
    <t>J7J1J4</t>
  </si>
  <si>
    <t>450 565-9432</t>
  </si>
  <si>
    <t>1647124</t>
  </si>
  <si>
    <t>J7J1R9</t>
  </si>
  <si>
    <t>450 565-5803</t>
  </si>
  <si>
    <t>1927808</t>
  </si>
  <si>
    <t>J7J1J1</t>
  </si>
  <si>
    <t>450 565-9762</t>
  </si>
  <si>
    <t>1758438</t>
  </si>
  <si>
    <t>J7J0G9</t>
  </si>
  <si>
    <t>450 569-6364</t>
  </si>
  <si>
    <t>1838626</t>
  </si>
  <si>
    <t>Salou</t>
  </si>
  <si>
    <t>J7E4B3</t>
  </si>
  <si>
    <t>450 602-7367</t>
  </si>
  <si>
    <t>1945555</t>
  </si>
  <si>
    <t>450 565-9160</t>
  </si>
  <si>
    <t>1840331</t>
  </si>
  <si>
    <t>Juneau, Karolane</t>
  </si>
  <si>
    <t>L. Hogue</t>
  </si>
  <si>
    <t>SAINT-CLET</t>
  </si>
  <si>
    <t>Saint-Clet</t>
  </si>
  <si>
    <t>J7J1Z1</t>
  </si>
  <si>
    <t>450 565-1207</t>
  </si>
  <si>
    <t>1850166</t>
  </si>
  <si>
    <t>SAINT-CHARLES-BORROMÉE</t>
  </si>
  <si>
    <t>Saint-Charles-Borromée</t>
  </si>
  <si>
    <t>J7J1Z3</t>
  </si>
  <si>
    <t>450 565-1123</t>
  </si>
  <si>
    <t>1950327</t>
  </si>
  <si>
    <t>J7J2B4</t>
  </si>
  <si>
    <t>450 565-0713</t>
  </si>
  <si>
    <t>1349151</t>
  </si>
  <si>
    <t>Henri-Lachapelle, Korie</t>
  </si>
  <si>
    <t>J7J2A9</t>
  </si>
  <si>
    <t>450 565-0813</t>
  </si>
  <si>
    <t>1326982</t>
  </si>
  <si>
    <t>J7J2C3</t>
  </si>
  <si>
    <t>450 565-0585</t>
  </si>
  <si>
    <t>1970234</t>
  </si>
  <si>
    <t>J7J1Z8</t>
  </si>
  <si>
    <t>450 565-1051</t>
  </si>
  <si>
    <t>1826431</t>
  </si>
  <si>
    <t>Tardif, Annabel</t>
  </si>
  <si>
    <t>SAINT-CALIXTE</t>
  </si>
  <si>
    <t>Saint-Calixte</t>
  </si>
  <si>
    <t>J7J2C7</t>
  </si>
  <si>
    <t>450 565-0292</t>
  </si>
  <si>
    <t>1977056</t>
  </si>
  <si>
    <t>De Pierre, Michelle</t>
  </si>
  <si>
    <t>De Pierre</t>
  </si>
  <si>
    <t>Nyssen</t>
  </si>
  <si>
    <t>J7J2K6</t>
  </si>
  <si>
    <t>450 563-3288</t>
  </si>
  <si>
    <t>1518624</t>
  </si>
  <si>
    <t>Mantha, Florence</t>
  </si>
  <si>
    <t>Duval</t>
  </si>
  <si>
    <t>J7J2K5</t>
  </si>
  <si>
    <t>450 563-3980</t>
  </si>
  <si>
    <t>1502404</t>
  </si>
  <si>
    <t>Houdier, Kim</t>
  </si>
  <si>
    <t>Houdier</t>
  </si>
  <si>
    <t>450 563-3879</t>
  </si>
  <si>
    <t>1962760</t>
  </si>
  <si>
    <t>Thibault-Gougeon, Amélie</t>
  </si>
  <si>
    <t>Thibault-Gougeon</t>
  </si>
  <si>
    <t>Bedel</t>
  </si>
  <si>
    <t>J7J2J6</t>
  </si>
  <si>
    <t>450 563-4666</t>
  </si>
  <si>
    <t>1840265</t>
  </si>
  <si>
    <t>450 565-0414</t>
  </si>
  <si>
    <t>1951348</t>
  </si>
  <si>
    <t>J7J2H5</t>
  </si>
  <si>
    <t>450 563-5356</t>
  </si>
  <si>
    <t>1957468</t>
  </si>
  <si>
    <t>Girardin, Lee-Ann</t>
  </si>
  <si>
    <t>Girardin</t>
  </si>
  <si>
    <t>Ismaël</t>
  </si>
  <si>
    <t>J7J2J8</t>
  </si>
  <si>
    <t>450 563-4195</t>
  </si>
  <si>
    <t>1457093</t>
  </si>
  <si>
    <t>Fortier, Marie-Claude</t>
  </si>
  <si>
    <t>J7J2L8</t>
  </si>
  <si>
    <t>450 562-9662</t>
  </si>
  <si>
    <t>1840439</t>
  </si>
  <si>
    <t>Champoux, Raffaël</t>
  </si>
  <si>
    <t>450 562-9809</t>
  </si>
  <si>
    <t>1576997</t>
  </si>
  <si>
    <t>J7J2L4</t>
  </si>
  <si>
    <t>450 563-1215</t>
  </si>
  <si>
    <t>1965235</t>
  </si>
  <si>
    <t>Descôteaux, Mélanie</t>
  </si>
  <si>
    <t>Descôteaux</t>
  </si>
  <si>
    <t>450 565-0495</t>
  </si>
  <si>
    <t>1940511</t>
  </si>
  <si>
    <t>J7J2M6</t>
  </si>
  <si>
    <t>450 562-7750</t>
  </si>
  <si>
    <t>1929173</t>
  </si>
  <si>
    <t>J7J2J2</t>
  </si>
  <si>
    <t>450 563-4770</t>
  </si>
  <si>
    <t>1969954</t>
  </si>
  <si>
    <t>Matucha, Étienne</t>
  </si>
  <si>
    <t>Jacky</t>
  </si>
  <si>
    <t>J7J2H4</t>
  </si>
  <si>
    <t>450 565-0057</t>
  </si>
  <si>
    <t>1960733</t>
  </si>
  <si>
    <t>Alain, Zackary</t>
  </si>
  <si>
    <t>450 565-0136</t>
  </si>
  <si>
    <t>1938284</t>
  </si>
  <si>
    <t>Bhandal, Stéphanie</t>
  </si>
  <si>
    <t>Bhandal</t>
  </si>
  <si>
    <t>J7J2K9</t>
  </si>
  <si>
    <t>450 563-2991</t>
  </si>
  <si>
    <t>1780335</t>
  </si>
  <si>
    <t>Dupras, Mathieu</t>
  </si>
  <si>
    <t>J7J2L2</t>
  </si>
  <si>
    <t>450 563-1519</t>
  </si>
  <si>
    <t>1732781</t>
  </si>
  <si>
    <t>J7J2E9</t>
  </si>
  <si>
    <t>450 565-0176</t>
  </si>
  <si>
    <t>1352453</t>
  </si>
  <si>
    <t>Hamady Alkhayyat</t>
  </si>
  <si>
    <t>J7J2M7</t>
  </si>
  <si>
    <t>450 562-7377</t>
  </si>
  <si>
    <t>1963393</t>
  </si>
  <si>
    <t>Belley-Bresse, Thomas</t>
  </si>
  <si>
    <t>450 563-3956</t>
  </si>
  <si>
    <t>1836578</t>
  </si>
  <si>
    <t>450 565-0096</t>
  </si>
  <si>
    <t>1980669</t>
  </si>
  <si>
    <t>Diop, Maxime</t>
  </si>
  <si>
    <t>J7J2L1</t>
  </si>
  <si>
    <t>450 563-2982</t>
  </si>
  <si>
    <t>1723374</t>
  </si>
  <si>
    <t>Sadouk, Audrey</t>
  </si>
  <si>
    <t>Sadouk</t>
  </si>
  <si>
    <t>Bourdel</t>
  </si>
  <si>
    <t>Issam</t>
  </si>
  <si>
    <t>450 563-4327</t>
  </si>
  <si>
    <t>1732704</t>
  </si>
  <si>
    <t>450 562-7597</t>
  </si>
  <si>
    <t>1931767</t>
  </si>
  <si>
    <t>450 563-1974</t>
  </si>
  <si>
    <t>1749861</t>
  </si>
  <si>
    <t>Brien, Samuel</t>
  </si>
  <si>
    <t>Brien</t>
  </si>
  <si>
    <t>SAINT-BONIFACE</t>
  </si>
  <si>
    <t>Saint-Boniface</t>
  </si>
  <si>
    <t>J7J2M8</t>
  </si>
  <si>
    <t>450 562-7332</t>
  </si>
  <si>
    <t>1837576</t>
  </si>
  <si>
    <t>Bisson, Sophonie</t>
  </si>
  <si>
    <t>SAINT-AUGUSTIN-DE-DESMAURES</t>
  </si>
  <si>
    <t>Saint-Augustin-de-Desmaures</t>
  </si>
  <si>
    <t>450 562-7308</t>
  </si>
  <si>
    <t>1837582</t>
  </si>
  <si>
    <t>Iness</t>
  </si>
  <si>
    <t>SAINT-ANDRÉ-D'ARGENTEUIL</t>
  </si>
  <si>
    <t>Saint-André-d'Argenteuil</t>
  </si>
  <si>
    <t>J7J2N5</t>
  </si>
  <si>
    <t>450 562-5531</t>
  </si>
  <si>
    <t>1434605</t>
  </si>
  <si>
    <t>Ilialie</t>
  </si>
  <si>
    <t>J7J2P3</t>
  </si>
  <si>
    <t>450 562-4404</t>
  </si>
  <si>
    <t>300.13</t>
  </si>
  <si>
    <t>1324514</t>
  </si>
  <si>
    <t>Éthier, Marilou</t>
  </si>
  <si>
    <t>India</t>
  </si>
  <si>
    <t>J7J2N9</t>
  </si>
  <si>
    <t>450 562-5128</t>
  </si>
  <si>
    <t>1903575</t>
  </si>
  <si>
    <t>Closter, Olivier</t>
  </si>
  <si>
    <t>450 562-5341</t>
  </si>
  <si>
    <t>1672057</t>
  </si>
  <si>
    <t>Perron-Charron, Claudia</t>
  </si>
  <si>
    <t>Ilyas</t>
  </si>
  <si>
    <t>J7J2P1</t>
  </si>
  <si>
    <t>450 562-4754</t>
  </si>
  <si>
    <t>1852152</t>
  </si>
  <si>
    <t>Pelletier, Crystal</t>
  </si>
  <si>
    <t>Crystal</t>
  </si>
  <si>
    <t>J7J2P6</t>
  </si>
  <si>
    <t>450 562-4157</t>
  </si>
  <si>
    <t>1050888</t>
  </si>
  <si>
    <t>Roy-Dupuis, Audrey-Anne</t>
  </si>
  <si>
    <t>Roy-Dupuis</t>
  </si>
  <si>
    <t>Bourque-Cloutier</t>
  </si>
  <si>
    <t>J7J2R2</t>
  </si>
  <si>
    <t>450 562-3633</t>
  </si>
  <si>
    <t>1964136</t>
  </si>
  <si>
    <t>Williams, Agathe</t>
  </si>
  <si>
    <t>Agathe</t>
  </si>
  <si>
    <t>Inès</t>
  </si>
  <si>
    <t>450 562-5418</t>
  </si>
  <si>
    <t>1827949</t>
  </si>
  <si>
    <t>Gingras, Ligia Stefany</t>
  </si>
  <si>
    <t>450 562-4382</t>
  </si>
  <si>
    <t>1872437</t>
  </si>
  <si>
    <t>Galipeau, Malcolm Junior</t>
  </si>
  <si>
    <t>J7J2N4</t>
  </si>
  <si>
    <t>450 562-5919</t>
  </si>
  <si>
    <t>1954028</t>
  </si>
  <si>
    <t>450 562-4643</t>
  </si>
  <si>
    <t>1563954</t>
  </si>
  <si>
    <t>Hernandez, Koralie</t>
  </si>
  <si>
    <t>J7J2P9</t>
  </si>
  <si>
    <t>450 562-3653</t>
  </si>
  <si>
    <t>1807413</t>
  </si>
  <si>
    <t>SAINT-ANDRÉ-AVELLIN</t>
  </si>
  <si>
    <t>Saint-André-Avellin</t>
  </si>
  <si>
    <t>J7J2R8</t>
  </si>
  <si>
    <t>450 562-1742</t>
  </si>
  <si>
    <t>9638776</t>
  </si>
  <si>
    <t>J7J2R5</t>
  </si>
  <si>
    <t>450 562-2151</t>
  </si>
  <si>
    <t>9833614</t>
  </si>
  <si>
    <t>Gallant, Maïté</t>
  </si>
  <si>
    <t>Gallant</t>
  </si>
  <si>
    <t>SAINT-ALPHONSE-RODRIGUEZ</t>
  </si>
  <si>
    <t>Saint-Alphonse-Rodriguez</t>
  </si>
  <si>
    <t>450 562-1305</t>
  </si>
  <si>
    <t>9245023</t>
  </si>
  <si>
    <t>SAINT-ALEXIS</t>
  </si>
  <si>
    <t>Saint-Alexis</t>
  </si>
  <si>
    <t>J7K0B1</t>
  </si>
  <si>
    <t>1931169</t>
  </si>
  <si>
    <t>Gauthier-Bélanger</t>
  </si>
  <si>
    <t>SAINT-AIMÉ-DU-LAC-DES-ÎLES</t>
  </si>
  <si>
    <t>Saint-Aimé-du-Lac-des-Îles</t>
  </si>
  <si>
    <t>J7K0C3</t>
  </si>
  <si>
    <t>450 562-0842</t>
  </si>
  <si>
    <t>1834478</t>
  </si>
  <si>
    <t>Razouk, Carolyne</t>
  </si>
  <si>
    <t>Carolyne</t>
  </si>
  <si>
    <t>J7K0B3</t>
  </si>
  <si>
    <t>450 562-1173</t>
  </si>
  <si>
    <t>1647783</t>
  </si>
  <si>
    <t>SAINT-ADOLPHE-D'HOWARD</t>
  </si>
  <si>
    <t>Saint-Adolphe-d'Howard</t>
  </si>
  <si>
    <t>J7K3C2</t>
  </si>
  <si>
    <t>450 560-8135</t>
  </si>
  <si>
    <t>1955586</t>
  </si>
  <si>
    <t>Honey-Lee</t>
  </si>
  <si>
    <t>J7K1J7</t>
  </si>
  <si>
    <t>450 560-9749</t>
  </si>
  <si>
    <t>1875830</t>
  </si>
  <si>
    <t>Martel, Felipe</t>
  </si>
  <si>
    <t>Felipe</t>
  </si>
  <si>
    <t>J7K0E2</t>
  </si>
  <si>
    <t>450 562-0744</t>
  </si>
  <si>
    <t>1569417</t>
  </si>
  <si>
    <t>Legault, Honey-Lee</t>
  </si>
  <si>
    <t>J7K2K6</t>
  </si>
  <si>
    <t>450 560-9120</t>
  </si>
  <si>
    <t>1577931</t>
  </si>
  <si>
    <t>Nantel, Élliot</t>
  </si>
  <si>
    <t>Élliot</t>
  </si>
  <si>
    <t>Denié</t>
  </si>
  <si>
    <t>J7K0M6</t>
  </si>
  <si>
    <t>450 562-0321</t>
  </si>
  <si>
    <t>1226608</t>
  </si>
  <si>
    <t>Corbeil, Nolann</t>
  </si>
  <si>
    <t>Houda</t>
  </si>
  <si>
    <t>J7K0T2</t>
  </si>
  <si>
    <t>450 560-9775</t>
  </si>
  <si>
    <t>1751027</t>
  </si>
  <si>
    <t>Desautels, Melissa</t>
  </si>
  <si>
    <t>Hilda</t>
  </si>
  <si>
    <t>J7K2H2</t>
  </si>
  <si>
    <t>450 560-9391</t>
  </si>
  <si>
    <t>1424778</t>
  </si>
  <si>
    <t>Hamilton, Lauralee</t>
  </si>
  <si>
    <t>450 560-9708</t>
  </si>
  <si>
    <t>1659639</t>
  </si>
  <si>
    <t>J7K2L6</t>
  </si>
  <si>
    <t>450 560-9059</t>
  </si>
  <si>
    <t>1926722</t>
  </si>
  <si>
    <t>J7K0W1</t>
  </si>
  <si>
    <t>450 560-9757</t>
  </si>
  <si>
    <t>1532847</t>
  </si>
  <si>
    <t>Bourdel, Sarah</t>
  </si>
  <si>
    <t>J7K2V8</t>
  </si>
  <si>
    <t>450 560-8830</t>
  </si>
  <si>
    <t>1340234</t>
  </si>
  <si>
    <t>J7K2N5</t>
  </si>
  <si>
    <t>1893978</t>
  </si>
  <si>
    <t>J7K0G8</t>
  </si>
  <si>
    <t>450 562-0463</t>
  </si>
  <si>
    <t>1950376</t>
  </si>
  <si>
    <t>McLaughlin, Esperance Bujiriri</t>
  </si>
  <si>
    <t>McLaughlin</t>
  </si>
  <si>
    <t>Esperance Bujiriri</t>
  </si>
  <si>
    <t>Drapeau-Prégent</t>
  </si>
  <si>
    <t>SAGUENAY</t>
  </si>
  <si>
    <t>Saguenay</t>
  </si>
  <si>
    <t>J7K3V6</t>
  </si>
  <si>
    <t>450 560-4954</t>
  </si>
  <si>
    <t>1937609</t>
  </si>
  <si>
    <t>Lanctôt, Jessica Ann</t>
  </si>
  <si>
    <t>Lanctôt</t>
  </si>
  <si>
    <t>ROUYN-NORANDA</t>
  </si>
  <si>
    <t>Rouyn-Noranda</t>
  </si>
  <si>
    <t>J7L1C1</t>
  </si>
  <si>
    <t>450 560-4913</t>
  </si>
  <si>
    <t>1959823</t>
  </si>
  <si>
    <t>J7K3X9</t>
  </si>
  <si>
    <t>1731392</t>
  </si>
  <si>
    <t>Bourcier, Sarah</t>
  </si>
  <si>
    <t>ROSEMÈRE</t>
  </si>
  <si>
    <t>Rosemère</t>
  </si>
  <si>
    <t>J7M1J2</t>
  </si>
  <si>
    <t>450 553-3057</t>
  </si>
  <si>
    <t>1827225</t>
  </si>
  <si>
    <t>Rochefort, Blanche</t>
  </si>
  <si>
    <t>Blanche</t>
  </si>
  <si>
    <t>Brulé</t>
  </si>
  <si>
    <t>J7M1C6</t>
  </si>
  <si>
    <t>450 559-2883</t>
  </si>
  <si>
    <t>1864836</t>
  </si>
  <si>
    <t>Paul, Cynthia</t>
  </si>
  <si>
    <t>J7M1A3</t>
  </si>
  <si>
    <t>450 560-1224</t>
  </si>
  <si>
    <t>1927227</t>
  </si>
  <si>
    <t>J7L1K9</t>
  </si>
  <si>
    <t>450 560-3952</t>
  </si>
  <si>
    <t>1862898</t>
  </si>
  <si>
    <t>Fauteux-Gascon</t>
  </si>
  <si>
    <t>J7L2K7</t>
  </si>
  <si>
    <t>450 560-2409</t>
  </si>
  <si>
    <t>1327411</t>
  </si>
  <si>
    <t>Messier, Emma-Lou</t>
  </si>
  <si>
    <t>Emma-Lou</t>
  </si>
  <si>
    <t>J7M1E7</t>
  </si>
  <si>
    <t>450 553-3674</t>
  </si>
  <si>
    <t>1954413</t>
  </si>
  <si>
    <t>Grégoire, Laurie</t>
  </si>
  <si>
    <t>Grégoire</t>
  </si>
  <si>
    <t>J7M1C2</t>
  </si>
  <si>
    <t>450 559-5665</t>
  </si>
  <si>
    <t>1927373</t>
  </si>
  <si>
    <t>Mathurin Gauthier, Ève</t>
  </si>
  <si>
    <t>Duchaîne-Tourigny</t>
  </si>
  <si>
    <t>J7M1E9</t>
  </si>
  <si>
    <t>450 553-3430</t>
  </si>
  <si>
    <t>1658784</t>
  </si>
  <si>
    <t>Tardif, Ani-Pier</t>
  </si>
  <si>
    <t>Ani-Pier</t>
  </si>
  <si>
    <t>J7L1N5</t>
  </si>
  <si>
    <t>450 560-2806</t>
  </si>
  <si>
    <t>1857755</t>
  </si>
  <si>
    <t>Hally</t>
  </si>
  <si>
    <t>J7L2L9</t>
  </si>
  <si>
    <t>450 560-2347</t>
  </si>
  <si>
    <t>1961325</t>
  </si>
  <si>
    <t>Gaudette, Lyndsey</t>
  </si>
  <si>
    <t>Gaudette</t>
  </si>
  <si>
    <t>L'Écuyer</t>
  </si>
  <si>
    <t>Guy</t>
  </si>
  <si>
    <t>J7M0H8</t>
  </si>
  <si>
    <t>450 560-1495</t>
  </si>
  <si>
    <t>0943201</t>
  </si>
  <si>
    <t>Capaz, Roxanne</t>
  </si>
  <si>
    <t>Hanane</t>
  </si>
  <si>
    <t>J7L2L1</t>
  </si>
  <si>
    <t>450 560-2350</t>
  </si>
  <si>
    <t>1666626</t>
  </si>
  <si>
    <t>J7M1B2</t>
  </si>
  <si>
    <t>450 560-0512</t>
  </si>
  <si>
    <t>1728456</t>
  </si>
  <si>
    <t>Juteau, Karolan</t>
  </si>
  <si>
    <t>Koslosky</t>
  </si>
  <si>
    <t>J7L4C1</t>
  </si>
  <si>
    <t>450 560-1830</t>
  </si>
  <si>
    <t>1759970</t>
  </si>
  <si>
    <t>J7M1C9</t>
  </si>
  <si>
    <t>450 553-6006</t>
  </si>
  <si>
    <t>1875222</t>
  </si>
  <si>
    <t>Laneuville, Jessica</t>
  </si>
  <si>
    <t>J7M0J7</t>
  </si>
  <si>
    <t>450 560-1293</t>
  </si>
  <si>
    <t>1940644</t>
  </si>
  <si>
    <t>J7M1E6</t>
  </si>
  <si>
    <t>450 553-3779</t>
  </si>
  <si>
    <t>1863003</t>
  </si>
  <si>
    <t>Haowen</t>
  </si>
  <si>
    <t>J7L1P4</t>
  </si>
  <si>
    <t>450 560-2652</t>
  </si>
  <si>
    <t>1476014</t>
  </si>
  <si>
    <t>J7M1A9</t>
  </si>
  <si>
    <t>450 560-1195</t>
  </si>
  <si>
    <t>1022218</t>
  </si>
  <si>
    <t>Lévis, Gabrielle</t>
  </si>
  <si>
    <t>Lévis</t>
  </si>
  <si>
    <t>J7M1E4</t>
  </si>
  <si>
    <t>1842700</t>
  </si>
  <si>
    <t>J7L2P6</t>
  </si>
  <si>
    <t>450 560-2338</t>
  </si>
  <si>
    <t>1853301</t>
  </si>
  <si>
    <t>J7L3C6</t>
  </si>
  <si>
    <t>450 560-2083</t>
  </si>
  <si>
    <t>1959522</t>
  </si>
  <si>
    <t>Toussaint, Amauri</t>
  </si>
  <si>
    <t>Toussaint</t>
  </si>
  <si>
    <t>Amauri</t>
  </si>
  <si>
    <t>RIVIÈRE-ROUGE</t>
  </si>
  <si>
    <t>Rivière-Rouge</t>
  </si>
  <si>
    <t>J7M1Y3</t>
  </si>
  <si>
    <t>450 543-7853</t>
  </si>
  <si>
    <t>1929087</t>
  </si>
  <si>
    <t>De Grâce, Miguel</t>
  </si>
  <si>
    <t>J7M1Y4</t>
  </si>
  <si>
    <t>450 543-7834</t>
  </si>
  <si>
    <t>1641940</t>
  </si>
  <si>
    <t>Hotte, Kim</t>
  </si>
  <si>
    <t>J7M2B1</t>
  </si>
  <si>
    <t>450 543-6105</t>
  </si>
  <si>
    <t>1679111</t>
  </si>
  <si>
    <t>J7M2A1</t>
  </si>
  <si>
    <t>450 543-7565</t>
  </si>
  <si>
    <t>1755044</t>
  </si>
  <si>
    <t>Ladouceur, Joudi</t>
  </si>
  <si>
    <t>J7M1P8</t>
  </si>
  <si>
    <t>450 553-1083</t>
  </si>
  <si>
    <t>1928154</t>
  </si>
  <si>
    <t>Ghislaine Emilie</t>
  </si>
  <si>
    <t>450 543-6877</t>
  </si>
  <si>
    <t>1983850</t>
  </si>
  <si>
    <t>J7M1Y2</t>
  </si>
  <si>
    <t>450 543-8953</t>
  </si>
  <si>
    <t>1924511</t>
  </si>
  <si>
    <t>Pelland, Cynthia</t>
  </si>
  <si>
    <t>450 553-1622</t>
  </si>
  <si>
    <t>1759631</t>
  </si>
  <si>
    <t>J7M2A6</t>
  </si>
  <si>
    <t>450 543-6701</t>
  </si>
  <si>
    <t>1835513</t>
  </si>
  <si>
    <t>Lippé Perez, Gabriel</t>
  </si>
  <si>
    <t>450 543-8144</t>
  </si>
  <si>
    <t>1835984</t>
  </si>
  <si>
    <t>Gagnon, Marc-Alexandre</t>
  </si>
  <si>
    <t>450 543-7200</t>
  </si>
  <si>
    <t>1949577</t>
  </si>
  <si>
    <t>Lussier, Fréderyke</t>
  </si>
  <si>
    <t>Fréderyke</t>
  </si>
  <si>
    <t>J7M1W4</t>
  </si>
  <si>
    <t>450 553-1044</t>
  </si>
  <si>
    <t>1638167</t>
  </si>
  <si>
    <t>450 543-6406</t>
  </si>
  <si>
    <t>1939607</t>
  </si>
  <si>
    <t>Lelievre, Guillaume</t>
  </si>
  <si>
    <t>J7M1W5</t>
  </si>
  <si>
    <t>450 553-1041</t>
  </si>
  <si>
    <t>1830861</t>
  </si>
  <si>
    <t>Drapeau-Prégent, Maxence</t>
  </si>
  <si>
    <t>450 543-8997</t>
  </si>
  <si>
    <t>1968536</t>
  </si>
  <si>
    <t>J7M1T4</t>
  </si>
  <si>
    <t>450 553-1060</t>
  </si>
  <si>
    <t>1823825</t>
  </si>
  <si>
    <t>RIPON</t>
  </si>
  <si>
    <t>Ripon</t>
  </si>
  <si>
    <t>J7M2C1</t>
  </si>
  <si>
    <t>450 543-5506</t>
  </si>
  <si>
    <t>1931036</t>
  </si>
  <si>
    <t>Léger-Dumoulin, Haowen</t>
  </si>
  <si>
    <t>REPENTIGNY</t>
  </si>
  <si>
    <t>Repentigny</t>
  </si>
  <si>
    <t>450 543-3898</t>
  </si>
  <si>
    <t>1965401</t>
  </si>
  <si>
    <t>St-Marseille, Anni-France</t>
  </si>
  <si>
    <t>St-Marseille</t>
  </si>
  <si>
    <t>Anni-France</t>
  </si>
  <si>
    <t>450 543-4447</t>
  </si>
  <si>
    <t>1623248</t>
  </si>
  <si>
    <t>Bengassem, Thomas</t>
  </si>
  <si>
    <t>Bengassem</t>
  </si>
  <si>
    <t>450 543-5025</t>
  </si>
  <si>
    <t>1739412</t>
  </si>
  <si>
    <t>Kongolo, Justine</t>
  </si>
  <si>
    <t>RAWDON</t>
  </si>
  <si>
    <t>Rawdon</t>
  </si>
  <si>
    <t>J7M2H5</t>
  </si>
  <si>
    <t>450 543-3430</t>
  </si>
  <si>
    <t>1633472</t>
  </si>
  <si>
    <t>J7N0A3</t>
  </si>
  <si>
    <t>450 543-2305</t>
  </si>
  <si>
    <t>1927376</t>
  </si>
  <si>
    <t>J7M2E3</t>
  </si>
  <si>
    <t>450 543-3759</t>
  </si>
  <si>
    <t>1542263</t>
  </si>
  <si>
    <t>Marchand, Florence</t>
  </si>
  <si>
    <t>J7M2H9</t>
  </si>
  <si>
    <t>450 543-3296</t>
  </si>
  <si>
    <t>1828870</t>
  </si>
  <si>
    <t>450 543-2796</t>
  </si>
  <si>
    <t>1402377</t>
  </si>
  <si>
    <t>J7M2G5</t>
  </si>
  <si>
    <t>450 543-3536</t>
  </si>
  <si>
    <t>1625410</t>
  </si>
  <si>
    <t>J7M2J8</t>
  </si>
  <si>
    <t>450 543-3272</t>
  </si>
  <si>
    <t>1639729</t>
  </si>
  <si>
    <t>Bédard, Véronik</t>
  </si>
  <si>
    <t>Thibeault-Vachon</t>
  </si>
  <si>
    <t>450 543-3014</t>
  </si>
  <si>
    <t>1940992</t>
  </si>
  <si>
    <t>Lucien, Gabriel</t>
  </si>
  <si>
    <t>QUÉBEC</t>
  </si>
  <si>
    <t>Québec</t>
  </si>
  <si>
    <t>J7N0A5</t>
  </si>
  <si>
    <t>450 543-1118</t>
  </si>
  <si>
    <t>0956713</t>
  </si>
  <si>
    <t>Rodrigue, Bianca</t>
  </si>
  <si>
    <t>Brocq</t>
  </si>
  <si>
    <t>J7N0A4</t>
  </si>
  <si>
    <t>450 543-1710</t>
  </si>
  <si>
    <t>1970929</t>
  </si>
  <si>
    <t>Pinet-Stang</t>
  </si>
  <si>
    <t>450 543-1360</t>
  </si>
  <si>
    <t>1925850</t>
  </si>
  <si>
    <t>450 543-1900</t>
  </si>
  <si>
    <t>6141706</t>
  </si>
  <si>
    <t>L. Lapointe, Justine</t>
  </si>
  <si>
    <t>L. Lapointe</t>
  </si>
  <si>
    <t>J7N0B1</t>
  </si>
  <si>
    <t>450 543-0827</t>
  </si>
  <si>
    <t>1654665</t>
  </si>
  <si>
    <t>Marleau, Félix</t>
  </si>
  <si>
    <t>450 543-2173</t>
  </si>
  <si>
    <t>1842795</t>
  </si>
  <si>
    <t>Carenco, Roxane</t>
  </si>
  <si>
    <t>Carenco</t>
  </si>
  <si>
    <t>PRÉVOST</t>
  </si>
  <si>
    <t>J7N2A4</t>
  </si>
  <si>
    <t>450 512-8082</t>
  </si>
  <si>
    <t>200.C0</t>
  </si>
  <si>
    <t>Techniques d'éducation à l'enfance</t>
  </si>
  <si>
    <t>0066300</t>
  </si>
  <si>
    <t>J7N0G6</t>
  </si>
  <si>
    <t>450 533-1038</t>
  </si>
  <si>
    <t>1969947</t>
  </si>
  <si>
    <t>Gaumond-Bienvenu, Lycia</t>
  </si>
  <si>
    <t>J7N1K5</t>
  </si>
  <si>
    <t>450 530-0866</t>
  </si>
  <si>
    <t>1735743</t>
  </si>
  <si>
    <t>Godin, Léa</t>
  </si>
  <si>
    <t>J7N1X2</t>
  </si>
  <si>
    <t>450 512-9688</t>
  </si>
  <si>
    <t>1726288</t>
  </si>
  <si>
    <t>Jacques, Kelliane</t>
  </si>
  <si>
    <t>J7N2Z1</t>
  </si>
  <si>
    <t>450 512-4619</t>
  </si>
  <si>
    <t>1724936</t>
  </si>
  <si>
    <t>Thuin, Amélie</t>
  </si>
  <si>
    <t>Thuin</t>
  </si>
  <si>
    <t>Beaumier-Pimparé</t>
  </si>
  <si>
    <t>J7N1S8</t>
  </si>
  <si>
    <t>450 516-1665</t>
  </si>
  <si>
    <t>1934273</t>
  </si>
  <si>
    <t>Thivierge, Amélie</t>
  </si>
  <si>
    <t>J7N2N5</t>
  </si>
  <si>
    <t>450 512-6874</t>
  </si>
  <si>
    <t>1649352</t>
  </si>
  <si>
    <t>J7N3E1</t>
  </si>
  <si>
    <t>450 512-2148</t>
  </si>
  <si>
    <t>1849037</t>
  </si>
  <si>
    <t>Noumeu Sime, Éliane</t>
  </si>
  <si>
    <t>J7N0T7</t>
  </si>
  <si>
    <t>450 530-6832</t>
  </si>
  <si>
    <t>1924350</t>
  </si>
  <si>
    <t>Felicia</t>
  </si>
  <si>
    <t>J7N3E5</t>
  </si>
  <si>
    <t>450 512-1480</t>
  </si>
  <si>
    <t>1938570</t>
  </si>
  <si>
    <t>J7N1S4</t>
  </si>
  <si>
    <t>450 516-2243</t>
  </si>
  <si>
    <t>1650452</t>
  </si>
  <si>
    <t>J7N1R9</t>
  </si>
  <si>
    <t>450 516-2480</t>
  </si>
  <si>
    <t>1725951</t>
  </si>
  <si>
    <t>Champagne Pointejour, Rahma</t>
  </si>
  <si>
    <t>Raby</t>
  </si>
  <si>
    <t>J7N0E6</t>
  </si>
  <si>
    <t>450 533-5887</t>
  </si>
  <si>
    <t>1774378</t>
  </si>
  <si>
    <t>Sauvageau, Audrey</t>
  </si>
  <si>
    <t>J7N1Y7</t>
  </si>
  <si>
    <t>450 512-8371</t>
  </si>
  <si>
    <t>1862112</t>
  </si>
  <si>
    <t>Carle</t>
  </si>
  <si>
    <t>J7N0M7</t>
  </si>
  <si>
    <t>450 530-8547</t>
  </si>
  <si>
    <t>1750067</t>
  </si>
  <si>
    <t>J7N1Z4</t>
  </si>
  <si>
    <t>450 512-8304</t>
  </si>
  <si>
    <t>1774006</t>
  </si>
  <si>
    <t>Tremblay-Tétreault, Alix Loreena</t>
  </si>
  <si>
    <t>Alix Loreena</t>
  </si>
  <si>
    <t>Félix Fulong</t>
  </si>
  <si>
    <t>J7N2R6</t>
  </si>
  <si>
    <t>450 512-6864</t>
  </si>
  <si>
    <t>1821228</t>
  </si>
  <si>
    <t>Lavoie-Lachapelle, Jamie</t>
  </si>
  <si>
    <t>J7N0G9</t>
  </si>
  <si>
    <t>450 530-9732</t>
  </si>
  <si>
    <t>9746320</t>
  </si>
  <si>
    <t>Bourque-Cloutier, Sandrine</t>
  </si>
  <si>
    <t>Fathima</t>
  </si>
  <si>
    <t>J7N3E6</t>
  </si>
  <si>
    <t>450 512-0540</t>
  </si>
  <si>
    <t>1557522</t>
  </si>
  <si>
    <t>J7N1K4</t>
  </si>
  <si>
    <t>450 530-0925</t>
  </si>
  <si>
    <t>1736602</t>
  </si>
  <si>
    <t>J7N1S1</t>
  </si>
  <si>
    <t>450 516-2407</t>
  </si>
  <si>
    <t>1534599</t>
  </si>
  <si>
    <t>Fréchette, Mariam</t>
  </si>
  <si>
    <t>J7N2Z2</t>
  </si>
  <si>
    <t>450 512-4091</t>
  </si>
  <si>
    <t>1259715</t>
  </si>
  <si>
    <t>Villeneuve, Alexander</t>
  </si>
  <si>
    <t>Alexander</t>
  </si>
  <si>
    <t>J7N1R5</t>
  </si>
  <si>
    <t>450 516-2584</t>
  </si>
  <si>
    <t>1683523</t>
  </si>
  <si>
    <t>J7N0J6</t>
  </si>
  <si>
    <t>450 530-9451</t>
  </si>
  <si>
    <t>1827681</t>
  </si>
  <si>
    <t>Bood-Pépin</t>
  </si>
  <si>
    <t>J7N1X6</t>
  </si>
  <si>
    <t>450 512-9304</t>
  </si>
  <si>
    <t>1443456</t>
  </si>
  <si>
    <t>Duranleau, Marybel</t>
  </si>
  <si>
    <t>J7N1T5</t>
  </si>
  <si>
    <t>450 516-1319</t>
  </si>
  <si>
    <t>1466843</t>
  </si>
  <si>
    <t>Mainville, François-Xavier</t>
  </si>
  <si>
    <t>Mainville</t>
  </si>
  <si>
    <t>J7N0S1</t>
  </si>
  <si>
    <t>450 530-7174</t>
  </si>
  <si>
    <t>1433269</t>
  </si>
  <si>
    <t>J7N2T4</t>
  </si>
  <si>
    <t>450 512-6718</t>
  </si>
  <si>
    <t>1747850</t>
  </si>
  <si>
    <t>Dulmaine, Mathieu</t>
  </si>
  <si>
    <t>Dulmaine</t>
  </si>
  <si>
    <t>J7N1N4</t>
  </si>
  <si>
    <t>450 516-5188</t>
  </si>
  <si>
    <t>1790999</t>
  </si>
  <si>
    <t>J7N1R3</t>
  </si>
  <si>
    <t>450 516-2821</t>
  </si>
  <si>
    <t>1839622</t>
  </si>
  <si>
    <t>450 530-6761</t>
  </si>
  <si>
    <t>1466955</t>
  </si>
  <si>
    <t>J7N0Y1</t>
  </si>
  <si>
    <t>450 530-4965</t>
  </si>
  <si>
    <t>1923195</t>
  </si>
  <si>
    <t>Morneau, Élora</t>
  </si>
  <si>
    <t>Morneau</t>
  </si>
  <si>
    <t>Élora</t>
  </si>
  <si>
    <t>Deschênes-Boily</t>
  </si>
  <si>
    <t>J7N2T5</t>
  </si>
  <si>
    <t>450 512-6424</t>
  </si>
  <si>
    <t>1926381</t>
  </si>
  <si>
    <t>450 512-2225</t>
  </si>
  <si>
    <t>1935624</t>
  </si>
  <si>
    <t>Da Costa</t>
  </si>
  <si>
    <t>J7N1P2</t>
  </si>
  <si>
    <t>450 516-4495</t>
  </si>
  <si>
    <t>1869248</t>
  </si>
  <si>
    <t>J7N1N6</t>
  </si>
  <si>
    <t>450 516-5124</t>
  </si>
  <si>
    <t>1664445</t>
  </si>
  <si>
    <t>Bélanger, Vaïna</t>
  </si>
  <si>
    <t>J7N0R5</t>
  </si>
  <si>
    <t>450 530-7309</t>
  </si>
  <si>
    <t>1574311</t>
  </si>
  <si>
    <t>J7N2X6</t>
  </si>
  <si>
    <t>450 512-6174</t>
  </si>
  <si>
    <t>1841969</t>
  </si>
  <si>
    <t>J7N0J7</t>
  </si>
  <si>
    <t>450 530-9406</t>
  </si>
  <si>
    <t>1958582</t>
  </si>
  <si>
    <t>Boivin, Shana</t>
  </si>
  <si>
    <t>Serre</t>
  </si>
  <si>
    <t>J7N0R8</t>
  </si>
  <si>
    <t>450 530-7271</t>
  </si>
  <si>
    <t>1773707</t>
  </si>
  <si>
    <t>Maheux, Frédérick</t>
  </si>
  <si>
    <t>J7N2S8</t>
  </si>
  <si>
    <t>450 512-6850</t>
  </si>
  <si>
    <t>1837524</t>
  </si>
  <si>
    <t>Quintal, Catherine</t>
  </si>
  <si>
    <t>Quintal</t>
  </si>
  <si>
    <t>J7N0C2</t>
  </si>
  <si>
    <t>450 541-1647</t>
  </si>
  <si>
    <t>1977201</t>
  </si>
  <si>
    <t>Poncelet, Charles</t>
  </si>
  <si>
    <t>J7N2C7</t>
  </si>
  <si>
    <t>450 512-8030</t>
  </si>
  <si>
    <t>1635141</t>
  </si>
  <si>
    <t>Archambault-Monette, Xavier</t>
  </si>
  <si>
    <t>Archambault-Monette</t>
  </si>
  <si>
    <t>Veillette</t>
  </si>
  <si>
    <t>J7N0B2</t>
  </si>
  <si>
    <t>450 542-2403</t>
  </si>
  <si>
    <t>1332810</t>
  </si>
  <si>
    <t>Charbonneau-Dallaire, Philippe</t>
  </si>
  <si>
    <t>J7N1N7</t>
  </si>
  <si>
    <t>450 516-4958</t>
  </si>
  <si>
    <t>1958243</t>
  </si>
  <si>
    <t>Ohanis, Éléonore</t>
  </si>
  <si>
    <t>J7N3C9</t>
  </si>
  <si>
    <t>450 512-2424</t>
  </si>
  <si>
    <t>1758422</t>
  </si>
  <si>
    <t>Girard, Leonie</t>
  </si>
  <si>
    <t>J7N2L4</t>
  </si>
  <si>
    <t>450 512-7522</t>
  </si>
  <si>
    <t>1825327</t>
  </si>
  <si>
    <t>Lavoie-Gratton, Jane</t>
  </si>
  <si>
    <t>Lavoie-Gratton</t>
  </si>
  <si>
    <t>J7N3C4</t>
  </si>
  <si>
    <t>450 512-2559</t>
  </si>
  <si>
    <t>1721514</t>
  </si>
  <si>
    <t>J7N0M1</t>
  </si>
  <si>
    <t>450 530-9058</t>
  </si>
  <si>
    <t>1940837</t>
  </si>
  <si>
    <t>450 530-9912</t>
  </si>
  <si>
    <t>1976937</t>
  </si>
  <si>
    <t>Guérard, Laurence</t>
  </si>
  <si>
    <t>Guérard</t>
  </si>
  <si>
    <t>J7N1K8</t>
  </si>
  <si>
    <t>450 516-9657</t>
  </si>
  <si>
    <t>1862619</t>
  </si>
  <si>
    <t>Cyr, Natalia</t>
  </si>
  <si>
    <t>J7N0T6</t>
  </si>
  <si>
    <t>450 530-7173</t>
  </si>
  <si>
    <t>1973121</t>
  </si>
  <si>
    <t>J7N1R1</t>
  </si>
  <si>
    <t>450 516-3299</t>
  </si>
  <si>
    <t>1631791</t>
  </si>
  <si>
    <t>Champagne, Rami</t>
  </si>
  <si>
    <t>450 512-6696</t>
  </si>
  <si>
    <t>1645699</t>
  </si>
  <si>
    <t>J7N1A3</t>
  </si>
  <si>
    <t>450 530-4297</t>
  </si>
  <si>
    <t>1927577</t>
  </si>
  <si>
    <t>Dimassimo, Maxime</t>
  </si>
  <si>
    <t>J7N0L6</t>
  </si>
  <si>
    <t>450 530-9084</t>
  </si>
  <si>
    <t>1774745</t>
  </si>
  <si>
    <t>J7N0M2</t>
  </si>
  <si>
    <t>450 530-9033</t>
  </si>
  <si>
    <t>1949515</t>
  </si>
  <si>
    <t>Deschênes, Mélina</t>
  </si>
  <si>
    <t>MouFarrej</t>
  </si>
  <si>
    <t>450 512-7302</t>
  </si>
  <si>
    <t>0688553</t>
  </si>
  <si>
    <t>Davis</t>
  </si>
  <si>
    <t>J7N1A5</t>
  </si>
  <si>
    <t>450 530-4165</t>
  </si>
  <si>
    <t>1736757</t>
  </si>
  <si>
    <t>J7N1S6</t>
  </si>
  <si>
    <t>450 516-1786</t>
  </si>
  <si>
    <t>1841341</t>
  </si>
  <si>
    <t>Da Cruz, Najd</t>
  </si>
  <si>
    <t>Da Cruz</t>
  </si>
  <si>
    <t>J7N0K4</t>
  </si>
  <si>
    <t>450 530-9343</t>
  </si>
  <si>
    <t>1847766</t>
  </si>
  <si>
    <t>Marseille, Félix</t>
  </si>
  <si>
    <t>J7N1K9</t>
  </si>
  <si>
    <t>450 516-8664</t>
  </si>
  <si>
    <t>1752187</t>
  </si>
  <si>
    <t>Picard, Circé</t>
  </si>
  <si>
    <t>Circé</t>
  </si>
  <si>
    <t>J7N0R6</t>
  </si>
  <si>
    <t>450 530-7275</t>
  </si>
  <si>
    <t>1455268</t>
  </si>
  <si>
    <t>J7N1K6</t>
  </si>
  <si>
    <t>450 530-0166</t>
  </si>
  <si>
    <t>1903649</t>
  </si>
  <si>
    <t>Dallaire, Mykaelle</t>
  </si>
  <si>
    <t>J7N1P8</t>
  </si>
  <si>
    <t>450 516-3391</t>
  </si>
  <si>
    <t>1478853</t>
  </si>
  <si>
    <t>Fontaine-Bergeron, Marie-Josée</t>
  </si>
  <si>
    <t>Fontaine-Bergeron</t>
  </si>
  <si>
    <t>Lorge</t>
  </si>
  <si>
    <t>J7N0W2</t>
  </si>
  <si>
    <t>450 530-5606</t>
  </si>
  <si>
    <t>1955511</t>
  </si>
  <si>
    <t>Patterson, Cynthia Yamily</t>
  </si>
  <si>
    <t>Cynthia Yamily</t>
  </si>
  <si>
    <t>J7N1J6</t>
  </si>
  <si>
    <t>450 530-2362</t>
  </si>
  <si>
    <t>0838371</t>
  </si>
  <si>
    <t>Cyr-St-André, Naomi Luabeya</t>
  </si>
  <si>
    <t>J7N1N9</t>
  </si>
  <si>
    <t>450 516-4629</t>
  </si>
  <si>
    <t>1732498</t>
  </si>
  <si>
    <t>Gabriel-Charles</t>
  </si>
  <si>
    <t>450 530-4371</t>
  </si>
  <si>
    <t>1841572</t>
  </si>
  <si>
    <t>J7N2A2</t>
  </si>
  <si>
    <t>450 512-8161</t>
  </si>
  <si>
    <t>1958853</t>
  </si>
  <si>
    <t>Proulx-Duquette, Cathline</t>
  </si>
  <si>
    <t>Cathline</t>
  </si>
  <si>
    <t>J7N0B8</t>
  </si>
  <si>
    <t>450 541-5839</t>
  </si>
  <si>
    <t>1017067</t>
  </si>
  <si>
    <t>Delisle, Meyghan</t>
  </si>
  <si>
    <t>450 530-0015</t>
  </si>
  <si>
    <t>1977154</t>
  </si>
  <si>
    <t>Hyatt-Lalonde, Kelly-Anne</t>
  </si>
  <si>
    <t>Hyatt-Lalonde</t>
  </si>
  <si>
    <t>J7N0C7</t>
  </si>
  <si>
    <t>450 541-0719</t>
  </si>
  <si>
    <t>1965199</t>
  </si>
  <si>
    <t>Riopel, Camille</t>
  </si>
  <si>
    <t>Riopel</t>
  </si>
  <si>
    <t>450 530-0510</t>
  </si>
  <si>
    <t>1738415</t>
  </si>
  <si>
    <t>450 512-6548</t>
  </si>
  <si>
    <t>1765969</t>
  </si>
  <si>
    <t>Vasquez Rojas, Alexandre</t>
  </si>
  <si>
    <t>Vasquez Rojas</t>
  </si>
  <si>
    <t>Armando</t>
  </si>
  <si>
    <t>450 530-0792</t>
  </si>
  <si>
    <t>1959478</t>
  </si>
  <si>
    <t>J7N2B9</t>
  </si>
  <si>
    <t>450 512-8053</t>
  </si>
  <si>
    <t>1855840</t>
  </si>
  <si>
    <t>J7N1R4</t>
  </si>
  <si>
    <t>450 516-2772</t>
  </si>
  <si>
    <t>1864530</t>
  </si>
  <si>
    <t>Trudel-Gagné, Alexy</t>
  </si>
  <si>
    <t>Trudel-Gagné</t>
  </si>
  <si>
    <t>450 516-2030</t>
  </si>
  <si>
    <t>1971408</t>
  </si>
  <si>
    <t>Noël, Élise</t>
  </si>
  <si>
    <t>Élise</t>
  </si>
  <si>
    <t>Del Mundo</t>
  </si>
  <si>
    <t>450 512-3009</t>
  </si>
  <si>
    <t>1893000</t>
  </si>
  <si>
    <t>450 512-0766</t>
  </si>
  <si>
    <t>1857172</t>
  </si>
  <si>
    <t>Brulé, Samuel</t>
  </si>
  <si>
    <t>450 516-1212</t>
  </si>
  <si>
    <t>1785469</t>
  </si>
  <si>
    <t>Barrios Calvé, Virginie</t>
  </si>
  <si>
    <t>J7N1P7</t>
  </si>
  <si>
    <t>450 516-3697</t>
  </si>
  <si>
    <t>1064011</t>
  </si>
  <si>
    <t>St-Denis, Antoine</t>
  </si>
  <si>
    <t>Gabryel</t>
  </si>
  <si>
    <t>J7N0E4</t>
  </si>
  <si>
    <t>450 537-1686</t>
  </si>
  <si>
    <t>1132147</t>
  </si>
  <si>
    <t>Miron-Beauséjour, Emilie</t>
  </si>
  <si>
    <t>J7N1X4</t>
  </si>
  <si>
    <t>450 512-9402</t>
  </si>
  <si>
    <t>1829354</t>
  </si>
  <si>
    <t>Bouffard, Sarah</t>
  </si>
  <si>
    <t>J7N1J1</t>
  </si>
  <si>
    <t>450 530-2965</t>
  </si>
  <si>
    <t>1829686</t>
  </si>
  <si>
    <t>Gauthier, Ludovic</t>
  </si>
  <si>
    <t>J7N1S7</t>
  </si>
  <si>
    <t>450 516-1785</t>
  </si>
  <si>
    <t>0908920</t>
  </si>
  <si>
    <t>J7N1B4</t>
  </si>
  <si>
    <t>450 530-3882</t>
  </si>
  <si>
    <t>1878290</t>
  </si>
  <si>
    <t>Lynch, Frédérique</t>
  </si>
  <si>
    <t>J7N0E1</t>
  </si>
  <si>
    <t>450 537-8484</t>
  </si>
  <si>
    <t>1824788</t>
  </si>
  <si>
    <t>Bréard, Samuel</t>
  </si>
  <si>
    <t>Florianne</t>
  </si>
  <si>
    <t>450 512-9255</t>
  </si>
  <si>
    <t>1446577</t>
  </si>
  <si>
    <t>450 516-2479</t>
  </si>
  <si>
    <t>1134147</t>
  </si>
  <si>
    <t>Levasseur, Gabrielle</t>
  </si>
  <si>
    <t>J7N1T6</t>
  </si>
  <si>
    <t>450 516-1041</t>
  </si>
  <si>
    <t>1722116</t>
  </si>
  <si>
    <t>Côté-Gilbert, Nidara</t>
  </si>
  <si>
    <t>Côté-Gilbert</t>
  </si>
  <si>
    <t>Pereira</t>
  </si>
  <si>
    <t>J7N0W5</t>
  </si>
  <si>
    <t>450 530-5405</t>
  </si>
  <si>
    <t>1964911</t>
  </si>
  <si>
    <t>Gorr</t>
  </si>
  <si>
    <t>450 530-5248</t>
  </si>
  <si>
    <t>1945460</t>
  </si>
  <si>
    <t>J7N1J8</t>
  </si>
  <si>
    <t>450 530-1674</t>
  </si>
  <si>
    <t>1644077</t>
  </si>
  <si>
    <t>J7N2M6</t>
  </si>
  <si>
    <t>450 512-7045</t>
  </si>
  <si>
    <t>1684552</t>
  </si>
  <si>
    <t>Contant, Nour</t>
  </si>
  <si>
    <t>J7N3E2</t>
  </si>
  <si>
    <t>450 512-1905</t>
  </si>
  <si>
    <t>1625275</t>
  </si>
  <si>
    <t>Farida</t>
  </si>
  <si>
    <t>450 512-0475</t>
  </si>
  <si>
    <t>1877478</t>
  </si>
  <si>
    <t>Vilches, Alexandra</t>
  </si>
  <si>
    <t>Vilches</t>
  </si>
  <si>
    <t>J7N2M9</t>
  </si>
  <si>
    <t>450 512-7032</t>
  </si>
  <si>
    <t>1435747</t>
  </si>
  <si>
    <t>André, Yesenia</t>
  </si>
  <si>
    <t>450 512-2541</t>
  </si>
  <si>
    <t>1822919</t>
  </si>
  <si>
    <t>J7N0N7</t>
  </si>
  <si>
    <t>450 530-8039</t>
  </si>
  <si>
    <t>1021683</t>
  </si>
  <si>
    <t>Trudeau, Alicia</t>
  </si>
  <si>
    <t>450 530-9289</t>
  </si>
  <si>
    <t>1754396</t>
  </si>
  <si>
    <t>Richard, Camylle</t>
  </si>
  <si>
    <t>Camylle</t>
  </si>
  <si>
    <t>J7N2M2</t>
  </si>
  <si>
    <t>450 512-7163</t>
  </si>
  <si>
    <t>1487813</t>
  </si>
  <si>
    <t>Aubé</t>
  </si>
  <si>
    <t>J7N1B1</t>
  </si>
  <si>
    <t>450 530-3981</t>
  </si>
  <si>
    <t>1733892</t>
  </si>
  <si>
    <t>Bates, Vincent</t>
  </si>
  <si>
    <t>Bates</t>
  </si>
  <si>
    <t>450 530-5822</t>
  </si>
  <si>
    <t>1749858</t>
  </si>
  <si>
    <t>Madzarac, Frédérik</t>
  </si>
  <si>
    <t>Madzarac</t>
  </si>
  <si>
    <t>450 530-8033</t>
  </si>
  <si>
    <t>1942997</t>
  </si>
  <si>
    <t>J7N1H8</t>
  </si>
  <si>
    <t>450 530-3175</t>
  </si>
  <si>
    <t>1639504</t>
  </si>
  <si>
    <t>Manzo</t>
  </si>
  <si>
    <t>J7N0P3</t>
  </si>
  <si>
    <t>450 530-7571</t>
  </si>
  <si>
    <t>1870021</t>
  </si>
  <si>
    <t>Blanchard-Chyba, Simone</t>
  </si>
  <si>
    <t>Blanchard-Chyba</t>
  </si>
  <si>
    <t>Sotelsek</t>
  </si>
  <si>
    <t>450 516-1383</t>
  </si>
  <si>
    <t>1641874</t>
  </si>
  <si>
    <t>J7N3B3</t>
  </si>
  <si>
    <t>450 512-3801</t>
  </si>
  <si>
    <t>1974216</t>
  </si>
  <si>
    <t>Malouin, Florence</t>
  </si>
  <si>
    <t>Malouin</t>
  </si>
  <si>
    <t>Edmond</t>
  </si>
  <si>
    <t>450 512-3951</t>
  </si>
  <si>
    <t>1840009</t>
  </si>
  <si>
    <t>Dao Sidibe, Mirna</t>
  </si>
  <si>
    <t>450 516-4060</t>
  </si>
  <si>
    <t>6150442</t>
  </si>
  <si>
    <t>Hamelin, Lauranne</t>
  </si>
  <si>
    <t>J7N1J7</t>
  </si>
  <si>
    <t>450 530-1960</t>
  </si>
  <si>
    <t>1942740</t>
  </si>
  <si>
    <t>450 516-3803</t>
  </si>
  <si>
    <t>0937226</t>
  </si>
  <si>
    <t>J7N1R8</t>
  </si>
  <si>
    <t>450 516-2488</t>
  </si>
  <si>
    <t>1955234</t>
  </si>
  <si>
    <t>Constantin, Océane</t>
  </si>
  <si>
    <t>Constantin</t>
  </si>
  <si>
    <t>450 530-4861</t>
  </si>
  <si>
    <t>1937600</t>
  </si>
  <si>
    <t>450 512-7247</t>
  </si>
  <si>
    <t>1905632</t>
  </si>
  <si>
    <t>Lenoble, Ghislaine Emilie</t>
  </si>
  <si>
    <t>Lenoble</t>
  </si>
  <si>
    <t>Fuentes Montenegro</t>
  </si>
  <si>
    <t>J7N2J9</t>
  </si>
  <si>
    <t>450 512-7888</t>
  </si>
  <si>
    <t>1621704</t>
  </si>
  <si>
    <t>Martin-Heppell, Fabienne</t>
  </si>
  <si>
    <t>Martin-Heppell</t>
  </si>
  <si>
    <t>Fabienne</t>
  </si>
  <si>
    <t>450 533-1026</t>
  </si>
  <si>
    <t>1834197</t>
  </si>
  <si>
    <t>J7N1W9</t>
  </si>
  <si>
    <t>450 516-0032</t>
  </si>
  <si>
    <t>1980263</t>
  </si>
  <si>
    <t>J7N2M3</t>
  </si>
  <si>
    <t>450 512-7058</t>
  </si>
  <si>
    <t>1953680</t>
  </si>
  <si>
    <t>Lortie, Gabriel</t>
  </si>
  <si>
    <t>Flora</t>
  </si>
  <si>
    <t>450 512-7229</t>
  </si>
  <si>
    <t>1838158</t>
  </si>
  <si>
    <t>Lécuyer, Jacob</t>
  </si>
  <si>
    <t>450 530-4715</t>
  </si>
  <si>
    <t>1286877</t>
  </si>
  <si>
    <t>Coté, Noémie</t>
  </si>
  <si>
    <t>450 516-4366</t>
  </si>
  <si>
    <t>1738183</t>
  </si>
  <si>
    <t>Kingue Zangue, Justine</t>
  </si>
  <si>
    <t>J7N1V9</t>
  </si>
  <si>
    <t>450 516-0343</t>
  </si>
  <si>
    <t>1728790</t>
  </si>
  <si>
    <t>J7N3E4</t>
  </si>
  <si>
    <t>450 512-1684</t>
  </si>
  <si>
    <t>1725275</t>
  </si>
  <si>
    <t>Antoine, Yairy Marielle</t>
  </si>
  <si>
    <t>450 530-1762</t>
  </si>
  <si>
    <t>1924443</t>
  </si>
  <si>
    <t>J7N1M3</t>
  </si>
  <si>
    <t>450 516-8228</t>
  </si>
  <si>
    <t>1776880</t>
  </si>
  <si>
    <t>450 521-0892</t>
  </si>
  <si>
    <t>0565512</t>
  </si>
  <si>
    <t>Badal, William</t>
  </si>
  <si>
    <t>J7N0G4</t>
  </si>
  <si>
    <t>450 533-5376</t>
  </si>
  <si>
    <t>1854090</t>
  </si>
  <si>
    <t>450 516-1752</t>
  </si>
  <si>
    <t>1733341</t>
  </si>
  <si>
    <t>J7N1N3</t>
  </si>
  <si>
    <t>450 516-8046</t>
  </si>
  <si>
    <t>1728105</t>
  </si>
  <si>
    <t>Valdes Frias, Alexane</t>
  </si>
  <si>
    <t>Valdes Frias</t>
  </si>
  <si>
    <t>Aubuchon</t>
  </si>
  <si>
    <t>J7N2Y9</t>
  </si>
  <si>
    <t>450 512-5131</t>
  </si>
  <si>
    <t>1752402</t>
  </si>
  <si>
    <t>Pinet-Stang, Charlotte</t>
  </si>
  <si>
    <t>450 516-2235</t>
  </si>
  <si>
    <t>1970782</t>
  </si>
  <si>
    <t>450 530-4004</t>
  </si>
  <si>
    <t>1754409</t>
  </si>
  <si>
    <t>Chapdelaine, Rachel</t>
  </si>
  <si>
    <t>Chapdelaine</t>
  </si>
  <si>
    <t>J7N1R2</t>
  </si>
  <si>
    <t>450 516-2901</t>
  </si>
  <si>
    <t>1941631</t>
  </si>
  <si>
    <t>Fortin, Marie Rachel</t>
  </si>
  <si>
    <t>J7N1W6</t>
  </si>
  <si>
    <t>450 516-0035</t>
  </si>
  <si>
    <t>1938975</t>
  </si>
  <si>
    <t>Songa, Ariane</t>
  </si>
  <si>
    <t>J7N2R8</t>
  </si>
  <si>
    <t>450 512-6858</t>
  </si>
  <si>
    <t>1746852</t>
  </si>
  <si>
    <t>Edmond, Marissa</t>
  </si>
  <si>
    <t>450 537-3867</t>
  </si>
  <si>
    <t>1973010</t>
  </si>
  <si>
    <t>Meraglia, Emmanuelle</t>
  </si>
  <si>
    <t>450 516-3293</t>
  </si>
  <si>
    <t>1754825</t>
  </si>
  <si>
    <t>Soriot, Ariane</t>
  </si>
  <si>
    <t>Soriot</t>
  </si>
  <si>
    <t>J7N0E7</t>
  </si>
  <si>
    <t>450 533-5379</t>
  </si>
  <si>
    <t>1341263</t>
  </si>
  <si>
    <t>J7N2P7</t>
  </si>
  <si>
    <t>450 512-6867</t>
  </si>
  <si>
    <t>1728227</t>
  </si>
  <si>
    <t>St-Jacques, Anthony</t>
  </si>
  <si>
    <t>St-Jacques</t>
  </si>
  <si>
    <t>Bigras</t>
  </si>
  <si>
    <t>J7N1T4</t>
  </si>
  <si>
    <t>450 516-1406</t>
  </si>
  <si>
    <t>1823832</t>
  </si>
  <si>
    <t>Baïa, William</t>
  </si>
  <si>
    <t>J7N1J5</t>
  </si>
  <si>
    <t>450 530-2718</t>
  </si>
  <si>
    <t>1289219</t>
  </si>
  <si>
    <t>450 516-0086</t>
  </si>
  <si>
    <t>1820952</t>
  </si>
  <si>
    <t>Simpson-Bélanger, Ariane</t>
  </si>
  <si>
    <t>Simpson-Bélanger</t>
  </si>
  <si>
    <t>J7N1Z5</t>
  </si>
  <si>
    <t>450 512-8223</t>
  </si>
  <si>
    <t>1959239</t>
  </si>
  <si>
    <t>Moussette, Éloïse</t>
  </si>
  <si>
    <t>J7N1K7</t>
  </si>
  <si>
    <t>450 516-9936</t>
  </si>
  <si>
    <t>1954034</t>
  </si>
  <si>
    <t>Portaria, Charles</t>
  </si>
  <si>
    <t>J7N2Y7</t>
  </si>
  <si>
    <t>450 512-5986</t>
  </si>
  <si>
    <t>1941051</t>
  </si>
  <si>
    <t>Derilus, Mélissa</t>
  </si>
  <si>
    <t>Derilus</t>
  </si>
  <si>
    <t>Myre-Sauvé</t>
  </si>
  <si>
    <t>450 530-5240</t>
  </si>
  <si>
    <t>1574049</t>
  </si>
  <si>
    <t>450 512-3728</t>
  </si>
  <si>
    <t>1949994</t>
  </si>
  <si>
    <t>Lefebvre-Beauchamp, Ilyas</t>
  </si>
  <si>
    <t>450 516-3139</t>
  </si>
  <si>
    <t>0828261</t>
  </si>
  <si>
    <t>Baar-Poulin, William</t>
  </si>
  <si>
    <t>J7N1V2</t>
  </si>
  <si>
    <t>450 516-0503</t>
  </si>
  <si>
    <t>0713037</t>
  </si>
  <si>
    <t>Fuentes Montenegro, Marc-Olivier</t>
  </si>
  <si>
    <t>J7N1W2</t>
  </si>
  <si>
    <t>450 516-0214</t>
  </si>
  <si>
    <t>1944635</t>
  </si>
  <si>
    <t>Edikeu, Marjolène</t>
  </si>
  <si>
    <t>Edikeu</t>
  </si>
  <si>
    <t>J7N0H8</t>
  </si>
  <si>
    <t>450 530-9588</t>
  </si>
  <si>
    <t>1628920</t>
  </si>
  <si>
    <t>J7N1S2</t>
  </si>
  <si>
    <t>450 516-2400</t>
  </si>
  <si>
    <t>1628538</t>
  </si>
  <si>
    <t>Duchaîne-Tourigny, Maude</t>
  </si>
  <si>
    <t>J7N0C8</t>
  </si>
  <si>
    <t>450 540-0604</t>
  </si>
  <si>
    <t>1872701</t>
  </si>
  <si>
    <t>Huberdeau, Kevin</t>
  </si>
  <si>
    <t>Floriane</t>
  </si>
  <si>
    <t>J7N1X9</t>
  </si>
  <si>
    <t>450 512-9001</t>
  </si>
  <si>
    <t>1586549</t>
  </si>
  <si>
    <t>Morin, Élyse</t>
  </si>
  <si>
    <t>Élyse</t>
  </si>
  <si>
    <t>450 516-0131</t>
  </si>
  <si>
    <t>1752010</t>
  </si>
  <si>
    <t>Giroux-Rock, Léane</t>
  </si>
  <si>
    <t>Giroux-Rock</t>
  </si>
  <si>
    <t>450 512-7406</t>
  </si>
  <si>
    <t>1868798</t>
  </si>
  <si>
    <t>Augustin Garçon, William</t>
  </si>
  <si>
    <t>Augustin Garçon</t>
  </si>
  <si>
    <t>450 533-5856</t>
  </si>
  <si>
    <t>1841485</t>
  </si>
  <si>
    <t>J7N1J9</t>
  </si>
  <si>
    <t>450 530-1564</t>
  </si>
  <si>
    <t>1966834</t>
  </si>
  <si>
    <t>J7N1N2</t>
  </si>
  <si>
    <t>450 516-8120</t>
  </si>
  <si>
    <t>1526359</t>
  </si>
  <si>
    <t>Ruscito-Bourdon, Audrey-Ann</t>
  </si>
  <si>
    <t>450 512-8048</t>
  </si>
  <si>
    <t>1940725</t>
  </si>
  <si>
    <t>Grondines, Laurianne</t>
  </si>
  <si>
    <t>Grondines</t>
  </si>
  <si>
    <t>Laniel</t>
  </si>
  <si>
    <t>450 512-4991</t>
  </si>
  <si>
    <t>1551916</t>
  </si>
  <si>
    <t>Coutanceau, Nicolas</t>
  </si>
  <si>
    <t>Coutanceau</t>
  </si>
  <si>
    <t>Pellerin-Ouellette</t>
  </si>
  <si>
    <t>J7N1K2</t>
  </si>
  <si>
    <t>450 530-1302</t>
  </si>
  <si>
    <t>1929013</t>
  </si>
  <si>
    <t>450 530-2200</t>
  </si>
  <si>
    <t>1657562</t>
  </si>
  <si>
    <t>J7N0V1</t>
  </si>
  <si>
    <t>450 530-5831</t>
  </si>
  <si>
    <t>1830696</t>
  </si>
  <si>
    <t>J7N0P8</t>
  </si>
  <si>
    <t>450 530-7345</t>
  </si>
  <si>
    <t>1972988</t>
  </si>
  <si>
    <t>Laniel, Jessica</t>
  </si>
  <si>
    <t>J7N1Y4</t>
  </si>
  <si>
    <t>450 512-8796</t>
  </si>
  <si>
    <t>1873990</t>
  </si>
  <si>
    <t>J7N0P6</t>
  </si>
  <si>
    <t>450 530-7429</t>
  </si>
  <si>
    <t>1558435</t>
  </si>
  <si>
    <t>450 512-8045</t>
  </si>
  <si>
    <t>1693764</t>
  </si>
  <si>
    <t>Hegyes, Krystel</t>
  </si>
  <si>
    <t>Hegyes</t>
  </si>
  <si>
    <t>450 530-7613</t>
  </si>
  <si>
    <t>1532831</t>
  </si>
  <si>
    <t>Gravel, Laurie</t>
  </si>
  <si>
    <t>J7N0P1</t>
  </si>
  <si>
    <t>450 530-7659</t>
  </si>
  <si>
    <t>1959101</t>
  </si>
  <si>
    <t>Jeanneault, Katherine</t>
  </si>
  <si>
    <t>J7N1H7</t>
  </si>
  <si>
    <t>450 530-3510</t>
  </si>
  <si>
    <t>1923696</t>
  </si>
  <si>
    <t>Pereira, Coralie</t>
  </si>
  <si>
    <t>J7N0N5</t>
  </si>
  <si>
    <t>450 530-8488</t>
  </si>
  <si>
    <t>1931902</t>
  </si>
  <si>
    <t>450 530-6607</t>
  </si>
  <si>
    <t>1722100</t>
  </si>
  <si>
    <t>450 516-8006</t>
  </si>
  <si>
    <t>1758769</t>
  </si>
  <si>
    <t>Grenon, Lauri-Anne</t>
  </si>
  <si>
    <t>J7N1L1</t>
  </si>
  <si>
    <t>450 516-8408</t>
  </si>
  <si>
    <t>1925010</t>
  </si>
  <si>
    <t>J7N1T8</t>
  </si>
  <si>
    <t>450 516-1017</t>
  </si>
  <si>
    <t>1929039</t>
  </si>
  <si>
    <t>450 516-3534</t>
  </si>
  <si>
    <t>1572616</t>
  </si>
  <si>
    <t>Germain, Lorie-Ann</t>
  </si>
  <si>
    <t>450 512-5416</t>
  </si>
  <si>
    <t>1925560</t>
  </si>
  <si>
    <t>Chartré, Patricia</t>
  </si>
  <si>
    <t>450 512-1886</t>
  </si>
  <si>
    <t>1775371</t>
  </si>
  <si>
    <t>Pageot, David-Alexandre</t>
  </si>
  <si>
    <t>Pageot</t>
  </si>
  <si>
    <t>David-Alexandre</t>
  </si>
  <si>
    <t>Daher</t>
  </si>
  <si>
    <t>J7N1W3</t>
  </si>
  <si>
    <t>450 516-0149</t>
  </si>
  <si>
    <t>1875492</t>
  </si>
  <si>
    <t>Nefzi, Elizabeth</t>
  </si>
  <si>
    <t>J7N1P1</t>
  </si>
  <si>
    <t>450 516-4570</t>
  </si>
  <si>
    <t>1793442</t>
  </si>
  <si>
    <t>Latour Ugalde, Jenny</t>
  </si>
  <si>
    <t>Latour Ugalde</t>
  </si>
  <si>
    <t>450 512-0796</t>
  </si>
  <si>
    <t>1738982</t>
  </si>
  <si>
    <t>J7N2K8</t>
  </si>
  <si>
    <t>450 512-7647</t>
  </si>
  <si>
    <t>1627316</t>
  </si>
  <si>
    <t>Trudel, Alicia</t>
  </si>
  <si>
    <t>450 512-1062</t>
  </si>
  <si>
    <t>1961802</t>
  </si>
  <si>
    <t>450 516-2377</t>
  </si>
  <si>
    <t>1821319</t>
  </si>
  <si>
    <t>Prévost-Lebel, Cédrik</t>
  </si>
  <si>
    <t>450 516-4204</t>
  </si>
  <si>
    <t>1805429</t>
  </si>
  <si>
    <t>D. Loyer, Nancy Tshiabu</t>
  </si>
  <si>
    <t>D. Loyer</t>
  </si>
  <si>
    <t>J7N2X8</t>
  </si>
  <si>
    <t>450 512-6050</t>
  </si>
  <si>
    <t>1967968</t>
  </si>
  <si>
    <t>J7N2T3</t>
  </si>
  <si>
    <t>450 512-6846</t>
  </si>
  <si>
    <t>1949406</t>
  </si>
  <si>
    <t>Chainé, Raphaëlle</t>
  </si>
  <si>
    <t>J7N0Z6</t>
  </si>
  <si>
    <t>450 530-4631</t>
  </si>
  <si>
    <t>1925727</t>
  </si>
  <si>
    <t>J7N0K5</t>
  </si>
  <si>
    <t>450 530-9184</t>
  </si>
  <si>
    <t>1935910</t>
  </si>
  <si>
    <t>J7N2A1</t>
  </si>
  <si>
    <t>450 512-8221</t>
  </si>
  <si>
    <t>1542862</t>
  </si>
  <si>
    <t>Gay, Louis-Thomas</t>
  </si>
  <si>
    <t>Gay</t>
  </si>
  <si>
    <t>Lebel-Frenette</t>
  </si>
  <si>
    <t>450 516-3103</t>
  </si>
  <si>
    <t>1970803</t>
  </si>
  <si>
    <t>450 530-9364</t>
  </si>
  <si>
    <t>1836393</t>
  </si>
  <si>
    <t>J7N1R7</t>
  </si>
  <si>
    <t>450 516-2510</t>
  </si>
  <si>
    <t>1852283</t>
  </si>
  <si>
    <t>Perrée</t>
  </si>
  <si>
    <t>J7N2E5</t>
  </si>
  <si>
    <t>450 512-7942</t>
  </si>
  <si>
    <t>1935464</t>
  </si>
  <si>
    <t>Parthenais, Dalia</t>
  </si>
  <si>
    <t>Parthenais</t>
  </si>
  <si>
    <t>Dalia</t>
  </si>
  <si>
    <t>J7N1K3</t>
  </si>
  <si>
    <t>450 530-1212</t>
  </si>
  <si>
    <t>1636121</t>
  </si>
  <si>
    <t>450 530-1669</t>
  </si>
  <si>
    <t>1633325</t>
  </si>
  <si>
    <t>Kozubski, Justine</t>
  </si>
  <si>
    <t>Kozubski</t>
  </si>
  <si>
    <t>J7N2L7</t>
  </si>
  <si>
    <t>450 512-7269</t>
  </si>
  <si>
    <t>1775959</t>
  </si>
  <si>
    <t>Laurendeau, Jennifer</t>
  </si>
  <si>
    <t>J7N1M6</t>
  </si>
  <si>
    <t>450 516-8166</t>
  </si>
  <si>
    <t>1981184</t>
  </si>
  <si>
    <t>Dagenais, Nadège</t>
  </si>
  <si>
    <t>450 516-9740</t>
  </si>
  <si>
    <t>0864358</t>
  </si>
  <si>
    <t>450 512-0913</t>
  </si>
  <si>
    <t>1854430</t>
  </si>
  <si>
    <t>Lorge, Gabriel</t>
  </si>
  <si>
    <t>J7N1E3</t>
  </si>
  <si>
    <t>450 530-3596</t>
  </si>
  <si>
    <t>0032824</t>
  </si>
  <si>
    <t>Mounanga, Éloïse</t>
  </si>
  <si>
    <t>Mounanga</t>
  </si>
  <si>
    <t>450 516-2204</t>
  </si>
  <si>
    <t>1856042</t>
  </si>
  <si>
    <t>450 530-1448</t>
  </si>
  <si>
    <t>1801479</t>
  </si>
  <si>
    <t>Delvecchio, Mélodye</t>
  </si>
  <si>
    <t>450 530-9022</t>
  </si>
  <si>
    <t>1749990</t>
  </si>
  <si>
    <t>Sylvestre, Anne-Laurence</t>
  </si>
  <si>
    <t>Anne-Laurence</t>
  </si>
  <si>
    <t>J7N1N8</t>
  </si>
  <si>
    <t>450 516-4753</t>
  </si>
  <si>
    <t>1720854</t>
  </si>
  <si>
    <t>Leduc, Ismaël</t>
  </si>
  <si>
    <t>J7N1V1</t>
  </si>
  <si>
    <t>450 516-0819</t>
  </si>
  <si>
    <t>1936121</t>
  </si>
  <si>
    <t>Roussakis</t>
  </si>
  <si>
    <t>J7N1Y3</t>
  </si>
  <si>
    <t>450 512-8989</t>
  </si>
  <si>
    <t>1948547</t>
  </si>
  <si>
    <t>Cyr, Natascha</t>
  </si>
  <si>
    <t>450 530-5497</t>
  </si>
  <si>
    <t>1734108</t>
  </si>
  <si>
    <t>450 516-0151</t>
  </si>
  <si>
    <t>1654113</t>
  </si>
  <si>
    <t>Grand'Maison</t>
  </si>
  <si>
    <t>450 530-9400</t>
  </si>
  <si>
    <t>1835664</t>
  </si>
  <si>
    <t>J7N2T9</t>
  </si>
  <si>
    <t>450 512-6344</t>
  </si>
  <si>
    <t>1967566</t>
  </si>
  <si>
    <t>Ben Mehria</t>
  </si>
  <si>
    <t>450 530-2730</t>
  </si>
  <si>
    <t>1646079</t>
  </si>
  <si>
    <t>Caron, Rose Johanne</t>
  </si>
  <si>
    <t>J7N3B9</t>
  </si>
  <si>
    <t>450 512-3602</t>
  </si>
  <si>
    <t>1826682</t>
  </si>
  <si>
    <t>Massé, Fabien</t>
  </si>
  <si>
    <t>Fabien</t>
  </si>
  <si>
    <t>450 516-4755</t>
  </si>
  <si>
    <t>1927545</t>
  </si>
  <si>
    <t>Ricci, Candice</t>
  </si>
  <si>
    <t>Candice</t>
  </si>
  <si>
    <t>450 530-2506</t>
  </si>
  <si>
    <t>1931072</t>
  </si>
  <si>
    <t>Augustin Tellier, William</t>
  </si>
  <si>
    <t>450 516-0244</t>
  </si>
  <si>
    <t>1769585</t>
  </si>
  <si>
    <t>J7N1P5</t>
  </si>
  <si>
    <t>450 516-4146</t>
  </si>
  <si>
    <t>1842543</t>
  </si>
  <si>
    <t>J7N1H9</t>
  </si>
  <si>
    <t>450 530-3067</t>
  </si>
  <si>
    <t>1629767</t>
  </si>
  <si>
    <t>450 516-4648</t>
  </si>
  <si>
    <t>1839196</t>
  </si>
  <si>
    <t>Seers, Aryane</t>
  </si>
  <si>
    <t>Aryane</t>
  </si>
  <si>
    <t>Bordeleau</t>
  </si>
  <si>
    <t>PONT-ROUGE</t>
  </si>
  <si>
    <t>Pont-Rouge</t>
  </si>
  <si>
    <t>450 512-0402</t>
  </si>
  <si>
    <t>0473547</t>
  </si>
  <si>
    <t>Falardeau, Marilou</t>
  </si>
  <si>
    <t>POINTE-CALUMET</t>
  </si>
  <si>
    <t>Pointe-Calumet</t>
  </si>
  <si>
    <t>J7N3G4</t>
  </si>
  <si>
    <t>450 508-6281</t>
  </si>
  <si>
    <t>1673592</t>
  </si>
  <si>
    <t>J7N3G3</t>
  </si>
  <si>
    <t>450 508-6482</t>
  </si>
  <si>
    <t>1826897</t>
  </si>
  <si>
    <t>Bouffard Tremblay, Sarah</t>
  </si>
  <si>
    <t>J7N3E7</t>
  </si>
  <si>
    <t>450 508-9322</t>
  </si>
  <si>
    <t>1327652</t>
  </si>
  <si>
    <t>J7N3G6</t>
  </si>
  <si>
    <t>450 508-1439</t>
  </si>
  <si>
    <t>1409472</t>
  </si>
  <si>
    <t>Gérard-Beaulé, Lory-Ann</t>
  </si>
  <si>
    <t>Gérard-Beaulé</t>
  </si>
  <si>
    <t>450 504-9041</t>
  </si>
  <si>
    <t>1228872</t>
  </si>
  <si>
    <t>René, Carol-Ann</t>
  </si>
  <si>
    <t>450 508-4463</t>
  </si>
  <si>
    <t>1927893</t>
  </si>
  <si>
    <t>450 504-8622</t>
  </si>
  <si>
    <t>1061588</t>
  </si>
  <si>
    <t>450 504-8880</t>
  </si>
  <si>
    <t>1528400</t>
  </si>
  <si>
    <t>Noury</t>
  </si>
  <si>
    <t>J7N3E8</t>
  </si>
  <si>
    <t>450 508-7949</t>
  </si>
  <si>
    <t>1867402</t>
  </si>
  <si>
    <t>Blais, Sokayna</t>
  </si>
  <si>
    <t>J7N3G2</t>
  </si>
  <si>
    <t>450 508-6578</t>
  </si>
  <si>
    <t>6101230</t>
  </si>
  <si>
    <t>Deneault, Mélissa-Kristyna</t>
  </si>
  <si>
    <t>J7N3G9</t>
  </si>
  <si>
    <t>450 504-9759</t>
  </si>
  <si>
    <t>1839616</t>
  </si>
  <si>
    <t>Le Brasseur, Jairo Armando</t>
  </si>
  <si>
    <t>450 504-9089</t>
  </si>
  <si>
    <t>1929328</t>
  </si>
  <si>
    <t>Caron, Rose-Alice</t>
  </si>
  <si>
    <t>450 512-0109</t>
  </si>
  <si>
    <t>1864998</t>
  </si>
  <si>
    <t>450 508-1229</t>
  </si>
  <si>
    <t>1427141</t>
  </si>
  <si>
    <t>Bruneau-Bujold, Samuel</t>
  </si>
  <si>
    <t>PLAISANCE</t>
  </si>
  <si>
    <t>Plaisance</t>
  </si>
  <si>
    <t>J7N3H3</t>
  </si>
  <si>
    <t>1733666</t>
  </si>
  <si>
    <t>Villemaire, Alexandra</t>
  </si>
  <si>
    <t>PIEDMONT</t>
  </si>
  <si>
    <t>Piedmont</t>
  </si>
  <si>
    <t>J7N3J9</t>
  </si>
  <si>
    <t>450 504-4239</t>
  </si>
  <si>
    <t>1939925</t>
  </si>
  <si>
    <t>Lahitte, Johanne</t>
  </si>
  <si>
    <t>J7N3J7</t>
  </si>
  <si>
    <t>450 504-4725</t>
  </si>
  <si>
    <t>1839810</t>
  </si>
  <si>
    <t>J7N3K2</t>
  </si>
  <si>
    <t>450 504-3908</t>
  </si>
  <si>
    <t>1959110</t>
  </si>
  <si>
    <t>De Cristofano, Mika</t>
  </si>
  <si>
    <t>Eve-Annie</t>
  </si>
  <si>
    <t>450 504-4560</t>
  </si>
  <si>
    <t>1924414</t>
  </si>
  <si>
    <t>Lafleur, José</t>
  </si>
  <si>
    <t>Eve-Marie</t>
  </si>
  <si>
    <t>J7N3H6</t>
  </si>
  <si>
    <t>450 504-6043</t>
  </si>
  <si>
    <t>1859078</t>
  </si>
  <si>
    <t>Paquin-Pellerin, Dannik</t>
  </si>
  <si>
    <t>Dannik</t>
  </si>
  <si>
    <t>J7N3H7</t>
  </si>
  <si>
    <t>450 504-5462</t>
  </si>
  <si>
    <t>1229958</t>
  </si>
  <si>
    <t>J7N3K1</t>
  </si>
  <si>
    <t>450 504-4056</t>
  </si>
  <si>
    <t>1681954</t>
  </si>
  <si>
    <t>Bussey, Sabrina</t>
  </si>
  <si>
    <t>J7N3H5</t>
  </si>
  <si>
    <t>450 504-6396</t>
  </si>
  <si>
    <t>1928974</t>
  </si>
  <si>
    <t>450 504-4050</t>
  </si>
  <si>
    <t>1544908</t>
  </si>
  <si>
    <t>Bai, William</t>
  </si>
  <si>
    <t>Bai</t>
  </si>
  <si>
    <t>Èvy</t>
  </si>
  <si>
    <t>J7N3H4</t>
  </si>
  <si>
    <t>450 504-6536</t>
  </si>
  <si>
    <t>1979343</t>
  </si>
  <si>
    <t>Dextraze, Maxime Charbonneau</t>
  </si>
  <si>
    <t>Eve-Lynn</t>
  </si>
  <si>
    <t>J7N3H9</t>
  </si>
  <si>
    <t>450 504-5277</t>
  </si>
  <si>
    <t>1887937</t>
  </si>
  <si>
    <t>Milian-Chambers, Émilie</t>
  </si>
  <si>
    <t>450 504-6300</t>
  </si>
  <si>
    <t>1927405</t>
  </si>
  <si>
    <t>Hamon, Laura</t>
  </si>
  <si>
    <t>Hamon</t>
  </si>
  <si>
    <t>1427011</t>
  </si>
  <si>
    <t>Charbonneau, Pier-Alexandre</t>
  </si>
  <si>
    <t>Proulx Meurs</t>
  </si>
  <si>
    <t>J7N3J6</t>
  </si>
  <si>
    <t>450 504-4945</t>
  </si>
  <si>
    <t>1674400</t>
  </si>
  <si>
    <t>J7N3K3</t>
  </si>
  <si>
    <t>450 504-3803</t>
  </si>
  <si>
    <t>1930956</t>
  </si>
  <si>
    <t>Carle, Rose-Marie</t>
  </si>
  <si>
    <t>450 504-7463</t>
  </si>
  <si>
    <t>1748310</t>
  </si>
  <si>
    <t>J7N3J1</t>
  </si>
  <si>
    <t>450 504-5106</t>
  </si>
  <si>
    <t>1631593</t>
  </si>
  <si>
    <t>Carpinelli</t>
  </si>
  <si>
    <t>450 504-4044</t>
  </si>
  <si>
    <t>1775861</t>
  </si>
  <si>
    <t>450 504-4194</t>
  </si>
  <si>
    <t>1655698</t>
  </si>
  <si>
    <t>Piazza, Clara</t>
  </si>
  <si>
    <t>450 504-3890</t>
  </si>
  <si>
    <t>1635139</t>
  </si>
  <si>
    <t>450 504-4574</t>
  </si>
  <si>
    <t>1840290</t>
  </si>
  <si>
    <t>450 504-4996</t>
  </si>
  <si>
    <t>1973716</t>
  </si>
  <si>
    <t>Primeau-Ouellet, Cédrick</t>
  </si>
  <si>
    <t>Primeau-Ouellet</t>
  </si>
  <si>
    <t>Charbonneau-Perrault</t>
  </si>
  <si>
    <t>450 504-6850</t>
  </si>
  <si>
    <t>1924917</t>
  </si>
  <si>
    <t>Charlebois, Philipe</t>
  </si>
  <si>
    <t>PAPINEAUVILLE</t>
  </si>
  <si>
    <t>Papineauville</t>
  </si>
  <si>
    <t>J7N3K4</t>
  </si>
  <si>
    <t>450 504-3296</t>
  </si>
  <si>
    <t>1441051</t>
  </si>
  <si>
    <t>Amyot-Cashulette, Yohan</t>
  </si>
  <si>
    <t>450 504-3663</t>
  </si>
  <si>
    <t>0758150</t>
  </si>
  <si>
    <t>Boivin, Shaïna</t>
  </si>
  <si>
    <t>PALMAROLLE</t>
  </si>
  <si>
    <t>Palmarolle</t>
  </si>
  <si>
    <t>450 504-3001</t>
  </si>
  <si>
    <t>1860125</t>
  </si>
  <si>
    <t>Del Mundo, Mia</t>
  </si>
  <si>
    <t>OKA</t>
  </si>
  <si>
    <t>Oka</t>
  </si>
  <si>
    <t>J7N3K6</t>
  </si>
  <si>
    <t>450 504-0883</t>
  </si>
  <si>
    <t>1339693</t>
  </si>
  <si>
    <t>450 504-1452</t>
  </si>
  <si>
    <t>1767494</t>
  </si>
  <si>
    <t>Desnoyers-Barrette, Mégan</t>
  </si>
  <si>
    <t>Desnoyers-Barrette</t>
  </si>
  <si>
    <t>Mitron-Fortugno</t>
  </si>
  <si>
    <t>450 504-1106</t>
  </si>
  <si>
    <t>1854517</t>
  </si>
  <si>
    <t>Krasnopolski-Saramito, Justine</t>
  </si>
  <si>
    <t>450 504-2073</t>
  </si>
  <si>
    <t>1762445</t>
  </si>
  <si>
    <t>Ayotte, William</t>
  </si>
  <si>
    <t>Ayotte</t>
  </si>
  <si>
    <t>450 504-1612</t>
  </si>
  <si>
    <t>1763267</t>
  </si>
  <si>
    <t>Thibeault-Vachon, Amélie</t>
  </si>
  <si>
    <t>J7N3M7</t>
  </si>
  <si>
    <t>450 504-0653</t>
  </si>
  <si>
    <t>1739530</t>
  </si>
  <si>
    <t>J7N3K5</t>
  </si>
  <si>
    <t>450 504-2857</t>
  </si>
  <si>
    <t>1961229</t>
  </si>
  <si>
    <t>1847933</t>
  </si>
  <si>
    <t>J7N3L8</t>
  </si>
  <si>
    <t>450 504-0745</t>
  </si>
  <si>
    <t>1466740</t>
  </si>
  <si>
    <t>Sauvé-Breton</t>
  </si>
  <si>
    <t>450 504-2462</t>
  </si>
  <si>
    <t>1424076</t>
  </si>
  <si>
    <t>Bigras, Stephanie</t>
  </si>
  <si>
    <t>St-Hilaire</t>
  </si>
  <si>
    <t>J7N3K7</t>
  </si>
  <si>
    <t>450 504-0776</t>
  </si>
  <si>
    <t>1822923</t>
  </si>
  <si>
    <t>Desjardins-Mansot, Mégane</t>
  </si>
  <si>
    <t>450 504-0756</t>
  </si>
  <si>
    <t>1724923</t>
  </si>
  <si>
    <t>Rousseau-Rioux, Béatrice</t>
  </si>
  <si>
    <t>450 504-1220</t>
  </si>
  <si>
    <t>1923641</t>
  </si>
  <si>
    <t>Bélair-Boileau, Vanessa</t>
  </si>
  <si>
    <t>NOTRE-DAME-DES-PRAIRIES</t>
  </si>
  <si>
    <t>Notre-Dame-des-Prairies</t>
  </si>
  <si>
    <t>J7P0A9</t>
  </si>
  <si>
    <t>450 504-0618</t>
  </si>
  <si>
    <t>1627632</t>
  </si>
  <si>
    <t>Angers, Yakim</t>
  </si>
  <si>
    <t>J7P0B4</t>
  </si>
  <si>
    <t>450 504-0557</t>
  </si>
  <si>
    <t>1835652</t>
  </si>
  <si>
    <t>Delisle, Mia</t>
  </si>
  <si>
    <t>NOTRE-DAME-DE-PONTMAIN</t>
  </si>
  <si>
    <t>Notre-Dame-de-Pontmain</t>
  </si>
  <si>
    <t>J7P0B7</t>
  </si>
  <si>
    <t>450 500-0594</t>
  </si>
  <si>
    <t>1359536</t>
  </si>
  <si>
    <t>Lestage, Gabrielle</t>
  </si>
  <si>
    <t>450 501-0426</t>
  </si>
  <si>
    <t>1835780</t>
  </si>
  <si>
    <t>Tessier, Andréanne</t>
  </si>
  <si>
    <t>Bélisle-Quevillon</t>
  </si>
  <si>
    <t>NOTRE-DAME-DE-LA-PAIX</t>
  </si>
  <si>
    <t>Notre-Dame-de-la-Paix</t>
  </si>
  <si>
    <t>450 495-1899</t>
  </si>
  <si>
    <t>1882591</t>
  </si>
  <si>
    <t>Amador Siero</t>
  </si>
  <si>
    <t>NOTRE-DAME-DE-LA-MERCI</t>
  </si>
  <si>
    <t>Notre-Dame-de-la-Merci</t>
  </si>
  <si>
    <t>J7P0C7</t>
  </si>
  <si>
    <t>450 495-1716</t>
  </si>
  <si>
    <t>1844168</t>
  </si>
  <si>
    <t>J7P0C3</t>
  </si>
  <si>
    <t>450 495-1755</t>
  </si>
  <si>
    <t>1850721</t>
  </si>
  <si>
    <t>Levesque, Gabrielle</t>
  </si>
  <si>
    <t>Levesque</t>
  </si>
  <si>
    <t>Ethan</t>
  </si>
  <si>
    <t>NOMININGUE</t>
  </si>
  <si>
    <t>Nominingue</t>
  </si>
  <si>
    <t>J7P1W1</t>
  </si>
  <si>
    <t>450 495-1630</t>
  </si>
  <si>
    <t>1833640</t>
  </si>
  <si>
    <t>J7P1P5</t>
  </si>
  <si>
    <t>450 495-1639</t>
  </si>
  <si>
    <t>1655045</t>
  </si>
  <si>
    <t>Ane, Yanni</t>
  </si>
  <si>
    <t>J7P1Z9</t>
  </si>
  <si>
    <t>450 495-1571</t>
  </si>
  <si>
    <t>0782731</t>
  </si>
  <si>
    <t>J7P2B6</t>
  </si>
  <si>
    <t>450 495-0798</t>
  </si>
  <si>
    <t>0766102</t>
  </si>
  <si>
    <t>Dridi, Maxeen</t>
  </si>
  <si>
    <t>MORIN-HEIGHTS</t>
  </si>
  <si>
    <t>Morin-Heights</t>
  </si>
  <si>
    <t>J7P2J2</t>
  </si>
  <si>
    <t>450 495-0440</t>
  </si>
  <si>
    <t>1725977</t>
  </si>
  <si>
    <t>Lefebvre-Fassio, Ilialie</t>
  </si>
  <si>
    <t>J7P4G4</t>
  </si>
  <si>
    <t>450 478-8488</t>
  </si>
  <si>
    <t>1640890</t>
  </si>
  <si>
    <t>Gilot, Lili-Rose</t>
  </si>
  <si>
    <t>J7P2M8</t>
  </si>
  <si>
    <t>450 495-0175</t>
  </si>
  <si>
    <t>1636050</t>
  </si>
  <si>
    <t>Prévost-Fournier, Cédrik</t>
  </si>
  <si>
    <t>Prévost-Fournier</t>
  </si>
  <si>
    <t>Érika</t>
  </si>
  <si>
    <t>J7P2P2</t>
  </si>
  <si>
    <t>450 491-4704</t>
  </si>
  <si>
    <t>1829163</t>
  </si>
  <si>
    <t>J7P4R5</t>
  </si>
  <si>
    <t>450 478-6063</t>
  </si>
  <si>
    <t>1142192</t>
  </si>
  <si>
    <t>450 491-7178</t>
  </si>
  <si>
    <t>1753488</t>
  </si>
  <si>
    <t>Cullen, Nathan</t>
  </si>
  <si>
    <t>J7P4Y8</t>
  </si>
  <si>
    <t>450 478-3266</t>
  </si>
  <si>
    <t>1890273</t>
  </si>
  <si>
    <t>J7P4K9</t>
  </si>
  <si>
    <t>450 478-7001</t>
  </si>
  <si>
    <t>1821390</t>
  </si>
  <si>
    <t>J7P3J3</t>
  </si>
  <si>
    <t>450 491-1339</t>
  </si>
  <si>
    <t>1578955</t>
  </si>
  <si>
    <t>Giroux, Léanna</t>
  </si>
  <si>
    <t>J7P2H6</t>
  </si>
  <si>
    <t>450 495-0583</t>
  </si>
  <si>
    <t>1767704</t>
  </si>
  <si>
    <t>Dallinga, Molly</t>
  </si>
  <si>
    <t>Dallinga</t>
  </si>
  <si>
    <t>J7P5A5</t>
  </si>
  <si>
    <t>450 478-3082</t>
  </si>
  <si>
    <t>1738492</t>
  </si>
  <si>
    <t>J7P4Y4</t>
  </si>
  <si>
    <t>450 478-3823</t>
  </si>
  <si>
    <t>1952260</t>
  </si>
  <si>
    <t>Bonsaint, Sébastien A.</t>
  </si>
  <si>
    <t>Bonsaint</t>
  </si>
  <si>
    <t>J7P4T5</t>
  </si>
  <si>
    <t>450 478-5742</t>
  </si>
  <si>
    <t>1848713</t>
  </si>
  <si>
    <t>Curadeau, Nathan</t>
  </si>
  <si>
    <t>Paradis Beaudry</t>
  </si>
  <si>
    <t>J7P5A1</t>
  </si>
  <si>
    <t>1950323</t>
  </si>
  <si>
    <t>Goyer-Raby, Laurie</t>
  </si>
  <si>
    <t>J7P2T5</t>
  </si>
  <si>
    <t>450 491-2469</t>
  </si>
  <si>
    <t>0972564</t>
  </si>
  <si>
    <t>Beaudry-Lafrenière</t>
  </si>
  <si>
    <t>J7P4B4</t>
  </si>
  <si>
    <t>450 479-1394</t>
  </si>
  <si>
    <t>1358229</t>
  </si>
  <si>
    <t>Serre, Arianne</t>
  </si>
  <si>
    <t>Erick Santiago</t>
  </si>
  <si>
    <t>J7P4C6</t>
  </si>
  <si>
    <t>0976716</t>
  </si>
  <si>
    <t>J7P2S8</t>
  </si>
  <si>
    <t>450 491-3733</t>
  </si>
  <si>
    <t>1539328</t>
  </si>
  <si>
    <t>Cantin, Ryan</t>
  </si>
  <si>
    <t>J7P2N4</t>
  </si>
  <si>
    <t>450 491-7959</t>
  </si>
  <si>
    <t>1475342</t>
  </si>
  <si>
    <t>J7P3P3</t>
  </si>
  <si>
    <t>1746426</t>
  </si>
  <si>
    <t>J7P4L3</t>
  </si>
  <si>
    <t>1943778</t>
  </si>
  <si>
    <t>J7P4H6</t>
  </si>
  <si>
    <t>450 478-7198</t>
  </si>
  <si>
    <t>1956507</t>
  </si>
  <si>
    <t>Donfack, Maxime</t>
  </si>
  <si>
    <t>J7P3L7</t>
  </si>
  <si>
    <t>450 491-1021</t>
  </si>
  <si>
    <t>1636093</t>
  </si>
  <si>
    <t>Marenger-Narbonne, Félix</t>
  </si>
  <si>
    <t>J7P4P1</t>
  </si>
  <si>
    <t>450 478-6152</t>
  </si>
  <si>
    <t>1983456</t>
  </si>
  <si>
    <t>J7P4W9</t>
  </si>
  <si>
    <t>450 478-4908</t>
  </si>
  <si>
    <t>1981633</t>
  </si>
  <si>
    <t>J7P4Y2</t>
  </si>
  <si>
    <t>450 478-4552</t>
  </si>
  <si>
    <t>1652285</t>
  </si>
  <si>
    <t>J7P2S9</t>
  </si>
  <si>
    <t>450 491-3262</t>
  </si>
  <si>
    <t>1834199</t>
  </si>
  <si>
    <t>Papineau Perdigao, David</t>
  </si>
  <si>
    <t>Papineau Perdigao</t>
  </si>
  <si>
    <t>J7P2E7</t>
  </si>
  <si>
    <t>450 495-0657</t>
  </si>
  <si>
    <t>1936750</t>
  </si>
  <si>
    <t>Laporte, Jérémy</t>
  </si>
  <si>
    <t>J7P3N6</t>
  </si>
  <si>
    <t>450 491-0450</t>
  </si>
  <si>
    <t>1724921</t>
  </si>
  <si>
    <t>Louis-Seize, Gabriel</t>
  </si>
  <si>
    <t>MONT-TREMBLANT</t>
  </si>
  <si>
    <t>Mont-Tremblant</t>
  </si>
  <si>
    <t>J7R2M3</t>
  </si>
  <si>
    <t>450 475-6998</t>
  </si>
  <si>
    <t>1941741</t>
  </si>
  <si>
    <t>Dansereau, Mirza</t>
  </si>
  <si>
    <t>J7P5E7</t>
  </si>
  <si>
    <t>450 477-8586</t>
  </si>
  <si>
    <t>1643866</t>
  </si>
  <si>
    <t>Lavoie, Janick</t>
  </si>
  <si>
    <t>J7P5P1</t>
  </si>
  <si>
    <t>450 477-3522</t>
  </si>
  <si>
    <t>1749103</t>
  </si>
  <si>
    <t>J7R1L2</t>
  </si>
  <si>
    <t>450 475-7754</t>
  </si>
  <si>
    <t>1822976</t>
  </si>
  <si>
    <t>Baert, William</t>
  </si>
  <si>
    <t>Baert</t>
  </si>
  <si>
    <t>Ulloa Huenchunir</t>
  </si>
  <si>
    <t>J7P5C7</t>
  </si>
  <si>
    <t>450 478-1167</t>
  </si>
  <si>
    <t>1530560</t>
  </si>
  <si>
    <t>J7R1X3</t>
  </si>
  <si>
    <t>450 475-7740</t>
  </si>
  <si>
    <t>1860116</t>
  </si>
  <si>
    <t>Galarneau-Larin, Malika</t>
  </si>
  <si>
    <t>J7P5T9</t>
  </si>
  <si>
    <t>450 475-7773</t>
  </si>
  <si>
    <t>1825687</t>
  </si>
  <si>
    <t>J7P5P5</t>
  </si>
  <si>
    <t>450 477-2908</t>
  </si>
  <si>
    <t>1714088</t>
  </si>
  <si>
    <t>Gariépy-Millette, Maev</t>
  </si>
  <si>
    <t>J7P5J2</t>
  </si>
  <si>
    <t>450 477-7779</t>
  </si>
  <si>
    <t>1812363</t>
  </si>
  <si>
    <t>Ghzaiel, Loïc</t>
  </si>
  <si>
    <t>J7P5S5</t>
  </si>
  <si>
    <t>450 475-8288</t>
  </si>
  <si>
    <t>1828266</t>
  </si>
  <si>
    <t>Bélisle-Quevillon, Tommy</t>
  </si>
  <si>
    <t>J7P5P2</t>
  </si>
  <si>
    <t>450 477-3269</t>
  </si>
  <si>
    <t>1965823</t>
  </si>
  <si>
    <t>Martel, Félix</t>
  </si>
  <si>
    <t>J7P5K8</t>
  </si>
  <si>
    <t>450 477-6983</t>
  </si>
  <si>
    <t>1822589</t>
  </si>
  <si>
    <t>Carvalho, Rosalie</t>
  </si>
  <si>
    <t>J7R2X9</t>
  </si>
  <si>
    <t>450 475-6413</t>
  </si>
  <si>
    <t>1650325</t>
  </si>
  <si>
    <t>Tran</t>
  </si>
  <si>
    <t>J7R2A7</t>
  </si>
  <si>
    <t>450 475-7162</t>
  </si>
  <si>
    <t>1928802</t>
  </si>
  <si>
    <t>J7P5N3</t>
  </si>
  <si>
    <t>450 477-4803</t>
  </si>
  <si>
    <t>1978507</t>
  </si>
  <si>
    <t>450 477-1615</t>
  </si>
  <si>
    <t>1226800</t>
  </si>
  <si>
    <t>O'Connor, Eli</t>
  </si>
  <si>
    <t>Eli</t>
  </si>
  <si>
    <t>Emma</t>
  </si>
  <si>
    <t>J7R2Y6</t>
  </si>
  <si>
    <t>450 475-6241</t>
  </si>
  <si>
    <t>0451601</t>
  </si>
  <si>
    <t>Fabre</t>
  </si>
  <si>
    <t>J7P5R6</t>
  </si>
  <si>
    <t>450 475-8893</t>
  </si>
  <si>
    <t>1344735</t>
  </si>
  <si>
    <t>Morissette-Sirois, Élora</t>
  </si>
  <si>
    <t>J7R3A3</t>
  </si>
  <si>
    <t>450 475-6116</t>
  </si>
  <si>
    <t>1831036</t>
  </si>
  <si>
    <t>Emmie-Samuel</t>
  </si>
  <si>
    <t>450 477-8103</t>
  </si>
  <si>
    <t>1737537</t>
  </si>
  <si>
    <t>J7P5L6</t>
  </si>
  <si>
    <t>1736734</t>
  </si>
  <si>
    <t>Morin, Emanuel</t>
  </si>
  <si>
    <t>Emanuel</t>
  </si>
  <si>
    <t>J7R2X6</t>
  </si>
  <si>
    <t>450 475-6420</t>
  </si>
  <si>
    <t>1871617</t>
  </si>
  <si>
    <t>J7R1X7</t>
  </si>
  <si>
    <t>450 475-7603</t>
  </si>
  <si>
    <t>1954073</t>
  </si>
  <si>
    <t>MONTRÉAL</t>
  </si>
  <si>
    <t>Montréal</t>
  </si>
  <si>
    <t>J7R5E1</t>
  </si>
  <si>
    <t>450 473-6147</t>
  </si>
  <si>
    <t>1850358</t>
  </si>
  <si>
    <t>Deslauriers-Juteau, Mégan</t>
  </si>
  <si>
    <t>J7R4H1</t>
  </si>
  <si>
    <t>450 474-0893</t>
  </si>
  <si>
    <t>1942977</t>
  </si>
  <si>
    <t>J7R4K3</t>
  </si>
  <si>
    <t>450 474-0184</t>
  </si>
  <si>
    <t>1830462</t>
  </si>
  <si>
    <t>J7R5R2</t>
  </si>
  <si>
    <t>450 471-1653</t>
  </si>
  <si>
    <t>1925769</t>
  </si>
  <si>
    <t>Fournier-Hébert, Marianne</t>
  </si>
  <si>
    <t>J7R5L4</t>
  </si>
  <si>
    <t>450 472-5005</t>
  </si>
  <si>
    <t>1959181</t>
  </si>
  <si>
    <t>Paquin, Daphne</t>
  </si>
  <si>
    <t>Daphne</t>
  </si>
  <si>
    <t>J7R3W9</t>
  </si>
  <si>
    <t>450 474-3116</t>
  </si>
  <si>
    <t>1963736</t>
  </si>
  <si>
    <t>Bélisle, Tony</t>
  </si>
  <si>
    <t>J7R5E4</t>
  </si>
  <si>
    <t>450 473-5328</t>
  </si>
  <si>
    <t>9379511</t>
  </si>
  <si>
    <t>Ravary, Cassandra</t>
  </si>
  <si>
    <t>J7R4M4</t>
  </si>
  <si>
    <t>450 473-8682</t>
  </si>
  <si>
    <t>1955130</t>
  </si>
  <si>
    <t>Dassylva, Mikaëlle</t>
  </si>
  <si>
    <t>J7R4Z7</t>
  </si>
  <si>
    <t>450 473-7624</t>
  </si>
  <si>
    <t>1658288</t>
  </si>
  <si>
    <t>J7R5C5</t>
  </si>
  <si>
    <t>450 473-6567</t>
  </si>
  <si>
    <t>1957925</t>
  </si>
  <si>
    <t>Belhamid, Tristan</t>
  </si>
  <si>
    <t>Belhamid</t>
  </si>
  <si>
    <t>J7R5C4</t>
  </si>
  <si>
    <t>450 473-6883</t>
  </si>
  <si>
    <t>1925714</t>
  </si>
  <si>
    <t>Lupuyo, Gabriel</t>
  </si>
  <si>
    <t>J7R5Y5</t>
  </si>
  <si>
    <t>450 456-9638</t>
  </si>
  <si>
    <t>1942710</t>
  </si>
  <si>
    <t>Khemiri, Kamylle</t>
  </si>
  <si>
    <t>J7R5H1</t>
  </si>
  <si>
    <t>450 472-9926</t>
  </si>
  <si>
    <t>1583947</t>
  </si>
  <si>
    <t>Durand, Marylène</t>
  </si>
  <si>
    <t>J7R5G6</t>
  </si>
  <si>
    <t>450 473-4059</t>
  </si>
  <si>
    <t>1327197</t>
  </si>
  <si>
    <t>Lauzière, Jean-Samuel</t>
  </si>
  <si>
    <t>J7R5Z1</t>
  </si>
  <si>
    <t>450 452-4930</t>
  </si>
  <si>
    <t>1875009</t>
  </si>
  <si>
    <t>Baril, Virginie</t>
  </si>
  <si>
    <t>J7R5N2</t>
  </si>
  <si>
    <t>450 471-4866</t>
  </si>
  <si>
    <t>1739022</t>
  </si>
  <si>
    <t>Mainville-Chamberland, François-Xavier</t>
  </si>
  <si>
    <t>J7R5H3</t>
  </si>
  <si>
    <t>450 472-9200</t>
  </si>
  <si>
    <t>0268489</t>
  </si>
  <si>
    <t>Nydegger-Ducharme, Eliane</t>
  </si>
  <si>
    <t>Eliane</t>
  </si>
  <si>
    <t>J7R5L8</t>
  </si>
  <si>
    <t>450 472-2377</t>
  </si>
  <si>
    <t>1968638</t>
  </si>
  <si>
    <t>450 473-3350</t>
  </si>
  <si>
    <t>0747059</t>
  </si>
  <si>
    <t>Delsame, Mélyna</t>
  </si>
  <si>
    <t>Delsame</t>
  </si>
  <si>
    <t>Nigelsky</t>
  </si>
  <si>
    <t>J7R5H8</t>
  </si>
  <si>
    <t>450 472-6630</t>
  </si>
  <si>
    <t>1734633</t>
  </si>
  <si>
    <t>450 471-5614</t>
  </si>
  <si>
    <t>1932135</t>
  </si>
  <si>
    <t>J7R5N6</t>
  </si>
  <si>
    <t>450 471-3452</t>
  </si>
  <si>
    <t>1844700</t>
  </si>
  <si>
    <t>Boudreau-Benoit, Sarah</t>
  </si>
  <si>
    <t>J7R4P8</t>
  </si>
  <si>
    <t>450 473-8421</t>
  </si>
  <si>
    <t>1847227</t>
  </si>
  <si>
    <t>Gagné, Marchal</t>
  </si>
  <si>
    <t>J7R5L7</t>
  </si>
  <si>
    <t>450 472-3161</t>
  </si>
  <si>
    <t>0069718</t>
  </si>
  <si>
    <t>450 473-0159</t>
  </si>
  <si>
    <t>1831089</t>
  </si>
  <si>
    <t>J7R6E4</t>
  </si>
  <si>
    <t>450 439-8978</t>
  </si>
  <si>
    <t>1020620</t>
  </si>
  <si>
    <t>Montmagny</t>
  </si>
  <si>
    <t>J7R6G5</t>
  </si>
  <si>
    <t>1453347</t>
  </si>
  <si>
    <t>Draghici, Maxim</t>
  </si>
  <si>
    <t>MONT-LAURIER</t>
  </si>
  <si>
    <t>Mont-Laurier</t>
  </si>
  <si>
    <t>J7R6K6</t>
  </si>
  <si>
    <t>450 439-7723</t>
  </si>
  <si>
    <t>1947538</t>
  </si>
  <si>
    <t>Ketchiemen Yanga, Karelle</t>
  </si>
  <si>
    <t>Ketchiemen Yanga</t>
  </si>
  <si>
    <t>J7R6N9</t>
  </si>
  <si>
    <t>450 439-3803</t>
  </si>
  <si>
    <t>1162811</t>
  </si>
  <si>
    <t>Le Blanc, Jalexina</t>
  </si>
  <si>
    <t>J7R6K3</t>
  </si>
  <si>
    <t>450 439-7941</t>
  </si>
  <si>
    <t>1829783</t>
  </si>
  <si>
    <t>Joannette-Lafrance, Katherine</t>
  </si>
  <si>
    <t>J7R6K2</t>
  </si>
  <si>
    <t>450 439-8209</t>
  </si>
  <si>
    <t>0149345</t>
  </si>
  <si>
    <t>J7R6H2</t>
  </si>
  <si>
    <t>450 439-8512</t>
  </si>
  <si>
    <t>1722415</t>
  </si>
  <si>
    <t>Lejour</t>
  </si>
  <si>
    <t>J7R6J4</t>
  </si>
  <si>
    <t>450 439-8261</t>
  </si>
  <si>
    <t>1933882</t>
  </si>
  <si>
    <t>Regimballe, Caroline</t>
  </si>
  <si>
    <t>J7R6M2</t>
  </si>
  <si>
    <t>450 439-6750</t>
  </si>
  <si>
    <t>1734387</t>
  </si>
  <si>
    <t>J7R6L5</t>
  </si>
  <si>
    <t>450 439-7087</t>
  </si>
  <si>
    <t>1741974</t>
  </si>
  <si>
    <t>J7R6P8</t>
  </si>
  <si>
    <t>450 439-3654</t>
  </si>
  <si>
    <t>1857161</t>
  </si>
  <si>
    <t>Mathieu-Grégoire, Ève</t>
  </si>
  <si>
    <t>Mathieu-Grégoire</t>
  </si>
  <si>
    <t>J7R6S8</t>
  </si>
  <si>
    <t>450 439-1863</t>
  </si>
  <si>
    <t>1653450</t>
  </si>
  <si>
    <t>J7R6L1</t>
  </si>
  <si>
    <t>450 439-7537</t>
  </si>
  <si>
    <t>1969394</t>
  </si>
  <si>
    <t>Veillette, Alexandre</t>
  </si>
  <si>
    <t>J7R6S2</t>
  </si>
  <si>
    <t>450 439-2157</t>
  </si>
  <si>
    <t>1453598</t>
  </si>
  <si>
    <t>Bédard-Richer, Vanessa</t>
  </si>
  <si>
    <t>J7R6N3</t>
  </si>
  <si>
    <t>450 439-5123</t>
  </si>
  <si>
    <t>1346754</t>
  </si>
  <si>
    <t>Ranger, Cassandre</t>
  </si>
  <si>
    <t>Cassandre</t>
  </si>
  <si>
    <t>J7R6T3</t>
  </si>
  <si>
    <t>450 439-1847</t>
  </si>
  <si>
    <t>1528704</t>
  </si>
  <si>
    <t>Issa</t>
  </si>
  <si>
    <t>J7R6L3</t>
  </si>
  <si>
    <t>450 439-7256</t>
  </si>
  <si>
    <t>1868454</t>
  </si>
  <si>
    <t>Allard-Dansereau, Zachari</t>
  </si>
  <si>
    <t>J7R6G9</t>
  </si>
  <si>
    <t>450 439-8649</t>
  </si>
  <si>
    <t>1926696</t>
  </si>
  <si>
    <t>J7R6G8</t>
  </si>
  <si>
    <t>450 439-8901</t>
  </si>
  <si>
    <t>1935134</t>
  </si>
  <si>
    <t>J7R6L7</t>
  </si>
  <si>
    <t>450 439-6898</t>
  </si>
  <si>
    <t>1746393</t>
  </si>
  <si>
    <t>J7R6H3</t>
  </si>
  <si>
    <t>450 439-8415</t>
  </si>
  <si>
    <t>1737567</t>
  </si>
  <si>
    <t>Langevin-Guilbault, Jessica</t>
  </si>
  <si>
    <t>MONTCALM</t>
  </si>
  <si>
    <t>Montcalm</t>
  </si>
  <si>
    <t>450 439-1811</t>
  </si>
  <si>
    <t>1532549</t>
  </si>
  <si>
    <t>MIRABEL</t>
  </si>
  <si>
    <t>Mirabel</t>
  </si>
  <si>
    <t>J7Y4N4</t>
  </si>
  <si>
    <t>450 432-7045</t>
  </si>
  <si>
    <t>1958378</t>
  </si>
  <si>
    <t>Godfrin, Léa</t>
  </si>
  <si>
    <t>J7Y5J6</t>
  </si>
  <si>
    <t>450 431-1177</t>
  </si>
  <si>
    <t>Techniques d'intégration multimédia</t>
  </si>
  <si>
    <t>1961053</t>
  </si>
  <si>
    <t>Thériault-Garon, Anabelle</t>
  </si>
  <si>
    <t>J7Y4Z7</t>
  </si>
  <si>
    <t>450 431-5907</t>
  </si>
  <si>
    <t>1960735</t>
  </si>
  <si>
    <t>Legault, Houda</t>
  </si>
  <si>
    <t>Gaillardetz</t>
  </si>
  <si>
    <t>J7Y3C4</t>
  </si>
  <si>
    <t>450 434-7944</t>
  </si>
  <si>
    <t>1905603</t>
  </si>
  <si>
    <t>Maisonneuve, François</t>
  </si>
  <si>
    <t>J7Y2M5</t>
  </si>
  <si>
    <t>450 436-1769</t>
  </si>
  <si>
    <t>1826960</t>
  </si>
  <si>
    <t>Labrecque-Fugère, Julien</t>
  </si>
  <si>
    <t>Labrecque-Fugère</t>
  </si>
  <si>
    <t>J7Y1V2</t>
  </si>
  <si>
    <t>450 436-6098</t>
  </si>
  <si>
    <t>1649714</t>
  </si>
  <si>
    <t>J7Y4T9</t>
  </si>
  <si>
    <t>450 432-1746</t>
  </si>
  <si>
    <t>6136368</t>
  </si>
  <si>
    <t>Bourget, Sara</t>
  </si>
  <si>
    <t>J7Y2P7</t>
  </si>
  <si>
    <t>450 436-1008</t>
  </si>
  <si>
    <t>1954039</t>
  </si>
  <si>
    <t>Lamarche, Jimmy</t>
  </si>
  <si>
    <t>Haeck</t>
  </si>
  <si>
    <t>J7Y5H6</t>
  </si>
  <si>
    <t>450 431-1746</t>
  </si>
  <si>
    <t>1929205</t>
  </si>
  <si>
    <t>Jones, Katerina</t>
  </si>
  <si>
    <t>J7Y1R5</t>
  </si>
  <si>
    <t>450 436-6751</t>
  </si>
  <si>
    <t>1837465</t>
  </si>
  <si>
    <t>Essindi, Marilou</t>
  </si>
  <si>
    <t>J7Y0J9</t>
  </si>
  <si>
    <t>450 437-9164</t>
  </si>
  <si>
    <t>1644784</t>
  </si>
  <si>
    <t>Elie</t>
  </si>
  <si>
    <t>J7Y1M4</t>
  </si>
  <si>
    <t>450 436-7204</t>
  </si>
  <si>
    <t>1454871</t>
  </si>
  <si>
    <t>St-Onge, Annie-Pierre</t>
  </si>
  <si>
    <t>J7Y5E7</t>
  </si>
  <si>
    <t>450 431-2658</t>
  </si>
  <si>
    <t>1869450</t>
  </si>
  <si>
    <t>Dufour, Matisse</t>
  </si>
  <si>
    <t>Martinez Beauchamp</t>
  </si>
  <si>
    <t>J7Y0H8</t>
  </si>
  <si>
    <t>450 438-0610</t>
  </si>
  <si>
    <t>1845800</t>
  </si>
  <si>
    <t>J7Y4Y4</t>
  </si>
  <si>
    <t>450 431-6780</t>
  </si>
  <si>
    <t>1809953</t>
  </si>
  <si>
    <t>J7Y1E1</t>
  </si>
  <si>
    <t>450 437-1088</t>
  </si>
  <si>
    <t>1564428</t>
  </si>
  <si>
    <t>J7Y0E8</t>
  </si>
  <si>
    <t>450 438-3224</t>
  </si>
  <si>
    <t>1841828</t>
  </si>
  <si>
    <t>J7Y4R5</t>
  </si>
  <si>
    <t>450 432-4264</t>
  </si>
  <si>
    <t>1944834</t>
  </si>
  <si>
    <t>Aubry-Wingfield, William</t>
  </si>
  <si>
    <t>J7Y5A9</t>
  </si>
  <si>
    <t>450 431-4254</t>
  </si>
  <si>
    <t>1986918</t>
  </si>
  <si>
    <t>Dagenais-Valiquette</t>
  </si>
  <si>
    <t>J7Y4A3</t>
  </si>
  <si>
    <t>450 433-1007</t>
  </si>
  <si>
    <t>1937071</t>
  </si>
  <si>
    <t>J7Y0B1</t>
  </si>
  <si>
    <t>450 438-6571</t>
  </si>
  <si>
    <t>1940560</t>
  </si>
  <si>
    <t>Bélanger, Trynité</t>
  </si>
  <si>
    <t>J7Y4K5</t>
  </si>
  <si>
    <t>450 432-8607</t>
  </si>
  <si>
    <t>1952367</t>
  </si>
  <si>
    <t>Bielikova, Stéphanie</t>
  </si>
  <si>
    <t>Bielikova</t>
  </si>
  <si>
    <t>450 438-3598</t>
  </si>
  <si>
    <t>1749947</t>
  </si>
  <si>
    <t>J7Y0B6</t>
  </si>
  <si>
    <t>450 438-4738</t>
  </si>
  <si>
    <t>1773126</t>
  </si>
  <si>
    <t>Abdel-Halim, Zoé</t>
  </si>
  <si>
    <t>Abdel-Halim</t>
  </si>
  <si>
    <t>Ziehmann</t>
  </si>
  <si>
    <t>Eden</t>
  </si>
  <si>
    <t>J7Y2E5</t>
  </si>
  <si>
    <t>450 436-3176</t>
  </si>
  <si>
    <t>1836029</t>
  </si>
  <si>
    <t>J7Z1A5</t>
  </si>
  <si>
    <t>450 419-6513</t>
  </si>
  <si>
    <t>1963030</t>
  </si>
  <si>
    <t>Brault, Samuel</t>
  </si>
  <si>
    <t>Brault</t>
  </si>
  <si>
    <t>Colin</t>
  </si>
  <si>
    <t>J7Y4V8</t>
  </si>
  <si>
    <t>450 432-0756</t>
  </si>
  <si>
    <t>1934359</t>
  </si>
  <si>
    <t>Pagé St-Pierre, Demrick</t>
  </si>
  <si>
    <t>Pagé St-Pierre</t>
  </si>
  <si>
    <t>Demrick</t>
  </si>
  <si>
    <t>450 438-6077</t>
  </si>
  <si>
    <t>1838198</t>
  </si>
  <si>
    <t>Haeck, Laurence</t>
  </si>
  <si>
    <t>J7Z1R9</t>
  </si>
  <si>
    <t>450 407-0612</t>
  </si>
  <si>
    <t>1868185</t>
  </si>
  <si>
    <t>Kline, Justine</t>
  </si>
  <si>
    <t>J7Y0K9</t>
  </si>
  <si>
    <t>450 437-8139</t>
  </si>
  <si>
    <t>1925762</t>
  </si>
  <si>
    <t>J7Y2V9</t>
  </si>
  <si>
    <t>450 435-3797</t>
  </si>
  <si>
    <t>1969055</t>
  </si>
  <si>
    <t>J7Y3W6</t>
  </si>
  <si>
    <t>450 433-1329</t>
  </si>
  <si>
    <t>1958898</t>
  </si>
  <si>
    <t>J7Y0H4</t>
  </si>
  <si>
    <t>450 438-2212</t>
  </si>
  <si>
    <t>1657732</t>
  </si>
  <si>
    <t>Caron, Rose-des-Vents</t>
  </si>
  <si>
    <t>J7Z1B2</t>
  </si>
  <si>
    <t>450 419-5699</t>
  </si>
  <si>
    <t>1959331</t>
  </si>
  <si>
    <t>Bouchard, Savanna</t>
  </si>
  <si>
    <t>J7Y1N1</t>
  </si>
  <si>
    <t>450 436-7166</t>
  </si>
  <si>
    <t>1814737</t>
  </si>
  <si>
    <t>J7Y3V5</t>
  </si>
  <si>
    <t>450 433-8038</t>
  </si>
  <si>
    <t>1662104</t>
  </si>
  <si>
    <t>Gauthier Dragon, Lucas</t>
  </si>
  <si>
    <t>J7Y4Z2</t>
  </si>
  <si>
    <t>450 431-6629</t>
  </si>
  <si>
    <t>1840580</t>
  </si>
  <si>
    <t>J7Y5A4</t>
  </si>
  <si>
    <t>450 431-4989</t>
  </si>
  <si>
    <t>1465548</t>
  </si>
  <si>
    <t>Boutin-Bigras, Sandrine</t>
  </si>
  <si>
    <t>Boutin-Bigras</t>
  </si>
  <si>
    <t>J7Z0A8</t>
  </si>
  <si>
    <t>450 430-6454</t>
  </si>
  <si>
    <t>1971848</t>
  </si>
  <si>
    <t>Grand-Maison, Laurie</t>
  </si>
  <si>
    <t>Grand-Maison</t>
  </si>
  <si>
    <t>J7Z1H1</t>
  </si>
  <si>
    <t>450 414-1175</t>
  </si>
  <si>
    <t>1741206</t>
  </si>
  <si>
    <t>Bédard, Véronique</t>
  </si>
  <si>
    <t>J7Y1G9</t>
  </si>
  <si>
    <t>450 436-9593</t>
  </si>
  <si>
    <t>1852354</t>
  </si>
  <si>
    <t>J7Y5K5</t>
  </si>
  <si>
    <t>450 431-0817</t>
  </si>
  <si>
    <t>1924733</t>
  </si>
  <si>
    <t>Capistran, Roxanne</t>
  </si>
  <si>
    <t>J7Z1C3</t>
  </si>
  <si>
    <t>450 419-4720</t>
  </si>
  <si>
    <t>1782269</t>
  </si>
  <si>
    <t>J7Y4Z5</t>
  </si>
  <si>
    <t>450 431-5918</t>
  </si>
  <si>
    <t>1953783</t>
  </si>
  <si>
    <t>Rochefort, Bohdan</t>
  </si>
  <si>
    <t>Bohdan</t>
  </si>
  <si>
    <t>J7Y0K8</t>
  </si>
  <si>
    <t>450 437-8206</t>
  </si>
  <si>
    <t>6150226</t>
  </si>
  <si>
    <t>Ménard-Fortin, Emmie-Samuel</t>
  </si>
  <si>
    <t>450 436-1975</t>
  </si>
  <si>
    <t>1307065</t>
  </si>
  <si>
    <t>Malandala, Francis</t>
  </si>
  <si>
    <t>Malandala</t>
  </si>
  <si>
    <t>J7Y3M1</t>
  </si>
  <si>
    <t>450 434-6303</t>
  </si>
  <si>
    <t>1831153</t>
  </si>
  <si>
    <t>J7Y1H9</t>
  </si>
  <si>
    <t>450 436-9463</t>
  </si>
  <si>
    <t>1460613</t>
  </si>
  <si>
    <t>Maguire, Frédérick</t>
  </si>
  <si>
    <t>Maguire</t>
  </si>
  <si>
    <t>J7R7H3</t>
  </si>
  <si>
    <t>450 438-8458</t>
  </si>
  <si>
    <t>1927835</t>
  </si>
  <si>
    <t>Tristani-Charbonneau, Alicia</t>
  </si>
  <si>
    <t>J7Y4P4</t>
  </si>
  <si>
    <t>450 432-5375</t>
  </si>
  <si>
    <t>1852295</t>
  </si>
  <si>
    <t>Roy, Aymeric</t>
  </si>
  <si>
    <t>Aymeric</t>
  </si>
  <si>
    <t>Boutet-Plourde</t>
  </si>
  <si>
    <t>J7Y2J4</t>
  </si>
  <si>
    <t>450 436-2475</t>
  </si>
  <si>
    <t>1921764</t>
  </si>
  <si>
    <t>Malo, Florence</t>
  </si>
  <si>
    <t>Charles-Vincent</t>
  </si>
  <si>
    <t>J7Z0G7</t>
  </si>
  <si>
    <t>450 420-4196</t>
  </si>
  <si>
    <t>1959285</t>
  </si>
  <si>
    <t>Élody</t>
  </si>
  <si>
    <t>450 438-2582</t>
  </si>
  <si>
    <t>1820861</t>
  </si>
  <si>
    <t>De Beaumont</t>
  </si>
  <si>
    <t>J7Y4L8</t>
  </si>
  <si>
    <t>450 432-7783</t>
  </si>
  <si>
    <t>0923498</t>
  </si>
  <si>
    <t>J7Y4W2</t>
  </si>
  <si>
    <t>450 431-9432</t>
  </si>
  <si>
    <t>1862883</t>
  </si>
  <si>
    <t>J7Z0K2</t>
  </si>
  <si>
    <t>450 419-8227</t>
  </si>
  <si>
    <t>1869540</t>
  </si>
  <si>
    <t>Pinard, Chen</t>
  </si>
  <si>
    <t>Chen</t>
  </si>
  <si>
    <t>J7Y4Z3</t>
  </si>
  <si>
    <t>450 431-6494</t>
  </si>
  <si>
    <t>1968002</t>
  </si>
  <si>
    <t>J7Z0H4</t>
  </si>
  <si>
    <t>450 420-1699</t>
  </si>
  <si>
    <t>1639525</t>
  </si>
  <si>
    <t>Gaillardetz, Malyka</t>
  </si>
  <si>
    <t>J7Y4P1</t>
  </si>
  <si>
    <t>450 432-5789</t>
  </si>
  <si>
    <t>1930412</t>
  </si>
  <si>
    <t>Daher, Myriam</t>
  </si>
  <si>
    <t>J7Y5E2</t>
  </si>
  <si>
    <t>450 431-3212</t>
  </si>
  <si>
    <t>1710849</t>
  </si>
  <si>
    <t>J7Y4Z4</t>
  </si>
  <si>
    <t>450 431-6175</t>
  </si>
  <si>
    <t>1732793</t>
  </si>
  <si>
    <t>Rail, Catherine</t>
  </si>
  <si>
    <t>J7Y4W6</t>
  </si>
  <si>
    <t>450 431-7696</t>
  </si>
  <si>
    <t>1830250</t>
  </si>
  <si>
    <t>Nicolas, Elizabeth</t>
  </si>
  <si>
    <t>J7Z1K3</t>
  </si>
  <si>
    <t>450 412-5151</t>
  </si>
  <si>
    <t>1729520</t>
  </si>
  <si>
    <t>J7Y2J3</t>
  </si>
  <si>
    <t>450 436-2641</t>
  </si>
  <si>
    <t>1949204</t>
  </si>
  <si>
    <t>Thériault, Andrea</t>
  </si>
  <si>
    <t>Andrea</t>
  </si>
  <si>
    <t>450 433-3968</t>
  </si>
  <si>
    <t>1841860</t>
  </si>
  <si>
    <t>Thériault-Degagné, Anaïs</t>
  </si>
  <si>
    <t>Anaïs</t>
  </si>
  <si>
    <t>450 431-4228</t>
  </si>
  <si>
    <t>1968688</t>
  </si>
  <si>
    <t>Cuman-Landreville, Nathan</t>
  </si>
  <si>
    <t>450 432-6909</t>
  </si>
  <si>
    <t>1904700</t>
  </si>
  <si>
    <t>Sikitu Wayali, Ariane</t>
  </si>
  <si>
    <t>J7Z1R7</t>
  </si>
  <si>
    <t>450 409-0527</t>
  </si>
  <si>
    <t>1831728</t>
  </si>
  <si>
    <t>Legris, Hanane</t>
  </si>
  <si>
    <t>J7Y5B7</t>
  </si>
  <si>
    <t>450 431-3889</t>
  </si>
  <si>
    <t>1753239</t>
  </si>
  <si>
    <t>J7Y1V4</t>
  </si>
  <si>
    <t>450 436-5974</t>
  </si>
  <si>
    <t>1750661</t>
  </si>
  <si>
    <t>J7Y1M2</t>
  </si>
  <si>
    <t>450 436-7509</t>
  </si>
  <si>
    <t>1610333</t>
  </si>
  <si>
    <t>J7Y2E3</t>
  </si>
  <si>
    <t>450 436-3216</t>
  </si>
  <si>
    <t>1624026</t>
  </si>
  <si>
    <t>Noury, Éliane</t>
  </si>
  <si>
    <t>J7Y1L7</t>
  </si>
  <si>
    <t>450 436-8161</t>
  </si>
  <si>
    <t>1970008</t>
  </si>
  <si>
    <t>Castonguay, Ronald-Junior</t>
  </si>
  <si>
    <t>J7R6Z5</t>
  </si>
  <si>
    <t>450 438-9382</t>
  </si>
  <si>
    <t>1431667</t>
  </si>
  <si>
    <t>Lessard Blais, Gabrielle</t>
  </si>
  <si>
    <t>J7Y4S6</t>
  </si>
  <si>
    <t>450 432-2838</t>
  </si>
  <si>
    <t>1849047</t>
  </si>
  <si>
    <t>Reyes Espinal, Carolane</t>
  </si>
  <si>
    <t>Reyes Espinal</t>
  </si>
  <si>
    <t>J7Y5K3</t>
  </si>
  <si>
    <t>450 431-0889</t>
  </si>
  <si>
    <t>1482354</t>
  </si>
  <si>
    <t>Fontaine, Marie-Li</t>
  </si>
  <si>
    <t>J7Y1G5</t>
  </si>
  <si>
    <t>450 436-9876</t>
  </si>
  <si>
    <t>1838193</t>
  </si>
  <si>
    <t>Séguin, Armèle</t>
  </si>
  <si>
    <t>450 437-8185</t>
  </si>
  <si>
    <t>1251944</t>
  </si>
  <si>
    <t>Fauteux-Gascon, Marilie</t>
  </si>
  <si>
    <t>450 436-9637</t>
  </si>
  <si>
    <t>1754412</t>
  </si>
  <si>
    <t>J7Y1V1</t>
  </si>
  <si>
    <t>450 436-6288</t>
  </si>
  <si>
    <t>1841398</t>
  </si>
  <si>
    <t>Bedel, Vanessa</t>
  </si>
  <si>
    <t>J7Y5B5</t>
  </si>
  <si>
    <t>450 431-3984</t>
  </si>
  <si>
    <t>1535127</t>
  </si>
  <si>
    <t>Pilotte</t>
  </si>
  <si>
    <t>J7Y0C3</t>
  </si>
  <si>
    <t>450 438-4270</t>
  </si>
  <si>
    <t>1124203</t>
  </si>
  <si>
    <t>Gauthier, Ludovik</t>
  </si>
  <si>
    <t>450 431-1210</t>
  </si>
  <si>
    <t>1828407</t>
  </si>
  <si>
    <t>Chénard, Pascal</t>
  </si>
  <si>
    <t>Chénard</t>
  </si>
  <si>
    <t>J7Y3N5</t>
  </si>
  <si>
    <t>450 434-3746</t>
  </si>
  <si>
    <t>1862305</t>
  </si>
  <si>
    <t>J7R7K6</t>
  </si>
  <si>
    <t>450 438-8030</t>
  </si>
  <si>
    <t>1657817</t>
  </si>
  <si>
    <t>Tackoor, Anne</t>
  </si>
  <si>
    <t>450 414-0963</t>
  </si>
  <si>
    <t>1665944</t>
  </si>
  <si>
    <t>Hynes</t>
  </si>
  <si>
    <t>J7R7A8</t>
  </si>
  <si>
    <t>450 438-8926</t>
  </si>
  <si>
    <t>1943595</t>
  </si>
  <si>
    <t>450 431-0779</t>
  </si>
  <si>
    <t>1954562</t>
  </si>
  <si>
    <t>450 431-7625</t>
  </si>
  <si>
    <t>1734047</t>
  </si>
  <si>
    <t>Elian</t>
  </si>
  <si>
    <t>J7Y1V6</t>
  </si>
  <si>
    <t>450 436-5961</t>
  </si>
  <si>
    <t>1936993</t>
  </si>
  <si>
    <t>Lacasse, Julie-Anne</t>
  </si>
  <si>
    <t>J7Y4V9</t>
  </si>
  <si>
    <t>450 432-0188</t>
  </si>
  <si>
    <t>1822788</t>
  </si>
  <si>
    <t>Banos, Wilfrid</t>
  </si>
  <si>
    <t>J7Y1A3</t>
  </si>
  <si>
    <t>450 437-2418</t>
  </si>
  <si>
    <t>1968727</t>
  </si>
  <si>
    <t>Linteau, Gabriel</t>
  </si>
  <si>
    <t>J7Y4H8</t>
  </si>
  <si>
    <t>450 432-9315</t>
  </si>
  <si>
    <t>1823217</t>
  </si>
  <si>
    <t>450 438-2305</t>
  </si>
  <si>
    <t>1877277</t>
  </si>
  <si>
    <t>J7Y5H3</t>
  </si>
  <si>
    <t>450 431-2140</t>
  </si>
  <si>
    <t>1463047</t>
  </si>
  <si>
    <t>Beaubrun, Vincent</t>
  </si>
  <si>
    <t>J7Y2C1</t>
  </si>
  <si>
    <t>450 436-4122</t>
  </si>
  <si>
    <t>1944279</t>
  </si>
  <si>
    <t>J7Y4J2</t>
  </si>
  <si>
    <t>450 432-9201</t>
  </si>
  <si>
    <t>0059523</t>
  </si>
  <si>
    <t>J7Y1W7</t>
  </si>
  <si>
    <t>450 436-5821</t>
  </si>
  <si>
    <t>0819533</t>
  </si>
  <si>
    <t>Soucy, Any-Pier</t>
  </si>
  <si>
    <t>450 431-6493</t>
  </si>
  <si>
    <t>1840964</t>
  </si>
  <si>
    <t>Masson, Eve-Marie</t>
  </si>
  <si>
    <t>J7Z0J5</t>
  </si>
  <si>
    <t>450 419-9583</t>
  </si>
  <si>
    <t>1763066</t>
  </si>
  <si>
    <t>Cloutier-Leclair</t>
  </si>
  <si>
    <t>450 431-6433</t>
  </si>
  <si>
    <t>1935491</t>
  </si>
  <si>
    <t>Arenas-Quinteros</t>
  </si>
  <si>
    <t>J7Y5B4</t>
  </si>
  <si>
    <t>450 431-4179</t>
  </si>
  <si>
    <t>1960769</t>
  </si>
  <si>
    <t>Laurin, Jean-Simon</t>
  </si>
  <si>
    <t>J7Y2R1</t>
  </si>
  <si>
    <t>450 436-0429</t>
  </si>
  <si>
    <t>1636661</t>
  </si>
  <si>
    <t>Tourigny, Amélia</t>
  </si>
  <si>
    <t>J7R7H4</t>
  </si>
  <si>
    <t>450 438-8238</t>
  </si>
  <si>
    <t>1977735</t>
  </si>
  <si>
    <t>Blackburn, Sophie</t>
  </si>
  <si>
    <t>1664901</t>
  </si>
  <si>
    <t>Liboiron, Gabriel-Charles</t>
  </si>
  <si>
    <t>J7Y2W2</t>
  </si>
  <si>
    <t>450 435-2743</t>
  </si>
  <si>
    <t>1369033</t>
  </si>
  <si>
    <t>J7Y4R7</t>
  </si>
  <si>
    <t>450 432-3525</t>
  </si>
  <si>
    <t>0982373</t>
  </si>
  <si>
    <t>Bélanger, Ulysse</t>
  </si>
  <si>
    <t>J7Y2S1</t>
  </si>
  <si>
    <t>450 435-7218</t>
  </si>
  <si>
    <t>1653512</t>
  </si>
  <si>
    <t>Caouette</t>
  </si>
  <si>
    <t>J7Y0A3</t>
  </si>
  <si>
    <t>450 438-6974</t>
  </si>
  <si>
    <t>1775481</t>
  </si>
  <si>
    <t>J7Y0K2</t>
  </si>
  <si>
    <t>450 437-8811</t>
  </si>
  <si>
    <t>0517008</t>
  </si>
  <si>
    <t>Jarry, Kayleigh</t>
  </si>
  <si>
    <t>1865937</t>
  </si>
  <si>
    <t>Lake, Joëlle</t>
  </si>
  <si>
    <t>Dania</t>
  </si>
  <si>
    <t>J7Y4L4</t>
  </si>
  <si>
    <t>450 432-8258</t>
  </si>
  <si>
    <t>0636557</t>
  </si>
  <si>
    <t>J7Y1C5</t>
  </si>
  <si>
    <t>450 437-1673</t>
  </si>
  <si>
    <t>1744093</t>
  </si>
  <si>
    <t>Murray, Élody</t>
  </si>
  <si>
    <t>Murray</t>
  </si>
  <si>
    <t>Des Rivières</t>
  </si>
  <si>
    <t>J7Y4T7</t>
  </si>
  <si>
    <t>450 432-2004</t>
  </si>
  <si>
    <t>1447251</t>
  </si>
  <si>
    <t>J7Y0J7</t>
  </si>
  <si>
    <t>450 437-9464</t>
  </si>
  <si>
    <t>1725630</t>
  </si>
  <si>
    <t>Becerra Guzman, Véronique</t>
  </si>
  <si>
    <t>Becerra Guzman</t>
  </si>
  <si>
    <t>Thibodeau-Soucy</t>
  </si>
  <si>
    <t>J7Y4X6</t>
  </si>
  <si>
    <t>450 431-7255</t>
  </si>
  <si>
    <t>1577864</t>
  </si>
  <si>
    <t>J7Z1R4</t>
  </si>
  <si>
    <t>450 409-1406</t>
  </si>
  <si>
    <t>1958469</t>
  </si>
  <si>
    <t>450 409-1166</t>
  </si>
  <si>
    <t>1956251</t>
  </si>
  <si>
    <t>450 431-2161</t>
  </si>
  <si>
    <t>1841309</t>
  </si>
  <si>
    <t>J7Y4X9</t>
  </si>
  <si>
    <t>450 431-7132</t>
  </si>
  <si>
    <t>1443679</t>
  </si>
  <si>
    <t>450 432-7944</t>
  </si>
  <si>
    <t>1483968</t>
  </si>
  <si>
    <t>Claudette</t>
  </si>
  <si>
    <t>450 431-7010</t>
  </si>
  <si>
    <t>1570532</t>
  </si>
  <si>
    <t>Bertrand, Sydney</t>
  </si>
  <si>
    <t>J7Y5H1</t>
  </si>
  <si>
    <t>450 431-2460</t>
  </si>
  <si>
    <t>1970862</t>
  </si>
  <si>
    <t>Jolin Gagnon, Katherine</t>
  </si>
  <si>
    <t>J7Y4M5</t>
  </si>
  <si>
    <t>450 432-7584</t>
  </si>
  <si>
    <t>1177578</t>
  </si>
  <si>
    <t>Legault, Hilda</t>
  </si>
  <si>
    <t>J7Y0K7</t>
  </si>
  <si>
    <t>450 437-8251</t>
  </si>
  <si>
    <t>1966788</t>
  </si>
  <si>
    <t>Taylor, Angélique</t>
  </si>
  <si>
    <t>J7R7C7</t>
  </si>
  <si>
    <t>450 438-8647</t>
  </si>
  <si>
    <t>1020007</t>
  </si>
  <si>
    <t>St-Jean-Payette, Anthony</t>
  </si>
  <si>
    <t>St-Jean-Payette</t>
  </si>
  <si>
    <t>J7Y1N4</t>
  </si>
  <si>
    <t>450 436-7114</t>
  </si>
  <si>
    <t>1963038</t>
  </si>
  <si>
    <t>J7Y4A4</t>
  </si>
  <si>
    <t>450 433-0449</t>
  </si>
  <si>
    <t>1984173</t>
  </si>
  <si>
    <t>450 431-2448</t>
  </si>
  <si>
    <t>1729148</t>
  </si>
  <si>
    <t>Satterthwaite, Audrey</t>
  </si>
  <si>
    <t>Satterthwaite</t>
  </si>
  <si>
    <t>Bouché</t>
  </si>
  <si>
    <t>J7Y3R9</t>
  </si>
  <si>
    <t>450 433-8227</t>
  </si>
  <si>
    <t>1723798</t>
  </si>
  <si>
    <t>J7Y4W5</t>
  </si>
  <si>
    <t>450 431-8394</t>
  </si>
  <si>
    <t>1940946</t>
  </si>
  <si>
    <t>François, Mariane</t>
  </si>
  <si>
    <t>J7Z1N2</t>
  </si>
  <si>
    <t>450 412-1077</t>
  </si>
  <si>
    <t>1964709</t>
  </si>
  <si>
    <t>J7Y5E9</t>
  </si>
  <si>
    <t>450 431-2551</t>
  </si>
  <si>
    <t>1973205</t>
  </si>
  <si>
    <t>Allard Grenier, Zacharie</t>
  </si>
  <si>
    <t>450 432-3607</t>
  </si>
  <si>
    <t>1958132</t>
  </si>
  <si>
    <t>450 438-0734</t>
  </si>
  <si>
    <t>1536871</t>
  </si>
  <si>
    <t>L'Écuyer, Jacinthe</t>
  </si>
  <si>
    <t>450 438-1928</t>
  </si>
  <si>
    <t>1775225</t>
  </si>
  <si>
    <t>J7Z0A6</t>
  </si>
  <si>
    <t>450 430-6708</t>
  </si>
  <si>
    <t>1973551</t>
  </si>
  <si>
    <t>Plourde, Charles-Vincent</t>
  </si>
  <si>
    <t>J7Z0J6</t>
  </si>
  <si>
    <t>450 419-9247</t>
  </si>
  <si>
    <t>1670225</t>
  </si>
  <si>
    <t>J7Z1E7</t>
  </si>
  <si>
    <t>450 419-2355</t>
  </si>
  <si>
    <t>1823626</t>
  </si>
  <si>
    <t>Dufour-Bolduc, Mathis</t>
  </si>
  <si>
    <t>Dufour-Bolduc</t>
  </si>
  <si>
    <t>J7Z1S1</t>
  </si>
  <si>
    <t>450 370-8598</t>
  </si>
  <si>
    <t>1830551</t>
  </si>
  <si>
    <t>1743513</t>
  </si>
  <si>
    <t>Juteau, Karl</t>
  </si>
  <si>
    <t>J7Z0C2</t>
  </si>
  <si>
    <t>450 430-3750</t>
  </si>
  <si>
    <t>0564843</t>
  </si>
  <si>
    <t>Roger, Benoit</t>
  </si>
  <si>
    <t>J7Z1S6</t>
  </si>
  <si>
    <t>450 365-3602</t>
  </si>
  <si>
    <t>1893327</t>
  </si>
  <si>
    <t>450 432-6152</t>
  </si>
  <si>
    <t>1283970</t>
  </si>
  <si>
    <t>Black, Sophie</t>
  </si>
  <si>
    <t>Black</t>
  </si>
  <si>
    <t>St-Arnauld</t>
  </si>
  <si>
    <t>J7Y3C3</t>
  </si>
  <si>
    <t>450 434-8463</t>
  </si>
  <si>
    <t>1330327</t>
  </si>
  <si>
    <t>J7Z0E1</t>
  </si>
  <si>
    <t>450 430-0807</t>
  </si>
  <si>
    <t>1461724</t>
  </si>
  <si>
    <t>J7Y4W3</t>
  </si>
  <si>
    <t>450 431-9136</t>
  </si>
  <si>
    <t>1753184</t>
  </si>
  <si>
    <t>Morissette, Elsa</t>
  </si>
  <si>
    <t>Elsa</t>
  </si>
  <si>
    <t>Charles Etienne</t>
  </si>
  <si>
    <t>450 419-9473</t>
  </si>
  <si>
    <t>1724259</t>
  </si>
  <si>
    <t>J7Y4P6</t>
  </si>
  <si>
    <t>450 432-4876</t>
  </si>
  <si>
    <t>1838644</t>
  </si>
  <si>
    <t>J7R6X8</t>
  </si>
  <si>
    <t>450 439-1307</t>
  </si>
  <si>
    <t>1938839</t>
  </si>
  <si>
    <t>J7Z1N7</t>
  </si>
  <si>
    <t>450 409-3026</t>
  </si>
  <si>
    <t>1547494</t>
  </si>
  <si>
    <t>Jackson, Kelly</t>
  </si>
  <si>
    <t>450 433-0972</t>
  </si>
  <si>
    <t>1860203</t>
  </si>
  <si>
    <t>Schmidt, Aryelle</t>
  </si>
  <si>
    <t>Aryelle</t>
  </si>
  <si>
    <t>J7Y4L5</t>
  </si>
  <si>
    <t>450 432-8163</t>
  </si>
  <si>
    <t>1950658</t>
  </si>
  <si>
    <t>Konde Bilogui, Justine</t>
  </si>
  <si>
    <t>J7Y4K6</t>
  </si>
  <si>
    <t>450 432-8508</t>
  </si>
  <si>
    <t>1834295</t>
  </si>
  <si>
    <t>Marceus, Florence</t>
  </si>
  <si>
    <t>Marceus</t>
  </si>
  <si>
    <t>J7R6X9</t>
  </si>
  <si>
    <t>450 439-0122</t>
  </si>
  <si>
    <t>1942056</t>
  </si>
  <si>
    <t>J7Z1G2</t>
  </si>
  <si>
    <t>450 416-1691</t>
  </si>
  <si>
    <t>1926203</t>
  </si>
  <si>
    <t>Hamady Alkhayyat, Laurence</t>
  </si>
  <si>
    <t>J7Y0L9</t>
  </si>
  <si>
    <t>450 437-6625</t>
  </si>
  <si>
    <t>1864854</t>
  </si>
  <si>
    <t>Jean, Katya</t>
  </si>
  <si>
    <t>450 432-0789</t>
  </si>
  <si>
    <t>1971499</t>
  </si>
  <si>
    <t>Vital Edouard, Alex</t>
  </si>
  <si>
    <t>J7Y2C8</t>
  </si>
  <si>
    <t>450 436-3564</t>
  </si>
  <si>
    <t>0960598</t>
  </si>
  <si>
    <t>450 431-3335</t>
  </si>
  <si>
    <t>1958949</t>
  </si>
  <si>
    <t>Moyeka, Éloïse</t>
  </si>
  <si>
    <t>450 431-5839</t>
  </si>
  <si>
    <t>1846029</t>
  </si>
  <si>
    <t>J7Y2N8</t>
  </si>
  <si>
    <t>450 436-1156</t>
  </si>
  <si>
    <t>1852440</t>
  </si>
  <si>
    <t>Gregoire, Laurie</t>
  </si>
  <si>
    <t>J7Y3L3</t>
  </si>
  <si>
    <t>450 434-6486</t>
  </si>
  <si>
    <t>1992993</t>
  </si>
  <si>
    <t>Gagnon, Marc</t>
  </si>
  <si>
    <t>J7R6Y4</t>
  </si>
  <si>
    <t>450 438-9822</t>
  </si>
  <si>
    <t>1537285</t>
  </si>
  <si>
    <t>Coutu-Garneau, Nicolas</t>
  </si>
  <si>
    <t>Coutu-Garneau</t>
  </si>
  <si>
    <t>450 431-3727</t>
  </si>
  <si>
    <t>1443216</t>
  </si>
  <si>
    <t>Dubord, Maude</t>
  </si>
  <si>
    <t>Dubord</t>
  </si>
  <si>
    <t>1951354</t>
  </si>
  <si>
    <t>Prévost, Cendryne</t>
  </si>
  <si>
    <t>Cendryne</t>
  </si>
  <si>
    <t>J7R7K5</t>
  </si>
  <si>
    <t>450 438-8091</t>
  </si>
  <si>
    <t>1573967</t>
  </si>
  <si>
    <t>1645842</t>
  </si>
  <si>
    <t>J7Y1X1</t>
  </si>
  <si>
    <t>450 436-5476</t>
  </si>
  <si>
    <t>1555762</t>
  </si>
  <si>
    <t>J7Z1P1</t>
  </si>
  <si>
    <t>450 409-1862</t>
  </si>
  <si>
    <t>0175975</t>
  </si>
  <si>
    <t>450 432-7861</t>
  </si>
  <si>
    <t>1534058</t>
  </si>
  <si>
    <t>Lacoste, Jules-Andre</t>
  </si>
  <si>
    <t>J7Z1L6</t>
  </si>
  <si>
    <t>450 412-1600</t>
  </si>
  <si>
    <t>1849157</t>
  </si>
  <si>
    <t>Araya-Ferland, Yacine Abdelhakim</t>
  </si>
  <si>
    <t>Araya-Ferland</t>
  </si>
  <si>
    <t>J7Y4L3</t>
  </si>
  <si>
    <t>450 432-8324</t>
  </si>
  <si>
    <t>1857568</t>
  </si>
  <si>
    <t>J7Y2L5</t>
  </si>
  <si>
    <t>450 436-2206</t>
  </si>
  <si>
    <t>1321083</t>
  </si>
  <si>
    <t>Chaloux, Raphaël</t>
  </si>
  <si>
    <t>J7Y1K9</t>
  </si>
  <si>
    <t>450 436-8341</t>
  </si>
  <si>
    <t>1927443</t>
  </si>
  <si>
    <t>Legault Lachaine, Héléna</t>
  </si>
  <si>
    <t>J7Y2H2</t>
  </si>
  <si>
    <t>450 436-3150</t>
  </si>
  <si>
    <t>1752185</t>
  </si>
  <si>
    <t>Gauthier-Bélanger, Lou-Philippe</t>
  </si>
  <si>
    <t>J7Y3N8</t>
  </si>
  <si>
    <t>450 434-0948</t>
  </si>
  <si>
    <t>1888175</t>
  </si>
  <si>
    <t>Demers, Melody</t>
  </si>
  <si>
    <t>J7Z1C4</t>
  </si>
  <si>
    <t>450 419-4446</t>
  </si>
  <si>
    <t>1043038</t>
  </si>
  <si>
    <t>Gagné, Marcelle Kévine</t>
  </si>
  <si>
    <t>450 439-0686</t>
  </si>
  <si>
    <t>1843805</t>
  </si>
  <si>
    <t>Martin, Fathima</t>
  </si>
  <si>
    <t>J7Z1H8</t>
  </si>
  <si>
    <t>450 414-0543</t>
  </si>
  <si>
    <t>1961391</t>
  </si>
  <si>
    <t>450 432-6091</t>
  </si>
  <si>
    <t>1068525</t>
  </si>
  <si>
    <t>St-Godard, Antoine</t>
  </si>
  <si>
    <t>St-Godard</t>
  </si>
  <si>
    <t>J7Y0E7</t>
  </si>
  <si>
    <t>450 438-3702</t>
  </si>
  <si>
    <t>1855858</t>
  </si>
  <si>
    <t>Touko Moukam, Amélia</t>
  </si>
  <si>
    <t>450 432-0031</t>
  </si>
  <si>
    <t>1730521</t>
  </si>
  <si>
    <t>450 431-6670</t>
  </si>
  <si>
    <t>1773557</t>
  </si>
  <si>
    <t>450 430-3632</t>
  </si>
  <si>
    <t>1729534</t>
  </si>
  <si>
    <t>J7Y2H4</t>
  </si>
  <si>
    <t>450 436-3019</t>
  </si>
  <si>
    <t>1838638</t>
  </si>
  <si>
    <t>Eduardo</t>
  </si>
  <si>
    <t>J7Y2C2</t>
  </si>
  <si>
    <t>450 436-3903</t>
  </si>
  <si>
    <t>1626761</t>
  </si>
  <si>
    <t>J7Y1C7</t>
  </si>
  <si>
    <t>450 437-1313</t>
  </si>
  <si>
    <t>1820155</t>
  </si>
  <si>
    <t>450 431-1975</t>
  </si>
  <si>
    <t>0787192</t>
  </si>
  <si>
    <t>J7Y2S5</t>
  </si>
  <si>
    <t>450 435-6915</t>
  </si>
  <si>
    <t>1973992</t>
  </si>
  <si>
    <t>J7Z1A9</t>
  </si>
  <si>
    <t>450 419-6057</t>
  </si>
  <si>
    <t>1622632</t>
  </si>
  <si>
    <t>Dextras</t>
  </si>
  <si>
    <t>J7R6X2</t>
  </si>
  <si>
    <t>450 439-1567</t>
  </si>
  <si>
    <t>1987366</t>
  </si>
  <si>
    <t>J7Y3V6</t>
  </si>
  <si>
    <t>450 433-7820</t>
  </si>
  <si>
    <t>1677339</t>
  </si>
  <si>
    <t>J7Z1E9</t>
  </si>
  <si>
    <t>450 419-0691</t>
  </si>
  <si>
    <t>1752399</t>
  </si>
  <si>
    <t>Beaupré, Vickie</t>
  </si>
  <si>
    <t>450 430-1231</t>
  </si>
  <si>
    <t>1475798</t>
  </si>
  <si>
    <t>J7Y1M1</t>
  </si>
  <si>
    <t>450 436-8065</t>
  </si>
  <si>
    <t>1945741</t>
  </si>
  <si>
    <t>Lafontaine-Giguère, Jordan</t>
  </si>
  <si>
    <t>J7Y4X5</t>
  </si>
  <si>
    <t>450 431-7375</t>
  </si>
  <si>
    <t>1282686</t>
  </si>
  <si>
    <t>Lauzon, Jean-Philippe</t>
  </si>
  <si>
    <t>J7R7A2</t>
  </si>
  <si>
    <t>450 438-9378</t>
  </si>
  <si>
    <t>1026088</t>
  </si>
  <si>
    <t>J7Y3R4</t>
  </si>
  <si>
    <t>1767270</t>
  </si>
  <si>
    <t>Grandmougin, Laurie</t>
  </si>
  <si>
    <t>J7Z1N6</t>
  </si>
  <si>
    <t>450 409-3145</t>
  </si>
  <si>
    <t>1927993</t>
  </si>
  <si>
    <t>Brideau, Samuel</t>
  </si>
  <si>
    <t>450 431-7931</t>
  </si>
  <si>
    <t>1425032</t>
  </si>
  <si>
    <t>J7Z0H8</t>
  </si>
  <si>
    <t>450 420-1034</t>
  </si>
  <si>
    <t>1753283</t>
  </si>
  <si>
    <t>J7Y4M8</t>
  </si>
  <si>
    <t>450 432-7326</t>
  </si>
  <si>
    <t>9356998</t>
  </si>
  <si>
    <t>J7Z1M5</t>
  </si>
  <si>
    <t>450 412-1440</t>
  </si>
  <si>
    <t>1492998</t>
  </si>
  <si>
    <t>Cayer-Girard, Rémi</t>
  </si>
  <si>
    <t>Cayer-Girard</t>
  </si>
  <si>
    <t>450 437-8298</t>
  </si>
  <si>
    <t>1831831</t>
  </si>
  <si>
    <t>J7Y1G7</t>
  </si>
  <si>
    <t>450 436-9748</t>
  </si>
  <si>
    <t>0638712</t>
  </si>
  <si>
    <t>J7Y4K7</t>
  </si>
  <si>
    <t>450 432-8489</t>
  </si>
  <si>
    <t>1572416</t>
  </si>
  <si>
    <t>Roberge, Bryanna</t>
  </si>
  <si>
    <t>Bryanna</t>
  </si>
  <si>
    <t>J7Y4T5</t>
  </si>
  <si>
    <t>450 432-2310</t>
  </si>
  <si>
    <t>1628679</t>
  </si>
  <si>
    <t>J7Y3E4</t>
  </si>
  <si>
    <t>450 434-7744</t>
  </si>
  <si>
    <t>200.13</t>
  </si>
  <si>
    <t>1838631</t>
  </si>
  <si>
    <t>Gaudet, Lysianne</t>
  </si>
  <si>
    <t>Claudy</t>
  </si>
  <si>
    <t>J7Y4W4</t>
  </si>
  <si>
    <t>450 431-9008</t>
  </si>
  <si>
    <t>1862325</t>
  </si>
  <si>
    <t>J7Y4P2</t>
  </si>
  <si>
    <t>450 432-5661</t>
  </si>
  <si>
    <t>1730759</t>
  </si>
  <si>
    <t>450 431-6341</t>
  </si>
  <si>
    <t>1684794</t>
  </si>
  <si>
    <t>Melancon, Erick Santiago</t>
  </si>
  <si>
    <t>J7Y0K1</t>
  </si>
  <si>
    <t>450 437-9099</t>
  </si>
  <si>
    <t>1220819</t>
  </si>
  <si>
    <t>Amador Siero, Yosra</t>
  </si>
  <si>
    <t>J7Y2Z6</t>
  </si>
  <si>
    <t>450 434-9658</t>
  </si>
  <si>
    <t>9647117</t>
  </si>
  <si>
    <t>J7Y4R6</t>
  </si>
  <si>
    <t>450 432-4105</t>
  </si>
  <si>
    <t>1843519</t>
  </si>
  <si>
    <t>J7Y3E1</t>
  </si>
  <si>
    <t>450 434-7883</t>
  </si>
  <si>
    <t>1830829</t>
  </si>
  <si>
    <t>J7Y4P5</t>
  </si>
  <si>
    <t>450 432-5019</t>
  </si>
  <si>
    <t>9717021</t>
  </si>
  <si>
    <t>Broekaert, Samuel</t>
  </si>
  <si>
    <t>1838214</t>
  </si>
  <si>
    <t>Coron, Noémie</t>
  </si>
  <si>
    <t>Coron</t>
  </si>
  <si>
    <t>Pesant</t>
  </si>
  <si>
    <t>J7Y2Y6</t>
  </si>
  <si>
    <t>1845134</t>
  </si>
  <si>
    <t>Roy, Audrey-Pier</t>
  </si>
  <si>
    <t>Audrey-Pier</t>
  </si>
  <si>
    <t>J7Y3W2</t>
  </si>
  <si>
    <t>450 433-6583</t>
  </si>
  <si>
    <t>1959146</t>
  </si>
  <si>
    <t>Degand-Clervil, Michael</t>
  </si>
  <si>
    <t>Degand-Clervil</t>
  </si>
  <si>
    <t>1451058</t>
  </si>
  <si>
    <t>Arias, Xavier</t>
  </si>
  <si>
    <t>Cristobal Felipe</t>
  </si>
  <si>
    <t>450 432-4654</t>
  </si>
  <si>
    <t>1761594</t>
  </si>
  <si>
    <t>Pelletier, Cristobal Felipe</t>
  </si>
  <si>
    <t>J7Y3A2</t>
  </si>
  <si>
    <t>450 434-9428</t>
  </si>
  <si>
    <t>1884516</t>
  </si>
  <si>
    <t>Slavnicu-Painchaud, Ariane</t>
  </si>
  <si>
    <t>J7Y0C4</t>
  </si>
  <si>
    <t>450 438-4061</t>
  </si>
  <si>
    <t>1455469</t>
  </si>
  <si>
    <t>Prévost, Cesar David</t>
  </si>
  <si>
    <t>Cesar David</t>
  </si>
  <si>
    <t>450 431-6817</t>
  </si>
  <si>
    <t>0919495</t>
  </si>
  <si>
    <t>J7R6Y1</t>
  </si>
  <si>
    <t>450 438-9849</t>
  </si>
  <si>
    <t>1923349</t>
  </si>
  <si>
    <t>Sarrazin Verdi, Audrey</t>
  </si>
  <si>
    <t>Boucher Rocha</t>
  </si>
  <si>
    <t>J7R7C8</t>
  </si>
  <si>
    <t>450 438-8561</t>
  </si>
  <si>
    <t>1630224</t>
  </si>
  <si>
    <t>Randa, Cassidy</t>
  </si>
  <si>
    <t>Randa</t>
  </si>
  <si>
    <t>Cassidy</t>
  </si>
  <si>
    <t>Céré</t>
  </si>
  <si>
    <t>450 432-7031</t>
  </si>
  <si>
    <t>1661816</t>
  </si>
  <si>
    <t>Bellefleur-Giroux, Tiffany</t>
  </si>
  <si>
    <t>Bellefleur-Giroux</t>
  </si>
  <si>
    <t>Tchoutou Nana</t>
  </si>
  <si>
    <t>J7Y4L6</t>
  </si>
  <si>
    <t>450 432-8137</t>
  </si>
  <si>
    <t>1748124</t>
  </si>
  <si>
    <t>Tessier-Maurice, Andréanne</t>
  </si>
  <si>
    <t>J7Y3J4</t>
  </si>
  <si>
    <t>450 434-7516</t>
  </si>
  <si>
    <t>1564041</t>
  </si>
  <si>
    <t>450 417-1101</t>
  </si>
  <si>
    <t>1984805</t>
  </si>
  <si>
    <t>Masse-Lalonde, Èvy</t>
  </si>
  <si>
    <t>450 420-0571</t>
  </si>
  <si>
    <t>1734116</t>
  </si>
  <si>
    <t>J7Z0G6</t>
  </si>
  <si>
    <t>450 420-5050</t>
  </si>
  <si>
    <t>1629562</t>
  </si>
  <si>
    <t>Bisson-Coulombe, Sophie Alexandra</t>
  </si>
  <si>
    <t>Bisson-Coulombe</t>
  </si>
  <si>
    <t>Ste-Marie</t>
  </si>
  <si>
    <t>J7Z0B3</t>
  </si>
  <si>
    <t>450 430-4512</t>
  </si>
  <si>
    <t>1944720</t>
  </si>
  <si>
    <t>Bédard, Verdeley</t>
  </si>
  <si>
    <t>450 436-6932</t>
  </si>
  <si>
    <t>1967296</t>
  </si>
  <si>
    <t>Dakéré Hulda Yokebed</t>
  </si>
  <si>
    <t>450 432-7636</t>
  </si>
  <si>
    <t>1821088</t>
  </si>
  <si>
    <t>Rollin, Benjamin</t>
  </si>
  <si>
    <t>J7Y0B5</t>
  </si>
  <si>
    <t>450 438-6068</t>
  </si>
  <si>
    <t>1647654</t>
  </si>
  <si>
    <t>J7Z0A4</t>
  </si>
  <si>
    <t>450 430-7359</t>
  </si>
  <si>
    <t>1655932</t>
  </si>
  <si>
    <t>Zavarreza, Abigaël</t>
  </si>
  <si>
    <t>450 431-1726</t>
  </si>
  <si>
    <t>1622413</t>
  </si>
  <si>
    <t>Beaupré, Vicky</t>
  </si>
  <si>
    <t>J7Z1N5</t>
  </si>
  <si>
    <t>450 412-0591</t>
  </si>
  <si>
    <t>1430303</t>
  </si>
  <si>
    <t>J7Y0A7</t>
  </si>
  <si>
    <t>450 438-6797</t>
  </si>
  <si>
    <t>1669745</t>
  </si>
  <si>
    <t>Cloutier-Leclair, Olivier</t>
  </si>
  <si>
    <t>J7Y5L4</t>
  </si>
  <si>
    <t>450 431-0386</t>
  </si>
  <si>
    <t>1844752</t>
  </si>
  <si>
    <t>Beaudet-Raymond, Vincent</t>
  </si>
  <si>
    <t>450 436-2972</t>
  </si>
  <si>
    <t>1728107</t>
  </si>
  <si>
    <t>450 431-7191</t>
  </si>
  <si>
    <t>1632898</t>
  </si>
  <si>
    <t>J7Z0E7</t>
  </si>
  <si>
    <t>450 420-9249</t>
  </si>
  <si>
    <t>1977641</t>
  </si>
  <si>
    <t>Pételle, Claudette</t>
  </si>
  <si>
    <t>Eméric</t>
  </si>
  <si>
    <t>J7T1K9</t>
  </si>
  <si>
    <t>450 438-7689</t>
  </si>
  <si>
    <t>1829054</t>
  </si>
  <si>
    <t>Desfossés-Ouellette, Melanie</t>
  </si>
  <si>
    <t>J7Y3N9</t>
  </si>
  <si>
    <t>450 434-0151</t>
  </si>
  <si>
    <t>1956545</t>
  </si>
  <si>
    <t>J7Y2X8</t>
  </si>
  <si>
    <t>450 435-1269</t>
  </si>
  <si>
    <t>1414585</t>
  </si>
  <si>
    <t>Cadoz, Sabrina</t>
  </si>
  <si>
    <t>Cadoz</t>
  </si>
  <si>
    <t>450 431-6653</t>
  </si>
  <si>
    <t>1792856</t>
  </si>
  <si>
    <t>Riachy, Carolane</t>
  </si>
  <si>
    <t>Riachy</t>
  </si>
  <si>
    <t>J7Y4S2</t>
  </si>
  <si>
    <t>450 432-3283</t>
  </si>
  <si>
    <t>1846017</t>
  </si>
  <si>
    <t>Rochon-Alary, Bianca</t>
  </si>
  <si>
    <t>J7Y2W1</t>
  </si>
  <si>
    <t>450 435-3373</t>
  </si>
  <si>
    <t>1744543</t>
  </si>
  <si>
    <t>Silvan-Vigo, Ariane</t>
  </si>
  <si>
    <t>J7Y4W7</t>
  </si>
  <si>
    <t>450 431-7528</t>
  </si>
  <si>
    <t>1847430</t>
  </si>
  <si>
    <t>Pereira-Pacilio, Coralie</t>
  </si>
  <si>
    <t>450 437-3670</t>
  </si>
  <si>
    <t>1731035</t>
  </si>
  <si>
    <t>450 431-8261</t>
  </si>
  <si>
    <t>1645314</t>
  </si>
  <si>
    <t>Payeur, Cynthia</t>
  </si>
  <si>
    <t>Payeur</t>
  </si>
  <si>
    <t>J7Y0H6</t>
  </si>
  <si>
    <t>450 438-0611</t>
  </si>
  <si>
    <t>1162039</t>
  </si>
  <si>
    <t>Lécuyer, Jacky</t>
  </si>
  <si>
    <t>J7Y3V8</t>
  </si>
  <si>
    <t>450 433-7369</t>
  </si>
  <si>
    <t>1642237</t>
  </si>
  <si>
    <t>Clément-Gagnon, Olivier</t>
  </si>
  <si>
    <t>Elena</t>
  </si>
  <si>
    <t>J7Y1Z3</t>
  </si>
  <si>
    <t>450 436-5092</t>
  </si>
  <si>
    <t>1930074</t>
  </si>
  <si>
    <t>450 437-4372</t>
  </si>
  <si>
    <t>1425928</t>
  </si>
  <si>
    <t>Savaria, Audréane</t>
  </si>
  <si>
    <t>Audréane</t>
  </si>
  <si>
    <t>J7Y4T1</t>
  </si>
  <si>
    <t>450 432-2423</t>
  </si>
  <si>
    <t>1839088</t>
  </si>
  <si>
    <t>450 434-8778</t>
  </si>
  <si>
    <t>1729488</t>
  </si>
  <si>
    <t>8437480</t>
  </si>
  <si>
    <t>Nadeau Veilleux, Elodie</t>
  </si>
  <si>
    <t>Nadeau Veilleux</t>
  </si>
  <si>
    <t>Élaura</t>
  </si>
  <si>
    <t>J7Y1Z7</t>
  </si>
  <si>
    <t>450 436-4821</t>
  </si>
  <si>
    <t>1948900</t>
  </si>
  <si>
    <t>J7Y2A6</t>
  </si>
  <si>
    <t>450 436-4317</t>
  </si>
  <si>
    <t>1423674</t>
  </si>
  <si>
    <t>Bouchard, Sébastian</t>
  </si>
  <si>
    <t>450 419-9004</t>
  </si>
  <si>
    <t>1923546</t>
  </si>
  <si>
    <t>J7R6Y7</t>
  </si>
  <si>
    <t>1826257</t>
  </si>
  <si>
    <t>Frojan-L'Heureux, Marcus</t>
  </si>
  <si>
    <t>450 432-7382</t>
  </si>
  <si>
    <t>1767023</t>
  </si>
  <si>
    <t>Daniela</t>
  </si>
  <si>
    <t>J7Y4K1</t>
  </si>
  <si>
    <t>450 432-8957</t>
  </si>
  <si>
    <t>1477944</t>
  </si>
  <si>
    <t>Mondion, Emilie</t>
  </si>
  <si>
    <t>J7Y0E9</t>
  </si>
  <si>
    <t>450 438-3141</t>
  </si>
  <si>
    <t>1734866</t>
  </si>
  <si>
    <t>450 432-1083</t>
  </si>
  <si>
    <t>1632821</t>
  </si>
  <si>
    <t>Chelfat, Pascal</t>
  </si>
  <si>
    <t>J7Y2V6</t>
  </si>
  <si>
    <t>450 435-5165</t>
  </si>
  <si>
    <t>1431524</t>
  </si>
  <si>
    <t>Dick, Maxime</t>
  </si>
  <si>
    <t>J7Y4Z8</t>
  </si>
  <si>
    <t>450 431-5388</t>
  </si>
  <si>
    <t>1852761</t>
  </si>
  <si>
    <t>Dubé-Lemire</t>
  </si>
  <si>
    <t>450 431-9043</t>
  </si>
  <si>
    <t>0632138</t>
  </si>
  <si>
    <t>Volmar, Alex</t>
  </si>
  <si>
    <t>J7Y3M4</t>
  </si>
  <si>
    <t>450 434-5509</t>
  </si>
  <si>
    <t>1851094</t>
  </si>
  <si>
    <t>Poulin, Charif</t>
  </si>
  <si>
    <t>Charif</t>
  </si>
  <si>
    <t>Charpentier</t>
  </si>
  <si>
    <t>J7Z1E4</t>
  </si>
  <si>
    <t>450 419-3615</t>
  </si>
  <si>
    <t>0933841</t>
  </si>
  <si>
    <t>Boucher, Sarah-Jeanne</t>
  </si>
  <si>
    <t>J7Y0G7</t>
  </si>
  <si>
    <t>450 438-2825</t>
  </si>
  <si>
    <t>1655962</t>
  </si>
  <si>
    <t>J7Y1W9</t>
  </si>
  <si>
    <t>450 436-5568</t>
  </si>
  <si>
    <t>1857927</t>
  </si>
  <si>
    <t>J7Y3G1</t>
  </si>
  <si>
    <t>450 434-7655</t>
  </si>
  <si>
    <t>1648582</t>
  </si>
  <si>
    <t>Dubreuil, Maude</t>
  </si>
  <si>
    <t>J7Y4N3</t>
  </si>
  <si>
    <t>450 432-7055</t>
  </si>
  <si>
    <t>1926740</t>
  </si>
  <si>
    <t>450 432-4094</t>
  </si>
  <si>
    <t>1852855</t>
  </si>
  <si>
    <t>J7Y2P5</t>
  </si>
  <si>
    <t>450 436-1029</t>
  </si>
  <si>
    <t>1976754</t>
  </si>
  <si>
    <t>Sévigny-Deschambault, Ariane</t>
  </si>
  <si>
    <t>J7Y1V7</t>
  </si>
  <si>
    <t>450 436-5862</t>
  </si>
  <si>
    <t>1792980</t>
  </si>
  <si>
    <t>Daoust, Mina</t>
  </si>
  <si>
    <t>J7Y4J9</t>
  </si>
  <si>
    <t>450 432-9020</t>
  </si>
  <si>
    <t>9986519</t>
  </si>
  <si>
    <t>J7Y1Y3</t>
  </si>
  <si>
    <t>450 436-5294</t>
  </si>
  <si>
    <t>1940731</t>
  </si>
  <si>
    <t>Dabé-Champagne, Nadjat</t>
  </si>
  <si>
    <t>450 432-9598</t>
  </si>
  <si>
    <t>1742339</t>
  </si>
  <si>
    <t>Brun</t>
  </si>
  <si>
    <t>450 431-8938</t>
  </si>
  <si>
    <t>1843166</t>
  </si>
  <si>
    <t>Granda Obando, Laurie</t>
  </si>
  <si>
    <t>J7Y3N3</t>
  </si>
  <si>
    <t>450 434-4087</t>
  </si>
  <si>
    <t>1667945</t>
  </si>
  <si>
    <t>450 436-1044</t>
  </si>
  <si>
    <t>1726785</t>
  </si>
  <si>
    <t>Andrews, Yannick</t>
  </si>
  <si>
    <t>450 431-4994</t>
  </si>
  <si>
    <t>0961654</t>
  </si>
  <si>
    <t>Bergeron, Thaïna</t>
  </si>
  <si>
    <t>J7Z1B4</t>
  </si>
  <si>
    <t>450 419-4739</t>
  </si>
  <si>
    <t>1946290</t>
  </si>
  <si>
    <t>Chandonnet, Rafaël</t>
  </si>
  <si>
    <t>Chandonnet</t>
  </si>
  <si>
    <t>J7Y5J1</t>
  </si>
  <si>
    <t>450 431-1319</t>
  </si>
  <si>
    <t>1861954</t>
  </si>
  <si>
    <t>450 431-6509</t>
  </si>
  <si>
    <t>1593722</t>
  </si>
  <si>
    <t>450 436-3899</t>
  </si>
  <si>
    <t>1838210</t>
  </si>
  <si>
    <t>Sotelsek, Ariadna</t>
  </si>
  <si>
    <t>Ariadna</t>
  </si>
  <si>
    <t>450 431-6324</t>
  </si>
  <si>
    <t>1848069</t>
  </si>
  <si>
    <t>450 434-8470</t>
  </si>
  <si>
    <t>1966874</t>
  </si>
  <si>
    <t>Roberge, Bryan</t>
  </si>
  <si>
    <t>Bryan</t>
  </si>
  <si>
    <t>450 432-9510</t>
  </si>
  <si>
    <t>1454122</t>
  </si>
  <si>
    <t>Ste-Marie, Antoine</t>
  </si>
  <si>
    <t>450 437-1156</t>
  </si>
  <si>
    <t>1848579</t>
  </si>
  <si>
    <t>Parizeau, Damia</t>
  </si>
  <si>
    <t>Damia</t>
  </si>
  <si>
    <t>450 430-4552</t>
  </si>
  <si>
    <t>1822567</t>
  </si>
  <si>
    <t>450 432-7818</t>
  </si>
  <si>
    <t>1643385</t>
  </si>
  <si>
    <t>J7R7A5</t>
  </si>
  <si>
    <t>450 438-8967</t>
  </si>
  <si>
    <t>1825957</t>
  </si>
  <si>
    <t>450 431-1094</t>
  </si>
  <si>
    <t>1734167</t>
  </si>
  <si>
    <t>Blais, Sirine</t>
  </si>
  <si>
    <t>Spenard</t>
  </si>
  <si>
    <t>450 432-3746</t>
  </si>
  <si>
    <t>1537911</t>
  </si>
  <si>
    <t>Elisabeth S</t>
  </si>
  <si>
    <t>J7Y1K4</t>
  </si>
  <si>
    <t>450 436-8820</t>
  </si>
  <si>
    <t>1164611</t>
  </si>
  <si>
    <t>J7Y2V2</t>
  </si>
  <si>
    <t>450 435-6903</t>
  </si>
  <si>
    <t>1864576</t>
  </si>
  <si>
    <t>Gauthier, Ludjie</t>
  </si>
  <si>
    <t>J7Y4S5</t>
  </si>
  <si>
    <t>450 432-3146</t>
  </si>
  <si>
    <t>1622922</t>
  </si>
  <si>
    <t>Courcy, Nicolas</t>
  </si>
  <si>
    <t>J7Z0A1</t>
  </si>
  <si>
    <t>450 430-8092</t>
  </si>
  <si>
    <t>1646890</t>
  </si>
  <si>
    <t>Delvecchio, Melyna</t>
  </si>
  <si>
    <t>450 437-8149</t>
  </si>
  <si>
    <t>1950941</t>
  </si>
  <si>
    <t>Danick</t>
  </si>
  <si>
    <t>J7Y4K8</t>
  </si>
  <si>
    <t>450 432-8407</t>
  </si>
  <si>
    <t>1935746</t>
  </si>
  <si>
    <t>450 438-2006</t>
  </si>
  <si>
    <t>1838169</t>
  </si>
  <si>
    <t>J7Y5B8</t>
  </si>
  <si>
    <t>450 431-3570</t>
  </si>
  <si>
    <t>1730601</t>
  </si>
  <si>
    <t>J7Y2M2</t>
  </si>
  <si>
    <t>450 436-2169</t>
  </si>
  <si>
    <t>0673367</t>
  </si>
  <si>
    <t>J7Y0C7</t>
  </si>
  <si>
    <t>450 438-3801</t>
  </si>
  <si>
    <t>1630920</t>
  </si>
  <si>
    <t>Saensombath, Audrey</t>
  </si>
  <si>
    <t>Saensombath</t>
  </si>
  <si>
    <t>Bourcy</t>
  </si>
  <si>
    <t>450 437-5118</t>
  </si>
  <si>
    <t>1893471</t>
  </si>
  <si>
    <t>J7R7H5</t>
  </si>
  <si>
    <t>450 438-8221</t>
  </si>
  <si>
    <t>1885349</t>
  </si>
  <si>
    <t>Fillion, Marie-Pier</t>
  </si>
  <si>
    <t>Fillion</t>
  </si>
  <si>
    <t>J7Z0K1</t>
  </si>
  <si>
    <t>450 419-8529</t>
  </si>
  <si>
    <t>1863438</t>
  </si>
  <si>
    <t>Lessard, Gabryel</t>
  </si>
  <si>
    <t>J7Y0B8</t>
  </si>
  <si>
    <t>450 438-4331</t>
  </si>
  <si>
    <t>1924338</t>
  </si>
  <si>
    <t>J7Y3R3</t>
  </si>
  <si>
    <t>450 433-8647</t>
  </si>
  <si>
    <t>1954996</t>
  </si>
  <si>
    <t>450 421-0704</t>
  </si>
  <si>
    <t>1826031</t>
  </si>
  <si>
    <t>J7Y1C2</t>
  </si>
  <si>
    <t>450 437-2049</t>
  </si>
  <si>
    <t>1660439</t>
  </si>
  <si>
    <t>Côté-Pettigrew, Nicolas</t>
  </si>
  <si>
    <t>Côté-Pettigrew</t>
  </si>
  <si>
    <t>Pepin-Thérien</t>
  </si>
  <si>
    <t>450 431-0090</t>
  </si>
  <si>
    <t>1471273</t>
  </si>
  <si>
    <t>J7Y5J7</t>
  </si>
  <si>
    <t>450 431-1007</t>
  </si>
  <si>
    <t>1034548</t>
  </si>
  <si>
    <t>Mc Lean</t>
  </si>
  <si>
    <t>J7R6W2</t>
  </si>
  <si>
    <t>450 439-1698</t>
  </si>
  <si>
    <t>1128061</t>
  </si>
  <si>
    <t>Desjardins, Meg-Anne</t>
  </si>
  <si>
    <t>450 432-4890</t>
  </si>
  <si>
    <t>1662335</t>
  </si>
  <si>
    <t>J7Y2V8</t>
  </si>
  <si>
    <t>450 435-4008</t>
  </si>
  <si>
    <t>1969623</t>
  </si>
  <si>
    <t>J7Z0G3</t>
  </si>
  <si>
    <t>450 420-9004</t>
  </si>
  <si>
    <t>1660966</t>
  </si>
  <si>
    <t>Richard Paradis, Camille</t>
  </si>
  <si>
    <t>Richard Paradis</t>
  </si>
  <si>
    <t>J7Y2L9</t>
  </si>
  <si>
    <t>450 436-2196</t>
  </si>
  <si>
    <t>1659088</t>
  </si>
  <si>
    <t>Pilotte, Chloé</t>
  </si>
  <si>
    <t>J7Y1E6</t>
  </si>
  <si>
    <t>450 437-0887</t>
  </si>
  <si>
    <t>1730612</t>
  </si>
  <si>
    <t>Hébert, Kyra</t>
  </si>
  <si>
    <t>450 438-1292</t>
  </si>
  <si>
    <t>1545440</t>
  </si>
  <si>
    <t>Dextras, Maxime-Olivier</t>
  </si>
  <si>
    <t>J7Y1W8</t>
  </si>
  <si>
    <t>450 436-5578</t>
  </si>
  <si>
    <t>1638120</t>
  </si>
  <si>
    <t>Roy, Aymen</t>
  </si>
  <si>
    <t>Aymen</t>
  </si>
  <si>
    <t>450 432-5062</t>
  </si>
  <si>
    <t>1960992</t>
  </si>
  <si>
    <t>Spenard, Antoine</t>
  </si>
  <si>
    <t>450 432-9092</t>
  </si>
  <si>
    <t>1758024</t>
  </si>
  <si>
    <t>J7Y1L4</t>
  </si>
  <si>
    <t>450 436-8234</t>
  </si>
  <si>
    <t>1944597</t>
  </si>
  <si>
    <t>Pilon Mireault, Chloé</t>
  </si>
  <si>
    <t>Pilon Mireault</t>
  </si>
  <si>
    <t>J7Z1G6</t>
  </si>
  <si>
    <t>450 414-2514</t>
  </si>
  <si>
    <t>1752888</t>
  </si>
  <si>
    <t>J7Z0C9</t>
  </si>
  <si>
    <t>450 430-1922</t>
  </si>
  <si>
    <t>0532938</t>
  </si>
  <si>
    <t>Brillant, Samuel</t>
  </si>
  <si>
    <t>450 431-2115</t>
  </si>
  <si>
    <t>0503886</t>
  </si>
  <si>
    <t>Marchand-Campeau, Flora</t>
  </si>
  <si>
    <t>Marchand-Campeau</t>
  </si>
  <si>
    <t>Duran-Boulanger</t>
  </si>
  <si>
    <t>J7Y4L9</t>
  </si>
  <si>
    <t>1849180</t>
  </si>
  <si>
    <t>J7Y4T8</t>
  </si>
  <si>
    <t>450 432-1999</t>
  </si>
  <si>
    <t>1605269</t>
  </si>
  <si>
    <t>450 434-1719</t>
  </si>
  <si>
    <t>1933165</t>
  </si>
  <si>
    <t>Charbonneau, Précilla</t>
  </si>
  <si>
    <t>David Olivier</t>
  </si>
  <si>
    <t>J7Y3A4</t>
  </si>
  <si>
    <t>450 434-8580</t>
  </si>
  <si>
    <t>1963619</t>
  </si>
  <si>
    <t>450 421-0698</t>
  </si>
  <si>
    <t>1968738</t>
  </si>
  <si>
    <t>Gassmeier, Maé</t>
  </si>
  <si>
    <t>Gassmeier</t>
  </si>
  <si>
    <t>J7Y5C1</t>
  </si>
  <si>
    <t>450 431-3384</t>
  </si>
  <si>
    <t>1857764</t>
  </si>
  <si>
    <t>Roy-Pelletier, Audrey-Anne</t>
  </si>
  <si>
    <t>J7Y3R2</t>
  </si>
  <si>
    <t>450 433-9763</t>
  </si>
  <si>
    <t>1825730</t>
  </si>
  <si>
    <t>J7Y4V4</t>
  </si>
  <si>
    <t>450 432-1416</t>
  </si>
  <si>
    <t>1732054</t>
  </si>
  <si>
    <t>De Coene, Mikael</t>
  </si>
  <si>
    <t>450 432-2649</t>
  </si>
  <si>
    <t>1149345</t>
  </si>
  <si>
    <t>J7Y4G6</t>
  </si>
  <si>
    <t>450 432-9791</t>
  </si>
  <si>
    <t>1926949</t>
  </si>
  <si>
    <t>1930575</t>
  </si>
  <si>
    <t>J7Y2C9</t>
  </si>
  <si>
    <t>450 436-3541</t>
  </si>
  <si>
    <t>1828567</t>
  </si>
  <si>
    <t>Lardinois, Jérémy</t>
  </si>
  <si>
    <t>450 432-1595</t>
  </si>
  <si>
    <t>1542158</t>
  </si>
  <si>
    <t>450 435-0100</t>
  </si>
  <si>
    <t>1644685</t>
  </si>
  <si>
    <t>Brocq, Samuel</t>
  </si>
  <si>
    <t>J7Y0L4</t>
  </si>
  <si>
    <t>450 437-7717</t>
  </si>
  <si>
    <t>1526986</t>
  </si>
  <si>
    <t>450 419-2194</t>
  </si>
  <si>
    <t>1671129</t>
  </si>
  <si>
    <t>Chiappe Reyes, Ophélie</t>
  </si>
  <si>
    <t>J7Y2X9</t>
  </si>
  <si>
    <t>1977896</t>
  </si>
  <si>
    <t>Charbonneau-Morin, Philippe</t>
  </si>
  <si>
    <t>Charbonneau-Morin</t>
  </si>
  <si>
    <t>Pronovost</t>
  </si>
  <si>
    <t>J7Y5E3</t>
  </si>
  <si>
    <t>450 431-3034</t>
  </si>
  <si>
    <t>1833455</t>
  </si>
  <si>
    <t>Bigras Lacasse, Stephan</t>
  </si>
  <si>
    <t>J7Y1L1</t>
  </si>
  <si>
    <t>450 436-8291</t>
  </si>
  <si>
    <t>1730695</t>
  </si>
  <si>
    <t>Seers, Arthur</t>
  </si>
  <si>
    <t>Arthur</t>
  </si>
  <si>
    <t>Darcy-Favi</t>
  </si>
  <si>
    <t>450 434-4754</t>
  </si>
  <si>
    <t>1847325</t>
  </si>
  <si>
    <t>Corbeil, Nora</t>
  </si>
  <si>
    <t>J7R6X5</t>
  </si>
  <si>
    <t>450 439-1362</t>
  </si>
  <si>
    <t>1912152</t>
  </si>
  <si>
    <t>Hynes, Kelly-Anne</t>
  </si>
  <si>
    <t>J7Y4R2</t>
  </si>
  <si>
    <t>450 432-4276</t>
  </si>
  <si>
    <t>1767407</t>
  </si>
  <si>
    <t>Trahan, Alysson</t>
  </si>
  <si>
    <t>Alysson</t>
  </si>
  <si>
    <t>J7Z0C3</t>
  </si>
  <si>
    <t>450 430-3022</t>
  </si>
  <si>
    <t>1922379</t>
  </si>
  <si>
    <t>Grêve, Laurianne</t>
  </si>
  <si>
    <t>Grêve</t>
  </si>
  <si>
    <t>J7Y5K2</t>
  </si>
  <si>
    <t>450 431-0895</t>
  </si>
  <si>
    <t>1743687</t>
  </si>
  <si>
    <t>Cubas-Carrasco</t>
  </si>
  <si>
    <t>J7R7A4</t>
  </si>
  <si>
    <t>450 438-9341</t>
  </si>
  <si>
    <t>0843148</t>
  </si>
  <si>
    <t>J7Y5J8</t>
  </si>
  <si>
    <t>450 431-0947</t>
  </si>
  <si>
    <t>1622936</t>
  </si>
  <si>
    <t>Dagenais-Valiquette, Myriam</t>
  </si>
  <si>
    <t>J7Y1T9</t>
  </si>
  <si>
    <t>450 436-6328</t>
  </si>
  <si>
    <t>1725022</t>
  </si>
  <si>
    <t>Tsafack Tagne, Alexy</t>
  </si>
  <si>
    <t>Tsafack Tagne</t>
  </si>
  <si>
    <t>Bastarache</t>
  </si>
  <si>
    <t>450 431-0653</t>
  </si>
  <si>
    <t>1453200</t>
  </si>
  <si>
    <t>Cadet, Sabrina</t>
  </si>
  <si>
    <t>Cadet</t>
  </si>
  <si>
    <t>Rioux-Larouche</t>
  </si>
  <si>
    <t>450 434-0984</t>
  </si>
  <si>
    <t>1907245</t>
  </si>
  <si>
    <t>450 438-3716</t>
  </si>
  <si>
    <t>1786334</t>
  </si>
  <si>
    <t>Pelletier, Coralie</t>
  </si>
  <si>
    <t>450 431-6213</t>
  </si>
  <si>
    <t>6146878</t>
  </si>
  <si>
    <t>Fuentes, Marc-Olivier</t>
  </si>
  <si>
    <t>Emanuelle</t>
  </si>
  <si>
    <t>J7V0J6</t>
  </si>
  <si>
    <t>450 438-7152</t>
  </si>
  <si>
    <t>1945777</t>
  </si>
  <si>
    <t>Salois-Gingras, Audrey</t>
  </si>
  <si>
    <t>450 431-9092</t>
  </si>
  <si>
    <t>1967352</t>
  </si>
  <si>
    <t>Gallon, Maïly</t>
  </si>
  <si>
    <t>J7Y5H9</t>
  </si>
  <si>
    <t>450 431-1472</t>
  </si>
  <si>
    <t>1345241</t>
  </si>
  <si>
    <t>450 437-0515</t>
  </si>
  <si>
    <t>6129573</t>
  </si>
  <si>
    <t>Legault-Gagnon, Heidy</t>
  </si>
  <si>
    <t>J7Y4H9</t>
  </si>
  <si>
    <t>450 432-9283</t>
  </si>
  <si>
    <t>1869813</t>
  </si>
  <si>
    <t>Roy, Audrey-Jeanne</t>
  </si>
  <si>
    <t>Audrey-Jeanne</t>
  </si>
  <si>
    <t>450 438-4389</t>
  </si>
  <si>
    <t>1794215</t>
  </si>
  <si>
    <t>450 434-7636</t>
  </si>
  <si>
    <t>1950430</t>
  </si>
  <si>
    <t>450 438-4539</t>
  </si>
  <si>
    <t>1930073</t>
  </si>
  <si>
    <t>Demontigny, Mélodie</t>
  </si>
  <si>
    <t>J7R7L3</t>
  </si>
  <si>
    <t>450 438-7692</t>
  </si>
  <si>
    <t>1745508</t>
  </si>
  <si>
    <t>450 420-2383</t>
  </si>
  <si>
    <t>1839880</t>
  </si>
  <si>
    <t>450 432-5740</t>
  </si>
  <si>
    <t>1754407</t>
  </si>
  <si>
    <t>J7Y1J5</t>
  </si>
  <si>
    <t>450 436-8991</t>
  </si>
  <si>
    <t>1827291</t>
  </si>
  <si>
    <t>Bertrand, Suzie</t>
  </si>
  <si>
    <t>450 420-1209</t>
  </si>
  <si>
    <t>1938560</t>
  </si>
  <si>
    <t>Castonguay, Roger</t>
  </si>
  <si>
    <t>J7Y1T7</t>
  </si>
  <si>
    <t>450 436-6438</t>
  </si>
  <si>
    <t>1957578</t>
  </si>
  <si>
    <t>De Beaumont, Mikaël</t>
  </si>
  <si>
    <t>450 432-5503</t>
  </si>
  <si>
    <t>1820172</t>
  </si>
  <si>
    <t>J7Y5E4</t>
  </si>
  <si>
    <t>450 431-2773</t>
  </si>
  <si>
    <t>1770530</t>
  </si>
  <si>
    <t>J7Z1W1</t>
  </si>
  <si>
    <t>450 358-2652</t>
  </si>
  <si>
    <t>1543296</t>
  </si>
  <si>
    <t>450 412-0645</t>
  </si>
  <si>
    <t>6103027</t>
  </si>
  <si>
    <t>J7Z0G5</t>
  </si>
  <si>
    <t>450 420-6317</t>
  </si>
  <si>
    <t>1930949</t>
  </si>
  <si>
    <t>J7Y5L3</t>
  </si>
  <si>
    <t>450 431-0581</t>
  </si>
  <si>
    <t>1527600</t>
  </si>
  <si>
    <t>1567931</t>
  </si>
  <si>
    <t>Dupont-Hébert, Mathieu</t>
  </si>
  <si>
    <t>J7Y4N1</t>
  </si>
  <si>
    <t>450 432-7167</t>
  </si>
  <si>
    <t>1935174</t>
  </si>
  <si>
    <t>Manseau, Florence</t>
  </si>
  <si>
    <t>450 435-1781</t>
  </si>
  <si>
    <t>1957103</t>
  </si>
  <si>
    <t>450 431-0906</t>
  </si>
  <si>
    <t>0044570</t>
  </si>
  <si>
    <t>450 439-1273</t>
  </si>
  <si>
    <t>1633246</t>
  </si>
  <si>
    <t>450 433-1159</t>
  </si>
  <si>
    <t>1845153</t>
  </si>
  <si>
    <t>J7Z1V4</t>
  </si>
  <si>
    <t>450 365-2374</t>
  </si>
  <si>
    <t>1907808</t>
  </si>
  <si>
    <t>J7Y2G6</t>
  </si>
  <si>
    <t>1847408</t>
  </si>
  <si>
    <t>450 437-2292</t>
  </si>
  <si>
    <t>0370201</t>
  </si>
  <si>
    <t>J7Y3B6</t>
  </si>
  <si>
    <t>450 434-8557</t>
  </si>
  <si>
    <t>1767648</t>
  </si>
  <si>
    <t>450 431-4473</t>
  </si>
  <si>
    <t>1773870</t>
  </si>
  <si>
    <t>J7Z1L5</t>
  </si>
  <si>
    <t>450 412-4615</t>
  </si>
  <si>
    <t>1257469</t>
  </si>
  <si>
    <t>Arnault-Champagne, Xavier</t>
  </si>
  <si>
    <t>J7Y5J2</t>
  </si>
  <si>
    <t>450 431-1297</t>
  </si>
  <si>
    <t>1821562</t>
  </si>
  <si>
    <t>450 432-8841</t>
  </si>
  <si>
    <t>1954047</t>
  </si>
  <si>
    <t>Tran, Alyssia</t>
  </si>
  <si>
    <t>Alyssia</t>
  </si>
  <si>
    <t>450 436-0945</t>
  </si>
  <si>
    <t>1857714</t>
  </si>
  <si>
    <t>Aubé, William</t>
  </si>
  <si>
    <t>450 431-8948</t>
  </si>
  <si>
    <t>1730060</t>
  </si>
  <si>
    <t>Essomba, Marilou</t>
  </si>
  <si>
    <t>Essomba</t>
  </si>
  <si>
    <t>Makhoul</t>
  </si>
  <si>
    <t>450 431-6701</t>
  </si>
  <si>
    <t>1838931</t>
  </si>
  <si>
    <t>0969351</t>
  </si>
  <si>
    <t>J7Y4J3</t>
  </si>
  <si>
    <t>450 432-9159</t>
  </si>
  <si>
    <t>1983606</t>
  </si>
  <si>
    <t>Elysa</t>
  </si>
  <si>
    <t>450 438-4993</t>
  </si>
  <si>
    <t>1752417</t>
  </si>
  <si>
    <t>J7R7J7</t>
  </si>
  <si>
    <t>450 438-8173</t>
  </si>
  <si>
    <t>1729036</t>
  </si>
  <si>
    <t>450 435-9341</t>
  </si>
  <si>
    <t>1874342</t>
  </si>
  <si>
    <t>Rodrigue, Betty</t>
  </si>
  <si>
    <t>Betty</t>
  </si>
  <si>
    <t>Broomfield</t>
  </si>
  <si>
    <t>J7Y2L3</t>
  </si>
  <si>
    <t>450 436-2374</t>
  </si>
  <si>
    <t>1605407</t>
  </si>
  <si>
    <t>Mastrostefano, Eve-Lynn</t>
  </si>
  <si>
    <t>Mastrostefano</t>
  </si>
  <si>
    <t>Ducos</t>
  </si>
  <si>
    <t>J7Z1E6</t>
  </si>
  <si>
    <t>450 419-3033</t>
  </si>
  <si>
    <t>1835200</t>
  </si>
  <si>
    <t>Flynn</t>
  </si>
  <si>
    <t>J7Y0G3</t>
  </si>
  <si>
    <t>450 438-3033</t>
  </si>
  <si>
    <t>0265385</t>
  </si>
  <si>
    <t>Fex, Marie-soleil</t>
  </si>
  <si>
    <t>J7Y4L1</t>
  </si>
  <si>
    <t>450 432-8365</t>
  </si>
  <si>
    <t>1742729</t>
  </si>
  <si>
    <t>450 436-4724</t>
  </si>
  <si>
    <t>1735538</t>
  </si>
  <si>
    <t>450 432-9887</t>
  </si>
  <si>
    <t>1724920</t>
  </si>
  <si>
    <t>J7Y1J8</t>
  </si>
  <si>
    <t>450 436-8825</t>
  </si>
  <si>
    <t>1475579</t>
  </si>
  <si>
    <t>Girard, Leevia</t>
  </si>
  <si>
    <t>1873725</t>
  </si>
  <si>
    <t>Bouchard, Sebastien</t>
  </si>
  <si>
    <t>J7Y2A2</t>
  </si>
  <si>
    <t>450 436-4385</t>
  </si>
  <si>
    <t>1903287</t>
  </si>
  <si>
    <t>450 432-2564</t>
  </si>
  <si>
    <t>0969111</t>
  </si>
  <si>
    <t>Abu Thahir, Zélia</t>
  </si>
  <si>
    <t>J7Y5B3</t>
  </si>
  <si>
    <t>450 431-4219</t>
  </si>
  <si>
    <t>1932292</t>
  </si>
  <si>
    <t>Talbot, Anna-Mai</t>
  </si>
  <si>
    <t>Anna-Mai</t>
  </si>
  <si>
    <t>1870280</t>
  </si>
  <si>
    <t>Germain, Lorianne</t>
  </si>
  <si>
    <t>450 416-0737</t>
  </si>
  <si>
    <t>1884442</t>
  </si>
  <si>
    <t>Des Rivières, Mélissa</t>
  </si>
  <si>
    <t>J7Z1J6</t>
  </si>
  <si>
    <t>450 414-0501</t>
  </si>
  <si>
    <t>1955225</t>
  </si>
  <si>
    <t>Galipeau, Majorie</t>
  </si>
  <si>
    <t>450 415-0538</t>
  </si>
  <si>
    <t>1814519</t>
  </si>
  <si>
    <t>Guilbault, Laurence</t>
  </si>
  <si>
    <t>J7Y4N6</t>
  </si>
  <si>
    <t>450 432-5959</t>
  </si>
  <si>
    <t>1925757</t>
  </si>
  <si>
    <t>Marschall, Félix</t>
  </si>
  <si>
    <t>450 431-9564</t>
  </si>
  <si>
    <t>1405598</t>
  </si>
  <si>
    <t>Remdonick-Gibert</t>
  </si>
  <si>
    <t>1675185</t>
  </si>
  <si>
    <t>Saint Fleury</t>
  </si>
  <si>
    <t>450 412-0619</t>
  </si>
  <si>
    <t>1962082</t>
  </si>
  <si>
    <t>Ducos, Matthieu</t>
  </si>
  <si>
    <t>450 432-4337</t>
  </si>
  <si>
    <t>1649725</t>
  </si>
  <si>
    <t>450 431-4365</t>
  </si>
  <si>
    <t>6126502</t>
  </si>
  <si>
    <t>Dupuis-Simard, Maryse</t>
  </si>
  <si>
    <t>450 434-5605</t>
  </si>
  <si>
    <t>0762065</t>
  </si>
  <si>
    <t>Beland, Vanessa</t>
  </si>
  <si>
    <t>450 419-9275</t>
  </si>
  <si>
    <t>1924407</t>
  </si>
  <si>
    <t>Fiset-Leclerc, Marie-Perle</t>
  </si>
  <si>
    <t>Fiset-Leclerc</t>
  </si>
  <si>
    <t>Loyer</t>
  </si>
  <si>
    <t>J7Y2M4</t>
  </si>
  <si>
    <t>450 436-1995</t>
  </si>
  <si>
    <t>1633653</t>
  </si>
  <si>
    <t>Ghassemian, Loïc</t>
  </si>
  <si>
    <t>450 409-0844</t>
  </si>
  <si>
    <t>1546044</t>
  </si>
  <si>
    <t>Surma, Anne-Marie</t>
  </si>
  <si>
    <t>1886180</t>
  </si>
  <si>
    <t>J7Y3M8</t>
  </si>
  <si>
    <t>450 434-4929</t>
  </si>
  <si>
    <t>1931450</t>
  </si>
  <si>
    <t>J7Y0C5</t>
  </si>
  <si>
    <t>1839625</t>
  </si>
  <si>
    <t>Lejour, Guy</t>
  </si>
  <si>
    <t>J7Y3P7</t>
  </si>
  <si>
    <t>450 433-9895</t>
  </si>
  <si>
    <t>1834180</t>
  </si>
  <si>
    <t>450 432-8182</t>
  </si>
  <si>
    <t>1940183</t>
  </si>
  <si>
    <t>J7R7L2</t>
  </si>
  <si>
    <t>450 438-7937</t>
  </si>
  <si>
    <t>1953043</t>
  </si>
  <si>
    <t>450 430-7802</t>
  </si>
  <si>
    <t>1857496</t>
  </si>
  <si>
    <t>Caouette, Rudler</t>
  </si>
  <si>
    <t>J7Y0H3</t>
  </si>
  <si>
    <t>450 438-2662</t>
  </si>
  <si>
    <t>1859609</t>
  </si>
  <si>
    <t>Adli, Zakary</t>
  </si>
  <si>
    <t>J7Z0G9</t>
  </si>
  <si>
    <t>450 420-2974</t>
  </si>
  <si>
    <t>1836116</t>
  </si>
  <si>
    <t>Ramon Hernandez, Caterine</t>
  </si>
  <si>
    <t>Caterine</t>
  </si>
  <si>
    <t>450 430-0547</t>
  </si>
  <si>
    <t>1456190</t>
  </si>
  <si>
    <t>J7Y4N2</t>
  </si>
  <si>
    <t>450 432-7095</t>
  </si>
  <si>
    <t>1343843</t>
  </si>
  <si>
    <t>Trudel, Alexys</t>
  </si>
  <si>
    <t>Alexys</t>
  </si>
  <si>
    <t>J7Y1H1</t>
  </si>
  <si>
    <t>450 436-9561</t>
  </si>
  <si>
    <t>1626422</t>
  </si>
  <si>
    <t>Sénéchal, Arianne</t>
  </si>
  <si>
    <t>J7Y0M1</t>
  </si>
  <si>
    <t>450 437-4070</t>
  </si>
  <si>
    <t>1890880</t>
  </si>
  <si>
    <t>Dubé-Lemire, Maude</t>
  </si>
  <si>
    <t>J7Y5B9</t>
  </si>
  <si>
    <t>450 431-3527</t>
  </si>
  <si>
    <t>1620177</t>
  </si>
  <si>
    <t>Chénier, Pamèlie</t>
  </si>
  <si>
    <t>1854435</t>
  </si>
  <si>
    <t>Vendette, Alexandra</t>
  </si>
  <si>
    <t>450 431-0007</t>
  </si>
  <si>
    <t>6117102</t>
  </si>
  <si>
    <t>Nadeau-Sirois, Elodie</t>
  </si>
  <si>
    <t>Nadeau-Sirois</t>
  </si>
  <si>
    <t>Dénommée</t>
  </si>
  <si>
    <t>J7Y2W4</t>
  </si>
  <si>
    <t>450 435-1723</t>
  </si>
  <si>
    <t>1755058</t>
  </si>
  <si>
    <t>450 433-5602</t>
  </si>
  <si>
    <t>1715520</t>
  </si>
  <si>
    <t>Couture, Nicola</t>
  </si>
  <si>
    <t>J7Y4N9</t>
  </si>
  <si>
    <t>450 432-5925</t>
  </si>
  <si>
    <t>1145365</t>
  </si>
  <si>
    <t>Jean Philippe, Kathy</t>
  </si>
  <si>
    <t>450 438-5773</t>
  </si>
  <si>
    <t>1965031</t>
  </si>
  <si>
    <t>450 431-3131</t>
  </si>
  <si>
    <t>1874042</t>
  </si>
  <si>
    <t>J7Z1B1</t>
  </si>
  <si>
    <t>450 419-5884</t>
  </si>
  <si>
    <t>1952330</t>
  </si>
  <si>
    <t>J7Y4T6</t>
  </si>
  <si>
    <t>450 432-2262</t>
  </si>
  <si>
    <t>1533003</t>
  </si>
  <si>
    <t>J7Y4L7</t>
  </si>
  <si>
    <t>450 432-7970</t>
  </si>
  <si>
    <t>1643656</t>
  </si>
  <si>
    <t>Jean, Katty</t>
  </si>
  <si>
    <t>Labonté-Boyer</t>
  </si>
  <si>
    <t>450 438-6583</t>
  </si>
  <si>
    <t>1848398</t>
  </si>
  <si>
    <t>J7Y2M6</t>
  </si>
  <si>
    <t>1847939</t>
  </si>
  <si>
    <t>Desjardins-Aboushaybeh, Mégane</t>
  </si>
  <si>
    <t>450 438-4243</t>
  </si>
  <si>
    <t>1424392</t>
  </si>
  <si>
    <t>Lefebvre, India</t>
  </si>
  <si>
    <t>450 432-2616</t>
  </si>
  <si>
    <t>1636178</t>
  </si>
  <si>
    <t>450 432-2040</t>
  </si>
  <si>
    <t>9451806</t>
  </si>
  <si>
    <t>J7Y5L7</t>
  </si>
  <si>
    <t>450 430-8860</t>
  </si>
  <si>
    <t>1832020</t>
  </si>
  <si>
    <t>450 420-1145</t>
  </si>
  <si>
    <t>1528336</t>
  </si>
  <si>
    <t>Le Brun, Jaevee</t>
  </si>
  <si>
    <t>J7R6Z3</t>
  </si>
  <si>
    <t>450 438-9434</t>
  </si>
  <si>
    <t>9031826</t>
  </si>
  <si>
    <t>Charest, Philippe</t>
  </si>
  <si>
    <t>450 431-3548</t>
  </si>
  <si>
    <t>1835082</t>
  </si>
  <si>
    <t>Huot, Kelyane</t>
  </si>
  <si>
    <t>Lachance Doyon</t>
  </si>
  <si>
    <t>450 434-4167</t>
  </si>
  <si>
    <t>1972762</t>
  </si>
  <si>
    <t>450 420-4131</t>
  </si>
  <si>
    <t>1029750</t>
  </si>
  <si>
    <t>Boies, Simon</t>
  </si>
  <si>
    <t>J7Y3J9</t>
  </si>
  <si>
    <t>450 434-6599</t>
  </si>
  <si>
    <t>1725835</t>
  </si>
  <si>
    <t>Da Silva</t>
  </si>
  <si>
    <t>J7Y5H5</t>
  </si>
  <si>
    <t>450 431-1899</t>
  </si>
  <si>
    <t>1751778</t>
  </si>
  <si>
    <t>Furtado, Marc-Olivier</t>
  </si>
  <si>
    <t>450 431-8653</t>
  </si>
  <si>
    <t>0260027</t>
  </si>
  <si>
    <t>J7Y4K3</t>
  </si>
  <si>
    <t>450 432-8781</t>
  </si>
  <si>
    <t>1683121</t>
  </si>
  <si>
    <t>J7Z1A4</t>
  </si>
  <si>
    <t>450 419-7734</t>
  </si>
  <si>
    <t>1977355</t>
  </si>
  <si>
    <t>Chartrand-Girouard, Patricia</t>
  </si>
  <si>
    <t>Élyzabelle</t>
  </si>
  <si>
    <t>450 438-6792</t>
  </si>
  <si>
    <t>1958777</t>
  </si>
  <si>
    <t>450 419-9083</t>
  </si>
  <si>
    <t>1939927</t>
  </si>
  <si>
    <t>MILLE-ISLES</t>
  </si>
  <si>
    <t>Mille-Isles</t>
  </si>
  <si>
    <t>J7Z2A4</t>
  </si>
  <si>
    <t>450 335-1530</t>
  </si>
  <si>
    <t>1960739</t>
  </si>
  <si>
    <t>Fréchette, Maria-Alexandra</t>
  </si>
  <si>
    <t>J7Z2A8</t>
  </si>
  <si>
    <t>450 335-1507</t>
  </si>
  <si>
    <t>1764866</t>
  </si>
  <si>
    <t>Murphy, Eloïse</t>
  </si>
  <si>
    <t>J7Z1Y1</t>
  </si>
  <si>
    <t>450 340-0895</t>
  </si>
  <si>
    <t>1680486</t>
  </si>
  <si>
    <t>Remdonick-Gibert, Caroline</t>
  </si>
  <si>
    <t>J7Z1Y2</t>
  </si>
  <si>
    <t>450 340-0761</t>
  </si>
  <si>
    <t>1912314</t>
  </si>
  <si>
    <t>Vaillancourt, Alexia</t>
  </si>
  <si>
    <t>J7Z2A2</t>
  </si>
  <si>
    <t>450 335-2396</t>
  </si>
  <si>
    <t>1168178</t>
  </si>
  <si>
    <t>Lahaie, John</t>
  </si>
  <si>
    <t>J7Z2C4</t>
  </si>
  <si>
    <t>450 335-1243</t>
  </si>
  <si>
    <t>1943470</t>
  </si>
  <si>
    <t>Roussakis, Béatrice</t>
  </si>
  <si>
    <t>J7Z2C5</t>
  </si>
  <si>
    <t>450 335-1189</t>
  </si>
  <si>
    <t>1242680</t>
  </si>
  <si>
    <t>Jean, Katia-Stéphanie</t>
  </si>
  <si>
    <t>450 340-0907</t>
  </si>
  <si>
    <t>1563957</t>
  </si>
  <si>
    <t>Arenas-Quinteros, Xavier</t>
  </si>
  <si>
    <t>J7Z2E1</t>
  </si>
  <si>
    <t>450 335-1119</t>
  </si>
  <si>
    <t>1930205</t>
  </si>
  <si>
    <t>Hummel, Kéven</t>
  </si>
  <si>
    <t>450 335-1276</t>
  </si>
  <si>
    <t>1552272</t>
  </si>
  <si>
    <t>J7Z1X3</t>
  </si>
  <si>
    <t>450 340-1430</t>
  </si>
  <si>
    <t>1741525</t>
  </si>
  <si>
    <t>J7Z1W6</t>
  </si>
  <si>
    <t>450 340-2421</t>
  </si>
  <si>
    <t>1531809</t>
  </si>
  <si>
    <t>450 340-0773</t>
  </si>
  <si>
    <t>1234187</t>
  </si>
  <si>
    <t>Wilson-Ouellet, Adassa</t>
  </si>
  <si>
    <t>Adassa</t>
  </si>
  <si>
    <t>J7Z1Z2</t>
  </si>
  <si>
    <t>450 340-0584</t>
  </si>
  <si>
    <t>1840726</t>
  </si>
  <si>
    <t>D Ducharme, Naomi</t>
  </si>
  <si>
    <t>J7Z2A1</t>
  </si>
  <si>
    <t>450 335-5214</t>
  </si>
  <si>
    <t>1467589</t>
  </si>
  <si>
    <t>Adegoke, Zakary</t>
  </si>
  <si>
    <t>J7Z1Y4</t>
  </si>
  <si>
    <t>450 340-0722</t>
  </si>
  <si>
    <t>1724374</t>
  </si>
  <si>
    <t>Ntumba, Eliane</t>
  </si>
  <si>
    <t>450 340-0580</t>
  </si>
  <si>
    <t>1742525</t>
  </si>
  <si>
    <t>J7Z1Y8</t>
  </si>
  <si>
    <t>450 340-0633</t>
  </si>
  <si>
    <t>1385265</t>
  </si>
  <si>
    <t>Burelle, Sabrine</t>
  </si>
  <si>
    <t>J7Z2E5</t>
  </si>
  <si>
    <t>450 335-1037</t>
  </si>
  <si>
    <t>1918698</t>
  </si>
  <si>
    <t>Dagenais, Myriam Ruth</t>
  </si>
  <si>
    <t>MATAGAMI</t>
  </si>
  <si>
    <t>Matagami</t>
  </si>
  <si>
    <t>J7Z2G2</t>
  </si>
  <si>
    <t>450 335-0952</t>
  </si>
  <si>
    <t>1936739</t>
  </si>
  <si>
    <t>MASCOUCHE</t>
  </si>
  <si>
    <t>Mascouche</t>
  </si>
  <si>
    <t>J7Z2G9</t>
  </si>
  <si>
    <t>450 331-1218</t>
  </si>
  <si>
    <t>1734683</t>
  </si>
  <si>
    <t>J7Z2P2</t>
  </si>
  <si>
    <t>450 304-3676</t>
  </si>
  <si>
    <t>1846229</t>
  </si>
  <si>
    <t>Tassé, Anh-Thuy</t>
  </si>
  <si>
    <t>Anh-Thuy</t>
  </si>
  <si>
    <t>Belval</t>
  </si>
  <si>
    <t>J7Z2W3</t>
  </si>
  <si>
    <t>450 304-2634</t>
  </si>
  <si>
    <t>1845738</t>
  </si>
  <si>
    <t>J7Z2M1</t>
  </si>
  <si>
    <t>450 304-3844</t>
  </si>
  <si>
    <t>1752410</t>
  </si>
  <si>
    <t>Sarrazin, Audrey</t>
  </si>
  <si>
    <t>J7Z2J9</t>
  </si>
  <si>
    <t>450 323-6169</t>
  </si>
  <si>
    <t>1824715</t>
  </si>
  <si>
    <t>Bonnot-Courtemanche, Selena</t>
  </si>
  <si>
    <t>J7Z2S8</t>
  </si>
  <si>
    <t>450 304-2728</t>
  </si>
  <si>
    <t>1873554</t>
  </si>
  <si>
    <t>Le Breton, Jainy</t>
  </si>
  <si>
    <t>J7Z2Y8</t>
  </si>
  <si>
    <t>450 304-2275</t>
  </si>
  <si>
    <t>1340569</t>
  </si>
  <si>
    <t>Dorval-Robitaille, Maxim</t>
  </si>
  <si>
    <t>J7Z2N4</t>
  </si>
  <si>
    <t>450 304-3693</t>
  </si>
  <si>
    <t>1386886</t>
  </si>
  <si>
    <t>Perrin, Claudy</t>
  </si>
  <si>
    <t>450 304-2300</t>
  </si>
  <si>
    <t>0563759</t>
  </si>
  <si>
    <t>Champoux, Rafaël</t>
  </si>
  <si>
    <t>J7Z2K5</t>
  </si>
  <si>
    <t>450 304-4510</t>
  </si>
  <si>
    <t>1937203</t>
  </si>
  <si>
    <t>J7Z2T8</t>
  </si>
  <si>
    <t>450 304-2655</t>
  </si>
  <si>
    <t>1859044</t>
  </si>
  <si>
    <t>J7Z2G7</t>
  </si>
  <si>
    <t>450 335-0608</t>
  </si>
  <si>
    <t>1932204</t>
  </si>
  <si>
    <t>Rioux-Larouche, Camille</t>
  </si>
  <si>
    <t>J7Z2T6</t>
  </si>
  <si>
    <t>1432672</t>
  </si>
  <si>
    <t>Delisle, Méridith</t>
  </si>
  <si>
    <t>J7Z2H7</t>
  </si>
  <si>
    <t>450 327-6036</t>
  </si>
  <si>
    <t>0437967</t>
  </si>
  <si>
    <t>J7Z2G3</t>
  </si>
  <si>
    <t>450 335-0785</t>
  </si>
  <si>
    <t>1984623</t>
  </si>
  <si>
    <t>Bérubé-Ouellet, Stéphanie</t>
  </si>
  <si>
    <t>450 304-3383</t>
  </si>
  <si>
    <t>1929931</t>
  </si>
  <si>
    <t>J7Z2K6</t>
  </si>
  <si>
    <t>450 304-4363</t>
  </si>
  <si>
    <t>1964001</t>
  </si>
  <si>
    <t>Loubier, Gabriel</t>
  </si>
  <si>
    <t>J7Z2Y3</t>
  </si>
  <si>
    <t>450 304-2449</t>
  </si>
  <si>
    <t>1830978</t>
  </si>
  <si>
    <t>J7Z2H6</t>
  </si>
  <si>
    <t>450 331-1146</t>
  </si>
  <si>
    <t>1825152</t>
  </si>
  <si>
    <t>Lalonde-Marcheterre, Joani</t>
  </si>
  <si>
    <t>450 327-6399</t>
  </si>
  <si>
    <t>1620584</t>
  </si>
  <si>
    <t>Borzelli-Cadieux, Sébastien</t>
  </si>
  <si>
    <t>450 304-4491</t>
  </si>
  <si>
    <t>1937138</t>
  </si>
  <si>
    <t>450 335-0924</t>
  </si>
  <si>
    <t>1726804</t>
  </si>
  <si>
    <t>Côté-Ouellette, Nicolas-Olivier</t>
  </si>
  <si>
    <t>J7Z2L9</t>
  </si>
  <si>
    <t>450 304-4178</t>
  </si>
  <si>
    <t>1664283</t>
  </si>
  <si>
    <t>Lebeault, Jade</t>
  </si>
  <si>
    <t>J7Z2N3</t>
  </si>
  <si>
    <t>450 304-3831</t>
  </si>
  <si>
    <t>1678188</t>
  </si>
  <si>
    <t>Bood-Pépin, Sébastien</t>
  </si>
  <si>
    <t>J7Z2Y7</t>
  </si>
  <si>
    <t>450 304-2301</t>
  </si>
  <si>
    <t>1973125</t>
  </si>
  <si>
    <t>McGarry, Esteban</t>
  </si>
  <si>
    <t>450 304-2396</t>
  </si>
  <si>
    <t>1663819</t>
  </si>
  <si>
    <t>J7Z2S1</t>
  </si>
  <si>
    <t>450 304-3025</t>
  </si>
  <si>
    <t>1738668</t>
  </si>
  <si>
    <t>Soucy, Anya</t>
  </si>
  <si>
    <t>450 330-2810</t>
  </si>
  <si>
    <t>6142319</t>
  </si>
  <si>
    <t>450 304-3011</t>
  </si>
  <si>
    <t>1751130</t>
  </si>
  <si>
    <t>Gendron, Louis-Georges</t>
  </si>
  <si>
    <t>J7Z2P9</t>
  </si>
  <si>
    <t>450 304-3351</t>
  </si>
  <si>
    <t>1541181</t>
  </si>
  <si>
    <t>J7Z2K1</t>
  </si>
  <si>
    <t>450 314-1636</t>
  </si>
  <si>
    <t>1966592</t>
  </si>
  <si>
    <t>Gallant, Maïna</t>
  </si>
  <si>
    <t>J7Z2G4</t>
  </si>
  <si>
    <t>450 335-0660</t>
  </si>
  <si>
    <t>1866845</t>
  </si>
  <si>
    <t>J7Z2K2</t>
  </si>
  <si>
    <t>450 304-4958</t>
  </si>
  <si>
    <t>1618899</t>
  </si>
  <si>
    <t>J7Z2J7</t>
  </si>
  <si>
    <t>450 326-0543</t>
  </si>
  <si>
    <t>1630717</t>
  </si>
  <si>
    <t>LORRAINE</t>
  </si>
  <si>
    <t>Lorraine</t>
  </si>
  <si>
    <t>J7Z3B1</t>
  </si>
  <si>
    <t>450 304-1831</t>
  </si>
  <si>
    <t>6151517</t>
  </si>
  <si>
    <t>Desroches, Meere</t>
  </si>
  <si>
    <t>Milord</t>
  </si>
  <si>
    <t>J7Z3C7</t>
  </si>
  <si>
    <t>450 304-1315</t>
  </si>
  <si>
    <t>1812451</t>
  </si>
  <si>
    <t>J7Z3A9</t>
  </si>
  <si>
    <t>450 304-2155</t>
  </si>
  <si>
    <t>1660405</t>
  </si>
  <si>
    <t>Landreville, Jessica</t>
  </si>
  <si>
    <t>J7Z3B5</t>
  </si>
  <si>
    <t>450 304-1440</t>
  </si>
  <si>
    <t>1353331</t>
  </si>
  <si>
    <t>Charron-Cloutier, Paulina</t>
  </si>
  <si>
    <t>J7Z3E7</t>
  </si>
  <si>
    <t>450 304-1037</t>
  </si>
  <si>
    <t>1923374</t>
  </si>
  <si>
    <t>J7Z3B6</t>
  </si>
  <si>
    <t>450 304-1404</t>
  </si>
  <si>
    <t>1941183</t>
  </si>
  <si>
    <t>Chevrier, Ophélie</t>
  </si>
  <si>
    <t>Chevrier</t>
  </si>
  <si>
    <t>450 304-2063</t>
  </si>
  <si>
    <t>1028686</t>
  </si>
  <si>
    <t>Britt, Samuel</t>
  </si>
  <si>
    <t>J7Z3E6</t>
  </si>
  <si>
    <t>450 304-1051</t>
  </si>
  <si>
    <t>1342861</t>
  </si>
  <si>
    <t>Keobouarabath, Karianne</t>
  </si>
  <si>
    <t>J7Z3G6</t>
  </si>
  <si>
    <t>450 304-0980</t>
  </si>
  <si>
    <t>1438403</t>
  </si>
  <si>
    <t>Crevier-Poulin, Nathaniel</t>
  </si>
  <si>
    <t>Crevier-Poulin</t>
  </si>
  <si>
    <t>J7Z3B2</t>
  </si>
  <si>
    <t>450 304-1555</t>
  </si>
  <si>
    <t>1956966</t>
  </si>
  <si>
    <t>Thibodeau-Soucy, Amélie</t>
  </si>
  <si>
    <t>J7Z3C8</t>
  </si>
  <si>
    <t>450 304-1189</t>
  </si>
  <si>
    <t>1837722</t>
  </si>
  <si>
    <t>LÉVIS</t>
  </si>
  <si>
    <t>J7Z3H7</t>
  </si>
  <si>
    <t>450 304-0845</t>
  </si>
  <si>
    <t>1931089</t>
  </si>
  <si>
    <t>Girard, Lena</t>
  </si>
  <si>
    <t>J7Z3J1</t>
  </si>
  <si>
    <t>450 304-0750</t>
  </si>
  <si>
    <t>1944496</t>
  </si>
  <si>
    <t>J7Z3H1</t>
  </si>
  <si>
    <t>9978908</t>
  </si>
  <si>
    <t>LES CÈDRES</t>
  </si>
  <si>
    <t>Les Cèdres</t>
  </si>
  <si>
    <t>J7Z3J5</t>
  </si>
  <si>
    <t>450 304-0671</t>
  </si>
  <si>
    <t>1470459</t>
  </si>
  <si>
    <t>L'ÉPIPHANIE</t>
  </si>
  <si>
    <t>L'Épiphanie</t>
  </si>
  <si>
    <t>450 304-0654</t>
  </si>
  <si>
    <t>1947603</t>
  </si>
  <si>
    <t>Roy, Azély</t>
  </si>
  <si>
    <t>Azély</t>
  </si>
  <si>
    <t>LAVALTRIE</t>
  </si>
  <si>
    <t>Lavaltrie</t>
  </si>
  <si>
    <t>J7Z3J6</t>
  </si>
  <si>
    <t>450 303-0758</t>
  </si>
  <si>
    <t>1732736</t>
  </si>
  <si>
    <t>LAVAL</t>
  </si>
  <si>
    <t>Laval</t>
  </si>
  <si>
    <t>J7Z3W6</t>
  </si>
  <si>
    <t>450 275-5811</t>
  </si>
  <si>
    <t>0720697</t>
  </si>
  <si>
    <t>Ladouceur, Juan-Manuel</t>
  </si>
  <si>
    <t>J7Z4N7</t>
  </si>
  <si>
    <t>450 275-0379</t>
  </si>
  <si>
    <t>1848720</t>
  </si>
  <si>
    <t>J7Z5L5</t>
  </si>
  <si>
    <t>450 229-2778</t>
  </si>
  <si>
    <t>Techniques juridiques</t>
  </si>
  <si>
    <t>1876003</t>
  </si>
  <si>
    <t>Dextradeur, Maxine</t>
  </si>
  <si>
    <t>J7Z4B2</t>
  </si>
  <si>
    <t>450 275-3404</t>
  </si>
  <si>
    <t>1985163</t>
  </si>
  <si>
    <t>Baldacchino, William</t>
  </si>
  <si>
    <t>Baldacchino</t>
  </si>
  <si>
    <t>J7Z3N2</t>
  </si>
  <si>
    <t>450 280-3356</t>
  </si>
  <si>
    <t>1942702</t>
  </si>
  <si>
    <t>J7Z4H8</t>
  </si>
  <si>
    <t>450 275-2076</t>
  </si>
  <si>
    <t>1929873</t>
  </si>
  <si>
    <t>J7Z4K6</t>
  </si>
  <si>
    <t>450 275-1416</t>
  </si>
  <si>
    <t>1961172</t>
  </si>
  <si>
    <t>Mallette, Floriane</t>
  </si>
  <si>
    <t>J7Z4B1</t>
  </si>
  <si>
    <t>450 275-3432</t>
  </si>
  <si>
    <t>1823129</t>
  </si>
  <si>
    <t>Carpinelli, Rosalie</t>
  </si>
  <si>
    <t>J7Z4W9</t>
  </si>
  <si>
    <t>450 240-0923</t>
  </si>
  <si>
    <t>1947114</t>
  </si>
  <si>
    <t>J7Z3M5</t>
  </si>
  <si>
    <t>450 280-3992</t>
  </si>
  <si>
    <t>1649747</t>
  </si>
  <si>
    <t>J7Z4A4</t>
  </si>
  <si>
    <t>450 275-3757</t>
  </si>
  <si>
    <t>1860524</t>
  </si>
  <si>
    <t>Charles, Pénélope</t>
  </si>
  <si>
    <t>J7Z5X7</t>
  </si>
  <si>
    <t>450 227-4128</t>
  </si>
  <si>
    <t>1838281</t>
  </si>
  <si>
    <t>Pagé-Morin</t>
  </si>
  <si>
    <t>J7Z5J3</t>
  </si>
  <si>
    <t>450 229-6962</t>
  </si>
  <si>
    <t>1826853</t>
  </si>
  <si>
    <t>Francoeur, Marianna</t>
  </si>
  <si>
    <t>J7Z4V1</t>
  </si>
  <si>
    <t>450 258-4374</t>
  </si>
  <si>
    <t>1773099</t>
  </si>
  <si>
    <t>Luabeya Kalonji, Gabriel</t>
  </si>
  <si>
    <t>450 258-4875</t>
  </si>
  <si>
    <t>1823193</t>
  </si>
  <si>
    <t>Robertson, Brillant</t>
  </si>
  <si>
    <t>J7Z4V7</t>
  </si>
  <si>
    <t>450 258-0236</t>
  </si>
  <si>
    <t>1954448</t>
  </si>
  <si>
    <t>Compère, Océane</t>
  </si>
  <si>
    <t>J7Z3M1</t>
  </si>
  <si>
    <t>450 302-0655</t>
  </si>
  <si>
    <t>1684959</t>
  </si>
  <si>
    <t>Quiroga-Hernandez, Catherine</t>
  </si>
  <si>
    <t>J7Z5C8</t>
  </si>
  <si>
    <t>450 229-8331</t>
  </si>
  <si>
    <t>1825050</t>
  </si>
  <si>
    <t>Garneau, Maëlle</t>
  </si>
  <si>
    <t>J7Z5B1</t>
  </si>
  <si>
    <t>450 229-9984</t>
  </si>
  <si>
    <t>0745855</t>
  </si>
  <si>
    <t>Dufort, Mattéo</t>
  </si>
  <si>
    <t>J7Z3P1</t>
  </si>
  <si>
    <t>450 280-0158</t>
  </si>
  <si>
    <t>1658606</t>
  </si>
  <si>
    <t>Parent, Danick</t>
  </si>
  <si>
    <t>J7Z3S8</t>
  </si>
  <si>
    <t>450 275-8855</t>
  </si>
  <si>
    <t>1441936</t>
  </si>
  <si>
    <t>Moulun, Éloïse</t>
  </si>
  <si>
    <t>J7Z5W1</t>
  </si>
  <si>
    <t>450 227-8649</t>
  </si>
  <si>
    <t>1428872</t>
  </si>
  <si>
    <t>J7Z3W1</t>
  </si>
  <si>
    <t>450 275-5855</t>
  </si>
  <si>
    <t>6114214</t>
  </si>
  <si>
    <t>J7Z4V6</t>
  </si>
  <si>
    <t>450 258-0294</t>
  </si>
  <si>
    <t>1762267</t>
  </si>
  <si>
    <t>Berthiaume, Symon</t>
  </si>
  <si>
    <t>450 258-4942</t>
  </si>
  <si>
    <t>1849003</t>
  </si>
  <si>
    <t>Kelouche, Karianne</t>
  </si>
  <si>
    <t>J7Z4J7</t>
  </si>
  <si>
    <t>450 275-1706</t>
  </si>
  <si>
    <t>1944612</t>
  </si>
  <si>
    <t>Aumont, William</t>
  </si>
  <si>
    <t>J7Z3K7</t>
  </si>
  <si>
    <t>450 302-1600</t>
  </si>
  <si>
    <t>1935966</t>
  </si>
  <si>
    <t>Armando, Xavier</t>
  </si>
  <si>
    <t>J7Z4G9</t>
  </si>
  <si>
    <t>450 275-2919</t>
  </si>
  <si>
    <t>1876227</t>
  </si>
  <si>
    <t>Boissonneault, Shawn</t>
  </si>
  <si>
    <t>450 280-4082</t>
  </si>
  <si>
    <t>1202063</t>
  </si>
  <si>
    <t>J7Z5B2</t>
  </si>
  <si>
    <t>450 229-9530</t>
  </si>
  <si>
    <t>1980165</t>
  </si>
  <si>
    <t>J7Z3K6</t>
  </si>
  <si>
    <t>450 302-1605</t>
  </si>
  <si>
    <t>1935980</t>
  </si>
  <si>
    <t>J7Z3S2</t>
  </si>
  <si>
    <t>450 275-9341</t>
  </si>
  <si>
    <t>1952619</t>
  </si>
  <si>
    <t>Dubeau, Maude</t>
  </si>
  <si>
    <t>J7Z4V2</t>
  </si>
  <si>
    <t>450 258-2927</t>
  </si>
  <si>
    <t>1652081</t>
  </si>
  <si>
    <t>Blais, Sokhna Rokhaya</t>
  </si>
  <si>
    <t>J7Z3T4</t>
  </si>
  <si>
    <t>450 275-8801</t>
  </si>
  <si>
    <t>1846961</t>
  </si>
  <si>
    <t>J7Z5X9</t>
  </si>
  <si>
    <t>450 227-0988</t>
  </si>
  <si>
    <t>1521586</t>
  </si>
  <si>
    <t>Jean, Katrina</t>
  </si>
  <si>
    <t>Labranche-Dallaire</t>
  </si>
  <si>
    <t>J7Z5X1</t>
  </si>
  <si>
    <t>450 227-8230</t>
  </si>
  <si>
    <t>1887814</t>
  </si>
  <si>
    <t>J7Z4H4</t>
  </si>
  <si>
    <t>450 275-2322</t>
  </si>
  <si>
    <t>1837888</t>
  </si>
  <si>
    <t>J7Z4J5</t>
  </si>
  <si>
    <t>450 275-2000</t>
  </si>
  <si>
    <t>1738537</t>
  </si>
  <si>
    <t>Lefebvre, Inès</t>
  </si>
  <si>
    <t>Gattillo</t>
  </si>
  <si>
    <t>J7Z3N8</t>
  </si>
  <si>
    <t>450 280-1888</t>
  </si>
  <si>
    <t>1924111</t>
  </si>
  <si>
    <t>Mecteau Décarie, Erika</t>
  </si>
  <si>
    <t>Mecteau Décarie</t>
  </si>
  <si>
    <t>Doyon</t>
  </si>
  <si>
    <t>J7Z5L8</t>
  </si>
  <si>
    <t>450 228-8493</t>
  </si>
  <si>
    <t>1631611</t>
  </si>
  <si>
    <t>J7Z4H7</t>
  </si>
  <si>
    <t>450 275-2081</t>
  </si>
  <si>
    <t>1763387</t>
  </si>
  <si>
    <t>Danis, Mohammed Amine</t>
  </si>
  <si>
    <t>Brianna</t>
  </si>
  <si>
    <t>J7Z5B7</t>
  </si>
  <si>
    <t>450 229-9204</t>
  </si>
  <si>
    <t>1923807</t>
  </si>
  <si>
    <t>Froment Rondeau, Marc-Olivier</t>
  </si>
  <si>
    <t>J7Z4A7</t>
  </si>
  <si>
    <t>450 275-3741</t>
  </si>
  <si>
    <t>0610447</t>
  </si>
  <si>
    <t>Castonguay, Rogelane Waina</t>
  </si>
  <si>
    <t>J7Z4P6</t>
  </si>
  <si>
    <t>450 275-0306</t>
  </si>
  <si>
    <t>1645868</t>
  </si>
  <si>
    <t>J7Z5S3</t>
  </si>
  <si>
    <t>450 227-9880</t>
  </si>
  <si>
    <t>1971091</t>
  </si>
  <si>
    <t>450 258-2167</t>
  </si>
  <si>
    <t>1522650</t>
  </si>
  <si>
    <t>Desforges Nault</t>
  </si>
  <si>
    <t>J7Z4J2</t>
  </si>
  <si>
    <t>450 275-2063</t>
  </si>
  <si>
    <t>1952714</t>
  </si>
  <si>
    <t>Bernier, Tanya</t>
  </si>
  <si>
    <t>J7Z3X1</t>
  </si>
  <si>
    <t>450 275-5402</t>
  </si>
  <si>
    <t>1675841</t>
  </si>
  <si>
    <t>Alectus, Zachary</t>
  </si>
  <si>
    <t>J7Z5L7</t>
  </si>
  <si>
    <t>450 229-2637</t>
  </si>
  <si>
    <t>1942847</t>
  </si>
  <si>
    <t>Gauthier, Luna</t>
  </si>
  <si>
    <t>450 258-3670</t>
  </si>
  <si>
    <t>1965418</t>
  </si>
  <si>
    <t>Juteau-Séguin, Karine</t>
  </si>
  <si>
    <t>J7Z4V5</t>
  </si>
  <si>
    <t>450 258-0621</t>
  </si>
  <si>
    <t>1831116</t>
  </si>
  <si>
    <t>J7Z3Y4</t>
  </si>
  <si>
    <t>450 275-4523</t>
  </si>
  <si>
    <t>1337351</t>
  </si>
  <si>
    <t>Pesant, Claudia</t>
  </si>
  <si>
    <t>450 258-2591</t>
  </si>
  <si>
    <t>1688442</t>
  </si>
  <si>
    <t>Guillot, Laurence</t>
  </si>
  <si>
    <t>J7Z4S3</t>
  </si>
  <si>
    <t>450 271-4482</t>
  </si>
  <si>
    <t>1320985</t>
  </si>
  <si>
    <t>Makareean</t>
  </si>
  <si>
    <t>J7Z4K1</t>
  </si>
  <si>
    <t>450 275-1536</t>
  </si>
  <si>
    <t>1864385</t>
  </si>
  <si>
    <t>Legault, Honoré</t>
  </si>
  <si>
    <t>1980844</t>
  </si>
  <si>
    <t>Andrade, Yoan</t>
  </si>
  <si>
    <t>J7Z5R9</t>
  </si>
  <si>
    <t>450 228-1975</t>
  </si>
  <si>
    <t>1828888</t>
  </si>
  <si>
    <t>Brien-Roy, Samuel</t>
  </si>
  <si>
    <t>450 275-4484</t>
  </si>
  <si>
    <t>1834402</t>
  </si>
  <si>
    <t>Gorry, Laylou</t>
  </si>
  <si>
    <t>J7Z3K2</t>
  </si>
  <si>
    <t>450 302-7115</t>
  </si>
  <si>
    <t>1934966</t>
  </si>
  <si>
    <t>Lippé, Gabriel</t>
  </si>
  <si>
    <t>450 275-0199</t>
  </si>
  <si>
    <t>1356053</t>
  </si>
  <si>
    <t>450 227-6771</t>
  </si>
  <si>
    <t>1791942</t>
  </si>
  <si>
    <t>Deniger, Mélissa</t>
  </si>
  <si>
    <t>J7Z5W3</t>
  </si>
  <si>
    <t>1870228</t>
  </si>
  <si>
    <t>Duclos, Maud</t>
  </si>
  <si>
    <t>450 229-9922</t>
  </si>
  <si>
    <t>6143327</t>
  </si>
  <si>
    <t>J7Z3N1</t>
  </si>
  <si>
    <t>450 280-3688</t>
  </si>
  <si>
    <t>1949027</t>
  </si>
  <si>
    <t>J7Z5B8</t>
  </si>
  <si>
    <t>450 229-9105</t>
  </si>
  <si>
    <t>1407652</t>
  </si>
  <si>
    <t>Deraspe, Mélissa</t>
  </si>
  <si>
    <t>J7Z4P8</t>
  </si>
  <si>
    <t>450 271-6902</t>
  </si>
  <si>
    <t>1923013</t>
  </si>
  <si>
    <t>Laveault, Jean-Denis</t>
  </si>
  <si>
    <t>J7Z3N4</t>
  </si>
  <si>
    <t>450 280-2806</t>
  </si>
  <si>
    <t>1635158</t>
  </si>
  <si>
    <t>450 258-3979</t>
  </si>
  <si>
    <t>1020395</t>
  </si>
  <si>
    <t>J7Z3M3</t>
  </si>
  <si>
    <t>450 280-9006</t>
  </si>
  <si>
    <t>6106616</t>
  </si>
  <si>
    <t>Pitre-Boiteau, Charlotte</t>
  </si>
  <si>
    <t>J7Z3R6</t>
  </si>
  <si>
    <t>450 275-9481</t>
  </si>
  <si>
    <t>1945162</t>
  </si>
  <si>
    <t>Borza, Sébastien</t>
  </si>
  <si>
    <t>450 227-0495</t>
  </si>
  <si>
    <t>1979675</t>
  </si>
  <si>
    <t>Doddridge, Maxime</t>
  </si>
  <si>
    <t>J7Z4Y7</t>
  </si>
  <si>
    <t>450 232-2690</t>
  </si>
  <si>
    <t>1593556</t>
  </si>
  <si>
    <t>450 229-5156</t>
  </si>
  <si>
    <t>1751117</t>
  </si>
  <si>
    <t>J7Z4N3</t>
  </si>
  <si>
    <t>450 275-0482</t>
  </si>
  <si>
    <t>1853605</t>
  </si>
  <si>
    <t>J7Z4E2</t>
  </si>
  <si>
    <t>450 275-3240</t>
  </si>
  <si>
    <t>9151151</t>
  </si>
  <si>
    <t>J7Z3Z8</t>
  </si>
  <si>
    <t>450 275-4019</t>
  </si>
  <si>
    <t>1932348</t>
  </si>
  <si>
    <t>Vucetic, Alek</t>
  </si>
  <si>
    <t>Alek</t>
  </si>
  <si>
    <t>J7Z4X5</t>
  </si>
  <si>
    <t>450 233-9528</t>
  </si>
  <si>
    <t>1939830</t>
  </si>
  <si>
    <t>Perrée, Cloé</t>
  </si>
  <si>
    <t>J7Z5W5</t>
  </si>
  <si>
    <t>450 227-8642</t>
  </si>
  <si>
    <t>1937892</t>
  </si>
  <si>
    <t>450 227-3463</t>
  </si>
  <si>
    <t>0416345</t>
  </si>
  <si>
    <t>Toussaint, Amanda</t>
  </si>
  <si>
    <t>Amanda</t>
  </si>
  <si>
    <t>450 280-2233</t>
  </si>
  <si>
    <t>1976689</t>
  </si>
  <si>
    <t>J7Z4H1</t>
  </si>
  <si>
    <t>450 275-2790</t>
  </si>
  <si>
    <t>1874202</t>
  </si>
  <si>
    <t>Robidas, Brianna</t>
  </si>
  <si>
    <t>J7Z5P6</t>
  </si>
  <si>
    <t>450 228-3235</t>
  </si>
  <si>
    <t>1735850</t>
  </si>
  <si>
    <t>J7Z5A5</t>
  </si>
  <si>
    <t>450 230-0057</t>
  </si>
  <si>
    <t>1907369</t>
  </si>
  <si>
    <t>450 280-1692</t>
  </si>
  <si>
    <t>1960756</t>
  </si>
  <si>
    <t>Makhoul, Francis</t>
  </si>
  <si>
    <t>J7Z3V6</t>
  </si>
  <si>
    <t>450 275-7015</t>
  </si>
  <si>
    <t>1986056</t>
  </si>
  <si>
    <t>Lachance Doyon, Julianne</t>
  </si>
  <si>
    <t>J7Z3K3</t>
  </si>
  <si>
    <t>450 302-5600</t>
  </si>
  <si>
    <t>1732226</t>
  </si>
  <si>
    <t>Fasseau, Marilou</t>
  </si>
  <si>
    <t>450 229-9762</t>
  </si>
  <si>
    <t>1474700</t>
  </si>
  <si>
    <t>450 229-9343</t>
  </si>
  <si>
    <t>1984650</t>
  </si>
  <si>
    <t>J7Z4Y2</t>
  </si>
  <si>
    <t>450 232-6261</t>
  </si>
  <si>
    <t>1629754</t>
  </si>
  <si>
    <t>Colard, Olivia</t>
  </si>
  <si>
    <t>450 258-4217</t>
  </si>
  <si>
    <t>1657546</t>
  </si>
  <si>
    <t>Lavchev, Jean-Eddy</t>
  </si>
  <si>
    <t>J7Z3Z1</t>
  </si>
  <si>
    <t>450 275-4450</t>
  </si>
  <si>
    <t>1765712</t>
  </si>
  <si>
    <t>Thériault, Andréa Priscille</t>
  </si>
  <si>
    <t>Andréa Priscille</t>
  </si>
  <si>
    <t>Bélanger-Claes</t>
  </si>
  <si>
    <t>450 258-1955</t>
  </si>
  <si>
    <t>1821248</t>
  </si>
  <si>
    <t>Joubert, Karolanne</t>
  </si>
  <si>
    <t>450 227-3911</t>
  </si>
  <si>
    <t>1967303</t>
  </si>
  <si>
    <t>450 288-3677</t>
  </si>
  <si>
    <t>1854358</t>
  </si>
  <si>
    <t>Noël, Elisabeth S</t>
  </si>
  <si>
    <t>450 258-2805</t>
  </si>
  <si>
    <t>1601135</t>
  </si>
  <si>
    <t>J7Z3X8</t>
  </si>
  <si>
    <t>450 275-4825</t>
  </si>
  <si>
    <t>1672880</t>
  </si>
  <si>
    <t>Gagnon, Marc-Anthony</t>
  </si>
  <si>
    <t>450 258-0328</t>
  </si>
  <si>
    <t>1855342</t>
  </si>
  <si>
    <t>Koslosky, Justine</t>
  </si>
  <si>
    <t>450 227-6185</t>
  </si>
  <si>
    <t>1746083</t>
  </si>
  <si>
    <t>Bédard-Cortey, Vanessa</t>
  </si>
  <si>
    <t>450 288-5111</t>
  </si>
  <si>
    <t>1723731</t>
  </si>
  <si>
    <t>1913972</t>
  </si>
  <si>
    <t>J7Z3T5</t>
  </si>
  <si>
    <t>450 275-8687</t>
  </si>
  <si>
    <t>1781273</t>
  </si>
  <si>
    <t>450 258-1816</t>
  </si>
  <si>
    <t>1463076</t>
  </si>
  <si>
    <t>Charles, Pénélope-Amély</t>
  </si>
  <si>
    <t>J7Z3T8</t>
  </si>
  <si>
    <t>450 275-8389</t>
  </si>
  <si>
    <t>1940347</t>
  </si>
  <si>
    <t>J7Z4E9</t>
  </si>
  <si>
    <t>450 275-3036</t>
  </si>
  <si>
    <t>0634649</t>
  </si>
  <si>
    <t>Bélanger-Claes, Tristan R.</t>
  </si>
  <si>
    <t>J7Z5K2</t>
  </si>
  <si>
    <t>450 229-6588</t>
  </si>
  <si>
    <t>1545876</t>
  </si>
  <si>
    <t>Dubois-Sinotte, Maude</t>
  </si>
  <si>
    <t>J7Z5W6</t>
  </si>
  <si>
    <t>450 227-8553</t>
  </si>
  <si>
    <t>1861087</t>
  </si>
  <si>
    <t>Mathieu, Eve-Annie</t>
  </si>
  <si>
    <t>450 258-2306</t>
  </si>
  <si>
    <t>1566362</t>
  </si>
  <si>
    <t>J7Z3K8</t>
  </si>
  <si>
    <t>450 302-1211</t>
  </si>
  <si>
    <t>1961507</t>
  </si>
  <si>
    <t>Mc Gowan, Ethan</t>
  </si>
  <si>
    <t>J7Z3N3</t>
  </si>
  <si>
    <t>450 280-3130</t>
  </si>
  <si>
    <t>1659973</t>
  </si>
  <si>
    <t>Senay, Arianne</t>
  </si>
  <si>
    <t>450 227-0719</t>
  </si>
  <si>
    <t>1933592</t>
  </si>
  <si>
    <t>450 258-4437</t>
  </si>
  <si>
    <t>0634219</t>
  </si>
  <si>
    <t>Durivage, Maryane</t>
  </si>
  <si>
    <t>J7Z5S2</t>
  </si>
  <si>
    <t>450 228-1913</t>
  </si>
  <si>
    <t>1825112</t>
  </si>
  <si>
    <t>Contant, Nora</t>
  </si>
  <si>
    <t>J7Z4C9</t>
  </si>
  <si>
    <t>450 275-3372</t>
  </si>
  <si>
    <t>1149655</t>
  </si>
  <si>
    <t>Humbert, Kevin</t>
  </si>
  <si>
    <t>J7Z5K4</t>
  </si>
  <si>
    <t>450 229-5504</t>
  </si>
  <si>
    <t>1803248</t>
  </si>
  <si>
    <t>Barrette, Virginie</t>
  </si>
  <si>
    <t>J7Z4L5</t>
  </si>
  <si>
    <t>450 275-0825</t>
  </si>
  <si>
    <t>1950109</t>
  </si>
  <si>
    <t>Chabot, Rebecca</t>
  </si>
  <si>
    <t>J7Z3S7</t>
  </si>
  <si>
    <t>450 275-9222</t>
  </si>
  <si>
    <t>1463913</t>
  </si>
  <si>
    <t>Paquette, Darcy-Favi</t>
  </si>
  <si>
    <t>450 227-7799</t>
  </si>
  <si>
    <t>1927445</t>
  </si>
  <si>
    <t>450 258-2450</t>
  </si>
  <si>
    <t>1976992</t>
  </si>
  <si>
    <t>J7Z3R5</t>
  </si>
  <si>
    <t>450 275-9956</t>
  </si>
  <si>
    <t>1955254</t>
  </si>
  <si>
    <t>Leclair-Légaré, Jacob</t>
  </si>
  <si>
    <t>450 227-9646</t>
  </si>
  <si>
    <t>1974448</t>
  </si>
  <si>
    <t>J7Z5P1</t>
  </si>
  <si>
    <t>450 228-8078</t>
  </si>
  <si>
    <t>1586562</t>
  </si>
  <si>
    <t>Chabot, Rayaan</t>
  </si>
  <si>
    <t>J7Z4K8</t>
  </si>
  <si>
    <t>450 275-1395</t>
  </si>
  <si>
    <t>1918353</t>
  </si>
  <si>
    <t>Bowes-Théberge, Sandrine</t>
  </si>
  <si>
    <t>J7Z5E4</t>
  </si>
  <si>
    <t>450 229-8313</t>
  </si>
  <si>
    <t>1882350</t>
  </si>
  <si>
    <t>J7Z4B8</t>
  </si>
  <si>
    <t>450 275-3397</t>
  </si>
  <si>
    <t>1855913</t>
  </si>
  <si>
    <t>Bianka</t>
  </si>
  <si>
    <t>J7Z5P3</t>
  </si>
  <si>
    <t>450 228-4314</t>
  </si>
  <si>
    <t>1827356</t>
  </si>
  <si>
    <t>450 275-2816</t>
  </si>
  <si>
    <t>1648045</t>
  </si>
  <si>
    <t>J7Z5E5</t>
  </si>
  <si>
    <t>450 229-8304</t>
  </si>
  <si>
    <t>1908774</t>
  </si>
  <si>
    <t>450 229-5071</t>
  </si>
  <si>
    <t>1937204</t>
  </si>
  <si>
    <t>Fabre, Marilou</t>
  </si>
  <si>
    <t>J7Z3X2</t>
  </si>
  <si>
    <t>450 275-5247</t>
  </si>
  <si>
    <t>1266593</t>
  </si>
  <si>
    <t>Lalumière, Jimmy</t>
  </si>
  <si>
    <t>450 302-5315</t>
  </si>
  <si>
    <t>1947302</t>
  </si>
  <si>
    <t>J7Z5T1</t>
  </si>
  <si>
    <t>450 227-9175</t>
  </si>
  <si>
    <t>0482931</t>
  </si>
  <si>
    <t>Morin-Gagné</t>
  </si>
  <si>
    <t>450 280-0501</t>
  </si>
  <si>
    <t>1824889</t>
  </si>
  <si>
    <t>450 229-5998</t>
  </si>
  <si>
    <t>1639777</t>
  </si>
  <si>
    <t>Deguire, Michael</t>
  </si>
  <si>
    <t>450 227-6113</t>
  </si>
  <si>
    <t>1860535</t>
  </si>
  <si>
    <t>450 275-5323</t>
  </si>
  <si>
    <t>1745163</t>
  </si>
  <si>
    <t>Lalande, Joé</t>
  </si>
  <si>
    <t>450 227-1164</t>
  </si>
  <si>
    <t>1975983</t>
  </si>
  <si>
    <t>MouFarrej, Éloïse</t>
  </si>
  <si>
    <t>450 275-1673</t>
  </si>
  <si>
    <t>1937619</t>
  </si>
  <si>
    <t>Gagnon-Arsenault, Marc</t>
  </si>
  <si>
    <t>J7Z3V1</t>
  </si>
  <si>
    <t>450 275-8314</t>
  </si>
  <si>
    <t>1562852</t>
  </si>
  <si>
    <t>Crépeau, Nehemie Ford</t>
  </si>
  <si>
    <t>J7Z4Y5</t>
  </si>
  <si>
    <t>450 232-2789</t>
  </si>
  <si>
    <t>1752406</t>
  </si>
  <si>
    <t>Obry, Elian</t>
  </si>
  <si>
    <t>450 258-0574</t>
  </si>
  <si>
    <t>1624144</t>
  </si>
  <si>
    <t>450 275-3773</t>
  </si>
  <si>
    <t>1759300</t>
  </si>
  <si>
    <t>J7Z4G2</t>
  </si>
  <si>
    <t>450 275-2983</t>
  </si>
  <si>
    <t>1705617</t>
  </si>
  <si>
    <t>450 275-2818</t>
  </si>
  <si>
    <t>1957704</t>
  </si>
  <si>
    <t>J7Z4X1</t>
  </si>
  <si>
    <t>450 240-0129</t>
  </si>
  <si>
    <t>0332492</t>
  </si>
  <si>
    <t>Gareau, Magaly</t>
  </si>
  <si>
    <t>450 280-1361</t>
  </si>
  <si>
    <t>1632284</t>
  </si>
  <si>
    <t>J7Z4J8</t>
  </si>
  <si>
    <t>450 275-1585</t>
  </si>
  <si>
    <t>1440934</t>
  </si>
  <si>
    <t>Aubin, William</t>
  </si>
  <si>
    <t>J7Z3S3</t>
  </si>
  <si>
    <t>450 275-9270</t>
  </si>
  <si>
    <t>1580466</t>
  </si>
  <si>
    <t>Pichette, Christophe</t>
  </si>
  <si>
    <t>450 275-9224</t>
  </si>
  <si>
    <t>1857443</t>
  </si>
  <si>
    <t>Deveault, Maya</t>
  </si>
  <si>
    <t>Deveault</t>
  </si>
  <si>
    <t>J7Z5X2</t>
  </si>
  <si>
    <t>450 227-5104</t>
  </si>
  <si>
    <t>1923386</t>
  </si>
  <si>
    <t>Hamel, Laurélie</t>
  </si>
  <si>
    <t>450 229-1680</t>
  </si>
  <si>
    <t>1847459</t>
  </si>
  <si>
    <t>J7Z5H2</t>
  </si>
  <si>
    <t>450 229-8024</t>
  </si>
  <si>
    <t>1842584</t>
  </si>
  <si>
    <t>Campeau, Sabie</t>
  </si>
  <si>
    <t>J7Z4S5</t>
  </si>
  <si>
    <t>450 271-0250</t>
  </si>
  <si>
    <t>1865637</t>
  </si>
  <si>
    <t>Lacroix, Judith</t>
  </si>
  <si>
    <t>450 227-8906</t>
  </si>
  <si>
    <t>1938231</t>
  </si>
  <si>
    <t>450 227-3237</t>
  </si>
  <si>
    <t>1979656</t>
  </si>
  <si>
    <t>Giard</t>
  </si>
  <si>
    <t>450 229-2782</t>
  </si>
  <si>
    <t>1862513</t>
  </si>
  <si>
    <t>L'ASSOMPTION</t>
  </si>
  <si>
    <t>L'Assomption</t>
  </si>
  <si>
    <t>J7Z5Y3</t>
  </si>
  <si>
    <t>450 226-6520</t>
  </si>
  <si>
    <t>1974350</t>
  </si>
  <si>
    <t>J7Z5Y2</t>
  </si>
  <si>
    <t>450 226-6630</t>
  </si>
  <si>
    <t>1725619</t>
  </si>
  <si>
    <t>J7Z5Y1</t>
  </si>
  <si>
    <t>1615454</t>
  </si>
  <si>
    <t>450 226-6416</t>
  </si>
  <si>
    <t>1262946</t>
  </si>
  <si>
    <t>Ziehmann, Abdelkrim</t>
  </si>
  <si>
    <t>L'ASCENSION</t>
  </si>
  <si>
    <t>L'Ascension</t>
  </si>
  <si>
    <t>J7Z5Z2</t>
  </si>
  <si>
    <t>450 226-5226</t>
  </si>
  <si>
    <t>1625010</t>
  </si>
  <si>
    <t>Pilon-Agüero, Chloé</t>
  </si>
  <si>
    <t>450 226-5138</t>
  </si>
  <si>
    <t>1970799</t>
  </si>
  <si>
    <t>Paulsen, Cynthia</t>
  </si>
  <si>
    <t>Paulsen</t>
  </si>
  <si>
    <t>Couturier</t>
  </si>
  <si>
    <t>J7Z5Y9</t>
  </si>
  <si>
    <t>450 226-6128</t>
  </si>
  <si>
    <t>1864863</t>
  </si>
  <si>
    <t>450 226-5968</t>
  </si>
  <si>
    <t>1976838</t>
  </si>
  <si>
    <t>Chabauty, Rebecca</t>
  </si>
  <si>
    <t>J7Z6A9</t>
  </si>
  <si>
    <t>450 226-5089</t>
  </si>
  <si>
    <t>1935104</t>
  </si>
  <si>
    <t>Joubert, Karyanne</t>
  </si>
  <si>
    <t>450 226-5641</t>
  </si>
  <si>
    <t>1752404</t>
  </si>
  <si>
    <t>Lafarge, Josianne</t>
  </si>
  <si>
    <t>LANTIER</t>
  </si>
  <si>
    <t>Lantier</t>
  </si>
  <si>
    <t>J7Z6B3</t>
  </si>
  <si>
    <t>450 226-3428</t>
  </si>
  <si>
    <t>1976930</t>
  </si>
  <si>
    <t>Dugas, Mathis</t>
  </si>
  <si>
    <t>450 226-3131</t>
  </si>
  <si>
    <t>1734670</t>
  </si>
  <si>
    <t>Nguimdoh, Elizabeth</t>
  </si>
  <si>
    <t>450 226-3548</t>
  </si>
  <si>
    <t>1847181</t>
  </si>
  <si>
    <t>De Maisonneuve, Mickael</t>
  </si>
  <si>
    <t>De Maisonneuve</t>
  </si>
  <si>
    <t>O'Donnell-Groulx</t>
  </si>
  <si>
    <t>LAC-SUPÉRIEUR</t>
  </si>
  <si>
    <t>Lac-Supérieur</t>
  </si>
  <si>
    <t>450 226-1928</t>
  </si>
  <si>
    <t>1924015</t>
  </si>
  <si>
    <t>LACHUTE</t>
  </si>
  <si>
    <t>Lachute</t>
  </si>
  <si>
    <t>J7Z6S5</t>
  </si>
  <si>
    <t>450 224-2477</t>
  </si>
  <si>
    <t>1671311</t>
  </si>
  <si>
    <t>Pagé-Morin, Davis</t>
  </si>
  <si>
    <t>J7Z6G4</t>
  </si>
  <si>
    <t>450 224-8757</t>
  </si>
  <si>
    <t>1962055</t>
  </si>
  <si>
    <t>J7Z6W1</t>
  </si>
  <si>
    <t>450 222-2497</t>
  </si>
  <si>
    <t>1723157</t>
  </si>
  <si>
    <t>J7Z6W6</t>
  </si>
  <si>
    <t>450 222-1358</t>
  </si>
  <si>
    <t>1972905</t>
  </si>
  <si>
    <t>Bordeleau, Sébastien</t>
  </si>
  <si>
    <t>J7Z6G6</t>
  </si>
  <si>
    <t>450 224-8281</t>
  </si>
  <si>
    <t>1881630</t>
  </si>
  <si>
    <t>Tremblay-St-Louis, Allie</t>
  </si>
  <si>
    <t>J7Z6B4</t>
  </si>
  <si>
    <t>450 224-9899</t>
  </si>
  <si>
    <t>0950211</t>
  </si>
  <si>
    <t>Croisetière, Nathanael</t>
  </si>
  <si>
    <t>J7Z6E6</t>
  </si>
  <si>
    <t>450 224-9267</t>
  </si>
  <si>
    <t>1159541</t>
  </si>
  <si>
    <t>J7Z6V6</t>
  </si>
  <si>
    <t>450 222-5475</t>
  </si>
  <si>
    <t>1749690</t>
  </si>
  <si>
    <t>J7Z6W2</t>
  </si>
  <si>
    <t>450 222-2043</t>
  </si>
  <si>
    <t>1825220</t>
  </si>
  <si>
    <t>Belleau, Titouan</t>
  </si>
  <si>
    <t>J7Z6R9</t>
  </si>
  <si>
    <t>450 224-3287</t>
  </si>
  <si>
    <t>1929018</t>
  </si>
  <si>
    <t>Orozco-Herrera, Elena</t>
  </si>
  <si>
    <t>J7Z6V5</t>
  </si>
  <si>
    <t>450 222-5834</t>
  </si>
  <si>
    <t>1946167</t>
  </si>
  <si>
    <t>J7Z6H9</t>
  </si>
  <si>
    <t>450 224-7819</t>
  </si>
  <si>
    <t>1673552</t>
  </si>
  <si>
    <t>J7Z6S6</t>
  </si>
  <si>
    <t>450 224-2141</t>
  </si>
  <si>
    <t>1981124</t>
  </si>
  <si>
    <t>Godmer, Léa</t>
  </si>
  <si>
    <t>J7Z6C8</t>
  </si>
  <si>
    <t>450 224-9481</t>
  </si>
  <si>
    <t>1939599</t>
  </si>
  <si>
    <t>J7Z6X3</t>
  </si>
  <si>
    <t>450 215-0551</t>
  </si>
  <si>
    <t>1870306</t>
  </si>
  <si>
    <t>Barriault-Vachon, Virginie</t>
  </si>
  <si>
    <t>450 224-9152</t>
  </si>
  <si>
    <t>1848317</t>
  </si>
  <si>
    <t>Lamarche, Jihane</t>
  </si>
  <si>
    <t>450 224-8756</t>
  </si>
  <si>
    <t>1939308</t>
  </si>
  <si>
    <t>Issa, Kellyann</t>
  </si>
  <si>
    <t>J7Z6L2</t>
  </si>
  <si>
    <t>450 224-5922</t>
  </si>
  <si>
    <t>1881919</t>
  </si>
  <si>
    <t>J7Z6X2</t>
  </si>
  <si>
    <t>450 215-1290</t>
  </si>
  <si>
    <t>1902941</t>
  </si>
  <si>
    <t>J7Z6R6</t>
  </si>
  <si>
    <t>450 224-4528</t>
  </si>
  <si>
    <t>1850107</t>
  </si>
  <si>
    <t>J7Z6K9</t>
  </si>
  <si>
    <t>450 224-7317</t>
  </si>
  <si>
    <t>1841005</t>
  </si>
  <si>
    <t>J7Z6T5</t>
  </si>
  <si>
    <t>450 224-1278</t>
  </si>
  <si>
    <t>1936183</t>
  </si>
  <si>
    <t>J7Z6R4</t>
  </si>
  <si>
    <t>450 224-4948</t>
  </si>
  <si>
    <t>1848139</t>
  </si>
  <si>
    <t>Gonzalez, Léa</t>
  </si>
  <si>
    <t>J7Z6G8</t>
  </si>
  <si>
    <t>450 224-8183</t>
  </si>
  <si>
    <t>1844551</t>
  </si>
  <si>
    <t>Zein, Abigaël</t>
  </si>
  <si>
    <t>J7Z6V4</t>
  </si>
  <si>
    <t>450 224-0216</t>
  </si>
  <si>
    <t>1642652</t>
  </si>
  <si>
    <t>Hallée, Laurence</t>
  </si>
  <si>
    <t>Hallée</t>
  </si>
  <si>
    <t>J7Z6X7</t>
  </si>
  <si>
    <t>450 210-0421</t>
  </si>
  <si>
    <t>0837990</t>
  </si>
  <si>
    <t>450 224-4684</t>
  </si>
  <si>
    <t>1838314</t>
  </si>
  <si>
    <t>Arbour-Gonthier, Xavier</t>
  </si>
  <si>
    <t>J7Z6W3</t>
  </si>
  <si>
    <t>450 222-1600</t>
  </si>
  <si>
    <t>1933699</t>
  </si>
  <si>
    <t>J7Z6T2</t>
  </si>
  <si>
    <t>450 224-1412</t>
  </si>
  <si>
    <t>1976627</t>
  </si>
  <si>
    <t>450 224-0384</t>
  </si>
  <si>
    <t>1971368</t>
  </si>
  <si>
    <t>J7Z6T3</t>
  </si>
  <si>
    <t>450 224-1343</t>
  </si>
  <si>
    <t>1472041</t>
  </si>
  <si>
    <t>Brunette, Samini</t>
  </si>
  <si>
    <t>Brunette</t>
  </si>
  <si>
    <t>450 222-1429</t>
  </si>
  <si>
    <t>1301241</t>
  </si>
  <si>
    <t>Ly</t>
  </si>
  <si>
    <t>450 224-0004</t>
  </si>
  <si>
    <t>1951910</t>
  </si>
  <si>
    <t>Dubuc, Maude</t>
  </si>
  <si>
    <t>450 224-5058</t>
  </si>
  <si>
    <t>1977067</t>
  </si>
  <si>
    <t>Bouché, Sarah-Maude</t>
  </si>
  <si>
    <t>450 224-8358</t>
  </si>
  <si>
    <t>1662521</t>
  </si>
  <si>
    <t>Latour, Jennyfer</t>
  </si>
  <si>
    <t>450 224-8051</t>
  </si>
  <si>
    <t>1941940</t>
  </si>
  <si>
    <t>J7Z6R8</t>
  </si>
  <si>
    <t>450 224-4226</t>
  </si>
  <si>
    <t>1675904</t>
  </si>
  <si>
    <t>450 224-4290</t>
  </si>
  <si>
    <t>1548116</t>
  </si>
  <si>
    <t>Harvey, Lara</t>
  </si>
  <si>
    <t>450 224-5096</t>
  </si>
  <si>
    <t>1528433</t>
  </si>
  <si>
    <t>1967878</t>
  </si>
  <si>
    <t>450 210-2261</t>
  </si>
  <si>
    <t>1662979</t>
  </si>
  <si>
    <t>Tchoutou Nana, Angélique</t>
  </si>
  <si>
    <t>450 224-8605</t>
  </si>
  <si>
    <t>1977196</t>
  </si>
  <si>
    <t>J7Z6T6</t>
  </si>
  <si>
    <t>450 224-1254</t>
  </si>
  <si>
    <t>1743287</t>
  </si>
  <si>
    <t>J7Z6J8</t>
  </si>
  <si>
    <t>450 224-7804</t>
  </si>
  <si>
    <t>1851281</t>
  </si>
  <si>
    <t>450 224-4466</t>
  </si>
  <si>
    <t>1949432</t>
  </si>
  <si>
    <t>Morin, Emanuelle</t>
  </si>
  <si>
    <t>J7Z6C9</t>
  </si>
  <si>
    <t>450 224-9457</t>
  </si>
  <si>
    <t>1719945</t>
  </si>
  <si>
    <t>Bigand, Stéphanie</t>
  </si>
  <si>
    <t>Bigand</t>
  </si>
  <si>
    <t>450 226-1025</t>
  </si>
  <si>
    <t>1931106</t>
  </si>
  <si>
    <t>J7Z6S3</t>
  </si>
  <si>
    <t>450 224-2860</t>
  </si>
  <si>
    <t>1957592</t>
  </si>
  <si>
    <t>J7Z6S1</t>
  </si>
  <si>
    <t>450 224-2975</t>
  </si>
  <si>
    <t>1979821</t>
  </si>
  <si>
    <t>Desnoyers Corbeil, Mégan</t>
  </si>
  <si>
    <t>J7Z6H8</t>
  </si>
  <si>
    <t>450 224-8114</t>
  </si>
  <si>
    <t>1946255</t>
  </si>
  <si>
    <t>Giard, Loïc</t>
  </si>
  <si>
    <t>450 224-2455</t>
  </si>
  <si>
    <t>1984112</t>
  </si>
  <si>
    <t>Therrien Léonard, Anabel</t>
  </si>
  <si>
    <t>450 224-0079</t>
  </si>
  <si>
    <t>1751413</t>
  </si>
  <si>
    <t>J7Z6P2</t>
  </si>
  <si>
    <t>450 224-5487</t>
  </si>
  <si>
    <t>1849683</t>
  </si>
  <si>
    <t>Weil</t>
  </si>
  <si>
    <t>J7Z6H4</t>
  </si>
  <si>
    <t>450 224-8167</t>
  </si>
  <si>
    <t>1971209</t>
  </si>
  <si>
    <t>J7Z6Y1</t>
  </si>
  <si>
    <t>438 998-3586</t>
  </si>
  <si>
    <t>1946111</t>
  </si>
  <si>
    <t>J7Z6V7</t>
  </si>
  <si>
    <t>450 222-5227</t>
  </si>
  <si>
    <t>1730482</t>
  </si>
  <si>
    <t>450 224-5281</t>
  </si>
  <si>
    <t>1740322</t>
  </si>
  <si>
    <t>Sasseville, Audrey</t>
  </si>
  <si>
    <t>Sasseville</t>
  </si>
  <si>
    <t>450 224-2604</t>
  </si>
  <si>
    <t>1565798</t>
  </si>
  <si>
    <t>450 224-5524</t>
  </si>
  <si>
    <t>1212509</t>
  </si>
  <si>
    <t>Millier, Émilie</t>
  </si>
  <si>
    <t>J7Z6V9</t>
  </si>
  <si>
    <t>450 222-2753</t>
  </si>
  <si>
    <t>1612101</t>
  </si>
  <si>
    <t>450 222-5718</t>
  </si>
  <si>
    <t>6122343</t>
  </si>
  <si>
    <t>Doyon, Maxim</t>
  </si>
  <si>
    <t>450 224-9957</t>
  </si>
  <si>
    <t>1801253</t>
  </si>
  <si>
    <t>1946171</t>
  </si>
  <si>
    <t>Ouellet, Eduardo</t>
  </si>
  <si>
    <t>J7Z6T9</t>
  </si>
  <si>
    <t>450 224-1252</t>
  </si>
  <si>
    <t>1836553</t>
  </si>
  <si>
    <t>450 224-5814</t>
  </si>
  <si>
    <t>1170526</t>
  </si>
  <si>
    <t>J7Z6K7</t>
  </si>
  <si>
    <t>450 224-7519</t>
  </si>
  <si>
    <t>1767008</t>
  </si>
  <si>
    <t>1831923</t>
  </si>
  <si>
    <t>450 224-8868</t>
  </si>
  <si>
    <t>1727326</t>
  </si>
  <si>
    <t>1867024</t>
  </si>
  <si>
    <t>D'Amour, Molly</t>
  </si>
  <si>
    <t>J7Z6E3</t>
  </si>
  <si>
    <t>450 224-9428</t>
  </si>
  <si>
    <t>1857512</t>
  </si>
  <si>
    <t>Mahoney, Frédéric</t>
  </si>
  <si>
    <t>450 222-1961</t>
  </si>
  <si>
    <t>1853089</t>
  </si>
  <si>
    <t>Bilodeau, Stefanny</t>
  </si>
  <si>
    <t>450 224-4028</t>
  </si>
  <si>
    <t>1963225</t>
  </si>
  <si>
    <t>J7Z6S9</t>
  </si>
  <si>
    <t>450 224-1937</t>
  </si>
  <si>
    <t>1741959</t>
  </si>
  <si>
    <t>450 224-1313</t>
  </si>
  <si>
    <t>1959064</t>
  </si>
  <si>
    <t>St-Hilaire, Antoine</t>
  </si>
  <si>
    <t>450 222-5172</t>
  </si>
  <si>
    <t>1765008</t>
  </si>
  <si>
    <t>L. Hogue, Justine</t>
  </si>
  <si>
    <t>J7Z6G3</t>
  </si>
  <si>
    <t>450 224-9243</t>
  </si>
  <si>
    <t>1762623</t>
  </si>
  <si>
    <t>Jean, Katry</t>
  </si>
  <si>
    <t>450 207-0777</t>
  </si>
  <si>
    <t>6148779</t>
  </si>
  <si>
    <t>Jacques, Kelly</t>
  </si>
  <si>
    <t>450 224-4891</t>
  </si>
  <si>
    <t>1328926</t>
  </si>
  <si>
    <t>450 224-0256</t>
  </si>
  <si>
    <t>1838981</t>
  </si>
  <si>
    <t>Piché-Saint-Louis, Christophe</t>
  </si>
  <si>
    <t>450 224-3226</t>
  </si>
  <si>
    <t>1889467</t>
  </si>
  <si>
    <t>Grenier-Chénier, Laurie</t>
  </si>
  <si>
    <t>J7Z6V3</t>
  </si>
  <si>
    <t>450 224-1131</t>
  </si>
  <si>
    <t>1629587</t>
  </si>
  <si>
    <t>Théoret-Larrivée, Andréane</t>
  </si>
  <si>
    <t>Andréane</t>
  </si>
  <si>
    <t>LAC-DU-CERF</t>
  </si>
  <si>
    <t>Lac-du-Cerf</t>
  </si>
  <si>
    <t>J7Z6Y6</t>
  </si>
  <si>
    <t>438 995-2385</t>
  </si>
  <si>
    <t>1940762</t>
  </si>
  <si>
    <t>Boucher Rocha, Sarah-Jade</t>
  </si>
  <si>
    <t>438 995-5171</t>
  </si>
  <si>
    <t>1769103</t>
  </si>
  <si>
    <t>LAC-DES-SEIZE-ÎLES</t>
  </si>
  <si>
    <t>Lac-des-Seize-Îles</t>
  </si>
  <si>
    <t>438 994-8585</t>
  </si>
  <si>
    <t>1646544</t>
  </si>
  <si>
    <t>Thériault, Andie</t>
  </si>
  <si>
    <t>Andie</t>
  </si>
  <si>
    <t>LAC-DES-PLAGES</t>
  </si>
  <si>
    <t>Lac-des-Plages</t>
  </si>
  <si>
    <t>J7Z6Y7</t>
  </si>
  <si>
    <t>438 994-8148</t>
  </si>
  <si>
    <t>1717300</t>
  </si>
  <si>
    <t>Huneault Germain, Keven</t>
  </si>
  <si>
    <t>LAC-DES-ÉCORCES</t>
  </si>
  <si>
    <t>Lac-des-Écorces</t>
  </si>
  <si>
    <t>438 994-8097</t>
  </si>
  <si>
    <t>1844813</t>
  </si>
  <si>
    <t>438 994-6633</t>
  </si>
  <si>
    <t>1930716</t>
  </si>
  <si>
    <t>Poudrier, Charles</t>
  </si>
  <si>
    <t>438 993-8058</t>
  </si>
  <si>
    <t>1733940</t>
  </si>
  <si>
    <t>Riel, Camille</t>
  </si>
  <si>
    <t>LABELLE</t>
  </si>
  <si>
    <t>J7Z6Z2</t>
  </si>
  <si>
    <t>438 992-8503</t>
  </si>
  <si>
    <t>1063526</t>
  </si>
  <si>
    <t>J7Z6Z1</t>
  </si>
  <si>
    <t>438 993-6958</t>
  </si>
  <si>
    <t>1824064</t>
  </si>
  <si>
    <t>LA SARRE</t>
  </si>
  <si>
    <t>La Sarre</t>
  </si>
  <si>
    <t>J7Z6Z3</t>
  </si>
  <si>
    <t>438 990-8855</t>
  </si>
  <si>
    <t>1960780</t>
  </si>
  <si>
    <t>Déom, Mélissa</t>
  </si>
  <si>
    <t>LA PRAIRIE</t>
  </si>
  <si>
    <t>La Prairie</t>
  </si>
  <si>
    <t>438 989-8222</t>
  </si>
  <si>
    <t>1531415</t>
  </si>
  <si>
    <t>LA MINERVE</t>
  </si>
  <si>
    <t>La Minerve</t>
  </si>
  <si>
    <t>J7Z6Z4</t>
  </si>
  <si>
    <t>438 988-5151</t>
  </si>
  <si>
    <t>1833703</t>
  </si>
  <si>
    <t>J7Z7A6</t>
  </si>
  <si>
    <t>438 979-5437</t>
  </si>
  <si>
    <t>1950374</t>
  </si>
  <si>
    <t>Alain, Zack</t>
  </si>
  <si>
    <t>J7Z6Z5</t>
  </si>
  <si>
    <t>438 979-8212</t>
  </si>
  <si>
    <t>1334609</t>
  </si>
  <si>
    <t>Lopera Cuesta, Gabriel</t>
  </si>
  <si>
    <t>438 989-4640</t>
  </si>
  <si>
    <t>1741220</t>
  </si>
  <si>
    <t>438 988-3575</t>
  </si>
  <si>
    <t>1678463</t>
  </si>
  <si>
    <t>Doyle, Maxim</t>
  </si>
  <si>
    <t>Doyle</t>
  </si>
  <si>
    <t>Mehdi-Sénécal</t>
  </si>
  <si>
    <t>LA MACAZA</t>
  </si>
  <si>
    <t>La Macaza</t>
  </si>
  <si>
    <t>J7Z7A8</t>
  </si>
  <si>
    <t>438 939-7965</t>
  </si>
  <si>
    <t>1784038</t>
  </si>
  <si>
    <t>Sylvestre, Anne-Frédérique</t>
  </si>
  <si>
    <t>Anne-Frédérique</t>
  </si>
  <si>
    <t>LA CONCEPTION</t>
  </si>
  <si>
    <t>La Conception</t>
  </si>
  <si>
    <t>438 939-3938</t>
  </si>
  <si>
    <t>1653539</t>
  </si>
  <si>
    <t>Cabana, Sabrina</t>
  </si>
  <si>
    <t>J7Z7B3</t>
  </si>
  <si>
    <t>438 936-4537</t>
  </si>
  <si>
    <t>1529052</t>
  </si>
  <si>
    <t>Tavares Quental, Angélyque</t>
  </si>
  <si>
    <t>Audélie</t>
  </si>
  <si>
    <t>438 936-5833</t>
  </si>
  <si>
    <t>9985955</t>
  </si>
  <si>
    <t>J7Z7B7</t>
  </si>
  <si>
    <t>438 934-8764</t>
  </si>
  <si>
    <t>1833037</t>
  </si>
  <si>
    <t>Béland-Gariépy, Valérie</t>
  </si>
  <si>
    <t>Béland-Gariépy</t>
  </si>
  <si>
    <t>JOLIETTE</t>
  </si>
  <si>
    <t>Joliette</t>
  </si>
  <si>
    <t>J7Z7B9</t>
  </si>
  <si>
    <t>438 933-1775</t>
  </si>
  <si>
    <t>1925831</t>
  </si>
  <si>
    <t>438 933-6631</t>
  </si>
  <si>
    <t>1950747</t>
  </si>
  <si>
    <t>438 934-6021</t>
  </si>
  <si>
    <t>1646569</t>
  </si>
  <si>
    <t>IVRY-SUR-LE-LAC</t>
  </si>
  <si>
    <t>Ivry-sur-le-Lac</t>
  </si>
  <si>
    <t>J7Z7C1</t>
  </si>
  <si>
    <t>438 931-0401</t>
  </si>
  <si>
    <t>1764595</t>
  </si>
  <si>
    <t>Côté, Noa</t>
  </si>
  <si>
    <t>Aryanne</t>
  </si>
  <si>
    <t>438 932-1431</t>
  </si>
  <si>
    <t>1750032</t>
  </si>
  <si>
    <t>438 931-0886</t>
  </si>
  <si>
    <t>1644827</t>
  </si>
  <si>
    <t>Marcheterre, Flavie</t>
  </si>
  <si>
    <t>438 932-0279</t>
  </si>
  <si>
    <t>1573849</t>
  </si>
  <si>
    <t>Armelle</t>
  </si>
  <si>
    <t>HUBERDEAU</t>
  </si>
  <si>
    <t>438 930-9039</t>
  </si>
  <si>
    <t>0873641</t>
  </si>
  <si>
    <t>Malette, Francis</t>
  </si>
  <si>
    <t>J7Z7C2</t>
  </si>
  <si>
    <t>438 930-9808</t>
  </si>
  <si>
    <t>1787394</t>
  </si>
  <si>
    <t>Dubuc Abalain, Maude</t>
  </si>
  <si>
    <t>GRENVILLE-SUR-LA-ROUGE</t>
  </si>
  <si>
    <t>Grenville-sur-la-Rouge</t>
  </si>
  <si>
    <t>J7Z7C7</t>
  </si>
  <si>
    <t>438 928-5242</t>
  </si>
  <si>
    <t>1024298</t>
  </si>
  <si>
    <t>Charpentier, Pénélope</t>
  </si>
  <si>
    <t>J7Z7C5</t>
  </si>
  <si>
    <t>438 928-9482</t>
  </si>
  <si>
    <t>1926937</t>
  </si>
  <si>
    <t>Duchesne-Bartolini, Maude</t>
  </si>
  <si>
    <t>438 929-1903</t>
  </si>
  <si>
    <t>1863903</t>
  </si>
  <si>
    <t>438 927-8260</t>
  </si>
  <si>
    <t>1838476</t>
  </si>
  <si>
    <t>Beauchemin, Vincent</t>
  </si>
  <si>
    <t>J7Z7C8</t>
  </si>
  <si>
    <t>438 927-6461</t>
  </si>
  <si>
    <t>9958728</t>
  </si>
  <si>
    <t>438 929-2097</t>
  </si>
  <si>
    <t>1623920</t>
  </si>
  <si>
    <t>Morin-Gagné, Elysa</t>
  </si>
  <si>
    <t>GRENVILLE</t>
  </si>
  <si>
    <t>Grenville</t>
  </si>
  <si>
    <t>438 927-0416</t>
  </si>
  <si>
    <t>1855364</t>
  </si>
  <si>
    <t>Bolduc, Seth</t>
  </si>
  <si>
    <t>J7Z7E5</t>
  </si>
  <si>
    <t>438 926-2691</t>
  </si>
  <si>
    <t>1636082</t>
  </si>
  <si>
    <t>438 926-3669</t>
  </si>
  <si>
    <t>1730487</t>
  </si>
  <si>
    <t>GRANBY</t>
  </si>
  <si>
    <t>Granby</t>
  </si>
  <si>
    <t>J7Z7E9</t>
  </si>
  <si>
    <t>438 926-2305</t>
  </si>
  <si>
    <t>1632543</t>
  </si>
  <si>
    <t>Gorr, Léa</t>
  </si>
  <si>
    <t>438 926-1680</t>
  </si>
  <si>
    <t>1943882</t>
  </si>
  <si>
    <t>Fleurent-Boisvenu, Marie-Maude</t>
  </si>
  <si>
    <t>GORE</t>
  </si>
  <si>
    <t>Gore</t>
  </si>
  <si>
    <t>J7Z7H2</t>
  </si>
  <si>
    <t>438 920-9992</t>
  </si>
  <si>
    <t>1824723</t>
  </si>
  <si>
    <t>J7Z7H6</t>
  </si>
  <si>
    <t>438 889-9177</t>
  </si>
  <si>
    <t>1980328</t>
  </si>
  <si>
    <t>Acquas, Zakary</t>
  </si>
  <si>
    <t>438 920-2262</t>
  </si>
  <si>
    <t>1935886</t>
  </si>
  <si>
    <t>Laporte-Pires</t>
  </si>
  <si>
    <t>J7Z7G5</t>
  </si>
  <si>
    <t>438 924-3177</t>
  </si>
  <si>
    <t>1773132</t>
  </si>
  <si>
    <t>J7Z7G4</t>
  </si>
  <si>
    <t>438 924-9939</t>
  </si>
  <si>
    <t>1767441</t>
  </si>
  <si>
    <t>Boisvert, Sharon Rose</t>
  </si>
  <si>
    <t>J7Z7H1</t>
  </si>
  <si>
    <t>438 923-4084</t>
  </si>
  <si>
    <t>1937015</t>
  </si>
  <si>
    <t>438 922-0300</t>
  </si>
  <si>
    <t>1835782</t>
  </si>
  <si>
    <t>J7Z7G6</t>
  </si>
  <si>
    <t>438 923-4152</t>
  </si>
  <si>
    <t>1827669</t>
  </si>
  <si>
    <t>J7Z7H4</t>
  </si>
  <si>
    <t>438 889-9505</t>
  </si>
  <si>
    <t>1861033</t>
  </si>
  <si>
    <t>Venneri</t>
  </si>
  <si>
    <t>438 923-1720</t>
  </si>
  <si>
    <t>1623815</t>
  </si>
  <si>
    <t>Tavares, Angie Vestina</t>
  </si>
  <si>
    <t>Angie Vestina</t>
  </si>
  <si>
    <t>GATINEAU</t>
  </si>
  <si>
    <t>Gatineau</t>
  </si>
  <si>
    <t>438 889-8927</t>
  </si>
  <si>
    <t>1533762</t>
  </si>
  <si>
    <t>Morin, Élyzabelle</t>
  </si>
  <si>
    <t>438 889-6640</t>
  </si>
  <si>
    <t>1721623</t>
  </si>
  <si>
    <t>Tinkler, Amélie</t>
  </si>
  <si>
    <t>Tinkler</t>
  </si>
  <si>
    <t>438 889-7684</t>
  </si>
  <si>
    <t>1859823</t>
  </si>
  <si>
    <t>FERMONT</t>
  </si>
  <si>
    <t>Fermont</t>
  </si>
  <si>
    <t>438 889-6090</t>
  </si>
  <si>
    <t>1864678</t>
  </si>
  <si>
    <t>Lafleur, José-Miguel</t>
  </si>
  <si>
    <t>FERME-NEUVE</t>
  </si>
  <si>
    <t>Ferme-Neuve</t>
  </si>
  <si>
    <t>J7Z7H8</t>
  </si>
  <si>
    <t>438 889-2045</t>
  </si>
  <si>
    <t>1925459</t>
  </si>
  <si>
    <t>Manzo, Florence</t>
  </si>
  <si>
    <t>ENTRELACS</t>
  </si>
  <si>
    <t>Entrelacs</t>
  </si>
  <si>
    <t>J7Z7J9</t>
  </si>
  <si>
    <t>438 888-7444</t>
  </si>
  <si>
    <t>1939835</t>
  </si>
  <si>
    <t>Daoust, Mirka</t>
  </si>
  <si>
    <t>438 888-8421</t>
  </si>
  <si>
    <t>1525147</t>
  </si>
  <si>
    <t>Bastarache, Virginie</t>
  </si>
  <si>
    <t>DRUMMONDVILLE</t>
  </si>
  <si>
    <t>Drummondville</t>
  </si>
  <si>
    <t>438 888-4177</t>
  </si>
  <si>
    <t>1754404</t>
  </si>
  <si>
    <t>Plouffe-Chagnon, Charlie</t>
  </si>
  <si>
    <t>DORVAL</t>
  </si>
  <si>
    <t>Dorval</t>
  </si>
  <si>
    <t>J7Z7L8</t>
  </si>
  <si>
    <t>438 888-3830</t>
  </si>
  <si>
    <t>1928902</t>
  </si>
  <si>
    <t>DEUX-MONTAGNES</t>
  </si>
  <si>
    <t>Deux-Montagnes</t>
  </si>
  <si>
    <t>438 888-3681</t>
  </si>
  <si>
    <t>1437962</t>
  </si>
  <si>
    <t>J8A0H9</t>
  </si>
  <si>
    <t>438 884-3000</t>
  </si>
  <si>
    <t>0641136</t>
  </si>
  <si>
    <t>J8A0G8</t>
  </si>
  <si>
    <t>438 884-5931</t>
  </si>
  <si>
    <t>1953590</t>
  </si>
  <si>
    <t>O'Donnell-Groulx, Eli</t>
  </si>
  <si>
    <t>J7Z7N2</t>
  </si>
  <si>
    <t>438 888-1901</t>
  </si>
  <si>
    <t>1142605</t>
  </si>
  <si>
    <t>J8A0A2</t>
  </si>
  <si>
    <t>438 886-7876</t>
  </si>
  <si>
    <t>1954931</t>
  </si>
  <si>
    <t>J8A0B4</t>
  </si>
  <si>
    <t>438 886-5501</t>
  </si>
  <si>
    <t>1936740</t>
  </si>
  <si>
    <t>Bélisle, Tracey Dora</t>
  </si>
  <si>
    <t>J7Z7N3</t>
  </si>
  <si>
    <t>438 887-7125</t>
  </si>
  <si>
    <t>1772483</t>
  </si>
  <si>
    <t>Dufour, Mathys</t>
  </si>
  <si>
    <t>438 887-9455</t>
  </si>
  <si>
    <t>1588808</t>
  </si>
  <si>
    <t>J8A0C3</t>
  </si>
  <si>
    <t>438 885-2893</t>
  </si>
  <si>
    <t>1742836</t>
  </si>
  <si>
    <t>Sauvé-Breton, Audrey</t>
  </si>
  <si>
    <t>J8A0B7</t>
  </si>
  <si>
    <t>438 886-0599</t>
  </si>
  <si>
    <t>1848569</t>
  </si>
  <si>
    <t>Bouyahia</t>
  </si>
  <si>
    <t>J8A0C5</t>
  </si>
  <si>
    <t>438 885-2024</t>
  </si>
  <si>
    <t>1964186</t>
  </si>
  <si>
    <t>438 885-9775</t>
  </si>
  <si>
    <t>1950477</t>
  </si>
  <si>
    <t>J8A0B8</t>
  </si>
  <si>
    <t>438 885-8613</t>
  </si>
  <si>
    <t>1832255</t>
  </si>
  <si>
    <t>McNamara, Érika</t>
  </si>
  <si>
    <t>438 885-4135</t>
  </si>
  <si>
    <t>1561384</t>
  </si>
  <si>
    <t>Pronovost, Cédrick</t>
  </si>
  <si>
    <t>438 886-9500</t>
  </si>
  <si>
    <t>1956130</t>
  </si>
  <si>
    <t>Charbonneau Gauthier, Philippe</t>
  </si>
  <si>
    <t>Charbonneau Gauthier</t>
  </si>
  <si>
    <t>J8A0C8</t>
  </si>
  <si>
    <t>438 884-9400</t>
  </si>
  <si>
    <t>1569271</t>
  </si>
  <si>
    <t>438 887-7352</t>
  </si>
  <si>
    <t>1208032</t>
  </si>
  <si>
    <t>Gingras, Liliane</t>
  </si>
  <si>
    <t>J8A0C2</t>
  </si>
  <si>
    <t>438 885-3843</t>
  </si>
  <si>
    <t>1947560</t>
  </si>
  <si>
    <t>438 886-2619</t>
  </si>
  <si>
    <t>1961039</t>
  </si>
  <si>
    <t>Da Silva, Naïa</t>
  </si>
  <si>
    <t>438 887-5133</t>
  </si>
  <si>
    <t>1937205</t>
  </si>
  <si>
    <t>J8A0A8</t>
  </si>
  <si>
    <t>438 886-5555</t>
  </si>
  <si>
    <t>1863063</t>
  </si>
  <si>
    <t>438 887-5204</t>
  </si>
  <si>
    <t>0906538</t>
  </si>
  <si>
    <t>Germain, Loriane</t>
  </si>
  <si>
    <t>J7Z7M6</t>
  </si>
  <si>
    <t>438 888-2744</t>
  </si>
  <si>
    <t>1862011</t>
  </si>
  <si>
    <t>Barbieri-Michaud, Virginie</t>
  </si>
  <si>
    <t>438 887-0479</t>
  </si>
  <si>
    <t>1985389</t>
  </si>
  <si>
    <t>Bagnon, William</t>
  </si>
  <si>
    <t>438 885-5048</t>
  </si>
  <si>
    <t>1836079</t>
  </si>
  <si>
    <t>Mc Lean, Esther</t>
  </si>
  <si>
    <t>438 885-2660</t>
  </si>
  <si>
    <t>0263033</t>
  </si>
  <si>
    <t>438 887-0496</t>
  </si>
  <si>
    <t>1502571</t>
  </si>
  <si>
    <t>438 888-1558</t>
  </si>
  <si>
    <t>1747338</t>
  </si>
  <si>
    <t>Charles-Pierre, Pénélope</t>
  </si>
  <si>
    <t>DÉLÉAGE</t>
  </si>
  <si>
    <t>Déléage</t>
  </si>
  <si>
    <t>438 884-1508</t>
  </si>
  <si>
    <t>1725424</t>
  </si>
  <si>
    <t>St-Arnauld, Antoine</t>
  </si>
  <si>
    <t>CRABTREE</t>
  </si>
  <si>
    <t>Crabtree</t>
  </si>
  <si>
    <t>J8A0J2</t>
  </si>
  <si>
    <t>438 884-1014</t>
  </si>
  <si>
    <t>1834159</t>
  </si>
  <si>
    <t>COTEAU-DU-LAC</t>
  </si>
  <si>
    <t>Coteau-du-Lac</t>
  </si>
  <si>
    <t>438 883-9174</t>
  </si>
  <si>
    <t>1779027</t>
  </si>
  <si>
    <t>CLERMONT</t>
  </si>
  <si>
    <t>J8A1A5</t>
  </si>
  <si>
    <t>438 883-8465</t>
  </si>
  <si>
    <t>1332998</t>
  </si>
  <si>
    <t>Charbonneau-Ménard</t>
  </si>
  <si>
    <t>CHUTE-SAINT-PHILIPPE</t>
  </si>
  <si>
    <t>Chute-Saint-Philippe</t>
  </si>
  <si>
    <t>J8A1A7</t>
  </si>
  <si>
    <t>438 883-7237</t>
  </si>
  <si>
    <t>1946657</t>
  </si>
  <si>
    <t>CHERTSEY</t>
  </si>
  <si>
    <t>Chertsey</t>
  </si>
  <si>
    <t>J8A1B5</t>
  </si>
  <si>
    <t>438 883-1219</t>
  </si>
  <si>
    <t>1555921</t>
  </si>
  <si>
    <t>Richard-Paradis, Camille</t>
  </si>
  <si>
    <t>J8A1C3</t>
  </si>
  <si>
    <t>438 883-1184</t>
  </si>
  <si>
    <t>1542981</t>
  </si>
  <si>
    <t>Ferland, Marijane</t>
  </si>
  <si>
    <t>CHÂTEAUGUAY</t>
  </si>
  <si>
    <t>Châteauguay</t>
  </si>
  <si>
    <t>J8A1C4</t>
  </si>
  <si>
    <t>438 883-1097</t>
  </si>
  <si>
    <t>1734212</t>
  </si>
  <si>
    <t>Cloran, Olivier</t>
  </si>
  <si>
    <t>CHARLEMAGNE</t>
  </si>
  <si>
    <t>Charlemagne</t>
  </si>
  <si>
    <t>438 882-6610</t>
  </si>
  <si>
    <t>1962893</t>
  </si>
  <si>
    <t>Payant, Cynthia</t>
  </si>
  <si>
    <t>CHAMBLY</t>
  </si>
  <si>
    <t>Chambly</t>
  </si>
  <si>
    <t>438 882-6314</t>
  </si>
  <si>
    <t>1881709</t>
  </si>
  <si>
    <t>CANTLEY</t>
  </si>
  <si>
    <t>Cantley</t>
  </si>
  <si>
    <t>438 882-5512</t>
  </si>
  <si>
    <t>1724286</t>
  </si>
  <si>
    <t>CANDIAC</t>
  </si>
  <si>
    <t>Candiac</t>
  </si>
  <si>
    <t>438 882-1805</t>
  </si>
  <si>
    <t>1873649</t>
  </si>
  <si>
    <t>Passé</t>
  </si>
  <si>
    <t>BROWNSBURG-CHATHAM</t>
  </si>
  <si>
    <t>Brownsburg-Chatham</t>
  </si>
  <si>
    <t>J8A1R7</t>
  </si>
  <si>
    <t>438 871-3818</t>
  </si>
  <si>
    <t>1721832</t>
  </si>
  <si>
    <t>J8A1H5</t>
  </si>
  <si>
    <t>438 880-4197</t>
  </si>
  <si>
    <t>1443170</t>
  </si>
  <si>
    <t>Scylla, Aryanne</t>
  </si>
  <si>
    <t>J8A1H6</t>
  </si>
  <si>
    <t>438 880-2129</t>
  </si>
  <si>
    <t>1838612</t>
  </si>
  <si>
    <t>Danis, Mohamed Elamine</t>
  </si>
  <si>
    <t>J8A1R2</t>
  </si>
  <si>
    <t>438 871-9837</t>
  </si>
  <si>
    <t>1707144</t>
  </si>
  <si>
    <t>Ouellet, Eden</t>
  </si>
  <si>
    <t>J8A1H4</t>
  </si>
  <si>
    <t>438 880-8151</t>
  </si>
  <si>
    <t>1752929</t>
  </si>
  <si>
    <t>St-Jacques, Anthony William</t>
  </si>
  <si>
    <t>Anthony William</t>
  </si>
  <si>
    <t>438 874-7111</t>
  </si>
  <si>
    <t>1320492</t>
  </si>
  <si>
    <t>Lacas, Julien</t>
  </si>
  <si>
    <t>J8A1L7</t>
  </si>
  <si>
    <t>438 873-3542</t>
  </si>
  <si>
    <t>1847807</t>
  </si>
  <si>
    <t>J8A1L6</t>
  </si>
  <si>
    <t>438 873-6172</t>
  </si>
  <si>
    <t>1963455</t>
  </si>
  <si>
    <t>438 880-3442</t>
  </si>
  <si>
    <t>1737650</t>
  </si>
  <si>
    <t>Le Brun, Jaëlle-Alexia</t>
  </si>
  <si>
    <t>J8A1C9</t>
  </si>
  <si>
    <t>438 881-7644</t>
  </si>
  <si>
    <t>0773983</t>
  </si>
  <si>
    <t>438 876-8034</t>
  </si>
  <si>
    <t>1839626</t>
  </si>
  <si>
    <t>Bérard-Vallée, Thomas</t>
  </si>
  <si>
    <t>J8A1E3</t>
  </si>
  <si>
    <t>438 881-1459</t>
  </si>
  <si>
    <t>1173968</t>
  </si>
  <si>
    <t>St-Denis-Huard, Antoine</t>
  </si>
  <si>
    <t>J8A1H8</t>
  </si>
  <si>
    <t>438 874-3859</t>
  </si>
  <si>
    <t>1756114</t>
  </si>
  <si>
    <t>438 880-7546</t>
  </si>
  <si>
    <t>1775825</t>
  </si>
  <si>
    <t>J8A1C5</t>
  </si>
  <si>
    <t>438 882-0569</t>
  </si>
  <si>
    <t>1933300</t>
  </si>
  <si>
    <t>Bouyahia, Sandrine</t>
  </si>
  <si>
    <t>438 880-4633</t>
  </si>
  <si>
    <t>1967598</t>
  </si>
  <si>
    <t>J8A1R4</t>
  </si>
  <si>
    <t>438 871-7043</t>
  </si>
  <si>
    <t>1781753</t>
  </si>
  <si>
    <t>J8A1H2</t>
  </si>
  <si>
    <t>438 880-9473</t>
  </si>
  <si>
    <t>1471551</t>
  </si>
  <si>
    <t>J8A1T2</t>
  </si>
  <si>
    <t>438 870-4848</t>
  </si>
  <si>
    <t>1670671</t>
  </si>
  <si>
    <t>Ferland, Marie-Soleil</t>
  </si>
  <si>
    <t>J8A1S8</t>
  </si>
  <si>
    <t>438 871-0125</t>
  </si>
  <si>
    <t>1455809</t>
  </si>
  <si>
    <t>438 881-9102</t>
  </si>
  <si>
    <t>1869152</t>
  </si>
  <si>
    <t>Beaulne, Vicky</t>
  </si>
  <si>
    <t>438 871-5481</t>
  </si>
  <si>
    <t>1941338</t>
  </si>
  <si>
    <t>Saint Fleury, Audrey</t>
  </si>
  <si>
    <t>J8A1N6</t>
  </si>
  <si>
    <t>438 872-1213</t>
  </si>
  <si>
    <t>1943350</t>
  </si>
  <si>
    <t>St-Pierre, Annette</t>
  </si>
  <si>
    <t>Annette</t>
  </si>
  <si>
    <t>438 870-2870</t>
  </si>
  <si>
    <t>1934939</t>
  </si>
  <si>
    <t>Desforges Nault, Mélanie</t>
  </si>
  <si>
    <t>438 882-0594</t>
  </si>
  <si>
    <t>1923584</t>
  </si>
  <si>
    <t>438 871-9788</t>
  </si>
  <si>
    <t>1955467</t>
  </si>
  <si>
    <t>438 881-2885</t>
  </si>
  <si>
    <t>1752310</t>
  </si>
  <si>
    <t>438 880-9533</t>
  </si>
  <si>
    <t>1721909</t>
  </si>
  <si>
    <t>J8A1L3</t>
  </si>
  <si>
    <t>438 873-8888</t>
  </si>
  <si>
    <t>1737818</t>
  </si>
  <si>
    <t>438 881-9747</t>
  </si>
  <si>
    <t>1434606</t>
  </si>
  <si>
    <t>BRÉBEUF</t>
  </si>
  <si>
    <t>Brébeuf</t>
  </si>
  <si>
    <t>J8A1T8</t>
  </si>
  <si>
    <t>438 870-1430</t>
  </si>
  <si>
    <t>1840719</t>
  </si>
  <si>
    <t>Huot, Kernz E</t>
  </si>
  <si>
    <t>BOWMAN</t>
  </si>
  <si>
    <t>Bowman</t>
  </si>
  <si>
    <t>J8A1V1</t>
  </si>
  <si>
    <t>438 870-1102</t>
  </si>
  <si>
    <t>1651320</t>
  </si>
  <si>
    <t>BOIS-FRANC</t>
  </si>
  <si>
    <t>Bois-Franc</t>
  </si>
  <si>
    <t>J8A1W1</t>
  </si>
  <si>
    <t>438 869-4644</t>
  </si>
  <si>
    <t>1761596</t>
  </si>
  <si>
    <t>BOIS-DES-FILION</t>
  </si>
  <si>
    <t>Bois-des-Filion</t>
  </si>
  <si>
    <t>J8A1X1</t>
  </si>
  <si>
    <t>438 869-0633</t>
  </si>
  <si>
    <t>1778677</t>
  </si>
  <si>
    <t>Berthiaume, Taly</t>
  </si>
  <si>
    <t>J8A1W4</t>
  </si>
  <si>
    <t>438 869-2391</t>
  </si>
  <si>
    <t>1969196</t>
  </si>
  <si>
    <t>Fontaine-Courville, Marie-Josée</t>
  </si>
  <si>
    <t>J8A1Y4</t>
  </si>
  <si>
    <t>438 868-9989</t>
  </si>
  <si>
    <t>1758409</t>
  </si>
  <si>
    <t>Malboeuf, Francis</t>
  </si>
  <si>
    <t>J8A2E4</t>
  </si>
  <si>
    <t>438 863-8166</t>
  </si>
  <si>
    <t>1373683</t>
  </si>
  <si>
    <t>Dagenais, Nabil</t>
  </si>
  <si>
    <t>438 863-3006</t>
  </si>
  <si>
    <t>1837941</t>
  </si>
  <si>
    <t>Petit, Clara</t>
  </si>
  <si>
    <t>J8A2E2</t>
  </si>
  <si>
    <t>438 863-8367</t>
  </si>
  <si>
    <t>1847582</t>
  </si>
  <si>
    <t>438 868-8671</t>
  </si>
  <si>
    <t>1840664</t>
  </si>
  <si>
    <t>Joly, Katharina</t>
  </si>
  <si>
    <t>J8A2C3</t>
  </si>
  <si>
    <t>438 868-0320</t>
  </si>
  <si>
    <t>1903981</t>
  </si>
  <si>
    <t>Lahaie, Jolianne</t>
  </si>
  <si>
    <t>J8A2B8</t>
  </si>
  <si>
    <t>438 868-2821</t>
  </si>
  <si>
    <t>1927378</t>
  </si>
  <si>
    <t>Normandin-Leclerc, Elie</t>
  </si>
  <si>
    <t>J8A2E6</t>
  </si>
  <si>
    <t>438 862-9810</t>
  </si>
  <si>
    <t>1809926</t>
  </si>
  <si>
    <t>J8A2E7</t>
  </si>
  <si>
    <t>438 862-8851</t>
  </si>
  <si>
    <t>1878583</t>
  </si>
  <si>
    <t>J8A2B4</t>
  </si>
  <si>
    <t>438 868-3757</t>
  </si>
  <si>
    <t>1792789</t>
  </si>
  <si>
    <t>J8A1W8</t>
  </si>
  <si>
    <t>438 869-1030</t>
  </si>
  <si>
    <t>0975634</t>
  </si>
  <si>
    <t>Phillippe, Clara</t>
  </si>
  <si>
    <t>Cordeiro-Ouimet</t>
  </si>
  <si>
    <t>J8A2B3</t>
  </si>
  <si>
    <t>438 868-6884</t>
  </si>
  <si>
    <t>1636624</t>
  </si>
  <si>
    <t>Barbe Champagne, Wassima</t>
  </si>
  <si>
    <t>Barbe Champagne</t>
  </si>
  <si>
    <t>438 868-9731</t>
  </si>
  <si>
    <t>1423448</t>
  </si>
  <si>
    <t>438 869-1066</t>
  </si>
  <si>
    <t>1756245</t>
  </si>
  <si>
    <t>Rhéaume, Carolane</t>
  </si>
  <si>
    <t>Rhéaume</t>
  </si>
  <si>
    <t>J8A1Z2</t>
  </si>
  <si>
    <t>438 868-7240</t>
  </si>
  <si>
    <t>1077081</t>
  </si>
  <si>
    <t>J8A2C9</t>
  </si>
  <si>
    <t>438 863-9889</t>
  </si>
  <si>
    <t>1725252</t>
  </si>
  <si>
    <t>Caron, Rosalye</t>
  </si>
  <si>
    <t>J8A2G1</t>
  </si>
  <si>
    <t>438 862-7209</t>
  </si>
  <si>
    <t>1879049</t>
  </si>
  <si>
    <t>Claude, Olivier</t>
  </si>
  <si>
    <t>BOISBRIAND</t>
  </si>
  <si>
    <t>Boisbriand</t>
  </si>
  <si>
    <t>J8A3P9</t>
  </si>
  <si>
    <t>438 831-1395</t>
  </si>
  <si>
    <t>1852068</t>
  </si>
  <si>
    <t>Bélisle, Trinidad Paz</t>
  </si>
  <si>
    <t>J8A3H6</t>
  </si>
  <si>
    <t>438 832-2553</t>
  </si>
  <si>
    <t>1743181</t>
  </si>
  <si>
    <t>J8B1J5</t>
  </si>
  <si>
    <t>438 825-0107</t>
  </si>
  <si>
    <t>0445248</t>
  </si>
  <si>
    <t>Morin, Eméric</t>
  </si>
  <si>
    <t>J8A2Z2</t>
  </si>
  <si>
    <t>438 835-7764</t>
  </si>
  <si>
    <t>1775955</t>
  </si>
  <si>
    <t>Dupras Godbout, Mathieu</t>
  </si>
  <si>
    <t>J8A3P3</t>
  </si>
  <si>
    <t>438 831-2325</t>
  </si>
  <si>
    <t>1386573</t>
  </si>
  <si>
    <t>Bilodeau, Stéfanie</t>
  </si>
  <si>
    <t>J8B1C5</t>
  </si>
  <si>
    <t>438 827-4670</t>
  </si>
  <si>
    <t>1660361</t>
  </si>
  <si>
    <t>J8A2Y1</t>
  </si>
  <si>
    <t>438 836-5640</t>
  </si>
  <si>
    <t>1941509</t>
  </si>
  <si>
    <t>Desbiens, Melissa</t>
  </si>
  <si>
    <t>J8A2J7</t>
  </si>
  <si>
    <t>438 838-0079</t>
  </si>
  <si>
    <t>1926340</t>
  </si>
  <si>
    <t>Metras, Émily</t>
  </si>
  <si>
    <t>J8B1C9</t>
  </si>
  <si>
    <t>438 827-3845</t>
  </si>
  <si>
    <t>1721753</t>
  </si>
  <si>
    <t>438 837-1007</t>
  </si>
  <si>
    <t>1737756</t>
  </si>
  <si>
    <t>438 832-1218</t>
  </si>
  <si>
    <t>1745137</t>
  </si>
  <si>
    <t>Cordeiro-Ouimet, Noémie</t>
  </si>
  <si>
    <t>J8A3R1</t>
  </si>
  <si>
    <t>438 831-0972</t>
  </si>
  <si>
    <t>1869886</t>
  </si>
  <si>
    <t>J8A2R3</t>
  </si>
  <si>
    <t>438 837-1096</t>
  </si>
  <si>
    <t>1963510</t>
  </si>
  <si>
    <t>Da Costa, Nancy</t>
  </si>
  <si>
    <t>J8B1J3</t>
  </si>
  <si>
    <t>438 825-1103</t>
  </si>
  <si>
    <t>1928732</t>
  </si>
  <si>
    <t>J8B0B3</t>
  </si>
  <si>
    <t>438 830-6539</t>
  </si>
  <si>
    <t>1969383</t>
  </si>
  <si>
    <t>J8B0H8</t>
  </si>
  <si>
    <t>438 828-7059</t>
  </si>
  <si>
    <t>1860019</t>
  </si>
  <si>
    <t>J8B1B2</t>
  </si>
  <si>
    <t>438 828-5110</t>
  </si>
  <si>
    <t>1632125</t>
  </si>
  <si>
    <t>J8A3B1</t>
  </si>
  <si>
    <t>438 833-1997</t>
  </si>
  <si>
    <t>1628576</t>
  </si>
  <si>
    <t>Gendron, Louis-David</t>
  </si>
  <si>
    <t>J8A2G8</t>
  </si>
  <si>
    <t>438 862-0733</t>
  </si>
  <si>
    <t>9137172</t>
  </si>
  <si>
    <t>Ganley, Maïka</t>
  </si>
  <si>
    <t>J8A3A1</t>
  </si>
  <si>
    <t>438 835-2454</t>
  </si>
  <si>
    <t>1878406</t>
  </si>
  <si>
    <t>Janvier</t>
  </si>
  <si>
    <t>J8B1H1</t>
  </si>
  <si>
    <t>438 825-7128</t>
  </si>
  <si>
    <t>1465662</t>
  </si>
  <si>
    <t>Deluy, Mélyna</t>
  </si>
  <si>
    <t>438 831-9844</t>
  </si>
  <si>
    <t>1635747</t>
  </si>
  <si>
    <t>J8B1K1</t>
  </si>
  <si>
    <t>438 824-1755</t>
  </si>
  <si>
    <t>1480040</t>
  </si>
  <si>
    <t>Gascon, Maël</t>
  </si>
  <si>
    <t>J8A2J2</t>
  </si>
  <si>
    <t>438 838-0664</t>
  </si>
  <si>
    <t>1827372</t>
  </si>
  <si>
    <t>Ballard, William</t>
  </si>
  <si>
    <t>J8A2H2</t>
  </si>
  <si>
    <t>438 838-3804</t>
  </si>
  <si>
    <t>1993292</t>
  </si>
  <si>
    <t>J8A2J3</t>
  </si>
  <si>
    <t>438 838-0087</t>
  </si>
  <si>
    <t>1940474</t>
  </si>
  <si>
    <t>Bussière-Gauthier, Sabrina</t>
  </si>
  <si>
    <t>J8B0H3</t>
  </si>
  <si>
    <t>438 829-5389</t>
  </si>
  <si>
    <t>1953039</t>
  </si>
  <si>
    <t>J8B1H7</t>
  </si>
  <si>
    <t>438 825-3559</t>
  </si>
  <si>
    <t>1828534</t>
  </si>
  <si>
    <t>Ndengani, Elizabeth</t>
  </si>
  <si>
    <t>J8B1K4</t>
  </si>
  <si>
    <t>438 823-7043</t>
  </si>
  <si>
    <t>1747539</t>
  </si>
  <si>
    <t>Gaumond, Lydia</t>
  </si>
  <si>
    <t>J8A2K4</t>
  </si>
  <si>
    <t>438 837-5584</t>
  </si>
  <si>
    <t>0972869</t>
  </si>
  <si>
    <t>J8B0B5</t>
  </si>
  <si>
    <t>438 830-3308</t>
  </si>
  <si>
    <t>1940388</t>
  </si>
  <si>
    <t>J8B1B4</t>
  </si>
  <si>
    <t>438 828-2681</t>
  </si>
  <si>
    <t>0375366</t>
  </si>
  <si>
    <t>Charbonneau-Perrault, Philippe</t>
  </si>
  <si>
    <t>438 828-3088</t>
  </si>
  <si>
    <t>1987165</t>
  </si>
  <si>
    <t>Janvier, Keliane</t>
  </si>
  <si>
    <t>J8A2J1</t>
  </si>
  <si>
    <t>438 838-2752</t>
  </si>
  <si>
    <t>1735857</t>
  </si>
  <si>
    <t>Destina, Méane</t>
  </si>
  <si>
    <t>438 825-3003</t>
  </si>
  <si>
    <t>0371878</t>
  </si>
  <si>
    <t>Da Silva-Almeida, Nadya</t>
  </si>
  <si>
    <t>438 838-4297</t>
  </si>
  <si>
    <t>1936785</t>
  </si>
  <si>
    <t>Carmel-Rochette, Roseline</t>
  </si>
  <si>
    <t>J8B1H5</t>
  </si>
  <si>
    <t>438 825-5590</t>
  </si>
  <si>
    <t>1984336</t>
  </si>
  <si>
    <t>J8B0G1</t>
  </si>
  <si>
    <t>438 830-1107</t>
  </si>
  <si>
    <t>1525461</t>
  </si>
  <si>
    <t>J8B1J9</t>
  </si>
  <si>
    <t>438 824-2851</t>
  </si>
  <si>
    <t>0975979</t>
  </si>
  <si>
    <t>J8A2N3</t>
  </si>
  <si>
    <t>438 837-4848</t>
  </si>
  <si>
    <t>1854631</t>
  </si>
  <si>
    <t>438 838-0773</t>
  </si>
  <si>
    <t>1845925</t>
  </si>
  <si>
    <t>J8A2H3</t>
  </si>
  <si>
    <t>438 838-3021</t>
  </si>
  <si>
    <t>1837491</t>
  </si>
  <si>
    <t>Bertrand, Sue-Helen</t>
  </si>
  <si>
    <t>Anita</t>
  </si>
  <si>
    <t>J8B1B5</t>
  </si>
  <si>
    <t>438 828-0206</t>
  </si>
  <si>
    <t>1777497</t>
  </si>
  <si>
    <t>Ferland, Marie-Wildarlyne</t>
  </si>
  <si>
    <t>J8B1E8</t>
  </si>
  <si>
    <t>438 827-3733</t>
  </si>
  <si>
    <t>1953403</t>
  </si>
  <si>
    <t>438 838-1832</t>
  </si>
  <si>
    <t>1939952</t>
  </si>
  <si>
    <t>J8B1G7</t>
  </si>
  <si>
    <t>438 825-7447</t>
  </si>
  <si>
    <t>1859556</t>
  </si>
  <si>
    <t>J8B1G3</t>
  </si>
  <si>
    <t>438 826-1536</t>
  </si>
  <si>
    <t>1936383</t>
  </si>
  <si>
    <t>J8B0H6</t>
  </si>
  <si>
    <t>438 828-9404</t>
  </si>
  <si>
    <t>1737980</t>
  </si>
  <si>
    <t>438 825-8004</t>
  </si>
  <si>
    <t>1636384</t>
  </si>
  <si>
    <t>Dugré, Mathilde</t>
  </si>
  <si>
    <t>J8A3G3</t>
  </si>
  <si>
    <t>438 832-4472</t>
  </si>
  <si>
    <t>1822238</t>
  </si>
  <si>
    <t>J8A2G2</t>
  </si>
  <si>
    <t>438 862-5969</t>
  </si>
  <si>
    <t>1726639</t>
  </si>
  <si>
    <t>J8B0B7</t>
  </si>
  <si>
    <t>438 830-1766</t>
  </si>
  <si>
    <t>1351868</t>
  </si>
  <si>
    <t>Lamont, Jessy</t>
  </si>
  <si>
    <t>J8A3E3</t>
  </si>
  <si>
    <t>438 832-6717</t>
  </si>
  <si>
    <t>1950844</t>
  </si>
  <si>
    <t>J8B1E9</t>
  </si>
  <si>
    <t>438 827-2097</t>
  </si>
  <si>
    <t>1544790</t>
  </si>
  <si>
    <t>J8A3S2</t>
  </si>
  <si>
    <t>438 830-8279</t>
  </si>
  <si>
    <t>1804012</t>
  </si>
  <si>
    <t>Duval, Mark</t>
  </si>
  <si>
    <t>J8A3J5</t>
  </si>
  <si>
    <t>438 832-0720</t>
  </si>
  <si>
    <t>1664794</t>
  </si>
  <si>
    <t>Duran-Boulanger, Marylie</t>
  </si>
  <si>
    <t>J8B1J6</t>
  </si>
  <si>
    <t>438 824-9346</t>
  </si>
  <si>
    <t>1661815</t>
  </si>
  <si>
    <t>Gattillo, Madeline</t>
  </si>
  <si>
    <t>J8A3B8</t>
  </si>
  <si>
    <t>438 833-1891</t>
  </si>
  <si>
    <t>1845779</t>
  </si>
  <si>
    <t>BLAINVILLE</t>
  </si>
  <si>
    <t>Blainville</t>
  </si>
  <si>
    <t>J8V2Z4</t>
  </si>
  <si>
    <t>438 345-5228</t>
  </si>
  <si>
    <t>6148336</t>
  </si>
  <si>
    <t>Lefebvre, Iness</t>
  </si>
  <si>
    <t>J9L3G5</t>
  </si>
  <si>
    <t>418 837-9142</t>
  </si>
  <si>
    <t>1931289</t>
  </si>
  <si>
    <t>J8H1Y6</t>
  </si>
  <si>
    <t>438 398-1817</t>
  </si>
  <si>
    <t>1681535</t>
  </si>
  <si>
    <t>Lagacé-Herchel, Jonathan</t>
  </si>
  <si>
    <t>J8C0K9</t>
  </si>
  <si>
    <t>438 498-5159</t>
  </si>
  <si>
    <t>1929657</t>
  </si>
  <si>
    <t>Adégoké, Zakary</t>
  </si>
  <si>
    <t>J8B2Z3</t>
  </si>
  <si>
    <t>438 499-6452</t>
  </si>
  <si>
    <t>1838183</t>
  </si>
  <si>
    <t>J8H0L3</t>
  </si>
  <si>
    <t>438 399-8207</t>
  </si>
  <si>
    <t>0470356</t>
  </si>
  <si>
    <t>Berthiaume, Tammy</t>
  </si>
  <si>
    <t>J8H2S3</t>
  </si>
  <si>
    <t>438 397-4774</t>
  </si>
  <si>
    <t>1853105</t>
  </si>
  <si>
    <t>Lessard Lamarche, Gabrielle</t>
  </si>
  <si>
    <t>J8H3W7</t>
  </si>
  <si>
    <t>438 392-6943</t>
  </si>
  <si>
    <t>1826916</t>
  </si>
  <si>
    <t>Briggs, Samuel</t>
  </si>
  <si>
    <t>J8G2H7</t>
  </si>
  <si>
    <t>438 404-2867</t>
  </si>
  <si>
    <t>1955508</t>
  </si>
  <si>
    <t>Van Dam, Alexandre</t>
  </si>
  <si>
    <t>Van Dam</t>
  </si>
  <si>
    <t>Arseneau</t>
  </si>
  <si>
    <t>J8B1M5</t>
  </si>
  <si>
    <t>438 820-6398</t>
  </si>
  <si>
    <t>1734007</t>
  </si>
  <si>
    <t>Beaudry-Millette, Victoria</t>
  </si>
  <si>
    <t>J8C2Z7</t>
  </si>
  <si>
    <t>438 495-8749</t>
  </si>
  <si>
    <t>1764967</t>
  </si>
  <si>
    <t>J8B1S4</t>
  </si>
  <si>
    <t>438 738-8484</t>
  </si>
  <si>
    <t>1849377</t>
  </si>
  <si>
    <t>J8C2W9</t>
  </si>
  <si>
    <t>438 496-0706</t>
  </si>
  <si>
    <t>6149503</t>
  </si>
  <si>
    <t>Cibois, Olivier</t>
  </si>
  <si>
    <t>J8B2P9</t>
  </si>
  <si>
    <t>438 502-8835</t>
  </si>
  <si>
    <t>1980137</t>
  </si>
  <si>
    <t>J8H1Z1</t>
  </si>
  <si>
    <t>438 397-9450</t>
  </si>
  <si>
    <t>1738240</t>
  </si>
  <si>
    <t>J8H1B2</t>
  </si>
  <si>
    <t>438 399-3715</t>
  </si>
  <si>
    <t>1859769</t>
  </si>
  <si>
    <t>Aubuchon, William</t>
  </si>
  <si>
    <t>J8B1L3</t>
  </si>
  <si>
    <t>438 821-5770</t>
  </si>
  <si>
    <t>1945372</t>
  </si>
  <si>
    <t>Finnerty-Fortier, Marie-Pier</t>
  </si>
  <si>
    <t>J8H3J5</t>
  </si>
  <si>
    <t>438 395-7424</t>
  </si>
  <si>
    <t>1878717</t>
  </si>
  <si>
    <t>Boudreau, Sarahève</t>
  </si>
  <si>
    <t>J8E2W2</t>
  </si>
  <si>
    <t>438 406-7733</t>
  </si>
  <si>
    <t>1973748</t>
  </si>
  <si>
    <t>Brière-Emard, Samuel</t>
  </si>
  <si>
    <t>J8E2E4</t>
  </si>
  <si>
    <t>438 491-6780</t>
  </si>
  <si>
    <t>1942062</t>
  </si>
  <si>
    <t>J8G1L1</t>
  </si>
  <si>
    <t>438 405-5639</t>
  </si>
  <si>
    <t>1963343</t>
  </si>
  <si>
    <t>J9P6M5</t>
  </si>
  <si>
    <t>418 508-9097</t>
  </si>
  <si>
    <t>1732454</t>
  </si>
  <si>
    <t>Bourbonnais, Sarah</t>
  </si>
  <si>
    <t>J8H4L8</t>
  </si>
  <si>
    <t>438 350-8599</t>
  </si>
  <si>
    <t>1942708</t>
  </si>
  <si>
    <t>J8B2Y7</t>
  </si>
  <si>
    <t>438 499-8212</t>
  </si>
  <si>
    <t>1752000</t>
  </si>
  <si>
    <t>Savoie, Audélie</t>
  </si>
  <si>
    <t>J9L3G4</t>
  </si>
  <si>
    <t>418 900-4922</t>
  </si>
  <si>
    <t>1981323</t>
  </si>
  <si>
    <t>Gratton Fournier, Laurie</t>
  </si>
  <si>
    <t>Laramée</t>
  </si>
  <si>
    <t>J8B2Y6</t>
  </si>
  <si>
    <t>438 499-9346</t>
  </si>
  <si>
    <t>1927580</t>
  </si>
  <si>
    <t>J8H3W8</t>
  </si>
  <si>
    <t>438 391-2625</t>
  </si>
  <si>
    <t>1963277</t>
  </si>
  <si>
    <t>Gaulin-Metivier, Lydia</t>
  </si>
  <si>
    <t>Gaulin-Metivier</t>
  </si>
  <si>
    <t>Leconte</t>
  </si>
  <si>
    <t>J8C1H2</t>
  </si>
  <si>
    <t>438 497-0274</t>
  </si>
  <si>
    <t>1804641</t>
  </si>
  <si>
    <t>Proulx Meurs, Cathy</t>
  </si>
  <si>
    <t>J8B3H2</t>
  </si>
  <si>
    <t>438 499-0428</t>
  </si>
  <si>
    <t>1937603</t>
  </si>
  <si>
    <t>Ben Mehria, Thomas</t>
  </si>
  <si>
    <t>J8E0E2</t>
  </si>
  <si>
    <t>438 492-3274</t>
  </si>
  <si>
    <t>1854724</t>
  </si>
  <si>
    <t>Alissa</t>
  </si>
  <si>
    <t>J8C2Z8</t>
  </si>
  <si>
    <t>438 495-3987</t>
  </si>
  <si>
    <t>1224902</t>
  </si>
  <si>
    <t>J8B3G8</t>
  </si>
  <si>
    <t>438 499-3945</t>
  </si>
  <si>
    <t>1828444</t>
  </si>
  <si>
    <t>J8H1A2</t>
  </si>
  <si>
    <t>438 399-6241</t>
  </si>
  <si>
    <t>6156308</t>
  </si>
  <si>
    <t>Juteau, Karmélia</t>
  </si>
  <si>
    <t>Kouadio-Banga</t>
  </si>
  <si>
    <t>438 392-3282</t>
  </si>
  <si>
    <t>1613431</t>
  </si>
  <si>
    <t>J8B2Y4</t>
  </si>
  <si>
    <t>438 501-2533</t>
  </si>
  <si>
    <t>1675036</t>
  </si>
  <si>
    <t>438 496-0550</t>
  </si>
  <si>
    <t>1825678</t>
  </si>
  <si>
    <t>Martin, Farida</t>
  </si>
  <si>
    <t>J9L2H1</t>
  </si>
  <si>
    <t>438 223-6318</t>
  </si>
  <si>
    <t>1750214</t>
  </si>
  <si>
    <t>Gionet, Léonie</t>
  </si>
  <si>
    <t>J8H4M7</t>
  </si>
  <si>
    <t>438 350-7838</t>
  </si>
  <si>
    <t>1906669</t>
  </si>
  <si>
    <t>Beaumier-Pimparé, Vicky</t>
  </si>
  <si>
    <t>J8B2M4</t>
  </si>
  <si>
    <t>438 503-8139</t>
  </si>
  <si>
    <t>1653632</t>
  </si>
  <si>
    <t>Venneri, Alexandra</t>
  </si>
  <si>
    <t>J8B2M7</t>
  </si>
  <si>
    <t>438 503-5328</t>
  </si>
  <si>
    <t>1821857</t>
  </si>
  <si>
    <t>Le Cunff, Jade-Elyane</t>
  </si>
  <si>
    <t>438 392-1318</t>
  </si>
  <si>
    <t>1540927</t>
  </si>
  <si>
    <t>Bédard, Vanessa Tanya</t>
  </si>
  <si>
    <t>J8E1N1</t>
  </si>
  <si>
    <t>438 492-3113</t>
  </si>
  <si>
    <t>1752658</t>
  </si>
  <si>
    <t>Deschênes-Boily, Meldred</t>
  </si>
  <si>
    <t>J8B2A9</t>
  </si>
  <si>
    <t>438 521-6274</t>
  </si>
  <si>
    <t>1257171</t>
  </si>
  <si>
    <t>Perreault, Colin</t>
  </si>
  <si>
    <t>J8B2C2</t>
  </si>
  <si>
    <t>438 521-3899</t>
  </si>
  <si>
    <t>1841411</t>
  </si>
  <si>
    <t>Sagot, Audrey</t>
  </si>
  <si>
    <t>J8G3C4</t>
  </si>
  <si>
    <t>438 402-5807</t>
  </si>
  <si>
    <t>1927747</t>
  </si>
  <si>
    <t>Gamache, Maïka</t>
  </si>
  <si>
    <t>J8B1S1</t>
  </si>
  <si>
    <t>438 788-8717</t>
  </si>
  <si>
    <t>1935677</t>
  </si>
  <si>
    <t>Ly, Frédérique</t>
  </si>
  <si>
    <t>J9L2G3</t>
  </si>
  <si>
    <t>438 233-2004</t>
  </si>
  <si>
    <t>1663239</t>
  </si>
  <si>
    <t>J8H2S8</t>
  </si>
  <si>
    <t>438 396-8166</t>
  </si>
  <si>
    <t>1727590</t>
  </si>
  <si>
    <t>Gaumond-Bienvenu, Lydia</t>
  </si>
  <si>
    <t>J8H2S1</t>
  </si>
  <si>
    <t>438 397-7061</t>
  </si>
  <si>
    <t>0466128</t>
  </si>
  <si>
    <t>Labranche-Dallaire, Julien</t>
  </si>
  <si>
    <t>438 728-7903</t>
  </si>
  <si>
    <t>1928060</t>
  </si>
  <si>
    <t>J8H2W9</t>
  </si>
  <si>
    <t>438 396-3557</t>
  </si>
  <si>
    <t>1847879</t>
  </si>
  <si>
    <t>J8C0H6</t>
  </si>
  <si>
    <t>438 498-5602</t>
  </si>
  <si>
    <t>1648230</t>
  </si>
  <si>
    <t>Bourcy, Sarah</t>
  </si>
  <si>
    <t>J8B1L7</t>
  </si>
  <si>
    <t>438 820-6448</t>
  </si>
  <si>
    <t>1639624</t>
  </si>
  <si>
    <t>J8E2C9</t>
  </si>
  <si>
    <t>438 491-6798</t>
  </si>
  <si>
    <t>1925721</t>
  </si>
  <si>
    <t>J8H3T8</t>
  </si>
  <si>
    <t>438 394-2596</t>
  </si>
  <si>
    <t>1929152</t>
  </si>
  <si>
    <t>St-André, Antoine</t>
  </si>
  <si>
    <t>J8C1X1</t>
  </si>
  <si>
    <t>438 496-4446</t>
  </si>
  <si>
    <t>1870346</t>
  </si>
  <si>
    <t>J8B1X4</t>
  </si>
  <si>
    <t>438 522-2150</t>
  </si>
  <si>
    <t>1357616</t>
  </si>
  <si>
    <t>Loyer, Gabriel</t>
  </si>
  <si>
    <t>438 495-7784</t>
  </si>
  <si>
    <t>1851340</t>
  </si>
  <si>
    <t>J8B2X2</t>
  </si>
  <si>
    <t>438 501-2703</t>
  </si>
  <si>
    <t>1555330</t>
  </si>
  <si>
    <t>J8H1A3</t>
  </si>
  <si>
    <t>438 399-5592</t>
  </si>
  <si>
    <t>0636567</t>
  </si>
  <si>
    <t>J9L3G3</t>
  </si>
  <si>
    <t>418 933-6293</t>
  </si>
  <si>
    <t>1652948</t>
  </si>
  <si>
    <t>Fortier-Ouellet, Marie-Claude</t>
  </si>
  <si>
    <t>J8H4J7</t>
  </si>
  <si>
    <t>438 382-1777</t>
  </si>
  <si>
    <t>1736710</t>
  </si>
  <si>
    <t>438 399-7210</t>
  </si>
  <si>
    <t>1970541</t>
  </si>
  <si>
    <t>J8E3J9</t>
  </si>
  <si>
    <t>438 406-3683</t>
  </si>
  <si>
    <t>1264293</t>
  </si>
  <si>
    <t>Lebel-Frenette, Jade</t>
  </si>
  <si>
    <t>J8B3A3</t>
  </si>
  <si>
    <t>438 499-5296</t>
  </si>
  <si>
    <t>1640405</t>
  </si>
  <si>
    <t>J8G1W6</t>
  </si>
  <si>
    <t>438 404-9775</t>
  </si>
  <si>
    <t>1648906</t>
  </si>
  <si>
    <t>J8G2V1</t>
  </si>
  <si>
    <t>438 403-9981</t>
  </si>
  <si>
    <t>1756354</t>
  </si>
  <si>
    <t>Dickson, Maxime</t>
  </si>
  <si>
    <t>J8H2Y6</t>
  </si>
  <si>
    <t>438 396-3431</t>
  </si>
  <si>
    <t>1666111</t>
  </si>
  <si>
    <t>Tardif, Anita</t>
  </si>
  <si>
    <t>438 495-6373</t>
  </si>
  <si>
    <t>1667076</t>
  </si>
  <si>
    <t>Boivin, Shanny</t>
  </si>
  <si>
    <t>J8G2A5</t>
  </si>
  <si>
    <t>438 404-5082</t>
  </si>
  <si>
    <t>1346070</t>
  </si>
  <si>
    <t>J8B1S3</t>
  </si>
  <si>
    <t>438 765-8754</t>
  </si>
  <si>
    <t>1716977</t>
  </si>
  <si>
    <t>Raby, Catherine</t>
  </si>
  <si>
    <t>J9L0Z2</t>
  </si>
  <si>
    <t>438 322-3547</t>
  </si>
  <si>
    <t>1745121</t>
  </si>
  <si>
    <t>J8C0X2</t>
  </si>
  <si>
    <t>438 497-9566</t>
  </si>
  <si>
    <t>1644972</t>
  </si>
  <si>
    <t>Denobriga, Mélissa</t>
  </si>
  <si>
    <t>J8R2L6</t>
  </si>
  <si>
    <t>438 346-0337</t>
  </si>
  <si>
    <t>1243696</t>
  </si>
  <si>
    <t>J8H3W9</t>
  </si>
  <si>
    <t>438 391-2614</t>
  </si>
  <si>
    <t>1826828</t>
  </si>
  <si>
    <t>Dagesse, Myriam</t>
  </si>
  <si>
    <t>Paiement-Pelletier</t>
  </si>
  <si>
    <t>438 404-1220</t>
  </si>
  <si>
    <t>1535666</t>
  </si>
  <si>
    <t>438 495-7332</t>
  </si>
  <si>
    <t>1951967</t>
  </si>
  <si>
    <t>Vincent, Alex B.</t>
  </si>
  <si>
    <t>Alex B.</t>
  </si>
  <si>
    <t>438 503-6493</t>
  </si>
  <si>
    <t>1848061</t>
  </si>
  <si>
    <t>Bélanger, Valeria</t>
  </si>
  <si>
    <t>J8C3K7</t>
  </si>
  <si>
    <t>438 494-4465</t>
  </si>
  <si>
    <t>1257269</t>
  </si>
  <si>
    <t>Jara Chartrand, Keecha</t>
  </si>
  <si>
    <t>J8G2E7</t>
  </si>
  <si>
    <t>438 404-2936</t>
  </si>
  <si>
    <t>1137643</t>
  </si>
  <si>
    <t>J8H4L5</t>
  </si>
  <si>
    <t>438 355-9088</t>
  </si>
  <si>
    <t>1956673</t>
  </si>
  <si>
    <t>Ritchie-Corbeil, Camille</t>
  </si>
  <si>
    <t>J8H3R5</t>
  </si>
  <si>
    <t>438 394-8168</t>
  </si>
  <si>
    <t>1636397</t>
  </si>
  <si>
    <t>J8G1H8</t>
  </si>
  <si>
    <t>438 405-8974</t>
  </si>
  <si>
    <t>1957974</t>
  </si>
  <si>
    <t>J8G2Z5</t>
  </si>
  <si>
    <t>438 403-3794</t>
  </si>
  <si>
    <t>1941944</t>
  </si>
  <si>
    <t>J8G1Z1</t>
  </si>
  <si>
    <t>438 404-7839</t>
  </si>
  <si>
    <t>1774230</t>
  </si>
  <si>
    <t>Brun, Samuel</t>
  </si>
  <si>
    <t>438 494-9578</t>
  </si>
  <si>
    <t>1729104</t>
  </si>
  <si>
    <t>418 873-3577</t>
  </si>
  <si>
    <t>1992269</t>
  </si>
  <si>
    <t>438 494-6908</t>
  </si>
  <si>
    <t>1481070</t>
  </si>
  <si>
    <t>J8B2R6</t>
  </si>
  <si>
    <t>438 502-5620</t>
  </si>
  <si>
    <t>1149316</t>
  </si>
  <si>
    <t>Jardry, Kaysie</t>
  </si>
  <si>
    <t>J8C0G7</t>
  </si>
  <si>
    <t>438 498-5836</t>
  </si>
  <si>
    <t>1880807</t>
  </si>
  <si>
    <t>J8G2Z1</t>
  </si>
  <si>
    <t>438 403-4142</t>
  </si>
  <si>
    <t>1959127</t>
  </si>
  <si>
    <t>Laporte-Pires, Jérémy</t>
  </si>
  <si>
    <t>J8H4E3</t>
  </si>
  <si>
    <t>438 390-2612</t>
  </si>
  <si>
    <t>1878740</t>
  </si>
  <si>
    <t>J8H3W4</t>
  </si>
  <si>
    <t>438 392-9433</t>
  </si>
  <si>
    <t>1756680</t>
  </si>
  <si>
    <t>Chauffournier, Pascale</t>
  </si>
  <si>
    <t>J8G3C7</t>
  </si>
  <si>
    <t>438 402-2204</t>
  </si>
  <si>
    <t>1879921</t>
  </si>
  <si>
    <t>Leconte, Jacob</t>
  </si>
  <si>
    <t>438 357-8636</t>
  </si>
  <si>
    <t>1760073</t>
  </si>
  <si>
    <t>438 495-9479</t>
  </si>
  <si>
    <t>1731562</t>
  </si>
  <si>
    <t>J8B2W7</t>
  </si>
  <si>
    <t>438 501-4316</t>
  </si>
  <si>
    <t>1840180</t>
  </si>
  <si>
    <t>J8H1N2</t>
  </si>
  <si>
    <t>438 398-4285</t>
  </si>
  <si>
    <t>1362674</t>
  </si>
  <si>
    <t>J8B2P4</t>
  </si>
  <si>
    <t>438 503-1348</t>
  </si>
  <si>
    <t>1950088</t>
  </si>
  <si>
    <t>Kouri, Justine</t>
  </si>
  <si>
    <t>J8B2K1</t>
  </si>
  <si>
    <t>438 503-9512</t>
  </si>
  <si>
    <t>1940993</t>
  </si>
  <si>
    <t>Gilbert, Lindsey</t>
  </si>
  <si>
    <t>J8H0K3</t>
  </si>
  <si>
    <t>438 399-8685</t>
  </si>
  <si>
    <t>1644464</t>
  </si>
  <si>
    <t>Milord, Émilie</t>
  </si>
  <si>
    <t>J8H2V9</t>
  </si>
  <si>
    <t>438 396-3605</t>
  </si>
  <si>
    <t>1910916</t>
  </si>
  <si>
    <t>438 495-8851</t>
  </si>
  <si>
    <t>1652369</t>
  </si>
  <si>
    <t>J8H2J3</t>
  </si>
  <si>
    <t>438 397-7981</t>
  </si>
  <si>
    <t>1991188</t>
  </si>
  <si>
    <t>J8H1W9</t>
  </si>
  <si>
    <t>438 398-2650</t>
  </si>
  <si>
    <t>1837921</t>
  </si>
  <si>
    <t>Bigras-Henri, Stéfany</t>
  </si>
  <si>
    <t>418 967-2615</t>
  </si>
  <si>
    <t>1762411</t>
  </si>
  <si>
    <t>Legueré, Hally</t>
  </si>
  <si>
    <t>J8H3R8</t>
  </si>
  <si>
    <t>438 394-4326</t>
  </si>
  <si>
    <t>1649128</t>
  </si>
  <si>
    <t>Poirier, Charles Etienne</t>
  </si>
  <si>
    <t>J8C1K3</t>
  </si>
  <si>
    <t>438 496-6711</t>
  </si>
  <si>
    <t>1927513</t>
  </si>
  <si>
    <t>438 391-5954</t>
  </si>
  <si>
    <t>1127725</t>
  </si>
  <si>
    <t>J8C2C2</t>
  </si>
  <si>
    <t>438 496-2496</t>
  </si>
  <si>
    <t>1637969</t>
  </si>
  <si>
    <t>J9E3A9</t>
  </si>
  <si>
    <t>438 341-7622</t>
  </si>
  <si>
    <t>1877954</t>
  </si>
  <si>
    <t>Prévost-Desrosiers, Cédrik</t>
  </si>
  <si>
    <t>438 341-3804</t>
  </si>
  <si>
    <t>1552079</t>
  </si>
  <si>
    <t>Passé, Dakéré Hulda Yokebed</t>
  </si>
  <si>
    <t>438 394-2131</t>
  </si>
  <si>
    <t>1979065</t>
  </si>
  <si>
    <t>J8B2L3</t>
  </si>
  <si>
    <t>438 503-8438</t>
  </si>
  <si>
    <t>1949309</t>
  </si>
  <si>
    <t>Arseneau, William Alexis</t>
  </si>
  <si>
    <t>J8B3C9</t>
  </si>
  <si>
    <t>438 499-4262</t>
  </si>
  <si>
    <t>1821388</t>
  </si>
  <si>
    <t>J8B2K6</t>
  </si>
  <si>
    <t>438 503-8817</t>
  </si>
  <si>
    <t>0739675</t>
  </si>
  <si>
    <t>Larocque, Jérémy</t>
  </si>
  <si>
    <t>J8B2R3</t>
  </si>
  <si>
    <t>438 502-6678</t>
  </si>
  <si>
    <t>1938473</t>
  </si>
  <si>
    <t>J8H3J8</t>
  </si>
  <si>
    <t>438 395-5535</t>
  </si>
  <si>
    <t>1631892</t>
  </si>
  <si>
    <t>438 495-1055</t>
  </si>
  <si>
    <t>1973490</t>
  </si>
  <si>
    <t>438 495-7581</t>
  </si>
  <si>
    <t>1944315</t>
  </si>
  <si>
    <t>J8H1L2</t>
  </si>
  <si>
    <t>438 399-1775</t>
  </si>
  <si>
    <t>1962894</t>
  </si>
  <si>
    <t>Beaupré, Vicki</t>
  </si>
  <si>
    <t>J8C2M5</t>
  </si>
  <si>
    <t>438 496-0860</t>
  </si>
  <si>
    <t>1578376</t>
  </si>
  <si>
    <t>438 495-6756</t>
  </si>
  <si>
    <t>1833015</t>
  </si>
  <si>
    <t>Courot, Nicolas</t>
  </si>
  <si>
    <t>438 501-2022</t>
  </si>
  <si>
    <t>1938227</t>
  </si>
  <si>
    <t>438 504-6160</t>
  </si>
  <si>
    <t>1955371</t>
  </si>
  <si>
    <t>J8H4L7</t>
  </si>
  <si>
    <t>438 351-0448</t>
  </si>
  <si>
    <t>1749762</t>
  </si>
  <si>
    <t>J8B2K8</t>
  </si>
  <si>
    <t>438 503-8767</t>
  </si>
  <si>
    <t>1436286</t>
  </si>
  <si>
    <t>J8E2S8</t>
  </si>
  <si>
    <t>438 407-5710</t>
  </si>
  <si>
    <t>1821913</t>
  </si>
  <si>
    <t>Boissy, Shaun</t>
  </si>
  <si>
    <t>438 495-8358</t>
  </si>
  <si>
    <t>1858041</t>
  </si>
  <si>
    <t>J8C1G2</t>
  </si>
  <si>
    <t>438 497-2342</t>
  </si>
  <si>
    <t>1863035</t>
  </si>
  <si>
    <t>J8B2H8</t>
  </si>
  <si>
    <t>438 504-6517</t>
  </si>
  <si>
    <t>1851028</t>
  </si>
  <si>
    <t>Aubertin, William</t>
  </si>
  <si>
    <t>J8C1C5</t>
  </si>
  <si>
    <t>438 497-2881</t>
  </si>
  <si>
    <t>1940517</t>
  </si>
  <si>
    <t>Orsini, Élaura</t>
  </si>
  <si>
    <t>Orsini</t>
  </si>
  <si>
    <t>De Cuyper</t>
  </si>
  <si>
    <t>438 396-8966</t>
  </si>
  <si>
    <t>1321461</t>
  </si>
  <si>
    <t>Lafleur, Jordany</t>
  </si>
  <si>
    <t>J8B2R7</t>
  </si>
  <si>
    <t>438 502-3312</t>
  </si>
  <si>
    <t>1827083</t>
  </si>
  <si>
    <t>J8G1P9</t>
  </si>
  <si>
    <t>438 405-1601</t>
  </si>
  <si>
    <t>1631900</t>
  </si>
  <si>
    <t>Paiement-Pelletier, David Olivier</t>
  </si>
  <si>
    <t>J8C1H4</t>
  </si>
  <si>
    <t>438 496-8268</t>
  </si>
  <si>
    <t>1579453</t>
  </si>
  <si>
    <t>J8B3J4</t>
  </si>
  <si>
    <t>438 499-0257</t>
  </si>
  <si>
    <t>1536576</t>
  </si>
  <si>
    <t>438 407-1950</t>
  </si>
  <si>
    <t>1833463</t>
  </si>
  <si>
    <t>438 399-9757</t>
  </si>
  <si>
    <t>1747905</t>
  </si>
  <si>
    <t>Boutet-Plourde, Sandrine</t>
  </si>
  <si>
    <t>J8B2S4</t>
  </si>
  <si>
    <t>438 502-1802</t>
  </si>
  <si>
    <t>1654640</t>
  </si>
  <si>
    <t>Célestin-Fabien, Rébecca</t>
  </si>
  <si>
    <t>J8E1Z1</t>
  </si>
  <si>
    <t>438 491-8731</t>
  </si>
  <si>
    <t>1835901</t>
  </si>
  <si>
    <t>J8B2K5</t>
  </si>
  <si>
    <t>438 503-8866</t>
  </si>
  <si>
    <t>1943212</t>
  </si>
  <si>
    <t>Girard, Leila</t>
  </si>
  <si>
    <t>J8E2P1</t>
  </si>
  <si>
    <t>438 491-6327</t>
  </si>
  <si>
    <t>1823987</t>
  </si>
  <si>
    <t>J8C1A8</t>
  </si>
  <si>
    <t>438 497-4611</t>
  </si>
  <si>
    <t>1927226</t>
  </si>
  <si>
    <t>J8B3A6</t>
  </si>
  <si>
    <t>438 499-5104</t>
  </si>
  <si>
    <t>1847246</t>
  </si>
  <si>
    <t>Fortin, Marie Claudine</t>
  </si>
  <si>
    <t>438 502-8773</t>
  </si>
  <si>
    <t>1867396</t>
  </si>
  <si>
    <t>Denié, Mélissa</t>
  </si>
  <si>
    <t>J8H1A4</t>
  </si>
  <si>
    <t>438 399-4160</t>
  </si>
  <si>
    <t>1739438</t>
  </si>
  <si>
    <t>Laramée, Jérémy</t>
  </si>
  <si>
    <t>J8B1T9</t>
  </si>
  <si>
    <t>438 580-9253</t>
  </si>
  <si>
    <t>1933410</t>
  </si>
  <si>
    <t>J8G3A8</t>
  </si>
  <si>
    <t>438 403-1970</t>
  </si>
  <si>
    <t>1859073</t>
  </si>
  <si>
    <t>J8H3N8</t>
  </si>
  <si>
    <t>438 395-3061</t>
  </si>
  <si>
    <t>1587547</t>
  </si>
  <si>
    <t>J8C2M1</t>
  </si>
  <si>
    <t>438 496-1159</t>
  </si>
  <si>
    <t>0515739</t>
  </si>
  <si>
    <t>Bussières, Sabrina</t>
  </si>
  <si>
    <t>438 501-2478</t>
  </si>
  <si>
    <t>1535655</t>
  </si>
  <si>
    <t>Harbec-Pilotte, Laura</t>
  </si>
  <si>
    <t>J8G2T4</t>
  </si>
  <si>
    <t>438 404-2152</t>
  </si>
  <si>
    <t>1859639</t>
  </si>
  <si>
    <t>Broomfield, Samuel</t>
  </si>
  <si>
    <t>438 821-8097</t>
  </si>
  <si>
    <t>1387488</t>
  </si>
  <si>
    <t>438 392-2980</t>
  </si>
  <si>
    <t>1957760</t>
  </si>
  <si>
    <t>Brossard, Samuel</t>
  </si>
  <si>
    <t>438 407-9656</t>
  </si>
  <si>
    <t>1488029</t>
  </si>
  <si>
    <t>J8B1N9</t>
  </si>
  <si>
    <t>438 820-4326</t>
  </si>
  <si>
    <t>1339943</t>
  </si>
  <si>
    <t>Beausoleil, Véronique</t>
  </si>
  <si>
    <t>J8B3J2</t>
  </si>
  <si>
    <t>438 499-0404</t>
  </si>
  <si>
    <t>1820725</t>
  </si>
  <si>
    <t>Pepin-Thérien, Coralie</t>
  </si>
  <si>
    <t>J9L2W8</t>
  </si>
  <si>
    <t>438 223-6315</t>
  </si>
  <si>
    <t>1835680</t>
  </si>
  <si>
    <t>Makareean, Francis</t>
  </si>
  <si>
    <t>J8H1H8</t>
  </si>
  <si>
    <t>438 399-3633</t>
  </si>
  <si>
    <t>1723539</t>
  </si>
  <si>
    <t>Tcheukam, Angélique</t>
  </si>
  <si>
    <t>J8H1J5</t>
  </si>
  <si>
    <t>438 399-2726</t>
  </si>
  <si>
    <t>1715915</t>
  </si>
  <si>
    <t>Mitchell, Emilie</t>
  </si>
  <si>
    <t>J8H2J7</t>
  </si>
  <si>
    <t>438 397-7088</t>
  </si>
  <si>
    <t>1649892</t>
  </si>
  <si>
    <t>Miller, Émilie</t>
  </si>
  <si>
    <t>J8B2P7</t>
  </si>
  <si>
    <t>438 503-1160</t>
  </si>
  <si>
    <t>1825176</t>
  </si>
  <si>
    <t>Paradis Beaudry, Daniela</t>
  </si>
  <si>
    <t>J8C0L3</t>
  </si>
  <si>
    <t>438 498-3237</t>
  </si>
  <si>
    <t>1946165</t>
  </si>
  <si>
    <t>J8G1M9</t>
  </si>
  <si>
    <t>438 405-1945</t>
  </si>
  <si>
    <t>1522618</t>
  </si>
  <si>
    <t>J8B2L6</t>
  </si>
  <si>
    <t>438 503-8186</t>
  </si>
  <si>
    <t>1672104</t>
  </si>
  <si>
    <t>Gosselin, Laury Ann</t>
  </si>
  <si>
    <t>J8G2X5</t>
  </si>
  <si>
    <t>438 403-6062</t>
  </si>
  <si>
    <t>1812147</t>
  </si>
  <si>
    <t>438 398-0870</t>
  </si>
  <si>
    <t>1932933</t>
  </si>
  <si>
    <t>J9L0E7</t>
  </si>
  <si>
    <t>438 334-8500</t>
  </si>
  <si>
    <t>1446326</t>
  </si>
  <si>
    <t>438 399-7213</t>
  </si>
  <si>
    <t>1846489</t>
  </si>
  <si>
    <t>Spino, Antoine</t>
  </si>
  <si>
    <t>J8B2T7</t>
  </si>
  <si>
    <t>438 502-1084</t>
  </si>
  <si>
    <t>1868612</t>
  </si>
  <si>
    <t>Ulloa Huenchunir, Alexis</t>
  </si>
  <si>
    <t>J9L0C9</t>
  </si>
  <si>
    <t>438 340-1757</t>
  </si>
  <si>
    <t>1877821</t>
  </si>
  <si>
    <t>J8H0K1</t>
  </si>
  <si>
    <t>438 399-9107</t>
  </si>
  <si>
    <t>1760742</t>
  </si>
  <si>
    <t>Perrier, Clément</t>
  </si>
  <si>
    <t>438 404-5429</t>
  </si>
  <si>
    <t>1976461</t>
  </si>
  <si>
    <t>Beaudry-Lafrenière, Victoria</t>
  </si>
  <si>
    <t>J8C0T9</t>
  </si>
  <si>
    <t>438 498-1698</t>
  </si>
  <si>
    <t>1932162</t>
  </si>
  <si>
    <t>Du Cap, Maude</t>
  </si>
  <si>
    <t>J8B2Y8</t>
  </si>
  <si>
    <t>438 499-7713</t>
  </si>
  <si>
    <t>1838696</t>
  </si>
  <si>
    <t>J8B1R5</t>
  </si>
  <si>
    <t>438 793-4397</t>
  </si>
  <si>
    <t>1961106</t>
  </si>
  <si>
    <t>438 391-9954</t>
  </si>
  <si>
    <t>1983299</t>
  </si>
  <si>
    <t>Francis-Martel, Marianne</t>
  </si>
  <si>
    <t>J8H1K3</t>
  </si>
  <si>
    <t>438 399-2580</t>
  </si>
  <si>
    <t>1931982</t>
  </si>
  <si>
    <t>Vadeboncoeur, Alexia</t>
  </si>
  <si>
    <t>J8V4B5</t>
  </si>
  <si>
    <t>438 345-4885</t>
  </si>
  <si>
    <t>0438664</t>
  </si>
  <si>
    <t>418 916-7008</t>
  </si>
  <si>
    <t>0589422</t>
  </si>
  <si>
    <t>Boissonneault, Shayne</t>
  </si>
  <si>
    <t>J8B2M9</t>
  </si>
  <si>
    <t>438 503-4270</t>
  </si>
  <si>
    <t>1943909</t>
  </si>
  <si>
    <t>438 502-6098</t>
  </si>
  <si>
    <t>1915884</t>
  </si>
  <si>
    <t>Mulkers, Eloïse</t>
  </si>
  <si>
    <t>J8B2P8</t>
  </si>
  <si>
    <t>438 502-9612</t>
  </si>
  <si>
    <t>1821359</t>
  </si>
  <si>
    <t>438 399-9373</t>
  </si>
  <si>
    <t>1962879</t>
  </si>
  <si>
    <t>Céré, Rebecca</t>
  </si>
  <si>
    <t>J8B3E9</t>
  </si>
  <si>
    <t>438 499-4228</t>
  </si>
  <si>
    <t>1267829</t>
  </si>
  <si>
    <t>Martinez Beauchamp, Fabrice</t>
  </si>
  <si>
    <t>J8E3B4</t>
  </si>
  <si>
    <t>438 406-5358</t>
  </si>
  <si>
    <t>1852184</t>
  </si>
  <si>
    <t>Leduc, Issam</t>
  </si>
  <si>
    <t>J8H3N3</t>
  </si>
  <si>
    <t>438 395-3829</t>
  </si>
  <si>
    <t>1979887</t>
  </si>
  <si>
    <t>Brazeau-Proulx, Samuel</t>
  </si>
  <si>
    <t>J8B3M2</t>
  </si>
  <si>
    <t>438 498-9205</t>
  </si>
  <si>
    <t>1845308</t>
  </si>
  <si>
    <t>Marcil, Félix Fulong</t>
  </si>
  <si>
    <t>438 722-5280</t>
  </si>
  <si>
    <t>1614311</t>
  </si>
  <si>
    <t>Couturier, Nicholas</t>
  </si>
  <si>
    <t>J8B2G1</t>
  </si>
  <si>
    <t>438 505-6135</t>
  </si>
  <si>
    <t>1484326</t>
  </si>
  <si>
    <t>438 399-6243</t>
  </si>
  <si>
    <t>1648786</t>
  </si>
  <si>
    <t>J8B2M5</t>
  </si>
  <si>
    <t>438 503-7982</t>
  </si>
  <si>
    <t>1736533</t>
  </si>
  <si>
    <t>J8H3M5</t>
  </si>
  <si>
    <t>438 395-4042</t>
  </si>
  <si>
    <t>1943171</t>
  </si>
  <si>
    <t>Boudrias, Sarah</t>
  </si>
  <si>
    <t>J8E2S2</t>
  </si>
  <si>
    <t>438 490-2840</t>
  </si>
  <si>
    <t>1931245</t>
  </si>
  <si>
    <t>J8C3M4</t>
  </si>
  <si>
    <t>438 494-1591</t>
  </si>
  <si>
    <t>1825578</t>
  </si>
  <si>
    <t>Hermann, Koralie</t>
  </si>
  <si>
    <t>J8C0X9</t>
  </si>
  <si>
    <t>438 497-8115</t>
  </si>
  <si>
    <t>1825192</t>
  </si>
  <si>
    <t>Davis, Mikaël</t>
  </si>
  <si>
    <t>438 765-8231</t>
  </si>
  <si>
    <t>1820410</t>
  </si>
  <si>
    <t>J8E2W5</t>
  </si>
  <si>
    <t>438 406-6623</t>
  </si>
  <si>
    <t>1710450</t>
  </si>
  <si>
    <t>J8B2N2</t>
  </si>
  <si>
    <t>438 503-1460</t>
  </si>
  <si>
    <t>1741827</t>
  </si>
  <si>
    <t>Myre-Sauvé, Élodie</t>
  </si>
  <si>
    <t>J8B2Y2</t>
  </si>
  <si>
    <t>438 501-2601</t>
  </si>
  <si>
    <t>1945155</t>
  </si>
  <si>
    <t>J8C3B5</t>
  </si>
  <si>
    <t>438 494-6585</t>
  </si>
  <si>
    <t>1632615</t>
  </si>
  <si>
    <t>Bélanger, Ugo-Olivier</t>
  </si>
  <si>
    <t>J8H3P5</t>
  </si>
  <si>
    <t>438 395-0855</t>
  </si>
  <si>
    <t>1866945</t>
  </si>
  <si>
    <t>J8H1L5</t>
  </si>
  <si>
    <t>438 399-0124</t>
  </si>
  <si>
    <t>1761829</t>
  </si>
  <si>
    <t>Trempe, Alissia</t>
  </si>
  <si>
    <t>Alissia</t>
  </si>
  <si>
    <t>J9L3G7</t>
  </si>
  <si>
    <t>418 812-5177</t>
  </si>
  <si>
    <t>0975689</t>
  </si>
  <si>
    <t>Kitumaini, Justine</t>
  </si>
  <si>
    <t>438 822-1030</t>
  </si>
  <si>
    <t>1967518</t>
  </si>
  <si>
    <t>J8G1T8</t>
  </si>
  <si>
    <t>438 405-0672</t>
  </si>
  <si>
    <t>1878215</t>
  </si>
  <si>
    <t>Rochon, Bianka</t>
  </si>
  <si>
    <t>438 399-2789</t>
  </si>
  <si>
    <t>1629589</t>
  </si>
  <si>
    <t>Caron, Rosally</t>
  </si>
  <si>
    <t>J8E3J5</t>
  </si>
  <si>
    <t>438 406-4023</t>
  </si>
  <si>
    <t>1774812</t>
  </si>
  <si>
    <t>438 394-7542</t>
  </si>
  <si>
    <t>1963773</t>
  </si>
  <si>
    <t>438 505-6779</t>
  </si>
  <si>
    <t>1878106</t>
  </si>
  <si>
    <t>J8B1L6</t>
  </si>
  <si>
    <t>438 821-5077</t>
  </si>
  <si>
    <t>1827737</t>
  </si>
  <si>
    <t>J8B2H2</t>
  </si>
  <si>
    <t>438 505-4418</t>
  </si>
  <si>
    <t>1672514</t>
  </si>
  <si>
    <t>Francoeur, Marianne</t>
  </si>
  <si>
    <t>J8C1B7</t>
  </si>
  <si>
    <t>438 497-3653</t>
  </si>
  <si>
    <t>1358975</t>
  </si>
  <si>
    <t>Soucy Plouffe, Antony</t>
  </si>
  <si>
    <t>J8B1W6</t>
  </si>
  <si>
    <t>438 522-4754</t>
  </si>
  <si>
    <t>1240682</t>
  </si>
  <si>
    <t>Regimbald, Caroline</t>
  </si>
  <si>
    <t>J8H1M4</t>
  </si>
  <si>
    <t>438 398-8835</t>
  </si>
  <si>
    <t>1462322</t>
  </si>
  <si>
    <t>Andrea Isabel</t>
  </si>
  <si>
    <t>J8B1T3</t>
  </si>
  <si>
    <t>438 728-6839</t>
  </si>
  <si>
    <t>1854730</t>
  </si>
  <si>
    <t>J9L3G6</t>
  </si>
  <si>
    <t>418 831-0933</t>
  </si>
  <si>
    <t>1964521</t>
  </si>
  <si>
    <t>Nigelsky, Elizabeth</t>
  </si>
  <si>
    <t>J8H3W3</t>
  </si>
  <si>
    <t>438 393-2627</t>
  </si>
  <si>
    <t>1820924</t>
  </si>
  <si>
    <t>J8B3G9</t>
  </si>
  <si>
    <t>438 499-2207</t>
  </si>
  <si>
    <t>1747609</t>
  </si>
  <si>
    <t>Dénommée, Mélissa</t>
  </si>
  <si>
    <t>J8H4L6</t>
  </si>
  <si>
    <t>438 354-4673</t>
  </si>
  <si>
    <t>1836537</t>
  </si>
  <si>
    <t>Poliquin, Charles</t>
  </si>
  <si>
    <t>J8C0Y5</t>
  </si>
  <si>
    <t>438 497-6529</t>
  </si>
  <si>
    <t>1729918</t>
  </si>
  <si>
    <t>438 497-6085</t>
  </si>
  <si>
    <t>1449386</t>
  </si>
  <si>
    <t>J8C1W3</t>
  </si>
  <si>
    <t>438 496-4963</t>
  </si>
  <si>
    <t>1322044</t>
  </si>
  <si>
    <t>J8H1W8</t>
  </si>
  <si>
    <t>438 398-3652</t>
  </si>
  <si>
    <t>1009209</t>
  </si>
  <si>
    <t>J8G2E5</t>
  </si>
  <si>
    <t>438 404-4320</t>
  </si>
  <si>
    <t>1828590</t>
  </si>
  <si>
    <t>Rejouis, Caroline</t>
  </si>
  <si>
    <t>J8G3B8</t>
  </si>
  <si>
    <t>438 402-7034</t>
  </si>
  <si>
    <t>1959496</t>
  </si>
  <si>
    <t>Elliott, Marina</t>
  </si>
  <si>
    <t>Elliott</t>
  </si>
  <si>
    <t>J8H3M7</t>
  </si>
  <si>
    <t>438 395-3882</t>
  </si>
  <si>
    <t>1849134</t>
  </si>
  <si>
    <t>Amice, Yohan</t>
  </si>
  <si>
    <t>Amice</t>
  </si>
  <si>
    <t>438 501-2724</t>
  </si>
  <si>
    <t>1755522</t>
  </si>
  <si>
    <t>Weil, Alec</t>
  </si>
  <si>
    <t>438 777-1599</t>
  </si>
  <si>
    <t>1270506</t>
  </si>
  <si>
    <t>Kouadio-Banga, Justine</t>
  </si>
  <si>
    <t>J8C3S5</t>
  </si>
  <si>
    <t>438 492-4091</t>
  </si>
  <si>
    <t>1870860</t>
  </si>
  <si>
    <t>J9E3A8</t>
  </si>
  <si>
    <t>438 341-8427</t>
  </si>
  <si>
    <t>1947488</t>
  </si>
  <si>
    <t>Lirette, Gabriel</t>
  </si>
  <si>
    <t>J8G2L3</t>
  </si>
  <si>
    <t>438 404-2383</t>
  </si>
  <si>
    <t>1720983</t>
  </si>
  <si>
    <t>Messier, Emma</t>
  </si>
  <si>
    <t>J8C2E2</t>
  </si>
  <si>
    <t>438 496-1927</t>
  </si>
  <si>
    <t>1838632</t>
  </si>
  <si>
    <t>J8H4E6</t>
  </si>
  <si>
    <t>438 390-1212</t>
  </si>
  <si>
    <t>1838285</t>
  </si>
  <si>
    <t>J8E2R1</t>
  </si>
  <si>
    <t>438 490-7260</t>
  </si>
  <si>
    <t>1966052</t>
  </si>
  <si>
    <t>Labonté-Boyer, Juliette</t>
  </si>
  <si>
    <t>J8E3M5</t>
  </si>
  <si>
    <t>438 406-2052</t>
  </si>
  <si>
    <t>1910055</t>
  </si>
  <si>
    <t>418 806-9066</t>
  </si>
  <si>
    <t>1775994</t>
  </si>
  <si>
    <t>J8C3M5</t>
  </si>
  <si>
    <t>438 494-1142</t>
  </si>
  <si>
    <t>1877776</t>
  </si>
  <si>
    <t>438 495-5949</t>
  </si>
  <si>
    <t>1243858</t>
  </si>
  <si>
    <t>Salou, Audrey</t>
  </si>
  <si>
    <t>438 499-1092</t>
  </si>
  <si>
    <t>9382506</t>
  </si>
  <si>
    <t>J8H4N1</t>
  </si>
  <si>
    <t>438 350-7173</t>
  </si>
  <si>
    <t>1900665</t>
  </si>
  <si>
    <t>J8G2B7</t>
  </si>
  <si>
    <t>438 404-4597</t>
  </si>
  <si>
    <t>1937637</t>
  </si>
  <si>
    <t>Mallette, Florianne</t>
  </si>
  <si>
    <t>J8E2M9</t>
  </si>
  <si>
    <t>438 491-6608</t>
  </si>
  <si>
    <t>1856164</t>
  </si>
  <si>
    <t>J8G2W8</t>
  </si>
  <si>
    <t>438 403-8919</t>
  </si>
  <si>
    <t>1967053</t>
  </si>
  <si>
    <t>J8B1W3</t>
  </si>
  <si>
    <t>438 523-3001</t>
  </si>
  <si>
    <t>1459744</t>
  </si>
  <si>
    <t>Lavigne, Jayden</t>
  </si>
  <si>
    <t>J8H1M3</t>
  </si>
  <si>
    <t>438 398-9384</t>
  </si>
  <si>
    <t>1762882</t>
  </si>
  <si>
    <t>J8G3A9</t>
  </si>
  <si>
    <t>438 403-0723</t>
  </si>
  <si>
    <t>0753233</t>
  </si>
  <si>
    <t>J9L1M6</t>
  </si>
  <si>
    <t>438 321-1530</t>
  </si>
  <si>
    <t>1762349</t>
  </si>
  <si>
    <t>Flynn, Marie-Lou</t>
  </si>
  <si>
    <t>438 495-4881</t>
  </si>
  <si>
    <t>1561439</t>
  </si>
  <si>
    <t>Mehdi-Sénécal, Erika</t>
  </si>
  <si>
    <t>J8E2A7</t>
  </si>
  <si>
    <t>438 491-7541</t>
  </si>
  <si>
    <t>1545184</t>
  </si>
  <si>
    <t>Martel, Felicia</t>
  </si>
  <si>
    <t>J8B2H4</t>
  </si>
  <si>
    <t>438 505-1012</t>
  </si>
  <si>
    <t>1868238</t>
  </si>
  <si>
    <t>Barabé, Westerline</t>
  </si>
  <si>
    <t>J8H2R7</t>
  </si>
  <si>
    <t>0918587</t>
  </si>
  <si>
    <t>Alicya</t>
  </si>
  <si>
    <t>438 495-3086</t>
  </si>
  <si>
    <t>1854201</t>
  </si>
  <si>
    <t>Chiodoni-Lafrance, Ophélia</t>
  </si>
  <si>
    <t>J8C2L3</t>
  </si>
  <si>
    <t>438 496-1442</t>
  </si>
  <si>
    <t>1929811</t>
  </si>
  <si>
    <t>Bouhier, Sarah</t>
  </si>
  <si>
    <t>J8H2C9</t>
  </si>
  <si>
    <t>438 397-8425</t>
  </si>
  <si>
    <t>1427475</t>
  </si>
  <si>
    <t>Exumé, Marilou</t>
  </si>
  <si>
    <t>438 494-9681</t>
  </si>
  <si>
    <t>1732710</t>
  </si>
  <si>
    <t>Trempe, Alissa</t>
  </si>
  <si>
    <t>J8E2S6</t>
  </si>
  <si>
    <t>438 490-1227</t>
  </si>
  <si>
    <t>1952552</t>
  </si>
  <si>
    <t>Maher, Frédérick</t>
  </si>
  <si>
    <t>J8H3V9</t>
  </si>
  <si>
    <t>438 393-7625</t>
  </si>
  <si>
    <t>1623544</t>
  </si>
  <si>
    <t>Grand'Maison, Laurie</t>
  </si>
  <si>
    <t>438 495-3872</t>
  </si>
  <si>
    <t>1925622</t>
  </si>
  <si>
    <t>Séguin, Armelle</t>
  </si>
  <si>
    <t>J8B1T5</t>
  </si>
  <si>
    <t>438 728-0076</t>
  </si>
  <si>
    <t>1153941</t>
  </si>
  <si>
    <t>Saillant, Audrey</t>
  </si>
  <si>
    <t>438 821-4347</t>
  </si>
  <si>
    <t>1838349</t>
  </si>
  <si>
    <t>J8H3L1</t>
  </si>
  <si>
    <t>438 395-4129</t>
  </si>
  <si>
    <t>1331487</t>
  </si>
  <si>
    <t>J8C1P6</t>
  </si>
  <si>
    <t>438 496-6370</t>
  </si>
  <si>
    <t>1986262</t>
  </si>
  <si>
    <t>438 403-1503</t>
  </si>
  <si>
    <t>1962665</t>
  </si>
  <si>
    <t>De Cuyper, Miguël</t>
  </si>
  <si>
    <t>J8C2A8</t>
  </si>
  <si>
    <t>438 496-3698</t>
  </si>
  <si>
    <t>1629215</t>
  </si>
  <si>
    <t>Bourguignon, Sandrine</t>
  </si>
  <si>
    <t>J8H4A2</t>
  </si>
  <si>
    <t>438 391-2510</t>
  </si>
  <si>
    <t>1845006</t>
  </si>
  <si>
    <t>J8C0T3</t>
  </si>
  <si>
    <t>438 498-1798</t>
  </si>
  <si>
    <t>1660102</t>
  </si>
  <si>
    <t>438 351-1995</t>
  </si>
  <si>
    <t>1338762</t>
  </si>
  <si>
    <t>Nyssen, Eliane</t>
  </si>
  <si>
    <t>J8B2V8</t>
  </si>
  <si>
    <t>438 501-5514</t>
  </si>
  <si>
    <t>1821752</t>
  </si>
  <si>
    <t>Trépanier, Alicya</t>
  </si>
  <si>
    <t>J8B2B1</t>
  </si>
  <si>
    <t>438 521-4022</t>
  </si>
  <si>
    <t>1558807</t>
  </si>
  <si>
    <t>Cubas-Carrasco, Nathan</t>
  </si>
  <si>
    <t>J8G1K9</t>
  </si>
  <si>
    <t>438 405-7556</t>
  </si>
  <si>
    <t>1830307</t>
  </si>
  <si>
    <t>438 522-7313</t>
  </si>
  <si>
    <t>1832542</t>
  </si>
  <si>
    <t>438 491-3437</t>
  </si>
  <si>
    <t>1656049</t>
  </si>
  <si>
    <t>Parent, Dania</t>
  </si>
  <si>
    <t>438 499-1742</t>
  </si>
  <si>
    <t>1825120</t>
  </si>
  <si>
    <t>J8H3B1</t>
  </si>
  <si>
    <t>438 396-1377</t>
  </si>
  <si>
    <t>1869583</t>
  </si>
  <si>
    <t>J8C3B8</t>
  </si>
  <si>
    <t>438 494-6163</t>
  </si>
  <si>
    <t>1523135</t>
  </si>
  <si>
    <t>Girard, Leny</t>
  </si>
  <si>
    <t>J8B2E6</t>
  </si>
  <si>
    <t>438 520-4798</t>
  </si>
  <si>
    <t>1747301</t>
  </si>
  <si>
    <t>Belval, Thomas</t>
  </si>
  <si>
    <t>J8H3W1</t>
  </si>
  <si>
    <t>438 393-3385</t>
  </si>
  <si>
    <t>1831427</t>
  </si>
  <si>
    <t>438 499-7583</t>
  </si>
  <si>
    <t>0700774</t>
  </si>
  <si>
    <t>Bisaillon, Soutsady</t>
  </si>
  <si>
    <t>J8H1X2</t>
  </si>
  <si>
    <t>438 398-2179</t>
  </si>
  <si>
    <t>1680909</t>
  </si>
  <si>
    <t>Pellerin-Ouellette, Cynthia</t>
  </si>
  <si>
    <t>J8B1S9</t>
  </si>
  <si>
    <t>438 728-7730</t>
  </si>
  <si>
    <t>0876420</t>
  </si>
  <si>
    <t>Charbonneau-Ménard, Philippe</t>
  </si>
  <si>
    <t>438 501-7839</t>
  </si>
  <si>
    <t>1063162</t>
  </si>
  <si>
    <t>Lavoie-Lachapelle, Jana</t>
  </si>
  <si>
    <t>J9P6W5</t>
  </si>
  <si>
    <t>418 445-4953</t>
  </si>
  <si>
    <t>1734748</t>
  </si>
  <si>
    <t>J8B1S2</t>
  </si>
  <si>
    <t>438 777-6673</t>
  </si>
  <si>
    <t>1662971</t>
  </si>
  <si>
    <t>438 491-4150</t>
  </si>
  <si>
    <t>1829224</t>
  </si>
  <si>
    <t>J8G1W7</t>
  </si>
  <si>
    <t>438 404-9730</t>
  </si>
  <si>
    <t>1866208</t>
  </si>
  <si>
    <t>438 356-5406</t>
  </si>
  <si>
    <t>1948678</t>
  </si>
  <si>
    <t>Fugère, Marc-Olivier</t>
  </si>
  <si>
    <t>J8H3B7</t>
  </si>
  <si>
    <t>438 395-7846</t>
  </si>
  <si>
    <t>1871187</t>
  </si>
  <si>
    <t>Lauzon, Jean-Raymi</t>
  </si>
  <si>
    <t>438 502-2045</t>
  </si>
  <si>
    <t>1837787</t>
  </si>
  <si>
    <t>J8L1Y3</t>
  </si>
  <si>
    <t>438 350-6755</t>
  </si>
  <si>
    <t>1878871</t>
  </si>
  <si>
    <t>Bellerive, Thomas</t>
  </si>
  <si>
    <t>J8H4E7</t>
  </si>
  <si>
    <t>438 390-1150</t>
  </si>
  <si>
    <t>1359306</t>
  </si>
  <si>
    <t>Abdallah, Zoila</t>
  </si>
  <si>
    <t>J8C3M7</t>
  </si>
  <si>
    <t>438 492-8958</t>
  </si>
  <si>
    <t>1758968</t>
  </si>
  <si>
    <t>Paquette-Bélanger, Daphné</t>
  </si>
  <si>
    <t>J8E2R4</t>
  </si>
  <si>
    <t>438 490-4728</t>
  </si>
  <si>
    <t>1741688</t>
  </si>
  <si>
    <t>438 392-3091</t>
  </si>
  <si>
    <t>1973108</t>
  </si>
  <si>
    <t>Thériault, Andrea Isabel</t>
  </si>
  <si>
    <t>J8G2P8</t>
  </si>
  <si>
    <t>438 404-2333</t>
  </si>
  <si>
    <t>1828512</t>
  </si>
  <si>
    <t>J8B1K7</t>
  </si>
  <si>
    <t>438 822-1495</t>
  </si>
  <si>
    <t>1524271</t>
  </si>
  <si>
    <t>Normandin, Elie</t>
  </si>
  <si>
    <t>J9L1G4</t>
  </si>
  <si>
    <t>438 321-3569</t>
  </si>
  <si>
    <t>1268533</t>
  </si>
  <si>
    <t>J8H2Z7</t>
  </si>
  <si>
    <t>438 396-2639</t>
  </si>
  <si>
    <t>9871563</t>
  </si>
  <si>
    <t>438 397-2325</t>
  </si>
  <si>
    <t>1851048</t>
  </si>
  <si>
    <t>J8B3L2</t>
  </si>
  <si>
    <t>438 498-9989</t>
  </si>
  <si>
    <t>1927879</t>
  </si>
  <si>
    <t>Griffiths Brault, Laurianne</t>
  </si>
  <si>
    <t>438 495-9176</t>
  </si>
  <si>
    <t>1953983</t>
  </si>
  <si>
    <t>Mitron-Fortugno, Emilie</t>
  </si>
  <si>
    <t>438 498-9163</t>
  </si>
  <si>
    <t>1636950</t>
  </si>
  <si>
    <t>418 768-5578</t>
  </si>
  <si>
    <t>1980176</t>
  </si>
  <si>
    <t>438 496-1731</t>
  </si>
  <si>
    <t>1849660</t>
  </si>
  <si>
    <t>Bérubé Ouellet, Stéphanie</t>
  </si>
  <si>
    <t>J8C3H3</t>
  </si>
  <si>
    <t>438 494-5386</t>
  </si>
  <si>
    <t>1854269</t>
  </si>
  <si>
    <t>J8B2E2</t>
  </si>
  <si>
    <t>438 520-6632</t>
  </si>
  <si>
    <t>1890096</t>
  </si>
  <si>
    <t>Gauthier, Lyana</t>
  </si>
  <si>
    <t>J9L0J6</t>
  </si>
  <si>
    <t>438 322-6633</t>
  </si>
  <si>
    <t>1832756</t>
  </si>
  <si>
    <t>Houle, Khisa-Lee</t>
  </si>
  <si>
    <t>AMOS</t>
  </si>
  <si>
    <t>Amos</t>
  </si>
  <si>
    <t>J9X4C8</t>
  </si>
  <si>
    <t>418 331-2442</t>
  </si>
  <si>
    <t>1767346</t>
  </si>
  <si>
    <t>J9Y1L5</t>
  </si>
  <si>
    <t>416 262-1538</t>
  </si>
  <si>
    <t>1120829</t>
  </si>
  <si>
    <t>Goodman, Léa</t>
  </si>
  <si>
    <t>AMHERST</t>
  </si>
  <si>
    <t>Amherst</t>
  </si>
  <si>
    <t>K6A2T4</t>
  </si>
  <si>
    <t>ON</t>
  </si>
  <si>
    <t>France</t>
  </si>
  <si>
    <t>250 886-4707</t>
  </si>
  <si>
    <t>080.04</t>
  </si>
  <si>
    <t>1870846</t>
  </si>
  <si>
    <t>Hervieux, Kimberly</t>
  </si>
  <si>
    <t>J9Z2C4</t>
  </si>
  <si>
    <t>405 752-2822</t>
  </si>
  <si>
    <t>Aléa décimal</t>
  </si>
  <si>
    <t>Aléa entier</t>
  </si>
  <si>
    <t>Code</t>
  </si>
  <si>
    <t>Désignation</t>
  </si>
  <si>
    <t>MRC</t>
  </si>
  <si>
    <t>Population en 2019</t>
  </si>
  <si>
    <r>
      <t>Superficie en km</t>
    </r>
    <r>
      <rPr>
        <vertAlign val="superscript"/>
        <sz val="16"/>
        <color theme="1"/>
        <rFont val="Magneto"/>
        <family val="5"/>
      </rPr>
      <t>2</t>
    </r>
  </si>
  <si>
    <r>
      <t>Densité en hab./km</t>
    </r>
    <r>
      <rPr>
        <vertAlign val="superscript"/>
        <sz val="16"/>
        <color theme="1"/>
        <rFont val="Magneto"/>
        <family val="5"/>
      </rPr>
      <t>2</t>
    </r>
  </si>
  <si>
    <t>Abercorn</t>
  </si>
  <si>
    <t>Village</t>
  </si>
  <si>
    <t>Brome-Missisquoi</t>
  </si>
  <si>
    <t>Montérégie</t>
  </si>
  <si>
    <t>Acton Vale</t>
  </si>
  <si>
    <t>Acton</t>
  </si>
  <si>
    <t>Adstock</t>
  </si>
  <si>
    <t>Municipalité</t>
  </si>
  <si>
    <t>Les Appalaches</t>
  </si>
  <si>
    <t>Chaudière-Appalaches</t>
  </si>
  <si>
    <t>Aguanish</t>
  </si>
  <si>
    <t>Minganie</t>
  </si>
  <si>
    <t>Côte-Nord</t>
  </si>
  <si>
    <t>Albanel</t>
  </si>
  <si>
    <t>Maria-Chapdelaine</t>
  </si>
  <si>
    <t>Saguenay–Lac-Saint-Jean</t>
  </si>
  <si>
    <t>Albertville</t>
  </si>
  <si>
    <t>La Matapédia</t>
  </si>
  <si>
    <t>Bas-Saint-Laurent</t>
  </si>
  <si>
    <t>Alleyn-et-Cawood</t>
  </si>
  <si>
    <t>Pontiac</t>
  </si>
  <si>
    <t>Outaouais</t>
  </si>
  <si>
    <t>Alma</t>
  </si>
  <si>
    <t>Lac-Saint-Jean-Est</t>
  </si>
  <si>
    <t>Canton</t>
  </si>
  <si>
    <t>Les Laurentides</t>
  </si>
  <si>
    <t>Laurentides</t>
  </si>
  <si>
    <t xml:space="preserve"> </t>
  </si>
  <si>
    <t>Abitibi</t>
  </si>
  <si>
    <t>Abitibi-Témiscamingue</t>
  </si>
  <si>
    <t>Amqui</t>
  </si>
  <si>
    <t>Ange-Gardien</t>
  </si>
  <si>
    <t>Rouville</t>
  </si>
  <si>
    <t>Armagh</t>
  </si>
  <si>
    <t>Bellechasse</t>
  </si>
  <si>
    <t>Arundel</t>
  </si>
  <si>
    <t>Ascot Corner</t>
  </si>
  <si>
    <t>Le Haut-Saint-François</t>
  </si>
  <si>
    <t>Estrie</t>
  </si>
  <si>
    <t>Aston-Jonction</t>
  </si>
  <si>
    <t>Nicolet-Yamaska</t>
  </si>
  <si>
    <t>Centre-du-Québec</t>
  </si>
  <si>
    <t>Témiscouata</t>
  </si>
  <si>
    <t>Le Granit</t>
  </si>
  <si>
    <t>Aumond</t>
  </si>
  <si>
    <t>La Vallée-de-la-Gatineau</t>
  </si>
  <si>
    <t>Austin</t>
  </si>
  <si>
    <t>Memphrémagog</t>
  </si>
  <si>
    <t>Authier</t>
  </si>
  <si>
    <t>Abitibi-Ouest</t>
  </si>
  <si>
    <t>Authier-Nord</t>
  </si>
  <si>
    <t>Ayer's Cliff</t>
  </si>
  <si>
    <t>Baie-Comeau</t>
  </si>
  <si>
    <t>Manicouagan</t>
  </si>
  <si>
    <t>Baie-des-Sables</t>
  </si>
  <si>
    <t>La Matanie</t>
  </si>
  <si>
    <t>Baie-du-Febvre</t>
  </si>
  <si>
    <t>Baie-D'Urfé</t>
  </si>
  <si>
    <t>Hors MRC \ Communauté métropolitaine de Montréal</t>
  </si>
  <si>
    <t>Baie-Johan-Beetz</t>
  </si>
  <si>
    <t>Baie-Sainte-Catherine</t>
  </si>
  <si>
    <t>Charlevoix-Est</t>
  </si>
  <si>
    <t>Capitale-Nationale</t>
  </si>
  <si>
    <t>Baie-Saint-Paul</t>
  </si>
  <si>
    <t>Charlevoix</t>
  </si>
  <si>
    <t>Baie-Trinité</t>
  </si>
  <si>
    <t>Barkmere</t>
  </si>
  <si>
    <t>Barnston-Ouest</t>
  </si>
  <si>
    <t>Coaticook</t>
  </si>
  <si>
    <t>Barraute</t>
  </si>
  <si>
    <t>Batiscan</t>
  </si>
  <si>
    <t>Les Chenaux</t>
  </si>
  <si>
    <t>Mauricie</t>
  </si>
  <si>
    <t>Beaconsfield</t>
  </si>
  <si>
    <t>Béarn</t>
  </si>
  <si>
    <t>Témiscamingue</t>
  </si>
  <si>
    <t>Beauceville</t>
  </si>
  <si>
    <t>Robert-Cliche</t>
  </si>
  <si>
    <t>Beauharnois</t>
  </si>
  <si>
    <t>Beauharnois-Salaberry \ Communauté métropolitaine de Montréal</t>
  </si>
  <si>
    <t>Beaulac-Garthby</t>
  </si>
  <si>
    <t>Beaumont</t>
  </si>
  <si>
    <t>La Côte-de-Beaupré \ Communauté métropolitaine de Québec</t>
  </si>
  <si>
    <t>Bécancour</t>
  </si>
  <si>
    <t>Bedford</t>
  </si>
  <si>
    <t>Bégin</t>
  </si>
  <si>
    <t>Le Fjord-du-Saguenay</t>
  </si>
  <si>
    <t>Belcourt</t>
  </si>
  <si>
    <t>La Vallée-de-l'Or</t>
  </si>
  <si>
    <t>Belleterre</t>
  </si>
  <si>
    <t>Beloeil</t>
  </si>
  <si>
    <t>La Vallée-du-Richelieu \ Communauté métropolitaine de Montréal</t>
  </si>
  <si>
    <t>Berry</t>
  </si>
  <si>
    <t>Berthier-sur-Mer</t>
  </si>
  <si>
    <t>Berthierville</t>
  </si>
  <si>
    <t>D'Autray</t>
  </si>
  <si>
    <t>Lanaudière</t>
  </si>
  <si>
    <t>Béthanie</t>
  </si>
  <si>
    <t>Biencourt</t>
  </si>
  <si>
    <t>Thérèse-De Blainville \ Communauté métropolitaine de Montréal</t>
  </si>
  <si>
    <t>Blanc-Sablon</t>
  </si>
  <si>
    <t>Le Golfe-du-Saint-Laurent</t>
  </si>
  <si>
    <t>Blue Sea</t>
  </si>
  <si>
    <t>Boischatel</t>
  </si>
  <si>
    <t>Bolton-Est</t>
  </si>
  <si>
    <t>Bolton-Ouest</t>
  </si>
  <si>
    <t>Bonaventure</t>
  </si>
  <si>
    <t>Gaspésie–Îles-de-la-Madeleine</t>
  </si>
  <si>
    <t>Bonne-Espérance</t>
  </si>
  <si>
    <t>Bonsecours</t>
  </si>
  <si>
    <t>Le Val-Saint-François</t>
  </si>
  <si>
    <t>Boucherville</t>
  </si>
  <si>
    <t>Bouchette</t>
  </si>
  <si>
    <t>Paroisse</t>
  </si>
  <si>
    <t>Brigham</t>
  </si>
  <si>
    <t>Bristol</t>
  </si>
  <si>
    <t>Brome</t>
  </si>
  <si>
    <t>Bromont</t>
  </si>
  <si>
    <t>Argenteuil</t>
  </si>
  <si>
    <t>Bryson</t>
  </si>
  <si>
    <t>Bury</t>
  </si>
  <si>
    <t>Cacouna</t>
  </si>
  <si>
    <t>Rivière-du-Loup</t>
  </si>
  <si>
    <t>Calixa-Lavallée</t>
  </si>
  <si>
    <t>Marguerite-D'Youville \ Communauté métropolitaine de Montréal</t>
  </si>
  <si>
    <t>Campbell's Bay</t>
  </si>
  <si>
    <t>Roussillon \ Communauté métropolitaine de Montréal</t>
  </si>
  <si>
    <t>Les Collines-de-l'Outaouais</t>
  </si>
  <si>
    <t>Cap-Chat</t>
  </si>
  <si>
    <t>La Haute-Gaspésie</t>
  </si>
  <si>
    <t>Caplan</t>
  </si>
  <si>
    <t>Cap-Saint-Ignace</t>
  </si>
  <si>
    <t>Cap-Santé</t>
  </si>
  <si>
    <t>Portneuf</t>
  </si>
  <si>
    <t>Carleton-sur-Mer</t>
  </si>
  <si>
    <t>Avignon</t>
  </si>
  <si>
    <t>Cascapédia–Saint-Jules</t>
  </si>
  <si>
    <t>Causapscal</t>
  </si>
  <si>
    <t>Cayamant</t>
  </si>
  <si>
    <t>Chambord</t>
  </si>
  <si>
    <t>Le Domaine-du-Roy</t>
  </si>
  <si>
    <t>Champlain</t>
  </si>
  <si>
    <t>Champneuf</t>
  </si>
  <si>
    <t>Chandler</t>
  </si>
  <si>
    <t>Le Rocher-Percé</t>
  </si>
  <si>
    <t>Chapais</t>
  </si>
  <si>
    <t>Hors MRC</t>
  </si>
  <si>
    <t>Nord-du-Québec</t>
  </si>
  <si>
    <t>Maskinongé</t>
  </si>
  <si>
    <t>L'Assomption \ Communauté métropolitaine de Montréal</t>
  </si>
  <si>
    <t>Chartierville</t>
  </si>
  <si>
    <t>Château-Richer</t>
  </si>
  <si>
    <t>Chazel</t>
  </si>
  <si>
    <t>Chénéville</t>
  </si>
  <si>
    <t>Matawinie</t>
  </si>
  <si>
    <t>Chesterville</t>
  </si>
  <si>
    <t>Arthabaska</t>
  </si>
  <si>
    <t>Chibougamau</t>
  </si>
  <si>
    <t>Chichester</t>
  </si>
  <si>
    <t>Chute-aux-Outardes</t>
  </si>
  <si>
    <t>Antoine-Labelle</t>
  </si>
  <si>
    <t>Clarendon</t>
  </si>
  <si>
    <t>Clerval</t>
  </si>
  <si>
    <t>Cleveland</t>
  </si>
  <si>
    <t>Cloridorme</t>
  </si>
  <si>
    <t>La Côte-de-Gaspé</t>
  </si>
  <si>
    <t>Colombier</t>
  </si>
  <si>
    <t>La Haute-Côte-Nord</t>
  </si>
  <si>
    <t>Compton</t>
  </si>
  <si>
    <t>Contrecoeur</t>
  </si>
  <si>
    <t>Cookshire-Eaton</t>
  </si>
  <si>
    <t>Vaudreuil-Soulanges</t>
  </si>
  <si>
    <t>Côte-Nord-du-Golfe-du-Saint-Laurent</t>
  </si>
  <si>
    <t>Côte-Saint-Luc</t>
  </si>
  <si>
    <t>Cowansville</t>
  </si>
  <si>
    <t>Danville</t>
  </si>
  <si>
    <t>Les Sources</t>
  </si>
  <si>
    <t>Daveluyville</t>
  </si>
  <si>
    <t>Dégelis</t>
  </si>
  <si>
    <t>Delson</t>
  </si>
  <si>
    <t>Denholm</t>
  </si>
  <si>
    <t>Deschaillons-sur-Saint-Laurent</t>
  </si>
  <si>
    <t>Deschambault-Grondines</t>
  </si>
  <si>
    <t>Deux-Montagnes \ Communauté métropolitaine de Montréal</t>
  </si>
  <si>
    <t>Disraeli</t>
  </si>
  <si>
    <t>Dixville</t>
  </si>
  <si>
    <t>Dolbeau-Mistassini</t>
  </si>
  <si>
    <t>Dollard-Des Ormeaux</t>
  </si>
  <si>
    <t>Donnacona</t>
  </si>
  <si>
    <t>Dosquet</t>
  </si>
  <si>
    <t>Lotbinière</t>
  </si>
  <si>
    <t>Drummond</t>
  </si>
  <si>
    <t>Dudswell</t>
  </si>
  <si>
    <t>Duhamel</t>
  </si>
  <si>
    <t>Duhamel-Ouest</t>
  </si>
  <si>
    <t>Dundee</t>
  </si>
  <si>
    <t>Le Haut-Saint-Laurent</t>
  </si>
  <si>
    <t>Dunham</t>
  </si>
  <si>
    <t>Duparquet</t>
  </si>
  <si>
    <t>Durham-Sud</t>
  </si>
  <si>
    <t>East Angus</t>
  </si>
  <si>
    <t>East Broughton</t>
  </si>
  <si>
    <t>East Farnham</t>
  </si>
  <si>
    <t>East Hereford</t>
  </si>
  <si>
    <t>Eastman</t>
  </si>
  <si>
    <t>Egan-Sud</t>
  </si>
  <si>
    <t>Elgin</t>
  </si>
  <si>
    <t>Escuminac</t>
  </si>
  <si>
    <t>Esprit-Saint</t>
  </si>
  <si>
    <t>Rimouski-Neigette</t>
  </si>
  <si>
    <t>Estérel</t>
  </si>
  <si>
    <t>Les Pays-d'en-Haut</t>
  </si>
  <si>
    <t>Farnham</t>
  </si>
  <si>
    <t>Fassett</t>
  </si>
  <si>
    <t>Ferland-et-Boilleau</t>
  </si>
  <si>
    <t>Caniapiscau</t>
  </si>
  <si>
    <t>Forestville</t>
  </si>
  <si>
    <t>Fort-Coulonge</t>
  </si>
  <si>
    <t>Fortierville</t>
  </si>
  <si>
    <t>Fossambault-sur-le-Lac</t>
  </si>
  <si>
    <t>La Jacques-Cartier \ Communauté métropolitaine de Québec</t>
  </si>
  <si>
    <t>Frampton</t>
  </si>
  <si>
    <t>La Nouvelle-Beauce</t>
  </si>
  <si>
    <t>Franklin</t>
  </si>
  <si>
    <t>Franquelin</t>
  </si>
  <si>
    <t>Frelighsburg</t>
  </si>
  <si>
    <t>Frontenac</t>
  </si>
  <si>
    <t>Fugèreville</t>
  </si>
  <si>
    <t>Gallichan</t>
  </si>
  <si>
    <t>Gaspé</t>
  </si>
  <si>
    <t>Girardville</t>
  </si>
  <si>
    <t>Godbout</t>
  </si>
  <si>
    <t>Godmanchester</t>
  </si>
  <si>
    <t>Gouvernement régional d'Eeyou Istchee Baie-James</t>
  </si>
  <si>
    <t>Gracefield</t>
  </si>
  <si>
    <t>La Haute-Yamaska</t>
  </si>
  <si>
    <t>Grande-Rivière</t>
  </si>
  <si>
    <t>Grandes-Piles</t>
  </si>
  <si>
    <t>Mékinac</t>
  </si>
  <si>
    <t>Grande-Vallée</t>
  </si>
  <si>
    <t>Grand-Métis</t>
  </si>
  <si>
    <t>La Mitis</t>
  </si>
  <si>
    <t>Grand-Remous</t>
  </si>
  <si>
    <t>Grand-Saint-Esprit</t>
  </si>
  <si>
    <t>Gros-Mécatina</t>
  </si>
  <si>
    <t>Grosse-Île</t>
  </si>
  <si>
    <t>Grosses-Roches</t>
  </si>
  <si>
    <t>Ham-Nord</t>
  </si>
  <si>
    <t>Hampden</t>
  </si>
  <si>
    <t>Hampstead</t>
  </si>
  <si>
    <t>Ham-Sud</t>
  </si>
  <si>
    <t>Harrington</t>
  </si>
  <si>
    <t>Hatley</t>
  </si>
  <si>
    <t>Havelock</t>
  </si>
  <si>
    <t>Havre-Saint-Pierre</t>
  </si>
  <si>
    <t>Hébertville</t>
  </si>
  <si>
    <t>Hébertville-Station</t>
  </si>
  <si>
    <t>Hemmingford</t>
  </si>
  <si>
    <t>Les Jardins-de-Napierville</t>
  </si>
  <si>
    <t>Henryville</t>
  </si>
  <si>
    <t>Le Haut-Richelieu</t>
  </si>
  <si>
    <t>Hérouxville</t>
  </si>
  <si>
    <t>Hinchinbrooke</t>
  </si>
  <si>
    <t>Honfleur</t>
  </si>
  <si>
    <t>Hope</t>
  </si>
  <si>
    <t>Hope Town</t>
  </si>
  <si>
    <t>Howick</t>
  </si>
  <si>
    <t>Hudson</t>
  </si>
  <si>
    <t>Vaudreuil-Soulanges \ Communauté métropolitaine de Montréal</t>
  </si>
  <si>
    <t>Huntingdon</t>
  </si>
  <si>
    <t>Inverness</t>
  </si>
  <si>
    <t>L'Érable</t>
  </si>
  <si>
    <t>Irlande</t>
  </si>
  <si>
    <t>Kamouraska</t>
  </si>
  <si>
    <t>Kazabazua</t>
  </si>
  <si>
    <t>Kiamika</t>
  </si>
  <si>
    <t>Kingsbury</t>
  </si>
  <si>
    <t>Kingsey Falls</t>
  </si>
  <si>
    <t>Kinnear's Mills</t>
  </si>
  <si>
    <t>Kipawa</t>
  </si>
  <si>
    <t>Kirkland</t>
  </si>
  <si>
    <t>La Bostonnais</t>
  </si>
  <si>
    <t>La Corne</t>
  </si>
  <si>
    <t>La Doré</t>
  </si>
  <si>
    <t>La Durantaye</t>
  </si>
  <si>
    <t>La Guadeloupe</t>
  </si>
  <si>
    <t>Beauce-Sartigan</t>
  </si>
  <si>
    <t>La Malbaie</t>
  </si>
  <si>
    <t>La Martre</t>
  </si>
  <si>
    <t>La Morandière</t>
  </si>
  <si>
    <t>La Motte</t>
  </si>
  <si>
    <t>La Patrie</t>
  </si>
  <si>
    <t>La Pêche</t>
  </si>
  <si>
    <t>La Pocatière</t>
  </si>
  <si>
    <t>La Présentation</t>
  </si>
  <si>
    <t>Les Maskoutains</t>
  </si>
  <si>
    <t>La Rédemption</t>
  </si>
  <si>
    <t>La Reine</t>
  </si>
  <si>
    <t>La Trinité-des-Monts</t>
  </si>
  <si>
    <t>La Tuque</t>
  </si>
  <si>
    <t>La Visitation-de-l'Île-Dupas</t>
  </si>
  <si>
    <t>La Visitation-de-Yamaska</t>
  </si>
  <si>
    <t>Lac-au-Saumon</t>
  </si>
  <si>
    <t>Lac-aux-Sables</t>
  </si>
  <si>
    <t>Lac-Beauport</t>
  </si>
  <si>
    <t>Lac-Bouchette</t>
  </si>
  <si>
    <t>Lac-Brome</t>
  </si>
  <si>
    <t>Lac-Chicobi</t>
  </si>
  <si>
    <t>Lac-Delage</t>
  </si>
  <si>
    <t>Lac-des-Aigles</t>
  </si>
  <si>
    <t>Lac-Drolet</t>
  </si>
  <si>
    <t>Lac-Édouard</t>
  </si>
  <si>
    <t>Lac-Etchemin</t>
  </si>
  <si>
    <t>Les Etchemins</t>
  </si>
  <si>
    <t>Lac-Frontière</t>
  </si>
  <si>
    <t>Lac-Mégantic</t>
  </si>
  <si>
    <t>Lacolle</t>
  </si>
  <si>
    <t>Lac-Poulin</t>
  </si>
  <si>
    <t>Lac-Saguay</t>
  </si>
  <si>
    <t>Lac-Sainte-Marie</t>
  </si>
  <si>
    <t>Lac-Saint-Joseph</t>
  </si>
  <si>
    <t>Lac-Saint-Paul</t>
  </si>
  <si>
    <t>Lac-Sergent</t>
  </si>
  <si>
    <t>Lac-Simon</t>
  </si>
  <si>
    <t>Lac-Tremblant-Nord</t>
  </si>
  <si>
    <t>Laforce</t>
  </si>
  <si>
    <t>Lambton</t>
  </si>
  <si>
    <t>L'Ancienne-Lorette</t>
  </si>
  <si>
    <t>Hors MRC \ Communauté métropolitaine de Québec</t>
  </si>
  <si>
    <t>Landrienne</t>
  </si>
  <si>
    <t>L'Ange-Gardien</t>
  </si>
  <si>
    <t>Lanoraie</t>
  </si>
  <si>
    <t>L'Anse-Saint-Jean</t>
  </si>
  <si>
    <t>L'Ascension-de-Notre-Seigneur</t>
  </si>
  <si>
    <t>L'Ascension-de-Patapédia</t>
  </si>
  <si>
    <t>Latulipe-et-Gaboury</t>
  </si>
  <si>
    <t>Cantons unis</t>
  </si>
  <si>
    <t>Launay</t>
  </si>
  <si>
    <t>Laurier-Station</t>
  </si>
  <si>
    <t>Laurierville</t>
  </si>
  <si>
    <t>L'Avenir</t>
  </si>
  <si>
    <t>Laverlochère-Angliers</t>
  </si>
  <si>
    <t>Lawrenceville</t>
  </si>
  <si>
    <t>Lebel-sur-Quévillon</t>
  </si>
  <si>
    <t>Leclercville</t>
  </si>
  <si>
    <t>Léry</t>
  </si>
  <si>
    <t>Les Bergeronnes</t>
  </si>
  <si>
    <t>Les Coteaux</t>
  </si>
  <si>
    <t>Les Éboulements</t>
  </si>
  <si>
    <t>Les Escoumins</t>
  </si>
  <si>
    <t>Les Hauteurs</t>
  </si>
  <si>
    <t>Les Îles-de-la-Madeleine</t>
  </si>
  <si>
    <t>Les Méchins</t>
  </si>
  <si>
    <t>L'Île-Cadieux</t>
  </si>
  <si>
    <t>L'Île-d'Anticosti</t>
  </si>
  <si>
    <t>L'Île-Dorval</t>
  </si>
  <si>
    <t>L'Île-du-Grand-Calumet</t>
  </si>
  <si>
    <t>L'Île-Perrot</t>
  </si>
  <si>
    <t>Lingwick</t>
  </si>
  <si>
    <t>L'Isle-aux-Allumettes</t>
  </si>
  <si>
    <t>L'Isle-aux-Coudres</t>
  </si>
  <si>
    <t>L'Islet</t>
  </si>
  <si>
    <t>L'Isle-Verte</t>
  </si>
  <si>
    <t>Litchfield</t>
  </si>
  <si>
    <t>Lochaber</t>
  </si>
  <si>
    <t>Lochaber-Partie-Ouest</t>
  </si>
  <si>
    <t>Longue-Pointe-de-Mingan</t>
  </si>
  <si>
    <t>Longue-Rive</t>
  </si>
  <si>
    <t>Longueuil</t>
  </si>
  <si>
    <t>Lorrainville</t>
  </si>
  <si>
    <t>Louiseville</t>
  </si>
  <si>
    <t>Low</t>
  </si>
  <si>
    <t>Lyster</t>
  </si>
  <si>
    <t>Macamic</t>
  </si>
  <si>
    <t>Maddington Falls</t>
  </si>
  <si>
    <t>Magog</t>
  </si>
  <si>
    <t>Malartic</t>
  </si>
  <si>
    <t>Mandeville</t>
  </si>
  <si>
    <t>Maniwaki</t>
  </si>
  <si>
    <t>Mansfield-et-Pontefract</t>
  </si>
  <si>
    <t>Maria</t>
  </si>
  <si>
    <t>Maricourt</t>
  </si>
  <si>
    <t>Marieville</t>
  </si>
  <si>
    <t>Marsoui</t>
  </si>
  <si>
    <t>Marston</t>
  </si>
  <si>
    <t>Martinville</t>
  </si>
  <si>
    <t>Les Moulins \ Communauté métropolitaine de Montréal</t>
  </si>
  <si>
    <t>Massueville</t>
  </si>
  <si>
    <t>Pierre-De Saurel</t>
  </si>
  <si>
    <t>Matane</t>
  </si>
  <si>
    <t>Matapédia</t>
  </si>
  <si>
    <t>Mayo</t>
  </si>
  <si>
    <t>McMasterville</t>
  </si>
  <si>
    <t>Melbourne</t>
  </si>
  <si>
    <t>Messines</t>
  </si>
  <si>
    <t>Métabetchouan–Lac-à-la-Croix</t>
  </si>
  <si>
    <t>Métis-sur-Mer</t>
  </si>
  <si>
    <t>Milan</t>
  </si>
  <si>
    <t>Moffet</t>
  </si>
  <si>
    <t>Mont-Carmel</t>
  </si>
  <si>
    <t>Montcerf-Lytton</t>
  </si>
  <si>
    <t>Montebello</t>
  </si>
  <si>
    <t>Mont-Joli</t>
  </si>
  <si>
    <t>Montpellier</t>
  </si>
  <si>
    <t>Montréal-Est</t>
  </si>
  <si>
    <t>Montréal-Ouest</t>
  </si>
  <si>
    <t>Mont-Royal</t>
  </si>
  <si>
    <t>Mont-Saint-Grégoire</t>
  </si>
  <si>
    <t>Mont-Saint-Hilaire</t>
  </si>
  <si>
    <t>Mont-Saint-Michel</t>
  </si>
  <si>
    <t>Mont-Saint-Pierre</t>
  </si>
  <si>
    <t>Mulgrave-et-Derry</t>
  </si>
  <si>
    <t>Murdochville</t>
  </si>
  <si>
    <t>Namur</t>
  </si>
  <si>
    <t>Nantes</t>
  </si>
  <si>
    <t>Napierville</t>
  </si>
  <si>
    <t>Natashquan</t>
  </si>
  <si>
    <t>Nédélec</t>
  </si>
  <si>
    <t>Neuville</t>
  </si>
  <si>
    <t>New Carlisle</t>
  </si>
  <si>
    <t>New Richmond</t>
  </si>
  <si>
    <t>Newport</t>
  </si>
  <si>
    <t>Nicolet</t>
  </si>
  <si>
    <t>Normétal</t>
  </si>
  <si>
    <t>North Hatley</t>
  </si>
  <si>
    <t>Notre-Dame-Auxiliatrice-de-Buckland</t>
  </si>
  <si>
    <t>Notre-Dame-de-Bonsecours</t>
  </si>
  <si>
    <t>Notre-Dame-de-Ham</t>
  </si>
  <si>
    <t>Notre-Dame-de-la-Salette</t>
  </si>
  <si>
    <t>Notre-Dame-de-l'Île-Perrot</t>
  </si>
  <si>
    <t>Notre-Dame-de-Lorette</t>
  </si>
  <si>
    <t>Notre-Dame-de-Lourdes</t>
  </si>
  <si>
    <t>Notre-Dame-de-Montauban</t>
  </si>
  <si>
    <t>Notre-Dame-des-Anges</t>
  </si>
  <si>
    <t>Notre-Dame-des-Bois</t>
  </si>
  <si>
    <t>Notre-Dame-des-Monts</t>
  </si>
  <si>
    <t>Notre-Dame-des-Neiges</t>
  </si>
  <si>
    <t>Les Basques</t>
  </si>
  <si>
    <t>Notre-Dame-des-Pins</t>
  </si>
  <si>
    <t>Notre-Dame-des-Sept-Douleurs</t>
  </si>
  <si>
    <t>Notre-Dame-de-Stanbridge</t>
  </si>
  <si>
    <t>Notre-Dame-du-Bon-Conseil</t>
  </si>
  <si>
    <t>Notre-Dame-du-Laus</t>
  </si>
  <si>
    <t>Notre-Dame-du-Mont-Carmel</t>
  </si>
  <si>
    <t>Notre-Dame-du-Nord</t>
  </si>
  <si>
    <t>Notre-Dame-du-Portage</t>
  </si>
  <si>
    <t>Notre-Dame-du-Rosaire</t>
  </si>
  <si>
    <t>Notre-Dame-du-Sacré-Coeur-d'Issoudun</t>
  </si>
  <si>
    <t>Nouvelle</t>
  </si>
  <si>
    <t>Noyan</t>
  </si>
  <si>
    <t>Ogden</t>
  </si>
  <si>
    <t>Orford</t>
  </si>
  <si>
    <t>Ormstown</t>
  </si>
  <si>
    <t>Otter Lake</t>
  </si>
  <si>
    <t>Otterburn Park</t>
  </si>
  <si>
    <t>Packington</t>
  </si>
  <si>
    <t>Padoue</t>
  </si>
  <si>
    <t>Parisville</t>
  </si>
  <si>
    <t>Paspébiac</t>
  </si>
  <si>
    <t>Percé</t>
  </si>
  <si>
    <t>Péribonka</t>
  </si>
  <si>
    <t>Petite-Rivière-Saint-François</t>
  </si>
  <si>
    <t>Petite-Vallée</t>
  </si>
  <si>
    <t>Petit-Saguenay</t>
  </si>
  <si>
    <t>Pierreville</t>
  </si>
  <si>
    <t>Pike River</t>
  </si>
  <si>
    <t>Pincourt</t>
  </si>
  <si>
    <t>Piopolis</t>
  </si>
  <si>
    <t>Plessisville</t>
  </si>
  <si>
    <t>Pohénégamook</t>
  </si>
  <si>
    <t>Pointe-à-la-Croix</t>
  </si>
  <si>
    <t>Pointe-aux-Outardes</t>
  </si>
  <si>
    <t>Pointe-Claire</t>
  </si>
  <si>
    <t>Pointe-des-Cascades</t>
  </si>
  <si>
    <t>Pointe-Fortune</t>
  </si>
  <si>
    <t>Pointe-Lebel</t>
  </si>
  <si>
    <t>Portage-du-Fort</t>
  </si>
  <si>
    <t>Port-Cartier</t>
  </si>
  <si>
    <t>Sept-Rivières</t>
  </si>
  <si>
    <t>Port-Daniel–Gascons</t>
  </si>
  <si>
    <t>Portneuf-sur-Mer</t>
  </si>
  <si>
    <t>Potton</t>
  </si>
  <si>
    <t>Poularies</t>
  </si>
  <si>
    <t>Preissac</t>
  </si>
  <si>
    <t>La Rivière-du-Nord</t>
  </si>
  <si>
    <t>Price</t>
  </si>
  <si>
    <t>Princeville</t>
  </si>
  <si>
    <t>Ragueneau</t>
  </si>
  <si>
    <t>Rapide-Danseur</t>
  </si>
  <si>
    <t>Rapides-des-Joachims</t>
  </si>
  <si>
    <t>Rémigny</t>
  </si>
  <si>
    <t>Richelieu</t>
  </si>
  <si>
    <t>Rouville \ Communauté métropolitaine de Montréal</t>
  </si>
  <si>
    <t>Richmond</t>
  </si>
  <si>
    <t>Rigaud</t>
  </si>
  <si>
    <t>Rimouski</t>
  </si>
  <si>
    <t>Ristigouche-Partie-Sud-Est</t>
  </si>
  <si>
    <t>Rivière-à-Claude</t>
  </si>
  <si>
    <t>Rivière-à-Pierre</t>
  </si>
  <si>
    <t>Rivière-au-Tonnerre</t>
  </si>
  <si>
    <t>Rivière-Beaudette</t>
  </si>
  <si>
    <t>Rivière-Bleue</t>
  </si>
  <si>
    <t>Rivière-Éternité</t>
  </si>
  <si>
    <t>Rivière-Héva</t>
  </si>
  <si>
    <t>Rivière-Ouelle</t>
  </si>
  <si>
    <t>Rivière-Saint-Jean</t>
  </si>
  <si>
    <t>Roberval</t>
  </si>
  <si>
    <t>Rochebaucourt</t>
  </si>
  <si>
    <t>Roquemaure</t>
  </si>
  <si>
    <t>Rougemont</t>
  </si>
  <si>
    <t>Roxton</t>
  </si>
  <si>
    <t>Roxton Falls</t>
  </si>
  <si>
    <t>Roxton Pond</t>
  </si>
  <si>
    <t>Sacré-Coeur</t>
  </si>
  <si>
    <t>Sacré-Coeur-de-Jésus</t>
  </si>
  <si>
    <t>Saint-Adalbert</t>
  </si>
  <si>
    <t>Saint-Adelme</t>
  </si>
  <si>
    <t>Saint-Adelphe</t>
  </si>
  <si>
    <t>Saint-Adrien</t>
  </si>
  <si>
    <t>Saint-Adrien-d'Irlande</t>
  </si>
  <si>
    <t>Saint-Agapit</t>
  </si>
  <si>
    <t>Saint-Aimé</t>
  </si>
  <si>
    <t>Saint-Aimé-des-Lacs</t>
  </si>
  <si>
    <t>Saint-Alban</t>
  </si>
  <si>
    <t>Saint-Albert</t>
  </si>
  <si>
    <t>Saint-Alexandre</t>
  </si>
  <si>
    <t>Saint-Alexandre-de-Kamouraska</t>
  </si>
  <si>
    <t>Saint-Alexandre-des-Lacs</t>
  </si>
  <si>
    <t>Saint-Alexis-de-Matapédia</t>
  </si>
  <si>
    <t>Saint-Alexis-des-Monts</t>
  </si>
  <si>
    <t>Saint-Alfred</t>
  </si>
  <si>
    <t>Saint-Alphonse</t>
  </si>
  <si>
    <t>Saint-Alphonse-de-Granby</t>
  </si>
  <si>
    <t>Saint-Amable</t>
  </si>
  <si>
    <t>Saint-Ambroise</t>
  </si>
  <si>
    <t>Saint-Ambroise-de-Kildare</t>
  </si>
  <si>
    <t>Saint-Anaclet-de-Lessard</t>
  </si>
  <si>
    <t>Saint-André-de-Kamouraska</t>
  </si>
  <si>
    <t>Saint-André-de-Restigouche</t>
  </si>
  <si>
    <t>Saint-André-du-Lac-Saint-Jean</t>
  </si>
  <si>
    <t>Saint-Anicet</t>
  </si>
  <si>
    <t>Saint-Anselme</t>
  </si>
  <si>
    <t>Saint-Antoine-de-l'Isle-aux-Grues</t>
  </si>
  <si>
    <t>Saint-Antoine-de-Tilly</t>
  </si>
  <si>
    <t>Saint-Antoine-sur-Richelieu</t>
  </si>
  <si>
    <t>La Vallée-du-Richelieu</t>
  </si>
  <si>
    <t>Saint-Antonin</t>
  </si>
  <si>
    <t>Saint-Apollinaire</t>
  </si>
  <si>
    <t>Saint-Armand</t>
  </si>
  <si>
    <t>Saint-Arsène</t>
  </si>
  <si>
    <t>Saint-Athanase</t>
  </si>
  <si>
    <t>Saint-Aubert</t>
  </si>
  <si>
    <t>Saint-Augustin</t>
  </si>
  <si>
    <t>Saint-Augustin-de-Woburn</t>
  </si>
  <si>
    <t>Saint-Barnabé</t>
  </si>
  <si>
    <t>Saint-Barnabé-Sud</t>
  </si>
  <si>
    <t>Saint-Barthélemy</t>
  </si>
  <si>
    <t>Saint-Basile</t>
  </si>
  <si>
    <t>Saint-Basile-le-Grand</t>
  </si>
  <si>
    <t>Saint-Benjamin</t>
  </si>
  <si>
    <t>Saint-Benoît-du-Lac</t>
  </si>
  <si>
    <t>Saint-Benoît-Labre</t>
  </si>
  <si>
    <t>Saint-Bernard</t>
  </si>
  <si>
    <t>Saint-Bernard-de-Lacolle</t>
  </si>
  <si>
    <t>Saint-Bernard-de-Michaudville</t>
  </si>
  <si>
    <t>Saint-Blaise-sur-Richelieu</t>
  </si>
  <si>
    <t>Saint-Bonaventure</t>
  </si>
  <si>
    <t>Saint-Bruno</t>
  </si>
  <si>
    <t>Saint-Bruno-de-Guigues</t>
  </si>
  <si>
    <t>Saint-Bruno-de-Kamouraska</t>
  </si>
  <si>
    <t>Saint-Bruno-de-Montarville</t>
  </si>
  <si>
    <t>Saint-Camille</t>
  </si>
  <si>
    <t>Saint-Camille-de-Lellis</t>
  </si>
  <si>
    <t>Saint-Casimir</t>
  </si>
  <si>
    <t>Saint-Célestin</t>
  </si>
  <si>
    <t>Saint-Césaire</t>
  </si>
  <si>
    <t>Saint-Charles-de-Bellechasse</t>
  </si>
  <si>
    <t>Saint-Charles-de-Bourget</t>
  </si>
  <si>
    <t>Saint-Charles-Garnier</t>
  </si>
  <si>
    <t>Saint-Charles-sur-Richelieu</t>
  </si>
  <si>
    <t>Saint-Christophe-d'Arthabaska</t>
  </si>
  <si>
    <t>Saint-Chrysostome</t>
  </si>
  <si>
    <t>Saint-Claude</t>
  </si>
  <si>
    <t>Saint-Clément</t>
  </si>
  <si>
    <t>Saint-Cléophas</t>
  </si>
  <si>
    <t>Saint-Cléophas-de-Brandon</t>
  </si>
  <si>
    <t>Saint-Côme–Linière</t>
  </si>
  <si>
    <t>Saint-Constant</t>
  </si>
  <si>
    <t>Saint-Cuthbert</t>
  </si>
  <si>
    <t>Saint-Cyprien</t>
  </si>
  <si>
    <t>Saint-Cyprien-de-Napierville</t>
  </si>
  <si>
    <t>Saint-Cyrille-de-Lessard</t>
  </si>
  <si>
    <t>Saint-Cyrille-de-Wendover</t>
  </si>
  <si>
    <t>Saint-Damase</t>
  </si>
  <si>
    <t>Saint-Damase-de-L'Islet</t>
  </si>
  <si>
    <t>Saint-Damien</t>
  </si>
  <si>
    <t>Saint-Damien-de-Buckland</t>
  </si>
  <si>
    <t>Saint-David</t>
  </si>
  <si>
    <t>Saint-David-de-Falardeau</t>
  </si>
  <si>
    <t>Saint-Denis-De La Bouteillerie</t>
  </si>
  <si>
    <t>Saint-Denis-de-Brompton</t>
  </si>
  <si>
    <t>Saint-Denis-sur-Richelieu</t>
  </si>
  <si>
    <t>Saint-Didace</t>
  </si>
  <si>
    <t>Saint-Dominique</t>
  </si>
  <si>
    <t>Saint-Dominique-du-Rosaire</t>
  </si>
  <si>
    <t>Sainte-Agathe-de-Lotbinière</t>
  </si>
  <si>
    <t>Sainte-Angèle-de-Mérici</t>
  </si>
  <si>
    <t>Sainte-Angèle-de-Monnoir</t>
  </si>
  <si>
    <t>Sainte-Angèle-de-Prémont</t>
  </si>
  <si>
    <t>Sainte-Anne-de-Beaupré</t>
  </si>
  <si>
    <t>Sainte-Anne-de-Bellevue</t>
  </si>
  <si>
    <t>Sainte-Anne-de-la-Pérade</t>
  </si>
  <si>
    <t>Sainte-Anne-de-la-Pocatière</t>
  </si>
  <si>
    <t>Sainte-Anne-de-la-Rochelle</t>
  </si>
  <si>
    <t>Sainte-Anne-de-Sabrevois</t>
  </si>
  <si>
    <t>Sainte-Anne-des-Monts</t>
  </si>
  <si>
    <t>Sainte-Anne-de-Sorel</t>
  </si>
  <si>
    <t>Sainte-Anne-du-Lac</t>
  </si>
  <si>
    <t>Sainte-Apolline-de-Patton</t>
  </si>
  <si>
    <t>Sainte-Aurélie</t>
  </si>
  <si>
    <t>Sainte-Barbe</t>
  </si>
  <si>
    <t>Sainte-Béatrix</t>
  </si>
  <si>
    <t>Sainte-Brigide-d'Iberville</t>
  </si>
  <si>
    <t>Sainte-Brigitte-de-Laval</t>
  </si>
  <si>
    <t>Sainte-Brigitte-des-Saults</t>
  </si>
  <si>
    <t>Sainte-Catherine</t>
  </si>
  <si>
    <t>Sainte-Catherine-de-Hatley</t>
  </si>
  <si>
    <t>Sainte-Catherine-de-la-Jacques-Cartier</t>
  </si>
  <si>
    <t>Sainte-Cécile-de-Lévrard</t>
  </si>
  <si>
    <t>Sainte-Cécile-de-Milton</t>
  </si>
  <si>
    <t>Sainte-Cécile-de-Whitton</t>
  </si>
  <si>
    <t>Sainte-Christine</t>
  </si>
  <si>
    <t>Sainte-Christine-d'Auvergne</t>
  </si>
  <si>
    <t>Sainte-Claire</t>
  </si>
  <si>
    <t>Sainte-Clotilde</t>
  </si>
  <si>
    <t>Sainte-Clotilde-de-Beauce</t>
  </si>
  <si>
    <t>Sainte-Clotilde-de-Horton</t>
  </si>
  <si>
    <t>Sainte-Croix</t>
  </si>
  <si>
    <t>Saint-Edmond-de-Grantham</t>
  </si>
  <si>
    <t>Saint-Edmond-les-Plaines</t>
  </si>
  <si>
    <t>Saint-Édouard</t>
  </si>
  <si>
    <t>Saint-Édouard-de-Fabre</t>
  </si>
  <si>
    <t>Saint-Édouard-de-Lotbinière</t>
  </si>
  <si>
    <t>Saint-Édouard-de-Maskinongé</t>
  </si>
  <si>
    <t>Sainte-Edwidge-de-Clifton</t>
  </si>
  <si>
    <t>Sainte-Élisabeth</t>
  </si>
  <si>
    <t>Sainte-Élizabeth-de-Warwick</t>
  </si>
  <si>
    <t>Sainte-Émélie-de-l'Énergie</t>
  </si>
  <si>
    <t>Sainte-Eulalie</t>
  </si>
  <si>
    <t>Sainte-Euphémie-sur-Rivière-du-Sud</t>
  </si>
  <si>
    <t>Sainte-Famille-de-l'Île-d'Orléans</t>
  </si>
  <si>
    <t>L'Île-d'Orléans \ Communauté métropolitaine de Québec</t>
  </si>
  <si>
    <t>Sainte-Félicité</t>
  </si>
  <si>
    <t>Sainte-Flavie</t>
  </si>
  <si>
    <t>Sainte-Florence</t>
  </si>
  <si>
    <t>Sainte-Françoise</t>
  </si>
  <si>
    <t>Sainte-Geneviève-de-Batiscan</t>
  </si>
  <si>
    <t>Sainte-Geneviève-de-Berthier</t>
  </si>
  <si>
    <t>Sainte-Germaine-Boulé</t>
  </si>
  <si>
    <t>Sainte-Gertrude-Manneville</t>
  </si>
  <si>
    <t>Sainte-Hedwidge</t>
  </si>
  <si>
    <t>Sainte-Hélène-de-Bagot</t>
  </si>
  <si>
    <t>Sainte-Hélène-de-Chester</t>
  </si>
  <si>
    <t>Sainte-Hélène-de-Kamouraska</t>
  </si>
  <si>
    <t>Sainte-Hélène-de-Mancebourg</t>
  </si>
  <si>
    <t>Sainte-Hénédine</t>
  </si>
  <si>
    <t>Sainte-Irène</t>
  </si>
  <si>
    <t>Sainte-Jeanne-d'Arc</t>
  </si>
  <si>
    <t>Sainte-Julie</t>
  </si>
  <si>
    <t>Sainte-Justine</t>
  </si>
  <si>
    <t>Sainte-Justine-de-Newton</t>
  </si>
  <si>
    <t>Saint-Élie-de-Caxton</t>
  </si>
  <si>
    <t>Saint-Éloi</t>
  </si>
  <si>
    <t>Sainte-Louise</t>
  </si>
  <si>
    <t>Saint-Elphège</t>
  </si>
  <si>
    <t>Sainte-Luce</t>
  </si>
  <si>
    <t>Sainte-Lucie-de-Beauregard</t>
  </si>
  <si>
    <t>Saint-Elzéar</t>
  </si>
  <si>
    <t>Saint-Elzéar-de-Témiscouata</t>
  </si>
  <si>
    <t>Sainte-Madeleine</t>
  </si>
  <si>
    <t>Sainte-Madeleine-de-la-Rivière-Madeleine</t>
  </si>
  <si>
    <t>Sainte-Marcelline-de-Kildare</t>
  </si>
  <si>
    <t>Sainte-Marguerite</t>
  </si>
  <si>
    <t>Sainte-Marguerite-Marie</t>
  </si>
  <si>
    <t>Sainte-Marie</t>
  </si>
  <si>
    <t>Sainte-Marie-de-Blandford</t>
  </si>
  <si>
    <t>Sainte-Marie-Madeleine</t>
  </si>
  <si>
    <t>Sainte-Marie-Salomé</t>
  </si>
  <si>
    <t>Sainte-Martine</t>
  </si>
  <si>
    <t>Beauharnois-Salaberry</t>
  </si>
  <si>
    <t>Saint-Émile-de-Suffolk</t>
  </si>
  <si>
    <t>Sainte-Monique</t>
  </si>
  <si>
    <t>Sainte-Paule</t>
  </si>
  <si>
    <t>Sainte-Perpétue</t>
  </si>
  <si>
    <t>Sainte-Pétronille</t>
  </si>
  <si>
    <t>Saint-Éphrem-de-Beauce</t>
  </si>
  <si>
    <t>Saint-Épiphane</t>
  </si>
  <si>
    <t>Sainte-Praxède</t>
  </si>
  <si>
    <t>Sainte-Rita</t>
  </si>
  <si>
    <t>Sainte-Rose-de-Watford</t>
  </si>
  <si>
    <t>Sainte-Rose-du-Nord</t>
  </si>
  <si>
    <t>Sainte-Sabine</t>
  </si>
  <si>
    <t>Sainte-Séraphine</t>
  </si>
  <si>
    <t>Sainte-Sophie-de-Lévrard</t>
  </si>
  <si>
    <t>Sainte-Sophie-d'Halifax</t>
  </si>
  <si>
    <t>Sainte-Thècle</t>
  </si>
  <si>
    <t>Sainte-Thérèse-de-Gaspé</t>
  </si>
  <si>
    <t>Sainte-Thérèse-de-la-Gatineau</t>
  </si>
  <si>
    <t>Saint-Étienne-de-Beauharnois</t>
  </si>
  <si>
    <t>Saint-Étienne-de-Bolton</t>
  </si>
  <si>
    <t>Saint-Étienne-des-Grès</t>
  </si>
  <si>
    <t>Saint-Eugène</t>
  </si>
  <si>
    <t>Saint-Eugène-d'Argentenay</t>
  </si>
  <si>
    <t>Saint-Eugène-de-Guigues</t>
  </si>
  <si>
    <t>Saint-Eugène-de-Ladrière</t>
  </si>
  <si>
    <t>Sainte-Ursule</t>
  </si>
  <si>
    <t>Saint-Eusèbe</t>
  </si>
  <si>
    <t>Saint-Évariste-de-Forsyth</t>
  </si>
  <si>
    <t>Sainte-Victoire-de-Sorel</t>
  </si>
  <si>
    <t>Saint-Fabien</t>
  </si>
  <si>
    <t>Saint-Fabien-de-Panet</t>
  </si>
  <si>
    <t>Saint-Faustin–Lac-Carré</t>
  </si>
  <si>
    <t>Saint-Félicien</t>
  </si>
  <si>
    <t>Saint-Félix-de-Dalquier</t>
  </si>
  <si>
    <t>Saint-Félix-de-Kingsey</t>
  </si>
  <si>
    <t>Saint-Félix-d'Otis</t>
  </si>
  <si>
    <t>Saint-Ferdinand</t>
  </si>
  <si>
    <t>Saint-Ferréol-les-Neiges</t>
  </si>
  <si>
    <t>Saint-Flavien</t>
  </si>
  <si>
    <t>Saint-Fortunat</t>
  </si>
  <si>
    <t>Saint-François-d'Assise</t>
  </si>
  <si>
    <t>Saint-François-de-la-Rivière-du-Sud</t>
  </si>
  <si>
    <t>Saint-François-de-l'Île-d'Orléans</t>
  </si>
  <si>
    <t>Saint-François-de-Sales</t>
  </si>
  <si>
    <t>Saint-François-du-Lac</t>
  </si>
  <si>
    <t>Saint-François-Xavier-de-Brompton</t>
  </si>
  <si>
    <t>Saint-François-Xavier-de-Viger</t>
  </si>
  <si>
    <t>Saint-Fulgence</t>
  </si>
  <si>
    <t>Saint-Gabriel</t>
  </si>
  <si>
    <t>Saint-Gabriel-de-Brandon</t>
  </si>
  <si>
    <t>Saint-Gabriel-de-Rimouski</t>
  </si>
  <si>
    <t>Saint-Gabriel-de-Valcartier</t>
  </si>
  <si>
    <t>Saint-Gabriel-Lalemant</t>
  </si>
  <si>
    <t>Saint-Gédéon</t>
  </si>
  <si>
    <t>Saint-Gédéon-de-Beauce</t>
  </si>
  <si>
    <t>Saint-Georges</t>
  </si>
  <si>
    <t>Saint-Georges-de-Clarenceville</t>
  </si>
  <si>
    <t>Saint-Georges-de-Windsor</t>
  </si>
  <si>
    <t>Saint-Gérard-Majella</t>
  </si>
  <si>
    <t>Saint-Germain</t>
  </si>
  <si>
    <t>Saint-Germain-de-Grantham</t>
  </si>
  <si>
    <t>Saint-Gilbert</t>
  </si>
  <si>
    <t>Saint-Gilles</t>
  </si>
  <si>
    <t>Saint-Godefroi</t>
  </si>
  <si>
    <t>Saint-Guillaume</t>
  </si>
  <si>
    <t>Saint-Guy</t>
  </si>
  <si>
    <t>Saint-Henri</t>
  </si>
  <si>
    <t>Saint-Henri-de-Taillon</t>
  </si>
  <si>
    <t>Saint-Herménégilde</t>
  </si>
  <si>
    <t>Saint-Hilaire-de-Dorset</t>
  </si>
  <si>
    <t>Saint-Hilarion</t>
  </si>
  <si>
    <t>Saint-Honoré</t>
  </si>
  <si>
    <t>Saint-Honoré-de-Shenley</t>
  </si>
  <si>
    <t>Saint-Honoré-de-Témiscouata</t>
  </si>
  <si>
    <t>Saint-Hubert-de-Rivière-du-Loup</t>
  </si>
  <si>
    <t>Saint-Hugues</t>
  </si>
  <si>
    <t>Saint-Hyacinthe</t>
  </si>
  <si>
    <t>Saint-Ignace-de-Loyola</t>
  </si>
  <si>
    <t>Saint-Ignace-de-Stanbridge</t>
  </si>
  <si>
    <t>Saint-Irénée</t>
  </si>
  <si>
    <t>Saint-Isidore</t>
  </si>
  <si>
    <t>Saint-Isidore-de-Clifton</t>
  </si>
  <si>
    <t>Saint-Jacques</t>
  </si>
  <si>
    <t>Saint-Jacques-de-Leeds</t>
  </si>
  <si>
    <t>Saint-Jacques-le-Majeur-de-Wolfestown</t>
  </si>
  <si>
    <t>Saint-Jacques-le-Mineur</t>
  </si>
  <si>
    <t>Saint-Janvier-de-Joly</t>
  </si>
  <si>
    <t>Saint-Jean-Baptiste</t>
  </si>
  <si>
    <t>Saint-Jean-de-Brébeuf</t>
  </si>
  <si>
    <t>Saint-Jean-de-Cherbourg</t>
  </si>
  <si>
    <t>Saint-Jean-de-Dieu</t>
  </si>
  <si>
    <t>Saint-Jean-de-la-Lande</t>
  </si>
  <si>
    <t>Saint-Jean-de-l'Île-d'Orléans</t>
  </si>
  <si>
    <t>Saint-Jean-Port-Joli</t>
  </si>
  <si>
    <t>Saint-Joachim</t>
  </si>
  <si>
    <t>Saint-Joachim-de-Shefford</t>
  </si>
  <si>
    <t>Saint-Joseph-de-Coleraine</t>
  </si>
  <si>
    <t>Saint-Joseph-de-Kamouraska</t>
  </si>
  <si>
    <t>Saint-Joseph-de-Lepage</t>
  </si>
  <si>
    <t>Saint-Joseph-des-Érables</t>
  </si>
  <si>
    <t>Saint-Joseph-de-Sorel</t>
  </si>
  <si>
    <t>Saint-Jude</t>
  </si>
  <si>
    <t>Saint-Jules</t>
  </si>
  <si>
    <t>Saint-Julien</t>
  </si>
  <si>
    <t>Saint-Just-de-Bretenières</t>
  </si>
  <si>
    <t>Saint-Juste-du-Lac</t>
  </si>
  <si>
    <t>Saint-Justin</t>
  </si>
  <si>
    <t>Saint-Lambert</t>
  </si>
  <si>
    <t>Saint-Lambert-de-Lauzon</t>
  </si>
  <si>
    <t>Saint-Laurent-de-l'Île-d'Orléans</t>
  </si>
  <si>
    <t>Saint-Lazare</t>
  </si>
  <si>
    <t>Saint-Lazare-de-Bellechasse</t>
  </si>
  <si>
    <t>Saint-Léandre</t>
  </si>
  <si>
    <t>Saint-Léonard-d'Aston</t>
  </si>
  <si>
    <t>Saint-Léonard-de-Portneuf</t>
  </si>
  <si>
    <t>Saint-Léon-de-Standon</t>
  </si>
  <si>
    <t>Saint-Léon-le-Grand</t>
  </si>
  <si>
    <t>Saint-Liboire</t>
  </si>
  <si>
    <t>Saint-Liguori</t>
  </si>
  <si>
    <t>Saint-Lin–Laurentides</t>
  </si>
  <si>
    <t>Saint-Louis</t>
  </si>
  <si>
    <t>Saint-Louis-de-Blandford</t>
  </si>
  <si>
    <t>Saint-Louis-de-Gonzague</t>
  </si>
  <si>
    <t>Saint-Louis-de-Gonzague-du-Cap-Tourmente</t>
  </si>
  <si>
    <t>Saint-Louis-du-Ha! Ha!</t>
  </si>
  <si>
    <t>Saint-Luc-de-Bellechasse</t>
  </si>
  <si>
    <t>Saint-Luc-de-Vincennes</t>
  </si>
  <si>
    <t>Saint-Lucien</t>
  </si>
  <si>
    <t>Saint-Ludger</t>
  </si>
  <si>
    <t>Saint-Ludger-de-Milot</t>
  </si>
  <si>
    <t>Saint-Magloire</t>
  </si>
  <si>
    <t>Saint-Majorique-de-Grantham</t>
  </si>
  <si>
    <t>Saint-Malachie</t>
  </si>
  <si>
    <t>Saint-Malo</t>
  </si>
  <si>
    <t>Saint-Marc-des-Carrières</t>
  </si>
  <si>
    <t>Saint-Marc-du-Lac-Long</t>
  </si>
  <si>
    <t>Saint-Marcel</t>
  </si>
  <si>
    <t>Saint-Marcel-de-Richelieu</t>
  </si>
  <si>
    <t>Saint-Marcellin</t>
  </si>
  <si>
    <t>Saint-Marc-sur-Richelieu</t>
  </si>
  <si>
    <t>Saint-Martin</t>
  </si>
  <si>
    <t>Saint-Mathias-sur-Richelieu</t>
  </si>
  <si>
    <t>Saint-Mathieu</t>
  </si>
  <si>
    <t>Saint-Mathieu-de-Beloeil</t>
  </si>
  <si>
    <t>Saint-Mathieu-de-Rioux</t>
  </si>
  <si>
    <t>Saint-Mathieu-d'Harricana</t>
  </si>
  <si>
    <t>Saint-Mathieu-du-Parc</t>
  </si>
  <si>
    <t>Saint-Maurice</t>
  </si>
  <si>
    <t>Saint-Maxime-du-Mont-Louis</t>
  </si>
  <si>
    <t>Saint-Médard</t>
  </si>
  <si>
    <t>Saint-Michel</t>
  </si>
  <si>
    <t>Saint-Michel-de-Bellechasse</t>
  </si>
  <si>
    <t>Saint-Michel-des-Saints</t>
  </si>
  <si>
    <t>Saint-Michel-du-Squatec</t>
  </si>
  <si>
    <t>Saint-Modeste</t>
  </si>
  <si>
    <t>Saint-Moïse</t>
  </si>
  <si>
    <t>Saint-Narcisse</t>
  </si>
  <si>
    <t>Saint-Narcisse-de-Beaurivage</t>
  </si>
  <si>
    <t>Saint-Narcisse-de-Rimouski</t>
  </si>
  <si>
    <t>Saint-Nazaire</t>
  </si>
  <si>
    <t>Saint-Nazaire-d'Acton</t>
  </si>
  <si>
    <t>Saint-Nazaire-de-Dorchester</t>
  </si>
  <si>
    <t>Saint-Nérée-de-Bellechasse</t>
  </si>
  <si>
    <t>Saint-Noël</t>
  </si>
  <si>
    <t>Saint-Norbert</t>
  </si>
  <si>
    <t>Saint-Norbert-d'Arthabaska</t>
  </si>
  <si>
    <t>Saint-Octave-de-Métis</t>
  </si>
  <si>
    <t>Saint-Odilon-de-Cranbourne</t>
  </si>
  <si>
    <t>Saint-Omer</t>
  </si>
  <si>
    <t>Saint-Onésime-d'Ixworth</t>
  </si>
  <si>
    <t>Saint-Ours</t>
  </si>
  <si>
    <t>Saint-Pacôme</t>
  </si>
  <si>
    <t>Saint-Pamphile</t>
  </si>
  <si>
    <t>Saint-Pascal</t>
  </si>
  <si>
    <t>Saint-Patrice-de-Beaurivage</t>
  </si>
  <si>
    <t>Saint-Patrice-de-Sherrington</t>
  </si>
  <si>
    <t>Saint-Paul</t>
  </si>
  <si>
    <t>Saint-Paul-d'Abbotsford</t>
  </si>
  <si>
    <t>Saint-Paul-de-la-Croix</t>
  </si>
  <si>
    <t>Saint-Paul-de-l'Île-aux-Noix</t>
  </si>
  <si>
    <t>Saint-Paul-de-Montminy</t>
  </si>
  <si>
    <t>Saint-Paulin</t>
  </si>
  <si>
    <t>Saint-Philémon</t>
  </si>
  <si>
    <t>Saint-Philibert</t>
  </si>
  <si>
    <t>Saint-Philippe-de-Néri</t>
  </si>
  <si>
    <t>Saint-Pie</t>
  </si>
  <si>
    <t>Saint-Pie-de-Guire</t>
  </si>
  <si>
    <t>Saint-Pierre</t>
  </si>
  <si>
    <t>Saint-Pierre-Baptiste</t>
  </si>
  <si>
    <t>Saint-Pierre-de-Broughton</t>
  </si>
  <si>
    <t>Saint-Pierre-de-Lamy</t>
  </si>
  <si>
    <t>Saint-Pierre-de-la-Rivière-du-Sud</t>
  </si>
  <si>
    <t>Saint-Pierre-de-l'Île-d'Orléans</t>
  </si>
  <si>
    <t>Saint-Pierre-les-Becquets</t>
  </si>
  <si>
    <t>Saint-Polycarpe</t>
  </si>
  <si>
    <t>Saint-Prime</t>
  </si>
  <si>
    <t>Saint-Prosper</t>
  </si>
  <si>
    <t>Saint-Prosper-de-Champlain</t>
  </si>
  <si>
    <t>Saint-Raphaël</t>
  </si>
  <si>
    <t>Saint-Raymond</t>
  </si>
  <si>
    <t>Saint-Rémi</t>
  </si>
  <si>
    <t>Saint-Rémi-de-Tingwick</t>
  </si>
  <si>
    <t>Saint-René</t>
  </si>
  <si>
    <t>Saint-René-de-Matane</t>
  </si>
  <si>
    <t>Saint-Robert</t>
  </si>
  <si>
    <t>Saint-Robert-Bellarmin</t>
  </si>
  <si>
    <t>Saint-Roch-de-Mékinac</t>
  </si>
  <si>
    <t>Saint-Roch-de-Richelieu</t>
  </si>
  <si>
    <t>Saint-Roch-des-Aulnaies</t>
  </si>
  <si>
    <t>Saint-Roch-Ouest</t>
  </si>
  <si>
    <t>Saint-Romain</t>
  </si>
  <si>
    <t>Saint-Rosaire</t>
  </si>
  <si>
    <t>Saint-Samuel</t>
  </si>
  <si>
    <t>Saints-Anges</t>
  </si>
  <si>
    <t>Saint-Sébastien</t>
  </si>
  <si>
    <t>Saint-Sévère</t>
  </si>
  <si>
    <t>Saint-Séverin</t>
  </si>
  <si>
    <t>Saint-Siméon</t>
  </si>
  <si>
    <t>Saint-Simon</t>
  </si>
  <si>
    <t>Saint-Simon-de-Rimouski</t>
  </si>
  <si>
    <t>Saint-Simon-les-Mines</t>
  </si>
  <si>
    <t>Saint-Sixte</t>
  </si>
  <si>
    <t>Saints-Martyrs-Canadiens</t>
  </si>
  <si>
    <t>Saint-Stanislas</t>
  </si>
  <si>
    <t>Saint-Stanislas-de-Kostka</t>
  </si>
  <si>
    <t>Saint-Sulpice</t>
  </si>
  <si>
    <t>Saint-Sylvère</t>
  </si>
  <si>
    <t>Saint-Sylvestre</t>
  </si>
  <si>
    <t>Saint-Télesphore</t>
  </si>
  <si>
    <t>Saint-Tharcisius</t>
  </si>
  <si>
    <t>Saint-Théodore-d'Acton</t>
  </si>
  <si>
    <t>Saint-Théophile</t>
  </si>
  <si>
    <t>Saint-Thomas</t>
  </si>
  <si>
    <t>Saint-Thomas-Didyme</t>
  </si>
  <si>
    <t>Saint-Thuribe</t>
  </si>
  <si>
    <t>Saint-Tite</t>
  </si>
  <si>
    <t>Saint-Tite-des-Caps</t>
  </si>
  <si>
    <t>Saint-Ubalde</t>
  </si>
  <si>
    <t>Saint-Ulric</t>
  </si>
  <si>
    <t>Saint-Urbain</t>
  </si>
  <si>
    <t>Saint-Urbain-Premier</t>
  </si>
  <si>
    <t>Saint-Valentin</t>
  </si>
  <si>
    <t>Saint-Valère</t>
  </si>
  <si>
    <t>Saint-Valérien</t>
  </si>
  <si>
    <t>Saint-Valérien-de-Milton</t>
  </si>
  <si>
    <t>Saint-Vallier</t>
  </si>
  <si>
    <t>Saint-Venant-de-Paquette</t>
  </si>
  <si>
    <t>Saint-Vianney</t>
  </si>
  <si>
    <t>Saint-Victor</t>
  </si>
  <si>
    <t>Saint-Wenceslas</t>
  </si>
  <si>
    <t>Saint-Zacharie</t>
  </si>
  <si>
    <t>Saint-Zénon</t>
  </si>
  <si>
    <t>Saint-Zénon-du-Lac-Humqui</t>
  </si>
  <si>
    <t>Saint-Zéphirin-de-Courval</t>
  </si>
  <si>
    <t>Saint-Zotique</t>
  </si>
  <si>
    <t>Salaberry-de-Valleyfield</t>
  </si>
  <si>
    <t>Sayabec</t>
  </si>
  <si>
    <t>Schefferville</t>
  </si>
  <si>
    <t>Scotstown</t>
  </si>
  <si>
    <t>Scott</t>
  </si>
  <si>
    <t>Senneville</t>
  </si>
  <si>
    <t>Sept-Îles</t>
  </si>
  <si>
    <t>Shawville</t>
  </si>
  <si>
    <t>Sheenboro</t>
  </si>
  <si>
    <t>Shefford</t>
  </si>
  <si>
    <t>Sherbrooke</t>
  </si>
  <si>
    <t>Shigawake</t>
  </si>
  <si>
    <t>Sorel-Tracy</t>
  </si>
  <si>
    <t>Stanbridge East</t>
  </si>
  <si>
    <t>Stanbridge Station</t>
  </si>
  <si>
    <t>Stanstead</t>
  </si>
  <si>
    <t>Stanstead-Est</t>
  </si>
  <si>
    <t>Stoke</t>
  </si>
  <si>
    <t>Stoneham-et-Tewkesbury</t>
  </si>
  <si>
    <t>Stornoway</t>
  </si>
  <si>
    <t>Stratford</t>
  </si>
  <si>
    <t>Stukely-Sud</t>
  </si>
  <si>
    <t>Sutton</t>
  </si>
  <si>
    <t>Tadoussac</t>
  </si>
  <si>
    <t>Taschereau</t>
  </si>
  <si>
    <t>Témiscaming</t>
  </si>
  <si>
    <t>Témiscouata-sur-le-Lac</t>
  </si>
  <si>
    <t>Terrasse-Vaudreuil</t>
  </si>
  <si>
    <t>Thetford Mines</t>
  </si>
  <si>
    <t>Thorne</t>
  </si>
  <si>
    <t>Tingwick</t>
  </si>
  <si>
    <t>Tourville</t>
  </si>
  <si>
    <t>Trécesson</t>
  </si>
  <si>
    <t>Très-Saint-Rédempteur</t>
  </si>
  <si>
    <t>Très-Saint-Sacrement</t>
  </si>
  <si>
    <t>Tring-Jonction</t>
  </si>
  <si>
    <t>Trois-Pistoles</t>
  </si>
  <si>
    <t>Trois-Rives</t>
  </si>
  <si>
    <t>Ulverton</t>
  </si>
  <si>
    <t>Upton</t>
  </si>
  <si>
    <t>Val-Alain</t>
  </si>
  <si>
    <t>Val-Brillant</t>
  </si>
  <si>
    <t>Valcourt</t>
  </si>
  <si>
    <t>Val-des-Bois</t>
  </si>
  <si>
    <t>Val-des-Monts</t>
  </si>
  <si>
    <t>Val-des-Sources</t>
  </si>
  <si>
    <t>Val-Joli</t>
  </si>
  <si>
    <t>Vallée-Jonction</t>
  </si>
  <si>
    <t>Val-Racine</t>
  </si>
  <si>
    <t>Val-Saint-Gilles</t>
  </si>
  <si>
    <t>Varennes</t>
  </si>
  <si>
    <t>Vaudreuil-sur-le-Lac</t>
  </si>
  <si>
    <t>Venise-en-Québec</t>
  </si>
  <si>
    <t>Verchères</t>
  </si>
  <si>
    <t>Villeroy</t>
  </si>
  <si>
    <t>Waltham</t>
  </si>
  <si>
    <t>Warden</t>
  </si>
  <si>
    <t>Warwick</t>
  </si>
  <si>
    <t>Waterloo</t>
  </si>
  <si>
    <t>Waterville</t>
  </si>
  <si>
    <t>Weedon</t>
  </si>
  <si>
    <t>Wentworth</t>
  </si>
  <si>
    <t>Westbury</t>
  </si>
  <si>
    <t>Westmount</t>
  </si>
  <si>
    <t>Wickham</t>
  </si>
  <si>
    <t>Windsor</t>
  </si>
  <si>
    <t>Wotton</t>
  </si>
  <si>
    <t>Yamachiche</t>
  </si>
  <si>
    <t>Yamaska</t>
  </si>
  <si>
    <t>Mise en forme du matricule :</t>
  </si>
  <si>
    <t>J'ai créé une colonne temporaire avec les trois caractères de gauche combinés avec les quatres caractères de la droite du numéro.</t>
  </si>
  <si>
    <t>=GAUCHE($B2;3)&amp;DROITE($B2;4)</t>
  </si>
  <si>
    <t>Pour ce faire, j'ai réutilisé cette formule pour chaque matricule et j'ai ensuite copier toutes les valeurs dans la colonne d'origine.</t>
  </si>
  <si>
    <t>Mise en forme du numéro de téléphone</t>
  </si>
  <si>
    <t>J'ai créé une colonne temporaire avec les trois caractères du bébut (à gauche) combinés avec un espacements, suivi du concatenage des trois chiffres du milieu et des quatres caractères de la droite (à la fin) du numéro.</t>
  </si>
  <si>
    <t>=CONCAT(GAUCHE($W2;3)&amp;" "&amp;CONCAT(STXT($W2;4;3);"-";DROITE($W2;4)))</t>
  </si>
  <si>
    <t>Pour ce faire, j'ai réutilisé cette formule pour chacun des numéro de téléphone et j'ai ensuite copier toutes les valeurs dans la colonne d'origine.</t>
  </si>
  <si>
    <t>Somme du nombre d'étudiants</t>
  </si>
  <si>
    <t>Date de naissance</t>
  </si>
  <si>
    <t>Nom et Prénom</t>
  </si>
  <si>
    <t>1er plus jeunes</t>
  </si>
  <si>
    <t>2ième plus jeunes</t>
  </si>
  <si>
    <t>3ième plus jeunes</t>
  </si>
  <si>
    <t>4ième plus jeunes</t>
  </si>
  <si>
    <t>5ième plus jeunes</t>
  </si>
  <si>
    <t>Relation entre le nombre d'étudiants selon leur sexe (masculin ou féminin)</t>
  </si>
  <si>
    <t>Nombre d'étudiants</t>
  </si>
  <si>
    <t>% d'étudiants</t>
  </si>
  <si>
    <t>TOTAL</t>
  </si>
  <si>
    <t>Régions</t>
  </si>
  <si>
    <t>Programmes d'études</t>
  </si>
  <si>
    <t>Rapport entre les étudiants finissant selon leur indicatif</t>
  </si>
  <si>
    <t>Indicateur de finissants</t>
  </si>
  <si>
    <t>Code régional</t>
  </si>
  <si>
    <t>Possibilités</t>
  </si>
  <si>
    <t>Nombre d'occurrences</t>
  </si>
  <si>
    <t>780</t>
  </si>
  <si>
    <t>579</t>
  </si>
  <si>
    <t>450</t>
  </si>
  <si>
    <t>581</t>
  </si>
  <si>
    <t>819</t>
  </si>
  <si>
    <t>597</t>
  </si>
  <si>
    <t>438</t>
  </si>
  <si>
    <t>418</t>
  </si>
  <si>
    <t>613</t>
  </si>
  <si>
    <t>+22</t>
  </si>
  <si>
    <t>873</t>
  </si>
  <si>
    <t>514</t>
  </si>
  <si>
    <t>416</t>
  </si>
  <si>
    <t>250</t>
  </si>
  <si>
    <t>405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</si>
</sst>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Copperplate Gothic Light"/>
      <family val="2"/>
    </font>
    <font>
      <sz val="20"/>
      <color theme="1"/>
      <name val="Agency FB"/>
      <family val="2"/>
    </font>
    <font>
      <sz val="16"/>
      <color theme="1"/>
      <name val="Magneto"/>
      <family val="5"/>
    </font>
    <font>
      <vertAlign val="superscript"/>
      <sz val="16"/>
      <color theme="1"/>
      <name val="Magneto"/>
      <family val="5"/>
    </font>
    <font>
      <b/>
      <sz val="11"/>
      <color theme="1" tint="0.249977111117893"/>
      <name val="Calibri"/>
      <family val="2"/>
      <scheme val="minor"/>
    </font>
    <font>
      <b/>
      <sz val="14"/>
      <color theme="1" tint="0.249977111117893"/>
      <name val="Calibri"/>
      <family val="2"/>
      <scheme val="minor"/>
    </font>
    <font>
      <sz val="20"/>
      <color theme="1"/>
      <name val="Calibri"/>
      <family val="2"/>
      <scheme val="minor"/>
    </font>
    <font>
      <b/>
      <sz val="26"/>
      <color theme="1"/>
      <name val="Calibri"/>
      <family val="2"/>
      <scheme val="minor"/>
    </font>
    <font>
      <b/>
      <sz val="16"/>
      <color theme="1"/>
      <name val="Calibri"/>
      <family val="2"/>
      <scheme val="minor"/>
    </font>
    <font>
      <b/>
      <sz val="14"/>
      <color theme="1"/>
      <name val="Calibri"/>
      <family val="2"/>
      <scheme val="minor"/>
    </font>
    <font>
      <i/>
      <sz val="11"/>
      <color theme="1"/>
      <name val="Calibri"/>
      <family val="2"/>
      <scheme val="minor"/>
    </font>
    <font>
      <i/>
      <sz val="12"/>
      <color theme="1"/>
      <name val="Calibri"/>
      <family val="2"/>
      <scheme val="minor"/>
    </font>
    <font>
      <b/>
      <sz val="12"/>
      <color theme="1"/>
      <name val="Calibri"/>
      <family val="2"/>
      <scheme val="minor"/>
    </font>
    <font>
      <sz val="12"/>
      <color theme="1"/>
      <name val="Calibri"/>
      <family val="2"/>
      <scheme val="minor"/>
    </font>
    <font>
      <b/>
      <sz val="20"/>
      <color theme="0"/>
      <name val="Bell MT"/>
      <family val="1"/>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rgb="FF00B0F0"/>
        <bgColor indexed="64"/>
      </patternFill>
    </fill>
    <fill>
      <patternFill patternType="solid">
        <fgColor theme="1" tint="4.9989318521683403E-2"/>
        <bgColor indexed="64"/>
      </patternFill>
    </fill>
    <fill>
      <patternFill patternType="solid">
        <fgColor theme="0" tint="-0.249977111117893"/>
        <bgColor indexed="64"/>
      </patternFill>
    </fill>
  </fills>
  <borders count="5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Dashed">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Dashed">
        <color auto="1"/>
      </right>
      <top style="hair">
        <color auto="1"/>
      </top>
      <bottom style="hair">
        <color auto="1"/>
      </bottom>
      <diagonal/>
    </border>
    <border>
      <left style="mediumDashed">
        <color auto="1"/>
      </left>
      <right style="hair">
        <color auto="1"/>
      </right>
      <top style="hair">
        <color auto="1"/>
      </top>
      <bottom style="mediumDashed">
        <color auto="1"/>
      </bottom>
      <diagonal/>
    </border>
    <border>
      <left style="hair">
        <color auto="1"/>
      </left>
      <right style="hair">
        <color auto="1"/>
      </right>
      <top style="hair">
        <color auto="1"/>
      </top>
      <bottom style="mediumDashed">
        <color auto="1"/>
      </bottom>
      <diagonal/>
    </border>
    <border>
      <left style="hair">
        <color auto="1"/>
      </left>
      <right style="mediumDashed">
        <color auto="1"/>
      </right>
      <top style="hair">
        <color auto="1"/>
      </top>
      <bottom style="mediumDashed">
        <color auto="1"/>
      </bottom>
      <diagonal/>
    </border>
    <border>
      <left style="hair">
        <color auto="1"/>
      </left>
      <right style="hair">
        <color auto="1"/>
      </right>
      <top/>
      <bottom style="hair">
        <color auto="1"/>
      </bottom>
      <diagonal/>
    </border>
    <border>
      <left style="hair">
        <color auto="1"/>
      </left>
      <right style="mediumDashed">
        <color auto="1"/>
      </right>
      <top/>
      <bottom style="hair">
        <color auto="1"/>
      </bottom>
      <diagonal/>
    </border>
    <border>
      <left style="thick">
        <color indexed="64"/>
      </left>
      <right style="double">
        <color indexed="64"/>
      </right>
      <top style="thick">
        <color indexed="64"/>
      </top>
      <bottom style="slantDashDot">
        <color indexed="64"/>
      </bottom>
      <diagonal/>
    </border>
    <border>
      <left style="double">
        <color indexed="64"/>
      </left>
      <right style="double">
        <color indexed="64"/>
      </right>
      <top style="thick">
        <color indexed="64"/>
      </top>
      <bottom style="slantDashDot">
        <color indexed="64"/>
      </bottom>
      <diagonal/>
    </border>
    <border>
      <left style="double">
        <color indexed="64"/>
      </left>
      <right style="mediumDashed">
        <color auto="1"/>
      </right>
      <top style="thick">
        <color indexed="64"/>
      </top>
      <bottom style="slantDashDot">
        <color indexed="64"/>
      </bottom>
      <diagonal/>
    </border>
    <border>
      <left style="hair">
        <color auto="1"/>
      </left>
      <right style="hair">
        <color auto="1"/>
      </right>
      <top style="slantDashDot">
        <color indexed="64"/>
      </top>
      <bottom style="hair">
        <color auto="1"/>
      </bottom>
      <diagonal/>
    </border>
    <border>
      <left/>
      <right style="hair">
        <color auto="1"/>
      </right>
      <top/>
      <bottom style="hair">
        <color auto="1"/>
      </bottom>
      <diagonal/>
    </border>
    <border>
      <left/>
      <right style="hair">
        <color auto="1"/>
      </right>
      <top style="hair">
        <color auto="1"/>
      </top>
      <bottom style="hair">
        <color auto="1"/>
      </bottom>
      <diagonal/>
    </border>
    <border>
      <left/>
      <right style="hair">
        <color auto="1"/>
      </right>
      <top style="hair">
        <color auto="1"/>
      </top>
      <bottom style="mediumDashed">
        <color auto="1"/>
      </bottom>
      <diagonal/>
    </border>
    <border>
      <left style="mediumDashed">
        <color auto="1"/>
      </left>
      <right style="hair">
        <color auto="1"/>
      </right>
      <top style="slantDashDot">
        <color indexed="64"/>
      </top>
      <bottom style="hair">
        <color auto="1"/>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right style="double">
        <color auto="1"/>
      </right>
      <top style="double">
        <color auto="1"/>
      </top>
      <bottom style="thick">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dashed">
        <color auto="1"/>
      </left>
      <right/>
      <top/>
      <bottom/>
      <diagonal/>
    </border>
    <border>
      <left style="dashed">
        <color auto="1"/>
      </left>
      <right/>
      <top/>
      <bottom style="dashed">
        <color auto="1"/>
      </bottom>
      <diagonal/>
    </border>
    <border>
      <left/>
      <right style="dashed">
        <color auto="1"/>
      </right>
      <top style="medium">
        <color auto="1"/>
      </top>
      <bottom style="medium">
        <color auto="1"/>
      </bottom>
      <diagonal/>
    </border>
    <border>
      <left style="dashed">
        <color auto="1"/>
      </left>
      <right/>
      <top style="medium">
        <color auto="1"/>
      </top>
      <bottom/>
      <diagonal/>
    </border>
    <border>
      <left style="hair">
        <color auto="1"/>
      </left>
      <right style="hair">
        <color auto="1"/>
      </right>
      <top/>
      <bottom style="mediumDashed">
        <color auto="1"/>
      </bottom>
      <diagonal/>
    </border>
    <border>
      <left style="thin">
        <color auto="1"/>
      </left>
      <right style="thin">
        <color auto="1"/>
      </right>
      <top/>
      <bottom/>
      <diagonal/>
    </border>
    <border>
      <left style="thin">
        <color auto="1"/>
      </left>
      <right style="thin">
        <color auto="1"/>
      </right>
      <top/>
      <bottom style="dashed">
        <color auto="1"/>
      </bottom>
      <diagonal/>
    </border>
    <border>
      <left/>
      <right style="thin">
        <color auto="1"/>
      </right>
      <top/>
      <bottom/>
      <diagonal/>
    </border>
    <border>
      <left/>
      <right style="thin">
        <color auto="1"/>
      </right>
      <top/>
      <bottom style="dashed">
        <color auto="1"/>
      </bottom>
      <diagonal/>
    </border>
    <border>
      <left style="thin">
        <color indexed="64"/>
      </left>
      <right style="thin">
        <color indexed="64"/>
      </right>
      <top style="medium">
        <color auto="1"/>
      </top>
      <bottom/>
      <diagonal/>
    </border>
    <border>
      <left style="double">
        <color auto="1"/>
      </left>
      <right style="dashed">
        <color auto="1"/>
      </right>
      <top style="double">
        <color auto="1"/>
      </top>
      <bottom style="thick">
        <color auto="1"/>
      </bottom>
      <diagonal/>
    </border>
    <border>
      <left style="slantDashDot">
        <color auto="1"/>
      </left>
      <right style="slantDashDot">
        <color auto="1"/>
      </right>
      <top style="slantDashDot">
        <color auto="1"/>
      </top>
      <bottom style="medium">
        <color auto="1"/>
      </bottom>
      <diagonal/>
    </border>
    <border>
      <left style="slantDashDot">
        <color auto="1"/>
      </left>
      <right style="slantDashDot">
        <color auto="1"/>
      </right>
      <top/>
      <bottom/>
      <diagonal/>
    </border>
    <border>
      <left style="slantDashDot">
        <color auto="1"/>
      </left>
      <right style="slantDashDot">
        <color auto="1"/>
      </right>
      <top/>
      <bottom style="slantDashDot">
        <color auto="1"/>
      </bottom>
      <diagonal/>
    </border>
    <border>
      <left style="thin">
        <color indexed="64"/>
      </left>
      <right style="thin">
        <color indexed="64"/>
      </right>
      <top style="thin">
        <color indexed="64"/>
      </top>
      <bottom style="thin">
        <color indexed="64"/>
      </bottom>
      <diagonal/>
    </border>
    <border>
      <left style="thin">
        <color indexed="64"/>
      </left>
      <right style="thick">
        <color theme="0"/>
      </right>
      <top style="thin">
        <color indexed="64"/>
      </top>
      <bottom style="thin">
        <color indexed="64"/>
      </bottom>
      <diagonal/>
    </border>
    <border>
      <left style="thick">
        <color theme="0"/>
      </left>
      <right style="thick">
        <color theme="0"/>
      </right>
      <top style="thin">
        <color indexed="64"/>
      </top>
      <bottom style="thin">
        <color indexed="64"/>
      </bottom>
      <diagonal/>
    </border>
    <border>
      <left style="thick">
        <color theme="0"/>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thin">
        <color indexed="64"/>
      </top>
      <bottom style="medium">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74">
    <xf numFmtId="0" fontId="0" fillId="0" borderId="0" xfId="0"/>
    <xf numFmtId="0" fontId="0" fillId="0" borderId="10" xfId="0" applyBorder="1"/>
    <xf numFmtId="0" fontId="0" fillId="0" borderId="11" xfId="0" applyBorder="1"/>
    <xf numFmtId="14" fontId="0" fillId="0" borderId="11" xfId="0" applyNumberFormat="1" applyBorder="1"/>
    <xf numFmtId="0" fontId="0" fillId="0" borderId="12" xfId="0" applyBorder="1"/>
    <xf numFmtId="0" fontId="0" fillId="0" borderId="13" xfId="0" applyBorder="1"/>
    <xf numFmtId="0" fontId="0" fillId="0" borderId="14" xfId="0" applyBorder="1"/>
    <xf numFmtId="14" fontId="0" fillId="0" borderId="14" xfId="0" applyNumberFormat="1" applyBorder="1"/>
    <xf numFmtId="0" fontId="0" fillId="0" borderId="15" xfId="0" applyBorder="1"/>
    <xf numFmtId="0" fontId="0" fillId="0" borderId="16" xfId="0" applyBorder="1"/>
    <xf numFmtId="14" fontId="0" fillId="0" borderId="16" xfId="0" applyNumberFormat="1" applyBorder="1"/>
    <xf numFmtId="0" fontId="0" fillId="0" borderId="17" xfId="0" applyBorder="1"/>
    <xf numFmtId="0" fontId="18" fillId="33" borderId="18" xfId="0" applyFont="1" applyFill="1" applyBorder="1" applyAlignment="1">
      <alignment horizontal="center" vertical="center"/>
    </xf>
    <xf numFmtId="0" fontId="18" fillId="33" borderId="19" xfId="0" applyFont="1" applyFill="1" applyBorder="1" applyAlignment="1">
      <alignment horizontal="center" vertical="center"/>
    </xf>
    <xf numFmtId="0" fontId="18" fillId="33" borderId="20" xfId="0" applyFont="1" applyFill="1" applyBorder="1" applyAlignment="1">
      <alignment horizontal="center" vertical="center"/>
    </xf>
    <xf numFmtId="0" fontId="0" fillId="0" borderId="11" xfId="0" applyBorder="1" applyAlignment="1">
      <alignment vertical="center"/>
    </xf>
    <xf numFmtId="0" fontId="0" fillId="0" borderId="21" xfId="0" applyBorder="1" applyAlignment="1">
      <alignment vertical="center"/>
    </xf>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14" xfId="0" applyBorder="1" applyAlignment="1">
      <alignment vertical="center"/>
    </xf>
    <xf numFmtId="0" fontId="19" fillId="35" borderId="30" xfId="0" applyFont="1" applyFill="1" applyBorder="1" applyAlignment="1">
      <alignment horizontal="center" vertical="center"/>
    </xf>
    <xf numFmtId="0" fontId="20" fillId="34" borderId="31" xfId="0" applyFont="1" applyFill="1" applyBorder="1" applyAlignment="1">
      <alignment horizontal="left" vertical="center" wrapText="1"/>
    </xf>
    <xf numFmtId="0" fontId="20" fillId="34" borderId="32" xfId="0" applyFont="1" applyFill="1" applyBorder="1" applyAlignment="1">
      <alignment horizontal="left" vertical="center" wrapText="1"/>
    </xf>
    <xf numFmtId="0" fontId="20" fillId="34" borderId="33" xfId="0" applyFont="1" applyFill="1" applyBorder="1" applyAlignment="1">
      <alignment horizontal="left" vertical="center" wrapText="1"/>
    </xf>
    <xf numFmtId="0" fontId="0" fillId="0" borderId="34" xfId="0" applyBorder="1"/>
    <xf numFmtId="0" fontId="0" fillId="0" borderId="35" xfId="0" applyBorder="1"/>
    <xf numFmtId="0" fontId="20" fillId="34" borderId="36" xfId="0" applyFont="1" applyFill="1" applyBorder="1" applyAlignment="1">
      <alignment horizontal="left" vertical="center" wrapText="1"/>
    </xf>
    <xf numFmtId="0" fontId="0" fillId="0" borderId="37" xfId="0" applyBorder="1"/>
    <xf numFmtId="0" fontId="0" fillId="0" borderId="21" xfId="0" applyBorder="1"/>
    <xf numFmtId="0" fontId="0" fillId="0" borderId="38" xfId="0" applyBorder="1"/>
    <xf numFmtId="0" fontId="0" fillId="0" borderId="39" xfId="0" applyBorder="1"/>
    <xf numFmtId="2" fontId="0" fillId="0" borderId="39" xfId="0" applyNumberFormat="1" applyBorder="1"/>
    <xf numFmtId="0" fontId="0" fillId="0" borderId="40" xfId="0" applyBorder="1"/>
    <xf numFmtId="0" fontId="0" fillId="0" borderId="41" xfId="0" applyBorder="1"/>
    <xf numFmtId="0" fontId="0" fillId="0" borderId="42" xfId="0" applyBorder="1"/>
    <xf numFmtId="0" fontId="0" fillId="0" borderId="43" xfId="0" applyBorder="1"/>
    <xf numFmtId="3" fontId="0" fillId="0" borderId="43" xfId="0" applyNumberFormat="1" applyBorder="1"/>
    <xf numFmtId="2" fontId="0" fillId="0" borderId="43" xfId="0" applyNumberFormat="1" applyBorder="1"/>
    <xf numFmtId="3" fontId="0" fillId="0" borderId="39" xfId="0" applyNumberFormat="1" applyBorder="1"/>
    <xf numFmtId="0" fontId="19" fillId="35" borderId="44" xfId="0" applyFont="1" applyFill="1" applyBorder="1" applyAlignment="1">
      <alignment horizontal="center" vertical="center"/>
    </xf>
    <xf numFmtId="0" fontId="20" fillId="34" borderId="45" xfId="0" applyFont="1" applyFill="1" applyBorder="1" applyAlignment="1">
      <alignment horizontal="left" vertical="center" wrapText="1"/>
    </xf>
    <xf numFmtId="0" fontId="0" fillId="0" borderId="46" xfId="0" applyBorder="1"/>
    <xf numFmtId="0" fontId="0" fillId="0" borderId="47" xfId="0" applyBorder="1"/>
    <xf numFmtId="0" fontId="0" fillId="0" borderId="22" xfId="0" applyBorder="1"/>
    <xf numFmtId="0" fontId="0" fillId="0" borderId="48" xfId="0" applyBorder="1" applyAlignment="1">
      <alignment horizontal="centerContinuous" wrapText="1"/>
    </xf>
    <xf numFmtId="0" fontId="0" fillId="0" borderId="48" xfId="0" applyBorder="1" applyAlignment="1">
      <alignment horizontal="centerContinuous"/>
    </xf>
    <xf numFmtId="0" fontId="22" fillId="0" borderId="48" xfId="0" applyFont="1" applyBorder="1" applyAlignment="1">
      <alignment horizontal="centerContinuous" wrapText="1"/>
    </xf>
    <xf numFmtId="0" fontId="23" fillId="0" borderId="48" xfId="0" quotePrefix="1" applyFont="1" applyBorder="1" applyAlignment="1">
      <alignment horizontal="centerContinuous"/>
    </xf>
    <xf numFmtId="0" fontId="24" fillId="0" borderId="0" xfId="0" applyFont="1"/>
    <xf numFmtId="0" fontId="0" fillId="0" borderId="48" xfId="0" applyBorder="1"/>
    <xf numFmtId="0" fontId="26" fillId="36" borderId="48" xfId="0" applyFont="1" applyFill="1" applyBorder="1" applyAlignment="1">
      <alignment horizontal="center" vertical="center" wrapText="1"/>
    </xf>
    <xf numFmtId="0" fontId="27" fillId="36" borderId="48" xfId="0" applyFont="1" applyFill="1" applyBorder="1" applyAlignment="1">
      <alignment horizontal="center" vertical="center" wrapText="1"/>
    </xf>
    <xf numFmtId="0" fontId="0" fillId="0" borderId="0" xfId="0" applyAlignment="1">
      <alignment horizontal="centerContinuous"/>
    </xf>
    <xf numFmtId="0" fontId="28" fillId="0" borderId="0" xfId="0" applyFont="1" applyAlignment="1">
      <alignment horizontal="centerContinuous" wrapText="1"/>
    </xf>
    <xf numFmtId="0" fontId="29" fillId="0" borderId="48" xfId="0" applyFont="1" applyBorder="1" applyAlignment="1">
      <alignment horizontal="centerContinuous" wrapText="1"/>
    </xf>
    <xf numFmtId="0" fontId="30" fillId="0" borderId="48" xfId="0" applyFont="1" applyBorder="1"/>
    <xf numFmtId="0" fontId="31" fillId="0" borderId="48" xfId="0" applyFont="1" applyBorder="1"/>
    <xf numFmtId="0" fontId="31" fillId="0" borderId="48" xfId="0" applyFont="1" applyBorder="1" applyAlignment="1">
      <alignment horizontal="centerContinuous" wrapText="1"/>
    </xf>
    <xf numFmtId="0" fontId="31" fillId="0" borderId="48" xfId="0" applyFont="1" applyBorder="1" applyAlignment="1">
      <alignment horizontal="centerContinuous"/>
    </xf>
    <xf numFmtId="9" fontId="31" fillId="0" borderId="48" xfId="42" applyFont="1" applyBorder="1"/>
    <xf numFmtId="14" fontId="0" fillId="0" borderId="0" xfId="0" applyNumberFormat="1"/>
    <xf numFmtId="14" fontId="0" fillId="0" borderId="48" xfId="0" applyNumberFormat="1" applyBorder="1"/>
    <xf numFmtId="0" fontId="32" fillId="37" borderId="49" xfId="0" applyFont="1" applyFill="1" applyBorder="1" applyAlignment="1">
      <alignment horizontal="center" vertical="center" wrapText="1"/>
    </xf>
    <xf numFmtId="0" fontId="32" fillId="37" borderId="50" xfId="0" applyFont="1" applyFill="1" applyBorder="1" applyAlignment="1">
      <alignment horizontal="center" vertical="center" wrapText="1"/>
    </xf>
    <xf numFmtId="0" fontId="32" fillId="37" borderId="51" xfId="0" applyFont="1" applyFill="1" applyBorder="1" applyAlignment="1">
      <alignment horizontal="center" vertical="center" wrapText="1"/>
    </xf>
    <xf numFmtId="0" fontId="25" fillId="38" borderId="48" xfId="0" applyFont="1" applyFill="1" applyBorder="1" applyAlignment="1">
      <alignment horizontal="center" vertical="center" wrapText="1"/>
    </xf>
    <xf numFmtId="0" fontId="0" fillId="34" borderId="53" xfId="0" applyFill="1" applyBorder="1"/>
    <xf numFmtId="0" fontId="20" fillId="34" borderId="54" xfId="0" applyFont="1" applyFill="1" applyBorder="1" applyAlignment="1">
      <alignment horizontal="left" vertical="center" wrapText="1"/>
    </xf>
    <xf numFmtId="0" fontId="0" fillId="0" borderId="52" xfId="0" applyBorder="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Pourcentage" xfId="42" builtinId="5"/>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7">
    <dxf>
      <font>
        <b/>
        <i val="0"/>
        <color theme="4" tint="-0.499984740745262"/>
      </font>
      <fill>
        <patternFill>
          <bgColor theme="4" tint="0.59996337778862885"/>
        </patternFill>
      </fill>
    </dxf>
    <dxf>
      <font>
        <b/>
        <i val="0"/>
        <color theme="7" tint="-0.499984740745262"/>
      </font>
      <fill>
        <patternFill>
          <bgColor theme="7" tint="0.39994506668294322"/>
        </patternFill>
      </fill>
    </dxf>
    <dxf>
      <font>
        <b/>
        <i val="0"/>
        <color theme="2" tint="-0.749961851863155"/>
      </font>
      <fill>
        <patternFill>
          <bgColor theme="2" tint="-9.9948118533890809E-2"/>
        </patternFill>
      </fill>
    </dxf>
    <dxf>
      <font>
        <b/>
        <i val="0"/>
        <color theme="5" tint="-0.499984740745262"/>
      </font>
      <fill>
        <patternFill>
          <bgColor theme="5" tint="0.59996337778862885"/>
        </patternFill>
      </fill>
    </dxf>
    <dxf>
      <font>
        <b/>
        <i val="0"/>
        <color theme="9" tint="-0.499984740745262"/>
      </font>
      <fill>
        <patternFill>
          <bgColor theme="9" tint="0.59996337778862885"/>
        </patternFill>
      </fill>
    </dxf>
    <dxf>
      <font>
        <b/>
        <i val="0"/>
        <color rgb="FFC00000"/>
      </font>
      <fill>
        <patternFill>
          <bgColor theme="5" tint="0.59996337778862885"/>
        </patternFill>
      </fill>
    </dxf>
    <dxf>
      <fill>
        <patternFill patternType="solid">
          <fgColor rgb="FFC6E0B4"/>
          <bgColor rgb="FF000000"/>
        </patternFill>
      </fill>
    </dxf>
  </dxfs>
  <tableStyles count="0" defaultTableStyle="TableStyleMedium2" defaultPivotStyle="PivotStyleLight16"/>
  <colors>
    <mruColors>
      <color rgb="FFFF9999"/>
      <color rgb="FFFF7C8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Relation entre le nombre d'étudiants selon leur sexe (masculin ou féminin)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'Rapport Gars-Filles'!$D$5</c:f>
              <c:strCache>
                <c:ptCount val="1"/>
                <c:pt idx="0">
                  <c:v>% d'étudiants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971-42FC-8D97-6D13835E77B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971-42FC-8D97-6D13835E77B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'Rapport Gars-Filles'!$B$6:$B$7</c:f>
              <c:strCache>
                <c:ptCount val="2"/>
                <c:pt idx="0">
                  <c:v>F</c:v>
                </c:pt>
                <c:pt idx="1">
                  <c:v>M</c:v>
                </c:pt>
              </c:strCache>
            </c:strRef>
          </c:cat>
          <c:val>
            <c:numRef>
              <c:f>'Rapport Gars-Filles'!$D$6:$D$7</c:f>
              <c:numCache>
                <c:formatCode>0%</c:formatCode>
                <c:ptCount val="2"/>
                <c:pt idx="0">
                  <c:v>0.64674030755902101</c:v>
                </c:pt>
                <c:pt idx="1">
                  <c:v>0.35325969244097899</c:v>
                </c:pt>
              </c:numCache>
            </c:numRef>
          </c:val>
          <c:extLst>
            <c:ext xmlns:c16="http://schemas.microsoft.com/office/drawing/2014/chart" uri="{C3380CC4-5D6E-409C-BE32-E72D297353CC}">
              <c16:uniqueId val="{00000000-219C-4306-985C-D69BD6B0EB00}"/>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Rapport entre les étudiants finissant selon leur indicatif</a:t>
            </a:r>
          </a:p>
        </c:rich>
      </c:tx>
      <c:layout>
        <c:manualLayout>
          <c:xMode val="edge"/>
          <c:yMode val="edge"/>
          <c:x val="0.12802686659683238"/>
          <c:y val="0.12967581047381543"/>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fr-FR"/>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'Ceux qui sont finissants'!$C$4</c:f>
              <c:strCache>
                <c:ptCount val="1"/>
                <c:pt idx="0">
                  <c:v>Nombre d'étudiants</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'Ceux qui sont finissants'!$B$5:$B$6</c:f>
              <c:strCache>
                <c:ptCount val="2"/>
                <c:pt idx="0">
                  <c:v>Non</c:v>
                </c:pt>
                <c:pt idx="1">
                  <c:v>Oui</c:v>
                </c:pt>
              </c:strCache>
            </c:strRef>
          </c:cat>
          <c:val>
            <c:numRef>
              <c:f>'Ceux qui sont finissants'!$C$5:$C$6</c:f>
              <c:numCache>
                <c:formatCode>General</c:formatCode>
                <c:ptCount val="2"/>
                <c:pt idx="0">
                  <c:v>4456</c:v>
                </c:pt>
                <c:pt idx="1">
                  <c:v>161</c:v>
                </c:pt>
              </c:numCache>
            </c:numRef>
          </c:val>
          <c:extLst>
            <c:ext xmlns:c16="http://schemas.microsoft.com/office/drawing/2014/chart" uri="{C3380CC4-5D6E-409C-BE32-E72D297353CC}">
              <c16:uniqueId val="{00000000-7E22-4615-BAE4-D511FEAFB847}"/>
            </c:ext>
          </c:extLst>
        </c:ser>
        <c:dLbls>
          <c:showLegendKey val="0"/>
          <c:showVal val="1"/>
          <c:showCatName val="0"/>
          <c:showSerName val="0"/>
          <c:showPercent val="0"/>
          <c:showBubbleSize val="0"/>
        </c:dLbls>
        <c:gapWidth val="84"/>
        <c:gapDepth val="53"/>
        <c:shape val="box"/>
        <c:axId val="992520464"/>
        <c:axId val="992508816"/>
        <c:axId val="571749024"/>
      </c:bar3DChart>
      <c:catAx>
        <c:axId val="9925204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fr-FR"/>
          </a:p>
        </c:txPr>
        <c:crossAx val="992508816"/>
        <c:crosses val="autoZero"/>
        <c:auto val="1"/>
        <c:lblAlgn val="ctr"/>
        <c:lblOffset val="100"/>
        <c:noMultiLvlLbl val="0"/>
      </c:catAx>
      <c:valAx>
        <c:axId val="9925088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fr-FR"/>
          </a:p>
        </c:txPr>
        <c:crossAx val="992520464"/>
        <c:crosses val="autoZero"/>
        <c:crossBetween val="between"/>
      </c:valAx>
      <c:serAx>
        <c:axId val="571749024"/>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fr-FR"/>
          </a:p>
        </c:txPr>
        <c:crossAx val="992508816"/>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fr-F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6</xdr:col>
      <xdr:colOff>523875</xdr:colOff>
      <xdr:row>19</xdr:row>
      <xdr:rowOff>171451</xdr:rowOff>
    </xdr:to>
    <xdr:graphicFrame macro="">
      <xdr:nvGraphicFramePr>
        <xdr:cNvPr id="3" name="Graphique 2">
          <a:extLst>
            <a:ext uri="{FF2B5EF4-FFF2-40B4-BE49-F238E27FC236}">
              <a16:creationId xmlns:a16="http://schemas.microsoft.com/office/drawing/2014/main" id="{80F84CFD-A340-40C0-9131-88B9B453FA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371475</xdr:colOff>
      <xdr:row>16</xdr:row>
      <xdr:rowOff>180975</xdr:rowOff>
    </xdr:to>
    <xdr:graphicFrame macro="">
      <xdr:nvGraphicFramePr>
        <xdr:cNvPr id="2" name="Graphique 1">
          <a:extLst>
            <a:ext uri="{FF2B5EF4-FFF2-40B4-BE49-F238E27FC236}">
              <a16:creationId xmlns:a16="http://schemas.microsoft.com/office/drawing/2014/main" id="{A599B26F-17EF-498E-98F2-9782FE69D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1"/>
  <dimension ref="A1:AC4618"/>
  <sheetViews>
    <sheetView tabSelected="1" topLeftCell="B1" zoomScaleNormal="100" workbookViewId="0">
      <pane xSplit="4" ySplit="1" topLeftCell="I5" activePane="bottomRight" state="frozen"/>
      <selection pane="topRight" activeCell="F1" sqref="F1"/>
      <selection pane="bottomLeft" activeCell="B2" sqref="B2"/>
      <selection pane="bottomRight" activeCell="J10" sqref="J10"/>
    </sheetView>
  </sheetViews>
  <sheetFormatPr baseColWidth="10" defaultColWidth="11.42578125" defaultRowHeight="15" x14ac:dyDescent="0.25"/>
  <cols>
    <col min="1" max="1" width="23" hidden="1" customWidth="1"/>
    <col min="2" max="2" width="23" bestFit="1" customWidth="1"/>
    <col min="3" max="3" width="37.140625" customWidth="1"/>
    <col min="4" max="4" width="37.140625" hidden="1" customWidth="1"/>
    <col min="5" max="5" width="37.28515625" hidden="1" customWidth="1"/>
    <col min="6" max="7" width="37.28515625" customWidth="1"/>
    <col min="8" max="8" width="7.140625" bestFit="1" customWidth="1"/>
    <col min="9" max="9" width="20.7109375" bestFit="1" customWidth="1"/>
    <col min="10" max="10" width="20.7109375" customWidth="1"/>
    <col min="11" max="11" width="26.7109375" bestFit="1" customWidth="1"/>
    <col min="12" max="12" width="14.5703125" bestFit="1" customWidth="1"/>
    <col min="13" max="13" width="18" bestFit="1" customWidth="1"/>
    <col min="14" max="14" width="35.28515625" bestFit="1" customWidth="1"/>
    <col min="15" max="17" width="35.85546875" hidden="1" customWidth="1"/>
    <col min="18" max="19" width="35.85546875" customWidth="1"/>
    <col min="20" max="20" width="17" bestFit="1" customWidth="1"/>
    <col min="21" max="21" width="20.140625" bestFit="1" customWidth="1"/>
    <col min="22" max="22" width="7.42578125" bestFit="1" customWidth="1"/>
    <col min="23" max="23" width="27.5703125" bestFit="1" customWidth="1"/>
    <col min="24" max="24" width="30.28515625" bestFit="1" customWidth="1"/>
    <col min="25" max="25" width="24.5703125" bestFit="1" customWidth="1"/>
    <col min="26" max="26" width="29.28515625" bestFit="1" customWidth="1"/>
    <col min="27" max="27" width="20" bestFit="1" customWidth="1"/>
    <col min="28" max="28" width="52.28515625" bestFit="1" customWidth="1"/>
    <col min="29" max="29" width="27.5703125" bestFit="1" customWidth="1"/>
    <col min="30" max="30" width="25.42578125" bestFit="1" customWidth="1"/>
    <col min="31" max="31" width="36.140625" bestFit="1" customWidth="1"/>
    <col min="32" max="32" width="31.7109375" bestFit="1" customWidth="1"/>
    <col min="33" max="33" width="29.42578125" bestFit="1" customWidth="1"/>
    <col min="34" max="34" width="38.140625" bestFit="1" customWidth="1"/>
    <col min="35" max="35" width="26.7109375" bestFit="1" customWidth="1"/>
    <col min="36" max="36" width="21.42578125" bestFit="1" customWidth="1"/>
    <col min="37" max="37" width="18.140625" bestFit="1" customWidth="1"/>
    <col min="38" max="38" width="16.140625" bestFit="1" customWidth="1"/>
    <col min="39" max="39" width="26.42578125" bestFit="1" customWidth="1"/>
    <col min="40" max="40" width="22.42578125" bestFit="1" customWidth="1"/>
    <col min="41" max="41" width="32.7109375" bestFit="1" customWidth="1"/>
    <col min="42" max="42" width="13.42578125" bestFit="1" customWidth="1"/>
  </cols>
  <sheetData>
    <row r="1" spans="1:29" ht="41.25" customHeight="1" thickTop="1" thickBot="1" x14ac:dyDescent="0.3">
      <c r="A1" s="12" t="s">
        <v>0</v>
      </c>
      <c r="B1" s="12"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17</v>
      </c>
      <c r="S1" s="13" t="s">
        <v>18</v>
      </c>
      <c r="T1" s="13" t="s">
        <v>19</v>
      </c>
      <c r="U1" s="13" t="s">
        <v>20</v>
      </c>
      <c r="V1" s="13" t="s">
        <v>21</v>
      </c>
      <c r="W1" s="13" t="s">
        <v>22</v>
      </c>
      <c r="X1" s="13" t="s">
        <v>23</v>
      </c>
      <c r="Y1" s="13" t="s">
        <v>24</v>
      </c>
      <c r="Z1" s="13" t="s">
        <v>25</v>
      </c>
      <c r="AA1" s="13" t="s">
        <v>26</v>
      </c>
      <c r="AB1" s="13" t="s">
        <v>27</v>
      </c>
      <c r="AC1" s="14" t="s">
        <v>28</v>
      </c>
    </row>
    <row r="2" spans="1:29" x14ac:dyDescent="0.25">
      <c r="A2" s="19">
        <v>2659</v>
      </c>
      <c r="B2" s="48" t="s">
        <v>29</v>
      </c>
      <c r="C2" s="9" t="s">
        <v>30</v>
      </c>
      <c r="D2" s="16" t="s">
        <v>31</v>
      </c>
      <c r="E2" s="9" t="s">
        <v>32</v>
      </c>
      <c r="F2" s="9" t="s">
        <v>33</v>
      </c>
      <c r="G2" s="9" t="s">
        <v>34</v>
      </c>
      <c r="H2" s="9" t="s">
        <v>35</v>
      </c>
      <c r="I2" s="10">
        <v>33137</v>
      </c>
      <c r="J2" s="9" t="str">
        <f t="shared" ref="J2:J65" ca="1" si="0">_xlfn.CONCAT(INT((TODAY()-$I2)/365.25)," ans")</f>
        <v>32 ans</v>
      </c>
      <c r="K2" s="9" t="s">
        <v>36</v>
      </c>
      <c r="L2" s="9" t="str">
        <f>"28"</f>
        <v>28</v>
      </c>
      <c r="M2" s="9"/>
      <c r="N2" s="9" t="str">
        <f>"AV CARPENTIER"</f>
        <v>AV CARPENTIER</v>
      </c>
      <c r="O2" s="9" t="s">
        <v>37</v>
      </c>
      <c r="P2" s="9" t="e">
        <f>VLOOKUP($O2,'Liste des Villes'!$B$2:$B$1128,1,FALSE)</f>
        <v>#N/A</v>
      </c>
      <c r="Q2" s="33" t="str">
        <f>IFERROR($P2,PROPER(VLOOKUP($O2,'Villes en erreur'!$A$2:$B$72,2,FALSE)))</f>
        <v>Saint-Lin–Laurentides</v>
      </c>
      <c r="R2" s="33" t="str">
        <f>IFERROR($P2,PROPER(VLOOKUP($O2,'Villes en erreur'!$A$2:$B$72,2,FALSE)))</f>
        <v>Saint-Lin–Laurentides</v>
      </c>
      <c r="S2" s="9" t="str">
        <f>IF(ISBLANK($R2),"",VLOOKUP($R2,'Liste des Villes'!$B$2:$H$1128,4,FALSE))</f>
        <v>Lanaudière</v>
      </c>
      <c r="T2" s="9" t="s">
        <v>38</v>
      </c>
      <c r="U2" s="9" t="s">
        <v>39</v>
      </c>
      <c r="V2" s="9" t="s">
        <v>40</v>
      </c>
      <c r="W2" s="9" t="s">
        <v>41</v>
      </c>
      <c r="X2" s="9"/>
      <c r="Y2" s="9"/>
      <c r="Z2" s="9"/>
      <c r="AA2" s="9" t="s">
        <v>42</v>
      </c>
      <c r="AB2" s="9" t="s">
        <v>43</v>
      </c>
      <c r="AC2" s="11" t="s">
        <v>44</v>
      </c>
    </row>
    <row r="3" spans="1:29" x14ac:dyDescent="0.25">
      <c r="A3" s="1">
        <v>522</v>
      </c>
      <c r="B3" s="17" t="s">
        <v>45</v>
      </c>
      <c r="C3" s="2" t="s">
        <v>46</v>
      </c>
      <c r="D3" s="15" t="s">
        <v>47</v>
      </c>
      <c r="E3" s="9" t="s">
        <v>48</v>
      </c>
      <c r="F3" s="9" t="s">
        <v>49</v>
      </c>
      <c r="G3" s="9" t="s">
        <v>50</v>
      </c>
      <c r="H3" s="2" t="s">
        <v>35</v>
      </c>
      <c r="I3" s="3">
        <v>33403</v>
      </c>
      <c r="J3" s="9" t="str">
        <f t="shared" ca="1" si="0"/>
        <v>32 ans</v>
      </c>
      <c r="K3" s="2" t="s">
        <v>36</v>
      </c>
      <c r="L3" s="2" t="str">
        <f>"32"</f>
        <v>32</v>
      </c>
      <c r="M3" s="2"/>
      <c r="N3" s="2" t="str">
        <f>"AV DU PARC"</f>
        <v>AV DU PARC</v>
      </c>
      <c r="O3" s="2" t="s">
        <v>51</v>
      </c>
      <c r="P3" s="9" t="e">
        <f>VLOOKUP($O3,'Liste des Villes'!$B$2:$B$1128,1,FALSE)</f>
        <v>#N/A</v>
      </c>
      <c r="Q3" s="9" t="str">
        <f>IFERROR($P3,PROPER(VLOOKUP($O3,'Villes en erreur'!$A$2:$B$72,2,FALSE)))</f>
        <v>Saint-Lin–Laurentides</v>
      </c>
      <c r="R3" s="9" t="str">
        <f>IFERROR($P3,PROPER(VLOOKUP($O3,'Villes en erreur'!$A$2:$B$72,2,FALSE)))</f>
        <v>Saint-Lin–Laurentides</v>
      </c>
      <c r="S3" s="9" t="str">
        <f>IF(ISBLANK($R3),"",VLOOKUP($R3,'Liste des Villes'!$B$2:$H$1128,4,FALSE))</f>
        <v>Lanaudière</v>
      </c>
      <c r="T3" s="2" t="s">
        <v>38</v>
      </c>
      <c r="U3" s="2" t="s">
        <v>39</v>
      </c>
      <c r="V3" s="2" t="s">
        <v>40</v>
      </c>
      <c r="W3" s="2" t="s">
        <v>52</v>
      </c>
      <c r="X3" s="2"/>
      <c r="Y3" s="2"/>
      <c r="Z3" s="2"/>
      <c r="AA3" s="2" t="s">
        <v>42</v>
      </c>
      <c r="AB3" s="2" t="s">
        <v>53</v>
      </c>
      <c r="AC3" s="4" t="s">
        <v>44</v>
      </c>
    </row>
    <row r="4" spans="1:29" x14ac:dyDescent="0.25">
      <c r="A4" s="1">
        <v>1538</v>
      </c>
      <c r="B4" s="17" t="s">
        <v>54</v>
      </c>
      <c r="C4" s="2" t="s">
        <v>55</v>
      </c>
      <c r="D4" s="15" t="s">
        <v>56</v>
      </c>
      <c r="E4" s="9" t="s">
        <v>57</v>
      </c>
      <c r="F4" s="9" t="s">
        <v>58</v>
      </c>
      <c r="G4" s="9" t="s">
        <v>59</v>
      </c>
      <c r="H4" s="2" t="s">
        <v>60</v>
      </c>
      <c r="I4" s="3">
        <v>33482</v>
      </c>
      <c r="J4" s="9" t="str">
        <f t="shared" ca="1" si="0"/>
        <v>31 ans</v>
      </c>
      <c r="K4" s="2" t="s">
        <v>36</v>
      </c>
      <c r="L4" s="2" t="str">
        <f>"34"</f>
        <v>34</v>
      </c>
      <c r="M4" s="2"/>
      <c r="N4" s="2" t="str">
        <f>"AV LAMOUREUX"</f>
        <v>AV LAMOUREUX</v>
      </c>
      <c r="O4" s="2" t="s">
        <v>51</v>
      </c>
      <c r="P4" s="9" t="e">
        <f>VLOOKUP($O4,'Liste des Villes'!$B$2:$B$1128,1,FALSE)</f>
        <v>#N/A</v>
      </c>
      <c r="Q4" s="9" t="str">
        <f>IFERROR($P4,PROPER(VLOOKUP($O4,'Villes en erreur'!$A$2:$B$72,2,FALSE)))</f>
        <v>Saint-Lin–Laurentides</v>
      </c>
      <c r="R4" s="9" t="str">
        <f>IFERROR($P4,PROPER(VLOOKUP($O4,'Villes en erreur'!$A$2:$B$72,2,FALSE)))</f>
        <v>Saint-Lin–Laurentides</v>
      </c>
      <c r="S4" s="9" t="str">
        <f>IF(ISBLANK($R4),"",VLOOKUP($R4,'Liste des Villes'!$B$2:$H$1128,4,FALSE))</f>
        <v>Lanaudière</v>
      </c>
      <c r="T4" s="2" t="s">
        <v>38</v>
      </c>
      <c r="U4" s="2" t="s">
        <v>39</v>
      </c>
      <c r="V4" s="2" t="s">
        <v>40</v>
      </c>
      <c r="W4" s="2" t="s">
        <v>61</v>
      </c>
      <c r="X4" s="2"/>
      <c r="Y4" s="2"/>
      <c r="Z4" s="2"/>
      <c r="AA4" s="2" t="s">
        <v>42</v>
      </c>
      <c r="AB4" s="2" t="s">
        <v>53</v>
      </c>
      <c r="AC4" s="4" t="s">
        <v>44</v>
      </c>
    </row>
    <row r="5" spans="1:29" x14ac:dyDescent="0.25">
      <c r="A5" s="1">
        <v>4161</v>
      </c>
      <c r="B5" s="17" t="s">
        <v>62</v>
      </c>
      <c r="C5" s="2" t="s">
        <v>63</v>
      </c>
      <c r="D5" s="15" t="s">
        <v>64</v>
      </c>
      <c r="E5" s="9" t="s">
        <v>65</v>
      </c>
      <c r="F5" s="9" t="s">
        <v>66</v>
      </c>
      <c r="G5" s="9" t="s">
        <v>67</v>
      </c>
      <c r="H5" s="2" t="s">
        <v>60</v>
      </c>
      <c r="I5" s="3">
        <v>36607</v>
      </c>
      <c r="J5" s="9" t="str">
        <f t="shared" ca="1" si="0"/>
        <v>23 ans</v>
      </c>
      <c r="K5" s="2" t="s">
        <v>68</v>
      </c>
      <c r="L5" s="2" t="str">
        <f>"492"</f>
        <v>492</v>
      </c>
      <c r="M5" s="2"/>
      <c r="N5" s="2" t="str">
        <f>"RUE DE L'ALPINISME"</f>
        <v>RUE DE L'ALPINISME</v>
      </c>
      <c r="O5" s="2" t="s">
        <v>69</v>
      </c>
      <c r="P5" s="9" t="e">
        <f>VLOOKUP($O5,'Liste des Villes'!$B$2:$B$1128,1,FALSE)</f>
        <v>#N/A</v>
      </c>
      <c r="Q5" s="9" t="str">
        <f>IFERROR($P5,PROPER(VLOOKUP($O5,'Villes en erreur'!$A$2:$B$72,2,FALSE)))</f>
        <v>Sainte-Marguerite-Du-Lac-Masson</v>
      </c>
      <c r="R5" s="9" t="str">
        <f>IFERROR($P5,PROPER(VLOOKUP($O5,'Villes en erreur'!$A$2:$B$72,2,FALSE)))</f>
        <v>Sainte-Marguerite-Du-Lac-Masson</v>
      </c>
      <c r="S5" s="9" t="str">
        <f>IF(ISBLANK($R5),"",VLOOKUP($R5,'Liste des Villes'!$B$2:$H$1128,4,FALSE))</f>
        <v>Laurentides</v>
      </c>
      <c r="T5" s="2" t="s">
        <v>70</v>
      </c>
      <c r="U5" s="2" t="s">
        <v>39</v>
      </c>
      <c r="V5" s="2" t="s">
        <v>40</v>
      </c>
      <c r="W5" s="2" t="s">
        <v>71</v>
      </c>
      <c r="X5" s="2"/>
      <c r="Y5" s="2"/>
      <c r="Z5" s="2"/>
      <c r="AA5" s="2" t="s">
        <v>72</v>
      </c>
      <c r="AB5" s="2" t="s">
        <v>73</v>
      </c>
      <c r="AC5" s="4" t="s">
        <v>44</v>
      </c>
    </row>
    <row r="6" spans="1:29" x14ac:dyDescent="0.25">
      <c r="A6" s="1">
        <v>546</v>
      </c>
      <c r="B6" s="17" t="s">
        <v>74</v>
      </c>
      <c r="C6" s="2" t="s">
        <v>75</v>
      </c>
      <c r="D6" s="15" t="s">
        <v>76</v>
      </c>
      <c r="E6" s="9" t="s">
        <v>77</v>
      </c>
      <c r="F6" s="9" t="s">
        <v>78</v>
      </c>
      <c r="G6" s="9" t="s">
        <v>79</v>
      </c>
      <c r="H6" s="2" t="s">
        <v>60</v>
      </c>
      <c r="I6" s="3">
        <v>33283</v>
      </c>
      <c r="J6" s="9" t="str">
        <f t="shared" ca="1" si="0"/>
        <v>32 ans</v>
      </c>
      <c r="K6" s="2" t="s">
        <v>36</v>
      </c>
      <c r="L6" s="2" t="str">
        <f>"31"</f>
        <v>31</v>
      </c>
      <c r="M6" s="2"/>
      <c r="N6" s="2" t="str">
        <f>"AV DES CYPRÈS"</f>
        <v>AV DES CYPRÈS</v>
      </c>
      <c r="O6" s="2" t="s">
        <v>37</v>
      </c>
      <c r="P6" s="9" t="e">
        <f>VLOOKUP($O6,'Liste des Villes'!$B$2:$B$1128,1,FALSE)</f>
        <v>#N/A</v>
      </c>
      <c r="Q6" s="9" t="str">
        <f>IFERROR($P6,PROPER(VLOOKUP($O6,'Villes en erreur'!$A$2:$B$72,2,FALSE)))</f>
        <v>Saint-Lin–Laurentides</v>
      </c>
      <c r="R6" s="9" t="str">
        <f>IFERROR($P6,PROPER(VLOOKUP($O6,'Villes en erreur'!$A$2:$B$72,2,FALSE)))</f>
        <v>Saint-Lin–Laurentides</v>
      </c>
      <c r="S6" s="9" t="str">
        <f>IF(ISBLANK($R6),"",VLOOKUP($R6,'Liste des Villes'!$B$2:$H$1128,4,FALSE))</f>
        <v>Lanaudière</v>
      </c>
      <c r="T6" s="2" t="s">
        <v>38</v>
      </c>
      <c r="U6" s="2" t="s">
        <v>39</v>
      </c>
      <c r="V6" s="2" t="s">
        <v>40</v>
      </c>
      <c r="W6" s="2" t="s">
        <v>80</v>
      </c>
      <c r="X6" s="2"/>
      <c r="Y6" s="2"/>
      <c r="Z6" s="2"/>
      <c r="AA6" s="2" t="s">
        <v>42</v>
      </c>
      <c r="AB6" s="2" t="s">
        <v>81</v>
      </c>
      <c r="AC6" s="4" t="s">
        <v>44</v>
      </c>
    </row>
    <row r="7" spans="1:29" x14ac:dyDescent="0.25">
      <c r="A7" s="1">
        <v>1127</v>
      </c>
      <c r="B7" s="17" t="s">
        <v>82</v>
      </c>
      <c r="C7" s="2" t="s">
        <v>83</v>
      </c>
      <c r="D7" s="15" t="s">
        <v>84</v>
      </c>
      <c r="E7" s="9" t="s">
        <v>85</v>
      </c>
      <c r="F7" s="9" t="s">
        <v>86</v>
      </c>
      <c r="G7" s="9" t="s">
        <v>87</v>
      </c>
      <c r="H7" s="2" t="s">
        <v>60</v>
      </c>
      <c r="I7" s="3">
        <v>33323</v>
      </c>
      <c r="J7" s="9" t="str">
        <f t="shared" ca="1" si="0"/>
        <v>32 ans</v>
      </c>
      <c r="K7" s="2" t="s">
        <v>36</v>
      </c>
      <c r="L7" s="2" t="str">
        <f>"31"</f>
        <v>31</v>
      </c>
      <c r="M7" s="2"/>
      <c r="N7" s="2" t="str">
        <f>"AV DES PERDRIX"</f>
        <v>AV DES PERDRIX</v>
      </c>
      <c r="O7" s="2" t="s">
        <v>37</v>
      </c>
      <c r="P7" s="9" t="e">
        <f>VLOOKUP($O7,'Liste des Villes'!$B$2:$B$1128,1,FALSE)</f>
        <v>#N/A</v>
      </c>
      <c r="Q7" s="9" t="str">
        <f>IFERROR($P7,PROPER(VLOOKUP($O7,'Villes en erreur'!$A$2:$B$72,2,FALSE)))</f>
        <v>Saint-Lin–Laurentides</v>
      </c>
      <c r="R7" s="9" t="str">
        <f>IFERROR($P7,PROPER(VLOOKUP($O7,'Villes en erreur'!$A$2:$B$72,2,FALSE)))</f>
        <v>Saint-Lin–Laurentides</v>
      </c>
      <c r="S7" s="9" t="str">
        <f>IF(ISBLANK($R7),"",VLOOKUP($R7,'Liste des Villes'!$B$2:$H$1128,4,FALSE))</f>
        <v>Lanaudière</v>
      </c>
      <c r="T7" s="2" t="s">
        <v>38</v>
      </c>
      <c r="U7" s="2" t="s">
        <v>39</v>
      </c>
      <c r="V7" s="2" t="s">
        <v>40</v>
      </c>
      <c r="W7" s="2" t="s">
        <v>88</v>
      </c>
      <c r="X7" s="2"/>
      <c r="Y7" s="2"/>
      <c r="Z7" s="2"/>
      <c r="AA7" s="2" t="s">
        <v>42</v>
      </c>
      <c r="AB7" s="2" t="s">
        <v>53</v>
      </c>
      <c r="AC7" s="4" t="s">
        <v>44</v>
      </c>
    </row>
    <row r="8" spans="1:29" x14ac:dyDescent="0.25">
      <c r="A8" s="1">
        <v>842</v>
      </c>
      <c r="B8" s="17" t="s">
        <v>89</v>
      </c>
      <c r="C8" s="2" t="s">
        <v>90</v>
      </c>
      <c r="D8" s="15" t="s">
        <v>91</v>
      </c>
      <c r="E8" s="9" t="s">
        <v>92</v>
      </c>
      <c r="F8" s="9" t="s">
        <v>93</v>
      </c>
      <c r="G8" s="9" t="s">
        <v>94</v>
      </c>
      <c r="H8" s="2" t="s">
        <v>60</v>
      </c>
      <c r="I8" s="3">
        <v>33252</v>
      </c>
      <c r="J8" s="9" t="str">
        <f t="shared" ca="1" si="0"/>
        <v>32 ans</v>
      </c>
      <c r="K8" s="2" t="s">
        <v>36</v>
      </c>
      <c r="L8" s="2" t="str">
        <f>"30"</f>
        <v>30</v>
      </c>
      <c r="M8" s="2"/>
      <c r="N8" s="2" t="str">
        <f>"AV DE ROCHECHOUART"</f>
        <v>AV DE ROCHECHOUART</v>
      </c>
      <c r="O8" s="2" t="s">
        <v>37</v>
      </c>
      <c r="P8" s="9" t="e">
        <f>VLOOKUP($O8,'Liste des Villes'!$B$2:$B$1128,1,FALSE)</f>
        <v>#N/A</v>
      </c>
      <c r="Q8" s="9" t="str">
        <f>IFERROR($P8,PROPER(VLOOKUP($O8,'Villes en erreur'!$A$2:$B$72,2,FALSE)))</f>
        <v>Saint-Lin–Laurentides</v>
      </c>
      <c r="R8" s="9" t="str">
        <f>IFERROR($P8,PROPER(VLOOKUP($O8,'Villes en erreur'!$A$2:$B$72,2,FALSE)))</f>
        <v>Saint-Lin–Laurentides</v>
      </c>
      <c r="S8" s="9" t="str">
        <f>IF(ISBLANK($R8),"",VLOOKUP($R8,'Liste des Villes'!$B$2:$H$1128,4,FALSE))</f>
        <v>Lanaudière</v>
      </c>
      <c r="T8" s="2" t="s">
        <v>38</v>
      </c>
      <c r="U8" s="2" t="s">
        <v>39</v>
      </c>
      <c r="V8" s="2" t="s">
        <v>40</v>
      </c>
      <c r="W8" s="2" t="s">
        <v>95</v>
      </c>
      <c r="X8" s="2"/>
      <c r="Y8" s="2"/>
      <c r="Z8" s="2"/>
      <c r="AA8" s="2" t="s">
        <v>42</v>
      </c>
      <c r="AB8" s="2" t="s">
        <v>43</v>
      </c>
      <c r="AC8" s="4" t="s">
        <v>44</v>
      </c>
    </row>
    <row r="9" spans="1:29" x14ac:dyDescent="0.25">
      <c r="A9" s="1">
        <v>4561</v>
      </c>
      <c r="B9" s="17" t="s">
        <v>96</v>
      </c>
      <c r="C9" s="2" t="s">
        <v>97</v>
      </c>
      <c r="D9" s="15" t="s">
        <v>98</v>
      </c>
      <c r="E9" s="9" t="s">
        <v>99</v>
      </c>
      <c r="F9" s="9" t="s">
        <v>100</v>
      </c>
      <c r="G9" s="9" t="s">
        <v>101</v>
      </c>
      <c r="H9" s="2" t="s">
        <v>35</v>
      </c>
      <c r="I9" s="3">
        <v>32944</v>
      </c>
      <c r="J9" s="9" t="str">
        <f t="shared" ca="1" si="0"/>
        <v>33 ans</v>
      </c>
      <c r="K9" s="2" t="s">
        <v>36</v>
      </c>
      <c r="L9" s="2" t="str">
        <f>"26"</f>
        <v>26</v>
      </c>
      <c r="M9" s="2"/>
      <c r="N9" s="2" t="str">
        <f>"ADOLPHE-CHAPLEAU"</f>
        <v>ADOLPHE-CHAPLEAU</v>
      </c>
      <c r="O9" s="2" t="s">
        <v>37</v>
      </c>
      <c r="P9" s="9" t="e">
        <f>VLOOKUP($O9,'Liste des Villes'!$B$2:$B$1128,1,FALSE)</f>
        <v>#N/A</v>
      </c>
      <c r="Q9" s="9" t="str">
        <f>IFERROR($P9,PROPER(VLOOKUP($O9,'Villes en erreur'!$A$2:$B$72,2,FALSE)))</f>
        <v>Saint-Lin–Laurentides</v>
      </c>
      <c r="R9" s="9" t="str">
        <f>IFERROR($P9,PROPER(VLOOKUP($O9,'Villes en erreur'!$A$2:$B$72,2,FALSE)))</f>
        <v>Saint-Lin–Laurentides</v>
      </c>
      <c r="S9" s="9" t="str">
        <f>IF(ISBLANK($R9),"",VLOOKUP($R9,'Liste des Villes'!$B$2:$H$1128,4,FALSE))</f>
        <v>Lanaudière</v>
      </c>
      <c r="T9" s="2" t="s">
        <v>102</v>
      </c>
      <c r="U9" s="2" t="s">
        <v>39</v>
      </c>
      <c r="V9" s="2" t="s">
        <v>40</v>
      </c>
      <c r="W9" s="2" t="s">
        <v>103</v>
      </c>
      <c r="X9" s="2"/>
      <c r="Y9" s="2"/>
      <c r="Z9" s="2"/>
      <c r="AA9" s="2" t="s">
        <v>42</v>
      </c>
      <c r="AB9" s="2" t="s">
        <v>43</v>
      </c>
      <c r="AC9" s="4" t="s">
        <v>44</v>
      </c>
    </row>
    <row r="10" spans="1:29" x14ac:dyDescent="0.25">
      <c r="A10" s="1">
        <v>2175</v>
      </c>
      <c r="B10" s="17" t="s">
        <v>104</v>
      </c>
      <c r="C10" s="2" t="s">
        <v>105</v>
      </c>
      <c r="D10" s="15" t="s">
        <v>106</v>
      </c>
      <c r="E10" s="9" t="s">
        <v>107</v>
      </c>
      <c r="F10" s="9" t="s">
        <v>108</v>
      </c>
      <c r="G10" s="9" t="s">
        <v>109</v>
      </c>
      <c r="H10" s="2" t="s">
        <v>60</v>
      </c>
      <c r="I10" s="3">
        <v>33284</v>
      </c>
      <c r="J10" s="9" t="str">
        <f ca="1">_xlfn.CONCAT(INT((TODAY()-$I10)/365.25)," ans")</f>
        <v>32 ans</v>
      </c>
      <c r="K10" s="2" t="s">
        <v>36</v>
      </c>
      <c r="L10" s="2" t="str">
        <f>"31"</f>
        <v>31</v>
      </c>
      <c r="M10" s="2"/>
      <c r="N10" s="2" t="str">
        <f>"AV DES FAUCONS"</f>
        <v>AV DES FAUCONS</v>
      </c>
      <c r="O10" s="2" t="s">
        <v>37</v>
      </c>
      <c r="P10" s="9" t="e">
        <f>VLOOKUP($O10,'Liste des Villes'!$B$2:$B$1128,1,FALSE)</f>
        <v>#N/A</v>
      </c>
      <c r="Q10" s="9" t="str">
        <f>IFERROR($P10,PROPER(VLOOKUP($O10,'Villes en erreur'!$A$2:$B$72,2,FALSE)))</f>
        <v>Saint-Lin–Laurentides</v>
      </c>
      <c r="R10" s="9" t="str">
        <f>IFERROR($P10,PROPER(VLOOKUP($O10,'Villes en erreur'!$A$2:$B$72,2,FALSE)))</f>
        <v>Saint-Lin–Laurentides</v>
      </c>
      <c r="S10" s="9" t="str">
        <f>IF(ISBLANK($R10),"",VLOOKUP($R10,'Liste des Villes'!$B$2:$H$1128,4,FALSE))</f>
        <v>Lanaudière</v>
      </c>
      <c r="T10" s="2" t="s">
        <v>38</v>
      </c>
      <c r="U10" s="2" t="s">
        <v>39</v>
      </c>
      <c r="V10" s="2" t="s">
        <v>40</v>
      </c>
      <c r="W10" s="2" t="s">
        <v>110</v>
      </c>
      <c r="X10" s="2"/>
      <c r="Y10" s="2"/>
      <c r="Z10" s="2"/>
      <c r="AA10" s="2" t="s">
        <v>42</v>
      </c>
      <c r="AB10" s="2" t="s">
        <v>53</v>
      </c>
      <c r="AC10" s="4" t="s">
        <v>44</v>
      </c>
    </row>
    <row r="11" spans="1:29" x14ac:dyDescent="0.25">
      <c r="A11" s="1">
        <v>781</v>
      </c>
      <c r="B11" s="17" t="s">
        <v>111</v>
      </c>
      <c r="C11" s="2" t="s">
        <v>112</v>
      </c>
      <c r="D11" s="15" t="s">
        <v>113</v>
      </c>
      <c r="E11" s="9" t="s">
        <v>114</v>
      </c>
      <c r="F11" s="9" t="s">
        <v>115</v>
      </c>
      <c r="G11" s="9" t="s">
        <v>101</v>
      </c>
      <c r="H11" s="2" t="s">
        <v>35</v>
      </c>
      <c r="I11" s="3">
        <v>32938</v>
      </c>
      <c r="J11" s="9" t="str">
        <f t="shared" ca="1" si="0"/>
        <v>33 ans</v>
      </c>
      <c r="K11" s="2" t="s">
        <v>36</v>
      </c>
      <c r="L11" s="2" t="str">
        <f>"26"</f>
        <v>26</v>
      </c>
      <c r="M11" s="2"/>
      <c r="N11" s="2" t="str">
        <f>"9E RUE O"</f>
        <v>9E RUE O</v>
      </c>
      <c r="O11" s="2" t="s">
        <v>37</v>
      </c>
      <c r="P11" s="9" t="e">
        <f>VLOOKUP($O11,'Liste des Villes'!$B$2:$B$1128,1,FALSE)</f>
        <v>#N/A</v>
      </c>
      <c r="Q11" s="9" t="str">
        <f>IFERROR($P11,PROPER(VLOOKUP($O11,'Villes en erreur'!$A$2:$B$72,2,FALSE)))</f>
        <v>Saint-Lin–Laurentides</v>
      </c>
      <c r="R11" s="9" t="str">
        <f>IFERROR($P11,PROPER(VLOOKUP($O11,'Villes en erreur'!$A$2:$B$72,2,FALSE)))</f>
        <v>Saint-Lin–Laurentides</v>
      </c>
      <c r="S11" s="9" t="str">
        <f>IF(ISBLANK($R11),"",VLOOKUP($R11,'Liste des Villes'!$B$2:$H$1128,4,FALSE))</f>
        <v>Lanaudière</v>
      </c>
      <c r="T11" s="2" t="s">
        <v>102</v>
      </c>
      <c r="U11" s="2" t="s">
        <v>39</v>
      </c>
      <c r="V11" s="2" t="s">
        <v>40</v>
      </c>
      <c r="W11" s="2" t="s">
        <v>116</v>
      </c>
      <c r="X11" s="2"/>
      <c r="Y11" s="2"/>
      <c r="Z11" s="2"/>
      <c r="AA11" s="2" t="s">
        <v>42</v>
      </c>
      <c r="AB11" s="2" t="s">
        <v>43</v>
      </c>
      <c r="AC11" s="4" t="s">
        <v>44</v>
      </c>
    </row>
    <row r="12" spans="1:29" x14ac:dyDescent="0.25">
      <c r="A12" s="1">
        <v>4259</v>
      </c>
      <c r="B12" s="17" t="s">
        <v>117</v>
      </c>
      <c r="C12" s="2" t="s">
        <v>118</v>
      </c>
      <c r="D12" s="15" t="s">
        <v>119</v>
      </c>
      <c r="E12" s="9" t="s">
        <v>120</v>
      </c>
      <c r="F12" s="9" t="s">
        <v>121</v>
      </c>
      <c r="G12" s="9" t="s">
        <v>122</v>
      </c>
      <c r="H12" s="2" t="s">
        <v>35</v>
      </c>
      <c r="I12" s="3">
        <v>36350</v>
      </c>
      <c r="J12" s="9" t="str">
        <f t="shared" ca="1" si="0"/>
        <v>24 ans</v>
      </c>
      <c r="K12" s="2" t="s">
        <v>123</v>
      </c>
      <c r="L12" s="2" t="str">
        <f>"318"</f>
        <v>318</v>
      </c>
      <c r="M12" s="2"/>
      <c r="N12" s="2" t="str">
        <f>"RUE CHAMPAGNE"</f>
        <v>RUE CHAMPAGNE</v>
      </c>
      <c r="O12" s="2" t="s">
        <v>124</v>
      </c>
      <c r="P12" s="9" t="e">
        <f>VLOOKUP($O12,'Liste des Villes'!$B$2:$B$1128,1,FALSE)</f>
        <v>#N/A</v>
      </c>
      <c r="Q12" s="9" t="str">
        <f>IFERROR($P12,PROPER(VLOOKUP($O12,'Villes en erreur'!$A$2:$B$72,2,FALSE)))</f>
        <v>Saint-Faustin–Lac-Carré</v>
      </c>
      <c r="R12" s="9" t="str">
        <f>IFERROR($P12,PROPER(VLOOKUP($O12,'Villes en erreur'!$A$2:$B$72,2,FALSE)))</f>
        <v>Saint-Faustin–Lac-Carré</v>
      </c>
      <c r="S12" s="9" t="str">
        <f>IF(ISBLANK($R12),"",VLOOKUP($R12,'Liste des Villes'!$B$2:$H$1128,4,FALSE))</f>
        <v>Laurentides</v>
      </c>
      <c r="T12" s="2" t="s">
        <v>125</v>
      </c>
      <c r="U12" s="2" t="s">
        <v>39</v>
      </c>
      <c r="V12" s="2" t="s">
        <v>40</v>
      </c>
      <c r="W12" s="2" t="s">
        <v>126</v>
      </c>
      <c r="X12" s="2"/>
      <c r="Y12" s="2"/>
      <c r="Z12" s="2"/>
      <c r="AA12" s="2" t="s">
        <v>127</v>
      </c>
      <c r="AB12" s="2" t="s">
        <v>73</v>
      </c>
      <c r="AC12" s="4" t="s">
        <v>44</v>
      </c>
    </row>
    <row r="13" spans="1:29" x14ac:dyDescent="0.25">
      <c r="A13" s="1">
        <v>3803</v>
      </c>
      <c r="B13" s="17" t="s">
        <v>128</v>
      </c>
      <c r="C13" s="2" t="s">
        <v>129</v>
      </c>
      <c r="D13" s="15" t="s">
        <v>130</v>
      </c>
      <c r="E13" s="9" t="s">
        <v>131</v>
      </c>
      <c r="F13" s="9" t="s">
        <v>132</v>
      </c>
      <c r="G13" s="9" t="s">
        <v>59</v>
      </c>
      <c r="H13" s="2" t="s">
        <v>60</v>
      </c>
      <c r="I13" s="3">
        <v>33447</v>
      </c>
      <c r="J13" s="9" t="str">
        <f t="shared" ca="1" si="0"/>
        <v>32 ans</v>
      </c>
      <c r="K13" s="2" t="s">
        <v>36</v>
      </c>
      <c r="L13" s="2" t="str">
        <f>"33"</f>
        <v>33</v>
      </c>
      <c r="M13" s="2"/>
      <c r="N13" s="2" t="str">
        <f>"AV FORGET"</f>
        <v>AV FORGET</v>
      </c>
      <c r="O13" s="2" t="s">
        <v>51</v>
      </c>
      <c r="P13" s="9" t="e">
        <f>VLOOKUP($O13,'Liste des Villes'!$B$2:$B$1128,1,FALSE)</f>
        <v>#N/A</v>
      </c>
      <c r="Q13" s="9" t="str">
        <f>IFERROR($P13,PROPER(VLOOKUP($O13,'Villes en erreur'!$A$2:$B$72,2,FALSE)))</f>
        <v>Saint-Lin–Laurentides</v>
      </c>
      <c r="R13" s="9" t="str">
        <f>IFERROR($P13,PROPER(VLOOKUP($O13,'Villes en erreur'!$A$2:$B$72,2,FALSE)))</f>
        <v>Saint-Lin–Laurentides</v>
      </c>
      <c r="S13" s="9" t="str">
        <f>IF(ISBLANK($R13),"",VLOOKUP($R13,'Liste des Villes'!$B$2:$H$1128,4,FALSE))</f>
        <v>Lanaudière</v>
      </c>
      <c r="T13" s="2" t="s">
        <v>38</v>
      </c>
      <c r="U13" s="2" t="s">
        <v>39</v>
      </c>
      <c r="V13" s="2" t="s">
        <v>40</v>
      </c>
      <c r="W13" s="2" t="s">
        <v>133</v>
      </c>
      <c r="X13" s="2"/>
      <c r="Y13" s="2"/>
      <c r="Z13" s="2"/>
      <c r="AA13" s="2" t="s">
        <v>42</v>
      </c>
      <c r="AB13" s="2" t="s">
        <v>53</v>
      </c>
      <c r="AC13" s="4" t="s">
        <v>44</v>
      </c>
    </row>
    <row r="14" spans="1:29" x14ac:dyDescent="0.25">
      <c r="A14" s="1">
        <v>3604</v>
      </c>
      <c r="B14" s="17" t="s">
        <v>134</v>
      </c>
      <c r="C14" s="2" t="s">
        <v>135</v>
      </c>
      <c r="D14" s="15" t="s">
        <v>136</v>
      </c>
      <c r="E14" s="9" t="s">
        <v>137</v>
      </c>
      <c r="F14" s="9" t="s">
        <v>138</v>
      </c>
      <c r="G14" s="9" t="s">
        <v>101</v>
      </c>
      <c r="H14" s="2" t="s">
        <v>35</v>
      </c>
      <c r="I14" s="3">
        <v>33026</v>
      </c>
      <c r="J14" s="9" t="str">
        <f t="shared" ca="1" si="0"/>
        <v>33 ans</v>
      </c>
      <c r="K14" s="2" t="s">
        <v>36</v>
      </c>
      <c r="L14" s="2" t="str">
        <f>"27"</f>
        <v>27</v>
      </c>
      <c r="M14" s="2"/>
      <c r="N14" s="2" t="str">
        <f>"AV ALARY"</f>
        <v>AV ALARY</v>
      </c>
      <c r="O14" s="2" t="s">
        <v>37</v>
      </c>
      <c r="P14" s="9" t="e">
        <f>VLOOKUP($O14,'Liste des Villes'!$B$2:$B$1128,1,FALSE)</f>
        <v>#N/A</v>
      </c>
      <c r="Q14" s="9" t="str">
        <f>IFERROR($P14,PROPER(VLOOKUP($O14,'Villes en erreur'!$A$2:$B$72,2,FALSE)))</f>
        <v>Saint-Lin–Laurentides</v>
      </c>
      <c r="R14" s="9" t="str">
        <f>IFERROR($P14,PROPER(VLOOKUP($O14,'Villes en erreur'!$A$2:$B$72,2,FALSE)))</f>
        <v>Saint-Lin–Laurentides</v>
      </c>
      <c r="S14" s="9" t="str">
        <f>IF(ISBLANK($R14),"",VLOOKUP($R14,'Liste des Villes'!$B$2:$H$1128,4,FALSE))</f>
        <v>Lanaudière</v>
      </c>
      <c r="T14" s="2" t="s">
        <v>38</v>
      </c>
      <c r="U14" s="2" t="s">
        <v>39</v>
      </c>
      <c r="V14" s="2" t="s">
        <v>40</v>
      </c>
      <c r="W14" s="2" t="s">
        <v>139</v>
      </c>
      <c r="X14" s="2"/>
      <c r="Y14" s="2"/>
      <c r="Z14" s="2"/>
      <c r="AA14" s="2" t="s">
        <v>42</v>
      </c>
      <c r="AB14" s="2" t="s">
        <v>43</v>
      </c>
      <c r="AC14" s="4" t="s">
        <v>44</v>
      </c>
    </row>
    <row r="15" spans="1:29" x14ac:dyDescent="0.25">
      <c r="A15" s="1">
        <v>2208</v>
      </c>
      <c r="B15" s="17" t="s">
        <v>140</v>
      </c>
      <c r="C15" s="2" t="s">
        <v>141</v>
      </c>
      <c r="D15" s="15" t="s">
        <v>142</v>
      </c>
      <c r="E15" s="9" t="s">
        <v>143</v>
      </c>
      <c r="F15" s="9" t="s">
        <v>144</v>
      </c>
      <c r="G15" s="9" t="s">
        <v>145</v>
      </c>
      <c r="H15" s="2" t="s">
        <v>35</v>
      </c>
      <c r="I15" s="3">
        <v>31661</v>
      </c>
      <c r="J15" s="9" t="str">
        <f t="shared" ca="1" si="0"/>
        <v>36 ans</v>
      </c>
      <c r="K15" s="2" t="s">
        <v>36</v>
      </c>
      <c r="L15" s="2" t="str">
        <f>"16"</f>
        <v>16</v>
      </c>
      <c r="M15" s="2"/>
      <c r="N15" s="2" t="str">
        <f>"37E AV E"</f>
        <v>37E AV E</v>
      </c>
      <c r="O15" s="2" t="s">
        <v>146</v>
      </c>
      <c r="P15" s="9" t="e">
        <f>VLOOKUP($O15,'Liste des Villes'!$B$2:$B$1128,1,FALSE)</f>
        <v>#N/A</v>
      </c>
      <c r="Q15" s="9" t="str">
        <f>IFERROR($P15,PROPER(VLOOKUP($O15,'Villes en erreur'!$A$2:$B$72,2,FALSE)))</f>
        <v>Saint-Jérôme</v>
      </c>
      <c r="R15" s="9" t="str">
        <f>IFERROR($P15,PROPER(VLOOKUP($O15,'Villes en erreur'!$A$2:$B$72,2,FALSE)))</f>
        <v>Saint-Jérôme</v>
      </c>
      <c r="S15" s="9" t="str">
        <f>IF(ISBLANK($R15),"",VLOOKUP($R15,'Liste des Villes'!$B$2:$H$1128,4,FALSE))</f>
        <v>Laurentides</v>
      </c>
      <c r="T15" s="2" t="s">
        <v>147</v>
      </c>
      <c r="U15" s="2" t="s">
        <v>39</v>
      </c>
      <c r="V15" s="2" t="s">
        <v>40</v>
      </c>
      <c r="W15" s="2" t="s">
        <v>148</v>
      </c>
      <c r="X15" s="2"/>
      <c r="Y15" s="2"/>
      <c r="Z15" s="2"/>
      <c r="AA15" s="2" t="s">
        <v>149</v>
      </c>
      <c r="AB15" s="2" t="s">
        <v>150</v>
      </c>
      <c r="AC15" s="4" t="s">
        <v>44</v>
      </c>
    </row>
    <row r="16" spans="1:29" x14ac:dyDescent="0.25">
      <c r="A16" s="1">
        <v>3831</v>
      </c>
      <c r="B16" s="17" t="s">
        <v>151</v>
      </c>
      <c r="C16" s="2" t="s">
        <v>152</v>
      </c>
      <c r="D16" s="15" t="s">
        <v>153</v>
      </c>
      <c r="E16" s="9" t="s">
        <v>154</v>
      </c>
      <c r="F16" s="9" t="s">
        <v>155</v>
      </c>
      <c r="G16" s="9" t="s">
        <v>99</v>
      </c>
      <c r="H16" s="2" t="s">
        <v>35</v>
      </c>
      <c r="I16" s="3">
        <v>36929</v>
      </c>
      <c r="J16" s="9" t="str">
        <f t="shared" ca="1" si="0"/>
        <v>22 ans</v>
      </c>
      <c r="K16" s="2" t="s">
        <v>156</v>
      </c>
      <c r="L16" s="2" t="str">
        <f>"941"</f>
        <v>941</v>
      </c>
      <c r="M16" s="2"/>
      <c r="N16" s="2" t="str">
        <f>"RUE DOLBEC"</f>
        <v>RUE DOLBEC</v>
      </c>
      <c r="O16" s="2" t="s">
        <v>157</v>
      </c>
      <c r="P16" s="9" t="e">
        <f>VLOOKUP($O16,'Liste des Villes'!$B$2:$B$1128,1,FALSE)</f>
        <v>#N/A</v>
      </c>
      <c r="Q16" s="9" t="str">
        <f>IFERROR($P16,PROPER(VLOOKUP($O16,'Villes en erreur'!$A$2:$B$72,2,FALSE)))</f>
        <v>Rosemère</v>
      </c>
      <c r="R16" s="9" t="str">
        <f>IFERROR($P16,PROPER(VLOOKUP($O16,'Villes en erreur'!$A$2:$B$72,2,FALSE)))</f>
        <v>Rosemère</v>
      </c>
      <c r="S16" s="9" t="str">
        <f>IF(ISBLANK($R16),"",VLOOKUP($R16,'Liste des Villes'!$B$2:$H$1128,4,FALSE))</f>
        <v>Laurentides</v>
      </c>
      <c r="T16" s="2" t="s">
        <v>158</v>
      </c>
      <c r="U16" s="2" t="s">
        <v>39</v>
      </c>
      <c r="V16" s="2" t="s">
        <v>40</v>
      </c>
      <c r="W16" s="2" t="s">
        <v>159</v>
      </c>
      <c r="X16" s="2"/>
      <c r="Y16" s="2"/>
      <c r="Z16" s="2"/>
      <c r="AA16" s="2" t="s">
        <v>160</v>
      </c>
      <c r="AB16" s="2" t="s">
        <v>161</v>
      </c>
      <c r="AC16" s="4" t="s">
        <v>44</v>
      </c>
    </row>
    <row r="17" spans="1:29" x14ac:dyDescent="0.25">
      <c r="A17" s="1">
        <v>3448</v>
      </c>
      <c r="B17" s="17" t="s">
        <v>162</v>
      </c>
      <c r="C17" s="2" t="s">
        <v>163</v>
      </c>
      <c r="D17" s="15" t="s">
        <v>164</v>
      </c>
      <c r="E17" s="9" t="s">
        <v>165</v>
      </c>
      <c r="F17" s="9" t="s">
        <v>166</v>
      </c>
      <c r="G17" s="9" t="s">
        <v>167</v>
      </c>
      <c r="H17" s="2" t="s">
        <v>35</v>
      </c>
      <c r="I17" s="3">
        <v>33146</v>
      </c>
      <c r="J17" s="9" t="str">
        <f t="shared" ca="1" si="0"/>
        <v>32 ans</v>
      </c>
      <c r="K17" s="2" t="s">
        <v>36</v>
      </c>
      <c r="L17" s="2" t="str">
        <f>"28"</f>
        <v>28</v>
      </c>
      <c r="M17" s="2"/>
      <c r="N17" s="2" t="str">
        <f>"AV CARTIER"</f>
        <v>AV CARTIER</v>
      </c>
      <c r="O17" s="2" t="s">
        <v>37</v>
      </c>
      <c r="P17" s="9" t="e">
        <f>VLOOKUP($O17,'Liste des Villes'!$B$2:$B$1128,1,FALSE)</f>
        <v>#N/A</v>
      </c>
      <c r="Q17" s="9" t="str">
        <f>IFERROR($P17,PROPER(VLOOKUP($O17,'Villes en erreur'!$A$2:$B$72,2,FALSE)))</f>
        <v>Saint-Lin–Laurentides</v>
      </c>
      <c r="R17" s="9" t="str">
        <f>IFERROR($P17,PROPER(VLOOKUP($O17,'Villes en erreur'!$A$2:$B$72,2,FALSE)))</f>
        <v>Saint-Lin–Laurentides</v>
      </c>
      <c r="S17" s="9" t="str">
        <f>IF(ISBLANK($R17),"",VLOOKUP($R17,'Liste des Villes'!$B$2:$H$1128,4,FALSE))</f>
        <v>Lanaudière</v>
      </c>
      <c r="T17" s="2" t="s">
        <v>38</v>
      </c>
      <c r="U17" s="2" t="s">
        <v>39</v>
      </c>
      <c r="V17" s="2" t="s">
        <v>40</v>
      </c>
      <c r="W17" s="2" t="s">
        <v>168</v>
      </c>
      <c r="X17" s="2"/>
      <c r="Y17" s="2"/>
      <c r="Z17" s="2"/>
      <c r="AA17" s="2" t="s">
        <v>42</v>
      </c>
      <c r="AB17" s="2" t="s">
        <v>43</v>
      </c>
      <c r="AC17" s="4" t="s">
        <v>44</v>
      </c>
    </row>
    <row r="18" spans="1:29" x14ac:dyDescent="0.25">
      <c r="A18" s="1">
        <v>2188</v>
      </c>
      <c r="B18" s="17" t="s">
        <v>169</v>
      </c>
      <c r="C18" s="2" t="s">
        <v>170</v>
      </c>
      <c r="D18" s="15" t="s">
        <v>171</v>
      </c>
      <c r="E18" s="9" t="s">
        <v>172</v>
      </c>
      <c r="F18" s="9" t="s">
        <v>173</v>
      </c>
      <c r="G18" s="9" t="s">
        <v>122</v>
      </c>
      <c r="H18" s="2" t="s">
        <v>35</v>
      </c>
      <c r="I18" s="3">
        <v>36353</v>
      </c>
      <c r="J18" s="9" t="str">
        <f t="shared" ca="1" si="0"/>
        <v>24 ans</v>
      </c>
      <c r="K18" s="2" t="s">
        <v>123</v>
      </c>
      <c r="L18" s="2" t="str">
        <f>"319"</f>
        <v>319</v>
      </c>
      <c r="M18" s="2"/>
      <c r="N18" s="2" t="str">
        <f>"RUE CHAMPÊTRE"</f>
        <v>RUE CHAMPÊTRE</v>
      </c>
      <c r="O18" s="2" t="s">
        <v>124</v>
      </c>
      <c r="P18" s="9" t="e">
        <f>VLOOKUP($O18,'Liste des Villes'!$B$2:$B$1128,1,FALSE)</f>
        <v>#N/A</v>
      </c>
      <c r="Q18" s="9" t="str">
        <f>IFERROR($P18,PROPER(VLOOKUP($O18,'Villes en erreur'!$A$2:$B$72,2,FALSE)))</f>
        <v>Saint-Faustin–Lac-Carré</v>
      </c>
      <c r="R18" s="9" t="str">
        <f>IFERROR($P18,PROPER(VLOOKUP($O18,'Villes en erreur'!$A$2:$B$72,2,FALSE)))</f>
        <v>Saint-Faustin–Lac-Carré</v>
      </c>
      <c r="S18" s="9" t="str">
        <f>IF(ISBLANK($R18),"",VLOOKUP($R18,'Liste des Villes'!$B$2:$H$1128,4,FALSE))</f>
        <v>Laurentides</v>
      </c>
      <c r="T18" s="2" t="s">
        <v>174</v>
      </c>
      <c r="U18" s="2" t="s">
        <v>39</v>
      </c>
      <c r="V18" s="2" t="s">
        <v>40</v>
      </c>
      <c r="W18" s="2" t="s">
        <v>175</v>
      </c>
      <c r="X18" s="2"/>
      <c r="Y18" s="2"/>
      <c r="Z18" s="2"/>
      <c r="AA18" s="2" t="s">
        <v>127</v>
      </c>
      <c r="AB18" s="2" t="s">
        <v>73</v>
      </c>
      <c r="AC18" s="4" t="s">
        <v>44</v>
      </c>
    </row>
    <row r="19" spans="1:29" x14ac:dyDescent="0.25">
      <c r="A19" s="1">
        <v>1036</v>
      </c>
      <c r="B19" s="17" t="s">
        <v>176</v>
      </c>
      <c r="C19" s="2" t="s">
        <v>177</v>
      </c>
      <c r="D19" s="15" t="s">
        <v>178</v>
      </c>
      <c r="E19" s="9" t="s">
        <v>179</v>
      </c>
      <c r="F19" s="9" t="s">
        <v>180</v>
      </c>
      <c r="G19" s="9" t="s">
        <v>181</v>
      </c>
      <c r="H19" s="2" t="s">
        <v>60</v>
      </c>
      <c r="I19" s="3">
        <v>33273</v>
      </c>
      <c r="J19" s="9" t="str">
        <f t="shared" ca="1" si="0"/>
        <v>32 ans</v>
      </c>
      <c r="K19" s="2" t="s">
        <v>36</v>
      </c>
      <c r="L19" s="2" t="str">
        <f>"30"</f>
        <v>30</v>
      </c>
      <c r="M19" s="2"/>
      <c r="N19" s="2" t="str">
        <f>"AV DES CAPUCINES"</f>
        <v>AV DES CAPUCINES</v>
      </c>
      <c r="O19" s="2" t="s">
        <v>37</v>
      </c>
      <c r="P19" s="9" t="e">
        <f>VLOOKUP($O19,'Liste des Villes'!$B$2:$B$1128,1,FALSE)</f>
        <v>#N/A</v>
      </c>
      <c r="Q19" s="9" t="str">
        <f>IFERROR($P19,PROPER(VLOOKUP($O19,'Villes en erreur'!$A$2:$B$72,2,FALSE)))</f>
        <v>Saint-Lin–Laurentides</v>
      </c>
      <c r="R19" s="9" t="str">
        <f>IFERROR($P19,PROPER(VLOOKUP($O19,'Villes en erreur'!$A$2:$B$72,2,FALSE)))</f>
        <v>Saint-Lin–Laurentides</v>
      </c>
      <c r="S19" s="9" t="str">
        <f>IF(ISBLANK($R19),"",VLOOKUP($R19,'Liste des Villes'!$B$2:$H$1128,4,FALSE))</f>
        <v>Lanaudière</v>
      </c>
      <c r="T19" s="2" t="s">
        <v>38</v>
      </c>
      <c r="U19" s="2" t="s">
        <v>39</v>
      </c>
      <c r="V19" s="2" t="s">
        <v>40</v>
      </c>
      <c r="W19" s="2" t="s">
        <v>182</v>
      </c>
      <c r="X19" s="2"/>
      <c r="Y19" s="2"/>
      <c r="Z19" s="2"/>
      <c r="AA19" s="2" t="s">
        <v>42</v>
      </c>
      <c r="AB19" s="2" t="s">
        <v>43</v>
      </c>
      <c r="AC19" s="4" t="s">
        <v>44</v>
      </c>
    </row>
    <row r="20" spans="1:29" x14ac:dyDescent="0.25">
      <c r="A20" s="1">
        <v>3972</v>
      </c>
      <c r="B20" s="17" t="s">
        <v>183</v>
      </c>
      <c r="C20" s="2" t="s">
        <v>184</v>
      </c>
      <c r="D20" s="15" t="s">
        <v>185</v>
      </c>
      <c r="E20" s="9" t="s">
        <v>186</v>
      </c>
      <c r="F20" s="9" t="s">
        <v>187</v>
      </c>
      <c r="G20" s="9" t="s">
        <v>188</v>
      </c>
      <c r="H20" s="2" t="s">
        <v>60</v>
      </c>
      <c r="I20" s="3">
        <v>36762</v>
      </c>
      <c r="J20" s="9" t="str">
        <f t="shared" ca="1" si="0"/>
        <v>23 ans</v>
      </c>
      <c r="K20" s="2" t="s">
        <v>68</v>
      </c>
      <c r="L20" s="2" t="str">
        <f>"673"</f>
        <v>673</v>
      </c>
      <c r="M20" s="2"/>
      <c r="N20" s="2" t="str">
        <f>"RUE DES ÉCORCES"</f>
        <v>RUE DES ÉCORCES</v>
      </c>
      <c r="O20" s="2" t="s">
        <v>189</v>
      </c>
      <c r="P20" s="9" t="e">
        <f>VLOOKUP($O20,'Liste des Villes'!$B$2:$B$1128,1,FALSE)</f>
        <v>#N/A</v>
      </c>
      <c r="Q20" s="9" t="str">
        <f>IFERROR($P20,PROPER(VLOOKUP($O20,'Villes en erreur'!$A$2:$B$72,2,FALSE)))</f>
        <v>Saint-Donat</v>
      </c>
      <c r="R20" s="9" t="str">
        <f>IFERROR($P20,PROPER(VLOOKUP($O20,'Villes en erreur'!$A$2:$B$72,2,FALSE)))</f>
        <v>Saint-Donat</v>
      </c>
      <c r="S20" s="9" t="str">
        <f>IF(ISBLANK($R20),"",VLOOKUP($R20,'Liste des Villes'!$B$2:$H$1128,4,FALSE))</f>
        <v>Lanaudière</v>
      </c>
      <c r="T20" s="2" t="s">
        <v>190</v>
      </c>
      <c r="U20" s="2" t="s">
        <v>39</v>
      </c>
      <c r="V20" s="2" t="s">
        <v>40</v>
      </c>
      <c r="W20" s="2" t="s">
        <v>191</v>
      </c>
      <c r="X20" s="2"/>
      <c r="Y20" s="2"/>
      <c r="Z20" s="2"/>
      <c r="AA20" s="2" t="s">
        <v>72</v>
      </c>
      <c r="AB20" s="2" t="s">
        <v>192</v>
      </c>
      <c r="AC20" s="4" t="s">
        <v>44</v>
      </c>
    </row>
    <row r="21" spans="1:29" x14ac:dyDescent="0.25">
      <c r="A21" s="1">
        <v>2650</v>
      </c>
      <c r="B21" s="17" t="s">
        <v>193</v>
      </c>
      <c r="C21" s="2" t="s">
        <v>194</v>
      </c>
      <c r="D21" s="15" t="s">
        <v>195</v>
      </c>
      <c r="E21" s="9" t="s">
        <v>196</v>
      </c>
      <c r="F21" s="9" t="s">
        <v>197</v>
      </c>
      <c r="G21" s="9" t="s">
        <v>94</v>
      </c>
      <c r="H21" s="2" t="s">
        <v>60</v>
      </c>
      <c r="I21" s="3">
        <v>33235</v>
      </c>
      <c r="J21" s="9" t="str">
        <f t="shared" ca="1" si="0"/>
        <v>32 ans</v>
      </c>
      <c r="K21" s="2" t="s">
        <v>36</v>
      </c>
      <c r="L21" s="2" t="str">
        <f>"29"</f>
        <v>29</v>
      </c>
      <c r="M21" s="2"/>
      <c r="N21" s="2" t="str">
        <f>"AV DE L'ÉTANG"</f>
        <v>AV DE L'ÉTANG</v>
      </c>
      <c r="O21" s="2" t="s">
        <v>37</v>
      </c>
      <c r="P21" s="9" t="e">
        <f>VLOOKUP($O21,'Liste des Villes'!$B$2:$B$1128,1,FALSE)</f>
        <v>#N/A</v>
      </c>
      <c r="Q21" s="9" t="str">
        <f>IFERROR($P21,PROPER(VLOOKUP($O21,'Villes en erreur'!$A$2:$B$72,2,FALSE)))</f>
        <v>Saint-Lin–Laurentides</v>
      </c>
      <c r="R21" s="9" t="str">
        <f>IFERROR($P21,PROPER(VLOOKUP($O21,'Villes en erreur'!$A$2:$B$72,2,FALSE)))</f>
        <v>Saint-Lin–Laurentides</v>
      </c>
      <c r="S21" s="9" t="str">
        <f>IF(ISBLANK($R21),"",VLOOKUP($R21,'Liste des Villes'!$B$2:$H$1128,4,FALSE))</f>
        <v>Lanaudière</v>
      </c>
      <c r="T21" s="2" t="s">
        <v>38</v>
      </c>
      <c r="U21" s="2" t="s">
        <v>39</v>
      </c>
      <c r="V21" s="2" t="s">
        <v>40</v>
      </c>
      <c r="W21" s="2" t="s">
        <v>198</v>
      </c>
      <c r="X21" s="2"/>
      <c r="Y21" s="2"/>
      <c r="Z21" s="2"/>
      <c r="AA21" s="2" t="s">
        <v>42</v>
      </c>
      <c r="AB21" s="2" t="s">
        <v>43</v>
      </c>
      <c r="AC21" s="4" t="s">
        <v>44</v>
      </c>
    </row>
    <row r="22" spans="1:29" x14ac:dyDescent="0.25">
      <c r="A22" s="1">
        <v>1152</v>
      </c>
      <c r="B22" s="17" t="s">
        <v>199</v>
      </c>
      <c r="C22" s="2" t="s">
        <v>200</v>
      </c>
      <c r="D22" s="15" t="s">
        <v>201</v>
      </c>
      <c r="E22" s="9" t="s">
        <v>202</v>
      </c>
      <c r="F22" s="9" t="s">
        <v>203</v>
      </c>
      <c r="G22" s="9" t="s">
        <v>204</v>
      </c>
      <c r="H22" s="2" t="s">
        <v>60</v>
      </c>
      <c r="I22" s="3">
        <v>33392</v>
      </c>
      <c r="J22" s="9" t="str">
        <f t="shared" ca="1" si="0"/>
        <v>32 ans</v>
      </c>
      <c r="K22" s="2" t="s">
        <v>36</v>
      </c>
      <c r="L22" s="2" t="str">
        <f>"32"</f>
        <v>32</v>
      </c>
      <c r="M22" s="2"/>
      <c r="N22" s="2" t="str">
        <f>"AV DU PARC"</f>
        <v>AV DU PARC</v>
      </c>
      <c r="O22" s="2" t="s">
        <v>37</v>
      </c>
      <c r="P22" s="9" t="e">
        <f>VLOOKUP($O22,'Liste des Villes'!$B$2:$B$1128,1,FALSE)</f>
        <v>#N/A</v>
      </c>
      <c r="Q22" s="9" t="str">
        <f>IFERROR($P22,PROPER(VLOOKUP($O22,'Villes en erreur'!$A$2:$B$72,2,FALSE)))</f>
        <v>Saint-Lin–Laurentides</v>
      </c>
      <c r="R22" s="9" t="str">
        <f>IFERROR($P22,PROPER(VLOOKUP($O22,'Villes en erreur'!$A$2:$B$72,2,FALSE)))</f>
        <v>Saint-Lin–Laurentides</v>
      </c>
      <c r="S22" s="9" t="str">
        <f>IF(ISBLANK($R22),"",VLOOKUP($R22,'Liste des Villes'!$B$2:$H$1128,4,FALSE))</f>
        <v>Lanaudière</v>
      </c>
      <c r="T22" s="2" t="s">
        <v>38</v>
      </c>
      <c r="U22" s="2" t="s">
        <v>39</v>
      </c>
      <c r="V22" s="2" t="s">
        <v>40</v>
      </c>
      <c r="W22" s="2" t="s">
        <v>205</v>
      </c>
      <c r="X22" s="2"/>
      <c r="Y22" s="2"/>
      <c r="Z22" s="2"/>
      <c r="AA22" s="2" t="s">
        <v>42</v>
      </c>
      <c r="AB22" s="2" t="s">
        <v>53</v>
      </c>
      <c r="AC22" s="4" t="s">
        <v>44</v>
      </c>
    </row>
    <row r="23" spans="1:29" x14ac:dyDescent="0.25">
      <c r="A23" s="1">
        <v>2365</v>
      </c>
      <c r="B23" s="17" t="s">
        <v>206</v>
      </c>
      <c r="C23" s="2" t="s">
        <v>207</v>
      </c>
      <c r="D23" s="15" t="s">
        <v>208</v>
      </c>
      <c r="E23" s="9" t="s">
        <v>209</v>
      </c>
      <c r="F23" s="9" t="s">
        <v>210</v>
      </c>
      <c r="G23" s="9" t="s">
        <v>211</v>
      </c>
      <c r="H23" s="2" t="s">
        <v>60</v>
      </c>
      <c r="I23" s="3">
        <v>33509</v>
      </c>
      <c r="J23" s="9" t="str">
        <f t="shared" ca="1" si="0"/>
        <v>31 ans</v>
      </c>
      <c r="K23" s="2" t="s">
        <v>36</v>
      </c>
      <c r="L23" s="2" t="str">
        <f>"35"</f>
        <v>35</v>
      </c>
      <c r="M23" s="2"/>
      <c r="N23" s="2" t="str">
        <f>"AV SAMUEL S"</f>
        <v>AV SAMUEL S</v>
      </c>
      <c r="O23" s="2" t="s">
        <v>51</v>
      </c>
      <c r="P23" s="9" t="e">
        <f>VLOOKUP($O23,'Liste des Villes'!$B$2:$B$1128,1,FALSE)</f>
        <v>#N/A</v>
      </c>
      <c r="Q23" s="9" t="str">
        <f>IFERROR($P23,PROPER(VLOOKUP($O23,'Villes en erreur'!$A$2:$B$72,2,FALSE)))</f>
        <v>Saint-Lin–Laurentides</v>
      </c>
      <c r="R23" s="9" t="str">
        <f>IFERROR($P23,PROPER(VLOOKUP($O23,'Villes en erreur'!$A$2:$B$72,2,FALSE)))</f>
        <v>Saint-Lin–Laurentides</v>
      </c>
      <c r="S23" s="9" t="str">
        <f>IF(ISBLANK($R23),"",VLOOKUP($R23,'Liste des Villes'!$B$2:$H$1128,4,FALSE))</f>
        <v>Lanaudière</v>
      </c>
      <c r="T23" s="2" t="s">
        <v>38</v>
      </c>
      <c r="U23" s="2" t="s">
        <v>39</v>
      </c>
      <c r="V23" s="2" t="s">
        <v>40</v>
      </c>
      <c r="W23" s="2" t="s">
        <v>212</v>
      </c>
      <c r="X23" s="2"/>
      <c r="Y23" s="2"/>
      <c r="Z23" s="2"/>
      <c r="AA23" s="2" t="s">
        <v>213</v>
      </c>
      <c r="AB23" s="2" t="s">
        <v>53</v>
      </c>
      <c r="AC23" s="4" t="s">
        <v>44</v>
      </c>
    </row>
    <row r="24" spans="1:29" x14ac:dyDescent="0.25">
      <c r="A24" s="1">
        <v>4158</v>
      </c>
      <c r="B24" s="17" t="s">
        <v>214</v>
      </c>
      <c r="C24" s="2" t="s">
        <v>215</v>
      </c>
      <c r="D24" s="15" t="s">
        <v>216</v>
      </c>
      <c r="E24" s="9" t="s">
        <v>217</v>
      </c>
      <c r="F24" s="9" t="s">
        <v>218</v>
      </c>
      <c r="G24" s="9" t="s">
        <v>219</v>
      </c>
      <c r="H24" s="2" t="s">
        <v>35</v>
      </c>
      <c r="I24" s="3">
        <v>31325</v>
      </c>
      <c r="J24" s="9" t="str">
        <f t="shared" ca="1" si="0"/>
        <v>37 ans</v>
      </c>
      <c r="K24" s="2" t="s">
        <v>36</v>
      </c>
      <c r="L24" s="2" t="str">
        <f>"14"</f>
        <v>14</v>
      </c>
      <c r="M24" s="2"/>
      <c r="N24" s="2" t="str">
        <f>"28E AV"</f>
        <v>28E AV</v>
      </c>
      <c r="O24" s="2" t="s">
        <v>220</v>
      </c>
      <c r="P24" s="9" t="e">
        <f>VLOOKUP($O24,'Liste des Villes'!$B$2:$B$1128,1,FALSE)</f>
        <v>#N/A</v>
      </c>
      <c r="Q24" s="9" t="str">
        <f>IFERROR($P24,PROPER(VLOOKUP($O24,'Villes en erreur'!$A$2:$B$72,2,FALSE)))</f>
        <v>Saint-Jérôme</v>
      </c>
      <c r="R24" s="9" t="str">
        <f>IFERROR($P24,PROPER(VLOOKUP($O24,'Villes en erreur'!$A$2:$B$72,2,FALSE)))</f>
        <v>Saint-Jérôme</v>
      </c>
      <c r="S24" s="9" t="str">
        <f>IF(ISBLANK($R24),"",VLOOKUP($R24,'Liste des Villes'!$B$2:$H$1128,4,FALSE))</f>
        <v>Laurentides</v>
      </c>
      <c r="T24" s="2" t="s">
        <v>221</v>
      </c>
      <c r="U24" s="2" t="s">
        <v>39</v>
      </c>
      <c r="V24" s="2" t="s">
        <v>40</v>
      </c>
      <c r="W24" s="2" t="s">
        <v>222</v>
      </c>
      <c r="X24" s="2"/>
      <c r="Y24" s="2"/>
      <c r="Z24" s="2"/>
      <c r="AA24" s="2" t="s">
        <v>149</v>
      </c>
      <c r="AB24" s="2" t="s">
        <v>150</v>
      </c>
      <c r="AC24" s="4" t="s">
        <v>44</v>
      </c>
    </row>
    <row r="25" spans="1:29" x14ac:dyDescent="0.25">
      <c r="A25" s="1">
        <v>2393</v>
      </c>
      <c r="B25" s="17" t="s">
        <v>223</v>
      </c>
      <c r="C25" s="2" t="s">
        <v>224</v>
      </c>
      <c r="D25" s="15" t="s">
        <v>225</v>
      </c>
      <c r="E25" s="9" t="s">
        <v>226</v>
      </c>
      <c r="F25" s="9" t="s">
        <v>227</v>
      </c>
      <c r="G25" s="9" t="s">
        <v>228</v>
      </c>
      <c r="H25" s="2" t="s">
        <v>60</v>
      </c>
      <c r="I25" s="3">
        <v>33292</v>
      </c>
      <c r="J25" s="9" t="str">
        <f t="shared" ca="1" si="0"/>
        <v>32 ans</v>
      </c>
      <c r="K25" s="2" t="s">
        <v>36</v>
      </c>
      <c r="L25" s="2" t="str">
        <f>"31"</f>
        <v>31</v>
      </c>
      <c r="M25" s="2"/>
      <c r="N25" s="2" t="str">
        <f>"AV DES HIRONDELLES"</f>
        <v>AV DES HIRONDELLES</v>
      </c>
      <c r="O25" s="2" t="s">
        <v>37</v>
      </c>
      <c r="P25" s="9" t="e">
        <f>VLOOKUP($O25,'Liste des Villes'!$B$2:$B$1128,1,FALSE)</f>
        <v>#N/A</v>
      </c>
      <c r="Q25" s="9" t="str">
        <f>IFERROR($P25,PROPER(VLOOKUP($O25,'Villes en erreur'!$A$2:$B$72,2,FALSE)))</f>
        <v>Saint-Lin–Laurentides</v>
      </c>
      <c r="R25" s="9" t="str">
        <f>IFERROR($P25,PROPER(VLOOKUP($O25,'Villes en erreur'!$A$2:$B$72,2,FALSE)))</f>
        <v>Saint-Lin–Laurentides</v>
      </c>
      <c r="S25" s="9" t="str">
        <f>IF(ISBLANK($R25),"",VLOOKUP($R25,'Liste des Villes'!$B$2:$H$1128,4,FALSE))</f>
        <v>Lanaudière</v>
      </c>
      <c r="T25" s="2" t="s">
        <v>38</v>
      </c>
      <c r="U25" s="2" t="s">
        <v>39</v>
      </c>
      <c r="V25" s="2" t="s">
        <v>40</v>
      </c>
      <c r="W25" s="2" t="s">
        <v>229</v>
      </c>
      <c r="X25" s="2"/>
      <c r="Y25" s="2"/>
      <c r="Z25" s="2"/>
      <c r="AA25" s="2" t="s">
        <v>42</v>
      </c>
      <c r="AB25" s="2" t="s">
        <v>53</v>
      </c>
      <c r="AC25" s="4" t="s">
        <v>44</v>
      </c>
    </row>
    <row r="26" spans="1:29" x14ac:dyDescent="0.25">
      <c r="A26" s="1">
        <v>2371</v>
      </c>
      <c r="B26" s="17" t="s">
        <v>230</v>
      </c>
      <c r="C26" s="2" t="s">
        <v>231</v>
      </c>
      <c r="D26" s="15" t="s">
        <v>232</v>
      </c>
      <c r="E26" s="9" t="s">
        <v>233</v>
      </c>
      <c r="F26" s="9" t="s">
        <v>234</v>
      </c>
      <c r="G26" s="9" t="s">
        <v>219</v>
      </c>
      <c r="H26" s="2" t="s">
        <v>35</v>
      </c>
      <c r="I26" s="3">
        <v>31014</v>
      </c>
      <c r="J26" s="9" t="str">
        <f t="shared" ca="1" si="0"/>
        <v>38 ans</v>
      </c>
      <c r="K26" s="2" t="s">
        <v>36</v>
      </c>
      <c r="L26" s="2" t="str">
        <f>"13"</f>
        <v>13</v>
      </c>
      <c r="M26" s="2"/>
      <c r="N26" s="2" t="str">
        <f>"24E AV"</f>
        <v>24E AV</v>
      </c>
      <c r="O26" s="2" t="s">
        <v>235</v>
      </c>
      <c r="P26" s="9" t="e">
        <f>VLOOKUP($O26,'Liste des Villes'!$B$2:$B$1128,1,FALSE)</f>
        <v>#N/A</v>
      </c>
      <c r="Q26" s="9" t="str">
        <f>IFERROR($P26,PROPER(VLOOKUP($O26,'Villes en erreur'!$A$2:$B$72,2,FALSE)))</f>
        <v>Saint-Jérôme</v>
      </c>
      <c r="R26" s="9" t="str">
        <f>IFERROR($P26,PROPER(VLOOKUP($O26,'Villes en erreur'!$A$2:$B$72,2,FALSE)))</f>
        <v>Saint-Jérôme</v>
      </c>
      <c r="S26" s="9" t="str">
        <f>IF(ISBLANK($R26),"",VLOOKUP($R26,'Liste des Villes'!$B$2:$H$1128,4,FALSE))</f>
        <v>Laurentides</v>
      </c>
      <c r="T26" s="2" t="s">
        <v>236</v>
      </c>
      <c r="U26" s="2" t="s">
        <v>39</v>
      </c>
      <c r="V26" s="2" t="s">
        <v>40</v>
      </c>
      <c r="W26" s="2" t="s">
        <v>237</v>
      </c>
      <c r="X26" s="2"/>
      <c r="Y26" s="2"/>
      <c r="Z26" s="2"/>
      <c r="AA26" s="2" t="s">
        <v>149</v>
      </c>
      <c r="AB26" s="2" t="s">
        <v>150</v>
      </c>
      <c r="AC26" s="4" t="s">
        <v>44</v>
      </c>
    </row>
    <row r="27" spans="1:29" x14ac:dyDescent="0.25">
      <c r="A27" s="1">
        <v>588</v>
      </c>
      <c r="B27" s="17" t="s">
        <v>238</v>
      </c>
      <c r="C27" s="2" t="s">
        <v>239</v>
      </c>
      <c r="D27" s="15" t="s">
        <v>240</v>
      </c>
      <c r="E27" s="9" t="s">
        <v>241</v>
      </c>
      <c r="F27" s="9" t="s">
        <v>242</v>
      </c>
      <c r="G27" s="9" t="s">
        <v>59</v>
      </c>
      <c r="H27" s="2" t="s">
        <v>60</v>
      </c>
      <c r="I27" s="3">
        <v>33482</v>
      </c>
      <c r="J27" s="9" t="str">
        <f t="shared" ca="1" si="0"/>
        <v>31 ans</v>
      </c>
      <c r="K27" s="2" t="s">
        <v>36</v>
      </c>
      <c r="L27" s="2" t="str">
        <f>"34"</f>
        <v>34</v>
      </c>
      <c r="M27" s="2"/>
      <c r="N27" s="2" t="str">
        <f>"AV JOSEPH"</f>
        <v>AV JOSEPH</v>
      </c>
      <c r="O27" s="2" t="s">
        <v>51</v>
      </c>
      <c r="P27" s="9" t="e">
        <f>VLOOKUP($O27,'Liste des Villes'!$B$2:$B$1128,1,FALSE)</f>
        <v>#N/A</v>
      </c>
      <c r="Q27" s="9" t="str">
        <f>IFERROR($P27,PROPER(VLOOKUP($O27,'Villes en erreur'!$A$2:$B$72,2,FALSE)))</f>
        <v>Saint-Lin–Laurentides</v>
      </c>
      <c r="R27" s="9" t="str">
        <f>IFERROR($P27,PROPER(VLOOKUP($O27,'Villes en erreur'!$A$2:$B$72,2,FALSE)))</f>
        <v>Saint-Lin–Laurentides</v>
      </c>
      <c r="S27" s="9" t="str">
        <f>IF(ISBLANK($R27),"",VLOOKUP($R27,'Liste des Villes'!$B$2:$H$1128,4,FALSE))</f>
        <v>Lanaudière</v>
      </c>
      <c r="T27" s="2" t="s">
        <v>38</v>
      </c>
      <c r="U27" s="2" t="s">
        <v>39</v>
      </c>
      <c r="V27" s="2" t="s">
        <v>40</v>
      </c>
      <c r="W27" s="2" t="s">
        <v>243</v>
      </c>
      <c r="X27" s="2"/>
      <c r="Y27" s="2"/>
      <c r="Z27" s="2"/>
      <c r="AA27" s="2" t="s">
        <v>42</v>
      </c>
      <c r="AB27" s="2" t="s">
        <v>53</v>
      </c>
      <c r="AC27" s="4" t="s">
        <v>44</v>
      </c>
    </row>
    <row r="28" spans="1:29" x14ac:dyDescent="0.25">
      <c r="A28" s="1">
        <v>3620</v>
      </c>
      <c r="B28" s="17" t="s">
        <v>244</v>
      </c>
      <c r="C28" s="2" t="s">
        <v>245</v>
      </c>
      <c r="D28" s="15" t="s">
        <v>246</v>
      </c>
      <c r="E28" s="9" t="s">
        <v>247</v>
      </c>
      <c r="F28" s="9" t="s">
        <v>248</v>
      </c>
      <c r="G28" s="9" t="s">
        <v>59</v>
      </c>
      <c r="H28" s="2" t="s">
        <v>60</v>
      </c>
      <c r="I28" s="3">
        <v>33481</v>
      </c>
      <c r="J28" s="9" t="str">
        <f t="shared" ca="1" si="0"/>
        <v>31 ans</v>
      </c>
      <c r="K28" s="2" t="s">
        <v>36</v>
      </c>
      <c r="L28" s="2" t="str">
        <f>"34"</f>
        <v>34</v>
      </c>
      <c r="M28" s="2"/>
      <c r="N28" s="2" t="str">
        <f>"AV JEAN-DUCEPPE"</f>
        <v>AV JEAN-DUCEPPE</v>
      </c>
      <c r="O28" s="2" t="s">
        <v>51</v>
      </c>
      <c r="P28" s="9" t="e">
        <f>VLOOKUP($O28,'Liste des Villes'!$B$2:$B$1128,1,FALSE)</f>
        <v>#N/A</v>
      </c>
      <c r="Q28" s="9" t="str">
        <f>IFERROR($P28,PROPER(VLOOKUP($O28,'Villes en erreur'!$A$2:$B$72,2,FALSE)))</f>
        <v>Saint-Lin–Laurentides</v>
      </c>
      <c r="R28" s="9" t="str">
        <f>IFERROR($P28,PROPER(VLOOKUP($O28,'Villes en erreur'!$A$2:$B$72,2,FALSE)))</f>
        <v>Saint-Lin–Laurentides</v>
      </c>
      <c r="S28" s="9" t="str">
        <f>IF(ISBLANK($R28),"",VLOOKUP($R28,'Liste des Villes'!$B$2:$H$1128,4,FALSE))</f>
        <v>Lanaudière</v>
      </c>
      <c r="T28" s="2" t="s">
        <v>38</v>
      </c>
      <c r="U28" s="2" t="s">
        <v>39</v>
      </c>
      <c r="V28" s="2" t="s">
        <v>40</v>
      </c>
      <c r="W28" s="2" t="s">
        <v>249</v>
      </c>
      <c r="X28" s="2"/>
      <c r="Y28" s="2"/>
      <c r="Z28" s="2"/>
      <c r="AA28" s="2" t="s">
        <v>42</v>
      </c>
      <c r="AB28" s="2" t="s">
        <v>53</v>
      </c>
      <c r="AC28" s="4" t="s">
        <v>44</v>
      </c>
    </row>
    <row r="29" spans="1:29" x14ac:dyDescent="0.25">
      <c r="A29" s="1">
        <v>309</v>
      </c>
      <c r="B29" s="17" t="s">
        <v>250</v>
      </c>
      <c r="C29" s="2" t="s">
        <v>251</v>
      </c>
      <c r="D29" s="15" t="s">
        <v>252</v>
      </c>
      <c r="E29" s="9" t="s">
        <v>253</v>
      </c>
      <c r="F29" s="9" t="s">
        <v>254</v>
      </c>
      <c r="G29" s="9" t="s">
        <v>255</v>
      </c>
      <c r="H29" s="2" t="s">
        <v>60</v>
      </c>
      <c r="I29" s="3">
        <v>33195</v>
      </c>
      <c r="J29" s="9" t="str">
        <f t="shared" ca="1" si="0"/>
        <v>32 ans</v>
      </c>
      <c r="K29" s="2" t="s">
        <v>36</v>
      </c>
      <c r="L29" s="2" t="str">
        <f>"29"</f>
        <v>29</v>
      </c>
      <c r="M29" s="2"/>
      <c r="N29" s="2" t="str">
        <f>"AV DE LA GARE"</f>
        <v>AV DE LA GARE</v>
      </c>
      <c r="O29" s="2" t="s">
        <v>37</v>
      </c>
      <c r="P29" s="9" t="e">
        <f>VLOOKUP($O29,'Liste des Villes'!$B$2:$B$1128,1,FALSE)</f>
        <v>#N/A</v>
      </c>
      <c r="Q29" s="9" t="str">
        <f>IFERROR($P29,PROPER(VLOOKUP($O29,'Villes en erreur'!$A$2:$B$72,2,FALSE)))</f>
        <v>Saint-Lin–Laurentides</v>
      </c>
      <c r="R29" s="9" t="str">
        <f>IFERROR($P29,PROPER(VLOOKUP($O29,'Villes en erreur'!$A$2:$B$72,2,FALSE)))</f>
        <v>Saint-Lin–Laurentides</v>
      </c>
      <c r="S29" s="9" t="str">
        <f>IF(ISBLANK($R29),"",VLOOKUP($R29,'Liste des Villes'!$B$2:$H$1128,4,FALSE))</f>
        <v>Lanaudière</v>
      </c>
      <c r="T29" s="2" t="s">
        <v>38</v>
      </c>
      <c r="U29" s="2" t="s">
        <v>39</v>
      </c>
      <c r="V29" s="2" t="s">
        <v>40</v>
      </c>
      <c r="W29" s="2" t="s">
        <v>256</v>
      </c>
      <c r="X29" s="2"/>
      <c r="Y29" s="2"/>
      <c r="Z29" s="2"/>
      <c r="AA29" s="2" t="s">
        <v>42</v>
      </c>
      <c r="AB29" s="2" t="s">
        <v>43</v>
      </c>
      <c r="AC29" s="4" t="s">
        <v>44</v>
      </c>
    </row>
    <row r="30" spans="1:29" x14ac:dyDescent="0.25">
      <c r="A30" s="1">
        <v>1183</v>
      </c>
      <c r="B30" s="17" t="s">
        <v>257</v>
      </c>
      <c r="C30" s="2" t="s">
        <v>258</v>
      </c>
      <c r="D30" s="15" t="s">
        <v>259</v>
      </c>
      <c r="E30" s="9" t="s">
        <v>260</v>
      </c>
      <c r="F30" s="9" t="s">
        <v>261</v>
      </c>
      <c r="G30" s="9" t="s">
        <v>85</v>
      </c>
      <c r="H30" s="2" t="s">
        <v>60</v>
      </c>
      <c r="I30" s="3">
        <v>37373</v>
      </c>
      <c r="J30" s="9" t="str">
        <f t="shared" ca="1" si="0"/>
        <v>21 ans</v>
      </c>
      <c r="K30" s="2" t="s">
        <v>262</v>
      </c>
      <c r="L30" s="2" t="str">
        <f>"8635"</f>
        <v>8635</v>
      </c>
      <c r="M30" s="2"/>
      <c r="N30" s="2" t="str">
        <f>"RUE PELLETIER"</f>
        <v>RUE PELLETIER</v>
      </c>
      <c r="O30" s="2" t="s">
        <v>263</v>
      </c>
      <c r="P30" s="9" t="e">
        <f>VLOOKUP($O30,'Liste des Villes'!$B$2:$B$1128,1,FALSE)</f>
        <v>#N/A</v>
      </c>
      <c r="Q30" s="9" t="str">
        <f>IFERROR($P30,PROPER(VLOOKUP($O30,'Villes en erreur'!$A$2:$B$72,2,FALSE)))</f>
        <v>Egan-Sud</v>
      </c>
      <c r="R30" s="9" t="str">
        <f>IFERROR($P30,PROPER(VLOOKUP($O30,'Villes en erreur'!$A$2:$B$72,2,FALSE)))</f>
        <v>Egan-Sud</v>
      </c>
      <c r="S30" s="9" t="str">
        <f>IF(ISBLANK($R30),"",VLOOKUP($R30,'Liste des Villes'!$B$2:$H$1128,4,FALSE))</f>
        <v>Outaouais</v>
      </c>
      <c r="T30" s="2" t="s">
        <v>264</v>
      </c>
      <c r="U30" s="2" t="s">
        <v>39</v>
      </c>
      <c r="V30" s="2" t="s">
        <v>40</v>
      </c>
      <c r="W30" s="2" t="s">
        <v>265</v>
      </c>
      <c r="X30" s="2" t="str">
        <f>"4506127875"</f>
        <v>4506127875</v>
      </c>
      <c r="Y30" s="2" t="str">
        <f>"5143471813"</f>
        <v>5143471813</v>
      </c>
      <c r="Z30" s="2"/>
      <c r="AA30" s="2" t="s">
        <v>266</v>
      </c>
      <c r="AB30" s="2" t="s">
        <v>267</v>
      </c>
      <c r="AC30" s="4" t="s">
        <v>44</v>
      </c>
    </row>
    <row r="31" spans="1:29" x14ac:dyDescent="0.25">
      <c r="A31" s="1">
        <v>1827</v>
      </c>
      <c r="B31" s="17" t="s">
        <v>268</v>
      </c>
      <c r="C31" s="2" t="s">
        <v>269</v>
      </c>
      <c r="D31" s="15" t="s">
        <v>270</v>
      </c>
      <c r="E31" s="9" t="s">
        <v>271</v>
      </c>
      <c r="F31" s="9" t="s">
        <v>272</v>
      </c>
      <c r="G31" s="9" t="s">
        <v>50</v>
      </c>
      <c r="H31" s="2" t="s">
        <v>35</v>
      </c>
      <c r="I31" s="3">
        <v>33415</v>
      </c>
      <c r="J31" s="9" t="str">
        <f t="shared" ca="1" si="0"/>
        <v>32 ans</v>
      </c>
      <c r="K31" s="2" t="s">
        <v>36</v>
      </c>
      <c r="L31" s="2" t="str">
        <f>"32"</f>
        <v>32</v>
      </c>
      <c r="M31" s="2"/>
      <c r="N31" s="2" t="str">
        <f>"AV DU SOMMET"</f>
        <v>AV DU SOMMET</v>
      </c>
      <c r="O31" s="2" t="s">
        <v>51</v>
      </c>
      <c r="P31" s="9" t="e">
        <f>VLOOKUP($O31,'Liste des Villes'!$B$2:$B$1128,1,FALSE)</f>
        <v>#N/A</v>
      </c>
      <c r="Q31" s="9" t="str">
        <f>IFERROR($P31,PROPER(VLOOKUP($O31,'Villes en erreur'!$A$2:$B$72,2,FALSE)))</f>
        <v>Saint-Lin–Laurentides</v>
      </c>
      <c r="R31" s="9" t="str">
        <f>IFERROR($P31,PROPER(VLOOKUP($O31,'Villes en erreur'!$A$2:$B$72,2,FALSE)))</f>
        <v>Saint-Lin–Laurentides</v>
      </c>
      <c r="S31" s="9" t="str">
        <f>IF(ISBLANK($R31),"",VLOOKUP($R31,'Liste des Villes'!$B$2:$H$1128,4,FALSE))</f>
        <v>Lanaudière</v>
      </c>
      <c r="T31" s="2" t="s">
        <v>38</v>
      </c>
      <c r="U31" s="2" t="s">
        <v>39</v>
      </c>
      <c r="V31" s="2" t="s">
        <v>40</v>
      </c>
      <c r="W31" s="2" t="s">
        <v>273</v>
      </c>
      <c r="X31" s="2"/>
      <c r="Y31" s="2"/>
      <c r="Z31" s="2"/>
      <c r="AA31" s="2" t="s">
        <v>42</v>
      </c>
      <c r="AB31" s="2" t="s">
        <v>53</v>
      </c>
      <c r="AC31" s="4" t="s">
        <v>44</v>
      </c>
    </row>
    <row r="32" spans="1:29" x14ac:dyDescent="0.25">
      <c r="A32" s="1">
        <v>2129</v>
      </c>
      <c r="B32" s="17" t="s">
        <v>274</v>
      </c>
      <c r="C32" s="2" t="s">
        <v>275</v>
      </c>
      <c r="D32" s="15" t="s">
        <v>276</v>
      </c>
      <c r="E32" s="9" t="s">
        <v>277</v>
      </c>
      <c r="F32" s="9" t="s">
        <v>278</v>
      </c>
      <c r="G32" s="9" t="s">
        <v>279</v>
      </c>
      <c r="H32" s="2" t="s">
        <v>60</v>
      </c>
      <c r="I32" s="3">
        <v>32925</v>
      </c>
      <c r="J32" s="9" t="str">
        <f t="shared" ca="1" si="0"/>
        <v>33 ans</v>
      </c>
      <c r="K32" s="2" t="s">
        <v>36</v>
      </c>
      <c r="L32" s="2" t="str">
        <f>"26"</f>
        <v>26</v>
      </c>
      <c r="M32" s="2"/>
      <c r="N32" s="2" t="str">
        <f>"92E AVENUE OUEST"</f>
        <v>92E AVENUE OUEST</v>
      </c>
      <c r="O32" s="2" t="s">
        <v>37</v>
      </c>
      <c r="P32" s="9" t="e">
        <f>VLOOKUP($O32,'Liste des Villes'!$B$2:$B$1128,1,FALSE)</f>
        <v>#N/A</v>
      </c>
      <c r="Q32" s="9" t="str">
        <f>IFERROR($P32,PROPER(VLOOKUP($O32,'Villes en erreur'!$A$2:$B$72,2,FALSE)))</f>
        <v>Saint-Lin–Laurentides</v>
      </c>
      <c r="R32" s="9" t="str">
        <f>IFERROR($P32,PROPER(VLOOKUP($O32,'Villes en erreur'!$A$2:$B$72,2,FALSE)))</f>
        <v>Saint-Lin–Laurentides</v>
      </c>
      <c r="S32" s="9" t="str">
        <f>IF(ISBLANK($R32),"",VLOOKUP($R32,'Liste des Villes'!$B$2:$H$1128,4,FALSE))</f>
        <v>Lanaudière</v>
      </c>
      <c r="T32" s="2" t="s">
        <v>280</v>
      </c>
      <c r="U32" s="2" t="s">
        <v>39</v>
      </c>
      <c r="V32" s="2" t="s">
        <v>40</v>
      </c>
      <c r="W32" s="2" t="s">
        <v>281</v>
      </c>
      <c r="X32" s="2"/>
      <c r="Y32" s="2"/>
      <c r="Z32" s="2"/>
      <c r="AA32" s="2" t="s">
        <v>42</v>
      </c>
      <c r="AB32" s="2" t="s">
        <v>282</v>
      </c>
      <c r="AC32" s="4" t="s">
        <v>44</v>
      </c>
    </row>
    <row r="33" spans="1:29" x14ac:dyDescent="0.25">
      <c r="A33" s="1">
        <v>3219</v>
      </c>
      <c r="B33" s="17" t="s">
        <v>283</v>
      </c>
      <c r="C33" s="2" t="s">
        <v>284</v>
      </c>
      <c r="D33" s="15" t="s">
        <v>285</v>
      </c>
      <c r="E33" s="9" t="s">
        <v>286</v>
      </c>
      <c r="F33" s="9" t="s">
        <v>287</v>
      </c>
      <c r="G33" s="9" t="s">
        <v>219</v>
      </c>
      <c r="H33" s="2" t="s">
        <v>35</v>
      </c>
      <c r="I33" s="3">
        <v>31024</v>
      </c>
      <c r="J33" s="9" t="str">
        <f t="shared" ca="1" si="0"/>
        <v>38 ans</v>
      </c>
      <c r="K33" s="2" t="s">
        <v>36</v>
      </c>
      <c r="L33" s="2" t="str">
        <f>"13"</f>
        <v>13</v>
      </c>
      <c r="M33" s="2"/>
      <c r="N33" s="2" t="str">
        <f>"24e avenue"</f>
        <v>24e avenue</v>
      </c>
      <c r="O33" s="2" t="s">
        <v>235</v>
      </c>
      <c r="P33" s="9" t="e">
        <f>VLOOKUP($O33,'Liste des Villes'!$B$2:$B$1128,1,FALSE)</f>
        <v>#N/A</v>
      </c>
      <c r="Q33" s="9" t="str">
        <f>IFERROR($P33,PROPER(VLOOKUP($O33,'Villes en erreur'!$A$2:$B$72,2,FALSE)))</f>
        <v>Saint-Jérôme</v>
      </c>
      <c r="R33" s="9" t="str">
        <f>IFERROR($P33,PROPER(VLOOKUP($O33,'Villes en erreur'!$A$2:$B$72,2,FALSE)))</f>
        <v>Saint-Jérôme</v>
      </c>
      <c r="S33" s="9" t="str">
        <f>IF(ISBLANK($R33),"",VLOOKUP($R33,'Liste des Villes'!$B$2:$H$1128,4,FALSE))</f>
        <v>Laurentides</v>
      </c>
      <c r="T33" s="2" t="s">
        <v>288</v>
      </c>
      <c r="U33" s="2" t="s">
        <v>39</v>
      </c>
      <c r="V33" s="2" t="s">
        <v>40</v>
      </c>
      <c r="W33" s="2" t="s">
        <v>289</v>
      </c>
      <c r="X33" s="2"/>
      <c r="Y33" s="2"/>
      <c r="Z33" s="2"/>
      <c r="AA33" s="2" t="s">
        <v>149</v>
      </c>
      <c r="AB33" s="2" t="s">
        <v>150</v>
      </c>
      <c r="AC33" s="4" t="s">
        <v>44</v>
      </c>
    </row>
    <row r="34" spans="1:29" x14ac:dyDescent="0.25">
      <c r="A34" s="1">
        <v>3676</v>
      </c>
      <c r="B34" s="17" t="s">
        <v>290</v>
      </c>
      <c r="C34" s="2" t="s">
        <v>291</v>
      </c>
      <c r="D34" s="15" t="s">
        <v>292</v>
      </c>
      <c r="E34" s="9" t="s">
        <v>293</v>
      </c>
      <c r="F34" s="9" t="s">
        <v>294</v>
      </c>
      <c r="G34" s="9" t="s">
        <v>295</v>
      </c>
      <c r="H34" s="2" t="s">
        <v>60</v>
      </c>
      <c r="I34" s="3">
        <v>36917</v>
      </c>
      <c r="J34" s="9" t="str">
        <f t="shared" ca="1" si="0"/>
        <v>22 ans</v>
      </c>
      <c r="K34" s="2" t="s">
        <v>156</v>
      </c>
      <c r="L34" s="2" t="str">
        <f>"921"</f>
        <v>921</v>
      </c>
      <c r="M34" s="2"/>
      <c r="N34" s="2" t="str">
        <f>"RUE DESCHÊNES"</f>
        <v>RUE DESCHÊNES</v>
      </c>
      <c r="O34" s="2" t="s">
        <v>296</v>
      </c>
      <c r="P34" s="9" t="e">
        <f>VLOOKUP($O34,'Liste des Villes'!$B$2:$B$1128,1,FALSE)</f>
        <v>#N/A</v>
      </c>
      <c r="Q34" s="9" t="str">
        <f>IFERROR($P34,PROPER(VLOOKUP($O34,'Villes en erreur'!$A$2:$B$72,2,FALSE)))</f>
        <v>Saint-Jérôme</v>
      </c>
      <c r="R34" s="9" t="str">
        <f>IFERROR($P34,PROPER(VLOOKUP($O34,'Villes en erreur'!$A$2:$B$72,2,FALSE)))</f>
        <v>Saint-Jérôme</v>
      </c>
      <c r="S34" s="9" t="str">
        <f>IF(ISBLANK($R34),"",VLOOKUP($R34,'Liste des Villes'!$B$2:$H$1128,4,FALSE))</f>
        <v>Laurentides</v>
      </c>
      <c r="T34" s="2" t="s">
        <v>297</v>
      </c>
      <c r="U34" s="2" t="s">
        <v>39</v>
      </c>
      <c r="V34" s="2" t="s">
        <v>40</v>
      </c>
      <c r="W34" s="2" t="s">
        <v>298</v>
      </c>
      <c r="X34" s="2"/>
      <c r="Y34" s="2"/>
      <c r="Z34" s="2"/>
      <c r="AA34" s="2" t="s">
        <v>299</v>
      </c>
      <c r="AB34" s="2" t="s">
        <v>161</v>
      </c>
      <c r="AC34" s="4" t="s">
        <v>44</v>
      </c>
    </row>
    <row r="35" spans="1:29" x14ac:dyDescent="0.25">
      <c r="A35" s="1">
        <v>2812</v>
      </c>
      <c r="B35" s="17" t="s">
        <v>300</v>
      </c>
      <c r="C35" s="2" t="s">
        <v>301</v>
      </c>
      <c r="D35" s="15" t="s">
        <v>302</v>
      </c>
      <c r="E35" s="9" t="s">
        <v>303</v>
      </c>
      <c r="F35" s="9" t="s">
        <v>304</v>
      </c>
      <c r="G35" s="9" t="s">
        <v>305</v>
      </c>
      <c r="H35" s="2" t="s">
        <v>60</v>
      </c>
      <c r="I35" s="3">
        <v>31728</v>
      </c>
      <c r="J35" s="9" t="str">
        <f t="shared" ca="1" si="0"/>
        <v>36 ans</v>
      </c>
      <c r="K35" s="2" t="s">
        <v>36</v>
      </c>
      <c r="L35" s="2" t="str">
        <f>"17"</f>
        <v>17</v>
      </c>
      <c r="M35" s="2"/>
      <c r="N35" s="2" t="str">
        <f>"37E AVENUE"</f>
        <v>37E AVENUE</v>
      </c>
      <c r="O35" s="2" t="s">
        <v>306</v>
      </c>
      <c r="P35" s="9" t="e">
        <f>VLOOKUP($O35,'Liste des Villes'!$B$2:$B$1128,1,FALSE)</f>
        <v>#N/A</v>
      </c>
      <c r="Q35" s="9" t="str">
        <f>IFERROR($P35,PROPER(VLOOKUP($O35,'Villes en erreur'!$A$2:$B$72,2,FALSE)))</f>
        <v>Saint-Jérôme</v>
      </c>
      <c r="R35" s="9" t="str">
        <f>IFERROR($P35,PROPER(VLOOKUP($O35,'Villes en erreur'!$A$2:$B$72,2,FALSE)))</f>
        <v>Saint-Jérôme</v>
      </c>
      <c r="S35" s="9" t="str">
        <f>IF(ISBLANK($R35),"",VLOOKUP($R35,'Liste des Villes'!$B$2:$H$1128,4,FALSE))</f>
        <v>Laurentides</v>
      </c>
      <c r="T35" s="2" t="s">
        <v>307</v>
      </c>
      <c r="U35" s="2" t="s">
        <v>39</v>
      </c>
      <c r="V35" s="2" t="s">
        <v>40</v>
      </c>
      <c r="W35" s="2" t="s">
        <v>308</v>
      </c>
      <c r="X35" s="2"/>
      <c r="Y35" s="2"/>
      <c r="Z35" s="2"/>
      <c r="AA35" s="2" t="s">
        <v>149</v>
      </c>
      <c r="AB35" s="2" t="s">
        <v>150</v>
      </c>
      <c r="AC35" s="4" t="s">
        <v>44</v>
      </c>
    </row>
    <row r="36" spans="1:29" x14ac:dyDescent="0.25">
      <c r="A36" s="1">
        <v>2640</v>
      </c>
      <c r="B36" s="17" t="s">
        <v>309</v>
      </c>
      <c r="C36" s="2" t="s">
        <v>310</v>
      </c>
      <c r="D36" s="15" t="s">
        <v>311</v>
      </c>
      <c r="E36" s="9" t="s">
        <v>99</v>
      </c>
      <c r="F36" s="9" t="s">
        <v>312</v>
      </c>
      <c r="G36" s="9" t="s">
        <v>313</v>
      </c>
      <c r="H36" s="2" t="s">
        <v>60</v>
      </c>
      <c r="I36" s="3">
        <v>33423</v>
      </c>
      <c r="J36" s="9" t="str">
        <f t="shared" ca="1" si="0"/>
        <v>32 ans</v>
      </c>
      <c r="K36" s="2" t="s">
        <v>36</v>
      </c>
      <c r="L36" s="2" t="str">
        <f>"33"</f>
        <v>33</v>
      </c>
      <c r="M36" s="2"/>
      <c r="N36" s="2" t="str">
        <f>"AV DUFAULT"</f>
        <v>AV DUFAULT</v>
      </c>
      <c r="O36" s="2" t="s">
        <v>51</v>
      </c>
      <c r="P36" s="9" t="e">
        <f>VLOOKUP($O36,'Liste des Villes'!$B$2:$B$1128,1,FALSE)</f>
        <v>#N/A</v>
      </c>
      <c r="Q36" s="9" t="str">
        <f>IFERROR($P36,PROPER(VLOOKUP($O36,'Villes en erreur'!$A$2:$B$72,2,FALSE)))</f>
        <v>Saint-Lin–Laurentides</v>
      </c>
      <c r="R36" s="9" t="str">
        <f>IFERROR($P36,PROPER(VLOOKUP($O36,'Villes en erreur'!$A$2:$B$72,2,FALSE)))</f>
        <v>Saint-Lin–Laurentides</v>
      </c>
      <c r="S36" s="9" t="str">
        <f>IF(ISBLANK($R36),"",VLOOKUP($R36,'Liste des Villes'!$B$2:$H$1128,4,FALSE))</f>
        <v>Lanaudière</v>
      </c>
      <c r="T36" s="2" t="s">
        <v>38</v>
      </c>
      <c r="U36" s="2" t="s">
        <v>39</v>
      </c>
      <c r="V36" s="2" t="s">
        <v>40</v>
      </c>
      <c r="W36" s="2" t="s">
        <v>314</v>
      </c>
      <c r="X36" s="2"/>
      <c r="Y36" s="2"/>
      <c r="Z36" s="2"/>
      <c r="AA36" s="2" t="s">
        <v>42</v>
      </c>
      <c r="AB36" s="2" t="s">
        <v>53</v>
      </c>
      <c r="AC36" s="4" t="s">
        <v>44</v>
      </c>
    </row>
    <row r="37" spans="1:29" x14ac:dyDescent="0.25">
      <c r="A37" s="1">
        <v>1279</v>
      </c>
      <c r="B37" s="17" t="s">
        <v>315</v>
      </c>
      <c r="C37" s="2" t="s">
        <v>316</v>
      </c>
      <c r="D37" s="15" t="s">
        <v>317</v>
      </c>
      <c r="E37" s="9" t="s">
        <v>196</v>
      </c>
      <c r="F37" s="9" t="s">
        <v>318</v>
      </c>
      <c r="G37" s="9" t="s">
        <v>219</v>
      </c>
      <c r="H37" s="2" t="s">
        <v>35</v>
      </c>
      <c r="I37" s="3">
        <v>31388</v>
      </c>
      <c r="J37" s="9" t="str">
        <f t="shared" ca="1" si="0"/>
        <v>37 ans</v>
      </c>
      <c r="K37" s="2" t="s">
        <v>36</v>
      </c>
      <c r="L37" s="2" t="str">
        <f>"15"</f>
        <v>15</v>
      </c>
      <c r="M37" s="2"/>
      <c r="N37" s="2" t="str">
        <f>"29E AVENUE"</f>
        <v>29E AVENUE</v>
      </c>
      <c r="O37" s="2" t="s">
        <v>319</v>
      </c>
      <c r="P37" s="9" t="e">
        <f>VLOOKUP($O37,'Liste des Villes'!$B$2:$B$1128,1,FALSE)</f>
        <v>#N/A</v>
      </c>
      <c r="Q37" s="9" t="str">
        <f>IFERROR($P37,PROPER(VLOOKUP($O37,'Villes en erreur'!$A$2:$B$72,2,FALSE)))</f>
        <v>Saint-Faustin–Lac-Carré</v>
      </c>
      <c r="R37" s="9" t="str">
        <f>IFERROR($P37,PROPER(VLOOKUP($O37,'Villes en erreur'!$A$2:$B$72,2,FALSE)))</f>
        <v>Saint-Faustin–Lac-Carré</v>
      </c>
      <c r="S37" s="9" t="str">
        <f>IF(ISBLANK($R37),"",VLOOKUP($R37,'Liste des Villes'!$B$2:$H$1128,4,FALSE))</f>
        <v>Laurentides</v>
      </c>
      <c r="T37" s="2" t="s">
        <v>320</v>
      </c>
      <c r="U37" s="2" t="s">
        <v>39</v>
      </c>
      <c r="V37" s="2" t="s">
        <v>40</v>
      </c>
      <c r="W37" s="2" t="s">
        <v>321</v>
      </c>
      <c r="X37" s="2"/>
      <c r="Y37" s="2"/>
      <c r="Z37" s="2"/>
      <c r="AA37" s="2" t="s">
        <v>149</v>
      </c>
      <c r="AB37" s="2" t="s">
        <v>150</v>
      </c>
      <c r="AC37" s="4" t="s">
        <v>44</v>
      </c>
    </row>
    <row r="38" spans="1:29" x14ac:dyDescent="0.25">
      <c r="A38" s="1">
        <v>895</v>
      </c>
      <c r="B38" s="17" t="s">
        <v>322</v>
      </c>
      <c r="C38" s="2" t="s">
        <v>323</v>
      </c>
      <c r="D38" s="15" t="s">
        <v>324</v>
      </c>
      <c r="E38" s="9" t="s">
        <v>325</v>
      </c>
      <c r="F38" s="9" t="s">
        <v>326</v>
      </c>
      <c r="G38" s="9" t="s">
        <v>122</v>
      </c>
      <c r="H38" s="2" t="s">
        <v>35</v>
      </c>
      <c r="I38" s="3">
        <v>36354</v>
      </c>
      <c r="J38" s="9" t="str">
        <f t="shared" ca="1" si="0"/>
        <v>24 ans</v>
      </c>
      <c r="K38" s="2" t="s">
        <v>123</v>
      </c>
      <c r="L38" s="2" t="str">
        <f>"320"</f>
        <v>320</v>
      </c>
      <c r="M38" s="2"/>
      <c r="N38" s="2" t="str">
        <f>"RUE CHAMPIONNET"</f>
        <v>RUE CHAMPIONNET</v>
      </c>
      <c r="O38" s="2" t="s">
        <v>124</v>
      </c>
      <c r="P38" s="9" t="e">
        <f>VLOOKUP($O38,'Liste des Villes'!$B$2:$B$1128,1,FALSE)</f>
        <v>#N/A</v>
      </c>
      <c r="Q38" s="9" t="str">
        <f>IFERROR($P38,PROPER(VLOOKUP($O38,'Villes en erreur'!$A$2:$B$72,2,FALSE)))</f>
        <v>Saint-Faustin–Lac-Carré</v>
      </c>
      <c r="R38" s="9" t="str">
        <f>IFERROR($P38,PROPER(VLOOKUP($O38,'Villes en erreur'!$A$2:$B$72,2,FALSE)))</f>
        <v>Saint-Faustin–Lac-Carré</v>
      </c>
      <c r="S38" s="9" t="str">
        <f>IF(ISBLANK($R38),"",VLOOKUP($R38,'Liste des Villes'!$B$2:$H$1128,4,FALSE))</f>
        <v>Laurentides</v>
      </c>
      <c r="T38" s="2" t="s">
        <v>327</v>
      </c>
      <c r="U38" s="2" t="s">
        <v>39</v>
      </c>
      <c r="V38" s="2" t="s">
        <v>40</v>
      </c>
      <c r="W38" s="2" t="s">
        <v>328</v>
      </c>
      <c r="X38" s="2"/>
      <c r="Y38" s="2"/>
      <c r="Z38" s="2"/>
      <c r="AA38" s="2" t="s">
        <v>127</v>
      </c>
      <c r="AB38" s="2" t="s">
        <v>73</v>
      </c>
      <c r="AC38" s="4" t="s">
        <v>44</v>
      </c>
    </row>
    <row r="39" spans="1:29" x14ac:dyDescent="0.25">
      <c r="A39" s="1">
        <v>3420</v>
      </c>
      <c r="B39" s="17" t="s">
        <v>329</v>
      </c>
      <c r="C39" s="2" t="s">
        <v>330</v>
      </c>
      <c r="D39" s="15" t="s">
        <v>331</v>
      </c>
      <c r="E39" s="9" t="s">
        <v>332</v>
      </c>
      <c r="F39" s="9" t="s">
        <v>333</v>
      </c>
      <c r="G39" s="9" t="s">
        <v>334</v>
      </c>
      <c r="H39" s="2" t="s">
        <v>60</v>
      </c>
      <c r="I39" s="3">
        <v>33562</v>
      </c>
      <c r="J39" s="9" t="str">
        <f t="shared" ca="1" si="0"/>
        <v>31 ans</v>
      </c>
      <c r="K39" s="2" t="s">
        <v>36</v>
      </c>
      <c r="L39" s="2" t="str">
        <f>"35"</f>
        <v>35</v>
      </c>
      <c r="M39" s="2"/>
      <c r="N39" s="2" t="str">
        <f>"AVENUE 46"</f>
        <v>AVENUE 46</v>
      </c>
      <c r="O39" s="2" t="s">
        <v>335</v>
      </c>
      <c r="P39" s="9" t="e">
        <f>VLOOKUP($O39,'Liste des Villes'!$B$2:$B$1128,1,FALSE)</f>
        <v>#N/A</v>
      </c>
      <c r="Q39" s="9" t="str">
        <f>IFERROR($P39,PROPER(VLOOKUP($O39,'Villes en erreur'!$A$2:$B$72,2,FALSE)))</f>
        <v>Montréal</v>
      </c>
      <c r="R39" s="9" t="str">
        <f>IFERROR($P39,PROPER(VLOOKUP($O39,'Villes en erreur'!$A$2:$B$72,2,FALSE)))</f>
        <v>Montréal</v>
      </c>
      <c r="S39" s="9" t="str">
        <f>IF(ISBLANK($R39),"",VLOOKUP($R39,'Liste des Villes'!$B$2:$H$1128,4,FALSE))</f>
        <v>Montréal</v>
      </c>
      <c r="T39" s="2" t="s">
        <v>336</v>
      </c>
      <c r="U39" s="2" t="s">
        <v>39</v>
      </c>
      <c r="V39" s="2" t="s">
        <v>40</v>
      </c>
      <c r="W39" s="2" t="s">
        <v>337</v>
      </c>
      <c r="X39" s="2"/>
      <c r="Y39" s="2"/>
      <c r="Z39" s="2"/>
      <c r="AA39" s="2" t="s">
        <v>213</v>
      </c>
      <c r="AB39" s="2" t="s">
        <v>53</v>
      </c>
      <c r="AC39" s="4" t="s">
        <v>44</v>
      </c>
    </row>
    <row r="40" spans="1:29" x14ac:dyDescent="0.25">
      <c r="A40" s="1">
        <v>1884</v>
      </c>
      <c r="B40" s="17" t="s">
        <v>338</v>
      </c>
      <c r="C40" s="2" t="s">
        <v>339</v>
      </c>
      <c r="D40" s="15" t="s">
        <v>340</v>
      </c>
      <c r="E40" s="9" t="s">
        <v>341</v>
      </c>
      <c r="F40" s="9" t="s">
        <v>342</v>
      </c>
      <c r="G40" s="9" t="s">
        <v>343</v>
      </c>
      <c r="H40" s="2" t="s">
        <v>60</v>
      </c>
      <c r="I40" s="3">
        <v>33497</v>
      </c>
      <c r="J40" s="9" t="str">
        <f t="shared" ca="1" si="0"/>
        <v>31 ans</v>
      </c>
      <c r="K40" s="2" t="s">
        <v>36</v>
      </c>
      <c r="L40" s="2" t="str">
        <f>"35"</f>
        <v>35</v>
      </c>
      <c r="M40" s="2"/>
      <c r="N40" s="2" t="str">
        <f>"AV LEGRAND"</f>
        <v>AV LEGRAND</v>
      </c>
      <c r="O40" s="2" t="s">
        <v>51</v>
      </c>
      <c r="P40" s="9" t="e">
        <f>VLOOKUP($O40,'Liste des Villes'!$B$2:$B$1128,1,FALSE)</f>
        <v>#N/A</v>
      </c>
      <c r="Q40" s="9" t="str">
        <f>IFERROR($P40,PROPER(VLOOKUP($O40,'Villes en erreur'!$A$2:$B$72,2,FALSE)))</f>
        <v>Saint-Lin–Laurentides</v>
      </c>
      <c r="R40" s="9" t="str">
        <f>IFERROR($P40,PROPER(VLOOKUP($O40,'Villes en erreur'!$A$2:$B$72,2,FALSE)))</f>
        <v>Saint-Lin–Laurentides</v>
      </c>
      <c r="S40" s="9" t="str">
        <f>IF(ISBLANK($R40),"",VLOOKUP($R40,'Liste des Villes'!$B$2:$H$1128,4,FALSE))</f>
        <v>Lanaudière</v>
      </c>
      <c r="T40" s="2" t="s">
        <v>38</v>
      </c>
      <c r="U40" s="2" t="s">
        <v>39</v>
      </c>
      <c r="V40" s="2" t="s">
        <v>40</v>
      </c>
      <c r="W40" s="2" t="s">
        <v>344</v>
      </c>
      <c r="X40" s="2"/>
      <c r="Y40" s="2"/>
      <c r="Z40" s="2"/>
      <c r="AA40" s="2" t="s">
        <v>213</v>
      </c>
      <c r="AB40" s="2" t="s">
        <v>53</v>
      </c>
      <c r="AC40" s="4" t="s">
        <v>44</v>
      </c>
    </row>
    <row r="41" spans="1:29" x14ac:dyDescent="0.25">
      <c r="A41" s="1">
        <v>2691</v>
      </c>
      <c r="B41" s="17" t="s">
        <v>345</v>
      </c>
      <c r="C41" s="2" t="s">
        <v>346</v>
      </c>
      <c r="D41" s="15" t="s">
        <v>347</v>
      </c>
      <c r="E41" s="9" t="s">
        <v>348</v>
      </c>
      <c r="F41" s="9" t="s">
        <v>349</v>
      </c>
      <c r="G41" s="9" t="s">
        <v>94</v>
      </c>
      <c r="H41" s="2" t="s">
        <v>60</v>
      </c>
      <c r="I41" s="3">
        <v>33228</v>
      </c>
      <c r="J41" s="9" t="str">
        <f t="shared" ca="1" si="0"/>
        <v>32 ans</v>
      </c>
      <c r="K41" s="2" t="s">
        <v>36</v>
      </c>
      <c r="L41" s="2" t="str">
        <f>"29"</f>
        <v>29</v>
      </c>
      <c r="M41" s="2"/>
      <c r="N41" s="2" t="str">
        <f>"AV DE L'ÉRABLIÈRE"</f>
        <v>AV DE L'ÉRABLIÈRE</v>
      </c>
      <c r="O41" s="2" t="s">
        <v>37</v>
      </c>
      <c r="P41" s="9" t="e">
        <f>VLOOKUP($O41,'Liste des Villes'!$B$2:$B$1128,1,FALSE)</f>
        <v>#N/A</v>
      </c>
      <c r="Q41" s="9" t="str">
        <f>IFERROR($P41,PROPER(VLOOKUP($O41,'Villes en erreur'!$A$2:$B$72,2,FALSE)))</f>
        <v>Saint-Lin–Laurentides</v>
      </c>
      <c r="R41" s="9" t="str">
        <f>IFERROR($P41,PROPER(VLOOKUP($O41,'Villes en erreur'!$A$2:$B$72,2,FALSE)))</f>
        <v>Saint-Lin–Laurentides</v>
      </c>
      <c r="S41" s="9" t="str">
        <f>IF(ISBLANK($R41),"",VLOOKUP($R41,'Liste des Villes'!$B$2:$H$1128,4,FALSE))</f>
        <v>Lanaudière</v>
      </c>
      <c r="T41" s="2" t="s">
        <v>38</v>
      </c>
      <c r="U41" s="2" t="s">
        <v>39</v>
      </c>
      <c r="V41" s="2" t="s">
        <v>40</v>
      </c>
      <c r="W41" s="2" t="s">
        <v>350</v>
      </c>
      <c r="X41" s="2"/>
      <c r="Y41" s="2"/>
      <c r="Z41" s="2"/>
      <c r="AA41" s="2" t="s">
        <v>42</v>
      </c>
      <c r="AB41" s="2" t="s">
        <v>43</v>
      </c>
      <c r="AC41" s="4" t="s">
        <v>44</v>
      </c>
    </row>
    <row r="42" spans="1:29" x14ac:dyDescent="0.25">
      <c r="A42" s="1">
        <v>3183</v>
      </c>
      <c r="B42" s="17" t="s">
        <v>351</v>
      </c>
      <c r="C42" s="2" t="s">
        <v>352</v>
      </c>
      <c r="D42" s="15" t="s">
        <v>353</v>
      </c>
      <c r="E42" s="9" t="s">
        <v>354</v>
      </c>
      <c r="F42" s="9" t="s">
        <v>355</v>
      </c>
      <c r="G42" s="9" t="s">
        <v>145</v>
      </c>
      <c r="H42" s="2" t="s">
        <v>35</v>
      </c>
      <c r="I42" s="3">
        <v>31642</v>
      </c>
      <c r="J42" s="9" t="str">
        <f t="shared" ca="1" si="0"/>
        <v>37 ans</v>
      </c>
      <c r="K42" s="2" t="s">
        <v>36</v>
      </c>
      <c r="L42" s="2" t="str">
        <f>"16"</f>
        <v>16</v>
      </c>
      <c r="M42" s="2"/>
      <c r="N42" s="2" t="str">
        <f>"373E AV"</f>
        <v>373E AV</v>
      </c>
      <c r="O42" s="2" t="s">
        <v>356</v>
      </c>
      <c r="P42" s="9" t="e">
        <f>VLOOKUP($O42,'Liste des Villes'!$B$2:$B$1128,1,FALSE)</f>
        <v>#N/A</v>
      </c>
      <c r="Q42" s="9" t="str">
        <f>IFERROR($P42,PROPER(VLOOKUP($O42,'Villes en erreur'!$A$2:$B$72,2,FALSE)))</f>
        <v>Mirabel</v>
      </c>
      <c r="R42" s="9" t="str">
        <f>IFERROR($P42,PROPER(VLOOKUP($O42,'Villes en erreur'!$A$2:$B$72,2,FALSE)))</f>
        <v>Mirabel</v>
      </c>
      <c r="S42" s="9" t="str">
        <f>IF(ISBLANK($R42),"",VLOOKUP($R42,'Liste des Villes'!$B$2:$H$1128,4,FALSE))</f>
        <v>Laurentides</v>
      </c>
      <c r="T42" s="2" t="s">
        <v>357</v>
      </c>
      <c r="U42" s="2" t="s">
        <v>39</v>
      </c>
      <c r="V42" s="2" t="s">
        <v>40</v>
      </c>
      <c r="W42" s="2" t="s">
        <v>358</v>
      </c>
      <c r="X42" s="2"/>
      <c r="Y42" s="2"/>
      <c r="Z42" s="2"/>
      <c r="AA42" s="2" t="s">
        <v>149</v>
      </c>
      <c r="AB42" s="2" t="s">
        <v>150</v>
      </c>
      <c r="AC42" s="4" t="s">
        <v>44</v>
      </c>
    </row>
    <row r="43" spans="1:29" x14ac:dyDescent="0.25">
      <c r="A43" s="1">
        <v>315</v>
      </c>
      <c r="B43" s="17" t="s">
        <v>359</v>
      </c>
      <c r="C43" s="2" t="s">
        <v>360</v>
      </c>
      <c r="D43" s="15" t="s">
        <v>361</v>
      </c>
      <c r="E43" s="9" t="s">
        <v>362</v>
      </c>
      <c r="F43" s="9" t="s">
        <v>363</v>
      </c>
      <c r="G43" s="9" t="s">
        <v>219</v>
      </c>
      <c r="H43" s="2" t="s">
        <v>35</v>
      </c>
      <c r="I43" s="3">
        <v>30828</v>
      </c>
      <c r="J43" s="9" t="str">
        <f t="shared" ca="1" si="0"/>
        <v>39 ans</v>
      </c>
      <c r="K43" s="2" t="s">
        <v>36</v>
      </c>
      <c r="L43" s="2" t="str">
        <f>"13"</f>
        <v>13</v>
      </c>
      <c r="M43" s="2"/>
      <c r="N43" s="2" t="str">
        <f>"22E AV"</f>
        <v>22E AV</v>
      </c>
      <c r="O43" s="2" t="s">
        <v>364</v>
      </c>
      <c r="P43" s="9" t="e">
        <f>VLOOKUP($O43,'Liste des Villes'!$B$2:$B$1128,1,FALSE)</f>
        <v>#N/A</v>
      </c>
      <c r="Q43" s="9" t="str">
        <f>IFERROR($P43,PROPER(VLOOKUP($O43,'Villes en erreur'!$A$2:$B$72,2,FALSE)))</f>
        <v>Saint-Placide</v>
      </c>
      <c r="R43" s="9" t="str">
        <f>IFERROR($P43,PROPER(VLOOKUP($O43,'Villes en erreur'!$A$2:$B$72,2,FALSE)))</f>
        <v>Saint-Placide</v>
      </c>
      <c r="S43" s="9" t="str">
        <f>IF(ISBLANK($R43),"",VLOOKUP($R43,'Liste des Villes'!$B$2:$H$1128,4,FALSE))</f>
        <v>Laurentides</v>
      </c>
      <c r="T43" s="2" t="s">
        <v>365</v>
      </c>
      <c r="U43" s="2" t="s">
        <v>39</v>
      </c>
      <c r="V43" s="2" t="s">
        <v>40</v>
      </c>
      <c r="W43" s="2" t="s">
        <v>366</v>
      </c>
      <c r="X43" s="2"/>
      <c r="Y43" s="2"/>
      <c r="Z43" s="2"/>
      <c r="AA43" s="2" t="s">
        <v>149</v>
      </c>
      <c r="AB43" s="2" t="s">
        <v>150</v>
      </c>
      <c r="AC43" s="4" t="s">
        <v>44</v>
      </c>
    </row>
    <row r="44" spans="1:29" x14ac:dyDescent="0.25">
      <c r="A44" s="1">
        <v>2168</v>
      </c>
      <c r="B44" s="17" t="s">
        <v>367</v>
      </c>
      <c r="C44" s="2" t="s">
        <v>368</v>
      </c>
      <c r="D44" s="15" t="s">
        <v>369</v>
      </c>
      <c r="E44" s="9" t="s">
        <v>370</v>
      </c>
      <c r="F44" s="9" t="s">
        <v>371</v>
      </c>
      <c r="G44" s="9" t="s">
        <v>65</v>
      </c>
      <c r="H44" s="2" t="s">
        <v>60</v>
      </c>
      <c r="I44" s="3">
        <v>37058</v>
      </c>
      <c r="J44" s="9" t="str">
        <f t="shared" ca="1" si="0"/>
        <v>22 ans</v>
      </c>
      <c r="K44" s="2" t="s">
        <v>156</v>
      </c>
      <c r="L44" s="2" t="str">
        <f>"1129"</f>
        <v>1129</v>
      </c>
      <c r="M44" s="2"/>
      <c r="N44" s="2" t="str">
        <f>"RUE DUBÉ"</f>
        <v>RUE DUBÉ</v>
      </c>
      <c r="O44" s="2" t="s">
        <v>372</v>
      </c>
      <c r="P44" s="9" t="e">
        <f>VLOOKUP($O44,'Liste des Villes'!$B$2:$B$1128,1,FALSE)</f>
        <v>#N/A</v>
      </c>
      <c r="Q44" s="9" t="str">
        <f>IFERROR($P44,PROPER(VLOOKUP($O44,'Villes en erreur'!$A$2:$B$72,2,FALSE)))</f>
        <v>Montréal</v>
      </c>
      <c r="R44" s="9" t="str">
        <f>IFERROR($P44,PROPER(VLOOKUP($O44,'Villes en erreur'!$A$2:$B$72,2,FALSE)))</f>
        <v>Montréal</v>
      </c>
      <c r="S44" s="9" t="str">
        <f>IF(ISBLANK($R44),"",VLOOKUP($R44,'Liste des Villes'!$B$2:$H$1128,4,FALSE))</f>
        <v>Montréal</v>
      </c>
      <c r="T44" s="2" t="s">
        <v>373</v>
      </c>
      <c r="U44" s="2" t="s">
        <v>39</v>
      </c>
      <c r="V44" s="2" t="s">
        <v>40</v>
      </c>
      <c r="W44" s="2" t="s">
        <v>374</v>
      </c>
      <c r="X44" s="2"/>
      <c r="Y44" s="2"/>
      <c r="Z44" s="2"/>
      <c r="AA44" s="2" t="s">
        <v>375</v>
      </c>
      <c r="AB44" s="2" t="s">
        <v>376</v>
      </c>
      <c r="AC44" s="4" t="s">
        <v>44</v>
      </c>
    </row>
    <row r="45" spans="1:29" x14ac:dyDescent="0.25">
      <c r="A45" s="1">
        <v>980</v>
      </c>
      <c r="B45" s="17" t="s">
        <v>377</v>
      </c>
      <c r="C45" s="2" t="s">
        <v>378</v>
      </c>
      <c r="D45" s="15" t="s">
        <v>379</v>
      </c>
      <c r="E45" s="9" t="s">
        <v>380</v>
      </c>
      <c r="F45" s="9" t="s">
        <v>304</v>
      </c>
      <c r="G45" s="9" t="s">
        <v>381</v>
      </c>
      <c r="H45" s="2" t="s">
        <v>35</v>
      </c>
      <c r="I45" s="3">
        <v>32794</v>
      </c>
      <c r="J45" s="9" t="str">
        <f t="shared" ca="1" si="0"/>
        <v>33 ans</v>
      </c>
      <c r="K45" s="2" t="s">
        <v>36</v>
      </c>
      <c r="L45" s="2" t="str">
        <f>"25"</f>
        <v>25</v>
      </c>
      <c r="M45" s="2"/>
      <c r="N45" s="2" t="str">
        <f>"7E RUE"</f>
        <v>7E RUE</v>
      </c>
      <c r="O45" s="2" t="s">
        <v>382</v>
      </c>
      <c r="P45" s="9" t="e">
        <f>VLOOKUP($O45,'Liste des Villes'!$B$2:$B$1128,1,FALSE)</f>
        <v>#N/A</v>
      </c>
      <c r="Q45" s="9" t="str">
        <f>IFERROR($P45,PROPER(VLOOKUP($O45,'Villes en erreur'!$A$2:$B$72,2,FALSE)))</f>
        <v>Amherst</v>
      </c>
      <c r="R45" s="9" t="str">
        <f>IFERROR($P45,PROPER(VLOOKUP($O45,'Villes en erreur'!$A$2:$B$72,2,FALSE)))</f>
        <v>Amherst</v>
      </c>
      <c r="S45" s="9" t="str">
        <f>IF(ISBLANK($R45),"",VLOOKUP($R45,'Liste des Villes'!$B$2:$H$1128,4,FALSE))</f>
        <v>Laurentides</v>
      </c>
      <c r="T45" s="2" t="s">
        <v>383</v>
      </c>
      <c r="U45" s="2" t="s">
        <v>39</v>
      </c>
      <c r="V45" s="2" t="s">
        <v>40</v>
      </c>
      <c r="W45" s="2" t="s">
        <v>384</v>
      </c>
      <c r="X45" s="2"/>
      <c r="Y45" s="2"/>
      <c r="Z45" s="2"/>
      <c r="AA45" s="2" t="s">
        <v>385</v>
      </c>
      <c r="AB45" s="2" t="s">
        <v>282</v>
      </c>
      <c r="AC45" s="4" t="s">
        <v>44</v>
      </c>
    </row>
    <row r="46" spans="1:29" x14ac:dyDescent="0.25">
      <c r="A46" s="1">
        <v>1514</v>
      </c>
      <c r="B46" s="17" t="s">
        <v>386</v>
      </c>
      <c r="C46" s="2" t="s">
        <v>387</v>
      </c>
      <c r="D46" s="15" t="s">
        <v>388</v>
      </c>
      <c r="E46" s="9" t="s">
        <v>389</v>
      </c>
      <c r="F46" s="9" t="s">
        <v>390</v>
      </c>
      <c r="G46" s="9" t="s">
        <v>391</v>
      </c>
      <c r="H46" s="2" t="s">
        <v>35</v>
      </c>
      <c r="I46" s="3">
        <v>32924</v>
      </c>
      <c r="J46" s="9" t="str">
        <f t="shared" ca="1" si="0"/>
        <v>33 ans</v>
      </c>
      <c r="K46" s="2" t="s">
        <v>36</v>
      </c>
      <c r="L46" s="2" t="str">
        <f>"26"</f>
        <v>26</v>
      </c>
      <c r="M46" s="2"/>
      <c r="N46" s="2" t="str">
        <f>"92E AV O"</f>
        <v>92E AV O</v>
      </c>
      <c r="O46" s="2" t="s">
        <v>37</v>
      </c>
      <c r="P46" s="9" t="e">
        <f>VLOOKUP($O46,'Liste des Villes'!$B$2:$B$1128,1,FALSE)</f>
        <v>#N/A</v>
      </c>
      <c r="Q46" s="9" t="str">
        <f>IFERROR($P46,PROPER(VLOOKUP($O46,'Villes en erreur'!$A$2:$B$72,2,FALSE)))</f>
        <v>Saint-Lin–Laurentides</v>
      </c>
      <c r="R46" s="9" t="str">
        <f>IFERROR($P46,PROPER(VLOOKUP($O46,'Villes en erreur'!$A$2:$B$72,2,FALSE)))</f>
        <v>Saint-Lin–Laurentides</v>
      </c>
      <c r="S46" s="9" t="str">
        <f>IF(ISBLANK($R46),"",VLOOKUP($R46,'Liste des Villes'!$B$2:$H$1128,4,FALSE))</f>
        <v>Lanaudière</v>
      </c>
      <c r="T46" s="2" t="s">
        <v>280</v>
      </c>
      <c r="U46" s="2" t="s">
        <v>39</v>
      </c>
      <c r="V46" s="2" t="s">
        <v>40</v>
      </c>
      <c r="W46" s="2" t="s">
        <v>392</v>
      </c>
      <c r="X46" s="2"/>
      <c r="Y46" s="2"/>
      <c r="Z46" s="2"/>
      <c r="AA46" s="2" t="s">
        <v>42</v>
      </c>
      <c r="AB46" s="2" t="s">
        <v>282</v>
      </c>
      <c r="AC46" s="4" t="s">
        <v>44</v>
      </c>
    </row>
    <row r="47" spans="1:29" x14ac:dyDescent="0.25">
      <c r="A47" s="1">
        <v>290</v>
      </c>
      <c r="B47" s="17" t="s">
        <v>393</v>
      </c>
      <c r="C47" s="2" t="s">
        <v>394</v>
      </c>
      <c r="D47" s="15" t="s">
        <v>395</v>
      </c>
      <c r="E47" s="9" t="s">
        <v>396</v>
      </c>
      <c r="F47" s="9" t="s">
        <v>34</v>
      </c>
      <c r="G47" s="9" t="s">
        <v>397</v>
      </c>
      <c r="H47" s="2" t="s">
        <v>60</v>
      </c>
      <c r="I47" s="3">
        <v>36617</v>
      </c>
      <c r="J47" s="9" t="str">
        <f t="shared" ca="1" si="0"/>
        <v>23 ans</v>
      </c>
      <c r="K47" s="2" t="s">
        <v>68</v>
      </c>
      <c r="L47" s="2" t="str">
        <f>"501"</f>
        <v>501</v>
      </c>
      <c r="M47" s="2"/>
      <c r="N47" s="2" t="str">
        <f>"RUE DE L'ÉGLISE"</f>
        <v>RUE DE L'ÉGLISE</v>
      </c>
      <c r="O47" s="2" t="s">
        <v>398</v>
      </c>
      <c r="P47" s="9" t="e">
        <f>VLOOKUP($O47,'Liste des Villes'!$B$2:$B$1128,1,FALSE)</f>
        <v>#N/A</v>
      </c>
      <c r="Q47" s="9" t="str">
        <f>IFERROR($P47,PROPER(VLOOKUP($O47,'Villes en erreur'!$A$2:$B$72,2,FALSE)))</f>
        <v>Laval</v>
      </c>
      <c r="R47" s="9" t="str">
        <f>IFERROR($P47,PROPER(VLOOKUP($O47,'Villes en erreur'!$A$2:$B$72,2,FALSE)))</f>
        <v>Laval</v>
      </c>
      <c r="S47" s="9" t="str">
        <f>IF(ISBLANK($R47),"",VLOOKUP($R47,'Liste des Villes'!$B$2:$H$1128,4,FALSE))</f>
        <v>Laval</v>
      </c>
      <c r="T47" s="2" t="s">
        <v>399</v>
      </c>
      <c r="U47" s="2" t="s">
        <v>39</v>
      </c>
      <c r="V47" s="2" t="s">
        <v>40</v>
      </c>
      <c r="W47" s="2" t="s">
        <v>400</v>
      </c>
      <c r="X47" s="2"/>
      <c r="Y47" s="2"/>
      <c r="Z47" s="2"/>
      <c r="AA47" s="2" t="s">
        <v>72</v>
      </c>
      <c r="AB47" s="2" t="s">
        <v>401</v>
      </c>
      <c r="AC47" s="4" t="s">
        <v>44</v>
      </c>
    </row>
    <row r="48" spans="1:29" x14ac:dyDescent="0.25">
      <c r="A48" s="1">
        <v>1042</v>
      </c>
      <c r="B48" s="17" t="s">
        <v>402</v>
      </c>
      <c r="C48" s="2" t="s">
        <v>403</v>
      </c>
      <c r="D48" s="15" t="s">
        <v>312</v>
      </c>
      <c r="E48" s="9" t="s">
        <v>404</v>
      </c>
      <c r="F48" s="9" t="s">
        <v>311</v>
      </c>
      <c r="G48" s="9" t="s">
        <v>405</v>
      </c>
      <c r="H48" s="2" t="s">
        <v>60</v>
      </c>
      <c r="I48" s="3">
        <v>31599</v>
      </c>
      <c r="J48" s="9" t="str">
        <f t="shared" ca="1" si="0"/>
        <v>37 ans</v>
      </c>
      <c r="K48" s="2" t="s">
        <v>36</v>
      </c>
      <c r="L48" s="2" t="str">
        <f>"15"</f>
        <v>15</v>
      </c>
      <c r="M48" s="2"/>
      <c r="N48" s="2" t="str">
        <f>"34E AVENUE OUEST"</f>
        <v>34E AVENUE OUEST</v>
      </c>
      <c r="O48" s="2" t="s">
        <v>406</v>
      </c>
      <c r="P48" s="9" t="e">
        <f>VLOOKUP($O48,'Liste des Villes'!$B$2:$B$1128,1,FALSE)</f>
        <v>#N/A</v>
      </c>
      <c r="Q48" s="9" t="str">
        <f>IFERROR($P48,PROPER(VLOOKUP($O48,'Villes en erreur'!$A$2:$B$72,2,FALSE)))</f>
        <v>Laval</v>
      </c>
      <c r="R48" s="9" t="str">
        <f>IFERROR($P48,PROPER(VLOOKUP($O48,'Villes en erreur'!$A$2:$B$72,2,FALSE)))</f>
        <v>Laval</v>
      </c>
      <c r="S48" s="9" t="str">
        <f>IF(ISBLANK($R48),"",VLOOKUP($R48,'Liste des Villes'!$B$2:$H$1128,4,FALSE))</f>
        <v>Laval</v>
      </c>
      <c r="T48" s="2" t="s">
        <v>407</v>
      </c>
      <c r="U48" s="2" t="s">
        <v>39</v>
      </c>
      <c r="V48" s="2" t="s">
        <v>40</v>
      </c>
      <c r="W48" s="2" t="s">
        <v>408</v>
      </c>
      <c r="X48" s="2"/>
      <c r="Y48" s="2"/>
      <c r="Z48" s="2"/>
      <c r="AA48" s="2" t="s">
        <v>149</v>
      </c>
      <c r="AB48" s="2" t="s">
        <v>150</v>
      </c>
      <c r="AC48" s="4" t="s">
        <v>44</v>
      </c>
    </row>
    <row r="49" spans="1:29" x14ac:dyDescent="0.25">
      <c r="A49" s="1">
        <v>3890</v>
      </c>
      <c r="B49" s="17" t="s">
        <v>409</v>
      </c>
      <c r="C49" s="2" t="s">
        <v>410</v>
      </c>
      <c r="D49" s="15" t="s">
        <v>411</v>
      </c>
      <c r="E49" s="9" t="s">
        <v>85</v>
      </c>
      <c r="F49" s="9" t="s">
        <v>412</v>
      </c>
      <c r="G49" s="9" t="s">
        <v>188</v>
      </c>
      <c r="H49" s="2" t="s">
        <v>60</v>
      </c>
      <c r="I49" s="3">
        <v>36760</v>
      </c>
      <c r="J49" s="9" t="str">
        <f t="shared" ca="1" si="0"/>
        <v>23 ans</v>
      </c>
      <c r="K49" s="2" t="s">
        <v>68</v>
      </c>
      <c r="L49" s="2" t="str">
        <f>"670"</f>
        <v>670</v>
      </c>
      <c r="M49" s="2"/>
      <c r="N49" s="2" t="str">
        <f>"RUE DES EAUX-VIVES"</f>
        <v>RUE DES EAUX-VIVES</v>
      </c>
      <c r="O49" s="2" t="s">
        <v>189</v>
      </c>
      <c r="P49" s="9" t="e">
        <f>VLOOKUP($O49,'Liste des Villes'!$B$2:$B$1128,1,FALSE)</f>
        <v>#N/A</v>
      </c>
      <c r="Q49" s="9" t="str">
        <f>IFERROR($P49,PROPER(VLOOKUP($O49,'Villes en erreur'!$A$2:$B$72,2,FALSE)))</f>
        <v>Saint-Donat</v>
      </c>
      <c r="R49" s="9" t="str">
        <f>IFERROR($P49,PROPER(VLOOKUP($O49,'Villes en erreur'!$A$2:$B$72,2,FALSE)))</f>
        <v>Saint-Donat</v>
      </c>
      <c r="S49" s="9" t="str">
        <f>IF(ISBLANK($R49),"",VLOOKUP($R49,'Liste des Villes'!$B$2:$H$1128,4,FALSE))</f>
        <v>Lanaudière</v>
      </c>
      <c r="T49" s="2" t="s">
        <v>413</v>
      </c>
      <c r="U49" s="2" t="s">
        <v>39</v>
      </c>
      <c r="V49" s="2" t="s">
        <v>40</v>
      </c>
      <c r="W49" s="2" t="s">
        <v>414</v>
      </c>
      <c r="X49" s="2"/>
      <c r="Y49" s="2"/>
      <c r="Z49" s="2"/>
      <c r="AA49" s="2" t="s">
        <v>72</v>
      </c>
      <c r="AB49" s="2" t="s">
        <v>192</v>
      </c>
      <c r="AC49" s="4" t="s">
        <v>44</v>
      </c>
    </row>
    <row r="50" spans="1:29" x14ac:dyDescent="0.25">
      <c r="A50" s="1">
        <v>2628</v>
      </c>
      <c r="B50" s="17" t="s">
        <v>415</v>
      </c>
      <c r="C50" s="2" t="s">
        <v>416</v>
      </c>
      <c r="D50" s="15" t="s">
        <v>417</v>
      </c>
      <c r="E50" s="9" t="s">
        <v>418</v>
      </c>
      <c r="F50" s="9" t="s">
        <v>419</v>
      </c>
      <c r="G50" s="9" t="s">
        <v>420</v>
      </c>
      <c r="H50" s="2" t="s">
        <v>35</v>
      </c>
      <c r="I50" s="3">
        <v>33181</v>
      </c>
      <c r="J50" s="9" t="str">
        <f t="shared" ca="1" si="0"/>
        <v>32 ans</v>
      </c>
      <c r="K50" s="2" t="s">
        <v>36</v>
      </c>
      <c r="L50" s="2" t="str">
        <f>"28"</f>
        <v>28</v>
      </c>
      <c r="M50" s="2"/>
      <c r="N50" s="2" t="str">
        <f>"Av D'Argenteuil"</f>
        <v>Av D'Argenteuil</v>
      </c>
      <c r="O50" s="2" t="s">
        <v>37</v>
      </c>
      <c r="P50" s="9" t="e">
        <f>VLOOKUP($O50,'Liste des Villes'!$B$2:$B$1128,1,FALSE)</f>
        <v>#N/A</v>
      </c>
      <c r="Q50" s="9" t="str">
        <f>IFERROR($P50,PROPER(VLOOKUP($O50,'Villes en erreur'!$A$2:$B$72,2,FALSE)))</f>
        <v>Saint-Lin–Laurentides</v>
      </c>
      <c r="R50" s="9" t="str">
        <f>IFERROR($P50,PROPER(VLOOKUP($O50,'Villes en erreur'!$A$2:$B$72,2,FALSE)))</f>
        <v>Saint-Lin–Laurentides</v>
      </c>
      <c r="S50" s="9" t="str">
        <f>IF(ISBLANK($R50),"",VLOOKUP($R50,'Liste des Villes'!$B$2:$H$1128,4,FALSE))</f>
        <v>Lanaudière</v>
      </c>
      <c r="T50" s="2" t="s">
        <v>38</v>
      </c>
      <c r="U50" s="2" t="s">
        <v>39</v>
      </c>
      <c r="V50" s="2" t="s">
        <v>40</v>
      </c>
      <c r="W50" s="2" t="s">
        <v>421</v>
      </c>
      <c r="X50" s="2"/>
      <c r="Y50" s="2"/>
      <c r="Z50" s="2"/>
      <c r="AA50" s="2" t="s">
        <v>42</v>
      </c>
      <c r="AB50" s="2" t="s">
        <v>43</v>
      </c>
      <c r="AC50" s="4" t="s">
        <v>44</v>
      </c>
    </row>
    <row r="51" spans="1:29" x14ac:dyDescent="0.25">
      <c r="A51" s="1">
        <v>95</v>
      </c>
      <c r="B51" s="17" t="s">
        <v>422</v>
      </c>
      <c r="C51" s="2" t="s">
        <v>423</v>
      </c>
      <c r="D51" s="15" t="s">
        <v>424</v>
      </c>
      <c r="E51" s="9" t="s">
        <v>425</v>
      </c>
      <c r="F51" s="9" t="s">
        <v>426</v>
      </c>
      <c r="G51" s="9" t="s">
        <v>219</v>
      </c>
      <c r="H51" s="2" t="s">
        <v>35</v>
      </c>
      <c r="I51" s="3">
        <v>31078</v>
      </c>
      <c r="J51" s="9" t="str">
        <f t="shared" ca="1" si="0"/>
        <v>38 ans</v>
      </c>
      <c r="K51" s="2" t="s">
        <v>36</v>
      </c>
      <c r="L51" s="2" t="str">
        <f>"14"</f>
        <v>14</v>
      </c>
      <c r="M51" s="2"/>
      <c r="N51" s="2" t="str">
        <f>"25E AV"</f>
        <v>25E AV</v>
      </c>
      <c r="O51" s="2" t="s">
        <v>235</v>
      </c>
      <c r="P51" s="9" t="e">
        <f>VLOOKUP($O51,'Liste des Villes'!$B$2:$B$1128,1,FALSE)</f>
        <v>#N/A</v>
      </c>
      <c r="Q51" s="9" t="str">
        <f>IFERROR($P51,PROPER(VLOOKUP($O51,'Villes en erreur'!$A$2:$B$72,2,FALSE)))</f>
        <v>Saint-Jérôme</v>
      </c>
      <c r="R51" s="9" t="str">
        <f>IFERROR($P51,PROPER(VLOOKUP($O51,'Villes en erreur'!$A$2:$B$72,2,FALSE)))</f>
        <v>Saint-Jérôme</v>
      </c>
      <c r="S51" s="9" t="str">
        <f>IF(ISBLANK($R51),"",VLOOKUP($R51,'Liste des Villes'!$B$2:$H$1128,4,FALSE))</f>
        <v>Laurentides</v>
      </c>
      <c r="T51" s="2" t="s">
        <v>427</v>
      </c>
      <c r="U51" s="2" t="s">
        <v>39</v>
      </c>
      <c r="V51" s="2" t="s">
        <v>40</v>
      </c>
      <c r="W51" s="2" t="s">
        <v>428</v>
      </c>
      <c r="X51" s="2"/>
      <c r="Y51" s="2"/>
      <c r="Z51" s="2"/>
      <c r="AA51" s="2" t="s">
        <v>149</v>
      </c>
      <c r="AB51" s="2" t="s">
        <v>150</v>
      </c>
      <c r="AC51" s="4" t="s">
        <v>44</v>
      </c>
    </row>
    <row r="52" spans="1:29" x14ac:dyDescent="0.25">
      <c r="A52" s="1">
        <v>3360</v>
      </c>
      <c r="B52" s="17" t="s">
        <v>429</v>
      </c>
      <c r="C52" s="2" t="s">
        <v>430</v>
      </c>
      <c r="D52" s="15" t="s">
        <v>203</v>
      </c>
      <c r="E52" s="9" t="s">
        <v>431</v>
      </c>
      <c r="F52" s="9" t="s">
        <v>432</v>
      </c>
      <c r="G52" s="9" t="s">
        <v>219</v>
      </c>
      <c r="H52" s="2" t="s">
        <v>35</v>
      </c>
      <c r="I52" s="3">
        <v>31288</v>
      </c>
      <c r="J52" s="9" t="str">
        <f t="shared" ca="1" si="0"/>
        <v>37 ans</v>
      </c>
      <c r="K52" s="2" t="s">
        <v>36</v>
      </c>
      <c r="L52" s="2" t="str">
        <f>"14"</f>
        <v>14</v>
      </c>
      <c r="M52" s="2"/>
      <c r="N52" s="2" t="str">
        <f>"27E AV O"</f>
        <v>27E AV O</v>
      </c>
      <c r="O52" s="2" t="s">
        <v>433</v>
      </c>
      <c r="P52" s="9" t="e">
        <f>VLOOKUP($O52,'Liste des Villes'!$B$2:$B$1128,1,FALSE)</f>
        <v>#N/A</v>
      </c>
      <c r="Q52" s="9" t="str">
        <f>IFERROR($P52,PROPER(VLOOKUP($O52,'Villes en erreur'!$A$2:$B$72,2,FALSE)))</f>
        <v>Saint-Jérôme</v>
      </c>
      <c r="R52" s="9" t="str">
        <f>IFERROR($P52,PROPER(VLOOKUP($O52,'Villes en erreur'!$A$2:$B$72,2,FALSE)))</f>
        <v>Saint-Jérôme</v>
      </c>
      <c r="S52" s="9" t="str">
        <f>IF(ISBLANK($R52),"",VLOOKUP($R52,'Liste des Villes'!$B$2:$H$1128,4,FALSE))</f>
        <v>Laurentides</v>
      </c>
      <c r="T52" s="2" t="s">
        <v>434</v>
      </c>
      <c r="U52" s="2" t="s">
        <v>39</v>
      </c>
      <c r="V52" s="2" t="s">
        <v>40</v>
      </c>
      <c r="W52" s="2" t="s">
        <v>435</v>
      </c>
      <c r="X52" s="2"/>
      <c r="Y52" s="2"/>
      <c r="Z52" s="2"/>
      <c r="AA52" s="2" t="s">
        <v>149</v>
      </c>
      <c r="AB52" s="2" t="s">
        <v>150</v>
      </c>
      <c r="AC52" s="4" t="s">
        <v>44</v>
      </c>
    </row>
    <row r="53" spans="1:29" x14ac:dyDescent="0.25">
      <c r="A53" s="1">
        <v>4420</v>
      </c>
      <c r="B53" s="17" t="s">
        <v>436</v>
      </c>
      <c r="C53" s="2" t="s">
        <v>437</v>
      </c>
      <c r="D53" s="15" t="s">
        <v>438</v>
      </c>
      <c r="E53" s="9" t="s">
        <v>439</v>
      </c>
      <c r="F53" s="9" t="s">
        <v>440</v>
      </c>
      <c r="G53" s="9" t="s">
        <v>441</v>
      </c>
      <c r="H53" s="2" t="s">
        <v>60</v>
      </c>
      <c r="I53" s="3">
        <v>23120</v>
      </c>
      <c r="J53" s="9" t="str">
        <f t="shared" ca="1" si="0"/>
        <v>60 ans</v>
      </c>
      <c r="K53" s="2" t="s">
        <v>36</v>
      </c>
      <c r="L53" s="2" t="str">
        <f>"1"</f>
        <v>1</v>
      </c>
      <c r="M53" s="2"/>
      <c r="N53" s="2" t="str">
        <f>"100E AV"</f>
        <v>100E AV</v>
      </c>
      <c r="O53" s="2" t="s">
        <v>442</v>
      </c>
      <c r="P53" s="9" t="e">
        <f>VLOOKUP($O53,'Liste des Villes'!$B$2:$B$1128,1,FALSE)</f>
        <v>#N/A</v>
      </c>
      <c r="Q53" s="9" t="str">
        <f>IFERROR($P53,PROPER(VLOOKUP($O53,'Villes en erreur'!$A$2:$B$72,2,FALSE)))</f>
        <v>Laval</v>
      </c>
      <c r="R53" s="9" t="str">
        <f>IFERROR($P53,PROPER(VLOOKUP($O53,'Villes en erreur'!$A$2:$B$72,2,FALSE)))</f>
        <v>Laval</v>
      </c>
      <c r="S53" s="9" t="str">
        <f>IF(ISBLANK($R53),"",VLOOKUP($R53,'Liste des Villes'!$B$2:$H$1128,4,FALSE))</f>
        <v>Laval</v>
      </c>
      <c r="T53" s="2" t="s">
        <v>443</v>
      </c>
      <c r="U53" s="2" t="s">
        <v>39</v>
      </c>
      <c r="V53" s="2" t="s">
        <v>40</v>
      </c>
      <c r="W53" s="2" t="s">
        <v>444</v>
      </c>
      <c r="X53" s="2"/>
      <c r="Y53" s="2"/>
      <c r="Z53" s="2"/>
      <c r="AA53" s="2" t="s">
        <v>149</v>
      </c>
      <c r="AB53" s="2" t="s">
        <v>445</v>
      </c>
      <c r="AC53" s="4" t="s">
        <v>446</v>
      </c>
    </row>
    <row r="54" spans="1:29" x14ac:dyDescent="0.25">
      <c r="A54" s="1">
        <v>4348</v>
      </c>
      <c r="B54" s="17" t="s">
        <v>447</v>
      </c>
      <c r="C54" s="2" t="s">
        <v>448</v>
      </c>
      <c r="D54" s="15" t="s">
        <v>449</v>
      </c>
      <c r="E54" s="9" t="s">
        <v>450</v>
      </c>
      <c r="F54" s="9" t="s">
        <v>451</v>
      </c>
      <c r="G54" s="9" t="s">
        <v>452</v>
      </c>
      <c r="H54" s="2" t="s">
        <v>35</v>
      </c>
      <c r="I54" s="3">
        <v>37401</v>
      </c>
      <c r="J54" s="9" t="str">
        <f t="shared" ca="1" si="0"/>
        <v>21 ans</v>
      </c>
      <c r="K54" s="2" t="s">
        <v>262</v>
      </c>
      <c r="L54" s="2" t="str">
        <f>"10284"</f>
        <v>10284</v>
      </c>
      <c r="M54" s="2"/>
      <c r="N54" s="2" t="str">
        <f>"RUE RACINE"</f>
        <v>RUE RACINE</v>
      </c>
      <c r="O54" s="2" t="s">
        <v>453</v>
      </c>
      <c r="P54" s="9" t="e">
        <f>VLOOKUP($O54,'Liste des Villes'!$B$2:$B$1128,1,FALSE)</f>
        <v>#N/A</v>
      </c>
      <c r="Q54" s="9" t="str">
        <f>IFERROR($P54,PROPER(VLOOKUP($O54,'Villes en erreur'!$A$2:$B$72,2,FALSE)))</f>
        <v>Notre-Dame-Du-Bon-Conseil</v>
      </c>
      <c r="R54" s="9" t="str">
        <f>IFERROR($P54,PROPER(VLOOKUP($O54,'Villes en erreur'!$A$2:$B$72,2,FALSE)))</f>
        <v>Notre-Dame-Du-Bon-Conseil</v>
      </c>
      <c r="S54" s="9" t="str">
        <f>IF(ISBLANK($R54),"",VLOOKUP($R54,'Liste des Villes'!$B$2:$H$1128,4,FALSE))</f>
        <v>Centre-du-Québec</v>
      </c>
      <c r="T54" s="2" t="s">
        <v>454</v>
      </c>
      <c r="U54" s="2" t="s">
        <v>39</v>
      </c>
      <c r="V54" s="2" t="s">
        <v>40</v>
      </c>
      <c r="W54" s="2" t="s">
        <v>455</v>
      </c>
      <c r="X54" s="2" t="str">
        <f>"4508223737"</f>
        <v>4508223737</v>
      </c>
      <c r="Y54" s="2" t="str">
        <f>"4508229170"</f>
        <v>4508229170</v>
      </c>
      <c r="Z54" s="2"/>
      <c r="AA54" s="2" t="s">
        <v>456</v>
      </c>
      <c r="AB54" s="2" t="s">
        <v>457</v>
      </c>
      <c r="AC54" s="4" t="s">
        <v>44</v>
      </c>
    </row>
    <row r="55" spans="1:29" x14ac:dyDescent="0.25">
      <c r="A55" s="1">
        <v>4216</v>
      </c>
      <c r="B55" s="17" t="s">
        <v>458</v>
      </c>
      <c r="C55" s="2" t="s">
        <v>459</v>
      </c>
      <c r="D55" s="15" t="s">
        <v>460</v>
      </c>
      <c r="E55" s="9" t="s">
        <v>461</v>
      </c>
      <c r="F55" s="9" t="s">
        <v>462</v>
      </c>
      <c r="G55" s="9" t="s">
        <v>101</v>
      </c>
      <c r="H55" s="2" t="s">
        <v>35</v>
      </c>
      <c r="I55" s="3">
        <v>32934</v>
      </c>
      <c r="J55" s="9" t="str">
        <f t="shared" ca="1" si="0"/>
        <v>33 ans</v>
      </c>
      <c r="K55" s="2" t="s">
        <v>36</v>
      </c>
      <c r="L55" s="2" t="str">
        <f>"26"</f>
        <v>26</v>
      </c>
      <c r="M55" s="2"/>
      <c r="N55" s="2" t="str">
        <f>"9E RUE"</f>
        <v>9E RUE</v>
      </c>
      <c r="O55" s="2" t="s">
        <v>37</v>
      </c>
      <c r="P55" s="9" t="e">
        <f>VLOOKUP($O55,'Liste des Villes'!$B$2:$B$1128,1,FALSE)</f>
        <v>#N/A</v>
      </c>
      <c r="Q55" s="9" t="str">
        <f>IFERROR($P55,PROPER(VLOOKUP($O55,'Villes en erreur'!$A$2:$B$72,2,FALSE)))</f>
        <v>Saint-Lin–Laurentides</v>
      </c>
      <c r="R55" s="9" t="str">
        <f>IFERROR($P55,PROPER(VLOOKUP($O55,'Villes en erreur'!$A$2:$B$72,2,FALSE)))</f>
        <v>Saint-Lin–Laurentides</v>
      </c>
      <c r="S55" s="9" t="str">
        <f>IF(ISBLANK($R55),"",VLOOKUP($R55,'Liste des Villes'!$B$2:$H$1128,4,FALSE))</f>
        <v>Lanaudière</v>
      </c>
      <c r="T55" s="2" t="s">
        <v>280</v>
      </c>
      <c r="U55" s="2" t="s">
        <v>39</v>
      </c>
      <c r="V55" s="2" t="s">
        <v>40</v>
      </c>
      <c r="W55" s="2" t="s">
        <v>463</v>
      </c>
      <c r="X55" s="2"/>
      <c r="Y55" s="2"/>
      <c r="Z55" s="2"/>
      <c r="AA55" s="2" t="s">
        <v>42</v>
      </c>
      <c r="AB55" s="2" t="s">
        <v>464</v>
      </c>
      <c r="AC55" s="4" t="s">
        <v>44</v>
      </c>
    </row>
    <row r="56" spans="1:29" x14ac:dyDescent="0.25">
      <c r="A56" s="1">
        <v>1083</v>
      </c>
      <c r="B56" s="17" t="s">
        <v>465</v>
      </c>
      <c r="C56" s="2" t="s">
        <v>466</v>
      </c>
      <c r="D56" s="15" t="s">
        <v>467</v>
      </c>
      <c r="E56" s="9" t="s">
        <v>468</v>
      </c>
      <c r="F56" s="9" t="s">
        <v>469</v>
      </c>
      <c r="G56" s="9" t="s">
        <v>470</v>
      </c>
      <c r="H56" s="2" t="s">
        <v>60</v>
      </c>
      <c r="I56" s="3">
        <v>33358</v>
      </c>
      <c r="J56" s="9" t="str">
        <f t="shared" ca="1" si="0"/>
        <v>32 ans</v>
      </c>
      <c r="K56" s="2" t="s">
        <v>36</v>
      </c>
      <c r="L56" s="2" t="str">
        <f>"32"</f>
        <v>32</v>
      </c>
      <c r="M56" s="2"/>
      <c r="N56" s="2" t="str">
        <f>"AV DU MONT-VERT"</f>
        <v>AV DU MONT-VERT</v>
      </c>
      <c r="O56" s="2" t="s">
        <v>37</v>
      </c>
      <c r="P56" s="9" t="e">
        <f>VLOOKUP($O56,'Liste des Villes'!$B$2:$B$1128,1,FALSE)</f>
        <v>#N/A</v>
      </c>
      <c r="Q56" s="9" t="str">
        <f>IFERROR($P56,PROPER(VLOOKUP($O56,'Villes en erreur'!$A$2:$B$72,2,FALSE)))</f>
        <v>Saint-Lin–Laurentides</v>
      </c>
      <c r="R56" s="9" t="str">
        <f>IFERROR($P56,PROPER(VLOOKUP($O56,'Villes en erreur'!$A$2:$B$72,2,FALSE)))</f>
        <v>Saint-Lin–Laurentides</v>
      </c>
      <c r="S56" s="9" t="str">
        <f>IF(ISBLANK($R56),"",VLOOKUP($R56,'Liste des Villes'!$B$2:$H$1128,4,FALSE))</f>
        <v>Lanaudière</v>
      </c>
      <c r="T56" s="2" t="s">
        <v>38</v>
      </c>
      <c r="U56" s="2" t="s">
        <v>39</v>
      </c>
      <c r="V56" s="2" t="s">
        <v>40</v>
      </c>
      <c r="W56" s="2" t="s">
        <v>471</v>
      </c>
      <c r="X56" s="2"/>
      <c r="Y56" s="2"/>
      <c r="Z56" s="2"/>
      <c r="AA56" s="2" t="s">
        <v>42</v>
      </c>
      <c r="AB56" s="2" t="s">
        <v>53</v>
      </c>
      <c r="AC56" s="4" t="s">
        <v>44</v>
      </c>
    </row>
    <row r="57" spans="1:29" x14ac:dyDescent="0.25">
      <c r="A57" s="1">
        <v>667</v>
      </c>
      <c r="B57" s="17" t="s">
        <v>472</v>
      </c>
      <c r="C57" s="2" t="s">
        <v>473</v>
      </c>
      <c r="D57" s="15" t="s">
        <v>371</v>
      </c>
      <c r="E57" s="9" t="s">
        <v>474</v>
      </c>
      <c r="F57" s="9" t="s">
        <v>369</v>
      </c>
      <c r="G57" s="9" t="s">
        <v>59</v>
      </c>
      <c r="H57" s="2" t="s">
        <v>60</v>
      </c>
      <c r="I57" s="3">
        <v>33480</v>
      </c>
      <c r="J57" s="9" t="str">
        <f t="shared" ca="1" si="0"/>
        <v>31 ans</v>
      </c>
      <c r="K57" s="2" t="s">
        <v>36</v>
      </c>
      <c r="L57" s="2" t="str">
        <f>"34"</f>
        <v>34</v>
      </c>
      <c r="M57" s="2"/>
      <c r="N57" s="2" t="str">
        <f>"AV HOCHAR"</f>
        <v>AV HOCHAR</v>
      </c>
      <c r="O57" s="2" t="s">
        <v>51</v>
      </c>
      <c r="P57" s="9" t="e">
        <f>VLOOKUP($O57,'Liste des Villes'!$B$2:$B$1128,1,FALSE)</f>
        <v>#N/A</v>
      </c>
      <c r="Q57" s="9" t="str">
        <f>IFERROR($P57,PROPER(VLOOKUP($O57,'Villes en erreur'!$A$2:$B$72,2,FALSE)))</f>
        <v>Saint-Lin–Laurentides</v>
      </c>
      <c r="R57" s="9" t="str">
        <f>IFERROR($P57,PROPER(VLOOKUP($O57,'Villes en erreur'!$A$2:$B$72,2,FALSE)))</f>
        <v>Saint-Lin–Laurentides</v>
      </c>
      <c r="S57" s="9" t="str">
        <f>IF(ISBLANK($R57),"",VLOOKUP($R57,'Liste des Villes'!$B$2:$H$1128,4,FALSE))</f>
        <v>Lanaudière</v>
      </c>
      <c r="T57" s="2" t="s">
        <v>38</v>
      </c>
      <c r="U57" s="2" t="s">
        <v>39</v>
      </c>
      <c r="V57" s="2" t="s">
        <v>40</v>
      </c>
      <c r="W57" s="2" t="s">
        <v>475</v>
      </c>
      <c r="X57" s="2"/>
      <c r="Y57" s="2"/>
      <c r="Z57" s="2"/>
      <c r="AA57" s="2" t="s">
        <v>42</v>
      </c>
      <c r="AB57" s="2" t="s">
        <v>53</v>
      </c>
      <c r="AC57" s="4" t="s">
        <v>44</v>
      </c>
    </row>
    <row r="58" spans="1:29" x14ac:dyDescent="0.25">
      <c r="A58" s="1">
        <v>1881</v>
      </c>
      <c r="B58" s="17" t="s">
        <v>476</v>
      </c>
      <c r="C58" s="2" t="s">
        <v>477</v>
      </c>
      <c r="D58" s="15" t="s">
        <v>478</v>
      </c>
      <c r="E58" s="9" t="s">
        <v>479</v>
      </c>
      <c r="F58" s="9" t="s">
        <v>480</v>
      </c>
      <c r="G58" s="9" t="s">
        <v>219</v>
      </c>
      <c r="H58" s="2" t="s">
        <v>35</v>
      </c>
      <c r="I58" s="3">
        <v>30863</v>
      </c>
      <c r="J58" s="9" t="str">
        <f t="shared" ca="1" si="0"/>
        <v>39 ans</v>
      </c>
      <c r="K58" s="2" t="s">
        <v>36</v>
      </c>
      <c r="L58" s="2" t="str">
        <f>"13"</f>
        <v>13</v>
      </c>
      <c r="M58" s="2"/>
      <c r="N58" s="2" t="str">
        <f>"22E RUE"</f>
        <v>22E RUE</v>
      </c>
      <c r="O58" s="2" t="s">
        <v>481</v>
      </c>
      <c r="P58" s="9" t="e">
        <f>VLOOKUP($O58,'Liste des Villes'!$B$2:$B$1128,1,FALSE)</f>
        <v>#N/A</v>
      </c>
      <c r="Q58" s="9" t="str">
        <f>IFERROR($P58,PROPER(VLOOKUP($O58,'Villes en erreur'!$A$2:$B$72,2,FALSE)))</f>
        <v>Saint-Lin–Laurentides</v>
      </c>
      <c r="R58" s="9" t="str">
        <f>IFERROR($P58,PROPER(VLOOKUP($O58,'Villes en erreur'!$A$2:$B$72,2,FALSE)))</f>
        <v>Saint-Lin–Laurentides</v>
      </c>
      <c r="S58" s="9" t="str">
        <f>IF(ISBLANK($R58),"",VLOOKUP($R58,'Liste des Villes'!$B$2:$H$1128,4,FALSE))</f>
        <v>Lanaudière</v>
      </c>
      <c r="T58" s="2" t="s">
        <v>482</v>
      </c>
      <c r="U58" s="2" t="s">
        <v>39</v>
      </c>
      <c r="V58" s="2" t="s">
        <v>40</v>
      </c>
      <c r="W58" s="2" t="s">
        <v>483</v>
      </c>
      <c r="X58" s="2"/>
      <c r="Y58" s="2"/>
      <c r="Z58" s="2"/>
      <c r="AA58" s="2" t="s">
        <v>149</v>
      </c>
      <c r="AB58" s="2" t="s">
        <v>150</v>
      </c>
      <c r="AC58" s="4" t="s">
        <v>44</v>
      </c>
    </row>
    <row r="59" spans="1:29" x14ac:dyDescent="0.25">
      <c r="A59" s="1">
        <v>2420</v>
      </c>
      <c r="B59" s="17" t="s">
        <v>484</v>
      </c>
      <c r="C59" s="2" t="s">
        <v>485</v>
      </c>
      <c r="D59" s="15" t="s">
        <v>486</v>
      </c>
      <c r="E59" s="9" t="s">
        <v>487</v>
      </c>
      <c r="F59" s="9" t="s">
        <v>488</v>
      </c>
      <c r="G59" s="9" t="s">
        <v>85</v>
      </c>
      <c r="H59" s="2" t="s">
        <v>60</v>
      </c>
      <c r="I59" s="3">
        <v>37373</v>
      </c>
      <c r="J59" s="9" t="str">
        <f t="shared" ca="1" si="0"/>
        <v>21 ans</v>
      </c>
      <c r="K59" s="2" t="s">
        <v>262</v>
      </c>
      <c r="L59" s="2" t="str">
        <f>"8600"</f>
        <v>8600</v>
      </c>
      <c r="M59" s="2"/>
      <c r="N59" s="2" t="str">
        <f>"RUE PAUL-VERLAINE"</f>
        <v>RUE PAUL-VERLAINE</v>
      </c>
      <c r="O59" s="2" t="s">
        <v>489</v>
      </c>
      <c r="P59" s="9" t="e">
        <f>VLOOKUP($O59,'Liste des Villes'!$B$2:$B$1128,1,FALSE)</f>
        <v>#N/A</v>
      </c>
      <c r="Q59" s="9" t="str">
        <f>IFERROR($P59,PROPER(VLOOKUP($O59,'Villes en erreur'!$A$2:$B$72,2,FALSE)))</f>
        <v>Laval</v>
      </c>
      <c r="R59" s="9" t="str">
        <f>IFERROR($P59,PROPER(VLOOKUP($O59,'Villes en erreur'!$A$2:$B$72,2,FALSE)))</f>
        <v>Laval</v>
      </c>
      <c r="S59" s="9" t="str">
        <f>IF(ISBLANK($R59),"",VLOOKUP($R59,'Liste des Villes'!$B$2:$H$1128,4,FALSE))</f>
        <v>Laval</v>
      </c>
      <c r="T59" s="2" t="s">
        <v>490</v>
      </c>
      <c r="U59" s="2" t="s">
        <v>39</v>
      </c>
      <c r="V59" s="2" t="s">
        <v>40</v>
      </c>
      <c r="W59" s="2" t="s">
        <v>491</v>
      </c>
      <c r="X59" s="2" t="str">
        <f>"4506123336"</f>
        <v>4506123336</v>
      </c>
      <c r="Y59" s="2" t="str">
        <f>"5143580992"</f>
        <v>5143580992</v>
      </c>
      <c r="Z59" s="2"/>
      <c r="AA59" s="2" t="s">
        <v>266</v>
      </c>
      <c r="AB59" s="2" t="s">
        <v>267</v>
      </c>
      <c r="AC59" s="4" t="s">
        <v>44</v>
      </c>
    </row>
    <row r="60" spans="1:29" x14ac:dyDescent="0.25">
      <c r="A60" s="1">
        <v>2346</v>
      </c>
      <c r="B60" s="17" t="s">
        <v>492</v>
      </c>
      <c r="C60" s="2" t="s">
        <v>493</v>
      </c>
      <c r="D60" s="15" t="s">
        <v>494</v>
      </c>
      <c r="E60" s="9" t="s">
        <v>495</v>
      </c>
      <c r="F60" s="9" t="s">
        <v>496</v>
      </c>
      <c r="G60" s="9" t="s">
        <v>405</v>
      </c>
      <c r="H60" s="2" t="s">
        <v>60</v>
      </c>
      <c r="I60" s="3">
        <v>31532</v>
      </c>
      <c r="J60" s="9" t="str">
        <f t="shared" ca="1" si="0"/>
        <v>37 ans</v>
      </c>
      <c r="K60" s="2" t="s">
        <v>36</v>
      </c>
      <c r="L60" s="2" t="str">
        <f>"15"</f>
        <v>15</v>
      </c>
      <c r="M60" s="2"/>
      <c r="N60" s="2" t="str">
        <f>"31 AVENUE"</f>
        <v>31 AVENUE</v>
      </c>
      <c r="O60" s="2" t="s">
        <v>497</v>
      </c>
      <c r="P60" s="9" t="e">
        <f>VLOOKUP($O60,'Liste des Villes'!$B$2:$B$1128,1,FALSE)</f>
        <v>#N/A</v>
      </c>
      <c r="Q60" s="9" t="str">
        <f>IFERROR($P60,PROPER(VLOOKUP($O60,'Villes en erreur'!$A$2:$B$72,2,FALSE)))</f>
        <v>Sainte-Sophie</v>
      </c>
      <c r="R60" s="9" t="str">
        <f>IFERROR($P60,PROPER(VLOOKUP($O60,'Villes en erreur'!$A$2:$B$72,2,FALSE)))</f>
        <v>Sainte-Sophie</v>
      </c>
      <c r="S60" s="9" t="str">
        <f>IF(ISBLANK($R60),"",VLOOKUP($R60,'Liste des Villes'!$B$2:$H$1128,4,FALSE))</f>
        <v>Laurentides</v>
      </c>
      <c r="T60" s="2" t="s">
        <v>498</v>
      </c>
      <c r="U60" s="2" t="s">
        <v>39</v>
      </c>
      <c r="V60" s="2" t="s">
        <v>40</v>
      </c>
      <c r="W60" s="2" t="s">
        <v>499</v>
      </c>
      <c r="X60" s="2"/>
      <c r="Y60" s="2"/>
      <c r="Z60" s="2"/>
      <c r="AA60" s="2" t="s">
        <v>149</v>
      </c>
      <c r="AB60" s="2" t="s">
        <v>150</v>
      </c>
      <c r="AC60" s="4" t="s">
        <v>44</v>
      </c>
    </row>
    <row r="61" spans="1:29" x14ac:dyDescent="0.25">
      <c r="A61" s="1">
        <v>3000</v>
      </c>
      <c r="B61" s="17" t="s">
        <v>500</v>
      </c>
      <c r="C61" s="2" t="s">
        <v>501</v>
      </c>
      <c r="D61" s="15" t="s">
        <v>502</v>
      </c>
      <c r="E61" s="9" t="s">
        <v>503</v>
      </c>
      <c r="F61" s="9" t="s">
        <v>504</v>
      </c>
      <c r="G61" s="9" t="s">
        <v>59</v>
      </c>
      <c r="H61" s="2" t="s">
        <v>60</v>
      </c>
      <c r="I61" s="3">
        <v>33434</v>
      </c>
      <c r="J61" s="9" t="str">
        <f t="shared" ca="1" si="0"/>
        <v>32 ans</v>
      </c>
      <c r="K61" s="2" t="s">
        <v>36</v>
      </c>
      <c r="L61" s="2" t="str">
        <f>"33"</f>
        <v>33</v>
      </c>
      <c r="M61" s="2"/>
      <c r="N61" s="2" t="str">
        <f>"AV FORGET"</f>
        <v>AV FORGET</v>
      </c>
      <c r="O61" s="2" t="s">
        <v>51</v>
      </c>
      <c r="P61" s="9" t="e">
        <f>VLOOKUP($O61,'Liste des Villes'!$B$2:$B$1128,1,FALSE)</f>
        <v>#N/A</v>
      </c>
      <c r="Q61" s="9" t="str">
        <f>IFERROR($P61,PROPER(VLOOKUP($O61,'Villes en erreur'!$A$2:$B$72,2,FALSE)))</f>
        <v>Saint-Lin–Laurentides</v>
      </c>
      <c r="R61" s="9" t="str">
        <f>IFERROR($P61,PROPER(VLOOKUP($O61,'Villes en erreur'!$A$2:$B$72,2,FALSE)))</f>
        <v>Saint-Lin–Laurentides</v>
      </c>
      <c r="S61" s="9" t="str">
        <f>IF(ISBLANK($R61),"",VLOOKUP($R61,'Liste des Villes'!$B$2:$H$1128,4,FALSE))</f>
        <v>Lanaudière</v>
      </c>
      <c r="T61" s="2" t="s">
        <v>38</v>
      </c>
      <c r="U61" s="2" t="s">
        <v>39</v>
      </c>
      <c r="V61" s="2" t="s">
        <v>40</v>
      </c>
      <c r="W61" s="2" t="s">
        <v>505</v>
      </c>
      <c r="X61" s="2"/>
      <c r="Y61" s="2"/>
      <c r="Z61" s="2"/>
      <c r="AA61" s="2" t="s">
        <v>42</v>
      </c>
      <c r="AB61" s="2" t="s">
        <v>53</v>
      </c>
      <c r="AC61" s="4" t="s">
        <v>44</v>
      </c>
    </row>
    <row r="62" spans="1:29" x14ac:dyDescent="0.25">
      <c r="A62" s="1">
        <v>618</v>
      </c>
      <c r="B62" s="17" t="s">
        <v>506</v>
      </c>
      <c r="C62" s="2" t="s">
        <v>507</v>
      </c>
      <c r="D62" s="15" t="s">
        <v>508</v>
      </c>
      <c r="E62" s="9" t="s">
        <v>509</v>
      </c>
      <c r="F62" s="9" t="s">
        <v>510</v>
      </c>
      <c r="G62" s="9" t="s">
        <v>511</v>
      </c>
      <c r="H62" s="2" t="s">
        <v>60</v>
      </c>
      <c r="I62" s="3">
        <v>36581</v>
      </c>
      <c r="J62" s="9" t="str">
        <f t="shared" ca="1" si="0"/>
        <v>23 ans</v>
      </c>
      <c r="K62" s="2" t="s">
        <v>68</v>
      </c>
      <c r="L62" s="2" t="str">
        <f>"474"</f>
        <v>474</v>
      </c>
      <c r="M62" s="2"/>
      <c r="N62" s="2" t="str">
        <f>"RUE DE LA SAPINIÈRE"</f>
        <v>RUE DE LA SAPINIÈRE</v>
      </c>
      <c r="O62" s="2" t="s">
        <v>512</v>
      </c>
      <c r="P62" s="9" t="e">
        <f>VLOOKUP($O62,'Liste des Villes'!$B$2:$B$1128,1,FALSE)</f>
        <v>#N/A</v>
      </c>
      <c r="Q62" s="9" t="str">
        <f>IFERROR($P62,PROPER(VLOOKUP($O62,'Villes en erreur'!$A$2:$B$72,2,FALSE)))</f>
        <v>Laval</v>
      </c>
      <c r="R62" s="9" t="str">
        <f>IFERROR($P62,PROPER(VLOOKUP($O62,'Villes en erreur'!$A$2:$B$72,2,FALSE)))</f>
        <v>Laval</v>
      </c>
      <c r="S62" s="9" t="str">
        <f>IF(ISBLANK($R62),"",VLOOKUP($R62,'Liste des Villes'!$B$2:$H$1128,4,FALSE))</f>
        <v>Laval</v>
      </c>
      <c r="T62" s="2" t="s">
        <v>513</v>
      </c>
      <c r="U62" s="2" t="s">
        <v>39</v>
      </c>
      <c r="V62" s="2" t="s">
        <v>40</v>
      </c>
      <c r="W62" s="2" t="s">
        <v>514</v>
      </c>
      <c r="X62" s="2"/>
      <c r="Y62" s="2"/>
      <c r="Z62" s="2"/>
      <c r="AA62" s="2" t="s">
        <v>515</v>
      </c>
      <c r="AB62" s="2" t="s">
        <v>73</v>
      </c>
      <c r="AC62" s="4" t="s">
        <v>44</v>
      </c>
    </row>
    <row r="63" spans="1:29" x14ac:dyDescent="0.25">
      <c r="A63" s="1">
        <v>2244</v>
      </c>
      <c r="B63" s="17" t="s">
        <v>516</v>
      </c>
      <c r="C63" s="2" t="s">
        <v>517</v>
      </c>
      <c r="D63" s="15" t="s">
        <v>518</v>
      </c>
      <c r="E63" s="9" t="s">
        <v>519</v>
      </c>
      <c r="F63" s="9" t="s">
        <v>520</v>
      </c>
      <c r="G63" s="9" t="s">
        <v>521</v>
      </c>
      <c r="H63" s="2" t="s">
        <v>60</v>
      </c>
      <c r="I63" s="3">
        <v>37058</v>
      </c>
      <c r="J63" s="9" t="str">
        <f t="shared" ca="1" si="0"/>
        <v>22 ans</v>
      </c>
      <c r="K63" s="2" t="s">
        <v>156</v>
      </c>
      <c r="L63" s="2" t="str">
        <f>"1126"</f>
        <v>1126</v>
      </c>
      <c r="M63" s="2"/>
      <c r="N63" s="2" t="str">
        <f>"RUE DU VOLTIGEUR"</f>
        <v>RUE DU VOLTIGEUR</v>
      </c>
      <c r="O63" s="2" t="s">
        <v>372</v>
      </c>
      <c r="P63" s="9" t="e">
        <f>VLOOKUP($O63,'Liste des Villes'!$B$2:$B$1128,1,FALSE)</f>
        <v>#N/A</v>
      </c>
      <c r="Q63" s="9" t="str">
        <f>IFERROR($P63,PROPER(VLOOKUP($O63,'Villes en erreur'!$A$2:$B$72,2,FALSE)))</f>
        <v>Montréal</v>
      </c>
      <c r="R63" s="9" t="str">
        <f>IFERROR($P63,PROPER(VLOOKUP($O63,'Villes en erreur'!$A$2:$B$72,2,FALSE)))</f>
        <v>Montréal</v>
      </c>
      <c r="S63" s="9" t="str">
        <f>IF(ISBLANK($R63),"",VLOOKUP($R63,'Liste des Villes'!$B$2:$H$1128,4,FALSE))</f>
        <v>Montréal</v>
      </c>
      <c r="T63" s="2" t="s">
        <v>522</v>
      </c>
      <c r="U63" s="2" t="s">
        <v>39</v>
      </c>
      <c r="V63" s="2" t="s">
        <v>40</v>
      </c>
      <c r="W63" s="2" t="s">
        <v>523</v>
      </c>
      <c r="X63" s="2"/>
      <c r="Y63" s="2"/>
      <c r="Z63" s="2"/>
      <c r="AA63" s="2" t="s">
        <v>375</v>
      </c>
      <c r="AB63" s="2" t="s">
        <v>376</v>
      </c>
      <c r="AC63" s="4" t="s">
        <v>44</v>
      </c>
    </row>
    <row r="64" spans="1:29" x14ac:dyDescent="0.25">
      <c r="A64" s="1">
        <v>1799</v>
      </c>
      <c r="B64" s="17" t="s">
        <v>524</v>
      </c>
      <c r="C64" s="2" t="s">
        <v>525</v>
      </c>
      <c r="D64" s="15" t="s">
        <v>526</v>
      </c>
      <c r="E64" s="9" t="s">
        <v>137</v>
      </c>
      <c r="F64" s="9" t="s">
        <v>527</v>
      </c>
      <c r="G64" s="9" t="s">
        <v>101</v>
      </c>
      <c r="H64" s="2" t="s">
        <v>35</v>
      </c>
      <c r="I64" s="3">
        <v>33100</v>
      </c>
      <c r="J64" s="9" t="str">
        <f t="shared" ca="1" si="0"/>
        <v>33 ans</v>
      </c>
      <c r="K64" s="2" t="s">
        <v>36</v>
      </c>
      <c r="L64" s="2" t="str">
        <f>"28"</f>
        <v>28</v>
      </c>
      <c r="M64" s="2"/>
      <c r="N64" s="2" t="str">
        <f>"AV BOURQUE"</f>
        <v>AV BOURQUE</v>
      </c>
      <c r="O64" s="2" t="s">
        <v>37</v>
      </c>
      <c r="P64" s="9" t="e">
        <f>VLOOKUP($O64,'Liste des Villes'!$B$2:$B$1128,1,FALSE)</f>
        <v>#N/A</v>
      </c>
      <c r="Q64" s="9" t="str">
        <f>IFERROR($P64,PROPER(VLOOKUP($O64,'Villes en erreur'!$A$2:$B$72,2,FALSE)))</f>
        <v>Saint-Lin–Laurentides</v>
      </c>
      <c r="R64" s="9" t="str">
        <f>IFERROR($P64,PROPER(VLOOKUP($O64,'Villes en erreur'!$A$2:$B$72,2,FALSE)))</f>
        <v>Saint-Lin–Laurentides</v>
      </c>
      <c r="S64" s="9" t="str">
        <f>IF(ISBLANK($R64),"",VLOOKUP($R64,'Liste des Villes'!$B$2:$H$1128,4,FALSE))</f>
        <v>Lanaudière</v>
      </c>
      <c r="T64" s="2" t="s">
        <v>38</v>
      </c>
      <c r="U64" s="2" t="s">
        <v>39</v>
      </c>
      <c r="V64" s="2" t="s">
        <v>40</v>
      </c>
      <c r="W64" s="2" t="s">
        <v>528</v>
      </c>
      <c r="X64" s="2"/>
      <c r="Y64" s="2"/>
      <c r="Z64" s="2"/>
      <c r="AA64" s="2" t="s">
        <v>42</v>
      </c>
      <c r="AB64" s="2" t="s">
        <v>43</v>
      </c>
      <c r="AC64" s="4" t="s">
        <v>44</v>
      </c>
    </row>
    <row r="65" spans="1:29" x14ac:dyDescent="0.25">
      <c r="A65" s="1">
        <v>3874</v>
      </c>
      <c r="B65" s="17" t="s">
        <v>529</v>
      </c>
      <c r="C65" s="2" t="s">
        <v>530</v>
      </c>
      <c r="D65" s="15" t="s">
        <v>531</v>
      </c>
      <c r="E65" s="9" t="s">
        <v>532</v>
      </c>
      <c r="F65" s="9" t="s">
        <v>533</v>
      </c>
      <c r="G65" s="9" t="s">
        <v>219</v>
      </c>
      <c r="H65" s="2" t="s">
        <v>35</v>
      </c>
      <c r="I65" s="3">
        <v>31043</v>
      </c>
      <c r="J65" s="9" t="str">
        <f t="shared" ca="1" si="0"/>
        <v>38 ans</v>
      </c>
      <c r="K65" s="2" t="s">
        <v>36</v>
      </c>
      <c r="L65" s="2" t="str">
        <f>"13"</f>
        <v>13</v>
      </c>
      <c r="M65" s="2"/>
      <c r="N65" s="2" t="str">
        <f>"25E AV"</f>
        <v>25E AV</v>
      </c>
      <c r="O65" s="2" t="s">
        <v>235</v>
      </c>
      <c r="P65" s="9" t="e">
        <f>VLOOKUP($O65,'Liste des Villes'!$B$2:$B$1128,1,FALSE)</f>
        <v>#N/A</v>
      </c>
      <c r="Q65" s="9" t="str">
        <f>IFERROR($P65,PROPER(VLOOKUP($O65,'Villes en erreur'!$A$2:$B$72,2,FALSE)))</f>
        <v>Saint-Jérôme</v>
      </c>
      <c r="R65" s="9" t="str">
        <f>IFERROR($P65,PROPER(VLOOKUP($O65,'Villes en erreur'!$A$2:$B$72,2,FALSE)))</f>
        <v>Saint-Jérôme</v>
      </c>
      <c r="S65" s="9" t="str">
        <f>IF(ISBLANK($R65),"",VLOOKUP($R65,'Liste des Villes'!$B$2:$H$1128,4,FALSE))</f>
        <v>Laurentides</v>
      </c>
      <c r="T65" s="2" t="s">
        <v>534</v>
      </c>
      <c r="U65" s="2" t="s">
        <v>39</v>
      </c>
      <c r="V65" s="2" t="s">
        <v>40</v>
      </c>
      <c r="W65" s="2" t="s">
        <v>535</v>
      </c>
      <c r="X65" s="2"/>
      <c r="Y65" s="2"/>
      <c r="Z65" s="2"/>
      <c r="AA65" s="2" t="s">
        <v>149</v>
      </c>
      <c r="AB65" s="2" t="s">
        <v>150</v>
      </c>
      <c r="AC65" s="4" t="s">
        <v>44</v>
      </c>
    </row>
    <row r="66" spans="1:29" x14ac:dyDescent="0.25">
      <c r="A66" s="1">
        <v>1451</v>
      </c>
      <c r="B66" s="17" t="s">
        <v>536</v>
      </c>
      <c r="C66" s="2" t="s">
        <v>537</v>
      </c>
      <c r="D66" s="15" t="s">
        <v>538</v>
      </c>
      <c r="E66" s="9" t="s">
        <v>539</v>
      </c>
      <c r="F66" s="9" t="s">
        <v>540</v>
      </c>
      <c r="G66" s="9" t="s">
        <v>541</v>
      </c>
      <c r="H66" s="2" t="s">
        <v>35</v>
      </c>
      <c r="I66" s="3">
        <v>36697</v>
      </c>
      <c r="J66" s="9" t="str">
        <f t="shared" ref="J66:J129" ca="1" si="1">_xlfn.CONCAT(INT((TODAY()-$I66)/365.25)," ans")</f>
        <v>23 ans</v>
      </c>
      <c r="K66" s="2" t="s">
        <v>68</v>
      </c>
      <c r="L66" s="2" t="str">
        <f>"591"</f>
        <v>591</v>
      </c>
      <c r="M66" s="2"/>
      <c r="N66" s="2" t="str">
        <f>"RUE DES AMANDIERS"</f>
        <v>RUE DES AMANDIERS</v>
      </c>
      <c r="O66" s="2" t="s">
        <v>542</v>
      </c>
      <c r="P66" s="9" t="e">
        <f>VLOOKUP($O66,'Liste des Villes'!$B$2:$B$1128,1,FALSE)</f>
        <v>#N/A</v>
      </c>
      <c r="Q66" s="9" t="str">
        <f>IFERROR($P66,PROPER(VLOOKUP($O66,'Villes en erreur'!$A$2:$B$72,2,FALSE)))</f>
        <v>Sainte-Agathe-Des-Monts</v>
      </c>
      <c r="R66" s="9" t="str">
        <f>IFERROR($P66,PROPER(VLOOKUP($O66,'Villes en erreur'!$A$2:$B$72,2,FALSE)))</f>
        <v>Sainte-Agathe-Des-Monts</v>
      </c>
      <c r="S66" s="9" t="str">
        <f>IF(ISBLANK($R66),"",VLOOKUP($R66,'Liste des Villes'!$B$2:$H$1128,4,FALSE))</f>
        <v>Laurentides</v>
      </c>
      <c r="T66" s="2" t="s">
        <v>543</v>
      </c>
      <c r="U66" s="2" t="s">
        <v>39</v>
      </c>
      <c r="V66" s="2" t="s">
        <v>40</v>
      </c>
      <c r="W66" s="2" t="s">
        <v>544</v>
      </c>
      <c r="X66" s="2"/>
      <c r="Y66" s="2"/>
      <c r="Z66" s="2"/>
      <c r="AA66" s="2" t="s">
        <v>72</v>
      </c>
      <c r="AB66" s="2" t="s">
        <v>545</v>
      </c>
      <c r="AC66" s="4" t="s">
        <v>44</v>
      </c>
    </row>
    <row r="67" spans="1:29" x14ac:dyDescent="0.25">
      <c r="A67" s="1">
        <v>1333</v>
      </c>
      <c r="B67" s="17" t="s">
        <v>546</v>
      </c>
      <c r="C67" s="2" t="s">
        <v>547</v>
      </c>
      <c r="D67" s="15" t="s">
        <v>548</v>
      </c>
      <c r="E67" s="9" t="s">
        <v>549</v>
      </c>
      <c r="F67" s="9" t="s">
        <v>550</v>
      </c>
      <c r="G67" s="9" t="s">
        <v>551</v>
      </c>
      <c r="H67" s="2" t="s">
        <v>60</v>
      </c>
      <c r="I67" s="3">
        <v>37364</v>
      </c>
      <c r="J67" s="9" t="str">
        <f t="shared" ca="1" si="1"/>
        <v>21 ans</v>
      </c>
      <c r="K67" s="2" t="s">
        <v>262</v>
      </c>
      <c r="L67" s="2" t="str">
        <f>"7571"</f>
        <v>7571</v>
      </c>
      <c r="M67" s="2"/>
      <c r="N67" s="2" t="str">
        <f>"RUE PARINI"</f>
        <v>RUE PARINI</v>
      </c>
      <c r="O67" s="2" t="s">
        <v>552</v>
      </c>
      <c r="P67" s="9" t="e">
        <f>VLOOKUP($O67,'Liste des Villes'!$B$2:$B$1128,1,FALSE)</f>
        <v>#N/A</v>
      </c>
      <c r="Q67" s="9" t="str">
        <f>IFERROR($P67,PROPER(VLOOKUP($O67,'Villes en erreur'!$A$2:$B$72,2,FALSE)))</f>
        <v>Grenville</v>
      </c>
      <c r="R67" s="9" t="str">
        <f>IFERROR($P67,PROPER(VLOOKUP($O67,'Villes en erreur'!$A$2:$B$72,2,FALSE)))</f>
        <v>Grenville</v>
      </c>
      <c r="S67" s="9" t="str">
        <f>IF(ISBLANK($R67),"",VLOOKUP($R67,'Liste des Villes'!$B$2:$H$1128,4,FALSE))</f>
        <v>Laurentides</v>
      </c>
      <c r="T67" s="2" t="s">
        <v>553</v>
      </c>
      <c r="U67" s="2" t="s">
        <v>39</v>
      </c>
      <c r="V67" s="2" t="s">
        <v>40</v>
      </c>
      <c r="W67" s="2" t="s">
        <v>554</v>
      </c>
      <c r="X67" s="2" t="str">
        <f>"4505658318"</f>
        <v>4505658318</v>
      </c>
      <c r="Y67" s="2" t="str">
        <f>"5145065626"</f>
        <v>5145065626</v>
      </c>
      <c r="Z67" s="2"/>
      <c r="AA67" s="2" t="s">
        <v>266</v>
      </c>
      <c r="AB67" s="2" t="s">
        <v>267</v>
      </c>
      <c r="AC67" s="4" t="s">
        <v>44</v>
      </c>
    </row>
    <row r="68" spans="1:29" x14ac:dyDescent="0.25">
      <c r="A68" s="1">
        <v>243</v>
      </c>
      <c r="B68" s="17" t="s">
        <v>555</v>
      </c>
      <c r="C68" s="2" t="s">
        <v>556</v>
      </c>
      <c r="D68" s="15" t="s">
        <v>557</v>
      </c>
      <c r="E68" s="9" t="s">
        <v>253</v>
      </c>
      <c r="F68" s="9" t="s">
        <v>558</v>
      </c>
      <c r="G68" s="9" t="s">
        <v>94</v>
      </c>
      <c r="H68" s="2" t="s">
        <v>60</v>
      </c>
      <c r="I68" s="3">
        <v>33249</v>
      </c>
      <c r="J68" s="9" t="str">
        <f t="shared" ca="1" si="1"/>
        <v>32 ans</v>
      </c>
      <c r="K68" s="2" t="s">
        <v>36</v>
      </c>
      <c r="L68" s="2" t="str">
        <f>"30"</f>
        <v>30</v>
      </c>
      <c r="M68" s="2"/>
      <c r="N68" s="2" t="str">
        <f>"AV DE ROCHECHOUART"</f>
        <v>AV DE ROCHECHOUART</v>
      </c>
      <c r="O68" s="2" t="s">
        <v>37</v>
      </c>
      <c r="P68" s="9" t="e">
        <f>VLOOKUP($O68,'Liste des Villes'!$B$2:$B$1128,1,FALSE)</f>
        <v>#N/A</v>
      </c>
      <c r="Q68" s="9" t="str">
        <f>IFERROR($P68,PROPER(VLOOKUP($O68,'Villes en erreur'!$A$2:$B$72,2,FALSE)))</f>
        <v>Saint-Lin–Laurentides</v>
      </c>
      <c r="R68" s="9" t="str">
        <f>IFERROR($P68,PROPER(VLOOKUP($O68,'Villes en erreur'!$A$2:$B$72,2,FALSE)))</f>
        <v>Saint-Lin–Laurentides</v>
      </c>
      <c r="S68" s="9" t="str">
        <f>IF(ISBLANK($R68),"",VLOOKUP($R68,'Liste des Villes'!$B$2:$H$1128,4,FALSE))</f>
        <v>Lanaudière</v>
      </c>
      <c r="T68" s="2" t="s">
        <v>38</v>
      </c>
      <c r="U68" s="2" t="s">
        <v>39</v>
      </c>
      <c r="V68" s="2" t="s">
        <v>40</v>
      </c>
      <c r="W68" s="2" t="s">
        <v>559</v>
      </c>
      <c r="X68" s="2"/>
      <c r="Y68" s="2"/>
      <c r="Z68" s="2"/>
      <c r="AA68" s="2" t="s">
        <v>42</v>
      </c>
      <c r="AB68" s="2" t="s">
        <v>43</v>
      </c>
      <c r="AC68" s="4" t="s">
        <v>44</v>
      </c>
    </row>
    <row r="69" spans="1:29" x14ac:dyDescent="0.25">
      <c r="A69" s="1">
        <v>2690</v>
      </c>
      <c r="B69" s="17" t="s">
        <v>560</v>
      </c>
      <c r="C69" s="2" t="s">
        <v>561</v>
      </c>
      <c r="D69" s="15" t="s">
        <v>562</v>
      </c>
      <c r="E69" s="9" t="s">
        <v>563</v>
      </c>
      <c r="F69" s="9" t="s">
        <v>564</v>
      </c>
      <c r="G69" s="9" t="s">
        <v>85</v>
      </c>
      <c r="H69" s="2" t="s">
        <v>60</v>
      </c>
      <c r="I69" s="3">
        <v>37373</v>
      </c>
      <c r="J69" s="9" t="str">
        <f t="shared" ca="1" si="1"/>
        <v>21 ans</v>
      </c>
      <c r="K69" s="2" t="s">
        <v>262</v>
      </c>
      <c r="L69" s="2" t="str">
        <f>"8555"</f>
        <v>8555</v>
      </c>
      <c r="M69" s="2"/>
      <c r="N69" s="2" t="str">
        <f>"RUE PAULSEN"</f>
        <v>RUE PAULSEN</v>
      </c>
      <c r="O69" s="2" t="s">
        <v>489</v>
      </c>
      <c r="P69" s="9" t="e">
        <f>VLOOKUP($O69,'Liste des Villes'!$B$2:$B$1128,1,FALSE)</f>
        <v>#N/A</v>
      </c>
      <c r="Q69" s="9" t="str">
        <f>IFERROR($P69,PROPER(VLOOKUP($O69,'Villes en erreur'!$A$2:$B$72,2,FALSE)))</f>
        <v>Laval</v>
      </c>
      <c r="R69" s="9" t="str">
        <f>IFERROR($P69,PROPER(VLOOKUP($O69,'Villes en erreur'!$A$2:$B$72,2,FALSE)))</f>
        <v>Laval</v>
      </c>
      <c r="S69" s="9" t="str">
        <f>IF(ISBLANK($R69),"",VLOOKUP($R69,'Liste des Villes'!$B$2:$H$1128,4,FALSE))</f>
        <v>Laval</v>
      </c>
      <c r="T69" s="2" t="s">
        <v>565</v>
      </c>
      <c r="U69" s="2" t="s">
        <v>39</v>
      </c>
      <c r="V69" s="2" t="s">
        <v>40</v>
      </c>
      <c r="W69" s="2" t="s">
        <v>566</v>
      </c>
      <c r="X69" s="2" t="str">
        <f>"4506122808"</f>
        <v>4506122808</v>
      </c>
      <c r="Y69" s="2" t="str">
        <f>"5143711306"</f>
        <v>5143711306</v>
      </c>
      <c r="Z69" s="2"/>
      <c r="AA69" s="2" t="s">
        <v>266</v>
      </c>
      <c r="AB69" s="2" t="s">
        <v>267</v>
      </c>
      <c r="AC69" s="4" t="s">
        <v>44</v>
      </c>
    </row>
    <row r="70" spans="1:29" x14ac:dyDescent="0.25">
      <c r="A70" s="1">
        <v>4391</v>
      </c>
      <c r="B70" s="17" t="s">
        <v>567</v>
      </c>
      <c r="C70" s="2" t="s">
        <v>568</v>
      </c>
      <c r="D70" s="15" t="s">
        <v>569</v>
      </c>
      <c r="E70" s="9" t="s">
        <v>570</v>
      </c>
      <c r="F70" s="9" t="s">
        <v>571</v>
      </c>
      <c r="G70" s="9" t="s">
        <v>452</v>
      </c>
      <c r="H70" s="2" t="s">
        <v>35</v>
      </c>
      <c r="I70" s="3">
        <v>37400</v>
      </c>
      <c r="J70" s="9" t="str">
        <f t="shared" ca="1" si="1"/>
        <v>21 ans</v>
      </c>
      <c r="K70" s="2" t="s">
        <v>262</v>
      </c>
      <c r="L70" s="2" t="str">
        <f>"10131"</f>
        <v>10131</v>
      </c>
      <c r="M70" s="2"/>
      <c r="N70" s="2" t="str">
        <f>"RUE RACINE"</f>
        <v>RUE RACINE</v>
      </c>
      <c r="O70" s="2" t="s">
        <v>572</v>
      </c>
      <c r="P70" s="9" t="e">
        <f>VLOOKUP($O70,'Liste des Villes'!$B$2:$B$1128,1,FALSE)</f>
        <v>#N/A</v>
      </c>
      <c r="Q70" s="9" t="str">
        <f>IFERROR($P70,PROPER(VLOOKUP($O70,'Villes en erreur'!$A$2:$B$72,2,FALSE)))</f>
        <v>Brownsburg-Chatham</v>
      </c>
      <c r="R70" s="9" t="str">
        <f>IFERROR($P70,PROPER(VLOOKUP($O70,'Villes en erreur'!$A$2:$B$72,2,FALSE)))</f>
        <v>Brownsburg-Chatham</v>
      </c>
      <c r="S70" s="9" t="str">
        <f>IF(ISBLANK($R70),"",VLOOKUP($R70,'Liste des Villes'!$B$2:$H$1128,4,FALSE))</f>
        <v>Laurentides</v>
      </c>
      <c r="T70" s="2" t="s">
        <v>573</v>
      </c>
      <c r="U70" s="2" t="s">
        <v>39</v>
      </c>
      <c r="V70" s="2" t="s">
        <v>40</v>
      </c>
      <c r="W70" s="2" t="s">
        <v>574</v>
      </c>
      <c r="X70" s="2" t="str">
        <f>"4508223171"</f>
        <v>4508223171</v>
      </c>
      <c r="Y70" s="2" t="str">
        <f>"4508241801"</f>
        <v>4508241801</v>
      </c>
      <c r="Z70" s="2"/>
      <c r="AA70" s="2" t="s">
        <v>456</v>
      </c>
      <c r="AB70" s="2" t="s">
        <v>457</v>
      </c>
      <c r="AC70" s="4" t="s">
        <v>44</v>
      </c>
    </row>
    <row r="71" spans="1:29" x14ac:dyDescent="0.25">
      <c r="A71" s="1">
        <v>915</v>
      </c>
      <c r="B71" s="17" t="s">
        <v>575</v>
      </c>
      <c r="C71" s="2" t="s">
        <v>576</v>
      </c>
      <c r="D71" s="15" t="s">
        <v>203</v>
      </c>
      <c r="E71" s="9" t="s">
        <v>577</v>
      </c>
      <c r="F71" s="9" t="s">
        <v>578</v>
      </c>
      <c r="G71" s="9" t="s">
        <v>101</v>
      </c>
      <c r="H71" s="2" t="s">
        <v>35</v>
      </c>
      <c r="I71" s="3">
        <v>32992</v>
      </c>
      <c r="J71" s="9" t="str">
        <f t="shared" ca="1" si="1"/>
        <v>33 ans</v>
      </c>
      <c r="K71" s="2" t="s">
        <v>36</v>
      </c>
      <c r="L71" s="2" t="str">
        <f>"27"</f>
        <v>27</v>
      </c>
      <c r="M71" s="2"/>
      <c r="N71" s="2" t="str">
        <f>"ARSENAULT"</f>
        <v>ARSENAULT</v>
      </c>
      <c r="O71" s="2" t="s">
        <v>37</v>
      </c>
      <c r="P71" s="9" t="e">
        <f>VLOOKUP($O71,'Liste des Villes'!$B$2:$B$1128,1,FALSE)</f>
        <v>#N/A</v>
      </c>
      <c r="Q71" s="9" t="str">
        <f>IFERROR($P71,PROPER(VLOOKUP($O71,'Villes en erreur'!$A$2:$B$72,2,FALSE)))</f>
        <v>Saint-Lin–Laurentides</v>
      </c>
      <c r="R71" s="9" t="str">
        <f>IFERROR($P71,PROPER(VLOOKUP($O71,'Villes en erreur'!$A$2:$B$72,2,FALSE)))</f>
        <v>Saint-Lin–Laurentides</v>
      </c>
      <c r="S71" s="9" t="str">
        <f>IF(ISBLANK($R71),"",VLOOKUP($R71,'Liste des Villes'!$B$2:$H$1128,4,FALSE))</f>
        <v>Lanaudière</v>
      </c>
      <c r="T71" s="2" t="s">
        <v>38</v>
      </c>
      <c r="U71" s="2" t="s">
        <v>39</v>
      </c>
      <c r="V71" s="2" t="s">
        <v>40</v>
      </c>
      <c r="W71" s="2" t="s">
        <v>579</v>
      </c>
      <c r="X71" s="2"/>
      <c r="Y71" s="2"/>
      <c r="Z71" s="2"/>
      <c r="AA71" s="2" t="s">
        <v>42</v>
      </c>
      <c r="AB71" s="2" t="s">
        <v>43</v>
      </c>
      <c r="AC71" s="4" t="s">
        <v>44</v>
      </c>
    </row>
    <row r="72" spans="1:29" x14ac:dyDescent="0.25">
      <c r="A72" s="1">
        <v>922</v>
      </c>
      <c r="B72" s="17" t="s">
        <v>580</v>
      </c>
      <c r="C72" s="2" t="s">
        <v>581</v>
      </c>
      <c r="D72" s="15" t="s">
        <v>582</v>
      </c>
      <c r="E72" s="9" t="s">
        <v>583</v>
      </c>
      <c r="F72" s="9" t="s">
        <v>584</v>
      </c>
      <c r="G72" s="9" t="s">
        <v>405</v>
      </c>
      <c r="H72" s="2" t="s">
        <v>60</v>
      </c>
      <c r="I72" s="3">
        <v>31563</v>
      </c>
      <c r="J72" s="9" t="str">
        <f t="shared" ca="1" si="1"/>
        <v>37 ans</v>
      </c>
      <c r="K72" s="2" t="s">
        <v>36</v>
      </c>
      <c r="L72" s="2" t="str">
        <f>"15"</f>
        <v>15</v>
      </c>
      <c r="M72" s="2"/>
      <c r="N72" s="2" t="str">
        <f>"34E AV"</f>
        <v>34E AV</v>
      </c>
      <c r="O72" s="2" t="s">
        <v>497</v>
      </c>
      <c r="P72" s="9" t="e">
        <f>VLOOKUP($O72,'Liste des Villes'!$B$2:$B$1128,1,FALSE)</f>
        <v>#N/A</v>
      </c>
      <c r="Q72" s="9" t="str">
        <f>IFERROR($P72,PROPER(VLOOKUP($O72,'Villes en erreur'!$A$2:$B$72,2,FALSE)))</f>
        <v>Sainte-Sophie</v>
      </c>
      <c r="R72" s="9" t="str">
        <f>IFERROR($P72,PROPER(VLOOKUP($O72,'Villes en erreur'!$A$2:$B$72,2,FALSE)))</f>
        <v>Sainte-Sophie</v>
      </c>
      <c r="S72" s="9" t="str">
        <f>IF(ISBLANK($R72),"",VLOOKUP($R72,'Liste des Villes'!$B$2:$H$1128,4,FALSE))</f>
        <v>Laurentides</v>
      </c>
      <c r="T72" s="2" t="s">
        <v>585</v>
      </c>
      <c r="U72" s="2" t="s">
        <v>39</v>
      </c>
      <c r="V72" s="2" t="s">
        <v>40</v>
      </c>
      <c r="W72" s="2" t="s">
        <v>586</v>
      </c>
      <c r="X72" s="2"/>
      <c r="Y72" s="2"/>
      <c r="Z72" s="2"/>
      <c r="AA72" s="2" t="s">
        <v>149</v>
      </c>
      <c r="AB72" s="2" t="s">
        <v>150</v>
      </c>
      <c r="AC72" s="4" t="s">
        <v>44</v>
      </c>
    </row>
    <row r="73" spans="1:29" x14ac:dyDescent="0.25">
      <c r="A73" s="1">
        <v>664</v>
      </c>
      <c r="B73" s="17" t="s">
        <v>587</v>
      </c>
      <c r="C73" s="2" t="s">
        <v>588</v>
      </c>
      <c r="D73" s="15" t="s">
        <v>589</v>
      </c>
      <c r="E73" s="9" t="s">
        <v>590</v>
      </c>
      <c r="F73" s="9" t="s">
        <v>218</v>
      </c>
      <c r="G73" s="9" t="s">
        <v>101</v>
      </c>
      <c r="H73" s="2" t="s">
        <v>35</v>
      </c>
      <c r="I73" s="3">
        <v>32966</v>
      </c>
      <c r="J73" s="9" t="str">
        <f t="shared" ca="1" si="1"/>
        <v>33 ans</v>
      </c>
      <c r="K73" s="2" t="s">
        <v>36</v>
      </c>
      <c r="L73" s="2" t="str">
        <f>"26"</f>
        <v>26</v>
      </c>
      <c r="M73" s="2"/>
      <c r="N73" s="2" t="str">
        <f>"ANDRÉ-GAGNON"</f>
        <v>ANDRÉ-GAGNON</v>
      </c>
      <c r="O73" s="2" t="s">
        <v>37</v>
      </c>
      <c r="P73" s="9" t="e">
        <f>VLOOKUP($O73,'Liste des Villes'!$B$2:$B$1128,1,FALSE)</f>
        <v>#N/A</v>
      </c>
      <c r="Q73" s="9" t="str">
        <f>IFERROR($P73,PROPER(VLOOKUP($O73,'Villes en erreur'!$A$2:$B$72,2,FALSE)))</f>
        <v>Saint-Lin–Laurentides</v>
      </c>
      <c r="R73" s="9" t="str">
        <f>IFERROR($P73,PROPER(VLOOKUP($O73,'Villes en erreur'!$A$2:$B$72,2,FALSE)))</f>
        <v>Saint-Lin–Laurentides</v>
      </c>
      <c r="S73" s="9" t="str">
        <f>IF(ISBLANK($R73),"",VLOOKUP($R73,'Liste des Villes'!$B$2:$H$1128,4,FALSE))</f>
        <v>Lanaudière</v>
      </c>
      <c r="T73" s="2" t="s">
        <v>591</v>
      </c>
      <c r="U73" s="2" t="s">
        <v>39</v>
      </c>
      <c r="V73" s="2" t="s">
        <v>40</v>
      </c>
      <c r="W73" s="2" t="s">
        <v>592</v>
      </c>
      <c r="X73" s="2"/>
      <c r="Y73" s="2"/>
      <c r="Z73" s="2"/>
      <c r="AA73" s="2" t="s">
        <v>42</v>
      </c>
      <c r="AB73" s="2" t="s">
        <v>43</v>
      </c>
      <c r="AC73" s="4" t="s">
        <v>44</v>
      </c>
    </row>
    <row r="74" spans="1:29" x14ac:dyDescent="0.25">
      <c r="A74" s="1">
        <v>4366</v>
      </c>
      <c r="B74" s="17" t="s">
        <v>593</v>
      </c>
      <c r="C74" s="2" t="s">
        <v>394</v>
      </c>
      <c r="D74" s="15" t="s">
        <v>395</v>
      </c>
      <c r="E74" s="9" t="s">
        <v>396</v>
      </c>
      <c r="F74" s="9" t="s">
        <v>34</v>
      </c>
      <c r="G74" s="9" t="s">
        <v>219</v>
      </c>
      <c r="H74" s="2" t="s">
        <v>35</v>
      </c>
      <c r="I74" s="3">
        <v>30934</v>
      </c>
      <c r="J74" s="9" t="str">
        <f t="shared" ca="1" si="1"/>
        <v>38 ans</v>
      </c>
      <c r="K74" s="2" t="s">
        <v>36</v>
      </c>
      <c r="L74" s="2" t="str">
        <f>"13"</f>
        <v>13</v>
      </c>
      <c r="M74" s="2"/>
      <c r="N74" s="2" t="str">
        <f>"22E RUE"</f>
        <v>22E RUE</v>
      </c>
      <c r="O74" s="2" t="s">
        <v>594</v>
      </c>
      <c r="P74" s="9" t="e">
        <f>VLOOKUP($O74,'Liste des Villes'!$B$2:$B$1128,1,FALSE)</f>
        <v>#N/A</v>
      </c>
      <c r="Q74" s="9" t="str">
        <f>IFERROR($P74,PROPER(VLOOKUP($O74,'Villes en erreur'!$A$2:$B$72,2,FALSE)))</f>
        <v>Saint-Lin–Laurentides</v>
      </c>
      <c r="R74" s="9" t="str">
        <f>IFERROR($P74,PROPER(VLOOKUP($O74,'Villes en erreur'!$A$2:$B$72,2,FALSE)))</f>
        <v>Saint-Lin–Laurentides</v>
      </c>
      <c r="S74" s="9" t="str">
        <f>IF(ISBLANK($R74),"",VLOOKUP($R74,'Liste des Villes'!$B$2:$H$1128,4,FALSE))</f>
        <v>Lanaudière</v>
      </c>
      <c r="T74" s="2" t="s">
        <v>595</v>
      </c>
      <c r="U74" s="2" t="s">
        <v>39</v>
      </c>
      <c r="V74" s="2" t="s">
        <v>40</v>
      </c>
      <c r="W74" s="2" t="s">
        <v>596</v>
      </c>
      <c r="X74" s="2"/>
      <c r="Y74" s="2"/>
      <c r="Z74" s="2"/>
      <c r="AA74" s="2" t="s">
        <v>149</v>
      </c>
      <c r="AB74" s="2" t="s">
        <v>150</v>
      </c>
      <c r="AC74" s="4" t="s">
        <v>44</v>
      </c>
    </row>
    <row r="75" spans="1:29" x14ac:dyDescent="0.25">
      <c r="A75" s="1">
        <v>3708</v>
      </c>
      <c r="B75" s="17" t="s">
        <v>597</v>
      </c>
      <c r="C75" s="2" t="s">
        <v>598</v>
      </c>
      <c r="D75" s="15" t="s">
        <v>599</v>
      </c>
      <c r="E75" s="9" t="s">
        <v>600</v>
      </c>
      <c r="F75" s="9" t="s">
        <v>601</v>
      </c>
      <c r="G75" s="9" t="s">
        <v>602</v>
      </c>
      <c r="H75" s="2" t="s">
        <v>35</v>
      </c>
      <c r="I75" s="3">
        <v>36899</v>
      </c>
      <c r="J75" s="9" t="str">
        <f t="shared" ca="1" si="1"/>
        <v>22 ans</v>
      </c>
      <c r="K75" s="2" t="s">
        <v>68</v>
      </c>
      <c r="L75" s="2" t="str">
        <f>"893"</f>
        <v>893</v>
      </c>
      <c r="M75" s="2"/>
      <c r="N75" s="2" t="str">
        <f>"RUE DES TOURNESOL"</f>
        <v>RUE DES TOURNESOL</v>
      </c>
      <c r="O75" s="2" t="s">
        <v>603</v>
      </c>
      <c r="P75" s="9" t="e">
        <f>VLOOKUP($O75,'Liste des Villes'!$B$2:$B$1128,1,FALSE)</f>
        <v>#N/A</v>
      </c>
      <c r="Q75" s="9" t="str">
        <f>IFERROR($P75,PROPER(VLOOKUP($O75,'Villes en erreur'!$A$2:$B$72,2,FALSE)))</f>
        <v>Saint-Augustin-De-Desmaures</v>
      </c>
      <c r="R75" s="9" t="str">
        <f>IFERROR($P75,PROPER(VLOOKUP($O75,'Villes en erreur'!$A$2:$B$72,2,FALSE)))</f>
        <v>Saint-Augustin-De-Desmaures</v>
      </c>
      <c r="S75" s="9" t="str">
        <f>IF(ISBLANK($R75),"",VLOOKUP($R75,'Liste des Villes'!$B$2:$H$1128,4,FALSE))</f>
        <v>Capitale-Nationale</v>
      </c>
      <c r="T75" s="2" t="s">
        <v>604</v>
      </c>
      <c r="U75" s="2" t="s">
        <v>39</v>
      </c>
      <c r="V75" s="2" t="s">
        <v>40</v>
      </c>
      <c r="W75" s="2" t="s">
        <v>605</v>
      </c>
      <c r="X75" s="2"/>
      <c r="Y75" s="2"/>
      <c r="Z75" s="2"/>
      <c r="AA75" s="2" t="s">
        <v>606</v>
      </c>
      <c r="AB75" s="2" t="s">
        <v>161</v>
      </c>
      <c r="AC75" s="4" t="s">
        <v>44</v>
      </c>
    </row>
    <row r="76" spans="1:29" x14ac:dyDescent="0.25">
      <c r="A76" s="1">
        <v>3973</v>
      </c>
      <c r="B76" s="17" t="s">
        <v>607</v>
      </c>
      <c r="C76" s="2" t="s">
        <v>608</v>
      </c>
      <c r="D76" s="15" t="s">
        <v>609</v>
      </c>
      <c r="E76" s="9" t="s">
        <v>610</v>
      </c>
      <c r="F76" s="9" t="s">
        <v>611</v>
      </c>
      <c r="G76" s="9" t="s">
        <v>94</v>
      </c>
      <c r="H76" s="2" t="s">
        <v>60</v>
      </c>
      <c r="I76" s="3">
        <v>33258</v>
      </c>
      <c r="J76" s="9" t="str">
        <f t="shared" ca="1" si="1"/>
        <v>32 ans</v>
      </c>
      <c r="K76" s="2" t="s">
        <v>36</v>
      </c>
      <c r="L76" s="2" t="str">
        <f>"30"</f>
        <v>30</v>
      </c>
      <c r="M76" s="2"/>
      <c r="N76" s="2" t="str">
        <f>"AV DES CAPUCINES"</f>
        <v>AV DES CAPUCINES</v>
      </c>
      <c r="O76" s="2" t="s">
        <v>37</v>
      </c>
      <c r="P76" s="9" t="e">
        <f>VLOOKUP($O76,'Liste des Villes'!$B$2:$B$1128,1,FALSE)</f>
        <v>#N/A</v>
      </c>
      <c r="Q76" s="9" t="str">
        <f>IFERROR($P76,PROPER(VLOOKUP($O76,'Villes en erreur'!$A$2:$B$72,2,FALSE)))</f>
        <v>Saint-Lin–Laurentides</v>
      </c>
      <c r="R76" s="9" t="str">
        <f>IFERROR($P76,PROPER(VLOOKUP($O76,'Villes en erreur'!$A$2:$B$72,2,FALSE)))</f>
        <v>Saint-Lin–Laurentides</v>
      </c>
      <c r="S76" s="9" t="str">
        <f>IF(ISBLANK($R76),"",VLOOKUP($R76,'Liste des Villes'!$B$2:$H$1128,4,FALSE))</f>
        <v>Lanaudière</v>
      </c>
      <c r="T76" s="2" t="s">
        <v>38</v>
      </c>
      <c r="U76" s="2" t="s">
        <v>39</v>
      </c>
      <c r="V76" s="2" t="s">
        <v>40</v>
      </c>
      <c r="W76" s="2" t="s">
        <v>612</v>
      </c>
      <c r="X76" s="2"/>
      <c r="Y76" s="2"/>
      <c r="Z76" s="2"/>
      <c r="AA76" s="2" t="s">
        <v>42</v>
      </c>
      <c r="AB76" s="2" t="s">
        <v>43</v>
      </c>
      <c r="AC76" s="4" t="s">
        <v>44</v>
      </c>
    </row>
    <row r="77" spans="1:29" x14ac:dyDescent="0.25">
      <c r="A77" s="1">
        <v>4295</v>
      </c>
      <c r="B77" s="17" t="s">
        <v>613</v>
      </c>
      <c r="C77" s="2" t="s">
        <v>614</v>
      </c>
      <c r="D77" s="15" t="s">
        <v>615</v>
      </c>
      <c r="E77" s="9" t="s">
        <v>616</v>
      </c>
      <c r="F77" s="9" t="s">
        <v>617</v>
      </c>
      <c r="G77" s="9" t="s">
        <v>101</v>
      </c>
      <c r="H77" s="2" t="s">
        <v>35</v>
      </c>
      <c r="I77" s="3">
        <v>33061</v>
      </c>
      <c r="J77" s="9" t="str">
        <f t="shared" ca="1" si="1"/>
        <v>33 ans</v>
      </c>
      <c r="K77" s="2" t="s">
        <v>36</v>
      </c>
      <c r="L77" s="2" t="str">
        <f>"27"</f>
        <v>27</v>
      </c>
      <c r="M77" s="2"/>
      <c r="N77" s="2" t="str">
        <f>"AV BERNARD"</f>
        <v>AV BERNARD</v>
      </c>
      <c r="O77" s="2" t="s">
        <v>37</v>
      </c>
      <c r="P77" s="9" t="e">
        <f>VLOOKUP($O77,'Liste des Villes'!$B$2:$B$1128,1,FALSE)</f>
        <v>#N/A</v>
      </c>
      <c r="Q77" s="9" t="str">
        <f>IFERROR($P77,PROPER(VLOOKUP($O77,'Villes en erreur'!$A$2:$B$72,2,FALSE)))</f>
        <v>Saint-Lin–Laurentides</v>
      </c>
      <c r="R77" s="9" t="str">
        <f>IFERROR($P77,PROPER(VLOOKUP($O77,'Villes en erreur'!$A$2:$B$72,2,FALSE)))</f>
        <v>Saint-Lin–Laurentides</v>
      </c>
      <c r="S77" s="9" t="str">
        <f>IF(ISBLANK($R77),"",VLOOKUP($R77,'Liste des Villes'!$B$2:$H$1128,4,FALSE))</f>
        <v>Lanaudière</v>
      </c>
      <c r="T77" s="2" t="s">
        <v>38</v>
      </c>
      <c r="U77" s="2" t="s">
        <v>39</v>
      </c>
      <c r="V77" s="2" t="s">
        <v>40</v>
      </c>
      <c r="W77" s="2" t="s">
        <v>618</v>
      </c>
      <c r="X77" s="2"/>
      <c r="Y77" s="2"/>
      <c r="Z77" s="2"/>
      <c r="AA77" s="2" t="s">
        <v>42</v>
      </c>
      <c r="AB77" s="2" t="s">
        <v>43</v>
      </c>
      <c r="AC77" s="4" t="s">
        <v>44</v>
      </c>
    </row>
    <row r="78" spans="1:29" x14ac:dyDescent="0.25">
      <c r="A78" s="1">
        <v>30</v>
      </c>
      <c r="B78" s="17" t="s">
        <v>619</v>
      </c>
      <c r="C78" s="2" t="s">
        <v>620</v>
      </c>
      <c r="D78" s="15" t="s">
        <v>621</v>
      </c>
      <c r="E78" s="9" t="s">
        <v>622</v>
      </c>
      <c r="F78" s="9" t="s">
        <v>623</v>
      </c>
      <c r="G78" s="9" t="s">
        <v>219</v>
      </c>
      <c r="H78" s="2" t="s">
        <v>35</v>
      </c>
      <c r="I78" s="3">
        <v>31476</v>
      </c>
      <c r="J78" s="9" t="str">
        <f t="shared" ca="1" si="1"/>
        <v>37 ans</v>
      </c>
      <c r="K78" s="2" t="s">
        <v>36</v>
      </c>
      <c r="L78" s="2" t="str">
        <f>"15"</f>
        <v>15</v>
      </c>
      <c r="M78" s="2"/>
      <c r="N78" s="2" t="str">
        <f>"2E BOULEVARD"</f>
        <v>2E BOULEVARD</v>
      </c>
      <c r="O78" s="2" t="s">
        <v>624</v>
      </c>
      <c r="P78" s="9" t="e">
        <f>VLOOKUP($O78,'Liste des Villes'!$B$2:$B$1128,1,FALSE)</f>
        <v>#N/A</v>
      </c>
      <c r="Q78" s="9" t="str">
        <f>IFERROR($P78,PROPER(VLOOKUP($O78,'Villes en erreur'!$A$2:$B$72,2,FALSE)))</f>
        <v>Saint-Eustache</v>
      </c>
      <c r="R78" s="9" t="str">
        <f>IFERROR($P78,PROPER(VLOOKUP($O78,'Villes en erreur'!$A$2:$B$72,2,FALSE)))</f>
        <v>Saint-Eustache</v>
      </c>
      <c r="S78" s="9" t="str">
        <f>IF(ISBLANK($R78),"",VLOOKUP($R78,'Liste des Villes'!$B$2:$H$1128,4,FALSE))</f>
        <v>Laurentides</v>
      </c>
      <c r="T78" s="2" t="s">
        <v>625</v>
      </c>
      <c r="U78" s="2" t="s">
        <v>39</v>
      </c>
      <c r="V78" s="2" t="s">
        <v>40</v>
      </c>
      <c r="W78" s="2" t="s">
        <v>626</v>
      </c>
      <c r="X78" s="2"/>
      <c r="Y78" s="2"/>
      <c r="Z78" s="2"/>
      <c r="AA78" s="2" t="s">
        <v>149</v>
      </c>
      <c r="AB78" s="2" t="s">
        <v>150</v>
      </c>
      <c r="AC78" s="4" t="s">
        <v>44</v>
      </c>
    </row>
    <row r="79" spans="1:29" x14ac:dyDescent="0.25">
      <c r="A79" s="1">
        <v>423</v>
      </c>
      <c r="B79" s="17" t="s">
        <v>627</v>
      </c>
      <c r="C79" s="2" t="s">
        <v>628</v>
      </c>
      <c r="D79" s="15" t="s">
        <v>629</v>
      </c>
      <c r="E79" s="9" t="s">
        <v>630</v>
      </c>
      <c r="F79" s="9" t="s">
        <v>240</v>
      </c>
      <c r="G79" s="9" t="s">
        <v>219</v>
      </c>
      <c r="H79" s="2" t="s">
        <v>35</v>
      </c>
      <c r="I79" s="3">
        <v>31106</v>
      </c>
      <c r="J79" s="9" t="str">
        <f t="shared" ca="1" si="1"/>
        <v>38 ans</v>
      </c>
      <c r="K79" s="2" t="s">
        <v>36</v>
      </c>
      <c r="L79" s="2" t="str">
        <f>"14"</f>
        <v>14</v>
      </c>
      <c r="M79" s="2"/>
      <c r="N79" s="2" t="str">
        <f>"25E AV"</f>
        <v>25E AV</v>
      </c>
      <c r="O79" s="2" t="s">
        <v>235</v>
      </c>
      <c r="P79" s="9" t="e">
        <f>VLOOKUP($O79,'Liste des Villes'!$B$2:$B$1128,1,FALSE)</f>
        <v>#N/A</v>
      </c>
      <c r="Q79" s="9" t="str">
        <f>IFERROR($P79,PROPER(VLOOKUP($O79,'Villes en erreur'!$A$2:$B$72,2,FALSE)))</f>
        <v>Saint-Jérôme</v>
      </c>
      <c r="R79" s="9" t="str">
        <f>IFERROR($P79,PROPER(VLOOKUP($O79,'Villes en erreur'!$A$2:$B$72,2,FALSE)))</f>
        <v>Saint-Jérôme</v>
      </c>
      <c r="S79" s="9" t="str">
        <f>IF(ISBLANK($R79),"",VLOOKUP($R79,'Liste des Villes'!$B$2:$H$1128,4,FALSE))</f>
        <v>Laurentides</v>
      </c>
      <c r="T79" s="2" t="s">
        <v>427</v>
      </c>
      <c r="U79" s="2" t="s">
        <v>39</v>
      </c>
      <c r="V79" s="2" t="s">
        <v>40</v>
      </c>
      <c r="W79" s="2" t="s">
        <v>631</v>
      </c>
      <c r="X79" s="2"/>
      <c r="Y79" s="2"/>
      <c r="Z79" s="2"/>
      <c r="AA79" s="2" t="s">
        <v>149</v>
      </c>
      <c r="AB79" s="2" t="s">
        <v>150</v>
      </c>
      <c r="AC79" s="4" t="s">
        <v>44</v>
      </c>
    </row>
    <row r="80" spans="1:29" x14ac:dyDescent="0.25">
      <c r="A80" s="1">
        <v>4189</v>
      </c>
      <c r="B80" s="17" t="s">
        <v>632</v>
      </c>
      <c r="C80" s="2" t="s">
        <v>633</v>
      </c>
      <c r="D80" s="15" t="s">
        <v>634</v>
      </c>
      <c r="E80" s="9" t="s">
        <v>635</v>
      </c>
      <c r="F80" s="9" t="s">
        <v>636</v>
      </c>
      <c r="G80" s="9" t="s">
        <v>637</v>
      </c>
      <c r="H80" s="2" t="s">
        <v>60</v>
      </c>
      <c r="I80" s="3">
        <v>21002</v>
      </c>
      <c r="J80" s="9" t="str">
        <f t="shared" ca="1" si="1"/>
        <v>66 ans</v>
      </c>
      <c r="K80" s="2"/>
      <c r="L80" s="2"/>
      <c r="M80" s="2"/>
      <c r="N80" s="2"/>
      <c r="O80" s="2" t="s">
        <v>638</v>
      </c>
      <c r="P80" s="9" t="e">
        <f>VLOOKUP($O80,'Liste des Villes'!$B$2:$B$1128,1,FALSE)</f>
        <v>#N/A</v>
      </c>
      <c r="Q80" s="9" t="str">
        <f>IFERROR($P80,PROPER(VLOOKUP($O80,'Villes en erreur'!$A$2:$B$72,2,FALSE)))</f>
        <v>Montréal</v>
      </c>
      <c r="R80" s="9" t="str">
        <f>IFERROR($P80,PROPER(VLOOKUP($O80,'Villes en erreur'!$A$2:$B$72,2,FALSE)))</f>
        <v>Montréal</v>
      </c>
      <c r="S80" s="9" t="str">
        <f>IF(ISBLANK($R80),"",VLOOKUP($R80,'Liste des Villes'!$B$2:$H$1128,4,FALSE))</f>
        <v>Montréal</v>
      </c>
      <c r="T80" s="2"/>
      <c r="U80" s="2"/>
      <c r="V80" s="2" t="s">
        <v>40</v>
      </c>
      <c r="W80" s="2" t="s">
        <v>444</v>
      </c>
      <c r="X80" s="2"/>
      <c r="Y80" s="2"/>
      <c r="Z80" s="2"/>
      <c r="AA80" s="2" t="s">
        <v>639</v>
      </c>
      <c r="AB80" s="2" t="s">
        <v>445</v>
      </c>
      <c r="AC80" s="4" t="s">
        <v>446</v>
      </c>
    </row>
    <row r="81" spans="1:29" x14ac:dyDescent="0.25">
      <c r="A81" s="1">
        <v>960</v>
      </c>
      <c r="B81" s="17" t="s">
        <v>640</v>
      </c>
      <c r="C81" s="2" t="s">
        <v>641</v>
      </c>
      <c r="D81" s="15" t="s">
        <v>642</v>
      </c>
      <c r="E81" s="9" t="s">
        <v>643</v>
      </c>
      <c r="F81" s="9" t="s">
        <v>644</v>
      </c>
      <c r="G81" s="9" t="s">
        <v>645</v>
      </c>
      <c r="H81" s="2" t="s">
        <v>60</v>
      </c>
      <c r="I81" s="3">
        <v>36917</v>
      </c>
      <c r="J81" s="9" t="str">
        <f t="shared" ca="1" si="1"/>
        <v>22 ans</v>
      </c>
      <c r="K81" s="2" t="s">
        <v>156</v>
      </c>
      <c r="L81" s="2" t="str">
        <f>"921"</f>
        <v>921</v>
      </c>
      <c r="M81" s="2"/>
      <c r="N81" s="2" t="str">
        <f>"RUE DESJARDINS"</f>
        <v>RUE DESJARDINS</v>
      </c>
      <c r="O81" s="2" t="s">
        <v>646</v>
      </c>
      <c r="P81" s="9" t="e">
        <f>VLOOKUP($O81,'Liste des Villes'!$B$2:$B$1128,1,FALSE)</f>
        <v>#N/A</v>
      </c>
      <c r="Q81" s="9" t="str">
        <f>IFERROR($P81,PROPER(VLOOKUP($O81,'Villes en erreur'!$A$2:$B$72,2,FALSE)))</f>
        <v>Saint-Hippolyte</v>
      </c>
      <c r="R81" s="9" t="str">
        <f>IFERROR($P81,PROPER(VLOOKUP($O81,'Villes en erreur'!$A$2:$B$72,2,FALSE)))</f>
        <v>Saint-Hippolyte</v>
      </c>
      <c r="S81" s="9" t="str">
        <f>IF(ISBLANK($R81),"",VLOOKUP($R81,'Liste des Villes'!$B$2:$H$1128,4,FALSE))</f>
        <v>Laurentides</v>
      </c>
      <c r="T81" s="2" t="s">
        <v>647</v>
      </c>
      <c r="U81" s="2" t="s">
        <v>39</v>
      </c>
      <c r="V81" s="2" t="s">
        <v>40</v>
      </c>
      <c r="W81" s="2" t="s">
        <v>648</v>
      </c>
      <c r="X81" s="2"/>
      <c r="Y81" s="2"/>
      <c r="Z81" s="2"/>
      <c r="AA81" s="2" t="s">
        <v>299</v>
      </c>
      <c r="AB81" s="2" t="s">
        <v>161</v>
      </c>
      <c r="AC81" s="4" t="s">
        <v>44</v>
      </c>
    </row>
    <row r="82" spans="1:29" x14ac:dyDescent="0.25">
      <c r="A82" s="1">
        <v>3201</v>
      </c>
      <c r="B82" s="17" t="s">
        <v>649</v>
      </c>
      <c r="C82" s="2" t="s">
        <v>650</v>
      </c>
      <c r="D82" s="15" t="s">
        <v>651</v>
      </c>
      <c r="E82" s="9" t="s">
        <v>101</v>
      </c>
      <c r="F82" s="9" t="s">
        <v>652</v>
      </c>
      <c r="G82" s="9" t="s">
        <v>167</v>
      </c>
      <c r="H82" s="2" t="s">
        <v>35</v>
      </c>
      <c r="I82" s="3">
        <v>33147</v>
      </c>
      <c r="J82" s="9" t="str">
        <f t="shared" ca="1" si="1"/>
        <v>32 ans</v>
      </c>
      <c r="K82" s="2" t="s">
        <v>36</v>
      </c>
      <c r="L82" s="2" t="str">
        <f>"28"</f>
        <v>28</v>
      </c>
      <c r="M82" s="2"/>
      <c r="N82" s="2" t="str">
        <f>"AV CARTIER"</f>
        <v>AV CARTIER</v>
      </c>
      <c r="O82" s="2" t="s">
        <v>37</v>
      </c>
      <c r="P82" s="9" t="e">
        <f>VLOOKUP($O82,'Liste des Villes'!$B$2:$B$1128,1,FALSE)</f>
        <v>#N/A</v>
      </c>
      <c r="Q82" s="9" t="str">
        <f>IFERROR($P82,PROPER(VLOOKUP($O82,'Villes en erreur'!$A$2:$B$72,2,FALSE)))</f>
        <v>Saint-Lin–Laurentides</v>
      </c>
      <c r="R82" s="9" t="str">
        <f>IFERROR($P82,PROPER(VLOOKUP($O82,'Villes en erreur'!$A$2:$B$72,2,FALSE)))</f>
        <v>Saint-Lin–Laurentides</v>
      </c>
      <c r="S82" s="9" t="str">
        <f>IF(ISBLANK($R82),"",VLOOKUP($R82,'Liste des Villes'!$B$2:$H$1128,4,FALSE))</f>
        <v>Lanaudière</v>
      </c>
      <c r="T82" s="2" t="s">
        <v>38</v>
      </c>
      <c r="U82" s="2" t="s">
        <v>39</v>
      </c>
      <c r="V82" s="2" t="s">
        <v>40</v>
      </c>
      <c r="W82" s="2" t="s">
        <v>653</v>
      </c>
      <c r="X82" s="2"/>
      <c r="Y82" s="2"/>
      <c r="Z82" s="2"/>
      <c r="AA82" s="2" t="s">
        <v>42</v>
      </c>
      <c r="AB82" s="2" t="s">
        <v>43</v>
      </c>
      <c r="AC82" s="4" t="s">
        <v>44</v>
      </c>
    </row>
    <row r="83" spans="1:29" x14ac:dyDescent="0.25">
      <c r="A83" s="1">
        <v>3959</v>
      </c>
      <c r="B83" s="17" t="s">
        <v>654</v>
      </c>
      <c r="C83" s="2" t="s">
        <v>655</v>
      </c>
      <c r="D83" s="15" t="s">
        <v>656</v>
      </c>
      <c r="E83" s="9" t="s">
        <v>59</v>
      </c>
      <c r="F83" s="9" t="s">
        <v>657</v>
      </c>
      <c r="G83" s="9" t="s">
        <v>658</v>
      </c>
      <c r="H83" s="2" t="s">
        <v>60</v>
      </c>
      <c r="I83" s="3">
        <v>37057</v>
      </c>
      <c r="J83" s="9" t="str">
        <f t="shared" ca="1" si="1"/>
        <v>22 ans</v>
      </c>
      <c r="K83" s="2" t="s">
        <v>156</v>
      </c>
      <c r="L83" s="2" t="str">
        <f>"1125"</f>
        <v>1125</v>
      </c>
      <c r="M83" s="2"/>
      <c r="N83" s="2" t="str">
        <f>"RUE DU VICOMTE"</f>
        <v>RUE DU VICOMTE</v>
      </c>
      <c r="O83" s="2" t="s">
        <v>372</v>
      </c>
      <c r="P83" s="9" t="e">
        <f>VLOOKUP($O83,'Liste des Villes'!$B$2:$B$1128,1,FALSE)</f>
        <v>#N/A</v>
      </c>
      <c r="Q83" s="9" t="str">
        <f>IFERROR($P83,PROPER(VLOOKUP($O83,'Villes en erreur'!$A$2:$B$72,2,FALSE)))</f>
        <v>Montréal</v>
      </c>
      <c r="R83" s="9" t="str">
        <f>IFERROR($P83,PROPER(VLOOKUP($O83,'Villes en erreur'!$A$2:$B$72,2,FALSE)))</f>
        <v>Montréal</v>
      </c>
      <c r="S83" s="9" t="str">
        <f>IF(ISBLANK($R83),"",VLOOKUP($R83,'Liste des Villes'!$B$2:$H$1128,4,FALSE))</f>
        <v>Montréal</v>
      </c>
      <c r="T83" s="2" t="s">
        <v>659</v>
      </c>
      <c r="U83" s="2" t="s">
        <v>39</v>
      </c>
      <c r="V83" s="2" t="s">
        <v>40</v>
      </c>
      <c r="W83" s="2" t="s">
        <v>660</v>
      </c>
      <c r="X83" s="2"/>
      <c r="Y83" s="2"/>
      <c r="Z83" s="2"/>
      <c r="AA83" s="2" t="s">
        <v>375</v>
      </c>
      <c r="AB83" s="2" t="s">
        <v>376</v>
      </c>
      <c r="AC83" s="4" t="s">
        <v>44</v>
      </c>
    </row>
    <row r="84" spans="1:29" x14ac:dyDescent="0.25">
      <c r="A84" s="1">
        <v>1030</v>
      </c>
      <c r="B84" s="17" t="s">
        <v>661</v>
      </c>
      <c r="C84" s="2" t="s">
        <v>662</v>
      </c>
      <c r="D84" s="15" t="s">
        <v>663</v>
      </c>
      <c r="E84" s="9" t="s">
        <v>664</v>
      </c>
      <c r="F84" s="9" t="s">
        <v>665</v>
      </c>
      <c r="G84" s="9" t="s">
        <v>666</v>
      </c>
      <c r="H84" s="2" t="s">
        <v>60</v>
      </c>
      <c r="I84" s="3">
        <v>37058</v>
      </c>
      <c r="J84" s="9" t="str">
        <f t="shared" ca="1" si="1"/>
        <v>22 ans</v>
      </c>
      <c r="K84" s="2" t="s">
        <v>156</v>
      </c>
      <c r="L84" s="2" t="str">
        <f>"1128"</f>
        <v>1128</v>
      </c>
      <c r="M84" s="2"/>
      <c r="N84" s="2" t="str">
        <f>"RUE DUBÉ"</f>
        <v>RUE DUBÉ</v>
      </c>
      <c r="O84" s="2" t="s">
        <v>372</v>
      </c>
      <c r="P84" s="9" t="e">
        <f>VLOOKUP($O84,'Liste des Villes'!$B$2:$B$1128,1,FALSE)</f>
        <v>#N/A</v>
      </c>
      <c r="Q84" s="9" t="str">
        <f>IFERROR($P84,PROPER(VLOOKUP($O84,'Villes en erreur'!$A$2:$B$72,2,FALSE)))</f>
        <v>Montréal</v>
      </c>
      <c r="R84" s="9" t="str">
        <f>IFERROR($P84,PROPER(VLOOKUP($O84,'Villes en erreur'!$A$2:$B$72,2,FALSE)))</f>
        <v>Montréal</v>
      </c>
      <c r="S84" s="9" t="str">
        <f>IF(ISBLANK($R84),"",VLOOKUP($R84,'Liste des Villes'!$B$2:$H$1128,4,FALSE))</f>
        <v>Montréal</v>
      </c>
      <c r="T84" s="2" t="s">
        <v>667</v>
      </c>
      <c r="U84" s="2" t="s">
        <v>39</v>
      </c>
      <c r="V84" s="2" t="s">
        <v>40</v>
      </c>
      <c r="W84" s="2" t="s">
        <v>668</v>
      </c>
      <c r="X84" s="2"/>
      <c r="Y84" s="2"/>
      <c r="Z84" s="2"/>
      <c r="AA84" s="2" t="s">
        <v>375</v>
      </c>
      <c r="AB84" s="2" t="s">
        <v>376</v>
      </c>
      <c r="AC84" s="4" t="s">
        <v>44</v>
      </c>
    </row>
    <row r="85" spans="1:29" x14ac:dyDescent="0.25">
      <c r="A85" s="1">
        <v>4395</v>
      </c>
      <c r="B85" s="17" t="s">
        <v>669</v>
      </c>
      <c r="C85" s="2" t="s">
        <v>670</v>
      </c>
      <c r="D85" s="15" t="s">
        <v>599</v>
      </c>
      <c r="E85" s="9" t="s">
        <v>671</v>
      </c>
      <c r="F85" s="9" t="s">
        <v>601</v>
      </c>
      <c r="G85" s="9" t="s">
        <v>122</v>
      </c>
      <c r="H85" s="2" t="s">
        <v>35</v>
      </c>
      <c r="I85" s="3">
        <v>36353</v>
      </c>
      <c r="J85" s="9" t="str">
        <f t="shared" ca="1" si="1"/>
        <v>24 ans</v>
      </c>
      <c r="K85" s="2" t="s">
        <v>123</v>
      </c>
      <c r="L85" s="2" t="str">
        <f>"319"</f>
        <v>319</v>
      </c>
      <c r="M85" s="2"/>
      <c r="N85" s="2" t="str">
        <f>"RUE CHAMPÊTRE"</f>
        <v>RUE CHAMPÊTRE</v>
      </c>
      <c r="O85" s="2" t="s">
        <v>124</v>
      </c>
      <c r="P85" s="9" t="e">
        <f>VLOOKUP($O85,'Liste des Villes'!$B$2:$B$1128,1,FALSE)</f>
        <v>#N/A</v>
      </c>
      <c r="Q85" s="9" t="str">
        <f>IFERROR($P85,PROPER(VLOOKUP($O85,'Villes en erreur'!$A$2:$B$72,2,FALSE)))</f>
        <v>Saint-Faustin–Lac-Carré</v>
      </c>
      <c r="R85" s="9" t="str">
        <f>IFERROR($P85,PROPER(VLOOKUP($O85,'Villes en erreur'!$A$2:$B$72,2,FALSE)))</f>
        <v>Saint-Faustin–Lac-Carré</v>
      </c>
      <c r="S85" s="9" t="str">
        <f>IF(ISBLANK($R85),"",VLOOKUP($R85,'Liste des Villes'!$B$2:$H$1128,4,FALSE))</f>
        <v>Laurentides</v>
      </c>
      <c r="T85" s="2" t="s">
        <v>174</v>
      </c>
      <c r="U85" s="2" t="s">
        <v>39</v>
      </c>
      <c r="V85" s="2" t="s">
        <v>40</v>
      </c>
      <c r="W85" s="2" t="s">
        <v>672</v>
      </c>
      <c r="X85" s="2"/>
      <c r="Y85" s="2"/>
      <c r="Z85" s="2"/>
      <c r="AA85" s="2" t="s">
        <v>127</v>
      </c>
      <c r="AB85" s="2" t="s">
        <v>73</v>
      </c>
      <c r="AC85" s="4" t="s">
        <v>44</v>
      </c>
    </row>
    <row r="86" spans="1:29" x14ac:dyDescent="0.25">
      <c r="A86" s="1">
        <v>2954</v>
      </c>
      <c r="B86" s="17" t="s">
        <v>673</v>
      </c>
      <c r="C86" s="2" t="s">
        <v>674</v>
      </c>
      <c r="D86" s="15" t="s">
        <v>675</v>
      </c>
      <c r="E86" s="9" t="s">
        <v>676</v>
      </c>
      <c r="F86" s="9" t="s">
        <v>677</v>
      </c>
      <c r="G86" s="9" t="s">
        <v>678</v>
      </c>
      <c r="H86" s="2" t="s">
        <v>60</v>
      </c>
      <c r="I86" s="3">
        <v>33280</v>
      </c>
      <c r="J86" s="9" t="str">
        <f t="shared" ca="1" si="1"/>
        <v>32 ans</v>
      </c>
      <c r="K86" s="2" t="s">
        <v>36</v>
      </c>
      <c r="L86" s="2" t="str">
        <f>"30"</f>
        <v>30</v>
      </c>
      <c r="M86" s="2"/>
      <c r="N86" s="2" t="str">
        <f>"AV DES COLOMBES"</f>
        <v>AV DES COLOMBES</v>
      </c>
      <c r="O86" s="2" t="s">
        <v>37</v>
      </c>
      <c r="P86" s="9" t="e">
        <f>VLOOKUP($O86,'Liste des Villes'!$B$2:$B$1128,1,FALSE)</f>
        <v>#N/A</v>
      </c>
      <c r="Q86" s="9" t="str">
        <f>IFERROR($P86,PROPER(VLOOKUP($O86,'Villes en erreur'!$A$2:$B$72,2,FALSE)))</f>
        <v>Saint-Lin–Laurentides</v>
      </c>
      <c r="R86" s="9" t="str">
        <f>IFERROR($P86,PROPER(VLOOKUP($O86,'Villes en erreur'!$A$2:$B$72,2,FALSE)))</f>
        <v>Saint-Lin–Laurentides</v>
      </c>
      <c r="S86" s="9" t="str">
        <f>IF(ISBLANK($R86),"",VLOOKUP($R86,'Liste des Villes'!$B$2:$H$1128,4,FALSE))</f>
        <v>Lanaudière</v>
      </c>
      <c r="T86" s="2" t="s">
        <v>38</v>
      </c>
      <c r="U86" s="2" t="s">
        <v>39</v>
      </c>
      <c r="V86" s="2" t="s">
        <v>40</v>
      </c>
      <c r="W86" s="2" t="s">
        <v>679</v>
      </c>
      <c r="X86" s="2"/>
      <c r="Y86" s="2"/>
      <c r="Z86" s="2"/>
      <c r="AA86" s="2" t="s">
        <v>42</v>
      </c>
      <c r="AB86" s="2" t="s">
        <v>43</v>
      </c>
      <c r="AC86" s="4" t="s">
        <v>44</v>
      </c>
    </row>
    <row r="87" spans="1:29" x14ac:dyDescent="0.25">
      <c r="A87" s="1">
        <v>2429</v>
      </c>
      <c r="B87" s="17" t="s">
        <v>680</v>
      </c>
      <c r="C87" s="2" t="s">
        <v>681</v>
      </c>
      <c r="D87" s="15" t="s">
        <v>682</v>
      </c>
      <c r="E87" s="9" t="s">
        <v>683</v>
      </c>
      <c r="F87" s="9" t="s">
        <v>684</v>
      </c>
      <c r="G87" s="9" t="s">
        <v>685</v>
      </c>
      <c r="H87" s="2" t="s">
        <v>60</v>
      </c>
      <c r="I87" s="3">
        <v>36672</v>
      </c>
      <c r="J87" s="9" t="str">
        <f t="shared" ca="1" si="1"/>
        <v>23 ans</v>
      </c>
      <c r="K87" s="2" t="s">
        <v>68</v>
      </c>
      <c r="L87" s="2" t="str">
        <f>"562"</f>
        <v>562</v>
      </c>
      <c r="M87" s="2"/>
      <c r="N87" s="2" t="str">
        <f>"RUE DE SAINT-FAUSTIN"</f>
        <v>RUE DE SAINT-FAUSTIN</v>
      </c>
      <c r="O87" s="2" t="s">
        <v>686</v>
      </c>
      <c r="P87" s="9" t="e">
        <f>VLOOKUP($O87,'Liste des Villes'!$B$2:$B$1128,1,FALSE)</f>
        <v>#N/A</v>
      </c>
      <c r="Q87" s="9" t="str">
        <f>IFERROR($P87,PROPER(VLOOKUP($O87,'Villes en erreur'!$A$2:$B$72,2,FALSE)))</f>
        <v>Sainte-Agathe-Des-Monts</v>
      </c>
      <c r="R87" s="9" t="str">
        <f>IFERROR($P87,PROPER(VLOOKUP($O87,'Villes en erreur'!$A$2:$B$72,2,FALSE)))</f>
        <v>Sainte-Agathe-Des-Monts</v>
      </c>
      <c r="S87" s="9" t="str">
        <f>IF(ISBLANK($R87),"",VLOOKUP($R87,'Liste des Villes'!$B$2:$H$1128,4,FALSE))</f>
        <v>Laurentides</v>
      </c>
      <c r="T87" s="2" t="s">
        <v>687</v>
      </c>
      <c r="U87" s="2" t="s">
        <v>39</v>
      </c>
      <c r="V87" s="2" t="s">
        <v>40</v>
      </c>
      <c r="W87" s="2" t="s">
        <v>688</v>
      </c>
      <c r="X87" s="2"/>
      <c r="Y87" s="2"/>
      <c r="Z87" s="2"/>
      <c r="AA87" s="2" t="s">
        <v>72</v>
      </c>
      <c r="AB87" s="2" t="s">
        <v>545</v>
      </c>
      <c r="AC87" s="4" t="s">
        <v>44</v>
      </c>
    </row>
    <row r="88" spans="1:29" x14ac:dyDescent="0.25">
      <c r="A88" s="1">
        <v>2888</v>
      </c>
      <c r="B88" s="17" t="s">
        <v>689</v>
      </c>
      <c r="C88" s="2" t="s">
        <v>690</v>
      </c>
      <c r="D88" s="15" t="s">
        <v>691</v>
      </c>
      <c r="E88" s="9" t="s">
        <v>692</v>
      </c>
      <c r="F88" s="9" t="s">
        <v>693</v>
      </c>
      <c r="G88" s="9" t="s">
        <v>101</v>
      </c>
      <c r="H88" s="2" t="s">
        <v>35</v>
      </c>
      <c r="I88" s="3">
        <v>33033</v>
      </c>
      <c r="J88" s="9" t="str">
        <f t="shared" ca="1" si="1"/>
        <v>33 ans</v>
      </c>
      <c r="K88" s="2" t="s">
        <v>36</v>
      </c>
      <c r="L88" s="2" t="str">
        <f>"27"</f>
        <v>27</v>
      </c>
      <c r="M88" s="2"/>
      <c r="N88" s="2" t="str">
        <f>"AV ALEXANDRE-LE-GRAND"</f>
        <v>AV ALEXANDRE-LE-GRAND</v>
      </c>
      <c r="O88" s="2" t="s">
        <v>37</v>
      </c>
      <c r="P88" s="9" t="e">
        <f>VLOOKUP($O88,'Liste des Villes'!$B$2:$B$1128,1,FALSE)</f>
        <v>#N/A</v>
      </c>
      <c r="Q88" s="9" t="str">
        <f>IFERROR($P88,PROPER(VLOOKUP($O88,'Villes en erreur'!$A$2:$B$72,2,FALSE)))</f>
        <v>Saint-Lin–Laurentides</v>
      </c>
      <c r="R88" s="9" t="str">
        <f>IFERROR($P88,PROPER(VLOOKUP($O88,'Villes en erreur'!$A$2:$B$72,2,FALSE)))</f>
        <v>Saint-Lin–Laurentides</v>
      </c>
      <c r="S88" s="9" t="str">
        <f>IF(ISBLANK($R88),"",VLOOKUP($R88,'Liste des Villes'!$B$2:$H$1128,4,FALSE))</f>
        <v>Lanaudière</v>
      </c>
      <c r="T88" s="2" t="s">
        <v>38</v>
      </c>
      <c r="U88" s="2" t="s">
        <v>39</v>
      </c>
      <c r="V88" s="2" t="s">
        <v>40</v>
      </c>
      <c r="W88" s="2" t="s">
        <v>694</v>
      </c>
      <c r="X88" s="2"/>
      <c r="Y88" s="2"/>
      <c r="Z88" s="2"/>
      <c r="AA88" s="2" t="s">
        <v>42</v>
      </c>
      <c r="AB88" s="2" t="s">
        <v>43</v>
      </c>
      <c r="AC88" s="4" t="s">
        <v>44</v>
      </c>
    </row>
    <row r="89" spans="1:29" x14ac:dyDescent="0.25">
      <c r="A89" s="1">
        <v>405</v>
      </c>
      <c r="B89" s="17" t="s">
        <v>695</v>
      </c>
      <c r="C89" s="2" t="s">
        <v>696</v>
      </c>
      <c r="D89" s="15" t="s">
        <v>697</v>
      </c>
      <c r="E89" s="9" t="s">
        <v>698</v>
      </c>
      <c r="F89" s="9" t="s">
        <v>699</v>
      </c>
      <c r="G89" s="9" t="s">
        <v>101</v>
      </c>
      <c r="H89" s="2" t="s">
        <v>35</v>
      </c>
      <c r="I89" s="3">
        <v>33111</v>
      </c>
      <c r="J89" s="9" t="str">
        <f t="shared" ca="1" si="1"/>
        <v>32 ans</v>
      </c>
      <c r="K89" s="2" t="s">
        <v>36</v>
      </c>
      <c r="L89" s="2" t="str">
        <f>"28"</f>
        <v>28</v>
      </c>
      <c r="M89" s="2"/>
      <c r="N89" s="2" t="str">
        <f>"AV BRETON"</f>
        <v>AV BRETON</v>
      </c>
      <c r="O89" s="2" t="s">
        <v>37</v>
      </c>
      <c r="P89" s="9" t="e">
        <f>VLOOKUP($O89,'Liste des Villes'!$B$2:$B$1128,1,FALSE)</f>
        <v>#N/A</v>
      </c>
      <c r="Q89" s="9" t="str">
        <f>IFERROR($P89,PROPER(VLOOKUP($O89,'Villes en erreur'!$A$2:$B$72,2,FALSE)))</f>
        <v>Saint-Lin–Laurentides</v>
      </c>
      <c r="R89" s="9" t="str">
        <f>IFERROR($P89,PROPER(VLOOKUP($O89,'Villes en erreur'!$A$2:$B$72,2,FALSE)))</f>
        <v>Saint-Lin–Laurentides</v>
      </c>
      <c r="S89" s="9" t="str">
        <f>IF(ISBLANK($R89),"",VLOOKUP($R89,'Liste des Villes'!$B$2:$H$1128,4,FALSE))</f>
        <v>Lanaudière</v>
      </c>
      <c r="T89" s="2" t="s">
        <v>38</v>
      </c>
      <c r="U89" s="2" t="s">
        <v>39</v>
      </c>
      <c r="V89" s="2" t="s">
        <v>40</v>
      </c>
      <c r="W89" s="2" t="s">
        <v>700</v>
      </c>
      <c r="X89" s="2"/>
      <c r="Y89" s="2"/>
      <c r="Z89" s="2"/>
      <c r="AA89" s="2" t="s">
        <v>42</v>
      </c>
      <c r="AB89" s="2" t="s">
        <v>43</v>
      </c>
      <c r="AC89" s="4" t="s">
        <v>44</v>
      </c>
    </row>
    <row r="90" spans="1:29" x14ac:dyDescent="0.25">
      <c r="A90" s="1">
        <v>2324</v>
      </c>
      <c r="B90" s="17" t="s">
        <v>701</v>
      </c>
      <c r="C90" s="2" t="s">
        <v>702</v>
      </c>
      <c r="D90" s="15" t="s">
        <v>14</v>
      </c>
      <c r="E90" s="9" t="s">
        <v>370</v>
      </c>
      <c r="F90" s="9" t="s">
        <v>703</v>
      </c>
      <c r="G90" s="9" t="s">
        <v>704</v>
      </c>
      <c r="H90" s="2" t="s">
        <v>60</v>
      </c>
      <c r="I90" s="3">
        <v>37273</v>
      </c>
      <c r="J90" s="9" t="str">
        <f t="shared" ca="1" si="1"/>
        <v>21 ans</v>
      </c>
      <c r="K90" s="2" t="s">
        <v>262</v>
      </c>
      <c r="L90" s="2" t="str">
        <f>"2337"</f>
        <v>2337</v>
      </c>
      <c r="M90" s="2"/>
      <c r="N90" s="2" t="str">
        <f>"RUE LOUIS-RIEL"</f>
        <v>RUE LOUIS-RIEL</v>
      </c>
      <c r="O90" s="2" t="s">
        <v>705</v>
      </c>
      <c r="P90" s="9" t="e">
        <f>VLOOKUP($O90,'Liste des Villes'!$B$2:$B$1128,1,FALSE)</f>
        <v>#N/A</v>
      </c>
      <c r="Q90" s="9" t="str">
        <f>IFERROR($P90,PROPER(VLOOKUP($O90,'Villes en erreur'!$A$2:$B$72,2,FALSE)))</f>
        <v>Laval</v>
      </c>
      <c r="R90" s="9" t="str">
        <f>IFERROR($P90,PROPER(VLOOKUP($O90,'Villes en erreur'!$A$2:$B$72,2,FALSE)))</f>
        <v>Laval</v>
      </c>
      <c r="S90" s="9" t="str">
        <f>IF(ISBLANK($R90),"",VLOOKUP($R90,'Liste des Villes'!$B$2:$H$1128,4,FALSE))</f>
        <v>Laval</v>
      </c>
      <c r="T90" s="2" t="s">
        <v>706</v>
      </c>
      <c r="U90" s="2" t="s">
        <v>39</v>
      </c>
      <c r="V90" s="2" t="s">
        <v>40</v>
      </c>
      <c r="W90" s="2" t="s">
        <v>707</v>
      </c>
      <c r="X90" s="2"/>
      <c r="Y90" s="2"/>
      <c r="Z90" s="2"/>
      <c r="AA90" s="2" t="s">
        <v>708</v>
      </c>
      <c r="AB90" s="2" t="s">
        <v>709</v>
      </c>
      <c r="AC90" s="4" t="s">
        <v>44</v>
      </c>
    </row>
    <row r="91" spans="1:29" x14ac:dyDescent="0.25">
      <c r="A91" s="1">
        <v>4293</v>
      </c>
      <c r="B91" s="17" t="s">
        <v>710</v>
      </c>
      <c r="C91" s="2" t="s">
        <v>711</v>
      </c>
      <c r="D91" s="15" t="s">
        <v>712</v>
      </c>
      <c r="E91" s="9" t="s">
        <v>713</v>
      </c>
      <c r="F91" s="9" t="s">
        <v>714</v>
      </c>
      <c r="G91" s="9" t="s">
        <v>122</v>
      </c>
      <c r="H91" s="2" t="s">
        <v>35</v>
      </c>
      <c r="I91" s="3">
        <v>36352</v>
      </c>
      <c r="J91" s="9" t="str">
        <f t="shared" ca="1" si="1"/>
        <v>24 ans</v>
      </c>
      <c r="K91" s="2" t="s">
        <v>123</v>
      </c>
      <c r="L91" s="2" t="str">
        <f>"318"</f>
        <v>318</v>
      </c>
      <c r="M91" s="2"/>
      <c r="N91" s="2" t="str">
        <f>"RUE CHAMPÊTRE"</f>
        <v>RUE CHAMPÊTRE</v>
      </c>
      <c r="O91" s="2" t="s">
        <v>124</v>
      </c>
      <c r="P91" s="9" t="e">
        <f>VLOOKUP($O91,'Liste des Villes'!$B$2:$B$1128,1,FALSE)</f>
        <v>#N/A</v>
      </c>
      <c r="Q91" s="9" t="str">
        <f>IFERROR($P91,PROPER(VLOOKUP($O91,'Villes en erreur'!$A$2:$B$72,2,FALSE)))</f>
        <v>Saint-Faustin–Lac-Carré</v>
      </c>
      <c r="R91" s="9" t="str">
        <f>IFERROR($P91,PROPER(VLOOKUP($O91,'Villes en erreur'!$A$2:$B$72,2,FALSE)))</f>
        <v>Saint-Faustin–Lac-Carré</v>
      </c>
      <c r="S91" s="9" t="str">
        <f>IF(ISBLANK($R91),"",VLOOKUP($R91,'Liste des Villes'!$B$2:$H$1128,4,FALSE))</f>
        <v>Laurentides</v>
      </c>
      <c r="T91" s="2" t="s">
        <v>125</v>
      </c>
      <c r="U91" s="2" t="s">
        <v>39</v>
      </c>
      <c r="V91" s="2" t="s">
        <v>40</v>
      </c>
      <c r="W91" s="2" t="s">
        <v>715</v>
      </c>
      <c r="X91" s="2"/>
      <c r="Y91" s="2"/>
      <c r="Z91" s="2"/>
      <c r="AA91" s="2" t="s">
        <v>127</v>
      </c>
      <c r="AB91" s="2" t="s">
        <v>73</v>
      </c>
      <c r="AC91" s="4" t="s">
        <v>44</v>
      </c>
    </row>
    <row r="92" spans="1:29" x14ac:dyDescent="0.25">
      <c r="A92" s="1">
        <v>4005</v>
      </c>
      <c r="B92" s="17" t="s">
        <v>716</v>
      </c>
      <c r="C92" s="2" t="s">
        <v>717</v>
      </c>
      <c r="D92" s="15" t="s">
        <v>718</v>
      </c>
      <c r="E92" s="9" t="s">
        <v>487</v>
      </c>
      <c r="F92" s="9" t="s">
        <v>719</v>
      </c>
      <c r="G92" s="9" t="s">
        <v>219</v>
      </c>
      <c r="H92" s="2" t="s">
        <v>35</v>
      </c>
      <c r="I92" s="3">
        <v>30924</v>
      </c>
      <c r="J92" s="9" t="str">
        <f t="shared" ca="1" si="1"/>
        <v>38 ans</v>
      </c>
      <c r="K92" s="2" t="s">
        <v>36</v>
      </c>
      <c r="L92" s="2" t="str">
        <f>"13"</f>
        <v>13</v>
      </c>
      <c r="M92" s="2"/>
      <c r="N92" s="2" t="str">
        <f>"22E RUE"</f>
        <v>22E RUE</v>
      </c>
      <c r="O92" s="2" t="s">
        <v>720</v>
      </c>
      <c r="P92" s="9" t="e">
        <f>VLOOKUP($O92,'Liste des Villes'!$B$2:$B$1128,1,FALSE)</f>
        <v>#N/A</v>
      </c>
      <c r="Q92" s="9" t="str">
        <f>IFERROR($P92,PROPER(VLOOKUP($O92,'Villes en erreur'!$A$2:$B$72,2,FALSE)))</f>
        <v>Saint-Lin–Laurentides</v>
      </c>
      <c r="R92" s="9" t="str">
        <f>IFERROR($P92,PROPER(VLOOKUP($O92,'Villes en erreur'!$A$2:$B$72,2,FALSE)))</f>
        <v>Saint-Lin–Laurentides</v>
      </c>
      <c r="S92" s="9" t="str">
        <f>IF(ISBLANK($R92),"",VLOOKUP($R92,'Liste des Villes'!$B$2:$H$1128,4,FALSE))</f>
        <v>Lanaudière</v>
      </c>
      <c r="T92" s="2" t="s">
        <v>721</v>
      </c>
      <c r="U92" s="2" t="s">
        <v>39</v>
      </c>
      <c r="V92" s="2" t="s">
        <v>40</v>
      </c>
      <c r="W92" s="2" t="s">
        <v>722</v>
      </c>
      <c r="X92" s="2"/>
      <c r="Y92" s="2"/>
      <c r="Z92" s="2"/>
      <c r="AA92" s="2" t="s">
        <v>149</v>
      </c>
      <c r="AB92" s="2" t="s">
        <v>150</v>
      </c>
      <c r="AC92" s="4" t="s">
        <v>44</v>
      </c>
    </row>
    <row r="93" spans="1:29" x14ac:dyDescent="0.25">
      <c r="A93" s="1">
        <v>1770</v>
      </c>
      <c r="B93" s="17" t="s">
        <v>723</v>
      </c>
      <c r="C93" s="2" t="s">
        <v>724</v>
      </c>
      <c r="D93" s="15" t="s">
        <v>725</v>
      </c>
      <c r="E93" s="9" t="s">
        <v>253</v>
      </c>
      <c r="F93" s="9" t="s">
        <v>726</v>
      </c>
      <c r="G93" s="9" t="s">
        <v>727</v>
      </c>
      <c r="H93" s="2" t="s">
        <v>60</v>
      </c>
      <c r="I93" s="3">
        <v>33508</v>
      </c>
      <c r="J93" s="9" t="str">
        <f t="shared" ca="1" si="1"/>
        <v>31 ans</v>
      </c>
      <c r="K93" s="2" t="s">
        <v>36</v>
      </c>
      <c r="L93" s="2" t="str">
        <f>"35"</f>
        <v>35</v>
      </c>
      <c r="M93" s="2"/>
      <c r="N93" s="2" t="str">
        <f>"AV SAINTE-MARGUERITE"</f>
        <v>AV SAINTE-MARGUERITE</v>
      </c>
      <c r="O93" s="2" t="s">
        <v>51</v>
      </c>
      <c r="P93" s="9" t="e">
        <f>VLOOKUP($O93,'Liste des Villes'!$B$2:$B$1128,1,FALSE)</f>
        <v>#N/A</v>
      </c>
      <c r="Q93" s="9" t="str">
        <f>IFERROR($P93,PROPER(VLOOKUP($O93,'Villes en erreur'!$A$2:$B$72,2,FALSE)))</f>
        <v>Saint-Lin–Laurentides</v>
      </c>
      <c r="R93" s="9" t="str">
        <f>IFERROR($P93,PROPER(VLOOKUP($O93,'Villes en erreur'!$A$2:$B$72,2,FALSE)))</f>
        <v>Saint-Lin–Laurentides</v>
      </c>
      <c r="S93" s="9" t="str">
        <f>IF(ISBLANK($R93),"",VLOOKUP($R93,'Liste des Villes'!$B$2:$H$1128,4,FALSE))</f>
        <v>Lanaudière</v>
      </c>
      <c r="T93" s="2" t="s">
        <v>38</v>
      </c>
      <c r="U93" s="2" t="s">
        <v>39</v>
      </c>
      <c r="V93" s="2" t="s">
        <v>40</v>
      </c>
      <c r="W93" s="2" t="s">
        <v>728</v>
      </c>
      <c r="X93" s="2"/>
      <c r="Y93" s="2"/>
      <c r="Z93" s="2"/>
      <c r="AA93" s="2" t="s">
        <v>213</v>
      </c>
      <c r="AB93" s="2" t="s">
        <v>53</v>
      </c>
      <c r="AC93" s="4" t="s">
        <v>44</v>
      </c>
    </row>
    <row r="94" spans="1:29" x14ac:dyDescent="0.25">
      <c r="A94" s="1">
        <v>4179</v>
      </c>
      <c r="B94" s="17" t="s">
        <v>729</v>
      </c>
      <c r="C94" s="2" t="s">
        <v>730</v>
      </c>
      <c r="D94" s="15" t="s">
        <v>731</v>
      </c>
      <c r="E94" s="9" t="s">
        <v>277</v>
      </c>
      <c r="F94" s="9" t="s">
        <v>732</v>
      </c>
      <c r="G94" s="9" t="s">
        <v>122</v>
      </c>
      <c r="H94" s="2" t="s">
        <v>35</v>
      </c>
      <c r="I94" s="3">
        <v>36351</v>
      </c>
      <c r="J94" s="9" t="str">
        <f t="shared" ca="1" si="1"/>
        <v>24 ans</v>
      </c>
      <c r="K94" s="2" t="s">
        <v>123</v>
      </c>
      <c r="L94" s="2" t="str">
        <f>"318"</f>
        <v>318</v>
      </c>
      <c r="M94" s="2"/>
      <c r="N94" s="2" t="str">
        <f>"RUE CHAMPÊTRE"</f>
        <v>RUE CHAMPÊTRE</v>
      </c>
      <c r="O94" s="2" t="s">
        <v>124</v>
      </c>
      <c r="P94" s="9" t="e">
        <f>VLOOKUP($O94,'Liste des Villes'!$B$2:$B$1128,1,FALSE)</f>
        <v>#N/A</v>
      </c>
      <c r="Q94" s="9" t="str">
        <f>IFERROR($P94,PROPER(VLOOKUP($O94,'Villes en erreur'!$A$2:$B$72,2,FALSE)))</f>
        <v>Saint-Faustin–Lac-Carré</v>
      </c>
      <c r="R94" s="9" t="str">
        <f>IFERROR($P94,PROPER(VLOOKUP($O94,'Villes en erreur'!$A$2:$B$72,2,FALSE)))</f>
        <v>Saint-Faustin–Lac-Carré</v>
      </c>
      <c r="S94" s="9" t="str">
        <f>IF(ISBLANK($R94),"",VLOOKUP($R94,'Liste des Villes'!$B$2:$H$1128,4,FALSE))</f>
        <v>Laurentides</v>
      </c>
      <c r="T94" s="2" t="s">
        <v>125</v>
      </c>
      <c r="U94" s="2" t="s">
        <v>39</v>
      </c>
      <c r="V94" s="2" t="s">
        <v>40</v>
      </c>
      <c r="W94" s="2" t="s">
        <v>733</v>
      </c>
      <c r="X94" s="2"/>
      <c r="Y94" s="2"/>
      <c r="Z94" s="2"/>
      <c r="AA94" s="2" t="s">
        <v>127</v>
      </c>
      <c r="AB94" s="2" t="s">
        <v>73</v>
      </c>
      <c r="AC94" s="4" t="s">
        <v>44</v>
      </c>
    </row>
    <row r="95" spans="1:29" x14ac:dyDescent="0.25">
      <c r="A95" s="1">
        <v>3667</v>
      </c>
      <c r="B95" s="17" t="s">
        <v>734</v>
      </c>
      <c r="C95" s="2" t="s">
        <v>735</v>
      </c>
      <c r="D95" s="15" t="s">
        <v>736</v>
      </c>
      <c r="E95" s="9" t="s">
        <v>737</v>
      </c>
      <c r="F95" s="9" t="s">
        <v>738</v>
      </c>
      <c r="G95" s="9" t="s">
        <v>188</v>
      </c>
      <c r="H95" s="2" t="s">
        <v>60</v>
      </c>
      <c r="I95" s="3">
        <v>36761</v>
      </c>
      <c r="J95" s="9" t="str">
        <f t="shared" ca="1" si="1"/>
        <v>23 ans</v>
      </c>
      <c r="K95" s="2" t="s">
        <v>68</v>
      </c>
      <c r="L95" s="2" t="str">
        <f>"670"</f>
        <v>670</v>
      </c>
      <c r="M95" s="2"/>
      <c r="N95" s="2" t="str">
        <f>"RUE DES EAUX-VIVES"</f>
        <v>RUE DES EAUX-VIVES</v>
      </c>
      <c r="O95" s="2" t="s">
        <v>189</v>
      </c>
      <c r="P95" s="9" t="e">
        <f>VLOOKUP($O95,'Liste des Villes'!$B$2:$B$1128,1,FALSE)</f>
        <v>#N/A</v>
      </c>
      <c r="Q95" s="9" t="str">
        <f>IFERROR($P95,PROPER(VLOOKUP($O95,'Villes en erreur'!$A$2:$B$72,2,FALSE)))</f>
        <v>Saint-Donat</v>
      </c>
      <c r="R95" s="9" t="str">
        <f>IFERROR($P95,PROPER(VLOOKUP($O95,'Villes en erreur'!$A$2:$B$72,2,FALSE)))</f>
        <v>Saint-Donat</v>
      </c>
      <c r="S95" s="9" t="str">
        <f>IF(ISBLANK($R95),"",VLOOKUP($R95,'Liste des Villes'!$B$2:$H$1128,4,FALSE))</f>
        <v>Lanaudière</v>
      </c>
      <c r="T95" s="2" t="s">
        <v>190</v>
      </c>
      <c r="U95" s="2" t="s">
        <v>39</v>
      </c>
      <c r="V95" s="2" t="s">
        <v>40</v>
      </c>
      <c r="W95" s="2" t="s">
        <v>739</v>
      </c>
      <c r="X95" s="2"/>
      <c r="Y95" s="2"/>
      <c r="Z95" s="2"/>
      <c r="AA95" s="2" t="s">
        <v>72</v>
      </c>
      <c r="AB95" s="2" t="s">
        <v>192</v>
      </c>
      <c r="AC95" s="4" t="s">
        <v>44</v>
      </c>
    </row>
    <row r="96" spans="1:29" x14ac:dyDescent="0.25">
      <c r="A96" s="1">
        <v>4410</v>
      </c>
      <c r="B96" s="17" t="s">
        <v>740</v>
      </c>
      <c r="C96" s="2" t="s">
        <v>741</v>
      </c>
      <c r="D96" s="15" t="s">
        <v>742</v>
      </c>
      <c r="E96" s="9" t="s">
        <v>743</v>
      </c>
      <c r="F96" s="9" t="s">
        <v>744</v>
      </c>
      <c r="G96" s="9" t="s">
        <v>405</v>
      </c>
      <c r="H96" s="2" t="s">
        <v>60</v>
      </c>
      <c r="I96" s="3">
        <v>31504</v>
      </c>
      <c r="J96" s="9" t="str">
        <f t="shared" ca="1" si="1"/>
        <v>37 ans</v>
      </c>
      <c r="K96" s="2" t="s">
        <v>36</v>
      </c>
      <c r="L96" s="2" t="str">
        <f>"15"</f>
        <v>15</v>
      </c>
      <c r="M96" s="2"/>
      <c r="N96" s="2" t="str">
        <f>"2E RANG DE RAMSAY"</f>
        <v>2E RANG DE RAMSAY</v>
      </c>
      <c r="O96" s="2" t="s">
        <v>745</v>
      </c>
      <c r="P96" s="9" t="e">
        <f>VLOOKUP($O96,'Liste des Villes'!$B$2:$B$1128,1,FALSE)</f>
        <v>#N/A</v>
      </c>
      <c r="Q96" s="9" t="str">
        <f>IFERROR($P96,PROPER(VLOOKUP($O96,'Villes en erreur'!$A$2:$B$72,2,FALSE)))</f>
        <v>Sainte-Thérèse</v>
      </c>
      <c r="R96" s="9" t="str">
        <f>IFERROR($P96,PROPER(VLOOKUP($O96,'Villes en erreur'!$A$2:$B$72,2,FALSE)))</f>
        <v>Sainte-Thérèse</v>
      </c>
      <c r="S96" s="9" t="str">
        <f>IF(ISBLANK($R96),"",VLOOKUP($R96,'Liste des Villes'!$B$2:$H$1128,4,FALSE))</f>
        <v>Laurentides</v>
      </c>
      <c r="T96" s="2" t="s">
        <v>746</v>
      </c>
      <c r="U96" s="2" t="s">
        <v>39</v>
      </c>
      <c r="V96" s="2" t="s">
        <v>40</v>
      </c>
      <c r="W96" s="2" t="s">
        <v>747</v>
      </c>
      <c r="X96" s="2"/>
      <c r="Y96" s="2"/>
      <c r="Z96" s="2"/>
      <c r="AA96" s="2" t="s">
        <v>149</v>
      </c>
      <c r="AB96" s="2" t="s">
        <v>150</v>
      </c>
      <c r="AC96" s="4" t="s">
        <v>44</v>
      </c>
    </row>
    <row r="97" spans="1:29" x14ac:dyDescent="0.25">
      <c r="A97" s="1">
        <v>2935</v>
      </c>
      <c r="B97" s="17" t="s">
        <v>748</v>
      </c>
      <c r="C97" s="2" t="s">
        <v>749</v>
      </c>
      <c r="D97" s="15" t="s">
        <v>750</v>
      </c>
      <c r="E97" s="9" t="s">
        <v>751</v>
      </c>
      <c r="F97" s="9" t="s">
        <v>121</v>
      </c>
      <c r="G97" s="9" t="s">
        <v>752</v>
      </c>
      <c r="H97" s="2" t="s">
        <v>60</v>
      </c>
      <c r="I97" s="3">
        <v>33526</v>
      </c>
      <c r="J97" s="9" t="str">
        <f t="shared" ca="1" si="1"/>
        <v>31 ans</v>
      </c>
      <c r="K97" s="2" t="s">
        <v>36</v>
      </c>
      <c r="L97" s="2" t="str">
        <f>"35"</f>
        <v>35</v>
      </c>
      <c r="M97" s="2"/>
      <c r="N97" s="2" t="str">
        <f>"AVENUE 43 EST"</f>
        <v>AVENUE 43 EST</v>
      </c>
      <c r="O97" s="2" t="s">
        <v>51</v>
      </c>
      <c r="P97" s="9" t="e">
        <f>VLOOKUP($O97,'Liste des Villes'!$B$2:$B$1128,1,FALSE)</f>
        <v>#N/A</v>
      </c>
      <c r="Q97" s="9" t="str">
        <f>IFERROR($P97,PROPER(VLOOKUP($O97,'Villes en erreur'!$A$2:$B$72,2,FALSE)))</f>
        <v>Saint-Lin–Laurentides</v>
      </c>
      <c r="R97" s="9" t="str">
        <f>IFERROR($P97,PROPER(VLOOKUP($O97,'Villes en erreur'!$A$2:$B$72,2,FALSE)))</f>
        <v>Saint-Lin–Laurentides</v>
      </c>
      <c r="S97" s="9" t="str">
        <f>IF(ISBLANK($R97),"",VLOOKUP($R97,'Liste des Villes'!$B$2:$H$1128,4,FALSE))</f>
        <v>Lanaudière</v>
      </c>
      <c r="T97" s="2" t="s">
        <v>336</v>
      </c>
      <c r="U97" s="2" t="s">
        <v>39</v>
      </c>
      <c r="V97" s="2" t="s">
        <v>40</v>
      </c>
      <c r="W97" s="2" t="s">
        <v>753</v>
      </c>
      <c r="X97" s="2"/>
      <c r="Y97" s="2"/>
      <c r="Z97" s="2"/>
      <c r="AA97" s="2" t="s">
        <v>213</v>
      </c>
      <c r="AB97" s="2" t="s">
        <v>53</v>
      </c>
      <c r="AC97" s="4" t="s">
        <v>44</v>
      </c>
    </row>
    <row r="98" spans="1:29" x14ac:dyDescent="0.25">
      <c r="A98" s="1">
        <v>1872</v>
      </c>
      <c r="B98" s="17" t="s">
        <v>754</v>
      </c>
      <c r="C98" s="2" t="s">
        <v>755</v>
      </c>
      <c r="D98" s="15" t="s">
        <v>756</v>
      </c>
      <c r="E98" s="9" t="s">
        <v>757</v>
      </c>
      <c r="F98" s="9" t="s">
        <v>584</v>
      </c>
      <c r="G98" s="9" t="s">
        <v>101</v>
      </c>
      <c r="H98" s="2" t="s">
        <v>35</v>
      </c>
      <c r="I98" s="3">
        <v>33060</v>
      </c>
      <c r="J98" s="9" t="str">
        <f t="shared" ca="1" si="1"/>
        <v>33 ans</v>
      </c>
      <c r="K98" s="2" t="s">
        <v>36</v>
      </c>
      <c r="L98" s="2" t="str">
        <f>"27"</f>
        <v>27</v>
      </c>
      <c r="M98" s="2"/>
      <c r="N98" s="2" t="str">
        <f>"AV BÉLISLE"</f>
        <v>AV BÉLISLE</v>
      </c>
      <c r="O98" s="2" t="s">
        <v>37</v>
      </c>
      <c r="P98" s="9" t="e">
        <f>VLOOKUP($O98,'Liste des Villes'!$B$2:$B$1128,1,FALSE)</f>
        <v>#N/A</v>
      </c>
      <c r="Q98" s="9" t="str">
        <f>IFERROR($P98,PROPER(VLOOKUP($O98,'Villes en erreur'!$A$2:$B$72,2,FALSE)))</f>
        <v>Saint-Lin–Laurentides</v>
      </c>
      <c r="R98" s="9" t="str">
        <f>IFERROR($P98,PROPER(VLOOKUP($O98,'Villes en erreur'!$A$2:$B$72,2,FALSE)))</f>
        <v>Saint-Lin–Laurentides</v>
      </c>
      <c r="S98" s="9" t="str">
        <f>IF(ISBLANK($R98),"",VLOOKUP($R98,'Liste des Villes'!$B$2:$H$1128,4,FALSE))</f>
        <v>Lanaudière</v>
      </c>
      <c r="T98" s="2" t="s">
        <v>38</v>
      </c>
      <c r="U98" s="2" t="s">
        <v>39</v>
      </c>
      <c r="V98" s="2" t="s">
        <v>40</v>
      </c>
      <c r="W98" s="2" t="s">
        <v>758</v>
      </c>
      <c r="X98" s="2"/>
      <c r="Y98" s="2"/>
      <c r="Z98" s="2"/>
      <c r="AA98" s="2" t="s">
        <v>42</v>
      </c>
      <c r="AB98" s="2" t="s">
        <v>43</v>
      </c>
      <c r="AC98" s="4" t="s">
        <v>44</v>
      </c>
    </row>
    <row r="99" spans="1:29" x14ac:dyDescent="0.25">
      <c r="A99" s="1">
        <v>2067</v>
      </c>
      <c r="B99" s="17" t="s">
        <v>759</v>
      </c>
      <c r="C99" s="2" t="s">
        <v>760</v>
      </c>
      <c r="D99" s="15" t="s">
        <v>761</v>
      </c>
      <c r="E99" s="9" t="s">
        <v>348</v>
      </c>
      <c r="F99" s="9" t="s">
        <v>762</v>
      </c>
      <c r="G99" s="9" t="s">
        <v>470</v>
      </c>
      <c r="H99" s="2" t="s">
        <v>60</v>
      </c>
      <c r="I99" s="3">
        <v>33369</v>
      </c>
      <c r="J99" s="9" t="str">
        <f t="shared" ca="1" si="1"/>
        <v>32 ans</v>
      </c>
      <c r="K99" s="2" t="s">
        <v>36</v>
      </c>
      <c r="L99" s="2" t="str">
        <f>"32"</f>
        <v>32</v>
      </c>
      <c r="M99" s="2"/>
      <c r="N99" s="2" t="str">
        <f>"AV DU PACIFIQUE"</f>
        <v>AV DU PACIFIQUE</v>
      </c>
      <c r="O99" s="2" t="s">
        <v>37</v>
      </c>
      <c r="P99" s="9" t="e">
        <f>VLOOKUP($O99,'Liste des Villes'!$B$2:$B$1128,1,FALSE)</f>
        <v>#N/A</v>
      </c>
      <c r="Q99" s="9" t="str">
        <f>IFERROR($P99,PROPER(VLOOKUP($O99,'Villes en erreur'!$A$2:$B$72,2,FALSE)))</f>
        <v>Saint-Lin–Laurentides</v>
      </c>
      <c r="R99" s="9" t="str">
        <f>IFERROR($P99,PROPER(VLOOKUP($O99,'Villes en erreur'!$A$2:$B$72,2,FALSE)))</f>
        <v>Saint-Lin–Laurentides</v>
      </c>
      <c r="S99" s="9" t="str">
        <f>IF(ISBLANK($R99),"",VLOOKUP($R99,'Liste des Villes'!$B$2:$H$1128,4,FALSE))</f>
        <v>Lanaudière</v>
      </c>
      <c r="T99" s="2" t="s">
        <v>38</v>
      </c>
      <c r="U99" s="2" t="s">
        <v>39</v>
      </c>
      <c r="V99" s="2" t="s">
        <v>40</v>
      </c>
      <c r="W99" s="2" t="s">
        <v>763</v>
      </c>
      <c r="X99" s="2"/>
      <c r="Y99" s="2"/>
      <c r="Z99" s="2"/>
      <c r="AA99" s="2" t="s">
        <v>42</v>
      </c>
      <c r="AB99" s="2" t="s">
        <v>53</v>
      </c>
      <c r="AC99" s="4" t="s">
        <v>44</v>
      </c>
    </row>
    <row r="100" spans="1:29" x14ac:dyDescent="0.25">
      <c r="A100" s="1">
        <v>539</v>
      </c>
      <c r="B100" s="17" t="s">
        <v>764</v>
      </c>
      <c r="C100" s="2" t="s">
        <v>765</v>
      </c>
      <c r="D100" s="15" t="s">
        <v>766</v>
      </c>
      <c r="E100" s="9" t="s">
        <v>767</v>
      </c>
      <c r="F100" s="9" t="s">
        <v>768</v>
      </c>
      <c r="G100" s="9" t="s">
        <v>219</v>
      </c>
      <c r="H100" s="2" t="s">
        <v>35</v>
      </c>
      <c r="I100" s="3">
        <v>31385</v>
      </c>
      <c r="J100" s="9" t="str">
        <f t="shared" ca="1" si="1"/>
        <v>37 ans</v>
      </c>
      <c r="K100" s="2" t="s">
        <v>36</v>
      </c>
      <c r="L100" s="2" t="str">
        <f>"15"</f>
        <v>15</v>
      </c>
      <c r="M100" s="2"/>
      <c r="N100" s="2" t="str">
        <f>"29E AV"</f>
        <v>29E AV</v>
      </c>
      <c r="O100" s="2" t="s">
        <v>769</v>
      </c>
      <c r="P100" s="9" t="e">
        <f>VLOOKUP($O100,'Liste des Villes'!$B$2:$B$1128,1,FALSE)</f>
        <v>#N/A</v>
      </c>
      <c r="Q100" s="9" t="str">
        <f>IFERROR($P100,PROPER(VLOOKUP($O100,'Villes en erreur'!$A$2:$B$72,2,FALSE)))</f>
        <v>Saint-Hippolyte</v>
      </c>
      <c r="R100" s="9" t="str">
        <f>IFERROR($P100,PROPER(VLOOKUP($O100,'Villes en erreur'!$A$2:$B$72,2,FALSE)))</f>
        <v>Saint-Hippolyte</v>
      </c>
      <c r="S100" s="9" t="str">
        <f>IF(ISBLANK($R100),"",VLOOKUP($R100,'Liste des Villes'!$B$2:$H$1128,4,FALSE))</f>
        <v>Laurentides</v>
      </c>
      <c r="T100" s="2" t="s">
        <v>770</v>
      </c>
      <c r="U100" s="2" t="s">
        <v>39</v>
      </c>
      <c r="V100" s="2" t="s">
        <v>40</v>
      </c>
      <c r="W100" s="2" t="s">
        <v>771</v>
      </c>
      <c r="X100" s="2"/>
      <c r="Y100" s="2"/>
      <c r="Z100" s="2"/>
      <c r="AA100" s="2" t="s">
        <v>149</v>
      </c>
      <c r="AB100" s="2" t="s">
        <v>150</v>
      </c>
      <c r="AC100" s="4" t="s">
        <v>44</v>
      </c>
    </row>
    <row r="101" spans="1:29" x14ac:dyDescent="0.25">
      <c r="A101" s="1">
        <v>1273</v>
      </c>
      <c r="B101" s="17" t="s">
        <v>772</v>
      </c>
      <c r="C101" s="2" t="s">
        <v>773</v>
      </c>
      <c r="D101" s="15" t="s">
        <v>774</v>
      </c>
      <c r="E101" s="9" t="s">
        <v>775</v>
      </c>
      <c r="F101" s="9" t="s">
        <v>776</v>
      </c>
      <c r="G101" s="9" t="s">
        <v>101</v>
      </c>
      <c r="H101" s="2" t="s">
        <v>35</v>
      </c>
      <c r="I101" s="3">
        <v>32983</v>
      </c>
      <c r="J101" s="9" t="str">
        <f t="shared" ca="1" si="1"/>
        <v>33 ans</v>
      </c>
      <c r="K101" s="2" t="s">
        <v>36</v>
      </c>
      <c r="L101" s="2" t="str">
        <f>"27"</f>
        <v>27</v>
      </c>
      <c r="M101" s="2"/>
      <c r="N101" s="2" t="str">
        <f>"ARMAND-BOMBARDIER BLVD"</f>
        <v>ARMAND-BOMBARDIER BLVD</v>
      </c>
      <c r="O101" s="2" t="s">
        <v>37</v>
      </c>
      <c r="P101" s="9" t="e">
        <f>VLOOKUP($O101,'Liste des Villes'!$B$2:$B$1128,1,FALSE)</f>
        <v>#N/A</v>
      </c>
      <c r="Q101" s="9" t="str">
        <f>IFERROR($P101,PROPER(VLOOKUP($O101,'Villes en erreur'!$A$2:$B$72,2,FALSE)))</f>
        <v>Saint-Lin–Laurentides</v>
      </c>
      <c r="R101" s="9" t="str">
        <f>IFERROR($P101,PROPER(VLOOKUP($O101,'Villes en erreur'!$A$2:$B$72,2,FALSE)))</f>
        <v>Saint-Lin–Laurentides</v>
      </c>
      <c r="S101" s="9" t="str">
        <f>IF(ISBLANK($R101),"",VLOOKUP($R101,'Liste des Villes'!$B$2:$H$1128,4,FALSE))</f>
        <v>Lanaudière</v>
      </c>
      <c r="T101" s="2" t="s">
        <v>38</v>
      </c>
      <c r="U101" s="2" t="s">
        <v>39</v>
      </c>
      <c r="V101" s="2" t="s">
        <v>40</v>
      </c>
      <c r="W101" s="2" t="s">
        <v>777</v>
      </c>
      <c r="X101" s="2"/>
      <c r="Y101" s="2"/>
      <c r="Z101" s="2"/>
      <c r="AA101" s="2" t="s">
        <v>42</v>
      </c>
      <c r="AB101" s="2" t="s">
        <v>43</v>
      </c>
      <c r="AC101" s="4" t="s">
        <v>44</v>
      </c>
    </row>
    <row r="102" spans="1:29" x14ac:dyDescent="0.25">
      <c r="A102" s="1">
        <v>4271</v>
      </c>
      <c r="B102" s="17" t="s">
        <v>778</v>
      </c>
      <c r="C102" s="2" t="s">
        <v>779</v>
      </c>
      <c r="D102" s="15" t="s">
        <v>780</v>
      </c>
      <c r="E102" s="9" t="s">
        <v>781</v>
      </c>
      <c r="F102" s="9" t="s">
        <v>782</v>
      </c>
      <c r="G102" s="9" t="s">
        <v>783</v>
      </c>
      <c r="H102" s="2" t="s">
        <v>35</v>
      </c>
      <c r="I102" s="3">
        <v>33346</v>
      </c>
      <c r="J102" s="9" t="str">
        <f t="shared" ca="1" si="1"/>
        <v>32 ans</v>
      </c>
      <c r="K102" s="2" t="s">
        <v>36</v>
      </c>
      <c r="L102" s="2" t="str">
        <f>"32"</f>
        <v>32</v>
      </c>
      <c r="M102" s="2"/>
      <c r="N102" s="2" t="str">
        <f>"AV DU CYGNE"</f>
        <v>AV DU CYGNE</v>
      </c>
      <c r="O102" s="2" t="s">
        <v>37</v>
      </c>
      <c r="P102" s="9" t="e">
        <f>VLOOKUP($O102,'Liste des Villes'!$B$2:$B$1128,1,FALSE)</f>
        <v>#N/A</v>
      </c>
      <c r="Q102" s="9" t="str">
        <f>IFERROR($P102,PROPER(VLOOKUP($O102,'Villes en erreur'!$A$2:$B$72,2,FALSE)))</f>
        <v>Saint-Lin–Laurentides</v>
      </c>
      <c r="R102" s="9" t="str">
        <f>IFERROR($P102,PROPER(VLOOKUP($O102,'Villes en erreur'!$A$2:$B$72,2,FALSE)))</f>
        <v>Saint-Lin–Laurentides</v>
      </c>
      <c r="S102" s="9" t="str">
        <f>IF(ISBLANK($R102),"",VLOOKUP($R102,'Liste des Villes'!$B$2:$H$1128,4,FALSE))</f>
        <v>Lanaudière</v>
      </c>
      <c r="T102" s="2" t="s">
        <v>38</v>
      </c>
      <c r="U102" s="2" t="s">
        <v>39</v>
      </c>
      <c r="V102" s="2" t="s">
        <v>40</v>
      </c>
      <c r="W102" s="2" t="s">
        <v>784</v>
      </c>
      <c r="X102" s="2"/>
      <c r="Y102" s="2"/>
      <c r="Z102" s="2"/>
      <c r="AA102" s="2" t="s">
        <v>42</v>
      </c>
      <c r="AB102" s="2" t="s">
        <v>53</v>
      </c>
      <c r="AC102" s="4" t="s">
        <v>44</v>
      </c>
    </row>
    <row r="103" spans="1:29" x14ac:dyDescent="0.25">
      <c r="A103" s="1">
        <v>4483</v>
      </c>
      <c r="B103" s="17" t="s">
        <v>785</v>
      </c>
      <c r="C103" s="2" t="s">
        <v>786</v>
      </c>
      <c r="D103" s="15" t="s">
        <v>750</v>
      </c>
      <c r="E103" s="9" t="s">
        <v>787</v>
      </c>
      <c r="F103" s="9" t="s">
        <v>788</v>
      </c>
      <c r="G103" s="9" t="s">
        <v>789</v>
      </c>
      <c r="H103" s="2" t="s">
        <v>60</v>
      </c>
      <c r="I103" s="3">
        <v>37382</v>
      </c>
      <c r="J103" s="9" t="str">
        <f t="shared" ca="1" si="1"/>
        <v>21 ans</v>
      </c>
      <c r="K103" s="2" t="s">
        <v>262</v>
      </c>
      <c r="L103" s="2" t="str">
        <f>"9419"</f>
        <v>9419</v>
      </c>
      <c r="M103" s="2"/>
      <c r="N103" s="2" t="str">
        <f>"RUE PLOUFFE"</f>
        <v>RUE PLOUFFE</v>
      </c>
      <c r="O103" s="2" t="s">
        <v>790</v>
      </c>
      <c r="P103" s="9" t="e">
        <f>VLOOKUP($O103,'Liste des Villes'!$B$2:$B$1128,1,FALSE)</f>
        <v>#N/A</v>
      </c>
      <c r="Q103" s="9" t="str">
        <f>IFERROR($P103,PROPER(VLOOKUP($O103,'Villes en erreur'!$A$2:$B$72,2,FALSE)))</f>
        <v>Coteau-Du-Lac</v>
      </c>
      <c r="R103" s="9" t="str">
        <f>IFERROR($P103,PROPER(VLOOKUP($O103,'Villes en erreur'!$A$2:$B$72,2,FALSE)))</f>
        <v>Coteau-Du-Lac</v>
      </c>
      <c r="S103" s="9" t="str">
        <f>IF(ISBLANK($R103),"",VLOOKUP($R103,'Liste des Villes'!$B$2:$H$1128,4,FALSE))</f>
        <v>Montérégie</v>
      </c>
      <c r="T103" s="2" t="s">
        <v>791</v>
      </c>
      <c r="U103" s="2" t="s">
        <v>39</v>
      </c>
      <c r="V103" s="2" t="s">
        <v>40</v>
      </c>
      <c r="W103" s="2" t="s">
        <v>792</v>
      </c>
      <c r="X103" s="2" t="str">
        <f>"4507122346"</f>
        <v>4507122346</v>
      </c>
      <c r="Y103" s="2" t="str">
        <f>"4509791980"</f>
        <v>4509791980</v>
      </c>
      <c r="Z103" s="2"/>
      <c r="AA103" s="2" t="s">
        <v>793</v>
      </c>
      <c r="AB103" s="2" t="s">
        <v>267</v>
      </c>
      <c r="AC103" s="4" t="s">
        <v>44</v>
      </c>
    </row>
    <row r="104" spans="1:29" x14ac:dyDescent="0.25">
      <c r="A104" s="1">
        <v>4</v>
      </c>
      <c r="B104" s="17" t="s">
        <v>794</v>
      </c>
      <c r="C104" s="2" t="s">
        <v>795</v>
      </c>
      <c r="D104" s="15" t="s">
        <v>304</v>
      </c>
      <c r="E104" s="9" t="s">
        <v>796</v>
      </c>
      <c r="F104" s="9" t="s">
        <v>302</v>
      </c>
      <c r="G104" s="9" t="s">
        <v>797</v>
      </c>
      <c r="H104" s="2" t="s">
        <v>60</v>
      </c>
      <c r="I104" s="3">
        <v>33393</v>
      </c>
      <c r="J104" s="9" t="str">
        <f t="shared" ca="1" si="1"/>
        <v>32 ans</v>
      </c>
      <c r="K104" s="2" t="s">
        <v>36</v>
      </c>
      <c r="L104" s="2" t="str">
        <f>"32"</f>
        <v>32</v>
      </c>
      <c r="M104" s="2"/>
      <c r="N104" s="2" t="str">
        <f>"AV DU PARC"</f>
        <v>AV DU PARC</v>
      </c>
      <c r="O104" s="2" t="s">
        <v>798</v>
      </c>
      <c r="P104" s="9" t="e">
        <f>VLOOKUP($O104,'Liste des Villes'!$B$2:$B$1128,1,FALSE)</f>
        <v>#N/A</v>
      </c>
      <c r="Q104" s="9" t="str">
        <f>IFERROR($P104,PROPER(VLOOKUP($O104,'Villes en erreur'!$A$2:$B$72,2,FALSE)))</f>
        <v>Saint-Lin–Laurentides</v>
      </c>
      <c r="R104" s="9" t="str">
        <f>IFERROR($P104,PROPER(VLOOKUP($O104,'Villes en erreur'!$A$2:$B$72,2,FALSE)))</f>
        <v>Saint-Lin–Laurentides</v>
      </c>
      <c r="S104" s="9" t="str">
        <f>IF(ISBLANK($R104),"",VLOOKUP($R104,'Liste des Villes'!$B$2:$H$1128,4,FALSE))</f>
        <v>Lanaudière</v>
      </c>
      <c r="T104" s="2" t="s">
        <v>38</v>
      </c>
      <c r="U104" s="2" t="s">
        <v>39</v>
      </c>
      <c r="V104" s="2" t="s">
        <v>40</v>
      </c>
      <c r="W104" s="2" t="s">
        <v>799</v>
      </c>
      <c r="X104" s="2"/>
      <c r="Y104" s="2"/>
      <c r="Z104" s="2"/>
      <c r="AA104" s="2" t="s">
        <v>42</v>
      </c>
      <c r="AB104" s="2" t="s">
        <v>53</v>
      </c>
      <c r="AC104" s="4" t="s">
        <v>44</v>
      </c>
    </row>
    <row r="105" spans="1:29" x14ac:dyDescent="0.25">
      <c r="A105" s="1">
        <v>2753</v>
      </c>
      <c r="B105" s="17" t="s">
        <v>800</v>
      </c>
      <c r="C105" s="2" t="s">
        <v>801</v>
      </c>
      <c r="D105" s="15" t="s">
        <v>802</v>
      </c>
      <c r="E105" s="9" t="s">
        <v>219</v>
      </c>
      <c r="F105" s="9" t="s">
        <v>803</v>
      </c>
      <c r="G105" s="9" t="s">
        <v>94</v>
      </c>
      <c r="H105" s="2" t="s">
        <v>60</v>
      </c>
      <c r="I105" s="3">
        <v>33219</v>
      </c>
      <c r="J105" s="9" t="str">
        <f t="shared" ca="1" si="1"/>
        <v>32 ans</v>
      </c>
      <c r="K105" s="2" t="s">
        <v>36</v>
      </c>
      <c r="L105" s="2" t="str">
        <f>"29"</f>
        <v>29</v>
      </c>
      <c r="M105" s="2"/>
      <c r="N105" s="2" t="str">
        <f>"AV DE L'ÉGLISE"</f>
        <v>AV DE L'ÉGLISE</v>
      </c>
      <c r="O105" s="2" t="s">
        <v>37</v>
      </c>
      <c r="P105" s="9" t="e">
        <f>VLOOKUP($O105,'Liste des Villes'!$B$2:$B$1128,1,FALSE)</f>
        <v>#N/A</v>
      </c>
      <c r="Q105" s="9" t="str">
        <f>IFERROR($P105,PROPER(VLOOKUP($O105,'Villes en erreur'!$A$2:$B$72,2,FALSE)))</f>
        <v>Saint-Lin–Laurentides</v>
      </c>
      <c r="R105" s="9" t="str">
        <f>IFERROR($P105,PROPER(VLOOKUP($O105,'Villes en erreur'!$A$2:$B$72,2,FALSE)))</f>
        <v>Saint-Lin–Laurentides</v>
      </c>
      <c r="S105" s="9" t="str">
        <f>IF(ISBLANK($R105),"",VLOOKUP($R105,'Liste des Villes'!$B$2:$H$1128,4,FALSE))</f>
        <v>Lanaudière</v>
      </c>
      <c r="T105" s="2" t="s">
        <v>38</v>
      </c>
      <c r="U105" s="2" t="s">
        <v>39</v>
      </c>
      <c r="V105" s="2" t="s">
        <v>40</v>
      </c>
      <c r="W105" s="2" t="s">
        <v>804</v>
      </c>
      <c r="X105" s="2"/>
      <c r="Y105" s="2"/>
      <c r="Z105" s="2"/>
      <c r="AA105" s="2" t="s">
        <v>42</v>
      </c>
      <c r="AB105" s="2" t="s">
        <v>43</v>
      </c>
      <c r="AC105" s="4" t="s">
        <v>44</v>
      </c>
    </row>
    <row r="106" spans="1:29" x14ac:dyDescent="0.25">
      <c r="A106" s="1">
        <v>3257</v>
      </c>
      <c r="B106" s="17" t="s">
        <v>805</v>
      </c>
      <c r="C106" s="2" t="s">
        <v>806</v>
      </c>
      <c r="D106" s="15" t="s">
        <v>807</v>
      </c>
      <c r="E106" s="9" t="s">
        <v>370</v>
      </c>
      <c r="F106" s="9" t="s">
        <v>808</v>
      </c>
      <c r="G106" s="9" t="s">
        <v>94</v>
      </c>
      <c r="H106" s="2" t="s">
        <v>60</v>
      </c>
      <c r="I106" s="3">
        <v>33236</v>
      </c>
      <c r="J106" s="9" t="str">
        <f t="shared" ca="1" si="1"/>
        <v>32 ans</v>
      </c>
      <c r="K106" s="2" t="s">
        <v>36</v>
      </c>
      <c r="L106" s="2" t="str">
        <f>"30"</f>
        <v>30</v>
      </c>
      <c r="M106" s="2"/>
      <c r="N106" s="2" t="str">
        <f>"AV DE LORRAINE"</f>
        <v>AV DE LORRAINE</v>
      </c>
      <c r="O106" s="2" t="s">
        <v>37</v>
      </c>
      <c r="P106" s="9" t="e">
        <f>VLOOKUP($O106,'Liste des Villes'!$B$2:$B$1128,1,FALSE)</f>
        <v>#N/A</v>
      </c>
      <c r="Q106" s="9" t="str">
        <f>IFERROR($P106,PROPER(VLOOKUP($O106,'Villes en erreur'!$A$2:$B$72,2,FALSE)))</f>
        <v>Saint-Lin–Laurentides</v>
      </c>
      <c r="R106" s="9" t="str">
        <f>IFERROR($P106,PROPER(VLOOKUP($O106,'Villes en erreur'!$A$2:$B$72,2,FALSE)))</f>
        <v>Saint-Lin–Laurentides</v>
      </c>
      <c r="S106" s="9" t="str">
        <f>IF(ISBLANK($R106),"",VLOOKUP($R106,'Liste des Villes'!$B$2:$H$1128,4,FALSE))</f>
        <v>Lanaudière</v>
      </c>
      <c r="T106" s="2" t="s">
        <v>38</v>
      </c>
      <c r="U106" s="2" t="s">
        <v>39</v>
      </c>
      <c r="V106" s="2" t="s">
        <v>40</v>
      </c>
      <c r="W106" s="2" t="s">
        <v>809</v>
      </c>
      <c r="X106" s="2"/>
      <c r="Y106" s="2"/>
      <c r="Z106" s="2"/>
      <c r="AA106" s="2" t="s">
        <v>42</v>
      </c>
      <c r="AB106" s="2" t="s">
        <v>43</v>
      </c>
      <c r="AC106" s="4" t="s">
        <v>44</v>
      </c>
    </row>
    <row r="107" spans="1:29" x14ac:dyDescent="0.25">
      <c r="A107" s="1">
        <v>1067</v>
      </c>
      <c r="B107" s="17" t="s">
        <v>810</v>
      </c>
      <c r="C107" s="2" t="s">
        <v>811</v>
      </c>
      <c r="D107" s="15" t="s">
        <v>812</v>
      </c>
      <c r="E107" s="9" t="s">
        <v>114</v>
      </c>
      <c r="F107" s="9" t="s">
        <v>115</v>
      </c>
      <c r="G107" s="9" t="s">
        <v>101</v>
      </c>
      <c r="H107" s="2" t="s">
        <v>35</v>
      </c>
      <c r="I107" s="3">
        <v>33044</v>
      </c>
      <c r="J107" s="9" t="str">
        <f t="shared" ca="1" si="1"/>
        <v>33 ans</v>
      </c>
      <c r="K107" s="2" t="s">
        <v>36</v>
      </c>
      <c r="L107" s="2" t="str">
        <f>"27"</f>
        <v>27</v>
      </c>
      <c r="M107" s="2"/>
      <c r="N107" s="2" t="str">
        <f>"AV AUBRY"</f>
        <v>AV AUBRY</v>
      </c>
      <c r="O107" s="2" t="s">
        <v>37</v>
      </c>
      <c r="P107" s="9" t="e">
        <f>VLOOKUP($O107,'Liste des Villes'!$B$2:$B$1128,1,FALSE)</f>
        <v>#N/A</v>
      </c>
      <c r="Q107" s="9" t="str">
        <f>IFERROR($P107,PROPER(VLOOKUP($O107,'Villes en erreur'!$A$2:$B$72,2,FALSE)))</f>
        <v>Saint-Lin–Laurentides</v>
      </c>
      <c r="R107" s="9" t="str">
        <f>IFERROR($P107,PROPER(VLOOKUP($O107,'Villes en erreur'!$A$2:$B$72,2,FALSE)))</f>
        <v>Saint-Lin–Laurentides</v>
      </c>
      <c r="S107" s="9" t="str">
        <f>IF(ISBLANK($R107),"",VLOOKUP($R107,'Liste des Villes'!$B$2:$H$1128,4,FALSE))</f>
        <v>Lanaudière</v>
      </c>
      <c r="T107" s="2" t="s">
        <v>38</v>
      </c>
      <c r="U107" s="2" t="s">
        <v>39</v>
      </c>
      <c r="V107" s="2" t="s">
        <v>40</v>
      </c>
      <c r="W107" s="2" t="s">
        <v>813</v>
      </c>
      <c r="X107" s="2"/>
      <c r="Y107" s="2"/>
      <c r="Z107" s="2"/>
      <c r="AA107" s="2" t="s">
        <v>42</v>
      </c>
      <c r="AB107" s="2" t="s">
        <v>43</v>
      </c>
      <c r="AC107" s="4" t="s">
        <v>44</v>
      </c>
    </row>
    <row r="108" spans="1:29" x14ac:dyDescent="0.25">
      <c r="A108" s="1">
        <v>3706</v>
      </c>
      <c r="B108" s="17" t="s">
        <v>814</v>
      </c>
      <c r="C108" s="2" t="s">
        <v>815</v>
      </c>
      <c r="D108" s="15" t="s">
        <v>816</v>
      </c>
      <c r="E108" s="9" t="s">
        <v>817</v>
      </c>
      <c r="F108" s="9" t="s">
        <v>818</v>
      </c>
      <c r="G108" s="9" t="s">
        <v>101</v>
      </c>
      <c r="H108" s="2" t="s">
        <v>35</v>
      </c>
      <c r="I108" s="3">
        <v>32981</v>
      </c>
      <c r="J108" s="9" t="str">
        <f t="shared" ca="1" si="1"/>
        <v>33 ans</v>
      </c>
      <c r="K108" s="2" t="s">
        <v>36</v>
      </c>
      <c r="L108" s="2" t="str">
        <f>"27"</f>
        <v>27</v>
      </c>
      <c r="M108" s="2"/>
      <c r="N108" s="2" t="str">
        <f>"ANGÈLE-MORAND"</f>
        <v>ANGÈLE-MORAND</v>
      </c>
      <c r="O108" s="2" t="s">
        <v>37</v>
      </c>
      <c r="P108" s="9" t="e">
        <f>VLOOKUP($O108,'Liste des Villes'!$B$2:$B$1128,1,FALSE)</f>
        <v>#N/A</v>
      </c>
      <c r="Q108" s="9" t="str">
        <f>IFERROR($P108,PROPER(VLOOKUP($O108,'Villes en erreur'!$A$2:$B$72,2,FALSE)))</f>
        <v>Saint-Lin–Laurentides</v>
      </c>
      <c r="R108" s="9" t="str">
        <f>IFERROR($P108,PROPER(VLOOKUP($O108,'Villes en erreur'!$A$2:$B$72,2,FALSE)))</f>
        <v>Saint-Lin–Laurentides</v>
      </c>
      <c r="S108" s="9" t="str">
        <f>IF(ISBLANK($R108),"",VLOOKUP($R108,'Liste des Villes'!$B$2:$H$1128,4,FALSE))</f>
        <v>Lanaudière</v>
      </c>
      <c r="T108" s="2" t="s">
        <v>38</v>
      </c>
      <c r="U108" s="2" t="s">
        <v>39</v>
      </c>
      <c r="V108" s="2" t="s">
        <v>40</v>
      </c>
      <c r="W108" s="2" t="s">
        <v>819</v>
      </c>
      <c r="X108" s="2"/>
      <c r="Y108" s="2"/>
      <c r="Z108" s="2"/>
      <c r="AA108" s="2" t="s">
        <v>42</v>
      </c>
      <c r="AB108" s="2" t="s">
        <v>43</v>
      </c>
      <c r="AC108" s="4" t="s">
        <v>44</v>
      </c>
    </row>
    <row r="109" spans="1:29" x14ac:dyDescent="0.25">
      <c r="A109" s="1">
        <v>592</v>
      </c>
      <c r="B109" s="17" t="s">
        <v>820</v>
      </c>
      <c r="C109" s="2" t="s">
        <v>598</v>
      </c>
      <c r="D109" s="15" t="s">
        <v>599</v>
      </c>
      <c r="E109" s="9" t="s">
        <v>600</v>
      </c>
      <c r="F109" s="9" t="s">
        <v>562</v>
      </c>
      <c r="G109" s="9" t="s">
        <v>821</v>
      </c>
      <c r="H109" s="2" t="s">
        <v>60</v>
      </c>
      <c r="I109" s="3">
        <v>33519</v>
      </c>
      <c r="J109" s="9" t="str">
        <f t="shared" ca="1" si="1"/>
        <v>31 ans</v>
      </c>
      <c r="K109" s="2" t="s">
        <v>36</v>
      </c>
      <c r="L109" s="2" t="str">
        <f>"35"</f>
        <v>35</v>
      </c>
      <c r="M109" s="2"/>
      <c r="N109" s="2" t="str">
        <f>"AVE DES SAPINS"</f>
        <v>AVE DES SAPINS</v>
      </c>
      <c r="O109" s="2" t="s">
        <v>51</v>
      </c>
      <c r="P109" s="9" t="e">
        <f>VLOOKUP($O109,'Liste des Villes'!$B$2:$B$1128,1,FALSE)</f>
        <v>#N/A</v>
      </c>
      <c r="Q109" s="9" t="str">
        <f>IFERROR($P109,PROPER(VLOOKUP($O109,'Villes en erreur'!$A$2:$B$72,2,FALSE)))</f>
        <v>Saint-Lin–Laurentides</v>
      </c>
      <c r="R109" s="9" t="str">
        <f>IFERROR($P109,PROPER(VLOOKUP($O109,'Villes en erreur'!$A$2:$B$72,2,FALSE)))</f>
        <v>Saint-Lin–Laurentides</v>
      </c>
      <c r="S109" s="9" t="str">
        <f>IF(ISBLANK($R109),"",VLOOKUP($R109,'Liste des Villes'!$B$2:$H$1128,4,FALSE))</f>
        <v>Lanaudière</v>
      </c>
      <c r="T109" s="2" t="s">
        <v>336</v>
      </c>
      <c r="U109" s="2" t="s">
        <v>39</v>
      </c>
      <c r="V109" s="2" t="s">
        <v>40</v>
      </c>
      <c r="W109" s="2" t="s">
        <v>822</v>
      </c>
      <c r="X109" s="2"/>
      <c r="Y109" s="2"/>
      <c r="Z109" s="2"/>
      <c r="AA109" s="2" t="s">
        <v>213</v>
      </c>
      <c r="AB109" s="2" t="s">
        <v>53</v>
      </c>
      <c r="AC109" s="4" t="s">
        <v>44</v>
      </c>
    </row>
    <row r="110" spans="1:29" x14ac:dyDescent="0.25">
      <c r="A110" s="1">
        <v>3618</v>
      </c>
      <c r="B110" s="17" t="s">
        <v>823</v>
      </c>
      <c r="C110" s="2" t="s">
        <v>824</v>
      </c>
      <c r="D110" s="15" t="s">
        <v>825</v>
      </c>
      <c r="E110" s="9" t="s">
        <v>826</v>
      </c>
      <c r="F110" s="9" t="s">
        <v>827</v>
      </c>
      <c r="G110" s="9" t="s">
        <v>828</v>
      </c>
      <c r="H110" s="2" t="s">
        <v>60</v>
      </c>
      <c r="I110" s="3">
        <v>36261</v>
      </c>
      <c r="J110" s="9" t="str">
        <f t="shared" ca="1" si="1"/>
        <v>24 ans</v>
      </c>
      <c r="K110" s="2" t="s">
        <v>123</v>
      </c>
      <c r="L110" s="2" t="str">
        <f>"273"</f>
        <v>273</v>
      </c>
      <c r="M110" s="2"/>
      <c r="N110" s="2" t="str">
        <f>"RUE BERTIE"</f>
        <v>RUE BERTIE</v>
      </c>
      <c r="O110" s="2" t="s">
        <v>829</v>
      </c>
      <c r="P110" s="9" t="e">
        <f>VLOOKUP($O110,'Liste des Villes'!$B$2:$B$1128,1,FALSE)</f>
        <v>#N/A</v>
      </c>
      <c r="Q110" s="9" t="str">
        <f>IFERROR($P110,PROPER(VLOOKUP($O110,'Villes en erreur'!$A$2:$B$72,2,FALSE)))</f>
        <v>Saint-Jérôme</v>
      </c>
      <c r="R110" s="9" t="str">
        <f>IFERROR($P110,PROPER(VLOOKUP($O110,'Villes en erreur'!$A$2:$B$72,2,FALSE)))</f>
        <v>Saint-Jérôme</v>
      </c>
      <c r="S110" s="9" t="str">
        <f>IF(ISBLANK($R110),"",VLOOKUP($R110,'Liste des Villes'!$B$2:$H$1128,4,FALSE))</f>
        <v>Laurentides</v>
      </c>
      <c r="T110" s="2" t="s">
        <v>830</v>
      </c>
      <c r="U110" s="2" t="s">
        <v>39</v>
      </c>
      <c r="V110" s="2" t="s">
        <v>40</v>
      </c>
      <c r="W110" s="2" t="s">
        <v>831</v>
      </c>
      <c r="X110" s="2"/>
      <c r="Y110" s="2"/>
      <c r="Z110" s="2"/>
      <c r="AA110" s="2" t="s">
        <v>832</v>
      </c>
      <c r="AB110" s="2" t="s">
        <v>73</v>
      </c>
      <c r="AC110" s="4" t="s">
        <v>44</v>
      </c>
    </row>
    <row r="111" spans="1:29" x14ac:dyDescent="0.25">
      <c r="A111" s="1">
        <v>2354</v>
      </c>
      <c r="B111" s="17" t="s">
        <v>833</v>
      </c>
      <c r="C111" s="2" t="s">
        <v>834</v>
      </c>
      <c r="D111" s="15" t="s">
        <v>835</v>
      </c>
      <c r="E111" s="9" t="s">
        <v>99</v>
      </c>
      <c r="F111" s="9" t="s">
        <v>312</v>
      </c>
      <c r="G111" s="9" t="s">
        <v>188</v>
      </c>
      <c r="H111" s="2" t="s">
        <v>60</v>
      </c>
      <c r="I111" s="3">
        <v>36762</v>
      </c>
      <c r="J111" s="9" t="str">
        <f t="shared" ca="1" si="1"/>
        <v>23 ans</v>
      </c>
      <c r="K111" s="2" t="s">
        <v>68</v>
      </c>
      <c r="L111" s="2" t="str">
        <f>"672"</f>
        <v>672</v>
      </c>
      <c r="M111" s="2"/>
      <c r="N111" s="2" t="str">
        <f>"RUE DES EAUX-VIVES"</f>
        <v>RUE DES EAUX-VIVES</v>
      </c>
      <c r="O111" s="2" t="s">
        <v>189</v>
      </c>
      <c r="P111" s="9" t="e">
        <f>VLOOKUP($O111,'Liste des Villes'!$B$2:$B$1128,1,FALSE)</f>
        <v>#N/A</v>
      </c>
      <c r="Q111" s="9" t="str">
        <f>IFERROR($P111,PROPER(VLOOKUP($O111,'Villes en erreur'!$A$2:$B$72,2,FALSE)))</f>
        <v>Saint-Donat</v>
      </c>
      <c r="R111" s="9" t="str">
        <f>IFERROR($P111,PROPER(VLOOKUP($O111,'Villes en erreur'!$A$2:$B$72,2,FALSE)))</f>
        <v>Saint-Donat</v>
      </c>
      <c r="S111" s="9" t="str">
        <f>IF(ISBLANK($R111),"",VLOOKUP($R111,'Liste des Villes'!$B$2:$H$1128,4,FALSE))</f>
        <v>Lanaudière</v>
      </c>
      <c r="T111" s="2" t="s">
        <v>190</v>
      </c>
      <c r="U111" s="2" t="s">
        <v>39</v>
      </c>
      <c r="V111" s="2" t="s">
        <v>40</v>
      </c>
      <c r="W111" s="2" t="s">
        <v>836</v>
      </c>
      <c r="X111" s="2"/>
      <c r="Y111" s="2"/>
      <c r="Z111" s="2"/>
      <c r="AA111" s="2" t="s">
        <v>72</v>
      </c>
      <c r="AB111" s="2" t="s">
        <v>192</v>
      </c>
      <c r="AC111" s="4" t="s">
        <v>44</v>
      </c>
    </row>
    <row r="112" spans="1:29" x14ac:dyDescent="0.25">
      <c r="A112" s="1">
        <v>3908</v>
      </c>
      <c r="B112" s="17" t="s">
        <v>837</v>
      </c>
      <c r="C112" s="2" t="s">
        <v>838</v>
      </c>
      <c r="D112" s="15" t="s">
        <v>839</v>
      </c>
      <c r="E112" s="9" t="s">
        <v>840</v>
      </c>
      <c r="F112" s="9" t="s">
        <v>841</v>
      </c>
      <c r="G112" s="9" t="s">
        <v>59</v>
      </c>
      <c r="H112" s="2" t="s">
        <v>60</v>
      </c>
      <c r="I112" s="3">
        <v>33476</v>
      </c>
      <c r="J112" s="9" t="str">
        <f t="shared" ca="1" si="1"/>
        <v>31 ans</v>
      </c>
      <c r="K112" s="2" t="s">
        <v>36</v>
      </c>
      <c r="L112" s="2" t="str">
        <f>"34"</f>
        <v>34</v>
      </c>
      <c r="M112" s="2"/>
      <c r="N112" s="2" t="str">
        <f>"AV HAMFORD"</f>
        <v>AV HAMFORD</v>
      </c>
      <c r="O112" s="2" t="s">
        <v>51</v>
      </c>
      <c r="P112" s="9" t="e">
        <f>VLOOKUP($O112,'Liste des Villes'!$B$2:$B$1128,1,FALSE)</f>
        <v>#N/A</v>
      </c>
      <c r="Q112" s="9" t="str">
        <f>IFERROR($P112,PROPER(VLOOKUP($O112,'Villes en erreur'!$A$2:$B$72,2,FALSE)))</f>
        <v>Saint-Lin–Laurentides</v>
      </c>
      <c r="R112" s="9" t="str">
        <f>IFERROR($P112,PROPER(VLOOKUP($O112,'Villes en erreur'!$A$2:$B$72,2,FALSE)))</f>
        <v>Saint-Lin–Laurentides</v>
      </c>
      <c r="S112" s="9" t="str">
        <f>IF(ISBLANK($R112),"",VLOOKUP($R112,'Liste des Villes'!$B$2:$H$1128,4,FALSE))</f>
        <v>Lanaudière</v>
      </c>
      <c r="T112" s="2" t="s">
        <v>38</v>
      </c>
      <c r="U112" s="2" t="s">
        <v>39</v>
      </c>
      <c r="V112" s="2" t="s">
        <v>40</v>
      </c>
      <c r="W112" s="2" t="s">
        <v>842</v>
      </c>
      <c r="X112" s="2"/>
      <c r="Y112" s="2"/>
      <c r="Z112" s="2"/>
      <c r="AA112" s="2" t="s">
        <v>42</v>
      </c>
      <c r="AB112" s="2" t="s">
        <v>53</v>
      </c>
      <c r="AC112" s="4" t="s">
        <v>44</v>
      </c>
    </row>
    <row r="113" spans="1:29" x14ac:dyDescent="0.25">
      <c r="A113" s="1">
        <v>1108</v>
      </c>
      <c r="B113" s="17" t="s">
        <v>843</v>
      </c>
      <c r="C113" s="2" t="s">
        <v>844</v>
      </c>
      <c r="D113" s="15" t="s">
        <v>845</v>
      </c>
      <c r="E113" s="9" t="s">
        <v>509</v>
      </c>
      <c r="F113" s="9" t="s">
        <v>846</v>
      </c>
      <c r="G113" s="9" t="s">
        <v>211</v>
      </c>
      <c r="H113" s="2" t="s">
        <v>60</v>
      </c>
      <c r="I113" s="3">
        <v>33519</v>
      </c>
      <c r="J113" s="9" t="str">
        <f t="shared" ca="1" si="1"/>
        <v>31 ans</v>
      </c>
      <c r="K113" s="2" t="s">
        <v>36</v>
      </c>
      <c r="L113" s="2" t="str">
        <f>"35"</f>
        <v>35</v>
      </c>
      <c r="M113" s="2"/>
      <c r="N113" s="2" t="str">
        <f>"AV SÉGUIN"</f>
        <v>AV SÉGUIN</v>
      </c>
      <c r="O113" s="2" t="s">
        <v>51</v>
      </c>
      <c r="P113" s="9" t="e">
        <f>VLOOKUP($O113,'Liste des Villes'!$B$2:$B$1128,1,FALSE)</f>
        <v>#N/A</v>
      </c>
      <c r="Q113" s="9" t="str">
        <f>IFERROR($P113,PROPER(VLOOKUP($O113,'Villes en erreur'!$A$2:$B$72,2,FALSE)))</f>
        <v>Saint-Lin–Laurentides</v>
      </c>
      <c r="R113" s="9" t="str">
        <f>IFERROR($P113,PROPER(VLOOKUP($O113,'Villes en erreur'!$A$2:$B$72,2,FALSE)))</f>
        <v>Saint-Lin–Laurentides</v>
      </c>
      <c r="S113" s="9" t="str">
        <f>IF(ISBLANK($R113),"",VLOOKUP($R113,'Liste des Villes'!$B$2:$H$1128,4,FALSE))</f>
        <v>Lanaudière</v>
      </c>
      <c r="T113" s="2" t="s">
        <v>38</v>
      </c>
      <c r="U113" s="2" t="s">
        <v>39</v>
      </c>
      <c r="V113" s="2" t="s">
        <v>40</v>
      </c>
      <c r="W113" s="2" t="s">
        <v>847</v>
      </c>
      <c r="X113" s="2"/>
      <c r="Y113" s="2"/>
      <c r="Z113" s="2"/>
      <c r="AA113" s="2" t="s">
        <v>213</v>
      </c>
      <c r="AB113" s="2" t="s">
        <v>53</v>
      </c>
      <c r="AC113" s="4" t="s">
        <v>44</v>
      </c>
    </row>
    <row r="114" spans="1:29" x14ac:dyDescent="0.25">
      <c r="A114" s="1">
        <v>2960</v>
      </c>
      <c r="B114" s="17" t="s">
        <v>848</v>
      </c>
      <c r="C114" s="2" t="s">
        <v>849</v>
      </c>
      <c r="D114" s="15" t="s">
        <v>850</v>
      </c>
      <c r="E114" s="9" t="s">
        <v>851</v>
      </c>
      <c r="F114" s="9" t="s">
        <v>852</v>
      </c>
      <c r="G114" s="9" t="s">
        <v>853</v>
      </c>
      <c r="H114" s="2" t="s">
        <v>35</v>
      </c>
      <c r="I114" s="3">
        <v>37427</v>
      </c>
      <c r="J114" s="9" t="str">
        <f t="shared" ca="1" si="1"/>
        <v>21 ans</v>
      </c>
      <c r="K114" s="2" t="s">
        <v>262</v>
      </c>
      <c r="L114" s="2" t="str">
        <f>"12805"</f>
        <v>12805</v>
      </c>
      <c r="M114" s="2" t="str">
        <f>"8032"</f>
        <v>8032</v>
      </c>
      <c r="N114" s="2" t="str">
        <f>"RUE ROMÉO-MONETTE"</f>
        <v>RUE ROMÉO-MONETTE</v>
      </c>
      <c r="O114" s="2" t="s">
        <v>854</v>
      </c>
      <c r="P114" s="9" t="e">
        <f>VLOOKUP($O114,'Liste des Villes'!$B$2:$B$1128,1,FALSE)</f>
        <v>#N/A</v>
      </c>
      <c r="Q114" s="9" t="str">
        <f>IFERROR($P114,PROPER(VLOOKUP($O114,'Villes en erreur'!$A$2:$B$72,2,FALSE)))</f>
        <v>Bois-Des-Filion</v>
      </c>
      <c r="R114" s="9" t="str">
        <f>IFERROR($P114,PROPER(VLOOKUP($O114,'Villes en erreur'!$A$2:$B$72,2,FALSE)))</f>
        <v>Bois-Des-Filion</v>
      </c>
      <c r="S114" s="9" t="str">
        <f>IF(ISBLANK($R114),"",VLOOKUP($R114,'Liste des Villes'!$B$2:$H$1128,4,FALSE))</f>
        <v>Laurentides</v>
      </c>
      <c r="T114" s="2" t="s">
        <v>855</v>
      </c>
      <c r="U114" s="2" t="s">
        <v>39</v>
      </c>
      <c r="V114" s="2" t="s">
        <v>40</v>
      </c>
      <c r="W114" s="2" t="s">
        <v>856</v>
      </c>
      <c r="X114" s="2" t="str">
        <f>"5142194275"</f>
        <v>5142194275</v>
      </c>
      <c r="Y114" s="2" t="str">
        <f>"4506756640"</f>
        <v>4506756640</v>
      </c>
      <c r="Z114" s="2"/>
      <c r="AA114" s="2" t="s">
        <v>456</v>
      </c>
      <c r="AB114" s="2" t="s">
        <v>457</v>
      </c>
      <c r="AC114" s="4" t="s">
        <v>44</v>
      </c>
    </row>
    <row r="115" spans="1:29" x14ac:dyDescent="0.25">
      <c r="A115" s="1">
        <v>1864</v>
      </c>
      <c r="B115" s="17" t="s">
        <v>857</v>
      </c>
      <c r="C115" s="2" t="s">
        <v>858</v>
      </c>
      <c r="D115" s="15" t="s">
        <v>859</v>
      </c>
      <c r="E115" s="9" t="s">
        <v>860</v>
      </c>
      <c r="F115" s="9" t="s">
        <v>861</v>
      </c>
      <c r="G115" s="9" t="s">
        <v>862</v>
      </c>
      <c r="H115" s="2" t="s">
        <v>60</v>
      </c>
      <c r="I115" s="3">
        <v>37026</v>
      </c>
      <c r="J115" s="9" t="str">
        <f t="shared" ca="1" si="1"/>
        <v>22 ans</v>
      </c>
      <c r="K115" s="2" t="s">
        <v>156</v>
      </c>
      <c r="L115" s="2" t="str">
        <f>"1063"</f>
        <v>1063</v>
      </c>
      <c r="M115" s="2"/>
      <c r="N115" s="2" t="str">
        <f>"RUE DU MEUNIER"</f>
        <v>RUE DU MEUNIER</v>
      </c>
      <c r="O115" s="2" t="s">
        <v>638</v>
      </c>
      <c r="P115" s="9" t="e">
        <f>VLOOKUP($O115,'Liste des Villes'!$B$2:$B$1128,1,FALSE)</f>
        <v>#N/A</v>
      </c>
      <c r="Q115" s="9" t="str">
        <f>IFERROR($P115,PROPER(VLOOKUP($O115,'Villes en erreur'!$A$2:$B$72,2,FALSE)))</f>
        <v>Montréal</v>
      </c>
      <c r="R115" s="9" t="str">
        <f>IFERROR($P115,PROPER(VLOOKUP($O115,'Villes en erreur'!$A$2:$B$72,2,FALSE)))</f>
        <v>Montréal</v>
      </c>
      <c r="S115" s="9" t="str">
        <f>IF(ISBLANK($R115),"",VLOOKUP($R115,'Liste des Villes'!$B$2:$H$1128,4,FALSE))</f>
        <v>Montréal</v>
      </c>
      <c r="T115" s="2" t="s">
        <v>863</v>
      </c>
      <c r="U115" s="2" t="s">
        <v>39</v>
      </c>
      <c r="V115" s="2" t="s">
        <v>40</v>
      </c>
      <c r="W115" s="2" t="s">
        <v>864</v>
      </c>
      <c r="X115" s="2"/>
      <c r="Y115" s="2"/>
      <c r="Z115" s="2"/>
      <c r="AA115" s="2" t="s">
        <v>375</v>
      </c>
      <c r="AB115" s="2" t="s">
        <v>376</v>
      </c>
      <c r="AC115" s="4" t="s">
        <v>44</v>
      </c>
    </row>
    <row r="116" spans="1:29" x14ac:dyDescent="0.25">
      <c r="A116" s="1">
        <v>3633</v>
      </c>
      <c r="B116" s="17" t="s">
        <v>865</v>
      </c>
      <c r="C116" s="2" t="s">
        <v>866</v>
      </c>
      <c r="D116" s="15" t="s">
        <v>867</v>
      </c>
      <c r="E116" s="9" t="s">
        <v>868</v>
      </c>
      <c r="F116" s="9" t="s">
        <v>869</v>
      </c>
      <c r="G116" s="9" t="s">
        <v>219</v>
      </c>
      <c r="H116" s="2" t="s">
        <v>35</v>
      </c>
      <c r="I116" s="3">
        <v>31369</v>
      </c>
      <c r="J116" s="9" t="str">
        <f t="shared" ca="1" si="1"/>
        <v>37 ans</v>
      </c>
      <c r="K116" s="2" t="s">
        <v>36</v>
      </c>
      <c r="L116" s="2" t="str">
        <f>"15"</f>
        <v>15</v>
      </c>
      <c r="M116" s="2"/>
      <c r="N116" s="2" t="str">
        <f>"29E AV"</f>
        <v>29E AV</v>
      </c>
      <c r="O116" s="2" t="s">
        <v>870</v>
      </c>
      <c r="P116" s="9" t="e">
        <f>VLOOKUP($O116,'Liste des Villes'!$B$2:$B$1128,1,FALSE)</f>
        <v>#N/A</v>
      </c>
      <c r="Q116" s="9" t="str">
        <f>IFERROR($P116,PROPER(VLOOKUP($O116,'Villes en erreur'!$A$2:$B$72,2,FALSE)))</f>
        <v>Saint-Hippolyte</v>
      </c>
      <c r="R116" s="9" t="str">
        <f>IFERROR($P116,PROPER(VLOOKUP($O116,'Villes en erreur'!$A$2:$B$72,2,FALSE)))</f>
        <v>Saint-Hippolyte</v>
      </c>
      <c r="S116" s="9" t="str">
        <f>IF(ISBLANK($R116),"",VLOOKUP($R116,'Liste des Villes'!$B$2:$H$1128,4,FALSE))</f>
        <v>Laurentides</v>
      </c>
      <c r="T116" s="2" t="s">
        <v>871</v>
      </c>
      <c r="U116" s="2" t="s">
        <v>39</v>
      </c>
      <c r="V116" s="2" t="s">
        <v>40</v>
      </c>
      <c r="W116" s="2" t="s">
        <v>872</v>
      </c>
      <c r="X116" s="2"/>
      <c r="Y116" s="2"/>
      <c r="Z116" s="2"/>
      <c r="AA116" s="2" t="s">
        <v>149</v>
      </c>
      <c r="AB116" s="2" t="s">
        <v>150</v>
      </c>
      <c r="AC116" s="4" t="s">
        <v>44</v>
      </c>
    </row>
    <row r="117" spans="1:29" x14ac:dyDescent="0.25">
      <c r="A117" s="1">
        <v>1991</v>
      </c>
      <c r="B117" s="17" t="s">
        <v>873</v>
      </c>
      <c r="C117" s="2" t="s">
        <v>874</v>
      </c>
      <c r="D117" s="15" t="s">
        <v>875</v>
      </c>
      <c r="E117" s="9" t="s">
        <v>876</v>
      </c>
      <c r="F117" s="9" t="s">
        <v>877</v>
      </c>
      <c r="G117" s="9" t="s">
        <v>878</v>
      </c>
      <c r="H117" s="2" t="s">
        <v>60</v>
      </c>
      <c r="I117" s="3">
        <v>33162</v>
      </c>
      <c r="J117" s="9" t="str">
        <f t="shared" ca="1" si="1"/>
        <v>32 ans</v>
      </c>
      <c r="K117" s="2" t="s">
        <v>36</v>
      </c>
      <c r="L117" s="2" t="str">
        <f>"28"</f>
        <v>28</v>
      </c>
      <c r="M117" s="2"/>
      <c r="N117" s="2" t="str">
        <f>"AV CAUMARTIN"</f>
        <v>AV CAUMARTIN</v>
      </c>
      <c r="O117" s="2" t="s">
        <v>37</v>
      </c>
      <c r="P117" s="9" t="e">
        <f>VLOOKUP($O117,'Liste des Villes'!$B$2:$B$1128,1,FALSE)</f>
        <v>#N/A</v>
      </c>
      <c r="Q117" s="9" t="str">
        <f>IFERROR($P117,PROPER(VLOOKUP($O117,'Villes en erreur'!$A$2:$B$72,2,FALSE)))</f>
        <v>Saint-Lin–Laurentides</v>
      </c>
      <c r="R117" s="9" t="str">
        <f>IFERROR($P117,PROPER(VLOOKUP($O117,'Villes en erreur'!$A$2:$B$72,2,FALSE)))</f>
        <v>Saint-Lin–Laurentides</v>
      </c>
      <c r="S117" s="9" t="str">
        <f>IF(ISBLANK($R117),"",VLOOKUP($R117,'Liste des Villes'!$B$2:$H$1128,4,FALSE))</f>
        <v>Lanaudière</v>
      </c>
      <c r="T117" s="2" t="s">
        <v>38</v>
      </c>
      <c r="U117" s="2" t="s">
        <v>39</v>
      </c>
      <c r="V117" s="2" t="s">
        <v>40</v>
      </c>
      <c r="W117" s="2" t="s">
        <v>879</v>
      </c>
      <c r="X117" s="2"/>
      <c r="Y117" s="2"/>
      <c r="Z117" s="2"/>
      <c r="AA117" s="2" t="s">
        <v>42</v>
      </c>
      <c r="AB117" s="2" t="s">
        <v>43</v>
      </c>
      <c r="AC117" s="4" t="s">
        <v>44</v>
      </c>
    </row>
    <row r="118" spans="1:29" x14ac:dyDescent="0.25">
      <c r="A118" s="1">
        <v>3966</v>
      </c>
      <c r="B118" s="17" t="s">
        <v>880</v>
      </c>
      <c r="C118" s="2" t="s">
        <v>881</v>
      </c>
      <c r="D118" s="15" t="s">
        <v>882</v>
      </c>
      <c r="E118" s="9" t="s">
        <v>883</v>
      </c>
      <c r="F118" s="9" t="s">
        <v>884</v>
      </c>
      <c r="G118" s="9" t="s">
        <v>219</v>
      </c>
      <c r="H118" s="2" t="s">
        <v>35</v>
      </c>
      <c r="I118" s="3">
        <v>30939</v>
      </c>
      <c r="J118" s="9" t="str">
        <f t="shared" ca="1" si="1"/>
        <v>38 ans</v>
      </c>
      <c r="K118" s="2" t="s">
        <v>36</v>
      </c>
      <c r="L118" s="2" t="str">
        <f>"13"</f>
        <v>13</v>
      </c>
      <c r="M118" s="2"/>
      <c r="N118" s="2" t="str">
        <f>"23 AVENUE"</f>
        <v>23 AVENUE</v>
      </c>
      <c r="O118" s="2" t="s">
        <v>885</v>
      </c>
      <c r="P118" s="9" t="e">
        <f>VLOOKUP($O118,'Liste des Villes'!$B$2:$B$1128,1,FALSE)</f>
        <v>#N/A</v>
      </c>
      <c r="Q118" s="9" t="str">
        <f>IFERROR($P118,PROPER(VLOOKUP($O118,'Villes en erreur'!$A$2:$B$72,2,FALSE)))</f>
        <v>Saint-Lin–Laurentides</v>
      </c>
      <c r="R118" s="9" t="str">
        <f>IFERROR($P118,PROPER(VLOOKUP($O118,'Villes en erreur'!$A$2:$B$72,2,FALSE)))</f>
        <v>Saint-Lin–Laurentides</v>
      </c>
      <c r="S118" s="9" t="str">
        <f>IF(ISBLANK($R118),"",VLOOKUP($R118,'Liste des Villes'!$B$2:$H$1128,4,FALSE))</f>
        <v>Lanaudière</v>
      </c>
      <c r="T118" s="2" t="s">
        <v>886</v>
      </c>
      <c r="U118" s="2" t="s">
        <v>39</v>
      </c>
      <c r="V118" s="2" t="s">
        <v>40</v>
      </c>
      <c r="W118" s="2" t="s">
        <v>887</v>
      </c>
      <c r="X118" s="2"/>
      <c r="Y118" s="2"/>
      <c r="Z118" s="2"/>
      <c r="AA118" s="2" t="s">
        <v>149</v>
      </c>
      <c r="AB118" s="2" t="s">
        <v>150</v>
      </c>
      <c r="AC118" s="4" t="s">
        <v>44</v>
      </c>
    </row>
    <row r="119" spans="1:29" x14ac:dyDescent="0.25">
      <c r="A119" s="1">
        <v>4300</v>
      </c>
      <c r="B119" s="17" t="s">
        <v>888</v>
      </c>
      <c r="C119" s="2" t="s">
        <v>889</v>
      </c>
      <c r="D119" s="15" t="s">
        <v>890</v>
      </c>
      <c r="E119" s="9" t="s">
        <v>891</v>
      </c>
      <c r="F119" s="9" t="s">
        <v>892</v>
      </c>
      <c r="G119" s="9" t="s">
        <v>122</v>
      </c>
      <c r="H119" s="2" t="s">
        <v>35</v>
      </c>
      <c r="I119" s="3">
        <v>36350</v>
      </c>
      <c r="J119" s="9" t="str">
        <f t="shared" ca="1" si="1"/>
        <v>24 ans</v>
      </c>
      <c r="K119" s="2" t="s">
        <v>123</v>
      </c>
      <c r="L119" s="2" t="str">
        <f>"317"</f>
        <v>317</v>
      </c>
      <c r="M119" s="2"/>
      <c r="N119" s="2" t="str">
        <f>"RUE CHAMBRIER"</f>
        <v>RUE CHAMBRIER</v>
      </c>
      <c r="O119" s="2" t="s">
        <v>893</v>
      </c>
      <c r="P119" s="9" t="e">
        <f>VLOOKUP($O119,'Liste des Villes'!$B$2:$B$1128,1,FALSE)</f>
        <v>#N/A</v>
      </c>
      <c r="Q119" s="9" t="str">
        <f>IFERROR($P119,PROPER(VLOOKUP($O119,'Villes en erreur'!$A$2:$B$72,2,FALSE)))</f>
        <v>Saint-Faustin–Lac-Carré</v>
      </c>
      <c r="R119" s="9" t="str">
        <f>IFERROR($P119,PROPER(VLOOKUP($O119,'Villes en erreur'!$A$2:$B$72,2,FALSE)))</f>
        <v>Saint-Faustin–Lac-Carré</v>
      </c>
      <c r="S119" s="9" t="str">
        <f>IF(ISBLANK($R119),"",VLOOKUP($R119,'Liste des Villes'!$B$2:$H$1128,4,FALSE))</f>
        <v>Laurentides</v>
      </c>
      <c r="T119" s="2" t="s">
        <v>894</v>
      </c>
      <c r="U119" s="2" t="s">
        <v>39</v>
      </c>
      <c r="V119" s="2" t="s">
        <v>40</v>
      </c>
      <c r="W119" s="2" t="s">
        <v>895</v>
      </c>
      <c r="X119" s="2"/>
      <c r="Y119" s="2"/>
      <c r="Z119" s="2"/>
      <c r="AA119" s="2" t="s">
        <v>127</v>
      </c>
      <c r="AB119" s="2" t="s">
        <v>73</v>
      </c>
      <c r="AC119" s="4" t="s">
        <v>44</v>
      </c>
    </row>
    <row r="120" spans="1:29" x14ac:dyDescent="0.25">
      <c r="A120" s="1">
        <v>2854</v>
      </c>
      <c r="B120" s="17" t="s">
        <v>896</v>
      </c>
      <c r="C120" s="2" t="s">
        <v>897</v>
      </c>
      <c r="D120" s="15" t="s">
        <v>898</v>
      </c>
      <c r="E120" s="9" t="s">
        <v>899</v>
      </c>
      <c r="F120" s="9" t="s">
        <v>900</v>
      </c>
      <c r="G120" s="9" t="s">
        <v>219</v>
      </c>
      <c r="H120" s="2" t="s">
        <v>35</v>
      </c>
      <c r="I120" s="3">
        <v>30943</v>
      </c>
      <c r="J120" s="9" t="str">
        <f t="shared" ca="1" si="1"/>
        <v>38 ans</v>
      </c>
      <c r="K120" s="2" t="s">
        <v>36</v>
      </c>
      <c r="L120" s="2" t="str">
        <f>"13"</f>
        <v>13</v>
      </c>
      <c r="M120" s="2"/>
      <c r="N120" s="2" t="str">
        <f>"23E AV"</f>
        <v>23E AV</v>
      </c>
      <c r="O120" s="2" t="s">
        <v>901</v>
      </c>
      <c r="P120" s="9" t="e">
        <f>VLOOKUP($O120,'Liste des Villes'!$B$2:$B$1128,1,FALSE)</f>
        <v>#N/A</v>
      </c>
      <c r="Q120" s="9" t="str">
        <f>IFERROR($P120,PROPER(VLOOKUP($O120,'Villes en erreur'!$A$2:$B$72,2,FALSE)))</f>
        <v>Saint-Joseph-Du-Lac</v>
      </c>
      <c r="R120" s="9" t="str">
        <f>IFERROR($P120,PROPER(VLOOKUP($O120,'Villes en erreur'!$A$2:$B$72,2,FALSE)))</f>
        <v>Saint-Joseph-Du-Lac</v>
      </c>
      <c r="S120" s="9" t="str">
        <f>IF(ISBLANK($R120),"",VLOOKUP($R120,'Liste des Villes'!$B$2:$H$1128,4,FALSE))</f>
        <v>Laurentides</v>
      </c>
      <c r="T120" s="2" t="s">
        <v>902</v>
      </c>
      <c r="U120" s="2" t="s">
        <v>39</v>
      </c>
      <c r="V120" s="2" t="s">
        <v>40</v>
      </c>
      <c r="W120" s="2" t="s">
        <v>903</v>
      </c>
      <c r="X120" s="2"/>
      <c r="Y120" s="2"/>
      <c r="Z120" s="2"/>
      <c r="AA120" s="2" t="s">
        <v>149</v>
      </c>
      <c r="AB120" s="2" t="s">
        <v>150</v>
      </c>
      <c r="AC120" s="4" t="s">
        <v>44</v>
      </c>
    </row>
    <row r="121" spans="1:29" x14ac:dyDescent="0.25">
      <c r="A121" s="1">
        <v>3901</v>
      </c>
      <c r="B121" s="17" t="s">
        <v>904</v>
      </c>
      <c r="C121" s="2" t="s">
        <v>905</v>
      </c>
      <c r="D121" s="15" t="s">
        <v>906</v>
      </c>
      <c r="E121" s="9" t="s">
        <v>253</v>
      </c>
      <c r="F121" s="9" t="s">
        <v>907</v>
      </c>
      <c r="G121" s="9" t="s">
        <v>188</v>
      </c>
      <c r="H121" s="2" t="s">
        <v>60</v>
      </c>
      <c r="I121" s="3">
        <v>36764</v>
      </c>
      <c r="J121" s="9" t="str">
        <f t="shared" ca="1" si="1"/>
        <v>22 ans</v>
      </c>
      <c r="K121" s="2" t="s">
        <v>68</v>
      </c>
      <c r="L121" s="2" t="str">
        <f>"673"</f>
        <v>673</v>
      </c>
      <c r="M121" s="2"/>
      <c r="N121" s="2" t="str">
        <f>"RUE DES ÉCUREUILS"</f>
        <v>RUE DES ÉCUREUILS</v>
      </c>
      <c r="O121" s="2" t="s">
        <v>189</v>
      </c>
      <c r="P121" s="9" t="e">
        <f>VLOOKUP($O121,'Liste des Villes'!$B$2:$B$1128,1,FALSE)</f>
        <v>#N/A</v>
      </c>
      <c r="Q121" s="9" t="str">
        <f>IFERROR($P121,PROPER(VLOOKUP($O121,'Villes en erreur'!$A$2:$B$72,2,FALSE)))</f>
        <v>Saint-Donat</v>
      </c>
      <c r="R121" s="9" t="str">
        <f>IFERROR($P121,PROPER(VLOOKUP($O121,'Villes en erreur'!$A$2:$B$72,2,FALSE)))</f>
        <v>Saint-Donat</v>
      </c>
      <c r="S121" s="9" t="str">
        <f>IF(ISBLANK($R121),"",VLOOKUP($R121,'Liste des Villes'!$B$2:$H$1128,4,FALSE))</f>
        <v>Lanaudière</v>
      </c>
      <c r="T121" s="2" t="s">
        <v>908</v>
      </c>
      <c r="U121" s="2" t="s">
        <v>39</v>
      </c>
      <c r="V121" s="2" t="s">
        <v>40</v>
      </c>
      <c r="W121" s="2" t="s">
        <v>909</v>
      </c>
      <c r="X121" s="2"/>
      <c r="Y121" s="2"/>
      <c r="Z121" s="2"/>
      <c r="AA121" s="2" t="s">
        <v>72</v>
      </c>
      <c r="AB121" s="2" t="s">
        <v>192</v>
      </c>
      <c r="AC121" s="4" t="s">
        <v>44</v>
      </c>
    </row>
    <row r="122" spans="1:29" x14ac:dyDescent="0.25">
      <c r="A122" s="1">
        <v>1941</v>
      </c>
      <c r="B122" s="17" t="s">
        <v>910</v>
      </c>
      <c r="C122" s="2" t="s">
        <v>911</v>
      </c>
      <c r="D122" s="15" t="s">
        <v>912</v>
      </c>
      <c r="E122" s="9" t="s">
        <v>913</v>
      </c>
      <c r="F122" s="9" t="s">
        <v>914</v>
      </c>
      <c r="G122" s="9" t="s">
        <v>915</v>
      </c>
      <c r="H122" s="2" t="s">
        <v>35</v>
      </c>
      <c r="I122" s="3">
        <v>37384</v>
      </c>
      <c r="J122" s="9" t="str">
        <f t="shared" ca="1" si="1"/>
        <v>21 ans</v>
      </c>
      <c r="K122" s="2" t="s">
        <v>262</v>
      </c>
      <c r="L122" s="2" t="str">
        <f>"9575"</f>
        <v>9575</v>
      </c>
      <c r="M122" s="2"/>
      <c r="N122" s="2" t="str">
        <f>"RUE PREISING"</f>
        <v>RUE PREISING</v>
      </c>
      <c r="O122" s="2" t="s">
        <v>916</v>
      </c>
      <c r="P122" s="9" t="e">
        <f>VLOOKUP($O122,'Liste des Villes'!$B$2:$B$1128,1,FALSE)</f>
        <v>#N/A</v>
      </c>
      <c r="Q122" s="9" t="str">
        <f>IFERROR($P122,PROPER(VLOOKUP($O122,'Villes en erreur'!$A$2:$B$72,2,FALSE)))</f>
        <v>Chute-Saint-Philippe</v>
      </c>
      <c r="R122" s="9" t="str">
        <f>IFERROR($P122,PROPER(VLOOKUP($O122,'Villes en erreur'!$A$2:$B$72,2,FALSE)))</f>
        <v>Chute-Saint-Philippe</v>
      </c>
      <c r="S122" s="9" t="str">
        <f>IF(ISBLANK($R122),"",VLOOKUP($R122,'Liste des Villes'!$B$2:$H$1128,4,FALSE))</f>
        <v>Laurentides</v>
      </c>
      <c r="T122" s="2" t="s">
        <v>917</v>
      </c>
      <c r="U122" s="2" t="s">
        <v>39</v>
      </c>
      <c r="V122" s="2" t="s">
        <v>40</v>
      </c>
      <c r="W122" s="2" t="s">
        <v>918</v>
      </c>
      <c r="X122" s="2" t="str">
        <f>"4507124846"</f>
        <v>4507124846</v>
      </c>
      <c r="Y122" s="2" t="str">
        <f>"4509717881"</f>
        <v>4509717881</v>
      </c>
      <c r="Z122" s="2"/>
      <c r="AA122" s="2" t="s">
        <v>793</v>
      </c>
      <c r="AB122" s="2" t="s">
        <v>267</v>
      </c>
      <c r="AC122" s="4" t="s">
        <v>44</v>
      </c>
    </row>
    <row r="123" spans="1:29" x14ac:dyDescent="0.25">
      <c r="A123" s="1">
        <v>1946</v>
      </c>
      <c r="B123" s="17" t="s">
        <v>919</v>
      </c>
      <c r="C123" s="2" t="s">
        <v>920</v>
      </c>
      <c r="D123" s="15" t="s">
        <v>921</v>
      </c>
      <c r="E123" s="9" t="s">
        <v>922</v>
      </c>
      <c r="F123" s="9" t="s">
        <v>923</v>
      </c>
      <c r="G123" s="9" t="s">
        <v>101</v>
      </c>
      <c r="H123" s="2" t="s">
        <v>35</v>
      </c>
      <c r="I123" s="3">
        <v>32946</v>
      </c>
      <c r="J123" s="9" t="str">
        <f t="shared" ca="1" si="1"/>
        <v>33 ans</v>
      </c>
      <c r="K123" s="2" t="s">
        <v>36</v>
      </c>
      <c r="L123" s="2" t="str">
        <f>"26"</f>
        <v>26</v>
      </c>
      <c r="M123" s="2"/>
      <c r="N123" s="2" t="str">
        <f>"ADOLPHE-CHAPLEAU BLVD"</f>
        <v>ADOLPHE-CHAPLEAU BLVD</v>
      </c>
      <c r="O123" s="2" t="s">
        <v>37</v>
      </c>
      <c r="P123" s="9" t="e">
        <f>VLOOKUP($O123,'Liste des Villes'!$B$2:$B$1128,1,FALSE)</f>
        <v>#N/A</v>
      </c>
      <c r="Q123" s="9" t="str">
        <f>IFERROR($P123,PROPER(VLOOKUP($O123,'Villes en erreur'!$A$2:$B$72,2,FALSE)))</f>
        <v>Saint-Lin–Laurentides</v>
      </c>
      <c r="R123" s="9" t="str">
        <f>IFERROR($P123,PROPER(VLOOKUP($O123,'Villes en erreur'!$A$2:$B$72,2,FALSE)))</f>
        <v>Saint-Lin–Laurentides</v>
      </c>
      <c r="S123" s="9" t="str">
        <f>IF(ISBLANK($R123),"",VLOOKUP($R123,'Liste des Villes'!$B$2:$H$1128,4,FALSE))</f>
        <v>Lanaudière</v>
      </c>
      <c r="T123" s="2" t="s">
        <v>924</v>
      </c>
      <c r="U123" s="2" t="s">
        <v>39</v>
      </c>
      <c r="V123" s="2" t="s">
        <v>40</v>
      </c>
      <c r="W123" s="2" t="s">
        <v>925</v>
      </c>
      <c r="X123" s="2"/>
      <c r="Y123" s="2"/>
      <c r="Z123" s="2"/>
      <c r="AA123" s="2" t="s">
        <v>42</v>
      </c>
      <c r="AB123" s="2" t="s">
        <v>43</v>
      </c>
      <c r="AC123" s="4" t="s">
        <v>44</v>
      </c>
    </row>
    <row r="124" spans="1:29" x14ac:dyDescent="0.25">
      <c r="A124" s="1">
        <v>1103</v>
      </c>
      <c r="B124" s="17" t="s">
        <v>926</v>
      </c>
      <c r="C124" s="2" t="s">
        <v>927</v>
      </c>
      <c r="D124" s="15" t="s">
        <v>928</v>
      </c>
      <c r="E124" s="9" t="s">
        <v>929</v>
      </c>
      <c r="F124" s="9" t="s">
        <v>677</v>
      </c>
      <c r="G124" s="9" t="s">
        <v>188</v>
      </c>
      <c r="H124" s="2" t="s">
        <v>60</v>
      </c>
      <c r="I124" s="3">
        <v>36763</v>
      </c>
      <c r="J124" s="9" t="str">
        <f t="shared" ca="1" si="1"/>
        <v>22 ans</v>
      </c>
      <c r="K124" s="2" t="s">
        <v>68</v>
      </c>
      <c r="L124" s="2" t="str">
        <f>"673"</f>
        <v>673</v>
      </c>
      <c r="M124" s="2"/>
      <c r="N124" s="2" t="str">
        <f>"RUE DES ÉCUREUILS"</f>
        <v>RUE DES ÉCUREUILS</v>
      </c>
      <c r="O124" s="2" t="s">
        <v>189</v>
      </c>
      <c r="P124" s="9" t="e">
        <f>VLOOKUP($O124,'Liste des Villes'!$B$2:$B$1128,1,FALSE)</f>
        <v>#N/A</v>
      </c>
      <c r="Q124" s="9" t="str">
        <f>IFERROR($P124,PROPER(VLOOKUP($O124,'Villes en erreur'!$A$2:$B$72,2,FALSE)))</f>
        <v>Saint-Donat</v>
      </c>
      <c r="R124" s="9" t="str">
        <f>IFERROR($P124,PROPER(VLOOKUP($O124,'Villes en erreur'!$A$2:$B$72,2,FALSE)))</f>
        <v>Saint-Donat</v>
      </c>
      <c r="S124" s="9" t="str">
        <f>IF(ISBLANK($R124),"",VLOOKUP($R124,'Liste des Villes'!$B$2:$H$1128,4,FALSE))</f>
        <v>Lanaudière</v>
      </c>
      <c r="T124" s="2" t="s">
        <v>930</v>
      </c>
      <c r="U124" s="2" t="s">
        <v>39</v>
      </c>
      <c r="V124" s="2" t="s">
        <v>40</v>
      </c>
      <c r="W124" s="2" t="s">
        <v>931</v>
      </c>
      <c r="X124" s="2"/>
      <c r="Y124" s="2"/>
      <c r="Z124" s="2"/>
      <c r="AA124" s="2" t="s">
        <v>72</v>
      </c>
      <c r="AB124" s="2" t="s">
        <v>192</v>
      </c>
      <c r="AC124" s="4" t="s">
        <v>44</v>
      </c>
    </row>
    <row r="125" spans="1:29" x14ac:dyDescent="0.25">
      <c r="A125" s="1">
        <v>741</v>
      </c>
      <c r="B125" s="17" t="s">
        <v>932</v>
      </c>
      <c r="C125" s="2" t="s">
        <v>933</v>
      </c>
      <c r="D125" s="15" t="s">
        <v>934</v>
      </c>
      <c r="E125" s="9" t="s">
        <v>935</v>
      </c>
      <c r="F125" s="9" t="s">
        <v>936</v>
      </c>
      <c r="G125" s="9" t="s">
        <v>94</v>
      </c>
      <c r="H125" s="2" t="s">
        <v>60</v>
      </c>
      <c r="I125" s="3">
        <v>33252</v>
      </c>
      <c r="J125" s="9" t="str">
        <f t="shared" ca="1" si="1"/>
        <v>32 ans</v>
      </c>
      <c r="K125" s="2" t="s">
        <v>36</v>
      </c>
      <c r="L125" s="2" t="str">
        <f>"30"</f>
        <v>30</v>
      </c>
      <c r="M125" s="2"/>
      <c r="N125" s="2" t="str">
        <f>"AV DES ANÉMONES"</f>
        <v>AV DES ANÉMONES</v>
      </c>
      <c r="O125" s="2" t="s">
        <v>37</v>
      </c>
      <c r="P125" s="9" t="e">
        <f>VLOOKUP($O125,'Liste des Villes'!$B$2:$B$1128,1,FALSE)</f>
        <v>#N/A</v>
      </c>
      <c r="Q125" s="9" t="str">
        <f>IFERROR($P125,PROPER(VLOOKUP($O125,'Villes en erreur'!$A$2:$B$72,2,FALSE)))</f>
        <v>Saint-Lin–Laurentides</v>
      </c>
      <c r="R125" s="9" t="str">
        <f>IFERROR($P125,PROPER(VLOOKUP($O125,'Villes en erreur'!$A$2:$B$72,2,FALSE)))</f>
        <v>Saint-Lin–Laurentides</v>
      </c>
      <c r="S125" s="9" t="str">
        <f>IF(ISBLANK($R125),"",VLOOKUP($R125,'Liste des Villes'!$B$2:$H$1128,4,FALSE))</f>
        <v>Lanaudière</v>
      </c>
      <c r="T125" s="2" t="s">
        <v>38</v>
      </c>
      <c r="U125" s="2" t="s">
        <v>39</v>
      </c>
      <c r="V125" s="2" t="s">
        <v>40</v>
      </c>
      <c r="W125" s="2" t="s">
        <v>937</v>
      </c>
      <c r="X125" s="2"/>
      <c r="Y125" s="2"/>
      <c r="Z125" s="2"/>
      <c r="AA125" s="2" t="s">
        <v>42</v>
      </c>
      <c r="AB125" s="2" t="s">
        <v>43</v>
      </c>
      <c r="AC125" s="4" t="s">
        <v>44</v>
      </c>
    </row>
    <row r="126" spans="1:29" x14ac:dyDescent="0.25">
      <c r="A126" s="1">
        <v>1601</v>
      </c>
      <c r="B126" s="17" t="s">
        <v>938</v>
      </c>
      <c r="C126" s="2" t="s">
        <v>939</v>
      </c>
      <c r="D126" s="15" t="s">
        <v>827</v>
      </c>
      <c r="E126" s="9" t="s">
        <v>940</v>
      </c>
      <c r="F126" s="9" t="s">
        <v>825</v>
      </c>
      <c r="G126" s="9" t="s">
        <v>228</v>
      </c>
      <c r="H126" s="2" t="s">
        <v>60</v>
      </c>
      <c r="I126" s="3">
        <v>33295</v>
      </c>
      <c r="J126" s="9" t="str">
        <f t="shared" ca="1" si="1"/>
        <v>32 ans</v>
      </c>
      <c r="K126" s="2" t="s">
        <v>36</v>
      </c>
      <c r="L126" s="2" t="str">
        <f>"31"</f>
        <v>31</v>
      </c>
      <c r="M126" s="2"/>
      <c r="N126" s="2" t="str">
        <f>"AV DES MARQUISATS"</f>
        <v>AV DES MARQUISATS</v>
      </c>
      <c r="O126" s="2" t="s">
        <v>37</v>
      </c>
      <c r="P126" s="9" t="e">
        <f>VLOOKUP($O126,'Liste des Villes'!$B$2:$B$1128,1,FALSE)</f>
        <v>#N/A</v>
      </c>
      <c r="Q126" s="9" t="str">
        <f>IFERROR($P126,PROPER(VLOOKUP($O126,'Villes en erreur'!$A$2:$B$72,2,FALSE)))</f>
        <v>Saint-Lin–Laurentides</v>
      </c>
      <c r="R126" s="9" t="str">
        <f>IFERROR($P126,PROPER(VLOOKUP($O126,'Villes en erreur'!$A$2:$B$72,2,FALSE)))</f>
        <v>Saint-Lin–Laurentides</v>
      </c>
      <c r="S126" s="9" t="str">
        <f>IF(ISBLANK($R126),"",VLOOKUP($R126,'Liste des Villes'!$B$2:$H$1128,4,FALSE))</f>
        <v>Lanaudière</v>
      </c>
      <c r="T126" s="2" t="s">
        <v>38</v>
      </c>
      <c r="U126" s="2" t="s">
        <v>39</v>
      </c>
      <c r="V126" s="2" t="s">
        <v>40</v>
      </c>
      <c r="W126" s="2" t="s">
        <v>941</v>
      </c>
      <c r="X126" s="2"/>
      <c r="Y126" s="2"/>
      <c r="Z126" s="2"/>
      <c r="AA126" s="2" t="s">
        <v>42</v>
      </c>
      <c r="AB126" s="2" t="s">
        <v>53</v>
      </c>
      <c r="AC126" s="4" t="s">
        <v>44</v>
      </c>
    </row>
    <row r="127" spans="1:29" x14ac:dyDescent="0.25">
      <c r="A127" s="1">
        <v>801</v>
      </c>
      <c r="B127" s="17" t="s">
        <v>942</v>
      </c>
      <c r="C127" s="2" t="s">
        <v>943</v>
      </c>
      <c r="D127" s="15" t="s">
        <v>234</v>
      </c>
      <c r="E127" s="9" t="s">
        <v>92</v>
      </c>
      <c r="F127" s="9" t="s">
        <v>944</v>
      </c>
      <c r="G127" s="9" t="s">
        <v>101</v>
      </c>
      <c r="H127" s="2" t="s">
        <v>35</v>
      </c>
      <c r="I127" s="3">
        <v>33014</v>
      </c>
      <c r="J127" s="9" t="str">
        <f t="shared" ca="1" si="1"/>
        <v>33 ans</v>
      </c>
      <c r="K127" s="2" t="s">
        <v>36</v>
      </c>
      <c r="L127" s="2" t="str">
        <f>"27"</f>
        <v>27</v>
      </c>
      <c r="M127" s="2"/>
      <c r="N127" s="2" t="str">
        <f>"ASHTON"</f>
        <v>ASHTON</v>
      </c>
      <c r="O127" s="2" t="s">
        <v>37</v>
      </c>
      <c r="P127" s="9" t="e">
        <f>VLOOKUP($O127,'Liste des Villes'!$B$2:$B$1128,1,FALSE)</f>
        <v>#N/A</v>
      </c>
      <c r="Q127" s="9" t="str">
        <f>IFERROR($P127,PROPER(VLOOKUP($O127,'Villes en erreur'!$A$2:$B$72,2,FALSE)))</f>
        <v>Saint-Lin–Laurentides</v>
      </c>
      <c r="R127" s="9" t="str">
        <f>IFERROR($P127,PROPER(VLOOKUP($O127,'Villes en erreur'!$A$2:$B$72,2,FALSE)))</f>
        <v>Saint-Lin–Laurentides</v>
      </c>
      <c r="S127" s="9" t="str">
        <f>IF(ISBLANK($R127),"",VLOOKUP($R127,'Liste des Villes'!$B$2:$H$1128,4,FALSE))</f>
        <v>Lanaudière</v>
      </c>
      <c r="T127" s="2" t="s">
        <v>38</v>
      </c>
      <c r="U127" s="2" t="s">
        <v>39</v>
      </c>
      <c r="V127" s="2" t="s">
        <v>40</v>
      </c>
      <c r="W127" s="2" t="s">
        <v>945</v>
      </c>
      <c r="X127" s="2"/>
      <c r="Y127" s="2"/>
      <c r="Z127" s="2"/>
      <c r="AA127" s="2" t="s">
        <v>42</v>
      </c>
      <c r="AB127" s="2" t="s">
        <v>43</v>
      </c>
      <c r="AC127" s="4" t="s">
        <v>44</v>
      </c>
    </row>
    <row r="128" spans="1:29" x14ac:dyDescent="0.25">
      <c r="A128" s="1">
        <v>2336</v>
      </c>
      <c r="B128" s="17" t="s">
        <v>946</v>
      </c>
      <c r="C128" s="2" t="s">
        <v>947</v>
      </c>
      <c r="D128" s="15" t="s">
        <v>948</v>
      </c>
      <c r="E128" s="9" t="s">
        <v>949</v>
      </c>
      <c r="F128" s="9" t="s">
        <v>950</v>
      </c>
      <c r="G128" s="9" t="s">
        <v>188</v>
      </c>
      <c r="H128" s="2" t="s">
        <v>60</v>
      </c>
      <c r="I128" s="3">
        <v>36760</v>
      </c>
      <c r="J128" s="9" t="str">
        <f t="shared" ca="1" si="1"/>
        <v>23 ans</v>
      </c>
      <c r="K128" s="2" t="s">
        <v>68</v>
      </c>
      <c r="L128" s="2" t="str">
        <f>"668"</f>
        <v>668</v>
      </c>
      <c r="M128" s="2"/>
      <c r="N128" s="2" t="str">
        <f>"RUE DES DUCS"</f>
        <v>RUE DES DUCS</v>
      </c>
      <c r="O128" s="2" t="s">
        <v>189</v>
      </c>
      <c r="P128" s="9" t="e">
        <f>VLOOKUP($O128,'Liste des Villes'!$B$2:$B$1128,1,FALSE)</f>
        <v>#N/A</v>
      </c>
      <c r="Q128" s="9" t="str">
        <f>IFERROR($P128,PROPER(VLOOKUP($O128,'Villes en erreur'!$A$2:$B$72,2,FALSE)))</f>
        <v>Saint-Donat</v>
      </c>
      <c r="R128" s="9" t="str">
        <f>IFERROR($P128,PROPER(VLOOKUP($O128,'Villes en erreur'!$A$2:$B$72,2,FALSE)))</f>
        <v>Saint-Donat</v>
      </c>
      <c r="S128" s="9" t="str">
        <f>IF(ISBLANK($R128),"",VLOOKUP($R128,'Liste des Villes'!$B$2:$H$1128,4,FALSE))</f>
        <v>Lanaudière</v>
      </c>
      <c r="T128" s="2" t="s">
        <v>951</v>
      </c>
      <c r="U128" s="2" t="s">
        <v>39</v>
      </c>
      <c r="V128" s="2" t="s">
        <v>40</v>
      </c>
      <c r="W128" s="2" t="s">
        <v>952</v>
      </c>
      <c r="X128" s="2"/>
      <c r="Y128" s="2"/>
      <c r="Z128" s="2"/>
      <c r="AA128" s="2" t="s">
        <v>72</v>
      </c>
      <c r="AB128" s="2" t="s">
        <v>192</v>
      </c>
      <c r="AC128" s="4" t="s">
        <v>44</v>
      </c>
    </row>
    <row r="129" spans="1:29" x14ac:dyDescent="0.25">
      <c r="A129" s="1">
        <v>3313</v>
      </c>
      <c r="B129" s="17" t="s">
        <v>953</v>
      </c>
      <c r="C129" s="2" t="s">
        <v>954</v>
      </c>
      <c r="D129" s="15" t="s">
        <v>955</v>
      </c>
      <c r="E129" s="9" t="s">
        <v>956</v>
      </c>
      <c r="F129" s="9" t="s">
        <v>957</v>
      </c>
      <c r="G129" s="9" t="s">
        <v>59</v>
      </c>
      <c r="H129" s="2" t="s">
        <v>60</v>
      </c>
      <c r="I129" s="3">
        <v>33448</v>
      </c>
      <c r="J129" s="9" t="str">
        <f t="shared" ca="1" si="1"/>
        <v>32 ans</v>
      </c>
      <c r="K129" s="2" t="s">
        <v>36</v>
      </c>
      <c r="L129" s="2" t="str">
        <f>"33"</f>
        <v>33</v>
      </c>
      <c r="M129" s="2"/>
      <c r="N129" s="2" t="str">
        <f>"AV FORGET"</f>
        <v>AV FORGET</v>
      </c>
      <c r="O129" s="2" t="s">
        <v>51</v>
      </c>
      <c r="P129" s="9" t="e">
        <f>VLOOKUP($O129,'Liste des Villes'!$B$2:$B$1128,1,FALSE)</f>
        <v>#N/A</v>
      </c>
      <c r="Q129" s="9" t="str">
        <f>IFERROR($P129,PROPER(VLOOKUP($O129,'Villes en erreur'!$A$2:$B$72,2,FALSE)))</f>
        <v>Saint-Lin–Laurentides</v>
      </c>
      <c r="R129" s="9" t="str">
        <f>IFERROR($P129,PROPER(VLOOKUP($O129,'Villes en erreur'!$A$2:$B$72,2,FALSE)))</f>
        <v>Saint-Lin–Laurentides</v>
      </c>
      <c r="S129" s="9" t="str">
        <f>IF(ISBLANK($R129),"",VLOOKUP($R129,'Liste des Villes'!$B$2:$H$1128,4,FALSE))</f>
        <v>Lanaudière</v>
      </c>
      <c r="T129" s="2" t="s">
        <v>38</v>
      </c>
      <c r="U129" s="2" t="s">
        <v>39</v>
      </c>
      <c r="V129" s="2" t="s">
        <v>40</v>
      </c>
      <c r="W129" s="2" t="s">
        <v>958</v>
      </c>
      <c r="X129" s="2"/>
      <c r="Y129" s="2"/>
      <c r="Z129" s="2"/>
      <c r="AA129" s="2" t="s">
        <v>42</v>
      </c>
      <c r="AB129" s="2" t="s">
        <v>53</v>
      </c>
      <c r="AC129" s="4" t="s">
        <v>44</v>
      </c>
    </row>
    <row r="130" spans="1:29" x14ac:dyDescent="0.25">
      <c r="A130" s="1">
        <v>4157</v>
      </c>
      <c r="B130" s="17" t="s">
        <v>959</v>
      </c>
      <c r="C130" s="2" t="s">
        <v>960</v>
      </c>
      <c r="D130" s="15" t="s">
        <v>961</v>
      </c>
      <c r="E130" s="9" t="s">
        <v>219</v>
      </c>
      <c r="F130" s="9" t="s">
        <v>962</v>
      </c>
      <c r="G130" s="9" t="s">
        <v>963</v>
      </c>
      <c r="H130" s="2" t="s">
        <v>60</v>
      </c>
      <c r="I130" s="3">
        <v>33178</v>
      </c>
      <c r="J130" s="9" t="str">
        <f t="shared" ref="J130:J193" ca="1" si="2">_xlfn.CONCAT(INT((TODAY()-$I130)/365.25)," ans")</f>
        <v>32 ans</v>
      </c>
      <c r="K130" s="2" t="s">
        <v>36</v>
      </c>
      <c r="L130" s="2" t="str">
        <f>"28"</f>
        <v>28</v>
      </c>
      <c r="M130" s="2"/>
      <c r="N130" s="2" t="str">
        <f>"AV COURNOYER"</f>
        <v>AV COURNOYER</v>
      </c>
      <c r="O130" s="2" t="s">
        <v>37</v>
      </c>
      <c r="P130" s="9" t="e">
        <f>VLOOKUP($O130,'Liste des Villes'!$B$2:$B$1128,1,FALSE)</f>
        <v>#N/A</v>
      </c>
      <c r="Q130" s="9" t="str">
        <f>IFERROR($P130,PROPER(VLOOKUP($O130,'Villes en erreur'!$A$2:$B$72,2,FALSE)))</f>
        <v>Saint-Lin–Laurentides</v>
      </c>
      <c r="R130" s="9" t="str">
        <f>IFERROR($P130,PROPER(VLOOKUP($O130,'Villes en erreur'!$A$2:$B$72,2,FALSE)))</f>
        <v>Saint-Lin–Laurentides</v>
      </c>
      <c r="S130" s="9" t="str">
        <f>IF(ISBLANK($R130),"",VLOOKUP($R130,'Liste des Villes'!$B$2:$H$1128,4,FALSE))</f>
        <v>Lanaudière</v>
      </c>
      <c r="T130" s="2" t="s">
        <v>38</v>
      </c>
      <c r="U130" s="2" t="s">
        <v>39</v>
      </c>
      <c r="V130" s="2" t="s">
        <v>40</v>
      </c>
      <c r="W130" s="2" t="s">
        <v>964</v>
      </c>
      <c r="X130" s="2"/>
      <c r="Y130" s="2"/>
      <c r="Z130" s="2"/>
      <c r="AA130" s="2" t="s">
        <v>42</v>
      </c>
      <c r="AB130" s="2" t="s">
        <v>43</v>
      </c>
      <c r="AC130" s="4" t="s">
        <v>44</v>
      </c>
    </row>
    <row r="131" spans="1:29" x14ac:dyDescent="0.25">
      <c r="A131" s="1">
        <v>294</v>
      </c>
      <c r="B131" s="17" t="s">
        <v>965</v>
      </c>
      <c r="C131" s="2" t="s">
        <v>966</v>
      </c>
      <c r="D131" s="15" t="s">
        <v>967</v>
      </c>
      <c r="E131" s="9" t="s">
        <v>968</v>
      </c>
      <c r="F131" s="9" t="s">
        <v>969</v>
      </c>
      <c r="G131" s="9" t="s">
        <v>970</v>
      </c>
      <c r="H131" s="2" t="s">
        <v>60</v>
      </c>
      <c r="I131" s="3">
        <v>36260</v>
      </c>
      <c r="J131" s="9" t="str">
        <f t="shared" ca="1" si="2"/>
        <v>24 ans</v>
      </c>
      <c r="K131" s="2" t="s">
        <v>123</v>
      </c>
      <c r="L131" s="2" t="str">
        <f>"273"</f>
        <v>273</v>
      </c>
      <c r="M131" s="2"/>
      <c r="N131" s="2" t="str">
        <f>"RUE BERTIE"</f>
        <v>RUE BERTIE</v>
      </c>
      <c r="O131" s="2" t="s">
        <v>971</v>
      </c>
      <c r="P131" s="9" t="e">
        <f>VLOOKUP($O131,'Liste des Villes'!$B$2:$B$1128,1,FALSE)</f>
        <v>#N/A</v>
      </c>
      <c r="Q131" s="9" t="str">
        <f>IFERROR($P131,PROPER(VLOOKUP($O131,'Villes en erreur'!$A$2:$B$72,2,FALSE)))</f>
        <v>Saint-Jérôme</v>
      </c>
      <c r="R131" s="9" t="str">
        <f>IFERROR($P131,PROPER(VLOOKUP($O131,'Villes en erreur'!$A$2:$B$72,2,FALSE)))</f>
        <v>Saint-Jérôme</v>
      </c>
      <c r="S131" s="9" t="str">
        <f>IF(ISBLANK($R131),"",VLOOKUP($R131,'Liste des Villes'!$B$2:$H$1128,4,FALSE))</f>
        <v>Laurentides</v>
      </c>
      <c r="T131" s="2" t="s">
        <v>830</v>
      </c>
      <c r="U131" s="2" t="s">
        <v>39</v>
      </c>
      <c r="V131" s="2" t="s">
        <v>40</v>
      </c>
      <c r="W131" s="2" t="s">
        <v>972</v>
      </c>
      <c r="X131" s="2"/>
      <c r="Y131" s="2"/>
      <c r="Z131" s="2"/>
      <c r="AA131" s="2" t="s">
        <v>832</v>
      </c>
      <c r="AB131" s="2" t="s">
        <v>73</v>
      </c>
      <c r="AC131" s="4" t="s">
        <v>44</v>
      </c>
    </row>
    <row r="132" spans="1:29" x14ac:dyDescent="0.25">
      <c r="A132" s="1">
        <v>3837</v>
      </c>
      <c r="B132" s="17" t="s">
        <v>973</v>
      </c>
      <c r="C132" s="2" t="s">
        <v>974</v>
      </c>
      <c r="D132" s="15" t="s">
        <v>975</v>
      </c>
      <c r="E132" s="9" t="s">
        <v>976</v>
      </c>
      <c r="F132" s="9" t="s">
        <v>977</v>
      </c>
      <c r="G132" s="9" t="s">
        <v>219</v>
      </c>
      <c r="H132" s="2" t="s">
        <v>35</v>
      </c>
      <c r="I132" s="3">
        <v>30945</v>
      </c>
      <c r="J132" s="9" t="str">
        <f t="shared" ca="1" si="2"/>
        <v>38 ans</v>
      </c>
      <c r="K132" s="2" t="s">
        <v>36</v>
      </c>
      <c r="L132" s="2" t="str">
        <f>"13"</f>
        <v>13</v>
      </c>
      <c r="M132" s="2"/>
      <c r="N132" s="2" t="str">
        <f>"23E AV"</f>
        <v>23E AV</v>
      </c>
      <c r="O132" s="2" t="s">
        <v>235</v>
      </c>
      <c r="P132" s="9" t="e">
        <f>VLOOKUP($O132,'Liste des Villes'!$B$2:$B$1128,1,FALSE)</f>
        <v>#N/A</v>
      </c>
      <c r="Q132" s="9" t="str">
        <f>IFERROR($P132,PROPER(VLOOKUP($O132,'Villes en erreur'!$A$2:$B$72,2,FALSE)))</f>
        <v>Saint-Jérôme</v>
      </c>
      <c r="R132" s="9" t="str">
        <f>IFERROR($P132,PROPER(VLOOKUP($O132,'Villes en erreur'!$A$2:$B$72,2,FALSE)))</f>
        <v>Saint-Jérôme</v>
      </c>
      <c r="S132" s="9" t="str">
        <f>IF(ISBLANK($R132),"",VLOOKUP($R132,'Liste des Villes'!$B$2:$H$1128,4,FALSE))</f>
        <v>Laurentides</v>
      </c>
      <c r="T132" s="2" t="s">
        <v>978</v>
      </c>
      <c r="U132" s="2" t="s">
        <v>39</v>
      </c>
      <c r="V132" s="2" t="s">
        <v>40</v>
      </c>
      <c r="W132" s="2" t="s">
        <v>979</v>
      </c>
      <c r="X132" s="2"/>
      <c r="Y132" s="2"/>
      <c r="Z132" s="2"/>
      <c r="AA132" s="2" t="s">
        <v>149</v>
      </c>
      <c r="AB132" s="2" t="s">
        <v>150</v>
      </c>
      <c r="AC132" s="4" t="s">
        <v>44</v>
      </c>
    </row>
    <row r="133" spans="1:29" x14ac:dyDescent="0.25">
      <c r="A133" s="1">
        <v>2852</v>
      </c>
      <c r="B133" s="17" t="s">
        <v>980</v>
      </c>
      <c r="C133" s="2" t="s">
        <v>981</v>
      </c>
      <c r="D133" s="15" t="s">
        <v>982</v>
      </c>
      <c r="E133" s="9" t="s">
        <v>983</v>
      </c>
      <c r="F133" s="9" t="s">
        <v>984</v>
      </c>
      <c r="G133" s="9" t="s">
        <v>985</v>
      </c>
      <c r="H133" s="2" t="s">
        <v>60</v>
      </c>
      <c r="I133" s="3">
        <v>36264</v>
      </c>
      <c r="J133" s="9" t="str">
        <f t="shared" ca="1" si="2"/>
        <v>24 ans</v>
      </c>
      <c r="K133" s="2" t="s">
        <v>123</v>
      </c>
      <c r="L133" s="2" t="str">
        <f>"275"</f>
        <v>275</v>
      </c>
      <c r="M133" s="2"/>
      <c r="N133" s="2" t="str">
        <f>"RUE BIGRAS"</f>
        <v>RUE BIGRAS</v>
      </c>
      <c r="O133" s="2" t="s">
        <v>829</v>
      </c>
      <c r="P133" s="9" t="e">
        <f>VLOOKUP($O133,'Liste des Villes'!$B$2:$B$1128,1,FALSE)</f>
        <v>#N/A</v>
      </c>
      <c r="Q133" s="9" t="str">
        <f>IFERROR($P133,PROPER(VLOOKUP($O133,'Villes en erreur'!$A$2:$B$72,2,FALSE)))</f>
        <v>Saint-Jérôme</v>
      </c>
      <c r="R133" s="9" t="str">
        <f>IFERROR($P133,PROPER(VLOOKUP($O133,'Villes en erreur'!$A$2:$B$72,2,FALSE)))</f>
        <v>Saint-Jérôme</v>
      </c>
      <c r="S133" s="9" t="str">
        <f>IF(ISBLANK($R133),"",VLOOKUP($R133,'Liste des Villes'!$B$2:$H$1128,4,FALSE))</f>
        <v>Laurentides</v>
      </c>
      <c r="T133" s="2" t="s">
        <v>830</v>
      </c>
      <c r="U133" s="2" t="s">
        <v>39</v>
      </c>
      <c r="V133" s="2" t="s">
        <v>40</v>
      </c>
      <c r="W133" s="2" t="s">
        <v>986</v>
      </c>
      <c r="X133" s="2"/>
      <c r="Y133" s="2"/>
      <c r="Z133" s="2"/>
      <c r="AA133" s="2" t="s">
        <v>832</v>
      </c>
      <c r="AB133" s="2" t="s">
        <v>73</v>
      </c>
      <c r="AC133" s="4" t="s">
        <v>44</v>
      </c>
    </row>
    <row r="134" spans="1:29" x14ac:dyDescent="0.25">
      <c r="A134" s="1">
        <v>1356</v>
      </c>
      <c r="B134" s="17" t="s">
        <v>987</v>
      </c>
      <c r="C134" s="2" t="s">
        <v>988</v>
      </c>
      <c r="D134" s="15" t="s">
        <v>121</v>
      </c>
      <c r="E134" s="9" t="s">
        <v>989</v>
      </c>
      <c r="F134" s="9" t="s">
        <v>750</v>
      </c>
      <c r="G134" s="9" t="s">
        <v>405</v>
      </c>
      <c r="H134" s="2" t="s">
        <v>60</v>
      </c>
      <c r="I134" s="3">
        <v>31615</v>
      </c>
      <c r="J134" s="9" t="str">
        <f t="shared" ca="1" si="2"/>
        <v>37 ans</v>
      </c>
      <c r="K134" s="2" t="s">
        <v>36</v>
      </c>
      <c r="L134" s="2" t="str">
        <f>"15"</f>
        <v>15</v>
      </c>
      <c r="M134" s="2"/>
      <c r="N134" s="2" t="str">
        <f>"36 AVENUE OUEST"</f>
        <v>36 AVENUE OUEST</v>
      </c>
      <c r="O134" s="2" t="s">
        <v>990</v>
      </c>
      <c r="P134" s="9" t="e">
        <f>VLOOKUP($O134,'Liste des Villes'!$B$2:$B$1128,1,FALSE)</f>
        <v>#N/A</v>
      </c>
      <c r="Q134" s="9" t="str">
        <f>IFERROR($P134,PROPER(VLOOKUP($O134,'Villes en erreur'!$A$2:$B$72,2,FALSE)))</f>
        <v>Sainte-Adèle</v>
      </c>
      <c r="R134" s="9" t="str">
        <f>IFERROR($P134,PROPER(VLOOKUP($O134,'Villes en erreur'!$A$2:$B$72,2,FALSE)))</f>
        <v>Sainte-Adèle</v>
      </c>
      <c r="S134" s="9" t="str">
        <f>IF(ISBLANK($R134),"",VLOOKUP($R134,'Liste des Villes'!$B$2:$H$1128,4,FALSE))</f>
        <v>Laurentides</v>
      </c>
      <c r="T134" s="2" t="s">
        <v>991</v>
      </c>
      <c r="U134" s="2" t="s">
        <v>39</v>
      </c>
      <c r="V134" s="2" t="s">
        <v>40</v>
      </c>
      <c r="W134" s="2" t="s">
        <v>992</v>
      </c>
      <c r="X134" s="2"/>
      <c r="Y134" s="2"/>
      <c r="Z134" s="2"/>
      <c r="AA134" s="2" t="s">
        <v>149</v>
      </c>
      <c r="AB134" s="2" t="s">
        <v>150</v>
      </c>
      <c r="AC134" s="4" t="s">
        <v>44</v>
      </c>
    </row>
    <row r="135" spans="1:29" x14ac:dyDescent="0.25">
      <c r="A135" s="1">
        <v>663</v>
      </c>
      <c r="B135" s="17" t="s">
        <v>993</v>
      </c>
      <c r="C135" s="2" t="s">
        <v>994</v>
      </c>
      <c r="D135" s="15" t="s">
        <v>995</v>
      </c>
      <c r="E135" s="9" t="s">
        <v>996</v>
      </c>
      <c r="F135" s="9" t="s">
        <v>997</v>
      </c>
      <c r="G135" s="9" t="s">
        <v>145</v>
      </c>
      <c r="H135" s="2" t="s">
        <v>35</v>
      </c>
      <c r="I135" s="3">
        <v>31631</v>
      </c>
      <c r="J135" s="9" t="str">
        <f t="shared" ca="1" si="2"/>
        <v>37 ans</v>
      </c>
      <c r="K135" s="2" t="s">
        <v>36</v>
      </c>
      <c r="L135" s="2" t="str">
        <f>"15"</f>
        <v>15</v>
      </c>
      <c r="M135" s="2"/>
      <c r="N135" s="2" t="str">
        <f>"36E AV"</f>
        <v>36E AV</v>
      </c>
      <c r="O135" s="2" t="s">
        <v>998</v>
      </c>
      <c r="P135" s="9" t="e">
        <f>VLOOKUP($O135,'Liste des Villes'!$B$2:$B$1128,1,FALSE)</f>
        <v>#N/A</v>
      </c>
      <c r="Q135" s="9" t="str">
        <f>IFERROR($P135,PROPER(VLOOKUP($O135,'Villes en erreur'!$A$2:$B$72,2,FALSE)))</f>
        <v>Saint-Colomban</v>
      </c>
      <c r="R135" s="9" t="str">
        <f>IFERROR($P135,PROPER(VLOOKUP($O135,'Villes en erreur'!$A$2:$B$72,2,FALSE)))</f>
        <v>Saint-Colomban</v>
      </c>
      <c r="S135" s="9" t="str">
        <f>IF(ISBLANK($R135),"",VLOOKUP($R135,'Liste des Villes'!$B$2:$H$1128,4,FALSE))</f>
        <v>Laurentides</v>
      </c>
      <c r="T135" s="2" t="s">
        <v>999</v>
      </c>
      <c r="U135" s="2" t="s">
        <v>39</v>
      </c>
      <c r="V135" s="2" t="s">
        <v>40</v>
      </c>
      <c r="W135" s="2" t="s">
        <v>1000</v>
      </c>
      <c r="X135" s="2"/>
      <c r="Y135" s="2"/>
      <c r="Z135" s="2"/>
      <c r="AA135" s="2" t="s">
        <v>149</v>
      </c>
      <c r="AB135" s="2" t="s">
        <v>150</v>
      </c>
      <c r="AC135" s="4" t="s">
        <v>44</v>
      </c>
    </row>
    <row r="136" spans="1:29" x14ac:dyDescent="0.25">
      <c r="A136" s="1">
        <v>1983</v>
      </c>
      <c r="B136" s="17" t="s">
        <v>1001</v>
      </c>
      <c r="C136" s="2" t="s">
        <v>1002</v>
      </c>
      <c r="D136" s="15" t="s">
        <v>1003</v>
      </c>
      <c r="E136" s="9" t="s">
        <v>1004</v>
      </c>
      <c r="F136" s="9" t="s">
        <v>1005</v>
      </c>
      <c r="G136" s="9" t="s">
        <v>1006</v>
      </c>
      <c r="H136" s="2" t="s">
        <v>60</v>
      </c>
      <c r="I136" s="3">
        <v>33525</v>
      </c>
      <c r="J136" s="9" t="str">
        <f t="shared" ca="1" si="2"/>
        <v>31 ans</v>
      </c>
      <c r="K136" s="2" t="s">
        <v>36</v>
      </c>
      <c r="L136" s="2" t="str">
        <f>"35"</f>
        <v>35</v>
      </c>
      <c r="M136" s="2"/>
      <c r="N136" s="2" t="str">
        <f>"AVENUE 39 EST"</f>
        <v>AVENUE 39 EST</v>
      </c>
      <c r="O136" s="2" t="s">
        <v>51</v>
      </c>
      <c r="P136" s="9" t="e">
        <f>VLOOKUP($O136,'Liste des Villes'!$B$2:$B$1128,1,FALSE)</f>
        <v>#N/A</v>
      </c>
      <c r="Q136" s="9" t="str">
        <f>IFERROR($P136,PROPER(VLOOKUP($O136,'Villes en erreur'!$A$2:$B$72,2,FALSE)))</f>
        <v>Saint-Lin–Laurentides</v>
      </c>
      <c r="R136" s="9" t="str">
        <f>IFERROR($P136,PROPER(VLOOKUP($O136,'Villes en erreur'!$A$2:$B$72,2,FALSE)))</f>
        <v>Saint-Lin–Laurentides</v>
      </c>
      <c r="S136" s="9" t="str">
        <f>IF(ISBLANK($R136),"",VLOOKUP($R136,'Liste des Villes'!$B$2:$H$1128,4,FALSE))</f>
        <v>Lanaudière</v>
      </c>
      <c r="T136" s="2" t="s">
        <v>336</v>
      </c>
      <c r="U136" s="2" t="s">
        <v>39</v>
      </c>
      <c r="V136" s="2" t="s">
        <v>40</v>
      </c>
      <c r="W136" s="2" t="s">
        <v>1007</v>
      </c>
      <c r="X136" s="2"/>
      <c r="Y136" s="2"/>
      <c r="Z136" s="2"/>
      <c r="AA136" s="2" t="s">
        <v>213</v>
      </c>
      <c r="AB136" s="2" t="s">
        <v>53</v>
      </c>
      <c r="AC136" s="4" t="s">
        <v>44</v>
      </c>
    </row>
    <row r="137" spans="1:29" x14ac:dyDescent="0.25">
      <c r="A137" s="1">
        <v>1013</v>
      </c>
      <c r="B137" s="17" t="s">
        <v>1008</v>
      </c>
      <c r="C137" s="2" t="s">
        <v>1009</v>
      </c>
      <c r="D137" s="15" t="s">
        <v>1010</v>
      </c>
      <c r="E137" s="9" t="s">
        <v>277</v>
      </c>
      <c r="F137" s="9" t="s">
        <v>1011</v>
      </c>
      <c r="G137" s="9" t="s">
        <v>188</v>
      </c>
      <c r="H137" s="2" t="s">
        <v>60</v>
      </c>
      <c r="I137" s="3">
        <v>36764</v>
      </c>
      <c r="J137" s="9" t="str">
        <f t="shared" ca="1" si="2"/>
        <v>22 ans</v>
      </c>
      <c r="K137" s="2" t="s">
        <v>68</v>
      </c>
      <c r="L137" s="2" t="str">
        <f>"675"</f>
        <v>675</v>
      </c>
      <c r="M137" s="2"/>
      <c r="N137" s="2" t="str">
        <f>"RUE DES ÉCUREUILS"</f>
        <v>RUE DES ÉCUREUILS</v>
      </c>
      <c r="O137" s="2" t="s">
        <v>189</v>
      </c>
      <c r="P137" s="9" t="e">
        <f>VLOOKUP($O137,'Liste des Villes'!$B$2:$B$1128,1,FALSE)</f>
        <v>#N/A</v>
      </c>
      <c r="Q137" s="9" t="str">
        <f>IFERROR($P137,PROPER(VLOOKUP($O137,'Villes en erreur'!$A$2:$B$72,2,FALSE)))</f>
        <v>Saint-Donat</v>
      </c>
      <c r="R137" s="9" t="str">
        <f>IFERROR($P137,PROPER(VLOOKUP($O137,'Villes en erreur'!$A$2:$B$72,2,FALSE)))</f>
        <v>Saint-Donat</v>
      </c>
      <c r="S137" s="9" t="str">
        <f>IF(ISBLANK($R137),"",VLOOKUP($R137,'Liste des Villes'!$B$2:$H$1128,4,FALSE))</f>
        <v>Lanaudière</v>
      </c>
      <c r="T137" s="2" t="s">
        <v>908</v>
      </c>
      <c r="U137" s="2" t="s">
        <v>39</v>
      </c>
      <c r="V137" s="2" t="s">
        <v>40</v>
      </c>
      <c r="W137" s="2" t="s">
        <v>1012</v>
      </c>
      <c r="X137" s="2"/>
      <c r="Y137" s="2"/>
      <c r="Z137" s="2"/>
      <c r="AA137" s="2" t="s">
        <v>72</v>
      </c>
      <c r="AB137" s="2" t="s">
        <v>192</v>
      </c>
      <c r="AC137" s="4" t="s">
        <v>44</v>
      </c>
    </row>
    <row r="138" spans="1:29" x14ac:dyDescent="0.25">
      <c r="A138" s="1">
        <v>2849</v>
      </c>
      <c r="B138" s="17" t="s">
        <v>1013</v>
      </c>
      <c r="C138" s="2" t="s">
        <v>1014</v>
      </c>
      <c r="D138" s="15" t="s">
        <v>1015</v>
      </c>
      <c r="E138" s="9" t="s">
        <v>685</v>
      </c>
      <c r="F138" s="9" t="s">
        <v>1016</v>
      </c>
      <c r="G138" s="9" t="s">
        <v>1017</v>
      </c>
      <c r="H138" s="2" t="s">
        <v>60</v>
      </c>
      <c r="I138" s="3">
        <v>37601</v>
      </c>
      <c r="J138" s="9" t="str">
        <f t="shared" ca="1" si="2"/>
        <v>20 ans</v>
      </c>
      <c r="K138" s="2" t="s">
        <v>262</v>
      </c>
      <c r="L138" s="2" t="str">
        <f>"388E"</f>
        <v>388E</v>
      </c>
      <c r="M138" s="2" t="str">
        <f>"1"</f>
        <v>1</v>
      </c>
      <c r="N138" s="2" t="str">
        <f>"VAL DES LACS"</f>
        <v>VAL DES LACS</v>
      </c>
      <c r="O138" s="2" t="s">
        <v>1018</v>
      </c>
      <c r="P138" s="9" t="e">
        <f>VLOOKUP($O138,'Liste des Villes'!$B$2:$B$1128,1,FALSE)</f>
        <v>#N/A</v>
      </c>
      <c r="Q138" s="9" t="str">
        <f>IFERROR($P138,PROPER(VLOOKUP($O138,'Villes en erreur'!$A$2:$B$72,2,FALSE)))</f>
        <v>Blainville</v>
      </c>
      <c r="R138" s="9" t="str">
        <f>IFERROR($P138,PROPER(VLOOKUP($O138,'Villes en erreur'!$A$2:$B$72,2,FALSE)))</f>
        <v>Blainville</v>
      </c>
      <c r="S138" s="9" t="str">
        <f>IF(ISBLANK($R138),"",VLOOKUP($R138,'Liste des Villes'!$B$2:$H$1128,4,FALSE))</f>
        <v>Laurentides</v>
      </c>
      <c r="T138" s="2" t="s">
        <v>1019</v>
      </c>
      <c r="U138" s="2" t="s">
        <v>39</v>
      </c>
      <c r="V138" s="2" t="s">
        <v>40</v>
      </c>
      <c r="W138" s="2" t="s">
        <v>1020</v>
      </c>
      <c r="X138" s="2" t="str">
        <f>"4508480365 x1957397"</f>
        <v>4508480365 x1957397</v>
      </c>
      <c r="Y138" s="2" t="str">
        <f>"4383340204"</f>
        <v>4383340204</v>
      </c>
      <c r="Z138" s="2" t="str">
        <f>"5148276999"</f>
        <v>5148276999</v>
      </c>
      <c r="AA138" s="2" t="s">
        <v>456</v>
      </c>
      <c r="AB138" s="2" t="s">
        <v>457</v>
      </c>
      <c r="AC138" s="4" t="s">
        <v>44</v>
      </c>
    </row>
    <row r="139" spans="1:29" x14ac:dyDescent="0.25">
      <c r="A139" s="1">
        <v>4038</v>
      </c>
      <c r="B139" s="17" t="s">
        <v>1021</v>
      </c>
      <c r="C139" s="2" t="s">
        <v>1022</v>
      </c>
      <c r="D139" s="15" t="s">
        <v>1023</v>
      </c>
      <c r="E139" s="9" t="s">
        <v>1024</v>
      </c>
      <c r="F139" s="9" t="s">
        <v>1025</v>
      </c>
      <c r="G139" s="9" t="s">
        <v>219</v>
      </c>
      <c r="H139" s="2" t="s">
        <v>35</v>
      </c>
      <c r="I139" s="3">
        <v>31289</v>
      </c>
      <c r="J139" s="9" t="str">
        <f t="shared" ca="1" si="2"/>
        <v>37 ans</v>
      </c>
      <c r="K139" s="2" t="s">
        <v>36</v>
      </c>
      <c r="L139" s="2" t="str">
        <f>"14"</f>
        <v>14</v>
      </c>
      <c r="M139" s="2"/>
      <c r="N139" s="2" t="str">
        <f>"27E RUE"</f>
        <v>27E RUE</v>
      </c>
      <c r="O139" s="2" t="s">
        <v>433</v>
      </c>
      <c r="P139" s="9" t="e">
        <f>VLOOKUP($O139,'Liste des Villes'!$B$2:$B$1128,1,FALSE)</f>
        <v>#N/A</v>
      </c>
      <c r="Q139" s="9" t="str">
        <f>IFERROR($P139,PROPER(VLOOKUP($O139,'Villes en erreur'!$A$2:$B$72,2,FALSE)))</f>
        <v>Saint-Jérôme</v>
      </c>
      <c r="R139" s="9" t="str">
        <f>IFERROR($P139,PROPER(VLOOKUP($O139,'Villes en erreur'!$A$2:$B$72,2,FALSE)))</f>
        <v>Saint-Jérôme</v>
      </c>
      <c r="S139" s="9" t="str">
        <f>IF(ISBLANK($R139),"",VLOOKUP($R139,'Liste des Villes'!$B$2:$H$1128,4,FALSE))</f>
        <v>Laurentides</v>
      </c>
      <c r="T139" s="2" t="s">
        <v>1026</v>
      </c>
      <c r="U139" s="2" t="s">
        <v>39</v>
      </c>
      <c r="V139" s="2" t="s">
        <v>40</v>
      </c>
      <c r="W139" s="2" t="s">
        <v>1027</v>
      </c>
      <c r="X139" s="2"/>
      <c r="Y139" s="2"/>
      <c r="Z139" s="2"/>
      <c r="AA139" s="2" t="s">
        <v>149</v>
      </c>
      <c r="AB139" s="2" t="s">
        <v>150</v>
      </c>
      <c r="AC139" s="4" t="s">
        <v>44</v>
      </c>
    </row>
    <row r="140" spans="1:29" x14ac:dyDescent="0.25">
      <c r="A140" s="1">
        <v>1809</v>
      </c>
      <c r="B140" s="17" t="s">
        <v>1028</v>
      </c>
      <c r="C140" s="2" t="s">
        <v>1029</v>
      </c>
      <c r="D140" s="15" t="s">
        <v>1030</v>
      </c>
      <c r="E140" s="9" t="s">
        <v>698</v>
      </c>
      <c r="F140" s="9" t="s">
        <v>1031</v>
      </c>
      <c r="G140" s="9" t="s">
        <v>1032</v>
      </c>
      <c r="H140" s="2" t="s">
        <v>35</v>
      </c>
      <c r="I140" s="3">
        <v>33486</v>
      </c>
      <c r="J140" s="9" t="str">
        <f t="shared" ca="1" si="2"/>
        <v>31 ans</v>
      </c>
      <c r="K140" s="2" t="s">
        <v>36</v>
      </c>
      <c r="L140" s="2" t="str">
        <f>"35"</f>
        <v>35</v>
      </c>
      <c r="M140" s="2"/>
      <c r="N140" s="2" t="str">
        <f>"AV LEBLANC"</f>
        <v>AV LEBLANC</v>
      </c>
      <c r="O140" s="2" t="s">
        <v>51</v>
      </c>
      <c r="P140" s="9" t="e">
        <f>VLOOKUP($O140,'Liste des Villes'!$B$2:$B$1128,1,FALSE)</f>
        <v>#N/A</v>
      </c>
      <c r="Q140" s="9" t="str">
        <f>IFERROR($P140,PROPER(VLOOKUP($O140,'Villes en erreur'!$A$2:$B$72,2,FALSE)))</f>
        <v>Saint-Lin–Laurentides</v>
      </c>
      <c r="R140" s="9" t="str">
        <f>IFERROR($P140,PROPER(VLOOKUP($O140,'Villes en erreur'!$A$2:$B$72,2,FALSE)))</f>
        <v>Saint-Lin–Laurentides</v>
      </c>
      <c r="S140" s="9" t="str">
        <f>IF(ISBLANK($R140),"",VLOOKUP($R140,'Liste des Villes'!$B$2:$H$1128,4,FALSE))</f>
        <v>Lanaudière</v>
      </c>
      <c r="T140" s="2" t="s">
        <v>38</v>
      </c>
      <c r="U140" s="2" t="s">
        <v>39</v>
      </c>
      <c r="V140" s="2" t="s">
        <v>40</v>
      </c>
      <c r="W140" s="2" t="s">
        <v>1033</v>
      </c>
      <c r="X140" s="2"/>
      <c r="Y140" s="2"/>
      <c r="Z140" s="2"/>
      <c r="AA140" s="2" t="s">
        <v>42</v>
      </c>
      <c r="AB140" s="2" t="s">
        <v>53</v>
      </c>
      <c r="AC140" s="4" t="s">
        <v>44</v>
      </c>
    </row>
    <row r="141" spans="1:29" x14ac:dyDescent="0.25">
      <c r="A141" s="1">
        <v>1762</v>
      </c>
      <c r="B141" s="17" t="s">
        <v>1034</v>
      </c>
      <c r="C141" s="2" t="s">
        <v>1035</v>
      </c>
      <c r="D141" s="15" t="s">
        <v>1036</v>
      </c>
      <c r="E141" s="9" t="s">
        <v>1037</v>
      </c>
      <c r="F141" s="9" t="s">
        <v>1038</v>
      </c>
      <c r="G141" s="9" t="s">
        <v>219</v>
      </c>
      <c r="H141" s="2" t="s">
        <v>35</v>
      </c>
      <c r="I141" s="3">
        <v>31381</v>
      </c>
      <c r="J141" s="9" t="str">
        <f t="shared" ca="1" si="2"/>
        <v>37 ans</v>
      </c>
      <c r="K141" s="2" t="s">
        <v>36</v>
      </c>
      <c r="L141" s="2" t="str">
        <f>"15"</f>
        <v>15</v>
      </c>
      <c r="M141" s="2"/>
      <c r="N141" s="2" t="str">
        <f>"29E AV"</f>
        <v>29E AV</v>
      </c>
      <c r="O141" s="2" t="s">
        <v>769</v>
      </c>
      <c r="P141" s="9" t="e">
        <f>VLOOKUP($O141,'Liste des Villes'!$B$2:$B$1128,1,FALSE)</f>
        <v>#N/A</v>
      </c>
      <c r="Q141" s="9" t="str">
        <f>IFERROR($P141,PROPER(VLOOKUP($O141,'Villes en erreur'!$A$2:$B$72,2,FALSE)))</f>
        <v>Saint-Hippolyte</v>
      </c>
      <c r="R141" s="9" t="str">
        <f>IFERROR($P141,PROPER(VLOOKUP($O141,'Villes en erreur'!$A$2:$B$72,2,FALSE)))</f>
        <v>Saint-Hippolyte</v>
      </c>
      <c r="S141" s="9" t="str">
        <f>IF(ISBLANK($R141),"",VLOOKUP($R141,'Liste des Villes'!$B$2:$H$1128,4,FALSE))</f>
        <v>Laurentides</v>
      </c>
      <c r="T141" s="2" t="s">
        <v>871</v>
      </c>
      <c r="U141" s="2" t="s">
        <v>39</v>
      </c>
      <c r="V141" s="2" t="s">
        <v>40</v>
      </c>
      <c r="W141" s="2" t="s">
        <v>1039</v>
      </c>
      <c r="X141" s="2"/>
      <c r="Y141" s="2"/>
      <c r="Z141" s="2"/>
      <c r="AA141" s="2" t="s">
        <v>149</v>
      </c>
      <c r="AB141" s="2" t="s">
        <v>150</v>
      </c>
      <c r="AC141" s="4" t="s">
        <v>44</v>
      </c>
    </row>
    <row r="142" spans="1:29" x14ac:dyDescent="0.25">
      <c r="A142" s="1">
        <v>2833</v>
      </c>
      <c r="B142" s="17" t="s">
        <v>1040</v>
      </c>
      <c r="C142" s="2" t="s">
        <v>1041</v>
      </c>
      <c r="D142" s="15" t="s">
        <v>1042</v>
      </c>
      <c r="E142" s="9" t="s">
        <v>1043</v>
      </c>
      <c r="F142" s="9" t="s">
        <v>599</v>
      </c>
      <c r="G142" s="9" t="s">
        <v>219</v>
      </c>
      <c r="H142" s="2" t="s">
        <v>35</v>
      </c>
      <c r="I142" s="3">
        <v>31109</v>
      </c>
      <c r="J142" s="9" t="str">
        <f t="shared" ca="1" si="2"/>
        <v>38 ans</v>
      </c>
      <c r="K142" s="2" t="s">
        <v>36</v>
      </c>
      <c r="L142" s="2" t="str">
        <f>"14"</f>
        <v>14</v>
      </c>
      <c r="M142" s="2"/>
      <c r="N142" s="2" t="str">
        <f>"25E AV"</f>
        <v>25E AV</v>
      </c>
      <c r="O142" s="2" t="s">
        <v>235</v>
      </c>
      <c r="P142" s="9" t="e">
        <f>VLOOKUP($O142,'Liste des Villes'!$B$2:$B$1128,1,FALSE)</f>
        <v>#N/A</v>
      </c>
      <c r="Q142" s="9" t="str">
        <f>IFERROR($P142,PROPER(VLOOKUP($O142,'Villes en erreur'!$A$2:$B$72,2,FALSE)))</f>
        <v>Saint-Jérôme</v>
      </c>
      <c r="R142" s="9" t="str">
        <f>IFERROR($P142,PROPER(VLOOKUP($O142,'Villes en erreur'!$A$2:$B$72,2,FALSE)))</f>
        <v>Saint-Jérôme</v>
      </c>
      <c r="S142" s="9" t="str">
        <f>IF(ISBLANK($R142),"",VLOOKUP($R142,'Liste des Villes'!$B$2:$H$1128,4,FALSE))</f>
        <v>Laurentides</v>
      </c>
      <c r="T142" s="2" t="s">
        <v>1044</v>
      </c>
      <c r="U142" s="2" t="s">
        <v>39</v>
      </c>
      <c r="V142" s="2" t="s">
        <v>40</v>
      </c>
      <c r="W142" s="2" t="s">
        <v>1045</v>
      </c>
      <c r="X142" s="2"/>
      <c r="Y142" s="2"/>
      <c r="Z142" s="2"/>
      <c r="AA142" s="2" t="s">
        <v>149</v>
      </c>
      <c r="AB142" s="2" t="s">
        <v>150</v>
      </c>
      <c r="AC142" s="4" t="s">
        <v>44</v>
      </c>
    </row>
    <row r="143" spans="1:29" x14ac:dyDescent="0.25">
      <c r="A143" s="1">
        <v>3716</v>
      </c>
      <c r="B143" s="17" t="s">
        <v>1046</v>
      </c>
      <c r="C143" s="2" t="s">
        <v>1047</v>
      </c>
      <c r="D143" s="15" t="s">
        <v>1048</v>
      </c>
      <c r="E143" s="9" t="s">
        <v>1049</v>
      </c>
      <c r="F143" s="9" t="s">
        <v>1050</v>
      </c>
      <c r="G143" s="9" t="s">
        <v>1051</v>
      </c>
      <c r="H143" s="2" t="s">
        <v>60</v>
      </c>
      <c r="I143" s="3">
        <v>36262</v>
      </c>
      <c r="J143" s="9" t="str">
        <f t="shared" ca="1" si="2"/>
        <v>24 ans</v>
      </c>
      <c r="K143" s="2" t="s">
        <v>123</v>
      </c>
      <c r="L143" s="2" t="str">
        <f>"274"</f>
        <v>274</v>
      </c>
      <c r="M143" s="2"/>
      <c r="N143" s="2" t="str">
        <f>"RUE BERTIE"</f>
        <v>RUE BERTIE</v>
      </c>
      <c r="O143" s="2" t="s">
        <v>829</v>
      </c>
      <c r="P143" s="9" t="e">
        <f>VLOOKUP($O143,'Liste des Villes'!$B$2:$B$1128,1,FALSE)</f>
        <v>#N/A</v>
      </c>
      <c r="Q143" s="9" t="str">
        <f>IFERROR($P143,PROPER(VLOOKUP($O143,'Villes en erreur'!$A$2:$B$72,2,FALSE)))</f>
        <v>Saint-Jérôme</v>
      </c>
      <c r="R143" s="9" t="str">
        <f>IFERROR($P143,PROPER(VLOOKUP($O143,'Villes en erreur'!$A$2:$B$72,2,FALSE)))</f>
        <v>Saint-Jérôme</v>
      </c>
      <c r="S143" s="9" t="str">
        <f>IF(ISBLANK($R143),"",VLOOKUP($R143,'Liste des Villes'!$B$2:$H$1128,4,FALSE))</f>
        <v>Laurentides</v>
      </c>
      <c r="T143" s="2" t="s">
        <v>830</v>
      </c>
      <c r="U143" s="2" t="s">
        <v>39</v>
      </c>
      <c r="V143" s="2" t="s">
        <v>40</v>
      </c>
      <c r="W143" s="2" t="s">
        <v>1052</v>
      </c>
      <c r="X143" s="2"/>
      <c r="Y143" s="2"/>
      <c r="Z143" s="2"/>
      <c r="AA143" s="2" t="s">
        <v>832</v>
      </c>
      <c r="AB143" s="2" t="s">
        <v>73</v>
      </c>
      <c r="AC143" s="4" t="s">
        <v>44</v>
      </c>
    </row>
    <row r="144" spans="1:29" x14ac:dyDescent="0.25">
      <c r="A144" s="1">
        <v>1928</v>
      </c>
      <c r="B144" s="17" t="s">
        <v>1053</v>
      </c>
      <c r="C144" s="2" t="s">
        <v>1054</v>
      </c>
      <c r="D144" s="15" t="s">
        <v>1055</v>
      </c>
      <c r="E144" s="9" t="s">
        <v>1056</v>
      </c>
      <c r="F144" s="9" t="s">
        <v>1057</v>
      </c>
      <c r="G144" s="9" t="s">
        <v>101</v>
      </c>
      <c r="H144" s="2" t="s">
        <v>35</v>
      </c>
      <c r="I144" s="3">
        <v>32961</v>
      </c>
      <c r="J144" s="9" t="str">
        <f t="shared" ca="1" si="2"/>
        <v>33 ans</v>
      </c>
      <c r="K144" s="2" t="s">
        <v>36</v>
      </c>
      <c r="L144" s="2" t="str">
        <f>"26"</f>
        <v>26</v>
      </c>
      <c r="M144" s="2"/>
      <c r="N144" s="2" t="str">
        <f>"ALLÉE GUY-GÉRIN-LAJOIE"</f>
        <v>ALLÉE GUY-GÉRIN-LAJOIE</v>
      </c>
      <c r="O144" s="2" t="s">
        <v>37</v>
      </c>
      <c r="P144" s="9" t="e">
        <f>VLOOKUP($O144,'Liste des Villes'!$B$2:$B$1128,1,FALSE)</f>
        <v>#N/A</v>
      </c>
      <c r="Q144" s="9" t="str">
        <f>IFERROR($P144,PROPER(VLOOKUP($O144,'Villes en erreur'!$A$2:$B$72,2,FALSE)))</f>
        <v>Saint-Lin–Laurentides</v>
      </c>
      <c r="R144" s="9" t="str">
        <f>IFERROR($P144,PROPER(VLOOKUP($O144,'Villes en erreur'!$A$2:$B$72,2,FALSE)))</f>
        <v>Saint-Lin–Laurentides</v>
      </c>
      <c r="S144" s="9" t="str">
        <f>IF(ISBLANK($R144),"",VLOOKUP($R144,'Liste des Villes'!$B$2:$H$1128,4,FALSE))</f>
        <v>Lanaudière</v>
      </c>
      <c r="T144" s="2" t="s">
        <v>924</v>
      </c>
      <c r="U144" s="2" t="s">
        <v>39</v>
      </c>
      <c r="V144" s="2" t="s">
        <v>40</v>
      </c>
      <c r="W144" s="2" t="s">
        <v>1058</v>
      </c>
      <c r="X144" s="2"/>
      <c r="Y144" s="2"/>
      <c r="Z144" s="2"/>
      <c r="AA144" s="2" t="s">
        <v>42</v>
      </c>
      <c r="AB144" s="2" t="s">
        <v>43</v>
      </c>
      <c r="AC144" s="4" t="s">
        <v>44</v>
      </c>
    </row>
    <row r="145" spans="1:29" x14ac:dyDescent="0.25">
      <c r="A145" s="1">
        <v>4215</v>
      </c>
      <c r="B145" s="17" t="s">
        <v>1059</v>
      </c>
      <c r="C145" s="2" t="s">
        <v>1060</v>
      </c>
      <c r="D145" s="15" t="s">
        <v>1061</v>
      </c>
      <c r="E145" s="9" t="s">
        <v>1062</v>
      </c>
      <c r="F145" s="9" t="s">
        <v>1063</v>
      </c>
      <c r="G145" s="9" t="s">
        <v>219</v>
      </c>
      <c r="H145" s="2" t="s">
        <v>35</v>
      </c>
      <c r="I145" s="3">
        <v>31306</v>
      </c>
      <c r="J145" s="9" t="str">
        <f t="shared" ca="1" si="2"/>
        <v>37 ans</v>
      </c>
      <c r="K145" s="2" t="s">
        <v>36</v>
      </c>
      <c r="L145" s="2" t="str">
        <f>"14"</f>
        <v>14</v>
      </c>
      <c r="M145" s="2"/>
      <c r="N145" s="2" t="str">
        <f>"27E RUE"</f>
        <v>27E RUE</v>
      </c>
      <c r="O145" s="2" t="s">
        <v>220</v>
      </c>
      <c r="P145" s="9" t="e">
        <f>VLOOKUP($O145,'Liste des Villes'!$B$2:$B$1128,1,FALSE)</f>
        <v>#N/A</v>
      </c>
      <c r="Q145" s="9" t="str">
        <f>IFERROR($P145,PROPER(VLOOKUP($O145,'Villes en erreur'!$A$2:$B$72,2,FALSE)))</f>
        <v>Saint-Jérôme</v>
      </c>
      <c r="R145" s="9" t="str">
        <f>IFERROR($P145,PROPER(VLOOKUP($O145,'Villes en erreur'!$A$2:$B$72,2,FALSE)))</f>
        <v>Saint-Jérôme</v>
      </c>
      <c r="S145" s="9" t="str">
        <f>IF(ISBLANK($R145),"",VLOOKUP($R145,'Liste des Villes'!$B$2:$H$1128,4,FALSE))</f>
        <v>Laurentides</v>
      </c>
      <c r="T145" s="2" t="s">
        <v>1064</v>
      </c>
      <c r="U145" s="2" t="s">
        <v>39</v>
      </c>
      <c r="V145" s="2" t="s">
        <v>40</v>
      </c>
      <c r="W145" s="2" t="s">
        <v>1065</v>
      </c>
      <c r="X145" s="2"/>
      <c r="Y145" s="2"/>
      <c r="Z145" s="2"/>
      <c r="AA145" s="2" t="s">
        <v>149</v>
      </c>
      <c r="AB145" s="2" t="s">
        <v>150</v>
      </c>
      <c r="AC145" s="4" t="s">
        <v>44</v>
      </c>
    </row>
    <row r="146" spans="1:29" x14ac:dyDescent="0.25">
      <c r="A146" s="1">
        <v>3377</v>
      </c>
      <c r="B146" s="17" t="s">
        <v>1066</v>
      </c>
      <c r="C146" s="2" t="s">
        <v>1067</v>
      </c>
      <c r="D146" s="15" t="s">
        <v>1068</v>
      </c>
      <c r="E146" s="9" t="s">
        <v>1069</v>
      </c>
      <c r="F146" s="9" t="s">
        <v>1070</v>
      </c>
      <c r="G146" s="9" t="s">
        <v>305</v>
      </c>
      <c r="H146" s="2" t="s">
        <v>60</v>
      </c>
      <c r="I146" s="3">
        <v>31663</v>
      </c>
      <c r="J146" s="9" t="str">
        <f t="shared" ca="1" si="2"/>
        <v>36 ans</v>
      </c>
      <c r="K146" s="2" t="s">
        <v>36</v>
      </c>
      <c r="L146" s="2" t="str">
        <f>"16"</f>
        <v>16</v>
      </c>
      <c r="M146" s="2"/>
      <c r="N146" s="2" t="str">
        <f>"37E AVENUE"</f>
        <v>37E AVENUE</v>
      </c>
      <c r="O146" s="2" t="s">
        <v>146</v>
      </c>
      <c r="P146" s="9" t="e">
        <f>VLOOKUP($O146,'Liste des Villes'!$B$2:$B$1128,1,FALSE)</f>
        <v>#N/A</v>
      </c>
      <c r="Q146" s="9" t="str">
        <f>IFERROR($P146,PROPER(VLOOKUP($O146,'Villes en erreur'!$A$2:$B$72,2,FALSE)))</f>
        <v>Saint-Jérôme</v>
      </c>
      <c r="R146" s="9" t="str">
        <f>IFERROR($P146,PROPER(VLOOKUP($O146,'Villes en erreur'!$A$2:$B$72,2,FALSE)))</f>
        <v>Saint-Jérôme</v>
      </c>
      <c r="S146" s="9" t="str">
        <f>IF(ISBLANK($R146),"",VLOOKUP($R146,'Liste des Villes'!$B$2:$H$1128,4,FALSE))</f>
        <v>Laurentides</v>
      </c>
      <c r="T146" s="2" t="s">
        <v>1071</v>
      </c>
      <c r="U146" s="2" t="s">
        <v>39</v>
      </c>
      <c r="V146" s="2" t="s">
        <v>40</v>
      </c>
      <c r="W146" s="2" t="s">
        <v>1072</v>
      </c>
      <c r="X146" s="2"/>
      <c r="Y146" s="2"/>
      <c r="Z146" s="2"/>
      <c r="AA146" s="2" t="s">
        <v>149</v>
      </c>
      <c r="AB146" s="2" t="s">
        <v>150</v>
      </c>
      <c r="AC146" s="4" t="s">
        <v>44</v>
      </c>
    </row>
    <row r="147" spans="1:29" x14ac:dyDescent="0.25">
      <c r="A147" s="1">
        <v>2561</v>
      </c>
      <c r="B147" s="17" t="s">
        <v>1073</v>
      </c>
      <c r="C147" s="2" t="s">
        <v>1074</v>
      </c>
      <c r="D147" s="15" t="s">
        <v>839</v>
      </c>
      <c r="E147" s="9" t="s">
        <v>1075</v>
      </c>
      <c r="F147" s="9" t="s">
        <v>1076</v>
      </c>
      <c r="G147" s="9" t="s">
        <v>188</v>
      </c>
      <c r="H147" s="2" t="s">
        <v>60</v>
      </c>
      <c r="I147" s="3">
        <v>36760</v>
      </c>
      <c r="J147" s="9" t="str">
        <f t="shared" ca="1" si="2"/>
        <v>23 ans</v>
      </c>
      <c r="K147" s="2" t="s">
        <v>68</v>
      </c>
      <c r="L147" s="2" t="str">
        <f>"668"</f>
        <v>668</v>
      </c>
      <c r="M147" s="2"/>
      <c r="N147" s="2" t="str">
        <f>"RUE DES DUCS"</f>
        <v>RUE DES DUCS</v>
      </c>
      <c r="O147" s="2" t="s">
        <v>189</v>
      </c>
      <c r="P147" s="9" t="e">
        <f>VLOOKUP($O147,'Liste des Villes'!$B$2:$B$1128,1,FALSE)</f>
        <v>#N/A</v>
      </c>
      <c r="Q147" s="9" t="str">
        <f>IFERROR($P147,PROPER(VLOOKUP($O147,'Villes en erreur'!$A$2:$B$72,2,FALSE)))</f>
        <v>Saint-Donat</v>
      </c>
      <c r="R147" s="9" t="str">
        <f>IFERROR($P147,PROPER(VLOOKUP($O147,'Villes en erreur'!$A$2:$B$72,2,FALSE)))</f>
        <v>Saint-Donat</v>
      </c>
      <c r="S147" s="9" t="str">
        <f>IF(ISBLANK($R147),"",VLOOKUP($R147,'Liste des Villes'!$B$2:$H$1128,4,FALSE))</f>
        <v>Lanaudière</v>
      </c>
      <c r="T147" s="2" t="s">
        <v>1077</v>
      </c>
      <c r="U147" s="2" t="s">
        <v>39</v>
      </c>
      <c r="V147" s="2" t="s">
        <v>40</v>
      </c>
      <c r="W147" s="2" t="s">
        <v>1078</v>
      </c>
      <c r="X147" s="2"/>
      <c r="Y147" s="2"/>
      <c r="Z147" s="2"/>
      <c r="AA147" s="2" t="s">
        <v>72</v>
      </c>
      <c r="AB147" s="2" t="s">
        <v>192</v>
      </c>
      <c r="AC147" s="4" t="s">
        <v>44</v>
      </c>
    </row>
    <row r="148" spans="1:29" x14ac:dyDescent="0.25">
      <c r="A148" s="1">
        <v>867</v>
      </c>
      <c r="B148" s="17" t="s">
        <v>1079</v>
      </c>
      <c r="C148" s="2" t="s">
        <v>194</v>
      </c>
      <c r="D148" s="15" t="s">
        <v>195</v>
      </c>
      <c r="E148" s="9" t="s">
        <v>196</v>
      </c>
      <c r="F148" s="9" t="s">
        <v>1080</v>
      </c>
      <c r="G148" s="9" t="s">
        <v>704</v>
      </c>
      <c r="H148" s="2" t="s">
        <v>60</v>
      </c>
      <c r="I148" s="3">
        <v>37274</v>
      </c>
      <c r="J148" s="9" t="str">
        <f t="shared" ca="1" si="2"/>
        <v>21 ans</v>
      </c>
      <c r="K148" s="2" t="s">
        <v>262</v>
      </c>
      <c r="L148" s="2" t="str">
        <f>"2342"</f>
        <v>2342</v>
      </c>
      <c r="M148" s="2"/>
      <c r="N148" s="2" t="str">
        <f>"RUE LOUIS-RITCHIE"</f>
        <v>RUE LOUIS-RITCHIE</v>
      </c>
      <c r="O148" s="2" t="s">
        <v>705</v>
      </c>
      <c r="P148" s="9" t="e">
        <f>VLOOKUP($O148,'Liste des Villes'!$B$2:$B$1128,1,FALSE)</f>
        <v>#N/A</v>
      </c>
      <c r="Q148" s="9" t="str">
        <f>IFERROR($P148,PROPER(VLOOKUP($O148,'Villes en erreur'!$A$2:$B$72,2,FALSE)))</f>
        <v>Laval</v>
      </c>
      <c r="R148" s="9" t="str">
        <f>IFERROR($P148,PROPER(VLOOKUP($O148,'Villes en erreur'!$A$2:$B$72,2,FALSE)))</f>
        <v>Laval</v>
      </c>
      <c r="S148" s="9" t="str">
        <f>IF(ISBLANK($R148),"",VLOOKUP($R148,'Liste des Villes'!$B$2:$H$1128,4,FALSE))</f>
        <v>Laval</v>
      </c>
      <c r="T148" s="2" t="s">
        <v>1081</v>
      </c>
      <c r="U148" s="2" t="s">
        <v>39</v>
      </c>
      <c r="V148" s="2" t="s">
        <v>40</v>
      </c>
      <c r="W148" s="2" t="s">
        <v>1082</v>
      </c>
      <c r="X148" s="2"/>
      <c r="Y148" s="2"/>
      <c r="Z148" s="2"/>
      <c r="AA148" s="2" t="s">
        <v>708</v>
      </c>
      <c r="AB148" s="2" t="s">
        <v>709</v>
      </c>
      <c r="AC148" s="4" t="s">
        <v>44</v>
      </c>
    </row>
    <row r="149" spans="1:29" x14ac:dyDescent="0.25">
      <c r="A149" s="1">
        <v>2968</v>
      </c>
      <c r="B149" s="17" t="s">
        <v>1083</v>
      </c>
      <c r="C149" s="2" t="s">
        <v>1084</v>
      </c>
      <c r="D149" s="15" t="s">
        <v>1085</v>
      </c>
      <c r="E149" s="9" t="s">
        <v>1086</v>
      </c>
      <c r="F149" s="9" t="s">
        <v>100</v>
      </c>
      <c r="G149" s="9" t="s">
        <v>219</v>
      </c>
      <c r="H149" s="2" t="s">
        <v>35</v>
      </c>
      <c r="I149" s="3">
        <v>31035</v>
      </c>
      <c r="J149" s="9" t="str">
        <f t="shared" ca="1" si="2"/>
        <v>38 ans</v>
      </c>
      <c r="K149" s="2" t="s">
        <v>36</v>
      </c>
      <c r="L149" s="2" t="str">
        <f>"13"</f>
        <v>13</v>
      </c>
      <c r="M149" s="2"/>
      <c r="N149" s="2" t="str">
        <f>"24ème rue"</f>
        <v>24ème rue</v>
      </c>
      <c r="O149" s="2" t="s">
        <v>235</v>
      </c>
      <c r="P149" s="9" t="e">
        <f>VLOOKUP($O149,'Liste des Villes'!$B$2:$B$1128,1,FALSE)</f>
        <v>#N/A</v>
      </c>
      <c r="Q149" s="9" t="str">
        <f>IFERROR($P149,PROPER(VLOOKUP($O149,'Villes en erreur'!$A$2:$B$72,2,FALSE)))</f>
        <v>Saint-Jérôme</v>
      </c>
      <c r="R149" s="9" t="str">
        <f>IFERROR($P149,PROPER(VLOOKUP($O149,'Villes en erreur'!$A$2:$B$72,2,FALSE)))</f>
        <v>Saint-Jérôme</v>
      </c>
      <c r="S149" s="9" t="str">
        <f>IF(ISBLANK($R149),"",VLOOKUP($R149,'Liste des Villes'!$B$2:$H$1128,4,FALSE))</f>
        <v>Laurentides</v>
      </c>
      <c r="T149" s="2" t="s">
        <v>288</v>
      </c>
      <c r="U149" s="2" t="s">
        <v>39</v>
      </c>
      <c r="V149" s="2" t="s">
        <v>40</v>
      </c>
      <c r="W149" s="2" t="s">
        <v>1087</v>
      </c>
      <c r="X149" s="2"/>
      <c r="Y149" s="2"/>
      <c r="Z149" s="2"/>
      <c r="AA149" s="2" t="s">
        <v>149</v>
      </c>
      <c r="AB149" s="2" t="s">
        <v>150</v>
      </c>
      <c r="AC149" s="4" t="s">
        <v>44</v>
      </c>
    </row>
    <row r="150" spans="1:29" x14ac:dyDescent="0.25">
      <c r="A150" s="1">
        <v>3315</v>
      </c>
      <c r="B150" s="17" t="s">
        <v>1088</v>
      </c>
      <c r="C150" s="2" t="s">
        <v>1089</v>
      </c>
      <c r="D150" s="15" t="s">
        <v>1090</v>
      </c>
      <c r="E150" s="9" t="s">
        <v>1091</v>
      </c>
      <c r="F150" s="9" t="s">
        <v>1092</v>
      </c>
      <c r="G150" s="9" t="s">
        <v>167</v>
      </c>
      <c r="H150" s="2" t="s">
        <v>35</v>
      </c>
      <c r="I150" s="3">
        <v>33142</v>
      </c>
      <c r="J150" s="9" t="str">
        <f t="shared" ca="1" si="2"/>
        <v>32 ans</v>
      </c>
      <c r="K150" s="2" t="s">
        <v>36</v>
      </c>
      <c r="L150" s="2" t="str">
        <f>"28"</f>
        <v>28</v>
      </c>
      <c r="M150" s="2"/>
      <c r="N150" s="2" t="str">
        <f>"AV CARTIER"</f>
        <v>AV CARTIER</v>
      </c>
      <c r="O150" s="2" t="s">
        <v>37</v>
      </c>
      <c r="P150" s="9" t="e">
        <f>VLOOKUP($O150,'Liste des Villes'!$B$2:$B$1128,1,FALSE)</f>
        <v>#N/A</v>
      </c>
      <c r="Q150" s="9" t="str">
        <f>IFERROR($P150,PROPER(VLOOKUP($O150,'Villes en erreur'!$A$2:$B$72,2,FALSE)))</f>
        <v>Saint-Lin–Laurentides</v>
      </c>
      <c r="R150" s="9" t="str">
        <f>IFERROR($P150,PROPER(VLOOKUP($O150,'Villes en erreur'!$A$2:$B$72,2,FALSE)))</f>
        <v>Saint-Lin–Laurentides</v>
      </c>
      <c r="S150" s="9" t="str">
        <f>IF(ISBLANK($R150),"",VLOOKUP($R150,'Liste des Villes'!$B$2:$H$1128,4,FALSE))</f>
        <v>Lanaudière</v>
      </c>
      <c r="T150" s="2" t="s">
        <v>38</v>
      </c>
      <c r="U150" s="2" t="s">
        <v>39</v>
      </c>
      <c r="V150" s="2" t="s">
        <v>40</v>
      </c>
      <c r="W150" s="2" t="s">
        <v>1093</v>
      </c>
      <c r="X150" s="2"/>
      <c r="Y150" s="2"/>
      <c r="Z150" s="2"/>
      <c r="AA150" s="2" t="s">
        <v>42</v>
      </c>
      <c r="AB150" s="2" t="s">
        <v>43</v>
      </c>
      <c r="AC150" s="4" t="s">
        <v>44</v>
      </c>
    </row>
    <row r="151" spans="1:29" x14ac:dyDescent="0.25">
      <c r="A151" s="1">
        <v>2840</v>
      </c>
      <c r="B151" s="17" t="s">
        <v>1094</v>
      </c>
      <c r="C151" s="2" t="s">
        <v>1095</v>
      </c>
      <c r="D151" s="15" t="s">
        <v>1096</v>
      </c>
      <c r="E151" s="9" t="s">
        <v>1097</v>
      </c>
      <c r="F151" s="9" t="s">
        <v>1098</v>
      </c>
      <c r="G151" s="9" t="s">
        <v>1099</v>
      </c>
      <c r="H151" s="2" t="s">
        <v>35</v>
      </c>
      <c r="I151" s="3">
        <v>32897</v>
      </c>
      <c r="J151" s="9" t="str">
        <f t="shared" ca="1" si="2"/>
        <v>33 ans</v>
      </c>
      <c r="K151" s="2" t="s">
        <v>36</v>
      </c>
      <c r="L151" s="2" t="str">
        <f>"25"</f>
        <v>25</v>
      </c>
      <c r="M151" s="2"/>
      <c r="N151" s="2" t="str">
        <f>"8E RUE"</f>
        <v>8E RUE</v>
      </c>
      <c r="O151" s="2" t="s">
        <v>37</v>
      </c>
      <c r="P151" s="9" t="e">
        <f>VLOOKUP($O151,'Liste des Villes'!$B$2:$B$1128,1,FALSE)</f>
        <v>#N/A</v>
      </c>
      <c r="Q151" s="9" t="str">
        <f>IFERROR($P151,PROPER(VLOOKUP($O151,'Villes en erreur'!$A$2:$B$72,2,FALSE)))</f>
        <v>Saint-Lin–Laurentides</v>
      </c>
      <c r="R151" s="9" t="str">
        <f>IFERROR($P151,PROPER(VLOOKUP($O151,'Villes en erreur'!$A$2:$B$72,2,FALSE)))</f>
        <v>Saint-Lin–Laurentides</v>
      </c>
      <c r="S151" s="9" t="str">
        <f>IF(ISBLANK($R151),"",VLOOKUP($R151,'Liste des Villes'!$B$2:$H$1128,4,FALSE))</f>
        <v>Lanaudière</v>
      </c>
      <c r="T151" s="2" t="s">
        <v>1100</v>
      </c>
      <c r="U151" s="2" t="s">
        <v>39</v>
      </c>
      <c r="V151" s="2" t="s">
        <v>40</v>
      </c>
      <c r="W151" s="2" t="s">
        <v>1101</v>
      </c>
      <c r="X151" s="2"/>
      <c r="Y151" s="2"/>
      <c r="Z151" s="2"/>
      <c r="AA151" s="2" t="s">
        <v>42</v>
      </c>
      <c r="AB151" s="2" t="s">
        <v>282</v>
      </c>
      <c r="AC151" s="4" t="s">
        <v>44</v>
      </c>
    </row>
    <row r="152" spans="1:29" x14ac:dyDescent="0.25">
      <c r="A152" s="1">
        <v>1586</v>
      </c>
      <c r="B152" s="17" t="s">
        <v>1102</v>
      </c>
      <c r="C152" s="2" t="s">
        <v>1103</v>
      </c>
      <c r="D152" s="15" t="s">
        <v>1104</v>
      </c>
      <c r="E152" s="9" t="s">
        <v>277</v>
      </c>
      <c r="F152" s="9" t="s">
        <v>1105</v>
      </c>
      <c r="G152" s="9" t="s">
        <v>1106</v>
      </c>
      <c r="H152" s="2" t="s">
        <v>60</v>
      </c>
      <c r="I152" s="3">
        <v>33501</v>
      </c>
      <c r="J152" s="9" t="str">
        <f t="shared" ca="1" si="2"/>
        <v>31 ans</v>
      </c>
      <c r="K152" s="2" t="s">
        <v>36</v>
      </c>
      <c r="L152" s="2" t="str">
        <f>"35"</f>
        <v>35</v>
      </c>
      <c r="M152" s="2"/>
      <c r="N152" s="2" t="str">
        <f>"AV MORGAN"</f>
        <v>AV MORGAN</v>
      </c>
      <c r="O152" s="2" t="s">
        <v>51</v>
      </c>
      <c r="P152" s="9" t="e">
        <f>VLOOKUP($O152,'Liste des Villes'!$B$2:$B$1128,1,FALSE)</f>
        <v>#N/A</v>
      </c>
      <c r="Q152" s="9" t="str">
        <f>IFERROR($P152,PROPER(VLOOKUP($O152,'Villes en erreur'!$A$2:$B$72,2,FALSE)))</f>
        <v>Saint-Lin–Laurentides</v>
      </c>
      <c r="R152" s="9" t="str">
        <f>IFERROR($P152,PROPER(VLOOKUP($O152,'Villes en erreur'!$A$2:$B$72,2,FALSE)))</f>
        <v>Saint-Lin–Laurentides</v>
      </c>
      <c r="S152" s="9" t="str">
        <f>IF(ISBLANK($R152),"",VLOOKUP($R152,'Liste des Villes'!$B$2:$H$1128,4,FALSE))</f>
        <v>Lanaudière</v>
      </c>
      <c r="T152" s="2" t="s">
        <v>38</v>
      </c>
      <c r="U152" s="2" t="s">
        <v>39</v>
      </c>
      <c r="V152" s="2" t="s">
        <v>40</v>
      </c>
      <c r="W152" s="2" t="s">
        <v>1107</v>
      </c>
      <c r="X152" s="2"/>
      <c r="Y152" s="2"/>
      <c r="Z152" s="2"/>
      <c r="AA152" s="2" t="s">
        <v>213</v>
      </c>
      <c r="AB152" s="2" t="s">
        <v>53</v>
      </c>
      <c r="AC152" s="4" t="s">
        <v>44</v>
      </c>
    </row>
    <row r="153" spans="1:29" x14ac:dyDescent="0.25">
      <c r="A153" s="1">
        <v>569</v>
      </c>
      <c r="B153" s="17" t="s">
        <v>1108</v>
      </c>
      <c r="C153" s="2" t="s">
        <v>177</v>
      </c>
      <c r="D153" s="15" t="s">
        <v>178</v>
      </c>
      <c r="E153" s="9" t="s">
        <v>179</v>
      </c>
      <c r="F153" s="9" t="s">
        <v>1109</v>
      </c>
      <c r="G153" s="9" t="s">
        <v>59</v>
      </c>
      <c r="H153" s="2" t="s">
        <v>60</v>
      </c>
      <c r="I153" s="3">
        <v>33475</v>
      </c>
      <c r="J153" s="9" t="str">
        <f t="shared" ca="1" si="2"/>
        <v>32 ans</v>
      </c>
      <c r="K153" s="2" t="s">
        <v>36</v>
      </c>
      <c r="L153" s="2" t="str">
        <f>"34"</f>
        <v>34</v>
      </c>
      <c r="M153" s="2"/>
      <c r="N153" s="2" t="str">
        <f>"AV HAMFORD"</f>
        <v>AV HAMFORD</v>
      </c>
      <c r="O153" s="2" t="s">
        <v>51</v>
      </c>
      <c r="P153" s="9" t="e">
        <f>VLOOKUP($O153,'Liste des Villes'!$B$2:$B$1128,1,FALSE)</f>
        <v>#N/A</v>
      </c>
      <c r="Q153" s="9" t="str">
        <f>IFERROR($P153,PROPER(VLOOKUP($O153,'Villes en erreur'!$A$2:$B$72,2,FALSE)))</f>
        <v>Saint-Lin–Laurentides</v>
      </c>
      <c r="R153" s="9" t="str">
        <f>IFERROR($P153,PROPER(VLOOKUP($O153,'Villes en erreur'!$A$2:$B$72,2,FALSE)))</f>
        <v>Saint-Lin–Laurentides</v>
      </c>
      <c r="S153" s="9" t="str">
        <f>IF(ISBLANK($R153),"",VLOOKUP($R153,'Liste des Villes'!$B$2:$H$1128,4,FALSE))</f>
        <v>Lanaudière</v>
      </c>
      <c r="T153" s="2" t="s">
        <v>38</v>
      </c>
      <c r="U153" s="2" t="s">
        <v>39</v>
      </c>
      <c r="V153" s="2" t="s">
        <v>40</v>
      </c>
      <c r="W153" s="2" t="s">
        <v>1110</v>
      </c>
      <c r="X153" s="2"/>
      <c r="Y153" s="2"/>
      <c r="Z153" s="2"/>
      <c r="AA153" s="2" t="s">
        <v>42</v>
      </c>
      <c r="AB153" s="2" t="s">
        <v>53</v>
      </c>
      <c r="AC153" s="4" t="s">
        <v>44</v>
      </c>
    </row>
    <row r="154" spans="1:29" x14ac:dyDescent="0.25">
      <c r="A154" s="1">
        <v>3887</v>
      </c>
      <c r="B154" s="17" t="s">
        <v>1111</v>
      </c>
      <c r="C154" s="2" t="s">
        <v>1112</v>
      </c>
      <c r="D154" s="15" t="s">
        <v>1113</v>
      </c>
      <c r="E154" s="9" t="s">
        <v>1024</v>
      </c>
      <c r="F154" s="9" t="s">
        <v>1025</v>
      </c>
      <c r="G154" s="9" t="s">
        <v>101</v>
      </c>
      <c r="H154" s="2" t="s">
        <v>35</v>
      </c>
      <c r="I154" s="3">
        <v>33087</v>
      </c>
      <c r="J154" s="9" t="str">
        <f t="shared" ca="1" si="2"/>
        <v>33 ans</v>
      </c>
      <c r="K154" s="2" t="s">
        <v>36</v>
      </c>
      <c r="L154" s="2" t="str">
        <f>"27"</f>
        <v>27</v>
      </c>
      <c r="M154" s="2"/>
      <c r="N154" s="2" t="str">
        <f>"AV BOURASSA"</f>
        <v>AV BOURASSA</v>
      </c>
      <c r="O154" s="2" t="s">
        <v>37</v>
      </c>
      <c r="P154" s="9" t="e">
        <f>VLOOKUP($O154,'Liste des Villes'!$B$2:$B$1128,1,FALSE)</f>
        <v>#N/A</v>
      </c>
      <c r="Q154" s="9" t="str">
        <f>IFERROR($P154,PROPER(VLOOKUP($O154,'Villes en erreur'!$A$2:$B$72,2,FALSE)))</f>
        <v>Saint-Lin–Laurentides</v>
      </c>
      <c r="R154" s="9" t="str">
        <f>IFERROR($P154,PROPER(VLOOKUP($O154,'Villes en erreur'!$A$2:$B$72,2,FALSE)))</f>
        <v>Saint-Lin–Laurentides</v>
      </c>
      <c r="S154" s="9" t="str">
        <f>IF(ISBLANK($R154),"",VLOOKUP($R154,'Liste des Villes'!$B$2:$H$1128,4,FALSE))</f>
        <v>Lanaudière</v>
      </c>
      <c r="T154" s="2" t="s">
        <v>38</v>
      </c>
      <c r="U154" s="2" t="s">
        <v>39</v>
      </c>
      <c r="V154" s="2" t="s">
        <v>40</v>
      </c>
      <c r="W154" s="2" t="s">
        <v>1114</v>
      </c>
      <c r="X154" s="2"/>
      <c r="Y154" s="2"/>
      <c r="Z154" s="2"/>
      <c r="AA154" s="2" t="s">
        <v>42</v>
      </c>
      <c r="AB154" s="2" t="s">
        <v>43</v>
      </c>
      <c r="AC154" s="4" t="s">
        <v>44</v>
      </c>
    </row>
    <row r="155" spans="1:29" x14ac:dyDescent="0.25">
      <c r="A155" s="1">
        <v>2710</v>
      </c>
      <c r="B155" s="17" t="s">
        <v>1115</v>
      </c>
      <c r="C155" s="2" t="s">
        <v>1116</v>
      </c>
      <c r="D155" s="15" t="s">
        <v>1117</v>
      </c>
      <c r="E155" s="9" t="s">
        <v>1118</v>
      </c>
      <c r="F155" s="9" t="s">
        <v>1119</v>
      </c>
      <c r="G155" s="9" t="s">
        <v>1120</v>
      </c>
      <c r="H155" s="2" t="s">
        <v>60</v>
      </c>
      <c r="I155" s="3">
        <v>36765</v>
      </c>
      <c r="J155" s="9" t="str">
        <f t="shared" ca="1" si="2"/>
        <v>22 ans</v>
      </c>
      <c r="K155" s="2" t="s">
        <v>68</v>
      </c>
      <c r="L155" s="2" t="str">
        <f>"675"</f>
        <v>675</v>
      </c>
      <c r="M155" s="2"/>
      <c r="N155" s="2" t="str">
        <f>"RUE DES ÉCUS"</f>
        <v>RUE DES ÉCUS</v>
      </c>
      <c r="O155" s="2" t="s">
        <v>189</v>
      </c>
      <c r="P155" s="9" t="e">
        <f>VLOOKUP($O155,'Liste des Villes'!$B$2:$B$1128,1,FALSE)</f>
        <v>#N/A</v>
      </c>
      <c r="Q155" s="9" t="str">
        <f>IFERROR($P155,PROPER(VLOOKUP($O155,'Villes en erreur'!$A$2:$B$72,2,FALSE)))</f>
        <v>Saint-Donat</v>
      </c>
      <c r="R155" s="9" t="str">
        <f>IFERROR($P155,PROPER(VLOOKUP($O155,'Villes en erreur'!$A$2:$B$72,2,FALSE)))</f>
        <v>Saint-Donat</v>
      </c>
      <c r="S155" s="9" t="str">
        <f>IF(ISBLANK($R155),"",VLOOKUP($R155,'Liste des Villes'!$B$2:$H$1128,4,FALSE))</f>
        <v>Lanaudière</v>
      </c>
      <c r="T155" s="2" t="s">
        <v>1121</v>
      </c>
      <c r="U155" s="2" t="s">
        <v>39</v>
      </c>
      <c r="V155" s="2" t="s">
        <v>40</v>
      </c>
      <c r="W155" s="2" t="s">
        <v>1122</v>
      </c>
      <c r="X155" s="2"/>
      <c r="Y155" s="2"/>
      <c r="Z155" s="2"/>
      <c r="AA155" s="2" t="s">
        <v>72</v>
      </c>
      <c r="AB155" s="2" t="s">
        <v>192</v>
      </c>
      <c r="AC155" s="4" t="s">
        <v>44</v>
      </c>
    </row>
    <row r="156" spans="1:29" x14ac:dyDescent="0.25">
      <c r="A156" s="1">
        <v>3772</v>
      </c>
      <c r="B156" s="17" t="s">
        <v>1123</v>
      </c>
      <c r="C156" s="2" t="s">
        <v>1124</v>
      </c>
      <c r="D156" s="15" t="s">
        <v>1125</v>
      </c>
      <c r="E156" s="9" t="s">
        <v>1126</v>
      </c>
      <c r="F156" s="9" t="s">
        <v>1127</v>
      </c>
      <c r="G156" s="9" t="s">
        <v>1128</v>
      </c>
      <c r="H156" s="2" t="s">
        <v>60</v>
      </c>
      <c r="I156" s="3">
        <v>31484</v>
      </c>
      <c r="J156" s="9" t="str">
        <f t="shared" ca="1" si="2"/>
        <v>37 ans</v>
      </c>
      <c r="K156" s="2" t="s">
        <v>36</v>
      </c>
      <c r="L156" s="2" t="str">
        <f>"15"</f>
        <v>15</v>
      </c>
      <c r="M156" s="2"/>
      <c r="N156" s="2" t="str">
        <f>"2E RANG"</f>
        <v>2E RANG</v>
      </c>
      <c r="O156" s="2" t="s">
        <v>1129</v>
      </c>
      <c r="P156" s="9" t="e">
        <f>VLOOKUP($O156,'Liste des Villes'!$B$2:$B$1128,1,FALSE)</f>
        <v>#N/A</v>
      </c>
      <c r="Q156" s="9" t="str">
        <f>IFERROR($P156,PROPER(VLOOKUP($O156,'Villes en erreur'!$A$2:$B$72,2,FALSE)))</f>
        <v>Sainte-Thérèse</v>
      </c>
      <c r="R156" s="9" t="str">
        <f>IFERROR($P156,PROPER(VLOOKUP($O156,'Villes en erreur'!$A$2:$B$72,2,FALSE)))</f>
        <v>Sainte-Thérèse</v>
      </c>
      <c r="S156" s="9" t="str">
        <f>IF(ISBLANK($R156),"",VLOOKUP($R156,'Liste des Villes'!$B$2:$H$1128,4,FALSE))</f>
        <v>Laurentides</v>
      </c>
      <c r="T156" s="2" t="s">
        <v>1130</v>
      </c>
      <c r="U156" s="2" t="s">
        <v>39</v>
      </c>
      <c r="V156" s="2" t="s">
        <v>40</v>
      </c>
      <c r="W156" s="2" t="s">
        <v>1131</v>
      </c>
      <c r="X156" s="2"/>
      <c r="Y156" s="2"/>
      <c r="Z156" s="2"/>
      <c r="AA156" s="2" t="s">
        <v>149</v>
      </c>
      <c r="AB156" s="2" t="s">
        <v>150</v>
      </c>
      <c r="AC156" s="4" t="s">
        <v>44</v>
      </c>
    </row>
    <row r="157" spans="1:29" x14ac:dyDescent="0.25">
      <c r="A157" s="1">
        <v>1754</v>
      </c>
      <c r="B157" s="17" t="s">
        <v>1132</v>
      </c>
      <c r="C157" s="2" t="s">
        <v>1133</v>
      </c>
      <c r="D157" s="15" t="s">
        <v>1134</v>
      </c>
      <c r="E157" s="9" t="s">
        <v>1135</v>
      </c>
      <c r="F157" s="9" t="s">
        <v>1136</v>
      </c>
      <c r="G157" s="9" t="s">
        <v>570</v>
      </c>
      <c r="H157" s="2" t="s">
        <v>60</v>
      </c>
      <c r="I157" s="3">
        <v>36759</v>
      </c>
      <c r="J157" s="9" t="str">
        <f t="shared" ca="1" si="2"/>
        <v>23 ans</v>
      </c>
      <c r="K157" s="2" t="s">
        <v>68</v>
      </c>
      <c r="L157" s="2" t="str">
        <f>"665"</f>
        <v>665</v>
      </c>
      <c r="M157" s="2"/>
      <c r="N157" s="2" t="str">
        <f>"RUE DES DOUBLONS"</f>
        <v>RUE DES DOUBLONS</v>
      </c>
      <c r="O157" s="2" t="s">
        <v>1137</v>
      </c>
      <c r="P157" s="9" t="e">
        <f>VLOOKUP($O157,'Liste des Villes'!$B$2:$B$1128,1,FALSE)</f>
        <v>#N/A</v>
      </c>
      <c r="Q157" s="9" t="str">
        <f>IFERROR($P157,PROPER(VLOOKUP($O157,'Villes en erreur'!$A$2:$B$72,2,FALSE)))</f>
        <v>Sainte-Marguerite-Du-Lac-Masson</v>
      </c>
      <c r="R157" s="9" t="str">
        <f>IFERROR($P157,PROPER(VLOOKUP($O157,'Villes en erreur'!$A$2:$B$72,2,FALSE)))</f>
        <v>Sainte-Marguerite-Du-Lac-Masson</v>
      </c>
      <c r="S157" s="9" t="str">
        <f>IF(ISBLANK($R157),"",VLOOKUP($R157,'Liste des Villes'!$B$2:$H$1128,4,FALSE))</f>
        <v>Laurentides</v>
      </c>
      <c r="T157" s="2" t="s">
        <v>1138</v>
      </c>
      <c r="U157" s="2" t="s">
        <v>39</v>
      </c>
      <c r="V157" s="2" t="s">
        <v>40</v>
      </c>
      <c r="W157" s="2" t="s">
        <v>1139</v>
      </c>
      <c r="X157" s="2"/>
      <c r="Y157" s="2"/>
      <c r="Z157" s="2"/>
      <c r="AA157" s="2" t="s">
        <v>72</v>
      </c>
      <c r="AB157" s="2" t="s">
        <v>192</v>
      </c>
      <c r="AC157" s="4" t="s">
        <v>44</v>
      </c>
    </row>
    <row r="158" spans="1:29" x14ac:dyDescent="0.25">
      <c r="A158" s="1">
        <v>547</v>
      </c>
      <c r="B158" s="17" t="s">
        <v>1140</v>
      </c>
      <c r="C158" s="2" t="s">
        <v>786</v>
      </c>
      <c r="D158" s="15" t="s">
        <v>750</v>
      </c>
      <c r="E158" s="9" t="s">
        <v>787</v>
      </c>
      <c r="F158" s="9" t="s">
        <v>1141</v>
      </c>
      <c r="G158" s="9" t="s">
        <v>122</v>
      </c>
      <c r="H158" s="2" t="s">
        <v>35</v>
      </c>
      <c r="I158" s="3">
        <v>36354</v>
      </c>
      <c r="J158" s="9" t="str">
        <f t="shared" ca="1" si="2"/>
        <v>24 ans</v>
      </c>
      <c r="K158" s="2" t="s">
        <v>123</v>
      </c>
      <c r="L158" s="2" t="str">
        <f>"319"</f>
        <v>319</v>
      </c>
      <c r="M158" s="2"/>
      <c r="N158" s="2" t="str">
        <f>"RUE CHAMPÊTRE"</f>
        <v>RUE CHAMPÊTRE</v>
      </c>
      <c r="O158" s="2" t="s">
        <v>124</v>
      </c>
      <c r="P158" s="9" t="e">
        <f>VLOOKUP($O158,'Liste des Villes'!$B$2:$B$1128,1,FALSE)</f>
        <v>#N/A</v>
      </c>
      <c r="Q158" s="9" t="str">
        <f>IFERROR($P158,PROPER(VLOOKUP($O158,'Villes en erreur'!$A$2:$B$72,2,FALSE)))</f>
        <v>Saint-Faustin–Lac-Carré</v>
      </c>
      <c r="R158" s="9" t="str">
        <f>IFERROR($P158,PROPER(VLOOKUP($O158,'Villes en erreur'!$A$2:$B$72,2,FALSE)))</f>
        <v>Saint-Faustin–Lac-Carré</v>
      </c>
      <c r="S158" s="9" t="str">
        <f>IF(ISBLANK($R158),"",VLOOKUP($R158,'Liste des Villes'!$B$2:$H$1128,4,FALSE))</f>
        <v>Laurentides</v>
      </c>
      <c r="T158" s="2" t="s">
        <v>174</v>
      </c>
      <c r="U158" s="2" t="s">
        <v>39</v>
      </c>
      <c r="V158" s="2" t="s">
        <v>40</v>
      </c>
      <c r="W158" s="2" t="s">
        <v>1142</v>
      </c>
      <c r="X158" s="2"/>
      <c r="Y158" s="2"/>
      <c r="Z158" s="2"/>
      <c r="AA158" s="2" t="s">
        <v>127</v>
      </c>
      <c r="AB158" s="2" t="s">
        <v>73</v>
      </c>
      <c r="AC158" s="4" t="s">
        <v>44</v>
      </c>
    </row>
    <row r="159" spans="1:29" x14ac:dyDescent="0.25">
      <c r="A159" s="1">
        <v>3279</v>
      </c>
      <c r="B159" s="17" t="s">
        <v>1143</v>
      </c>
      <c r="C159" s="2" t="s">
        <v>1144</v>
      </c>
      <c r="D159" s="15" t="s">
        <v>1145</v>
      </c>
      <c r="E159" s="9" t="s">
        <v>495</v>
      </c>
      <c r="F159" s="9" t="s">
        <v>1146</v>
      </c>
      <c r="G159" s="9" t="s">
        <v>101</v>
      </c>
      <c r="H159" s="2" t="s">
        <v>35</v>
      </c>
      <c r="I159" s="3">
        <v>32952</v>
      </c>
      <c r="J159" s="9" t="str">
        <f t="shared" ca="1" si="2"/>
        <v>33 ans</v>
      </c>
      <c r="K159" s="2" t="s">
        <v>36</v>
      </c>
      <c r="L159" s="2" t="str">
        <f>"26"</f>
        <v>26</v>
      </c>
      <c r="M159" s="2"/>
      <c r="N159" s="2" t="str">
        <f>"ALARY"</f>
        <v>ALARY</v>
      </c>
      <c r="O159" s="2" t="s">
        <v>37</v>
      </c>
      <c r="P159" s="9" t="e">
        <f>VLOOKUP($O159,'Liste des Villes'!$B$2:$B$1128,1,FALSE)</f>
        <v>#N/A</v>
      </c>
      <c r="Q159" s="9" t="str">
        <f>IFERROR($P159,PROPER(VLOOKUP($O159,'Villes en erreur'!$A$2:$B$72,2,FALSE)))</f>
        <v>Saint-Lin–Laurentides</v>
      </c>
      <c r="R159" s="9" t="str">
        <f>IFERROR($P159,PROPER(VLOOKUP($O159,'Villes en erreur'!$A$2:$B$72,2,FALSE)))</f>
        <v>Saint-Lin–Laurentides</v>
      </c>
      <c r="S159" s="9" t="str">
        <f>IF(ISBLANK($R159),"",VLOOKUP($R159,'Liste des Villes'!$B$2:$H$1128,4,FALSE))</f>
        <v>Lanaudière</v>
      </c>
      <c r="T159" s="2" t="s">
        <v>924</v>
      </c>
      <c r="U159" s="2" t="s">
        <v>39</v>
      </c>
      <c r="V159" s="2" t="s">
        <v>40</v>
      </c>
      <c r="W159" s="2" t="s">
        <v>1147</v>
      </c>
      <c r="X159" s="2"/>
      <c r="Y159" s="2"/>
      <c r="Z159" s="2"/>
      <c r="AA159" s="2" t="s">
        <v>42</v>
      </c>
      <c r="AB159" s="2" t="s">
        <v>43</v>
      </c>
      <c r="AC159" s="4" t="s">
        <v>44</v>
      </c>
    </row>
    <row r="160" spans="1:29" x14ac:dyDescent="0.25">
      <c r="A160" s="1">
        <v>2309</v>
      </c>
      <c r="B160" s="17" t="s">
        <v>1148</v>
      </c>
      <c r="C160" s="2" t="s">
        <v>1149</v>
      </c>
      <c r="D160" s="15" t="s">
        <v>1150</v>
      </c>
      <c r="E160" s="9" t="s">
        <v>1151</v>
      </c>
      <c r="F160" s="9" t="s">
        <v>1152</v>
      </c>
      <c r="G160" s="9" t="s">
        <v>87</v>
      </c>
      <c r="H160" s="2" t="s">
        <v>60</v>
      </c>
      <c r="I160" s="3">
        <v>33299</v>
      </c>
      <c r="J160" s="9" t="str">
        <f t="shared" ca="1" si="2"/>
        <v>32 ans</v>
      </c>
      <c r="K160" s="2" t="s">
        <v>36</v>
      </c>
      <c r="L160" s="2" t="str">
        <f>"31"</f>
        <v>31</v>
      </c>
      <c r="M160" s="2"/>
      <c r="N160" s="2" t="str">
        <f>"AV DES MARQUISATS"</f>
        <v>AV DES MARQUISATS</v>
      </c>
      <c r="O160" s="2" t="s">
        <v>37</v>
      </c>
      <c r="P160" s="9" t="e">
        <f>VLOOKUP($O160,'Liste des Villes'!$B$2:$B$1128,1,FALSE)</f>
        <v>#N/A</v>
      </c>
      <c r="Q160" s="9" t="str">
        <f>IFERROR($P160,PROPER(VLOOKUP($O160,'Villes en erreur'!$A$2:$B$72,2,FALSE)))</f>
        <v>Saint-Lin–Laurentides</v>
      </c>
      <c r="R160" s="9" t="str">
        <f>IFERROR($P160,PROPER(VLOOKUP($O160,'Villes en erreur'!$A$2:$B$72,2,FALSE)))</f>
        <v>Saint-Lin–Laurentides</v>
      </c>
      <c r="S160" s="9" t="str">
        <f>IF(ISBLANK($R160),"",VLOOKUP($R160,'Liste des Villes'!$B$2:$H$1128,4,FALSE))</f>
        <v>Lanaudière</v>
      </c>
      <c r="T160" s="2" t="s">
        <v>38</v>
      </c>
      <c r="U160" s="2" t="s">
        <v>39</v>
      </c>
      <c r="V160" s="2" t="s">
        <v>40</v>
      </c>
      <c r="W160" s="2" t="s">
        <v>1153</v>
      </c>
      <c r="X160" s="2"/>
      <c r="Y160" s="2"/>
      <c r="Z160" s="2"/>
      <c r="AA160" s="2" t="s">
        <v>42</v>
      </c>
      <c r="AB160" s="2" t="s">
        <v>53</v>
      </c>
      <c r="AC160" s="4" t="s">
        <v>44</v>
      </c>
    </row>
    <row r="161" spans="1:29" x14ac:dyDescent="0.25">
      <c r="A161" s="1">
        <v>2683</v>
      </c>
      <c r="B161" s="17" t="s">
        <v>1154</v>
      </c>
      <c r="C161" s="2" t="s">
        <v>1155</v>
      </c>
      <c r="D161" s="15" t="s">
        <v>1156</v>
      </c>
      <c r="E161" s="9" t="s">
        <v>137</v>
      </c>
      <c r="F161" s="9" t="s">
        <v>1157</v>
      </c>
      <c r="G161" s="9" t="s">
        <v>59</v>
      </c>
      <c r="H161" s="2" t="s">
        <v>60</v>
      </c>
      <c r="I161" s="3">
        <v>33425</v>
      </c>
      <c r="J161" s="9" t="str">
        <f t="shared" ca="1" si="2"/>
        <v>32 ans</v>
      </c>
      <c r="K161" s="2" t="s">
        <v>36</v>
      </c>
      <c r="L161" s="2" t="str">
        <f>"33"</f>
        <v>33</v>
      </c>
      <c r="M161" s="2"/>
      <c r="N161" s="2" t="str">
        <f>"AV FÉLIX-LECLERC"</f>
        <v>AV FÉLIX-LECLERC</v>
      </c>
      <c r="O161" s="2" t="s">
        <v>51</v>
      </c>
      <c r="P161" s="9" t="e">
        <f>VLOOKUP($O161,'Liste des Villes'!$B$2:$B$1128,1,FALSE)</f>
        <v>#N/A</v>
      </c>
      <c r="Q161" s="9" t="str">
        <f>IFERROR($P161,PROPER(VLOOKUP($O161,'Villes en erreur'!$A$2:$B$72,2,FALSE)))</f>
        <v>Saint-Lin–Laurentides</v>
      </c>
      <c r="R161" s="9" t="str">
        <f>IFERROR($P161,PROPER(VLOOKUP($O161,'Villes en erreur'!$A$2:$B$72,2,FALSE)))</f>
        <v>Saint-Lin–Laurentides</v>
      </c>
      <c r="S161" s="9" t="str">
        <f>IF(ISBLANK($R161),"",VLOOKUP($R161,'Liste des Villes'!$B$2:$H$1128,4,FALSE))</f>
        <v>Lanaudière</v>
      </c>
      <c r="T161" s="2" t="s">
        <v>38</v>
      </c>
      <c r="U161" s="2" t="s">
        <v>39</v>
      </c>
      <c r="V161" s="2" t="s">
        <v>40</v>
      </c>
      <c r="W161" s="2" t="s">
        <v>1158</v>
      </c>
      <c r="X161" s="2"/>
      <c r="Y161" s="2"/>
      <c r="Z161" s="2"/>
      <c r="AA161" s="2" t="s">
        <v>42</v>
      </c>
      <c r="AB161" s="2" t="s">
        <v>53</v>
      </c>
      <c r="AC161" s="4" t="s">
        <v>44</v>
      </c>
    </row>
    <row r="162" spans="1:29" x14ac:dyDescent="0.25">
      <c r="A162" s="1">
        <v>1637</v>
      </c>
      <c r="B162" s="17" t="s">
        <v>1159</v>
      </c>
      <c r="C162" s="2" t="s">
        <v>1160</v>
      </c>
      <c r="D162" s="15" t="s">
        <v>1161</v>
      </c>
      <c r="E162" s="9" t="s">
        <v>1162</v>
      </c>
      <c r="F162" s="9" t="s">
        <v>1163</v>
      </c>
      <c r="G162" s="9" t="s">
        <v>101</v>
      </c>
      <c r="H162" s="2" t="s">
        <v>35</v>
      </c>
      <c r="I162" s="3">
        <v>32978</v>
      </c>
      <c r="J162" s="9" t="str">
        <f t="shared" ca="1" si="2"/>
        <v>33 ans</v>
      </c>
      <c r="K162" s="2" t="s">
        <v>36</v>
      </c>
      <c r="L162" s="2" t="str">
        <f>"27"</f>
        <v>27</v>
      </c>
      <c r="M162" s="2"/>
      <c r="N162" s="2" t="str">
        <f>"André-Prévost"</f>
        <v>André-Prévost</v>
      </c>
      <c r="O162" s="2" t="s">
        <v>37</v>
      </c>
      <c r="P162" s="9" t="e">
        <f>VLOOKUP($O162,'Liste des Villes'!$B$2:$B$1128,1,FALSE)</f>
        <v>#N/A</v>
      </c>
      <c r="Q162" s="9" t="str">
        <f>IFERROR($P162,PROPER(VLOOKUP($O162,'Villes en erreur'!$A$2:$B$72,2,FALSE)))</f>
        <v>Saint-Lin–Laurentides</v>
      </c>
      <c r="R162" s="9" t="str">
        <f>IFERROR($P162,PROPER(VLOOKUP($O162,'Villes en erreur'!$A$2:$B$72,2,FALSE)))</f>
        <v>Saint-Lin–Laurentides</v>
      </c>
      <c r="S162" s="9" t="str">
        <f>IF(ISBLANK($R162),"",VLOOKUP($R162,'Liste des Villes'!$B$2:$H$1128,4,FALSE))</f>
        <v>Lanaudière</v>
      </c>
      <c r="T162" s="2" t="s">
        <v>38</v>
      </c>
      <c r="U162" s="2" t="s">
        <v>39</v>
      </c>
      <c r="V162" s="2" t="s">
        <v>40</v>
      </c>
      <c r="W162" s="2" t="s">
        <v>1164</v>
      </c>
      <c r="X162" s="2"/>
      <c r="Y162" s="2"/>
      <c r="Z162" s="2"/>
      <c r="AA162" s="2" t="s">
        <v>42</v>
      </c>
      <c r="AB162" s="2" t="s">
        <v>43</v>
      </c>
      <c r="AC162" s="4" t="s">
        <v>44</v>
      </c>
    </row>
    <row r="163" spans="1:29" x14ac:dyDescent="0.25">
      <c r="A163" s="1">
        <v>3084</v>
      </c>
      <c r="B163" s="17" t="s">
        <v>1165</v>
      </c>
      <c r="C163" s="2" t="s">
        <v>1166</v>
      </c>
      <c r="D163" s="15" t="s">
        <v>1167</v>
      </c>
      <c r="E163" s="9" t="s">
        <v>1168</v>
      </c>
      <c r="F163" s="9" t="s">
        <v>1169</v>
      </c>
      <c r="G163" s="9" t="s">
        <v>405</v>
      </c>
      <c r="H163" s="2" t="s">
        <v>60</v>
      </c>
      <c r="I163" s="3">
        <v>31612</v>
      </c>
      <c r="J163" s="9" t="str">
        <f t="shared" ca="1" si="2"/>
        <v>37 ans</v>
      </c>
      <c r="K163" s="2" t="s">
        <v>36</v>
      </c>
      <c r="L163" s="2" t="str">
        <f>"15"</f>
        <v>15</v>
      </c>
      <c r="M163" s="2"/>
      <c r="N163" s="2" t="str">
        <f>"35E AVENUE EST"</f>
        <v>35E AVENUE EST</v>
      </c>
      <c r="O163" s="2" t="s">
        <v>1170</v>
      </c>
      <c r="P163" s="9" t="e">
        <f>VLOOKUP($O163,'Liste des Villes'!$B$2:$B$1128,1,FALSE)</f>
        <v>#N/A</v>
      </c>
      <c r="Q163" s="9" t="str">
        <f>IFERROR($P163,PROPER(VLOOKUP($O163,'Villes en erreur'!$A$2:$B$72,2,FALSE)))</f>
        <v>Sainte-Anne-Du-Lac</v>
      </c>
      <c r="R163" s="9" t="str">
        <f>IFERROR($P163,PROPER(VLOOKUP($O163,'Villes en erreur'!$A$2:$B$72,2,FALSE)))</f>
        <v>Sainte-Anne-Du-Lac</v>
      </c>
      <c r="S163" s="9" t="str">
        <f>IF(ISBLANK($R163),"",VLOOKUP($R163,'Liste des Villes'!$B$2:$H$1128,4,FALSE))</f>
        <v>Laurentides</v>
      </c>
      <c r="T163" s="2" t="s">
        <v>1171</v>
      </c>
      <c r="U163" s="2" t="s">
        <v>39</v>
      </c>
      <c r="V163" s="2" t="s">
        <v>40</v>
      </c>
      <c r="W163" s="2" t="s">
        <v>1172</v>
      </c>
      <c r="X163" s="2"/>
      <c r="Y163" s="2"/>
      <c r="Z163" s="2"/>
      <c r="AA163" s="2" t="s">
        <v>149</v>
      </c>
      <c r="AB163" s="2" t="s">
        <v>150</v>
      </c>
      <c r="AC163" s="4" t="s">
        <v>44</v>
      </c>
    </row>
    <row r="164" spans="1:29" x14ac:dyDescent="0.25">
      <c r="A164" s="1">
        <v>4419</v>
      </c>
      <c r="B164" s="17" t="s">
        <v>1173</v>
      </c>
      <c r="C164" s="2" t="s">
        <v>1174</v>
      </c>
      <c r="D164" s="15" t="s">
        <v>1175</v>
      </c>
      <c r="E164" s="9" t="s">
        <v>1176</v>
      </c>
      <c r="F164" s="9" t="s">
        <v>1177</v>
      </c>
      <c r="G164" s="9" t="s">
        <v>219</v>
      </c>
      <c r="H164" s="2" t="s">
        <v>35</v>
      </c>
      <c r="I164" s="3">
        <v>31195</v>
      </c>
      <c r="J164" s="9" t="str">
        <f t="shared" ca="1" si="2"/>
        <v>38 ans</v>
      </c>
      <c r="K164" s="2" t="s">
        <v>36</v>
      </c>
      <c r="L164" s="2" t="str">
        <f>"14"</f>
        <v>14</v>
      </c>
      <c r="M164" s="2"/>
      <c r="N164" s="2" t="str">
        <f>"25E RUE"</f>
        <v>25E RUE</v>
      </c>
      <c r="O164" s="2" t="s">
        <v>235</v>
      </c>
      <c r="P164" s="9" t="e">
        <f>VLOOKUP($O164,'Liste des Villes'!$B$2:$B$1128,1,FALSE)</f>
        <v>#N/A</v>
      </c>
      <c r="Q164" s="9" t="str">
        <f>IFERROR($P164,PROPER(VLOOKUP($O164,'Villes en erreur'!$A$2:$B$72,2,FALSE)))</f>
        <v>Saint-Jérôme</v>
      </c>
      <c r="R164" s="9" t="str">
        <f>IFERROR($P164,PROPER(VLOOKUP($O164,'Villes en erreur'!$A$2:$B$72,2,FALSE)))</f>
        <v>Saint-Jérôme</v>
      </c>
      <c r="S164" s="9" t="str">
        <f>IF(ISBLANK($R164),"",VLOOKUP($R164,'Liste des Villes'!$B$2:$H$1128,4,FALSE))</f>
        <v>Laurentides</v>
      </c>
      <c r="T164" s="2" t="s">
        <v>1178</v>
      </c>
      <c r="U164" s="2" t="s">
        <v>39</v>
      </c>
      <c r="V164" s="2" t="s">
        <v>40</v>
      </c>
      <c r="W164" s="2" t="s">
        <v>1179</v>
      </c>
      <c r="X164" s="2"/>
      <c r="Y164" s="2"/>
      <c r="Z164" s="2"/>
      <c r="AA164" s="2" t="s">
        <v>149</v>
      </c>
      <c r="AB164" s="2" t="s">
        <v>150</v>
      </c>
      <c r="AC164" s="4" t="s">
        <v>44</v>
      </c>
    </row>
    <row r="165" spans="1:29" x14ac:dyDescent="0.25">
      <c r="A165" s="1">
        <v>2409</v>
      </c>
      <c r="B165" s="17" t="s">
        <v>1180</v>
      </c>
      <c r="C165" s="2" t="s">
        <v>1181</v>
      </c>
      <c r="D165" s="15" t="s">
        <v>1182</v>
      </c>
      <c r="E165" s="9" t="s">
        <v>1183</v>
      </c>
      <c r="F165" s="9" t="s">
        <v>1184</v>
      </c>
      <c r="G165" s="9" t="s">
        <v>219</v>
      </c>
      <c r="H165" s="2" t="s">
        <v>35</v>
      </c>
      <c r="I165" s="3">
        <v>30892</v>
      </c>
      <c r="J165" s="9" t="str">
        <f t="shared" ca="1" si="2"/>
        <v>39 ans</v>
      </c>
      <c r="K165" s="2" t="s">
        <v>36</v>
      </c>
      <c r="L165" s="2" t="str">
        <f>"13"</f>
        <v>13</v>
      </c>
      <c r="M165" s="2"/>
      <c r="N165" s="2" t="str">
        <f>"22E RUE"</f>
        <v>22E RUE</v>
      </c>
      <c r="O165" s="2" t="s">
        <v>720</v>
      </c>
      <c r="P165" s="9" t="e">
        <f>VLOOKUP($O165,'Liste des Villes'!$B$2:$B$1128,1,FALSE)</f>
        <v>#N/A</v>
      </c>
      <c r="Q165" s="9" t="str">
        <f>IFERROR($P165,PROPER(VLOOKUP($O165,'Villes en erreur'!$A$2:$B$72,2,FALSE)))</f>
        <v>Saint-Lin–Laurentides</v>
      </c>
      <c r="R165" s="9" t="str">
        <f>IFERROR($P165,PROPER(VLOOKUP($O165,'Villes en erreur'!$A$2:$B$72,2,FALSE)))</f>
        <v>Saint-Lin–Laurentides</v>
      </c>
      <c r="S165" s="9" t="str">
        <f>IF(ISBLANK($R165),"",VLOOKUP($R165,'Liste des Villes'!$B$2:$H$1128,4,FALSE))</f>
        <v>Lanaudière</v>
      </c>
      <c r="T165" s="2" t="s">
        <v>1185</v>
      </c>
      <c r="U165" s="2" t="s">
        <v>39</v>
      </c>
      <c r="V165" s="2" t="s">
        <v>40</v>
      </c>
      <c r="W165" s="2" t="s">
        <v>1186</v>
      </c>
      <c r="X165" s="2"/>
      <c r="Y165" s="2"/>
      <c r="Z165" s="2"/>
      <c r="AA165" s="2" t="s">
        <v>149</v>
      </c>
      <c r="AB165" s="2" t="s">
        <v>150</v>
      </c>
      <c r="AC165" s="4" t="s">
        <v>44</v>
      </c>
    </row>
    <row r="166" spans="1:29" x14ac:dyDescent="0.25">
      <c r="A166" s="1">
        <v>1219</v>
      </c>
      <c r="B166" s="17" t="s">
        <v>1187</v>
      </c>
      <c r="C166" s="2" t="s">
        <v>1188</v>
      </c>
      <c r="D166" s="15" t="s">
        <v>1189</v>
      </c>
      <c r="E166" s="9" t="s">
        <v>1190</v>
      </c>
      <c r="F166" s="9" t="s">
        <v>1191</v>
      </c>
      <c r="G166" s="9" t="s">
        <v>1192</v>
      </c>
      <c r="H166" s="2" t="s">
        <v>60</v>
      </c>
      <c r="I166" s="3">
        <v>36581</v>
      </c>
      <c r="J166" s="9" t="str">
        <f t="shared" ca="1" si="2"/>
        <v>23 ans</v>
      </c>
      <c r="K166" s="2" t="s">
        <v>68</v>
      </c>
      <c r="L166" s="2" t="str">
        <f>"475"</f>
        <v>475</v>
      </c>
      <c r="M166" s="2"/>
      <c r="N166" s="2" t="str">
        <f>"RUE DE LA SEIGNEURIE"</f>
        <v>RUE DE LA SEIGNEURIE</v>
      </c>
      <c r="O166" s="2" t="s">
        <v>512</v>
      </c>
      <c r="P166" s="9" t="e">
        <f>VLOOKUP($O166,'Liste des Villes'!$B$2:$B$1128,1,FALSE)</f>
        <v>#N/A</v>
      </c>
      <c r="Q166" s="9" t="str">
        <f>IFERROR($P166,PROPER(VLOOKUP($O166,'Villes en erreur'!$A$2:$B$72,2,FALSE)))</f>
        <v>Laval</v>
      </c>
      <c r="R166" s="9" t="str">
        <f>IFERROR($P166,PROPER(VLOOKUP($O166,'Villes en erreur'!$A$2:$B$72,2,FALSE)))</f>
        <v>Laval</v>
      </c>
      <c r="S166" s="9" t="str">
        <f>IF(ISBLANK($R166),"",VLOOKUP($R166,'Liste des Villes'!$B$2:$H$1128,4,FALSE))</f>
        <v>Laval</v>
      </c>
      <c r="T166" s="2" t="s">
        <v>1193</v>
      </c>
      <c r="U166" s="2" t="s">
        <v>39</v>
      </c>
      <c r="V166" s="2" t="s">
        <v>40</v>
      </c>
      <c r="W166" s="2" t="s">
        <v>1194</v>
      </c>
      <c r="X166" s="2"/>
      <c r="Y166" s="2"/>
      <c r="Z166" s="2"/>
      <c r="AA166" s="2" t="s">
        <v>515</v>
      </c>
      <c r="AB166" s="2" t="s">
        <v>73</v>
      </c>
      <c r="AC166" s="4" t="s">
        <v>44</v>
      </c>
    </row>
    <row r="167" spans="1:29" x14ac:dyDescent="0.25">
      <c r="A167" s="1">
        <v>4122</v>
      </c>
      <c r="B167" s="17" t="s">
        <v>1195</v>
      </c>
      <c r="C167" s="2" t="s">
        <v>1196</v>
      </c>
      <c r="D167" s="15" t="s">
        <v>1197</v>
      </c>
      <c r="E167" s="9" t="s">
        <v>1198</v>
      </c>
      <c r="F167" s="9" t="s">
        <v>1199</v>
      </c>
      <c r="G167" s="9" t="s">
        <v>295</v>
      </c>
      <c r="H167" s="2" t="s">
        <v>60</v>
      </c>
      <c r="I167" s="3">
        <v>36917</v>
      </c>
      <c r="J167" s="9" t="str">
        <f t="shared" ca="1" si="2"/>
        <v>22 ans</v>
      </c>
      <c r="K167" s="2" t="s">
        <v>156</v>
      </c>
      <c r="L167" s="2" t="str">
        <f>"921"</f>
        <v>921</v>
      </c>
      <c r="M167" s="2"/>
      <c r="N167" s="2" t="str">
        <f>"RUE DESJARDINS"</f>
        <v>RUE DESJARDINS</v>
      </c>
      <c r="O167" s="2" t="s">
        <v>1200</v>
      </c>
      <c r="P167" s="9" t="e">
        <f>VLOOKUP($O167,'Liste des Villes'!$B$2:$B$1128,1,FALSE)</f>
        <v>#N/A</v>
      </c>
      <c r="Q167" s="9" t="str">
        <f>IFERROR($P167,PROPER(VLOOKUP($O167,'Villes en erreur'!$A$2:$B$72,2,FALSE)))</f>
        <v>Saint-Jérôme</v>
      </c>
      <c r="R167" s="9" t="str">
        <f>IFERROR($P167,PROPER(VLOOKUP($O167,'Villes en erreur'!$A$2:$B$72,2,FALSE)))</f>
        <v>Saint-Jérôme</v>
      </c>
      <c r="S167" s="9" t="str">
        <f>IF(ISBLANK($R167),"",VLOOKUP($R167,'Liste des Villes'!$B$2:$H$1128,4,FALSE))</f>
        <v>Laurentides</v>
      </c>
      <c r="T167" s="2" t="s">
        <v>647</v>
      </c>
      <c r="U167" s="2" t="s">
        <v>39</v>
      </c>
      <c r="V167" s="2" t="s">
        <v>40</v>
      </c>
      <c r="W167" s="2" t="s">
        <v>1201</v>
      </c>
      <c r="X167" s="2"/>
      <c r="Y167" s="2"/>
      <c r="Z167" s="2"/>
      <c r="AA167" s="2" t="s">
        <v>299</v>
      </c>
      <c r="AB167" s="2" t="s">
        <v>161</v>
      </c>
      <c r="AC167" s="4" t="s">
        <v>44</v>
      </c>
    </row>
    <row r="168" spans="1:29" x14ac:dyDescent="0.25">
      <c r="A168" s="1">
        <v>3625</v>
      </c>
      <c r="B168" s="17" t="s">
        <v>1202</v>
      </c>
      <c r="C168" s="2" t="s">
        <v>1203</v>
      </c>
      <c r="D168" s="15" t="s">
        <v>1204</v>
      </c>
      <c r="E168" s="9" t="s">
        <v>1205</v>
      </c>
      <c r="F168" s="9" t="s">
        <v>1206</v>
      </c>
      <c r="G168" s="9" t="s">
        <v>1207</v>
      </c>
      <c r="H168" s="2" t="s">
        <v>35</v>
      </c>
      <c r="I168" s="3">
        <v>33128</v>
      </c>
      <c r="J168" s="9" t="str">
        <f t="shared" ca="1" si="2"/>
        <v>32 ans</v>
      </c>
      <c r="K168" s="2" t="s">
        <v>36</v>
      </c>
      <c r="L168" s="2" t="str">
        <f>"28"</f>
        <v>28</v>
      </c>
      <c r="M168" s="2"/>
      <c r="N168" s="2" t="str">
        <f>"AV CARIGNAN"</f>
        <v>AV CARIGNAN</v>
      </c>
      <c r="O168" s="2" t="s">
        <v>37</v>
      </c>
      <c r="P168" s="9" t="e">
        <f>VLOOKUP($O168,'Liste des Villes'!$B$2:$B$1128,1,FALSE)</f>
        <v>#N/A</v>
      </c>
      <c r="Q168" s="9" t="str">
        <f>IFERROR($P168,PROPER(VLOOKUP($O168,'Villes en erreur'!$A$2:$B$72,2,FALSE)))</f>
        <v>Saint-Lin–Laurentides</v>
      </c>
      <c r="R168" s="9" t="str">
        <f>IFERROR($P168,PROPER(VLOOKUP($O168,'Villes en erreur'!$A$2:$B$72,2,FALSE)))</f>
        <v>Saint-Lin–Laurentides</v>
      </c>
      <c r="S168" s="9" t="str">
        <f>IF(ISBLANK($R168),"",VLOOKUP($R168,'Liste des Villes'!$B$2:$H$1128,4,FALSE))</f>
        <v>Lanaudière</v>
      </c>
      <c r="T168" s="2" t="s">
        <v>38</v>
      </c>
      <c r="U168" s="2" t="s">
        <v>39</v>
      </c>
      <c r="V168" s="2" t="s">
        <v>40</v>
      </c>
      <c r="W168" s="2" t="s">
        <v>1208</v>
      </c>
      <c r="X168" s="2"/>
      <c r="Y168" s="2"/>
      <c r="Z168" s="2"/>
      <c r="AA168" s="2" t="s">
        <v>42</v>
      </c>
      <c r="AB168" s="2" t="s">
        <v>43</v>
      </c>
      <c r="AC168" s="4" t="s">
        <v>44</v>
      </c>
    </row>
    <row r="169" spans="1:29" x14ac:dyDescent="0.25">
      <c r="A169" s="1">
        <v>149</v>
      </c>
      <c r="B169" s="17" t="s">
        <v>1209</v>
      </c>
      <c r="C169" s="2" t="s">
        <v>1210</v>
      </c>
      <c r="D169" s="15" t="s">
        <v>1211</v>
      </c>
      <c r="E169" s="9" t="s">
        <v>1212</v>
      </c>
      <c r="F169" s="9" t="s">
        <v>1213</v>
      </c>
      <c r="G169" s="9" t="s">
        <v>1192</v>
      </c>
      <c r="H169" s="2" t="s">
        <v>60</v>
      </c>
      <c r="I169" s="3">
        <v>36581</v>
      </c>
      <c r="J169" s="9" t="str">
        <f t="shared" ca="1" si="2"/>
        <v>23 ans</v>
      </c>
      <c r="K169" s="2" t="s">
        <v>68</v>
      </c>
      <c r="L169" s="2" t="str">
        <f>"476"</f>
        <v>476</v>
      </c>
      <c r="M169" s="2"/>
      <c r="N169" s="2" t="str">
        <f>"RUE DE LA SEIGNEURIE"</f>
        <v>RUE DE LA SEIGNEURIE</v>
      </c>
      <c r="O169" s="2" t="s">
        <v>1214</v>
      </c>
      <c r="P169" s="9" t="e">
        <f>VLOOKUP($O169,'Liste des Villes'!$B$2:$B$1128,1,FALSE)</f>
        <v>#N/A</v>
      </c>
      <c r="Q169" s="9" t="str">
        <f>IFERROR($P169,PROPER(VLOOKUP($O169,'Villes en erreur'!$A$2:$B$72,2,FALSE)))</f>
        <v>Laval</v>
      </c>
      <c r="R169" s="9" t="str">
        <f>IFERROR($P169,PROPER(VLOOKUP($O169,'Villes en erreur'!$A$2:$B$72,2,FALSE)))</f>
        <v>Laval</v>
      </c>
      <c r="S169" s="9" t="str">
        <f>IF(ISBLANK($R169),"",VLOOKUP($R169,'Liste des Villes'!$B$2:$H$1128,4,FALSE))</f>
        <v>Laval</v>
      </c>
      <c r="T169" s="2" t="s">
        <v>1215</v>
      </c>
      <c r="U169" s="2" t="s">
        <v>39</v>
      </c>
      <c r="V169" s="2" t="s">
        <v>40</v>
      </c>
      <c r="W169" s="2" t="s">
        <v>1216</v>
      </c>
      <c r="X169" s="2"/>
      <c r="Y169" s="2"/>
      <c r="Z169" s="2"/>
      <c r="AA169" s="2" t="s">
        <v>515</v>
      </c>
      <c r="AB169" s="2" t="s">
        <v>73</v>
      </c>
      <c r="AC169" s="4" t="s">
        <v>44</v>
      </c>
    </row>
    <row r="170" spans="1:29" x14ac:dyDescent="0.25">
      <c r="A170" s="1">
        <v>2013</v>
      </c>
      <c r="B170" s="17" t="s">
        <v>1217</v>
      </c>
      <c r="C170" s="2" t="s">
        <v>1218</v>
      </c>
      <c r="D170" s="15" t="s">
        <v>1219</v>
      </c>
      <c r="E170" s="9" t="s">
        <v>1220</v>
      </c>
      <c r="F170" s="9" t="s">
        <v>1221</v>
      </c>
      <c r="G170" s="9" t="s">
        <v>985</v>
      </c>
      <c r="H170" s="2" t="s">
        <v>60</v>
      </c>
      <c r="I170" s="3">
        <v>36263</v>
      </c>
      <c r="J170" s="9" t="str">
        <f t="shared" ca="1" si="2"/>
        <v>24 ans</v>
      </c>
      <c r="K170" s="2" t="s">
        <v>123</v>
      </c>
      <c r="L170" s="2" t="str">
        <f>"274"</f>
        <v>274</v>
      </c>
      <c r="M170" s="2"/>
      <c r="N170" s="2" t="str">
        <f>"RUE BERTRAND"</f>
        <v>RUE BERTRAND</v>
      </c>
      <c r="O170" s="2" t="s">
        <v>829</v>
      </c>
      <c r="P170" s="9" t="e">
        <f>VLOOKUP($O170,'Liste des Villes'!$B$2:$B$1128,1,FALSE)</f>
        <v>#N/A</v>
      </c>
      <c r="Q170" s="9" t="str">
        <f>IFERROR($P170,PROPER(VLOOKUP($O170,'Villes en erreur'!$A$2:$B$72,2,FALSE)))</f>
        <v>Saint-Jérôme</v>
      </c>
      <c r="R170" s="9" t="str">
        <f>IFERROR($P170,PROPER(VLOOKUP($O170,'Villes en erreur'!$A$2:$B$72,2,FALSE)))</f>
        <v>Saint-Jérôme</v>
      </c>
      <c r="S170" s="9" t="str">
        <f>IF(ISBLANK($R170),"",VLOOKUP($R170,'Liste des Villes'!$B$2:$H$1128,4,FALSE))</f>
        <v>Laurentides</v>
      </c>
      <c r="T170" s="2" t="s">
        <v>830</v>
      </c>
      <c r="U170" s="2" t="s">
        <v>39</v>
      </c>
      <c r="V170" s="2" t="s">
        <v>40</v>
      </c>
      <c r="W170" s="2" t="s">
        <v>1222</v>
      </c>
      <c r="X170" s="2"/>
      <c r="Y170" s="2"/>
      <c r="Z170" s="2"/>
      <c r="AA170" s="2" t="s">
        <v>832</v>
      </c>
      <c r="AB170" s="2" t="s">
        <v>73</v>
      </c>
      <c r="AC170" s="4" t="s">
        <v>44</v>
      </c>
    </row>
    <row r="171" spans="1:29" x14ac:dyDescent="0.25">
      <c r="A171" s="1">
        <v>2845</v>
      </c>
      <c r="B171" s="17" t="s">
        <v>1223</v>
      </c>
      <c r="C171" s="2" t="s">
        <v>1224</v>
      </c>
      <c r="D171" s="15" t="s">
        <v>1225</v>
      </c>
      <c r="E171" s="9" t="s">
        <v>737</v>
      </c>
      <c r="F171" s="9" t="s">
        <v>738</v>
      </c>
      <c r="G171" s="9" t="s">
        <v>219</v>
      </c>
      <c r="H171" s="2" t="s">
        <v>35</v>
      </c>
      <c r="I171" s="3">
        <v>31397</v>
      </c>
      <c r="J171" s="9" t="str">
        <f t="shared" ca="1" si="2"/>
        <v>37 ans</v>
      </c>
      <c r="K171" s="2" t="s">
        <v>36</v>
      </c>
      <c r="L171" s="2" t="str">
        <f>"15"</f>
        <v>15</v>
      </c>
      <c r="M171" s="2"/>
      <c r="N171" s="2" t="str">
        <f>"29E AVENUE"</f>
        <v>29E AVENUE</v>
      </c>
      <c r="O171" s="2" t="s">
        <v>624</v>
      </c>
      <c r="P171" s="9" t="e">
        <f>VLOOKUP($O171,'Liste des Villes'!$B$2:$B$1128,1,FALSE)</f>
        <v>#N/A</v>
      </c>
      <c r="Q171" s="9" t="str">
        <f>IFERROR($P171,PROPER(VLOOKUP($O171,'Villes en erreur'!$A$2:$B$72,2,FALSE)))</f>
        <v>Saint-Eustache</v>
      </c>
      <c r="R171" s="9" t="str">
        <f>IFERROR($P171,PROPER(VLOOKUP($O171,'Villes en erreur'!$A$2:$B$72,2,FALSE)))</f>
        <v>Saint-Eustache</v>
      </c>
      <c r="S171" s="9" t="str">
        <f>IF(ISBLANK($R171),"",VLOOKUP($R171,'Liste des Villes'!$B$2:$H$1128,4,FALSE))</f>
        <v>Laurentides</v>
      </c>
      <c r="T171" s="2" t="s">
        <v>1226</v>
      </c>
      <c r="U171" s="2" t="s">
        <v>39</v>
      </c>
      <c r="V171" s="2" t="s">
        <v>40</v>
      </c>
      <c r="W171" s="2" t="s">
        <v>1227</v>
      </c>
      <c r="X171" s="2"/>
      <c r="Y171" s="2"/>
      <c r="Z171" s="2"/>
      <c r="AA171" s="2" t="s">
        <v>149</v>
      </c>
      <c r="AB171" s="2" t="s">
        <v>150</v>
      </c>
      <c r="AC171" s="4" t="s">
        <v>44</v>
      </c>
    </row>
    <row r="172" spans="1:29" x14ac:dyDescent="0.25">
      <c r="A172" s="1">
        <v>1957</v>
      </c>
      <c r="B172" s="17" t="s">
        <v>1228</v>
      </c>
      <c r="C172" s="2" t="s">
        <v>1229</v>
      </c>
      <c r="D172" s="15" t="s">
        <v>1230</v>
      </c>
      <c r="E172" s="9" t="s">
        <v>348</v>
      </c>
      <c r="F172" s="9" t="s">
        <v>762</v>
      </c>
      <c r="G172" s="9" t="s">
        <v>1231</v>
      </c>
      <c r="H172" s="2" t="s">
        <v>60</v>
      </c>
      <c r="I172" s="3">
        <v>33572</v>
      </c>
      <c r="J172" s="9" t="str">
        <f t="shared" ca="1" si="2"/>
        <v>31 ans</v>
      </c>
      <c r="K172" s="2" t="s">
        <v>36</v>
      </c>
      <c r="L172" s="2" t="str">
        <f>"35"</f>
        <v>35</v>
      </c>
      <c r="M172" s="2"/>
      <c r="N172" s="2" t="str">
        <f>"AVENUE 62 EST"</f>
        <v>AVENUE 62 EST</v>
      </c>
      <c r="O172" s="2" t="s">
        <v>335</v>
      </c>
      <c r="P172" s="9" t="e">
        <f>VLOOKUP($O172,'Liste des Villes'!$B$2:$B$1128,1,FALSE)</f>
        <v>#N/A</v>
      </c>
      <c r="Q172" s="9" t="str">
        <f>IFERROR($P172,PROPER(VLOOKUP($O172,'Villes en erreur'!$A$2:$B$72,2,FALSE)))</f>
        <v>Montréal</v>
      </c>
      <c r="R172" s="9" t="str">
        <f>IFERROR($P172,PROPER(VLOOKUP($O172,'Villes en erreur'!$A$2:$B$72,2,FALSE)))</f>
        <v>Montréal</v>
      </c>
      <c r="S172" s="9" t="str">
        <f>IF(ISBLANK($R172),"",VLOOKUP($R172,'Liste des Villes'!$B$2:$H$1128,4,FALSE))</f>
        <v>Montréal</v>
      </c>
      <c r="T172" s="2" t="s">
        <v>336</v>
      </c>
      <c r="U172" s="2" t="s">
        <v>39</v>
      </c>
      <c r="V172" s="2" t="s">
        <v>40</v>
      </c>
      <c r="W172" s="2" t="s">
        <v>1232</v>
      </c>
      <c r="X172" s="2"/>
      <c r="Y172" s="2"/>
      <c r="Z172" s="2"/>
      <c r="AA172" s="2" t="s">
        <v>213</v>
      </c>
      <c r="AB172" s="2" t="s">
        <v>53</v>
      </c>
      <c r="AC172" s="4" t="s">
        <v>44</v>
      </c>
    </row>
    <row r="173" spans="1:29" x14ac:dyDescent="0.25">
      <c r="A173" s="1">
        <v>1520</v>
      </c>
      <c r="B173" s="17" t="s">
        <v>1233</v>
      </c>
      <c r="C173" s="2" t="s">
        <v>1234</v>
      </c>
      <c r="D173" s="15" t="s">
        <v>1235</v>
      </c>
      <c r="E173" s="9" t="s">
        <v>1236</v>
      </c>
      <c r="F173" s="9" t="s">
        <v>1237</v>
      </c>
      <c r="G173" s="9" t="s">
        <v>114</v>
      </c>
      <c r="H173" s="2" t="s">
        <v>60</v>
      </c>
      <c r="I173" s="3">
        <v>36256</v>
      </c>
      <c r="J173" s="9" t="str">
        <f t="shared" ca="1" si="2"/>
        <v>24 ans</v>
      </c>
      <c r="K173" s="2" t="s">
        <v>123</v>
      </c>
      <c r="L173" s="2" t="str">
        <f>"271"</f>
        <v>271</v>
      </c>
      <c r="M173" s="2"/>
      <c r="N173" s="2" t="str">
        <f>"RUE BERNIER"</f>
        <v>RUE BERNIER</v>
      </c>
      <c r="O173" s="2" t="s">
        <v>971</v>
      </c>
      <c r="P173" s="9" t="e">
        <f>VLOOKUP($O173,'Liste des Villes'!$B$2:$B$1128,1,FALSE)</f>
        <v>#N/A</v>
      </c>
      <c r="Q173" s="9" t="str">
        <f>IFERROR($P173,PROPER(VLOOKUP($O173,'Villes en erreur'!$A$2:$B$72,2,FALSE)))</f>
        <v>Saint-Jérôme</v>
      </c>
      <c r="R173" s="9" t="str">
        <f>IFERROR($P173,PROPER(VLOOKUP($O173,'Villes en erreur'!$A$2:$B$72,2,FALSE)))</f>
        <v>Saint-Jérôme</v>
      </c>
      <c r="S173" s="9" t="str">
        <f>IF(ISBLANK($R173),"",VLOOKUP($R173,'Liste des Villes'!$B$2:$H$1128,4,FALSE))</f>
        <v>Laurentides</v>
      </c>
      <c r="T173" s="2" t="s">
        <v>1238</v>
      </c>
      <c r="U173" s="2" t="s">
        <v>39</v>
      </c>
      <c r="V173" s="2" t="s">
        <v>40</v>
      </c>
      <c r="W173" s="2" t="s">
        <v>1239</v>
      </c>
      <c r="X173" s="2"/>
      <c r="Y173" s="2"/>
      <c r="Z173" s="2"/>
      <c r="AA173" s="2" t="s">
        <v>832</v>
      </c>
      <c r="AB173" s="2" t="s">
        <v>73</v>
      </c>
      <c r="AC173" s="4" t="s">
        <v>44</v>
      </c>
    </row>
    <row r="174" spans="1:29" x14ac:dyDescent="0.25">
      <c r="A174" s="1">
        <v>3212</v>
      </c>
      <c r="B174" s="17" t="s">
        <v>1240</v>
      </c>
      <c r="C174" s="2" t="s">
        <v>1241</v>
      </c>
      <c r="D174" s="15" t="s">
        <v>440</v>
      </c>
      <c r="E174" s="9" t="s">
        <v>495</v>
      </c>
      <c r="F174" s="9" t="s">
        <v>438</v>
      </c>
      <c r="G174" s="9" t="s">
        <v>1099</v>
      </c>
      <c r="H174" s="2" t="s">
        <v>35</v>
      </c>
      <c r="I174" s="3">
        <v>32888</v>
      </c>
      <c r="J174" s="9" t="str">
        <f t="shared" ca="1" si="2"/>
        <v>33 ans</v>
      </c>
      <c r="K174" s="2" t="s">
        <v>36</v>
      </c>
      <c r="L174" s="2" t="str">
        <f>"25"</f>
        <v>25</v>
      </c>
      <c r="M174" s="2"/>
      <c r="N174" s="2" t="str">
        <f>"8E RUE"</f>
        <v>8E RUE</v>
      </c>
      <c r="O174" s="2" t="s">
        <v>37</v>
      </c>
      <c r="P174" s="9" t="e">
        <f>VLOOKUP($O174,'Liste des Villes'!$B$2:$B$1128,1,FALSE)</f>
        <v>#N/A</v>
      </c>
      <c r="Q174" s="9" t="str">
        <f>IFERROR($P174,PROPER(VLOOKUP($O174,'Villes en erreur'!$A$2:$B$72,2,FALSE)))</f>
        <v>Saint-Lin–Laurentides</v>
      </c>
      <c r="R174" s="9" t="str">
        <f>IFERROR($P174,PROPER(VLOOKUP($O174,'Villes en erreur'!$A$2:$B$72,2,FALSE)))</f>
        <v>Saint-Lin–Laurentides</v>
      </c>
      <c r="S174" s="9" t="str">
        <f>IF(ISBLANK($R174),"",VLOOKUP($R174,'Liste des Villes'!$B$2:$H$1128,4,FALSE))</f>
        <v>Lanaudière</v>
      </c>
      <c r="T174" s="2" t="s">
        <v>1100</v>
      </c>
      <c r="U174" s="2" t="s">
        <v>39</v>
      </c>
      <c r="V174" s="2" t="s">
        <v>40</v>
      </c>
      <c r="W174" s="2" t="s">
        <v>1242</v>
      </c>
      <c r="X174" s="2"/>
      <c r="Y174" s="2"/>
      <c r="Z174" s="2"/>
      <c r="AA174" s="2" t="s">
        <v>42</v>
      </c>
      <c r="AB174" s="2" t="s">
        <v>282</v>
      </c>
      <c r="AC174" s="4" t="s">
        <v>44</v>
      </c>
    </row>
    <row r="175" spans="1:29" x14ac:dyDescent="0.25">
      <c r="A175" s="1">
        <v>469</v>
      </c>
      <c r="B175" s="17" t="s">
        <v>1243</v>
      </c>
      <c r="C175" s="2" t="s">
        <v>1244</v>
      </c>
      <c r="D175" s="15" t="s">
        <v>1245</v>
      </c>
      <c r="E175" s="9" t="s">
        <v>1246</v>
      </c>
      <c r="F175" s="9" t="s">
        <v>1247</v>
      </c>
      <c r="G175" s="9" t="s">
        <v>1248</v>
      </c>
      <c r="H175" s="2" t="s">
        <v>60</v>
      </c>
      <c r="I175" s="3">
        <v>33485</v>
      </c>
      <c r="J175" s="9" t="str">
        <f t="shared" ca="1" si="2"/>
        <v>31 ans</v>
      </c>
      <c r="K175" s="2" t="s">
        <v>36</v>
      </c>
      <c r="L175" s="2" t="str">
        <f>"34"</f>
        <v>34</v>
      </c>
      <c r="M175" s="2"/>
      <c r="N175" s="2" t="str">
        <f>"AV LAVAL"</f>
        <v>AV LAVAL</v>
      </c>
      <c r="O175" s="2" t="s">
        <v>51</v>
      </c>
      <c r="P175" s="9" t="e">
        <f>VLOOKUP($O175,'Liste des Villes'!$B$2:$B$1128,1,FALSE)</f>
        <v>#N/A</v>
      </c>
      <c r="Q175" s="9" t="str">
        <f>IFERROR($P175,PROPER(VLOOKUP($O175,'Villes en erreur'!$A$2:$B$72,2,FALSE)))</f>
        <v>Saint-Lin–Laurentides</v>
      </c>
      <c r="R175" s="9" t="str">
        <f>IFERROR($P175,PROPER(VLOOKUP($O175,'Villes en erreur'!$A$2:$B$72,2,FALSE)))</f>
        <v>Saint-Lin–Laurentides</v>
      </c>
      <c r="S175" s="9" t="str">
        <f>IF(ISBLANK($R175),"",VLOOKUP($R175,'Liste des Villes'!$B$2:$H$1128,4,FALSE))</f>
        <v>Lanaudière</v>
      </c>
      <c r="T175" s="2" t="s">
        <v>38</v>
      </c>
      <c r="U175" s="2" t="s">
        <v>39</v>
      </c>
      <c r="V175" s="2" t="s">
        <v>40</v>
      </c>
      <c r="W175" s="2" t="s">
        <v>1249</v>
      </c>
      <c r="X175" s="2"/>
      <c r="Y175" s="2"/>
      <c r="Z175" s="2"/>
      <c r="AA175" s="2" t="s">
        <v>42</v>
      </c>
      <c r="AB175" s="2" t="s">
        <v>53</v>
      </c>
      <c r="AC175" s="4" t="s">
        <v>44</v>
      </c>
    </row>
    <row r="176" spans="1:29" x14ac:dyDescent="0.25">
      <c r="A176" s="1">
        <v>3583</v>
      </c>
      <c r="B176" s="17" t="s">
        <v>1250</v>
      </c>
      <c r="C176" s="2" t="s">
        <v>1251</v>
      </c>
      <c r="D176" s="15" t="s">
        <v>584</v>
      </c>
      <c r="E176" s="9" t="s">
        <v>145</v>
      </c>
      <c r="F176" s="9" t="s">
        <v>1252</v>
      </c>
      <c r="G176" s="9" t="s">
        <v>101</v>
      </c>
      <c r="H176" s="2" t="s">
        <v>35</v>
      </c>
      <c r="I176" s="3">
        <v>32956</v>
      </c>
      <c r="J176" s="9" t="str">
        <f t="shared" ca="1" si="2"/>
        <v>33 ans</v>
      </c>
      <c r="K176" s="2" t="s">
        <v>36</v>
      </c>
      <c r="L176" s="2" t="str">
        <f>"26"</f>
        <v>26</v>
      </c>
      <c r="M176" s="2"/>
      <c r="N176" s="2" t="str">
        <f>"ALBERT-RAYMOND"</f>
        <v>ALBERT-RAYMOND</v>
      </c>
      <c r="O176" s="2" t="s">
        <v>37</v>
      </c>
      <c r="P176" s="9" t="e">
        <f>VLOOKUP($O176,'Liste des Villes'!$B$2:$B$1128,1,FALSE)</f>
        <v>#N/A</v>
      </c>
      <c r="Q176" s="9" t="str">
        <f>IFERROR($P176,PROPER(VLOOKUP($O176,'Villes en erreur'!$A$2:$B$72,2,FALSE)))</f>
        <v>Saint-Lin–Laurentides</v>
      </c>
      <c r="R176" s="9" t="str">
        <f>IFERROR($P176,PROPER(VLOOKUP($O176,'Villes en erreur'!$A$2:$B$72,2,FALSE)))</f>
        <v>Saint-Lin–Laurentides</v>
      </c>
      <c r="S176" s="9" t="str">
        <f>IF(ISBLANK($R176),"",VLOOKUP($R176,'Liste des Villes'!$B$2:$H$1128,4,FALSE))</f>
        <v>Lanaudière</v>
      </c>
      <c r="T176" s="2" t="s">
        <v>924</v>
      </c>
      <c r="U176" s="2" t="s">
        <v>39</v>
      </c>
      <c r="V176" s="2" t="s">
        <v>40</v>
      </c>
      <c r="W176" s="2" t="s">
        <v>1253</v>
      </c>
      <c r="X176" s="2"/>
      <c r="Y176" s="2"/>
      <c r="Z176" s="2"/>
      <c r="AA176" s="2" t="s">
        <v>42</v>
      </c>
      <c r="AB176" s="2" t="s">
        <v>43</v>
      </c>
      <c r="AC176" s="4" t="s">
        <v>44</v>
      </c>
    </row>
    <row r="177" spans="1:29" x14ac:dyDescent="0.25">
      <c r="A177" s="1">
        <v>1669</v>
      </c>
      <c r="B177" s="17" t="s">
        <v>1254</v>
      </c>
      <c r="C177" s="2" t="s">
        <v>1255</v>
      </c>
      <c r="D177" s="15" t="s">
        <v>1256</v>
      </c>
      <c r="E177" s="9" t="s">
        <v>1257</v>
      </c>
      <c r="F177" s="9" t="s">
        <v>1258</v>
      </c>
      <c r="G177" s="9" t="s">
        <v>50</v>
      </c>
      <c r="H177" s="2" t="s">
        <v>35</v>
      </c>
      <c r="I177" s="3">
        <v>33409</v>
      </c>
      <c r="J177" s="9" t="str">
        <f t="shared" ca="1" si="2"/>
        <v>32 ans</v>
      </c>
      <c r="K177" s="2" t="s">
        <v>36</v>
      </c>
      <c r="L177" s="2" t="str">
        <f>"32"</f>
        <v>32</v>
      </c>
      <c r="M177" s="2"/>
      <c r="N177" s="2" t="str">
        <f>"AV DU PARC"</f>
        <v>AV DU PARC</v>
      </c>
      <c r="O177" s="2" t="s">
        <v>51</v>
      </c>
      <c r="P177" s="9" t="e">
        <f>VLOOKUP($O177,'Liste des Villes'!$B$2:$B$1128,1,FALSE)</f>
        <v>#N/A</v>
      </c>
      <c r="Q177" s="9" t="str">
        <f>IFERROR($P177,PROPER(VLOOKUP($O177,'Villes en erreur'!$A$2:$B$72,2,FALSE)))</f>
        <v>Saint-Lin–Laurentides</v>
      </c>
      <c r="R177" s="9" t="str">
        <f>IFERROR($P177,PROPER(VLOOKUP($O177,'Villes en erreur'!$A$2:$B$72,2,FALSE)))</f>
        <v>Saint-Lin–Laurentides</v>
      </c>
      <c r="S177" s="9" t="str">
        <f>IF(ISBLANK($R177),"",VLOOKUP($R177,'Liste des Villes'!$B$2:$H$1128,4,FALSE))</f>
        <v>Lanaudière</v>
      </c>
      <c r="T177" s="2" t="s">
        <v>38</v>
      </c>
      <c r="U177" s="2" t="s">
        <v>39</v>
      </c>
      <c r="V177" s="2" t="s">
        <v>40</v>
      </c>
      <c r="W177" s="2" t="s">
        <v>1259</v>
      </c>
      <c r="X177" s="2"/>
      <c r="Y177" s="2"/>
      <c r="Z177" s="2"/>
      <c r="AA177" s="2" t="s">
        <v>42</v>
      </c>
      <c r="AB177" s="2" t="s">
        <v>53</v>
      </c>
      <c r="AC177" s="4" t="s">
        <v>44</v>
      </c>
    </row>
    <row r="178" spans="1:29" x14ac:dyDescent="0.25">
      <c r="A178" s="1">
        <v>524</v>
      </c>
      <c r="B178" s="17" t="s">
        <v>1260</v>
      </c>
      <c r="C178" s="2" t="s">
        <v>1261</v>
      </c>
      <c r="D178" s="15" t="s">
        <v>1262</v>
      </c>
      <c r="E178" s="9" t="s">
        <v>1263</v>
      </c>
      <c r="F178" s="9" t="s">
        <v>1264</v>
      </c>
      <c r="G178" s="9" t="s">
        <v>405</v>
      </c>
      <c r="H178" s="2" t="s">
        <v>60</v>
      </c>
      <c r="I178" s="3">
        <v>31540</v>
      </c>
      <c r="J178" s="9" t="str">
        <f t="shared" ca="1" si="2"/>
        <v>37 ans</v>
      </c>
      <c r="K178" s="2" t="s">
        <v>36</v>
      </c>
      <c r="L178" s="2" t="str">
        <f>"15"</f>
        <v>15</v>
      </c>
      <c r="M178" s="2"/>
      <c r="N178" s="2" t="str">
        <f>"34E AV"</f>
        <v>34E AV</v>
      </c>
      <c r="O178" s="2" t="s">
        <v>497</v>
      </c>
      <c r="P178" s="9" t="e">
        <f>VLOOKUP($O178,'Liste des Villes'!$B$2:$B$1128,1,FALSE)</f>
        <v>#N/A</v>
      </c>
      <c r="Q178" s="9" t="str">
        <f>IFERROR($P178,PROPER(VLOOKUP($O178,'Villes en erreur'!$A$2:$B$72,2,FALSE)))</f>
        <v>Sainte-Sophie</v>
      </c>
      <c r="R178" s="9" t="str">
        <f>IFERROR($P178,PROPER(VLOOKUP($O178,'Villes en erreur'!$A$2:$B$72,2,FALSE)))</f>
        <v>Sainte-Sophie</v>
      </c>
      <c r="S178" s="9" t="str">
        <f>IF(ISBLANK($R178),"",VLOOKUP($R178,'Liste des Villes'!$B$2:$H$1128,4,FALSE))</f>
        <v>Laurentides</v>
      </c>
      <c r="T178" s="2" t="s">
        <v>498</v>
      </c>
      <c r="U178" s="2" t="s">
        <v>39</v>
      </c>
      <c r="V178" s="2" t="s">
        <v>40</v>
      </c>
      <c r="W178" s="2" t="s">
        <v>1265</v>
      </c>
      <c r="X178" s="2"/>
      <c r="Y178" s="2"/>
      <c r="Z178" s="2"/>
      <c r="AA178" s="2" t="s">
        <v>149</v>
      </c>
      <c r="AB178" s="2" t="s">
        <v>150</v>
      </c>
      <c r="AC178" s="4" t="s">
        <v>44</v>
      </c>
    </row>
    <row r="179" spans="1:29" x14ac:dyDescent="0.25">
      <c r="A179" s="1">
        <v>4427</v>
      </c>
      <c r="B179" s="17" t="s">
        <v>1266</v>
      </c>
      <c r="C179" s="2" t="s">
        <v>1267</v>
      </c>
      <c r="D179" s="15" t="s">
        <v>1268</v>
      </c>
      <c r="E179" s="9" t="s">
        <v>1269</v>
      </c>
      <c r="F179" s="9" t="s">
        <v>1270</v>
      </c>
      <c r="G179" s="9" t="s">
        <v>219</v>
      </c>
      <c r="H179" s="2" t="s">
        <v>35</v>
      </c>
      <c r="I179" s="3">
        <v>31007</v>
      </c>
      <c r="J179" s="9" t="str">
        <f t="shared" ca="1" si="2"/>
        <v>38 ans</v>
      </c>
      <c r="K179" s="2" t="s">
        <v>36</v>
      </c>
      <c r="L179" s="2" t="str">
        <f>"13"</f>
        <v>13</v>
      </c>
      <c r="M179" s="2"/>
      <c r="N179" s="2" t="str">
        <f>"23E AV"</f>
        <v>23E AV</v>
      </c>
      <c r="O179" s="2" t="s">
        <v>235</v>
      </c>
      <c r="P179" s="9" t="e">
        <f>VLOOKUP($O179,'Liste des Villes'!$B$2:$B$1128,1,FALSE)</f>
        <v>#N/A</v>
      </c>
      <c r="Q179" s="9" t="str">
        <f>IFERROR($P179,PROPER(VLOOKUP($O179,'Villes en erreur'!$A$2:$B$72,2,FALSE)))</f>
        <v>Saint-Jérôme</v>
      </c>
      <c r="R179" s="9" t="str">
        <f>IFERROR($P179,PROPER(VLOOKUP($O179,'Villes en erreur'!$A$2:$B$72,2,FALSE)))</f>
        <v>Saint-Jérôme</v>
      </c>
      <c r="S179" s="9" t="str">
        <f>IF(ISBLANK($R179),"",VLOOKUP($R179,'Liste des Villes'!$B$2:$H$1128,4,FALSE))</f>
        <v>Laurentides</v>
      </c>
      <c r="T179" s="2" t="s">
        <v>1271</v>
      </c>
      <c r="U179" s="2" t="s">
        <v>39</v>
      </c>
      <c r="V179" s="2" t="s">
        <v>40</v>
      </c>
      <c r="W179" s="2" t="s">
        <v>1272</v>
      </c>
      <c r="X179" s="2"/>
      <c r="Y179" s="2"/>
      <c r="Z179" s="2"/>
      <c r="AA179" s="2" t="s">
        <v>149</v>
      </c>
      <c r="AB179" s="2" t="s">
        <v>150</v>
      </c>
      <c r="AC179" s="4" t="s">
        <v>44</v>
      </c>
    </row>
    <row r="180" spans="1:29" x14ac:dyDescent="0.25">
      <c r="A180" s="1">
        <v>63</v>
      </c>
      <c r="B180" s="17" t="s">
        <v>1273</v>
      </c>
      <c r="C180" s="2" t="s">
        <v>1274</v>
      </c>
      <c r="D180" s="15" t="s">
        <v>867</v>
      </c>
      <c r="E180" s="9" t="s">
        <v>1275</v>
      </c>
      <c r="F180" s="9" t="s">
        <v>1276</v>
      </c>
      <c r="G180" s="9" t="s">
        <v>1277</v>
      </c>
      <c r="H180" s="2" t="s">
        <v>60</v>
      </c>
      <c r="I180" s="3">
        <v>37382</v>
      </c>
      <c r="J180" s="9" t="str">
        <f t="shared" ca="1" si="2"/>
        <v>21 ans</v>
      </c>
      <c r="K180" s="2" t="s">
        <v>262</v>
      </c>
      <c r="L180" s="2" t="str">
        <f>"9460"</f>
        <v>9460</v>
      </c>
      <c r="M180" s="2"/>
      <c r="N180" s="2" t="str">
        <f>"RUE POLIQUIN"</f>
        <v>RUE POLIQUIN</v>
      </c>
      <c r="O180" s="2" t="s">
        <v>1278</v>
      </c>
      <c r="P180" s="9" t="e">
        <f>VLOOKUP($O180,'Liste des Villes'!$B$2:$B$1128,1,FALSE)</f>
        <v>#N/A</v>
      </c>
      <c r="Q180" s="9" t="str">
        <f>IFERROR($P180,PROPER(VLOOKUP($O180,'Villes en erreur'!$A$2:$B$72,2,FALSE)))</f>
        <v>La Conception</v>
      </c>
      <c r="R180" s="9" t="str">
        <f>IFERROR($P180,PROPER(VLOOKUP($O180,'Villes en erreur'!$A$2:$B$72,2,FALSE)))</f>
        <v>La Conception</v>
      </c>
      <c r="S180" s="9" t="str">
        <f>IF(ISBLANK($R180),"",VLOOKUP($R180,'Liste des Villes'!$B$2:$H$1128,4,FALSE))</f>
        <v>Laurentides</v>
      </c>
      <c r="T180" s="2" t="s">
        <v>791</v>
      </c>
      <c r="U180" s="2" t="s">
        <v>39</v>
      </c>
      <c r="V180" s="2" t="s">
        <v>40</v>
      </c>
      <c r="W180" s="2" t="s">
        <v>1279</v>
      </c>
      <c r="X180" s="2" t="str">
        <f>"4507123796"</f>
        <v>4507123796</v>
      </c>
      <c r="Y180" s="2" t="str">
        <f>"4509746909"</f>
        <v>4509746909</v>
      </c>
      <c r="Z180" s="2"/>
      <c r="AA180" s="2" t="s">
        <v>793</v>
      </c>
      <c r="AB180" s="2" t="s">
        <v>267</v>
      </c>
      <c r="AC180" s="4" t="s">
        <v>44</v>
      </c>
    </row>
    <row r="181" spans="1:29" x14ac:dyDescent="0.25">
      <c r="A181" s="1">
        <v>4416</v>
      </c>
      <c r="B181" s="17" t="s">
        <v>1280</v>
      </c>
      <c r="C181" s="2" t="s">
        <v>1281</v>
      </c>
      <c r="D181" s="15" t="s">
        <v>1282</v>
      </c>
      <c r="E181" s="9" t="s">
        <v>1283</v>
      </c>
      <c r="F181" s="9" t="s">
        <v>1284</v>
      </c>
      <c r="G181" s="9" t="s">
        <v>397</v>
      </c>
      <c r="H181" s="2" t="s">
        <v>60</v>
      </c>
      <c r="I181" s="3">
        <v>36616</v>
      </c>
      <c r="J181" s="9" t="str">
        <f t="shared" ca="1" si="2"/>
        <v>23 ans</v>
      </c>
      <c r="K181" s="2" t="s">
        <v>68</v>
      </c>
      <c r="L181" s="2" t="str">
        <f>"501"</f>
        <v>501</v>
      </c>
      <c r="M181" s="2"/>
      <c r="N181" s="2" t="str">
        <f>"RUE DE L'EAU-VIVE"</f>
        <v>RUE DE L'EAU-VIVE</v>
      </c>
      <c r="O181" s="2" t="s">
        <v>1285</v>
      </c>
      <c r="P181" s="9" t="e">
        <f>VLOOKUP($O181,'Liste des Villes'!$B$2:$B$1128,1,FALSE)</f>
        <v>#N/A</v>
      </c>
      <c r="Q181" s="9" t="str">
        <f>IFERROR($P181,PROPER(VLOOKUP($O181,'Villes en erreur'!$A$2:$B$72,2,FALSE)))</f>
        <v>Saint-Jérôme</v>
      </c>
      <c r="R181" s="9" t="str">
        <f>IFERROR($P181,PROPER(VLOOKUP($O181,'Villes en erreur'!$A$2:$B$72,2,FALSE)))</f>
        <v>Saint-Jérôme</v>
      </c>
      <c r="S181" s="9" t="str">
        <f>IF(ISBLANK($R181),"",VLOOKUP($R181,'Liste des Villes'!$B$2:$H$1128,4,FALSE))</f>
        <v>Laurentides</v>
      </c>
      <c r="T181" s="2" t="s">
        <v>399</v>
      </c>
      <c r="U181" s="2" t="s">
        <v>39</v>
      </c>
      <c r="V181" s="2" t="s">
        <v>40</v>
      </c>
      <c r="W181" s="2" t="s">
        <v>1286</v>
      </c>
      <c r="X181" s="2"/>
      <c r="Y181" s="2"/>
      <c r="Z181" s="2"/>
      <c r="AA181" s="2" t="s">
        <v>72</v>
      </c>
      <c r="AB181" s="2" t="s">
        <v>401</v>
      </c>
      <c r="AC181" s="4" t="s">
        <v>44</v>
      </c>
    </row>
    <row r="182" spans="1:29" x14ac:dyDescent="0.25">
      <c r="A182" s="1">
        <v>3438</v>
      </c>
      <c r="B182" s="17" t="s">
        <v>1287</v>
      </c>
      <c r="C182" s="2" t="s">
        <v>1288</v>
      </c>
      <c r="D182" s="15" t="s">
        <v>601</v>
      </c>
      <c r="E182" s="9" t="s">
        <v>1289</v>
      </c>
      <c r="F182" s="9" t="s">
        <v>599</v>
      </c>
      <c r="G182" s="9" t="s">
        <v>678</v>
      </c>
      <c r="H182" s="2" t="s">
        <v>60</v>
      </c>
      <c r="I182" s="3">
        <v>33278</v>
      </c>
      <c r="J182" s="9" t="str">
        <f t="shared" ca="1" si="2"/>
        <v>32 ans</v>
      </c>
      <c r="K182" s="2" t="s">
        <v>36</v>
      </c>
      <c r="L182" s="2" t="str">
        <f>"30"</f>
        <v>30</v>
      </c>
      <c r="M182" s="2"/>
      <c r="N182" s="2" t="str">
        <f>"AV DES CAPUCINES"</f>
        <v>AV DES CAPUCINES</v>
      </c>
      <c r="O182" s="2" t="s">
        <v>37</v>
      </c>
      <c r="P182" s="9" t="e">
        <f>VLOOKUP($O182,'Liste des Villes'!$B$2:$B$1128,1,FALSE)</f>
        <v>#N/A</v>
      </c>
      <c r="Q182" s="9" t="str">
        <f>IFERROR($P182,PROPER(VLOOKUP($O182,'Villes en erreur'!$A$2:$B$72,2,FALSE)))</f>
        <v>Saint-Lin–Laurentides</v>
      </c>
      <c r="R182" s="9" t="str">
        <f>IFERROR($P182,PROPER(VLOOKUP($O182,'Villes en erreur'!$A$2:$B$72,2,FALSE)))</f>
        <v>Saint-Lin–Laurentides</v>
      </c>
      <c r="S182" s="9" t="str">
        <f>IF(ISBLANK($R182),"",VLOOKUP($R182,'Liste des Villes'!$B$2:$H$1128,4,FALSE))</f>
        <v>Lanaudière</v>
      </c>
      <c r="T182" s="2" t="s">
        <v>38</v>
      </c>
      <c r="U182" s="2" t="s">
        <v>39</v>
      </c>
      <c r="V182" s="2" t="s">
        <v>40</v>
      </c>
      <c r="W182" s="2" t="s">
        <v>1290</v>
      </c>
      <c r="X182" s="2"/>
      <c r="Y182" s="2"/>
      <c r="Z182" s="2"/>
      <c r="AA182" s="2" t="s">
        <v>42</v>
      </c>
      <c r="AB182" s="2" t="s">
        <v>43</v>
      </c>
      <c r="AC182" s="4" t="s">
        <v>44</v>
      </c>
    </row>
    <row r="183" spans="1:29" x14ac:dyDescent="0.25">
      <c r="A183" s="1">
        <v>3859</v>
      </c>
      <c r="B183" s="17" t="s">
        <v>1291</v>
      </c>
      <c r="C183" s="2" t="s">
        <v>1292</v>
      </c>
      <c r="D183" s="15" t="s">
        <v>1293</v>
      </c>
      <c r="E183" s="9" t="s">
        <v>450</v>
      </c>
      <c r="F183" s="9" t="s">
        <v>1294</v>
      </c>
      <c r="G183" s="9" t="s">
        <v>1295</v>
      </c>
      <c r="H183" s="2" t="s">
        <v>60</v>
      </c>
      <c r="I183" s="3">
        <v>36759</v>
      </c>
      <c r="J183" s="9" t="str">
        <f t="shared" ca="1" si="2"/>
        <v>23 ans</v>
      </c>
      <c r="K183" s="2" t="s">
        <v>68</v>
      </c>
      <c r="L183" s="2" t="str">
        <f>"664"</f>
        <v>664</v>
      </c>
      <c r="M183" s="2"/>
      <c r="N183" s="2" t="str">
        <f>"RUE DES DINARS"</f>
        <v>RUE DES DINARS</v>
      </c>
      <c r="O183" s="2" t="s">
        <v>1296</v>
      </c>
      <c r="P183" s="9" t="e">
        <f>VLOOKUP($O183,'Liste des Villes'!$B$2:$B$1128,1,FALSE)</f>
        <v>#N/A</v>
      </c>
      <c r="Q183" s="9" t="str">
        <f>IFERROR($P183,PROPER(VLOOKUP($O183,'Villes en erreur'!$A$2:$B$72,2,FALSE)))</f>
        <v>Sainte-Adèle</v>
      </c>
      <c r="R183" s="9" t="str">
        <f>IFERROR($P183,PROPER(VLOOKUP($O183,'Villes en erreur'!$A$2:$B$72,2,FALSE)))</f>
        <v>Sainte-Adèle</v>
      </c>
      <c r="S183" s="9" t="str">
        <f>IF(ISBLANK($R183),"",VLOOKUP($R183,'Liste des Villes'!$B$2:$H$1128,4,FALSE))</f>
        <v>Laurentides</v>
      </c>
      <c r="T183" s="2" t="s">
        <v>1297</v>
      </c>
      <c r="U183" s="2" t="s">
        <v>39</v>
      </c>
      <c r="V183" s="2" t="s">
        <v>40</v>
      </c>
      <c r="W183" s="2" t="s">
        <v>1298</v>
      </c>
      <c r="X183" s="2"/>
      <c r="Y183" s="2"/>
      <c r="Z183" s="2"/>
      <c r="AA183" s="2" t="s">
        <v>72</v>
      </c>
      <c r="AB183" s="2" t="s">
        <v>192</v>
      </c>
      <c r="AC183" s="4" t="s">
        <v>44</v>
      </c>
    </row>
    <row r="184" spans="1:29" x14ac:dyDescent="0.25">
      <c r="A184" s="1">
        <v>676</v>
      </c>
      <c r="B184" s="17" t="s">
        <v>1299</v>
      </c>
      <c r="C184" s="2" t="s">
        <v>1300</v>
      </c>
      <c r="D184" s="15" t="s">
        <v>1301</v>
      </c>
      <c r="E184" s="9" t="s">
        <v>1302</v>
      </c>
      <c r="F184" s="9" t="s">
        <v>1303</v>
      </c>
      <c r="G184" s="9" t="s">
        <v>570</v>
      </c>
      <c r="H184" s="2" t="s">
        <v>60</v>
      </c>
      <c r="I184" s="3">
        <v>36759</v>
      </c>
      <c r="J184" s="9" t="str">
        <f t="shared" ca="1" si="2"/>
        <v>23 ans</v>
      </c>
      <c r="K184" s="2" t="s">
        <v>68</v>
      </c>
      <c r="L184" s="2" t="str">
        <f>"667"</f>
        <v>667</v>
      </c>
      <c r="M184" s="2"/>
      <c r="N184" s="2" t="str">
        <f>"RUE DES DRAVEURS"</f>
        <v>RUE DES DRAVEURS</v>
      </c>
      <c r="O184" s="2" t="s">
        <v>1304</v>
      </c>
      <c r="P184" s="9" t="e">
        <f>VLOOKUP($O184,'Liste des Villes'!$B$2:$B$1128,1,FALSE)</f>
        <v>#N/A</v>
      </c>
      <c r="Q184" s="9" t="str">
        <f>IFERROR($P184,PROPER(VLOOKUP($O184,'Villes en erreur'!$A$2:$B$72,2,FALSE)))</f>
        <v>Sainte-Marguerite</v>
      </c>
      <c r="R184" s="9" t="str">
        <f>IFERROR($P184,PROPER(VLOOKUP($O184,'Villes en erreur'!$A$2:$B$72,2,FALSE)))</f>
        <v>Sainte-Marguerite</v>
      </c>
      <c r="S184" s="9" t="str">
        <f>IF(ISBLANK($R184),"",VLOOKUP($R184,'Liste des Villes'!$B$2:$H$1128,4,FALSE))</f>
        <v>Chaudière-Appalaches</v>
      </c>
      <c r="T184" s="2" t="s">
        <v>1305</v>
      </c>
      <c r="U184" s="2" t="s">
        <v>39</v>
      </c>
      <c r="V184" s="2" t="s">
        <v>40</v>
      </c>
      <c r="W184" s="2" t="s">
        <v>1306</v>
      </c>
      <c r="X184" s="2"/>
      <c r="Y184" s="2"/>
      <c r="Z184" s="2"/>
      <c r="AA184" s="2" t="s">
        <v>72</v>
      </c>
      <c r="AB184" s="2" t="s">
        <v>192</v>
      </c>
      <c r="AC184" s="4" t="s">
        <v>44</v>
      </c>
    </row>
    <row r="185" spans="1:29" x14ac:dyDescent="0.25">
      <c r="A185" s="1">
        <v>906</v>
      </c>
      <c r="B185" s="17" t="s">
        <v>1307</v>
      </c>
      <c r="C185" s="2" t="s">
        <v>1009</v>
      </c>
      <c r="D185" s="15" t="s">
        <v>1010</v>
      </c>
      <c r="E185" s="9" t="s">
        <v>277</v>
      </c>
      <c r="F185" s="9" t="s">
        <v>1011</v>
      </c>
      <c r="G185" s="9" t="s">
        <v>1308</v>
      </c>
      <c r="H185" s="2" t="s">
        <v>60</v>
      </c>
      <c r="I185" s="3">
        <v>24499</v>
      </c>
      <c r="J185" s="9" t="str">
        <f t="shared" ca="1" si="2"/>
        <v>56 ans</v>
      </c>
      <c r="K185" s="2" t="s">
        <v>36</v>
      </c>
      <c r="L185" s="2" t="str">
        <f>"1"</f>
        <v>1</v>
      </c>
      <c r="M185" s="2"/>
      <c r="N185" s="2" t="str">
        <f>"103E AV"</f>
        <v>103E AV</v>
      </c>
      <c r="O185" s="2" t="s">
        <v>1309</v>
      </c>
      <c r="P185" s="9" t="e">
        <f>VLOOKUP($O185,'Liste des Villes'!$B$2:$B$1128,1,FALSE)</f>
        <v>#N/A</v>
      </c>
      <c r="Q185" s="9" t="str">
        <f>IFERROR($P185,PROPER(VLOOKUP($O185,'Villes en erreur'!$A$2:$B$72,2,FALSE)))</f>
        <v>Montréal</v>
      </c>
      <c r="R185" s="9" t="str">
        <f>IFERROR($P185,PROPER(VLOOKUP($O185,'Villes en erreur'!$A$2:$B$72,2,FALSE)))</f>
        <v>Montréal</v>
      </c>
      <c r="S185" s="9" t="str">
        <f>IF(ISBLANK($R185),"",VLOOKUP($R185,'Liste des Villes'!$B$2:$H$1128,4,FALSE))</f>
        <v>Montréal</v>
      </c>
      <c r="T185" s="2" t="s">
        <v>1310</v>
      </c>
      <c r="U185" s="2" t="s">
        <v>39</v>
      </c>
      <c r="V185" s="2" t="s">
        <v>40</v>
      </c>
      <c r="W185" s="2" t="s">
        <v>1311</v>
      </c>
      <c r="X185" s="2"/>
      <c r="Y185" s="2"/>
      <c r="Z185" s="2"/>
      <c r="AA185" s="2" t="s">
        <v>149</v>
      </c>
      <c r="AB185" s="2" t="s">
        <v>445</v>
      </c>
      <c r="AC185" s="4" t="s">
        <v>446</v>
      </c>
    </row>
    <row r="186" spans="1:29" x14ac:dyDescent="0.25">
      <c r="A186" s="1">
        <v>1231</v>
      </c>
      <c r="B186" s="17" t="s">
        <v>1312</v>
      </c>
      <c r="C186" s="2" t="s">
        <v>1313</v>
      </c>
      <c r="D186" s="15" t="s">
        <v>1314</v>
      </c>
      <c r="E186" s="9" t="s">
        <v>1315</v>
      </c>
      <c r="F186" s="9" t="s">
        <v>1316</v>
      </c>
      <c r="G186" s="9" t="s">
        <v>305</v>
      </c>
      <c r="H186" s="2" t="s">
        <v>60</v>
      </c>
      <c r="I186" s="3">
        <v>31731</v>
      </c>
      <c r="J186" s="9" t="str">
        <f t="shared" ca="1" si="2"/>
        <v>36 ans</v>
      </c>
      <c r="K186" s="2" t="s">
        <v>36</v>
      </c>
      <c r="L186" s="2" t="str">
        <f>"17"</f>
        <v>17</v>
      </c>
      <c r="M186" s="2"/>
      <c r="N186" s="2" t="str">
        <f>"383E AV"</f>
        <v>383E AV</v>
      </c>
      <c r="O186" s="2" t="s">
        <v>1317</v>
      </c>
      <c r="P186" s="9" t="e">
        <f>VLOOKUP($O186,'Liste des Villes'!$B$2:$B$1128,1,FALSE)</f>
        <v>#N/A</v>
      </c>
      <c r="Q186" s="9" t="str">
        <f>IFERROR($P186,PROPER(VLOOKUP($O186,'Villes en erreur'!$A$2:$B$72,2,FALSE)))</f>
        <v>Saint-Colomban</v>
      </c>
      <c r="R186" s="9" t="str">
        <f>IFERROR($P186,PROPER(VLOOKUP($O186,'Villes en erreur'!$A$2:$B$72,2,FALSE)))</f>
        <v>Saint-Colomban</v>
      </c>
      <c r="S186" s="9" t="str">
        <f>IF(ISBLANK($R186),"",VLOOKUP($R186,'Liste des Villes'!$B$2:$H$1128,4,FALSE))</f>
        <v>Laurentides</v>
      </c>
      <c r="T186" s="2" t="s">
        <v>1318</v>
      </c>
      <c r="U186" s="2" t="s">
        <v>39</v>
      </c>
      <c r="V186" s="2" t="s">
        <v>40</v>
      </c>
      <c r="W186" s="2" t="s">
        <v>1319</v>
      </c>
      <c r="X186" s="2"/>
      <c r="Y186" s="2"/>
      <c r="Z186" s="2"/>
      <c r="AA186" s="2" t="s">
        <v>149</v>
      </c>
      <c r="AB186" s="2" t="s">
        <v>150</v>
      </c>
      <c r="AC186" s="4" t="s">
        <v>44</v>
      </c>
    </row>
    <row r="187" spans="1:29" x14ac:dyDescent="0.25">
      <c r="A187" s="1">
        <v>1647</v>
      </c>
      <c r="B187" s="17" t="s">
        <v>1320</v>
      </c>
      <c r="C187" s="2" t="s">
        <v>1321</v>
      </c>
      <c r="D187" s="15" t="s">
        <v>1322</v>
      </c>
      <c r="E187" s="9" t="s">
        <v>1323</v>
      </c>
      <c r="F187" s="9" t="s">
        <v>1324</v>
      </c>
      <c r="G187" s="9" t="s">
        <v>114</v>
      </c>
      <c r="H187" s="2" t="s">
        <v>60</v>
      </c>
      <c r="I187" s="3">
        <v>36257</v>
      </c>
      <c r="J187" s="9" t="str">
        <f t="shared" ca="1" si="2"/>
        <v>24 ans</v>
      </c>
      <c r="K187" s="2" t="s">
        <v>123</v>
      </c>
      <c r="L187" s="2" t="str">
        <f>"271"</f>
        <v>271</v>
      </c>
      <c r="M187" s="2"/>
      <c r="N187" s="2" t="str">
        <f>"RUE BERTHIAUME"</f>
        <v>RUE BERTHIAUME</v>
      </c>
      <c r="O187" s="2" t="s">
        <v>971</v>
      </c>
      <c r="P187" s="9" t="e">
        <f>VLOOKUP($O187,'Liste des Villes'!$B$2:$B$1128,1,FALSE)</f>
        <v>#N/A</v>
      </c>
      <c r="Q187" s="9" t="str">
        <f>IFERROR($P187,PROPER(VLOOKUP($O187,'Villes en erreur'!$A$2:$B$72,2,FALSE)))</f>
        <v>Saint-Jérôme</v>
      </c>
      <c r="R187" s="9" t="str">
        <f>IFERROR($P187,PROPER(VLOOKUP($O187,'Villes en erreur'!$A$2:$B$72,2,FALSE)))</f>
        <v>Saint-Jérôme</v>
      </c>
      <c r="S187" s="9" t="str">
        <f>IF(ISBLANK($R187),"",VLOOKUP($R187,'Liste des Villes'!$B$2:$H$1128,4,FALSE))</f>
        <v>Laurentides</v>
      </c>
      <c r="T187" s="2" t="s">
        <v>1325</v>
      </c>
      <c r="U187" s="2" t="s">
        <v>39</v>
      </c>
      <c r="V187" s="2" t="s">
        <v>40</v>
      </c>
      <c r="W187" s="2" t="s">
        <v>1326</v>
      </c>
      <c r="X187" s="2"/>
      <c r="Y187" s="2"/>
      <c r="Z187" s="2"/>
      <c r="AA187" s="2" t="s">
        <v>832</v>
      </c>
      <c r="AB187" s="2" t="s">
        <v>73</v>
      </c>
      <c r="AC187" s="4" t="s">
        <v>44</v>
      </c>
    </row>
    <row r="188" spans="1:29" x14ac:dyDescent="0.25">
      <c r="A188" s="1">
        <v>1467</v>
      </c>
      <c r="B188" s="17" t="s">
        <v>1327</v>
      </c>
      <c r="C188" s="2" t="s">
        <v>1328</v>
      </c>
      <c r="D188" s="15" t="s">
        <v>1329</v>
      </c>
      <c r="E188" s="9" t="s">
        <v>1330</v>
      </c>
      <c r="F188" s="9" t="s">
        <v>1331</v>
      </c>
      <c r="G188" s="9" t="s">
        <v>1332</v>
      </c>
      <c r="H188" s="2" t="s">
        <v>60</v>
      </c>
      <c r="I188" s="3">
        <v>36581</v>
      </c>
      <c r="J188" s="9" t="str">
        <f t="shared" ca="1" si="2"/>
        <v>23 ans</v>
      </c>
      <c r="K188" s="2" t="s">
        <v>68</v>
      </c>
      <c r="L188" s="2" t="str">
        <f>"474"</f>
        <v>474</v>
      </c>
      <c r="M188" s="2"/>
      <c r="N188" s="2" t="str">
        <f>"RUE DE LA SEIGNEURIE"</f>
        <v>RUE DE LA SEIGNEURIE</v>
      </c>
      <c r="O188" s="2" t="s">
        <v>512</v>
      </c>
      <c r="P188" s="9" t="e">
        <f>VLOOKUP($O188,'Liste des Villes'!$B$2:$B$1128,1,FALSE)</f>
        <v>#N/A</v>
      </c>
      <c r="Q188" s="9" t="str">
        <f>IFERROR($P188,PROPER(VLOOKUP($O188,'Villes en erreur'!$A$2:$B$72,2,FALSE)))</f>
        <v>Laval</v>
      </c>
      <c r="R188" s="9" t="str">
        <f>IFERROR($P188,PROPER(VLOOKUP($O188,'Villes en erreur'!$A$2:$B$72,2,FALSE)))</f>
        <v>Laval</v>
      </c>
      <c r="S188" s="9" t="str">
        <f>IF(ISBLANK($R188),"",VLOOKUP($R188,'Liste des Villes'!$B$2:$H$1128,4,FALSE))</f>
        <v>Laval</v>
      </c>
      <c r="T188" s="2" t="s">
        <v>1333</v>
      </c>
      <c r="U188" s="2" t="s">
        <v>39</v>
      </c>
      <c r="V188" s="2" t="s">
        <v>40</v>
      </c>
      <c r="W188" s="2" t="s">
        <v>1334</v>
      </c>
      <c r="X188" s="2"/>
      <c r="Y188" s="2"/>
      <c r="Z188" s="2"/>
      <c r="AA188" s="2" t="s">
        <v>515</v>
      </c>
      <c r="AB188" s="2" t="s">
        <v>73</v>
      </c>
      <c r="AC188" s="4" t="s">
        <v>44</v>
      </c>
    </row>
    <row r="189" spans="1:29" x14ac:dyDescent="0.25">
      <c r="A189" s="1">
        <v>3336</v>
      </c>
      <c r="B189" s="17" t="s">
        <v>1335</v>
      </c>
      <c r="C189" s="2" t="s">
        <v>1336</v>
      </c>
      <c r="D189" s="15" t="s">
        <v>1236</v>
      </c>
      <c r="E189" s="9" t="s">
        <v>1337</v>
      </c>
      <c r="F189" s="9" t="s">
        <v>171</v>
      </c>
      <c r="G189" s="9" t="s">
        <v>678</v>
      </c>
      <c r="H189" s="2" t="s">
        <v>60</v>
      </c>
      <c r="I189" s="3">
        <v>33280</v>
      </c>
      <c r="J189" s="9" t="str">
        <f t="shared" ca="1" si="2"/>
        <v>32 ans</v>
      </c>
      <c r="K189" s="2" t="s">
        <v>36</v>
      </c>
      <c r="L189" s="2" t="str">
        <f>"30"</f>
        <v>30</v>
      </c>
      <c r="M189" s="2"/>
      <c r="N189" s="2" t="str">
        <f>"AV DES COLOMBES"</f>
        <v>AV DES COLOMBES</v>
      </c>
      <c r="O189" s="2" t="s">
        <v>37</v>
      </c>
      <c r="P189" s="9" t="e">
        <f>VLOOKUP($O189,'Liste des Villes'!$B$2:$B$1128,1,FALSE)</f>
        <v>#N/A</v>
      </c>
      <c r="Q189" s="9" t="str">
        <f>IFERROR($P189,PROPER(VLOOKUP($O189,'Villes en erreur'!$A$2:$B$72,2,FALSE)))</f>
        <v>Saint-Lin–Laurentides</v>
      </c>
      <c r="R189" s="9" t="str">
        <f>IFERROR($P189,PROPER(VLOOKUP($O189,'Villes en erreur'!$A$2:$B$72,2,FALSE)))</f>
        <v>Saint-Lin–Laurentides</v>
      </c>
      <c r="S189" s="9" t="str">
        <f>IF(ISBLANK($R189),"",VLOOKUP($R189,'Liste des Villes'!$B$2:$H$1128,4,FALSE))</f>
        <v>Lanaudière</v>
      </c>
      <c r="T189" s="2" t="s">
        <v>38</v>
      </c>
      <c r="U189" s="2" t="s">
        <v>39</v>
      </c>
      <c r="V189" s="2" t="s">
        <v>40</v>
      </c>
      <c r="W189" s="2" t="s">
        <v>1338</v>
      </c>
      <c r="X189" s="2"/>
      <c r="Y189" s="2"/>
      <c r="Z189" s="2"/>
      <c r="AA189" s="2" t="s">
        <v>42</v>
      </c>
      <c r="AB189" s="2" t="s">
        <v>43</v>
      </c>
      <c r="AC189" s="4" t="s">
        <v>44</v>
      </c>
    </row>
    <row r="190" spans="1:29" x14ac:dyDescent="0.25">
      <c r="A190" s="1">
        <v>3166</v>
      </c>
      <c r="B190" s="17" t="s">
        <v>1339</v>
      </c>
      <c r="C190" s="2" t="s">
        <v>1340</v>
      </c>
      <c r="D190" s="15" t="s">
        <v>1268</v>
      </c>
      <c r="E190" s="9" t="s">
        <v>1341</v>
      </c>
      <c r="F190" s="9" t="s">
        <v>1342</v>
      </c>
      <c r="G190" s="9" t="s">
        <v>1343</v>
      </c>
      <c r="H190" s="2" t="s">
        <v>60</v>
      </c>
      <c r="I190" s="3">
        <v>37364</v>
      </c>
      <c r="J190" s="9" t="str">
        <f t="shared" ca="1" si="2"/>
        <v>21 ans</v>
      </c>
      <c r="K190" s="2" t="s">
        <v>262</v>
      </c>
      <c r="L190" s="2" t="str">
        <f>"7610"</f>
        <v>7610</v>
      </c>
      <c r="M190" s="2"/>
      <c r="N190" s="2" t="str">
        <f>"RUE PARTHENAIS"</f>
        <v>RUE PARTHENAIS</v>
      </c>
      <c r="O190" s="2" t="s">
        <v>1344</v>
      </c>
      <c r="P190" s="9" t="e">
        <f>VLOOKUP($O190,'Liste des Villes'!$B$2:$B$1128,1,FALSE)</f>
        <v>#N/A</v>
      </c>
      <c r="Q190" s="9" t="str">
        <f>IFERROR($P190,PROPER(VLOOKUP($O190,'Villes en erreur'!$A$2:$B$72,2,FALSE)))</f>
        <v>Lac-Chicobi</v>
      </c>
      <c r="R190" s="9" t="str">
        <f>IFERROR($P190,PROPER(VLOOKUP($O190,'Villes en erreur'!$A$2:$B$72,2,FALSE)))</f>
        <v>Lac-Chicobi</v>
      </c>
      <c r="S190" s="9" t="str">
        <f>IF(ISBLANK($R190),"",VLOOKUP($R190,'Liste des Villes'!$B$2:$H$1128,4,FALSE))</f>
        <v>Abitibi-Témiscamingue</v>
      </c>
      <c r="T190" s="2" t="s">
        <v>1345</v>
      </c>
      <c r="U190" s="2" t="s">
        <v>39</v>
      </c>
      <c r="V190" s="2" t="s">
        <v>40</v>
      </c>
      <c r="W190" s="2" t="s">
        <v>1346</v>
      </c>
      <c r="X190" s="2" t="str">
        <f>"4505690717"</f>
        <v>4505690717</v>
      </c>
      <c r="Y190" s="2" t="str">
        <f>"5145065615"</f>
        <v>5145065615</v>
      </c>
      <c r="Z190" s="2"/>
      <c r="AA190" s="2" t="s">
        <v>266</v>
      </c>
      <c r="AB190" s="2" t="s">
        <v>267</v>
      </c>
      <c r="AC190" s="4" t="s">
        <v>44</v>
      </c>
    </row>
    <row r="191" spans="1:29" x14ac:dyDescent="0.25">
      <c r="A191" s="1">
        <v>3140</v>
      </c>
      <c r="B191" s="17" t="s">
        <v>1347</v>
      </c>
      <c r="C191" s="2" t="s">
        <v>1348</v>
      </c>
      <c r="D191" s="15" t="s">
        <v>1349</v>
      </c>
      <c r="E191" s="9" t="s">
        <v>380</v>
      </c>
      <c r="F191" s="9" t="s">
        <v>1350</v>
      </c>
      <c r="G191" s="9" t="s">
        <v>985</v>
      </c>
      <c r="H191" s="2" t="s">
        <v>60</v>
      </c>
      <c r="I191" s="3">
        <v>36264</v>
      </c>
      <c r="J191" s="9" t="str">
        <f t="shared" ca="1" si="2"/>
        <v>24 ans</v>
      </c>
      <c r="K191" s="2" t="s">
        <v>123</v>
      </c>
      <c r="L191" s="2" t="str">
        <f>"275"</f>
        <v>275</v>
      </c>
      <c r="M191" s="2"/>
      <c r="N191" s="2" t="str">
        <f>"RUE BINETTE"</f>
        <v>RUE BINETTE</v>
      </c>
      <c r="O191" s="2" t="s">
        <v>829</v>
      </c>
      <c r="P191" s="9" t="e">
        <f>VLOOKUP($O191,'Liste des Villes'!$B$2:$B$1128,1,FALSE)</f>
        <v>#N/A</v>
      </c>
      <c r="Q191" s="9" t="str">
        <f>IFERROR($P191,PROPER(VLOOKUP($O191,'Villes en erreur'!$A$2:$B$72,2,FALSE)))</f>
        <v>Saint-Jérôme</v>
      </c>
      <c r="R191" s="9" t="str">
        <f>IFERROR($P191,PROPER(VLOOKUP($O191,'Villes en erreur'!$A$2:$B$72,2,FALSE)))</f>
        <v>Saint-Jérôme</v>
      </c>
      <c r="S191" s="9" t="str">
        <f>IF(ISBLANK($R191),"",VLOOKUP($R191,'Liste des Villes'!$B$2:$H$1128,4,FALSE))</f>
        <v>Laurentides</v>
      </c>
      <c r="T191" s="2" t="s">
        <v>830</v>
      </c>
      <c r="U191" s="2" t="s">
        <v>39</v>
      </c>
      <c r="V191" s="2" t="s">
        <v>40</v>
      </c>
      <c r="W191" s="2" t="s">
        <v>1351</v>
      </c>
      <c r="X191" s="2"/>
      <c r="Y191" s="2"/>
      <c r="Z191" s="2"/>
      <c r="AA191" s="2" t="s">
        <v>832</v>
      </c>
      <c r="AB191" s="2" t="s">
        <v>73</v>
      </c>
      <c r="AC191" s="4" t="s">
        <v>44</v>
      </c>
    </row>
    <row r="192" spans="1:29" x14ac:dyDescent="0.25">
      <c r="A192" s="1">
        <v>3865</v>
      </c>
      <c r="B192" s="17" t="s">
        <v>1352</v>
      </c>
      <c r="C192" s="2" t="s">
        <v>1353</v>
      </c>
      <c r="D192" s="15" t="s">
        <v>1354</v>
      </c>
      <c r="E192" s="9" t="s">
        <v>1355</v>
      </c>
      <c r="F192" s="9" t="s">
        <v>1356</v>
      </c>
      <c r="G192" s="9" t="s">
        <v>94</v>
      </c>
      <c r="H192" s="2" t="s">
        <v>60</v>
      </c>
      <c r="I192" s="3">
        <v>33213</v>
      </c>
      <c r="J192" s="9" t="str">
        <f t="shared" ca="1" si="2"/>
        <v>32 ans</v>
      </c>
      <c r="K192" s="2" t="s">
        <v>36</v>
      </c>
      <c r="L192" s="2" t="str">
        <f>"29"</f>
        <v>29</v>
      </c>
      <c r="M192" s="2"/>
      <c r="N192" s="2" t="str">
        <f>"AV DE LA VALLÉE"</f>
        <v>AV DE LA VALLÉE</v>
      </c>
      <c r="O192" s="2" t="s">
        <v>37</v>
      </c>
      <c r="P192" s="9" t="e">
        <f>VLOOKUP($O192,'Liste des Villes'!$B$2:$B$1128,1,FALSE)</f>
        <v>#N/A</v>
      </c>
      <c r="Q192" s="9" t="str">
        <f>IFERROR($P192,PROPER(VLOOKUP($O192,'Villes en erreur'!$A$2:$B$72,2,FALSE)))</f>
        <v>Saint-Lin–Laurentides</v>
      </c>
      <c r="R192" s="9" t="str">
        <f>IFERROR($P192,PROPER(VLOOKUP($O192,'Villes en erreur'!$A$2:$B$72,2,FALSE)))</f>
        <v>Saint-Lin–Laurentides</v>
      </c>
      <c r="S192" s="9" t="str">
        <f>IF(ISBLANK($R192),"",VLOOKUP($R192,'Liste des Villes'!$B$2:$H$1128,4,FALSE))</f>
        <v>Lanaudière</v>
      </c>
      <c r="T192" s="2" t="s">
        <v>38</v>
      </c>
      <c r="U192" s="2" t="s">
        <v>39</v>
      </c>
      <c r="V192" s="2" t="s">
        <v>40</v>
      </c>
      <c r="W192" s="2" t="s">
        <v>1357</v>
      </c>
      <c r="X192" s="2"/>
      <c r="Y192" s="2"/>
      <c r="Z192" s="2"/>
      <c r="AA192" s="2" t="s">
        <v>42</v>
      </c>
      <c r="AB192" s="2" t="s">
        <v>43</v>
      </c>
      <c r="AC192" s="4" t="s">
        <v>44</v>
      </c>
    </row>
    <row r="193" spans="1:29" x14ac:dyDescent="0.25">
      <c r="A193" s="1">
        <v>122</v>
      </c>
      <c r="B193" s="17" t="s">
        <v>1358</v>
      </c>
      <c r="C193" s="2" t="s">
        <v>1359</v>
      </c>
      <c r="D193" s="15" t="s">
        <v>1360</v>
      </c>
      <c r="E193" s="9" t="s">
        <v>1361</v>
      </c>
      <c r="F193" s="9" t="s">
        <v>1362</v>
      </c>
      <c r="G193" s="9" t="s">
        <v>87</v>
      </c>
      <c r="H193" s="2" t="s">
        <v>60</v>
      </c>
      <c r="I193" s="3">
        <v>33304</v>
      </c>
      <c r="J193" s="9" t="str">
        <f t="shared" ca="1" si="2"/>
        <v>32 ans</v>
      </c>
      <c r="K193" s="2" t="s">
        <v>36</v>
      </c>
      <c r="L193" s="2" t="str">
        <f>"31"</f>
        <v>31</v>
      </c>
      <c r="M193" s="2"/>
      <c r="N193" s="2" t="str">
        <f>"AV DES MÉLÈZES"</f>
        <v>AV DES MÉLÈZES</v>
      </c>
      <c r="O193" s="2" t="s">
        <v>37</v>
      </c>
      <c r="P193" s="9" t="e">
        <f>VLOOKUP($O193,'Liste des Villes'!$B$2:$B$1128,1,FALSE)</f>
        <v>#N/A</v>
      </c>
      <c r="Q193" s="9" t="str">
        <f>IFERROR($P193,PROPER(VLOOKUP($O193,'Villes en erreur'!$A$2:$B$72,2,FALSE)))</f>
        <v>Saint-Lin–Laurentides</v>
      </c>
      <c r="R193" s="9" t="str">
        <f>IFERROR($P193,PROPER(VLOOKUP($O193,'Villes en erreur'!$A$2:$B$72,2,FALSE)))</f>
        <v>Saint-Lin–Laurentides</v>
      </c>
      <c r="S193" s="9" t="str">
        <f>IF(ISBLANK($R193),"",VLOOKUP($R193,'Liste des Villes'!$B$2:$H$1128,4,FALSE))</f>
        <v>Lanaudière</v>
      </c>
      <c r="T193" s="2" t="s">
        <v>38</v>
      </c>
      <c r="U193" s="2" t="s">
        <v>39</v>
      </c>
      <c r="V193" s="2" t="s">
        <v>40</v>
      </c>
      <c r="W193" s="2" t="s">
        <v>1363</v>
      </c>
      <c r="X193" s="2"/>
      <c r="Y193" s="2"/>
      <c r="Z193" s="2"/>
      <c r="AA193" s="2" t="s">
        <v>42</v>
      </c>
      <c r="AB193" s="2" t="s">
        <v>53</v>
      </c>
      <c r="AC193" s="4" t="s">
        <v>44</v>
      </c>
    </row>
    <row r="194" spans="1:29" x14ac:dyDescent="0.25">
      <c r="A194" s="1">
        <v>4159</v>
      </c>
      <c r="B194" s="17" t="s">
        <v>1364</v>
      </c>
      <c r="C194" s="2" t="s">
        <v>1365</v>
      </c>
      <c r="D194" s="15" t="s">
        <v>1366</v>
      </c>
      <c r="E194" s="9" t="s">
        <v>277</v>
      </c>
      <c r="F194" s="9" t="s">
        <v>1367</v>
      </c>
      <c r="G194" s="9" t="s">
        <v>405</v>
      </c>
      <c r="H194" s="2" t="s">
        <v>60</v>
      </c>
      <c r="I194" s="3">
        <v>31559</v>
      </c>
      <c r="J194" s="9" t="str">
        <f t="shared" ref="J194:J257" ca="1" si="3">_xlfn.CONCAT(INT((TODAY()-$I194)/365.25)," ans")</f>
        <v>37 ans</v>
      </c>
      <c r="K194" s="2" t="s">
        <v>36</v>
      </c>
      <c r="L194" s="2" t="str">
        <f>"15"</f>
        <v>15</v>
      </c>
      <c r="M194" s="2"/>
      <c r="N194" s="2" t="str">
        <f>"34E AV"</f>
        <v>34E AV</v>
      </c>
      <c r="O194" s="2" t="s">
        <v>497</v>
      </c>
      <c r="P194" s="9" t="e">
        <f>VLOOKUP($O194,'Liste des Villes'!$B$2:$B$1128,1,FALSE)</f>
        <v>#N/A</v>
      </c>
      <c r="Q194" s="9" t="str">
        <f>IFERROR($P194,PROPER(VLOOKUP($O194,'Villes en erreur'!$A$2:$B$72,2,FALSE)))</f>
        <v>Sainte-Sophie</v>
      </c>
      <c r="R194" s="9" t="str">
        <f>IFERROR($P194,PROPER(VLOOKUP($O194,'Villes en erreur'!$A$2:$B$72,2,FALSE)))</f>
        <v>Sainte-Sophie</v>
      </c>
      <c r="S194" s="9" t="str">
        <f>IF(ISBLANK($R194),"",VLOOKUP($R194,'Liste des Villes'!$B$2:$H$1128,4,FALSE))</f>
        <v>Laurentides</v>
      </c>
      <c r="T194" s="2" t="s">
        <v>585</v>
      </c>
      <c r="U194" s="2" t="s">
        <v>39</v>
      </c>
      <c r="V194" s="2" t="s">
        <v>40</v>
      </c>
      <c r="W194" s="2" t="s">
        <v>1368</v>
      </c>
      <c r="X194" s="2"/>
      <c r="Y194" s="2"/>
      <c r="Z194" s="2"/>
      <c r="AA194" s="2" t="s">
        <v>149</v>
      </c>
      <c r="AB194" s="2" t="s">
        <v>150</v>
      </c>
      <c r="AC194" s="4" t="s">
        <v>44</v>
      </c>
    </row>
    <row r="195" spans="1:29" x14ac:dyDescent="0.25">
      <c r="A195" s="1">
        <v>3802</v>
      </c>
      <c r="B195" s="17" t="s">
        <v>1369</v>
      </c>
      <c r="C195" s="2" t="s">
        <v>1370</v>
      </c>
      <c r="D195" s="15" t="s">
        <v>1092</v>
      </c>
      <c r="E195" s="9" t="s">
        <v>92</v>
      </c>
      <c r="F195" s="9" t="s">
        <v>1371</v>
      </c>
      <c r="G195" s="9" t="s">
        <v>1372</v>
      </c>
      <c r="H195" s="2" t="s">
        <v>60</v>
      </c>
      <c r="I195" s="3">
        <v>36258</v>
      </c>
      <c r="J195" s="9" t="str">
        <f t="shared" ca="1" si="3"/>
        <v>24 ans</v>
      </c>
      <c r="K195" s="2" t="s">
        <v>123</v>
      </c>
      <c r="L195" s="2" t="str">
        <f>"273"</f>
        <v>273</v>
      </c>
      <c r="M195" s="2"/>
      <c r="N195" s="2" t="str">
        <f>"RUE BERTHIAUME"</f>
        <v>RUE BERTHIAUME</v>
      </c>
      <c r="O195" s="2" t="s">
        <v>971</v>
      </c>
      <c r="P195" s="9" t="e">
        <f>VLOOKUP($O195,'Liste des Villes'!$B$2:$B$1128,1,FALSE)</f>
        <v>#N/A</v>
      </c>
      <c r="Q195" s="9" t="str">
        <f>IFERROR($P195,PROPER(VLOOKUP($O195,'Villes en erreur'!$A$2:$B$72,2,FALSE)))</f>
        <v>Saint-Jérôme</v>
      </c>
      <c r="R195" s="9" t="str">
        <f>IFERROR($P195,PROPER(VLOOKUP($O195,'Villes en erreur'!$A$2:$B$72,2,FALSE)))</f>
        <v>Saint-Jérôme</v>
      </c>
      <c r="S195" s="9" t="str">
        <f>IF(ISBLANK($R195),"",VLOOKUP($R195,'Liste des Villes'!$B$2:$H$1128,4,FALSE))</f>
        <v>Laurentides</v>
      </c>
      <c r="T195" s="2" t="s">
        <v>1325</v>
      </c>
      <c r="U195" s="2" t="s">
        <v>39</v>
      </c>
      <c r="V195" s="2" t="s">
        <v>40</v>
      </c>
      <c r="W195" s="2" t="s">
        <v>1373</v>
      </c>
      <c r="X195" s="2"/>
      <c r="Y195" s="2"/>
      <c r="Z195" s="2"/>
      <c r="AA195" s="2" t="s">
        <v>832</v>
      </c>
      <c r="AB195" s="2" t="s">
        <v>73</v>
      </c>
      <c r="AC195" s="4" t="s">
        <v>44</v>
      </c>
    </row>
    <row r="196" spans="1:29" x14ac:dyDescent="0.25">
      <c r="A196" s="1">
        <v>4071</v>
      </c>
      <c r="B196" s="17" t="s">
        <v>1374</v>
      </c>
      <c r="C196" s="2" t="s">
        <v>1375</v>
      </c>
      <c r="D196" s="15" t="s">
        <v>1376</v>
      </c>
      <c r="E196" s="9" t="s">
        <v>1377</v>
      </c>
      <c r="F196" s="9" t="s">
        <v>1378</v>
      </c>
      <c r="G196" s="9" t="s">
        <v>145</v>
      </c>
      <c r="H196" s="2" t="s">
        <v>35</v>
      </c>
      <c r="I196" s="3">
        <v>31628</v>
      </c>
      <c r="J196" s="9" t="str">
        <f t="shared" ca="1" si="3"/>
        <v>37 ans</v>
      </c>
      <c r="K196" s="2" t="s">
        <v>36</v>
      </c>
      <c r="L196" s="2" t="str">
        <f>"15"</f>
        <v>15</v>
      </c>
      <c r="M196" s="2"/>
      <c r="N196" s="2" t="str">
        <f>"36E AV"</f>
        <v>36E AV</v>
      </c>
      <c r="O196" s="2" t="s">
        <v>998</v>
      </c>
      <c r="P196" s="9" t="e">
        <f>VLOOKUP($O196,'Liste des Villes'!$B$2:$B$1128,1,FALSE)</f>
        <v>#N/A</v>
      </c>
      <c r="Q196" s="9" t="str">
        <f>IFERROR($P196,PROPER(VLOOKUP($O196,'Villes en erreur'!$A$2:$B$72,2,FALSE)))</f>
        <v>Saint-Colomban</v>
      </c>
      <c r="R196" s="9" t="str">
        <f>IFERROR($P196,PROPER(VLOOKUP($O196,'Villes en erreur'!$A$2:$B$72,2,FALSE)))</f>
        <v>Saint-Colomban</v>
      </c>
      <c r="S196" s="9" t="str">
        <f>IF(ISBLANK($R196),"",VLOOKUP($R196,'Liste des Villes'!$B$2:$H$1128,4,FALSE))</f>
        <v>Laurentides</v>
      </c>
      <c r="T196" s="2" t="s">
        <v>1379</v>
      </c>
      <c r="U196" s="2" t="s">
        <v>39</v>
      </c>
      <c r="V196" s="2" t="s">
        <v>40</v>
      </c>
      <c r="W196" s="2" t="s">
        <v>1380</v>
      </c>
      <c r="X196" s="2"/>
      <c r="Y196" s="2"/>
      <c r="Z196" s="2"/>
      <c r="AA196" s="2" t="s">
        <v>149</v>
      </c>
      <c r="AB196" s="2" t="s">
        <v>150</v>
      </c>
      <c r="AC196" s="4" t="s">
        <v>44</v>
      </c>
    </row>
    <row r="197" spans="1:29" x14ac:dyDescent="0.25">
      <c r="A197" s="1">
        <v>4481</v>
      </c>
      <c r="B197" s="17" t="s">
        <v>1381</v>
      </c>
      <c r="C197" s="2" t="s">
        <v>1382</v>
      </c>
      <c r="D197" s="15" t="s">
        <v>1383</v>
      </c>
      <c r="E197" s="9" t="s">
        <v>255</v>
      </c>
      <c r="F197" s="9" t="s">
        <v>1384</v>
      </c>
      <c r="G197" s="9" t="s">
        <v>94</v>
      </c>
      <c r="H197" s="2" t="s">
        <v>60</v>
      </c>
      <c r="I197" s="3">
        <v>33263</v>
      </c>
      <c r="J197" s="9" t="str">
        <f t="shared" ca="1" si="3"/>
        <v>32 ans</v>
      </c>
      <c r="K197" s="2" t="s">
        <v>36</v>
      </c>
      <c r="L197" s="2" t="str">
        <f>"30"</f>
        <v>30</v>
      </c>
      <c r="M197" s="2"/>
      <c r="N197" s="2" t="str">
        <f>"AV DES CAPUCINES"</f>
        <v>AV DES CAPUCINES</v>
      </c>
      <c r="O197" s="2" t="s">
        <v>37</v>
      </c>
      <c r="P197" s="9" t="e">
        <f>VLOOKUP($O197,'Liste des Villes'!$B$2:$B$1128,1,FALSE)</f>
        <v>#N/A</v>
      </c>
      <c r="Q197" s="9" t="str">
        <f>IFERROR($P197,PROPER(VLOOKUP($O197,'Villes en erreur'!$A$2:$B$72,2,FALSE)))</f>
        <v>Saint-Lin–Laurentides</v>
      </c>
      <c r="R197" s="9" t="str">
        <f>IFERROR($P197,PROPER(VLOOKUP($O197,'Villes en erreur'!$A$2:$B$72,2,FALSE)))</f>
        <v>Saint-Lin–Laurentides</v>
      </c>
      <c r="S197" s="9" t="str">
        <f>IF(ISBLANK($R197),"",VLOOKUP($R197,'Liste des Villes'!$B$2:$H$1128,4,FALSE))</f>
        <v>Lanaudière</v>
      </c>
      <c r="T197" s="2" t="s">
        <v>38</v>
      </c>
      <c r="U197" s="2" t="s">
        <v>39</v>
      </c>
      <c r="V197" s="2" t="s">
        <v>40</v>
      </c>
      <c r="W197" s="2" t="s">
        <v>1385</v>
      </c>
      <c r="X197" s="2"/>
      <c r="Y197" s="2"/>
      <c r="Z197" s="2"/>
      <c r="AA197" s="2" t="s">
        <v>42</v>
      </c>
      <c r="AB197" s="2" t="s">
        <v>43</v>
      </c>
      <c r="AC197" s="4" t="s">
        <v>44</v>
      </c>
    </row>
    <row r="198" spans="1:29" x14ac:dyDescent="0.25">
      <c r="A198" s="1">
        <v>3013</v>
      </c>
      <c r="B198" s="17" t="s">
        <v>1386</v>
      </c>
      <c r="C198" s="2" t="s">
        <v>1387</v>
      </c>
      <c r="D198" s="15" t="s">
        <v>898</v>
      </c>
      <c r="E198" s="9" t="s">
        <v>1388</v>
      </c>
      <c r="F198" s="9" t="s">
        <v>1389</v>
      </c>
      <c r="G198" s="9" t="s">
        <v>1390</v>
      </c>
      <c r="H198" s="2" t="s">
        <v>60</v>
      </c>
      <c r="I198" s="3">
        <v>36266</v>
      </c>
      <c r="J198" s="9" t="str">
        <f t="shared" ca="1" si="3"/>
        <v>24 ans</v>
      </c>
      <c r="K198" s="2" t="s">
        <v>123</v>
      </c>
      <c r="L198" s="2" t="str">
        <f>"276"</f>
        <v>276</v>
      </c>
      <c r="M198" s="2"/>
      <c r="N198" s="2" t="str">
        <f>"RUE BLAISE"</f>
        <v>RUE BLAISE</v>
      </c>
      <c r="O198" s="2" t="s">
        <v>1391</v>
      </c>
      <c r="P198" s="9" t="e">
        <f>VLOOKUP($O198,'Liste des Villes'!$B$2:$B$1128,1,FALSE)</f>
        <v>#N/A</v>
      </c>
      <c r="Q198" s="9" t="str">
        <f>IFERROR($P198,PROPER(VLOOKUP($O198,'Villes en erreur'!$A$2:$B$72,2,FALSE)))</f>
        <v>Mirabel</v>
      </c>
      <c r="R198" s="9" t="str">
        <f>IFERROR($P198,PROPER(VLOOKUP($O198,'Villes en erreur'!$A$2:$B$72,2,FALSE)))</f>
        <v>Mirabel</v>
      </c>
      <c r="S198" s="9" t="str">
        <f>IF(ISBLANK($R198),"",VLOOKUP($R198,'Liste des Villes'!$B$2:$H$1128,4,FALSE))</f>
        <v>Laurentides</v>
      </c>
      <c r="T198" s="2" t="s">
        <v>1392</v>
      </c>
      <c r="U198" s="2" t="s">
        <v>39</v>
      </c>
      <c r="V198" s="2" t="s">
        <v>40</v>
      </c>
      <c r="W198" s="2" t="s">
        <v>1393</v>
      </c>
      <c r="X198" s="2"/>
      <c r="Y198" s="2"/>
      <c r="Z198" s="2"/>
      <c r="AA198" s="2" t="s">
        <v>832</v>
      </c>
      <c r="AB198" s="2" t="s">
        <v>73</v>
      </c>
      <c r="AC198" s="4" t="s">
        <v>44</v>
      </c>
    </row>
    <row r="199" spans="1:29" x14ac:dyDescent="0.25">
      <c r="A199" s="1">
        <v>4495</v>
      </c>
      <c r="B199" s="17" t="s">
        <v>1394</v>
      </c>
      <c r="C199" s="2" t="s">
        <v>1395</v>
      </c>
      <c r="D199" s="15" t="s">
        <v>1396</v>
      </c>
      <c r="E199" s="9" t="s">
        <v>1397</v>
      </c>
      <c r="F199" s="9" t="s">
        <v>1398</v>
      </c>
      <c r="G199" s="9" t="s">
        <v>1017</v>
      </c>
      <c r="H199" s="2" t="s">
        <v>60</v>
      </c>
      <c r="I199" s="3">
        <v>37603</v>
      </c>
      <c r="J199" s="9" t="str">
        <f t="shared" ca="1" si="3"/>
        <v>20 ans</v>
      </c>
      <c r="K199" s="2" t="s">
        <v>262</v>
      </c>
      <c r="L199" s="2" t="str">
        <f>"3A"</f>
        <v>3A</v>
      </c>
      <c r="M199" s="2" t="str">
        <f>"1"</f>
        <v>1</v>
      </c>
      <c r="N199" s="2" t="str">
        <f>"Val-des-chênes"</f>
        <v>Val-des-chênes</v>
      </c>
      <c r="O199" s="2" t="s">
        <v>1399</v>
      </c>
      <c r="P199" s="9" t="e">
        <f>VLOOKUP($O199,'Liste des Villes'!$B$2:$B$1128,1,FALSE)</f>
        <v>#N/A</v>
      </c>
      <c r="Q199" s="9" t="str">
        <f>IFERROR($P199,PROPER(VLOOKUP($O199,'Villes en erreur'!$A$2:$B$72,2,FALSE)))</f>
        <v>Montréal</v>
      </c>
      <c r="R199" s="9" t="str">
        <f>IFERROR($P199,PROPER(VLOOKUP($O199,'Villes en erreur'!$A$2:$B$72,2,FALSE)))</f>
        <v>Montréal</v>
      </c>
      <c r="S199" s="9" t="str">
        <f>IF(ISBLANK($R199),"",VLOOKUP($R199,'Liste des Villes'!$B$2:$H$1128,4,FALSE))</f>
        <v>Montréal</v>
      </c>
      <c r="T199" s="2" t="s">
        <v>1400</v>
      </c>
      <c r="U199" s="2" t="s">
        <v>39</v>
      </c>
      <c r="V199" s="2" t="s">
        <v>40</v>
      </c>
      <c r="W199" s="2" t="s">
        <v>1401</v>
      </c>
      <c r="X199" s="2" t="str">
        <f>"4508489502 x1761452"</f>
        <v>4508489502 x1761452</v>
      </c>
      <c r="Y199" s="2" t="str">
        <f>"4383240005"</f>
        <v>4383240005</v>
      </c>
      <c r="Z199" s="2" t="str">
        <f>"5148309489"</f>
        <v>5148309489</v>
      </c>
      <c r="AA199" s="2" t="s">
        <v>456</v>
      </c>
      <c r="AB199" s="2" t="s">
        <v>457</v>
      </c>
      <c r="AC199" s="4" t="s">
        <v>44</v>
      </c>
    </row>
    <row r="200" spans="1:29" x14ac:dyDescent="0.25">
      <c r="A200" s="1">
        <v>2994</v>
      </c>
      <c r="B200" s="17" t="s">
        <v>1402</v>
      </c>
      <c r="C200" s="2" t="s">
        <v>1403</v>
      </c>
      <c r="D200" s="15" t="s">
        <v>1404</v>
      </c>
      <c r="E200" s="9" t="s">
        <v>1043</v>
      </c>
      <c r="F200" s="9" t="s">
        <v>599</v>
      </c>
      <c r="G200" s="9" t="s">
        <v>1405</v>
      </c>
      <c r="H200" s="2" t="s">
        <v>60</v>
      </c>
      <c r="I200" s="3">
        <v>33500</v>
      </c>
      <c r="J200" s="9" t="str">
        <f t="shared" ca="1" si="3"/>
        <v>31 ans</v>
      </c>
      <c r="K200" s="2" t="s">
        <v>36</v>
      </c>
      <c r="L200" s="2" t="str">
        <f>"35"</f>
        <v>35</v>
      </c>
      <c r="M200" s="2"/>
      <c r="N200" s="2" t="str">
        <f>"AV LOUISE"</f>
        <v>AV LOUISE</v>
      </c>
      <c r="O200" s="2" t="s">
        <v>51</v>
      </c>
      <c r="P200" s="9" t="e">
        <f>VLOOKUP($O200,'Liste des Villes'!$B$2:$B$1128,1,FALSE)</f>
        <v>#N/A</v>
      </c>
      <c r="Q200" s="9" t="str">
        <f>IFERROR($P200,PROPER(VLOOKUP($O200,'Villes en erreur'!$A$2:$B$72,2,FALSE)))</f>
        <v>Saint-Lin–Laurentides</v>
      </c>
      <c r="R200" s="9" t="str">
        <f>IFERROR($P200,PROPER(VLOOKUP($O200,'Villes en erreur'!$A$2:$B$72,2,FALSE)))</f>
        <v>Saint-Lin–Laurentides</v>
      </c>
      <c r="S200" s="9" t="str">
        <f>IF(ISBLANK($R200),"",VLOOKUP($R200,'Liste des Villes'!$B$2:$H$1128,4,FALSE))</f>
        <v>Lanaudière</v>
      </c>
      <c r="T200" s="2" t="s">
        <v>38</v>
      </c>
      <c r="U200" s="2" t="s">
        <v>39</v>
      </c>
      <c r="V200" s="2" t="s">
        <v>40</v>
      </c>
      <c r="W200" s="2" t="s">
        <v>1406</v>
      </c>
      <c r="X200" s="2"/>
      <c r="Y200" s="2"/>
      <c r="Z200" s="2"/>
      <c r="AA200" s="2" t="s">
        <v>213</v>
      </c>
      <c r="AB200" s="2" t="s">
        <v>53</v>
      </c>
      <c r="AC200" s="4" t="s">
        <v>44</v>
      </c>
    </row>
    <row r="201" spans="1:29" x14ac:dyDescent="0.25">
      <c r="A201" s="1">
        <v>3182</v>
      </c>
      <c r="B201" s="17" t="s">
        <v>1407</v>
      </c>
      <c r="C201" s="2" t="s">
        <v>1408</v>
      </c>
      <c r="D201" s="15" t="s">
        <v>1409</v>
      </c>
      <c r="E201" s="9" t="s">
        <v>1410</v>
      </c>
      <c r="F201" s="9" t="s">
        <v>1411</v>
      </c>
      <c r="G201" s="9" t="s">
        <v>970</v>
      </c>
      <c r="H201" s="2" t="s">
        <v>60</v>
      </c>
      <c r="I201" s="3">
        <v>36260</v>
      </c>
      <c r="J201" s="9" t="str">
        <f t="shared" ca="1" si="3"/>
        <v>24 ans</v>
      </c>
      <c r="K201" s="2" t="s">
        <v>123</v>
      </c>
      <c r="L201" s="2" t="str">
        <f>"273"</f>
        <v>273</v>
      </c>
      <c r="M201" s="2"/>
      <c r="N201" s="2" t="str">
        <f>"RUE BERTIE"</f>
        <v>RUE BERTIE</v>
      </c>
      <c r="O201" s="2" t="s">
        <v>829</v>
      </c>
      <c r="P201" s="9" t="e">
        <f>VLOOKUP($O201,'Liste des Villes'!$B$2:$B$1128,1,FALSE)</f>
        <v>#N/A</v>
      </c>
      <c r="Q201" s="9" t="str">
        <f>IFERROR($P201,PROPER(VLOOKUP($O201,'Villes en erreur'!$A$2:$B$72,2,FALSE)))</f>
        <v>Saint-Jérôme</v>
      </c>
      <c r="R201" s="9" t="str">
        <f>IFERROR($P201,PROPER(VLOOKUP($O201,'Villes en erreur'!$A$2:$B$72,2,FALSE)))</f>
        <v>Saint-Jérôme</v>
      </c>
      <c r="S201" s="9" t="str">
        <f>IF(ISBLANK($R201),"",VLOOKUP($R201,'Liste des Villes'!$B$2:$H$1128,4,FALSE))</f>
        <v>Laurentides</v>
      </c>
      <c r="T201" s="2" t="s">
        <v>830</v>
      </c>
      <c r="U201" s="2" t="s">
        <v>39</v>
      </c>
      <c r="V201" s="2" t="s">
        <v>40</v>
      </c>
      <c r="W201" s="2" t="s">
        <v>1412</v>
      </c>
      <c r="X201" s="2"/>
      <c r="Y201" s="2"/>
      <c r="Z201" s="2"/>
      <c r="AA201" s="2" t="s">
        <v>832</v>
      </c>
      <c r="AB201" s="2" t="s">
        <v>73</v>
      </c>
      <c r="AC201" s="4" t="s">
        <v>44</v>
      </c>
    </row>
    <row r="202" spans="1:29" x14ac:dyDescent="0.25">
      <c r="A202" s="1">
        <v>918</v>
      </c>
      <c r="B202" s="17" t="s">
        <v>1413</v>
      </c>
      <c r="C202" s="2" t="s">
        <v>1414</v>
      </c>
      <c r="D202" s="15" t="s">
        <v>1415</v>
      </c>
      <c r="E202" s="9" t="s">
        <v>1416</v>
      </c>
      <c r="F202" s="9" t="s">
        <v>1417</v>
      </c>
      <c r="G202" s="9" t="s">
        <v>219</v>
      </c>
      <c r="H202" s="2" t="s">
        <v>35</v>
      </c>
      <c r="I202" s="3">
        <v>31467</v>
      </c>
      <c r="J202" s="9" t="str">
        <f t="shared" ca="1" si="3"/>
        <v>37 ans</v>
      </c>
      <c r="K202" s="2" t="s">
        <v>36</v>
      </c>
      <c r="L202" s="2" t="str">
        <f>"15"</f>
        <v>15</v>
      </c>
      <c r="M202" s="2"/>
      <c r="N202" s="2" t="str">
        <f>"2E AVENUE DU LAC-CAPRI"</f>
        <v>2E AVENUE DU LAC-CAPRI</v>
      </c>
      <c r="O202" s="2" t="s">
        <v>624</v>
      </c>
      <c r="P202" s="9" t="e">
        <f>VLOOKUP($O202,'Liste des Villes'!$B$2:$B$1128,1,FALSE)</f>
        <v>#N/A</v>
      </c>
      <c r="Q202" s="9" t="str">
        <f>IFERROR($P202,PROPER(VLOOKUP($O202,'Villes en erreur'!$A$2:$B$72,2,FALSE)))</f>
        <v>Saint-Eustache</v>
      </c>
      <c r="R202" s="9" t="str">
        <f>IFERROR($P202,PROPER(VLOOKUP($O202,'Villes en erreur'!$A$2:$B$72,2,FALSE)))</f>
        <v>Saint-Eustache</v>
      </c>
      <c r="S202" s="9" t="str">
        <f>IF(ISBLANK($R202),"",VLOOKUP($R202,'Liste des Villes'!$B$2:$H$1128,4,FALSE))</f>
        <v>Laurentides</v>
      </c>
      <c r="T202" s="2" t="s">
        <v>1418</v>
      </c>
      <c r="U202" s="2" t="s">
        <v>39</v>
      </c>
      <c r="V202" s="2" t="s">
        <v>40</v>
      </c>
      <c r="W202" s="2" t="s">
        <v>1419</v>
      </c>
      <c r="X202" s="2"/>
      <c r="Y202" s="2"/>
      <c r="Z202" s="2"/>
      <c r="AA202" s="2" t="s">
        <v>149</v>
      </c>
      <c r="AB202" s="2" t="s">
        <v>150</v>
      </c>
      <c r="AC202" s="4" t="s">
        <v>44</v>
      </c>
    </row>
    <row r="203" spans="1:29" x14ac:dyDescent="0.25">
      <c r="A203" s="1">
        <v>3955</v>
      </c>
      <c r="B203" s="17" t="s">
        <v>1420</v>
      </c>
      <c r="C203" s="2" t="s">
        <v>1421</v>
      </c>
      <c r="D203" s="15" t="s">
        <v>1422</v>
      </c>
      <c r="E203" s="9" t="s">
        <v>1423</v>
      </c>
      <c r="F203" s="9" t="s">
        <v>1424</v>
      </c>
      <c r="G203" s="9" t="s">
        <v>1425</v>
      </c>
      <c r="H203" s="2" t="s">
        <v>60</v>
      </c>
      <c r="I203" s="3">
        <v>36916</v>
      </c>
      <c r="J203" s="9" t="str">
        <f t="shared" ca="1" si="3"/>
        <v>22 ans</v>
      </c>
      <c r="K203" s="2" t="s">
        <v>156</v>
      </c>
      <c r="L203" s="2" t="str">
        <f>"920"</f>
        <v>920</v>
      </c>
      <c r="M203" s="2"/>
      <c r="N203" s="2" t="str">
        <f>"RUE DESCHATELETS"</f>
        <v>RUE DESCHATELETS</v>
      </c>
      <c r="O203" s="2" t="s">
        <v>296</v>
      </c>
      <c r="P203" s="9" t="e">
        <f>VLOOKUP($O203,'Liste des Villes'!$B$2:$B$1128,1,FALSE)</f>
        <v>#N/A</v>
      </c>
      <c r="Q203" s="9" t="str">
        <f>IFERROR($P203,PROPER(VLOOKUP($O203,'Villes en erreur'!$A$2:$B$72,2,FALSE)))</f>
        <v>Saint-Jérôme</v>
      </c>
      <c r="R203" s="9" t="str">
        <f>IFERROR($P203,PROPER(VLOOKUP($O203,'Villes en erreur'!$A$2:$B$72,2,FALSE)))</f>
        <v>Saint-Jérôme</v>
      </c>
      <c r="S203" s="9" t="str">
        <f>IF(ISBLANK($R203),"",VLOOKUP($R203,'Liste des Villes'!$B$2:$H$1128,4,FALSE))</f>
        <v>Laurentides</v>
      </c>
      <c r="T203" s="2" t="s">
        <v>1426</v>
      </c>
      <c r="U203" s="2" t="s">
        <v>39</v>
      </c>
      <c r="V203" s="2" t="s">
        <v>40</v>
      </c>
      <c r="W203" s="2" t="s">
        <v>1427</v>
      </c>
      <c r="X203" s="2"/>
      <c r="Y203" s="2"/>
      <c r="Z203" s="2"/>
      <c r="AA203" s="2" t="s">
        <v>299</v>
      </c>
      <c r="AB203" s="2" t="s">
        <v>161</v>
      </c>
      <c r="AC203" s="4" t="s">
        <v>44</v>
      </c>
    </row>
    <row r="204" spans="1:29" x14ac:dyDescent="0.25">
      <c r="A204" s="1">
        <v>2403</v>
      </c>
      <c r="B204" s="17" t="s">
        <v>1428</v>
      </c>
      <c r="C204" s="2" t="s">
        <v>1429</v>
      </c>
      <c r="D204" s="15" t="s">
        <v>1430</v>
      </c>
      <c r="E204" s="9" t="s">
        <v>1431</v>
      </c>
      <c r="F204" s="9" t="s">
        <v>225</v>
      </c>
      <c r="G204" s="9" t="s">
        <v>219</v>
      </c>
      <c r="H204" s="2" t="s">
        <v>35</v>
      </c>
      <c r="I204" s="3">
        <v>31068</v>
      </c>
      <c r="J204" s="9" t="str">
        <f t="shared" ca="1" si="3"/>
        <v>38 ans</v>
      </c>
      <c r="K204" s="2" t="s">
        <v>36</v>
      </c>
      <c r="L204" s="2" t="str">
        <f>"14"</f>
        <v>14</v>
      </c>
      <c r="M204" s="2"/>
      <c r="N204" s="2" t="str">
        <f>"25E AV"</f>
        <v>25E AV</v>
      </c>
      <c r="O204" s="2" t="s">
        <v>235</v>
      </c>
      <c r="P204" s="9" t="e">
        <f>VLOOKUP($O204,'Liste des Villes'!$B$2:$B$1128,1,FALSE)</f>
        <v>#N/A</v>
      </c>
      <c r="Q204" s="9" t="str">
        <f>IFERROR($P204,PROPER(VLOOKUP($O204,'Villes en erreur'!$A$2:$B$72,2,FALSE)))</f>
        <v>Saint-Jérôme</v>
      </c>
      <c r="R204" s="9" t="str">
        <f>IFERROR($P204,PROPER(VLOOKUP($O204,'Villes en erreur'!$A$2:$B$72,2,FALSE)))</f>
        <v>Saint-Jérôme</v>
      </c>
      <c r="S204" s="9" t="str">
        <f>IF(ISBLANK($R204),"",VLOOKUP($R204,'Liste des Villes'!$B$2:$H$1128,4,FALSE))</f>
        <v>Laurentides</v>
      </c>
      <c r="T204" s="2" t="s">
        <v>1432</v>
      </c>
      <c r="U204" s="2" t="s">
        <v>39</v>
      </c>
      <c r="V204" s="2" t="s">
        <v>40</v>
      </c>
      <c r="W204" s="2" t="s">
        <v>1433</v>
      </c>
      <c r="X204" s="2"/>
      <c r="Y204" s="2"/>
      <c r="Z204" s="2"/>
      <c r="AA204" s="2" t="s">
        <v>149</v>
      </c>
      <c r="AB204" s="2" t="s">
        <v>150</v>
      </c>
      <c r="AC204" s="4" t="s">
        <v>44</v>
      </c>
    </row>
    <row r="205" spans="1:29" x14ac:dyDescent="0.25">
      <c r="A205" s="1">
        <v>4001</v>
      </c>
      <c r="B205" s="17" t="s">
        <v>1434</v>
      </c>
      <c r="C205" s="2" t="s">
        <v>1435</v>
      </c>
      <c r="D205" s="15" t="s">
        <v>1436</v>
      </c>
      <c r="E205" s="9" t="s">
        <v>99</v>
      </c>
      <c r="F205" s="9" t="s">
        <v>100</v>
      </c>
      <c r="G205" s="9" t="s">
        <v>219</v>
      </c>
      <c r="H205" s="2" t="s">
        <v>35</v>
      </c>
      <c r="I205" s="3">
        <v>31205</v>
      </c>
      <c r="J205" s="9" t="str">
        <f t="shared" ca="1" si="3"/>
        <v>38 ans</v>
      </c>
      <c r="K205" s="2" t="s">
        <v>36</v>
      </c>
      <c r="L205" s="2" t="str">
        <f>"14"</f>
        <v>14</v>
      </c>
      <c r="M205" s="2"/>
      <c r="N205" s="2" t="str">
        <f>"25E RUE"</f>
        <v>25E RUE</v>
      </c>
      <c r="O205" s="2" t="s">
        <v>235</v>
      </c>
      <c r="P205" s="9" t="e">
        <f>VLOOKUP($O205,'Liste des Villes'!$B$2:$B$1128,1,FALSE)</f>
        <v>#N/A</v>
      </c>
      <c r="Q205" s="9" t="str">
        <f>IFERROR($P205,PROPER(VLOOKUP($O205,'Villes en erreur'!$A$2:$B$72,2,FALSE)))</f>
        <v>Saint-Jérôme</v>
      </c>
      <c r="R205" s="9" t="str">
        <f>IFERROR($P205,PROPER(VLOOKUP($O205,'Villes en erreur'!$A$2:$B$72,2,FALSE)))</f>
        <v>Saint-Jérôme</v>
      </c>
      <c r="S205" s="9" t="str">
        <f>IF(ISBLANK($R205),"",VLOOKUP($R205,'Liste des Villes'!$B$2:$H$1128,4,FALSE))</f>
        <v>Laurentides</v>
      </c>
      <c r="T205" s="2" t="s">
        <v>1437</v>
      </c>
      <c r="U205" s="2" t="s">
        <v>39</v>
      </c>
      <c r="V205" s="2" t="s">
        <v>40</v>
      </c>
      <c r="W205" s="2" t="s">
        <v>1179</v>
      </c>
      <c r="X205" s="2"/>
      <c r="Y205" s="2"/>
      <c r="Z205" s="2"/>
      <c r="AA205" s="2" t="s">
        <v>149</v>
      </c>
      <c r="AB205" s="2" t="s">
        <v>150</v>
      </c>
      <c r="AC205" s="4" t="s">
        <v>44</v>
      </c>
    </row>
    <row r="206" spans="1:29" x14ac:dyDescent="0.25">
      <c r="A206" s="1">
        <v>230</v>
      </c>
      <c r="B206" s="17" t="s">
        <v>1438</v>
      </c>
      <c r="C206" s="2" t="s">
        <v>1439</v>
      </c>
      <c r="D206" s="15" t="s">
        <v>1440</v>
      </c>
      <c r="E206" s="9" t="s">
        <v>186</v>
      </c>
      <c r="F206" s="9" t="s">
        <v>1441</v>
      </c>
      <c r="G206" s="9" t="s">
        <v>188</v>
      </c>
      <c r="H206" s="2" t="s">
        <v>60</v>
      </c>
      <c r="I206" s="3">
        <v>36760</v>
      </c>
      <c r="J206" s="9" t="str">
        <f t="shared" ca="1" si="3"/>
        <v>23 ans</v>
      </c>
      <c r="K206" s="2" t="s">
        <v>68</v>
      </c>
      <c r="L206" s="2" t="str">
        <f>"670"</f>
        <v>670</v>
      </c>
      <c r="M206" s="2"/>
      <c r="N206" s="2" t="str">
        <f>"RUE DES EAUX-VIVES"</f>
        <v>RUE DES EAUX-VIVES</v>
      </c>
      <c r="O206" s="2" t="s">
        <v>189</v>
      </c>
      <c r="P206" s="9" t="e">
        <f>VLOOKUP($O206,'Liste des Villes'!$B$2:$B$1128,1,FALSE)</f>
        <v>#N/A</v>
      </c>
      <c r="Q206" s="9" t="str">
        <f>IFERROR($P206,PROPER(VLOOKUP($O206,'Villes en erreur'!$A$2:$B$72,2,FALSE)))</f>
        <v>Saint-Donat</v>
      </c>
      <c r="R206" s="9" t="str">
        <f>IFERROR($P206,PROPER(VLOOKUP($O206,'Villes en erreur'!$A$2:$B$72,2,FALSE)))</f>
        <v>Saint-Donat</v>
      </c>
      <c r="S206" s="9" t="str">
        <f>IF(ISBLANK($R206),"",VLOOKUP($R206,'Liste des Villes'!$B$2:$H$1128,4,FALSE))</f>
        <v>Lanaudière</v>
      </c>
      <c r="T206" s="2" t="s">
        <v>1442</v>
      </c>
      <c r="U206" s="2" t="s">
        <v>39</v>
      </c>
      <c r="V206" s="2" t="s">
        <v>40</v>
      </c>
      <c r="W206" s="2" t="s">
        <v>1443</v>
      </c>
      <c r="X206" s="2"/>
      <c r="Y206" s="2"/>
      <c r="Z206" s="2"/>
      <c r="AA206" s="2" t="s">
        <v>72</v>
      </c>
      <c r="AB206" s="2" t="s">
        <v>192</v>
      </c>
      <c r="AC206" s="4" t="s">
        <v>44</v>
      </c>
    </row>
    <row r="207" spans="1:29" x14ac:dyDescent="0.25">
      <c r="A207" s="1">
        <v>2083</v>
      </c>
      <c r="B207" s="17" t="s">
        <v>1444</v>
      </c>
      <c r="C207" s="2" t="s">
        <v>1445</v>
      </c>
      <c r="D207" s="15" t="s">
        <v>1446</v>
      </c>
      <c r="E207" s="9" t="s">
        <v>1447</v>
      </c>
      <c r="F207" s="9" t="s">
        <v>1448</v>
      </c>
      <c r="G207" s="9" t="s">
        <v>50</v>
      </c>
      <c r="H207" s="2" t="s">
        <v>35</v>
      </c>
      <c r="I207" s="3">
        <v>33419</v>
      </c>
      <c r="J207" s="9" t="str">
        <f t="shared" ca="1" si="3"/>
        <v>32 ans</v>
      </c>
      <c r="K207" s="2" t="s">
        <v>36</v>
      </c>
      <c r="L207" s="2" t="str">
        <f>"32"</f>
        <v>32</v>
      </c>
      <c r="M207" s="2"/>
      <c r="N207" s="2" t="str">
        <f>"AV DU TERROIR"</f>
        <v>AV DU TERROIR</v>
      </c>
      <c r="O207" s="2" t="s">
        <v>51</v>
      </c>
      <c r="P207" s="9" t="e">
        <f>VLOOKUP($O207,'Liste des Villes'!$B$2:$B$1128,1,FALSE)</f>
        <v>#N/A</v>
      </c>
      <c r="Q207" s="9" t="str">
        <f>IFERROR($P207,PROPER(VLOOKUP($O207,'Villes en erreur'!$A$2:$B$72,2,FALSE)))</f>
        <v>Saint-Lin–Laurentides</v>
      </c>
      <c r="R207" s="9" t="str">
        <f>IFERROR($P207,PROPER(VLOOKUP($O207,'Villes en erreur'!$A$2:$B$72,2,FALSE)))</f>
        <v>Saint-Lin–Laurentides</v>
      </c>
      <c r="S207" s="9" t="str">
        <f>IF(ISBLANK($R207),"",VLOOKUP($R207,'Liste des Villes'!$B$2:$H$1128,4,FALSE))</f>
        <v>Lanaudière</v>
      </c>
      <c r="T207" s="2" t="s">
        <v>38</v>
      </c>
      <c r="U207" s="2" t="s">
        <v>39</v>
      </c>
      <c r="V207" s="2" t="s">
        <v>40</v>
      </c>
      <c r="W207" s="2" t="s">
        <v>1449</v>
      </c>
      <c r="X207" s="2"/>
      <c r="Y207" s="2"/>
      <c r="Z207" s="2"/>
      <c r="AA207" s="2" t="s">
        <v>42</v>
      </c>
      <c r="AB207" s="2" t="s">
        <v>53</v>
      </c>
      <c r="AC207" s="4" t="s">
        <v>44</v>
      </c>
    </row>
    <row r="208" spans="1:29" x14ac:dyDescent="0.25">
      <c r="A208" s="1">
        <v>1249</v>
      </c>
      <c r="B208" s="17" t="s">
        <v>1450</v>
      </c>
      <c r="C208" s="2" t="s">
        <v>1451</v>
      </c>
      <c r="D208" s="15" t="s">
        <v>1452</v>
      </c>
      <c r="E208" s="9" t="s">
        <v>1453</v>
      </c>
      <c r="F208" s="9" t="s">
        <v>1454</v>
      </c>
      <c r="G208" s="9" t="s">
        <v>570</v>
      </c>
      <c r="H208" s="2" t="s">
        <v>60</v>
      </c>
      <c r="I208" s="3">
        <v>36759</v>
      </c>
      <c r="J208" s="9" t="str">
        <f t="shared" ca="1" si="3"/>
        <v>23 ans</v>
      </c>
      <c r="K208" s="2" t="s">
        <v>68</v>
      </c>
      <c r="L208" s="2" t="str">
        <f>"668"</f>
        <v>668</v>
      </c>
      <c r="M208" s="2"/>
      <c r="N208" s="2" t="str">
        <f>"RUE DES DUCS"</f>
        <v>RUE DES DUCS</v>
      </c>
      <c r="O208" s="2" t="s">
        <v>189</v>
      </c>
      <c r="P208" s="9" t="e">
        <f>VLOOKUP($O208,'Liste des Villes'!$B$2:$B$1128,1,FALSE)</f>
        <v>#N/A</v>
      </c>
      <c r="Q208" s="9" t="str">
        <f>IFERROR($P208,PROPER(VLOOKUP($O208,'Villes en erreur'!$A$2:$B$72,2,FALSE)))</f>
        <v>Saint-Donat</v>
      </c>
      <c r="R208" s="9" t="str">
        <f>IFERROR($P208,PROPER(VLOOKUP($O208,'Villes en erreur'!$A$2:$B$72,2,FALSE)))</f>
        <v>Saint-Donat</v>
      </c>
      <c r="S208" s="9" t="str">
        <f>IF(ISBLANK($R208),"",VLOOKUP($R208,'Liste des Villes'!$B$2:$H$1128,4,FALSE))</f>
        <v>Lanaudière</v>
      </c>
      <c r="T208" s="2" t="s">
        <v>1455</v>
      </c>
      <c r="U208" s="2" t="s">
        <v>39</v>
      </c>
      <c r="V208" s="2" t="s">
        <v>40</v>
      </c>
      <c r="W208" s="2" t="s">
        <v>1456</v>
      </c>
      <c r="X208" s="2"/>
      <c r="Y208" s="2"/>
      <c r="Z208" s="2"/>
      <c r="AA208" s="2" t="s">
        <v>72</v>
      </c>
      <c r="AB208" s="2" t="s">
        <v>192</v>
      </c>
      <c r="AC208" s="4" t="s">
        <v>44</v>
      </c>
    </row>
    <row r="209" spans="1:29" x14ac:dyDescent="0.25">
      <c r="A209" s="1">
        <v>2603</v>
      </c>
      <c r="B209" s="17" t="s">
        <v>1457</v>
      </c>
      <c r="C209" s="2" t="s">
        <v>1458</v>
      </c>
      <c r="D209" s="15" t="s">
        <v>1459</v>
      </c>
      <c r="E209" s="9" t="s">
        <v>1410</v>
      </c>
      <c r="F209" s="9" t="s">
        <v>1460</v>
      </c>
      <c r="G209" s="9" t="s">
        <v>219</v>
      </c>
      <c r="H209" s="2" t="s">
        <v>35</v>
      </c>
      <c r="I209" s="3">
        <v>31326</v>
      </c>
      <c r="J209" s="9" t="str">
        <f t="shared" ca="1" si="3"/>
        <v>37 ans</v>
      </c>
      <c r="K209" s="2" t="s">
        <v>36</v>
      </c>
      <c r="L209" s="2" t="str">
        <f>"14"</f>
        <v>14</v>
      </c>
      <c r="M209" s="2"/>
      <c r="N209" s="2" t="str">
        <f>"28E AVENUE NORD"</f>
        <v>28E AVENUE NORD</v>
      </c>
      <c r="O209" s="2" t="s">
        <v>220</v>
      </c>
      <c r="P209" s="9" t="e">
        <f>VLOOKUP($O209,'Liste des Villes'!$B$2:$B$1128,1,FALSE)</f>
        <v>#N/A</v>
      </c>
      <c r="Q209" s="9" t="str">
        <f>IFERROR($P209,PROPER(VLOOKUP($O209,'Villes en erreur'!$A$2:$B$72,2,FALSE)))</f>
        <v>Saint-Jérôme</v>
      </c>
      <c r="R209" s="9" t="str">
        <f>IFERROR($P209,PROPER(VLOOKUP($O209,'Villes en erreur'!$A$2:$B$72,2,FALSE)))</f>
        <v>Saint-Jérôme</v>
      </c>
      <c r="S209" s="9" t="str">
        <f>IF(ISBLANK($R209),"",VLOOKUP($R209,'Liste des Villes'!$B$2:$H$1128,4,FALSE))</f>
        <v>Laurentides</v>
      </c>
      <c r="T209" s="2" t="s">
        <v>1461</v>
      </c>
      <c r="U209" s="2" t="s">
        <v>39</v>
      </c>
      <c r="V209" s="2" t="s">
        <v>40</v>
      </c>
      <c r="W209" s="2" t="s">
        <v>1462</v>
      </c>
      <c r="X209" s="2"/>
      <c r="Y209" s="2"/>
      <c r="Z209" s="2"/>
      <c r="AA209" s="2" t="s">
        <v>149</v>
      </c>
      <c r="AB209" s="2" t="s">
        <v>150</v>
      </c>
      <c r="AC209" s="4" t="s">
        <v>44</v>
      </c>
    </row>
    <row r="210" spans="1:29" x14ac:dyDescent="0.25">
      <c r="A210" s="1">
        <v>2745</v>
      </c>
      <c r="B210" s="17" t="s">
        <v>1463</v>
      </c>
      <c r="C210" s="2" t="s">
        <v>1464</v>
      </c>
      <c r="D210" s="15" t="s">
        <v>788</v>
      </c>
      <c r="E210" s="9" t="s">
        <v>1465</v>
      </c>
      <c r="F210" s="9" t="s">
        <v>1466</v>
      </c>
      <c r="G210" s="9" t="s">
        <v>1467</v>
      </c>
      <c r="H210" s="2" t="s">
        <v>35</v>
      </c>
      <c r="I210" s="3">
        <v>32925</v>
      </c>
      <c r="J210" s="9" t="str">
        <f t="shared" ca="1" si="3"/>
        <v>33 ans</v>
      </c>
      <c r="K210" s="2" t="s">
        <v>36</v>
      </c>
      <c r="L210" s="2" t="str">
        <f>"26"</f>
        <v>26</v>
      </c>
      <c r="M210" s="2"/>
      <c r="N210" s="2" t="str">
        <f>"99E AV E"</f>
        <v>99E AV E</v>
      </c>
      <c r="O210" s="2" t="s">
        <v>37</v>
      </c>
      <c r="P210" s="9" t="e">
        <f>VLOOKUP($O210,'Liste des Villes'!$B$2:$B$1128,1,FALSE)</f>
        <v>#N/A</v>
      </c>
      <c r="Q210" s="9" t="str">
        <f>IFERROR($P210,PROPER(VLOOKUP($O210,'Villes en erreur'!$A$2:$B$72,2,FALSE)))</f>
        <v>Saint-Lin–Laurentides</v>
      </c>
      <c r="R210" s="9" t="str">
        <f>IFERROR($P210,PROPER(VLOOKUP($O210,'Villes en erreur'!$A$2:$B$72,2,FALSE)))</f>
        <v>Saint-Lin–Laurentides</v>
      </c>
      <c r="S210" s="9" t="str">
        <f>IF(ISBLANK($R210),"",VLOOKUP($R210,'Liste des Villes'!$B$2:$H$1128,4,FALSE))</f>
        <v>Lanaudière</v>
      </c>
      <c r="T210" s="2" t="s">
        <v>280</v>
      </c>
      <c r="U210" s="2" t="s">
        <v>39</v>
      </c>
      <c r="V210" s="2" t="s">
        <v>40</v>
      </c>
      <c r="W210" s="2" t="s">
        <v>1468</v>
      </c>
      <c r="X210" s="2"/>
      <c r="Y210" s="2"/>
      <c r="Z210" s="2"/>
      <c r="AA210" s="2" t="s">
        <v>42</v>
      </c>
      <c r="AB210" s="2" t="s">
        <v>464</v>
      </c>
      <c r="AC210" s="4" t="s">
        <v>44</v>
      </c>
    </row>
    <row r="211" spans="1:29" x14ac:dyDescent="0.25">
      <c r="A211" s="1">
        <v>2442</v>
      </c>
      <c r="B211" s="17" t="s">
        <v>1469</v>
      </c>
      <c r="C211" s="2" t="s">
        <v>1470</v>
      </c>
      <c r="D211" s="15" t="s">
        <v>1471</v>
      </c>
      <c r="E211" s="9" t="s">
        <v>1212</v>
      </c>
      <c r="F211" s="9" t="s">
        <v>1472</v>
      </c>
      <c r="G211" s="9" t="s">
        <v>1473</v>
      </c>
      <c r="H211" s="2" t="s">
        <v>35</v>
      </c>
      <c r="I211" s="3">
        <v>33182</v>
      </c>
      <c r="J211" s="9" t="str">
        <f t="shared" ca="1" si="3"/>
        <v>32 ans</v>
      </c>
      <c r="K211" s="2" t="s">
        <v>36</v>
      </c>
      <c r="L211" s="2" t="str">
        <f>"29"</f>
        <v>29</v>
      </c>
      <c r="M211" s="2"/>
      <c r="N211" s="2" t="str">
        <f>"AV DE LA BRETAGNE"</f>
        <v>AV DE LA BRETAGNE</v>
      </c>
      <c r="O211" s="2" t="s">
        <v>37</v>
      </c>
      <c r="P211" s="9" t="e">
        <f>VLOOKUP($O211,'Liste des Villes'!$B$2:$B$1128,1,FALSE)</f>
        <v>#N/A</v>
      </c>
      <c r="Q211" s="9" t="str">
        <f>IFERROR($P211,PROPER(VLOOKUP($O211,'Villes en erreur'!$A$2:$B$72,2,FALSE)))</f>
        <v>Saint-Lin–Laurentides</v>
      </c>
      <c r="R211" s="9" t="str">
        <f>IFERROR($P211,PROPER(VLOOKUP($O211,'Villes en erreur'!$A$2:$B$72,2,FALSE)))</f>
        <v>Saint-Lin–Laurentides</v>
      </c>
      <c r="S211" s="9" t="str">
        <f>IF(ISBLANK($R211),"",VLOOKUP($R211,'Liste des Villes'!$B$2:$H$1128,4,FALSE))</f>
        <v>Lanaudière</v>
      </c>
      <c r="T211" s="2" t="s">
        <v>38</v>
      </c>
      <c r="U211" s="2" t="s">
        <v>39</v>
      </c>
      <c r="V211" s="2" t="s">
        <v>40</v>
      </c>
      <c r="W211" s="2" t="s">
        <v>1474</v>
      </c>
      <c r="X211" s="2"/>
      <c r="Y211" s="2"/>
      <c r="Z211" s="2"/>
      <c r="AA211" s="2" t="s">
        <v>42</v>
      </c>
      <c r="AB211" s="2" t="s">
        <v>43</v>
      </c>
      <c r="AC211" s="4" t="s">
        <v>44</v>
      </c>
    </row>
    <row r="212" spans="1:29" x14ac:dyDescent="0.25">
      <c r="A212" s="1">
        <v>4534</v>
      </c>
      <c r="B212" s="17" t="s">
        <v>1475</v>
      </c>
      <c r="C212" s="2" t="s">
        <v>1476</v>
      </c>
      <c r="D212" s="15" t="s">
        <v>1477</v>
      </c>
      <c r="E212" s="9" t="s">
        <v>1478</v>
      </c>
      <c r="F212" s="9" t="s">
        <v>1479</v>
      </c>
      <c r="G212" s="9" t="s">
        <v>1480</v>
      </c>
      <c r="H212" s="2" t="s">
        <v>35</v>
      </c>
      <c r="I212" s="3">
        <v>32919</v>
      </c>
      <c r="J212" s="9" t="str">
        <f t="shared" ca="1" si="3"/>
        <v>33 ans</v>
      </c>
      <c r="K212" s="2" t="s">
        <v>36</v>
      </c>
      <c r="L212" s="2" t="str">
        <f>"26"</f>
        <v>26</v>
      </c>
      <c r="M212" s="2"/>
      <c r="N212" s="2" t="str">
        <f>"92E AV"</f>
        <v>92E AV</v>
      </c>
      <c r="O212" s="2" t="s">
        <v>37</v>
      </c>
      <c r="P212" s="9" t="e">
        <f>VLOOKUP($O212,'Liste des Villes'!$B$2:$B$1128,1,FALSE)</f>
        <v>#N/A</v>
      </c>
      <c r="Q212" s="9" t="str">
        <f>IFERROR($P212,PROPER(VLOOKUP($O212,'Villes en erreur'!$A$2:$B$72,2,FALSE)))</f>
        <v>Saint-Lin–Laurentides</v>
      </c>
      <c r="R212" s="9" t="str">
        <f>IFERROR($P212,PROPER(VLOOKUP($O212,'Villes en erreur'!$A$2:$B$72,2,FALSE)))</f>
        <v>Saint-Lin–Laurentides</v>
      </c>
      <c r="S212" s="9" t="str">
        <f>IF(ISBLANK($R212),"",VLOOKUP($R212,'Liste des Villes'!$B$2:$H$1128,4,FALSE))</f>
        <v>Lanaudière</v>
      </c>
      <c r="T212" s="2" t="s">
        <v>1100</v>
      </c>
      <c r="U212" s="2" t="s">
        <v>39</v>
      </c>
      <c r="V212" s="2" t="s">
        <v>40</v>
      </c>
      <c r="W212" s="2" t="s">
        <v>1481</v>
      </c>
      <c r="X212" s="2"/>
      <c r="Y212" s="2"/>
      <c r="Z212" s="2"/>
      <c r="AA212" s="2" t="s">
        <v>42</v>
      </c>
      <c r="AB212" s="2" t="s">
        <v>282</v>
      </c>
      <c r="AC212" s="4" t="s">
        <v>44</v>
      </c>
    </row>
    <row r="213" spans="1:29" x14ac:dyDescent="0.25">
      <c r="A213" s="1">
        <v>1245</v>
      </c>
      <c r="B213" s="17" t="s">
        <v>1482</v>
      </c>
      <c r="C213" s="2" t="s">
        <v>1483</v>
      </c>
      <c r="D213" s="15" t="s">
        <v>1484</v>
      </c>
      <c r="E213" s="9" t="s">
        <v>1485</v>
      </c>
      <c r="F213" s="9" t="s">
        <v>1486</v>
      </c>
      <c r="G213" s="9" t="s">
        <v>122</v>
      </c>
      <c r="H213" s="2" t="s">
        <v>35</v>
      </c>
      <c r="I213" s="3">
        <v>36353</v>
      </c>
      <c r="J213" s="9" t="str">
        <f t="shared" ca="1" si="3"/>
        <v>24 ans</v>
      </c>
      <c r="K213" s="2" t="s">
        <v>123</v>
      </c>
      <c r="L213" s="2" t="str">
        <f>"319"</f>
        <v>319</v>
      </c>
      <c r="M213" s="2"/>
      <c r="N213" s="2" t="str">
        <f>"RUE CHAMPÊTRE"</f>
        <v>RUE CHAMPÊTRE</v>
      </c>
      <c r="O213" s="2" t="s">
        <v>124</v>
      </c>
      <c r="P213" s="9" t="e">
        <f>VLOOKUP($O213,'Liste des Villes'!$B$2:$B$1128,1,FALSE)</f>
        <v>#N/A</v>
      </c>
      <c r="Q213" s="9" t="str">
        <f>IFERROR($P213,PROPER(VLOOKUP($O213,'Villes en erreur'!$A$2:$B$72,2,FALSE)))</f>
        <v>Saint-Faustin–Lac-Carré</v>
      </c>
      <c r="R213" s="9" t="str">
        <f>IFERROR($P213,PROPER(VLOOKUP($O213,'Villes en erreur'!$A$2:$B$72,2,FALSE)))</f>
        <v>Saint-Faustin–Lac-Carré</v>
      </c>
      <c r="S213" s="9" t="str">
        <f>IF(ISBLANK($R213),"",VLOOKUP($R213,'Liste des Villes'!$B$2:$H$1128,4,FALSE))</f>
        <v>Laurentides</v>
      </c>
      <c r="T213" s="2" t="s">
        <v>174</v>
      </c>
      <c r="U213" s="2" t="s">
        <v>39</v>
      </c>
      <c r="V213" s="2" t="s">
        <v>40</v>
      </c>
      <c r="W213" s="2" t="s">
        <v>1487</v>
      </c>
      <c r="X213" s="2"/>
      <c r="Y213" s="2"/>
      <c r="Z213" s="2"/>
      <c r="AA213" s="2" t="s">
        <v>127</v>
      </c>
      <c r="AB213" s="2" t="s">
        <v>73</v>
      </c>
      <c r="AC213" s="4" t="s">
        <v>44</v>
      </c>
    </row>
    <row r="214" spans="1:29" x14ac:dyDescent="0.25">
      <c r="A214" s="1">
        <v>3710</v>
      </c>
      <c r="B214" s="17" t="s">
        <v>1488</v>
      </c>
      <c r="C214" s="2" t="s">
        <v>1174</v>
      </c>
      <c r="D214" s="15" t="s">
        <v>1175</v>
      </c>
      <c r="E214" s="9" t="s">
        <v>1176</v>
      </c>
      <c r="F214" s="9" t="s">
        <v>1489</v>
      </c>
      <c r="G214" s="9" t="s">
        <v>1490</v>
      </c>
      <c r="H214" s="2" t="s">
        <v>60</v>
      </c>
      <c r="I214" s="3">
        <v>36921</v>
      </c>
      <c r="J214" s="9" t="str">
        <f t="shared" ca="1" si="3"/>
        <v>22 ans</v>
      </c>
      <c r="K214" s="2" t="s">
        <v>156</v>
      </c>
      <c r="L214" s="2" t="str">
        <f>"921"</f>
        <v>921</v>
      </c>
      <c r="M214" s="2"/>
      <c r="N214" s="2" t="str">
        <f>"RUE DESJARDINS"</f>
        <v>RUE DESJARDINS</v>
      </c>
      <c r="O214" s="2" t="s">
        <v>646</v>
      </c>
      <c r="P214" s="9" t="e">
        <f>VLOOKUP($O214,'Liste des Villes'!$B$2:$B$1128,1,FALSE)</f>
        <v>#N/A</v>
      </c>
      <c r="Q214" s="9" t="str">
        <f>IFERROR($P214,PROPER(VLOOKUP($O214,'Villes en erreur'!$A$2:$B$72,2,FALSE)))</f>
        <v>Saint-Hippolyte</v>
      </c>
      <c r="R214" s="9" t="str">
        <f>IFERROR($P214,PROPER(VLOOKUP($O214,'Villes en erreur'!$A$2:$B$72,2,FALSE)))</f>
        <v>Saint-Hippolyte</v>
      </c>
      <c r="S214" s="9" t="str">
        <f>IF(ISBLANK($R214),"",VLOOKUP($R214,'Liste des Villes'!$B$2:$H$1128,4,FALSE))</f>
        <v>Laurentides</v>
      </c>
      <c r="T214" s="2" t="s">
        <v>1491</v>
      </c>
      <c r="U214" s="2" t="s">
        <v>39</v>
      </c>
      <c r="V214" s="2" t="s">
        <v>40</v>
      </c>
      <c r="W214" s="2" t="s">
        <v>1492</v>
      </c>
      <c r="X214" s="2"/>
      <c r="Y214" s="2"/>
      <c r="Z214" s="2"/>
      <c r="AA214" s="2" t="s">
        <v>299</v>
      </c>
      <c r="AB214" s="2" t="s">
        <v>161</v>
      </c>
      <c r="AC214" s="4" t="s">
        <v>44</v>
      </c>
    </row>
    <row r="215" spans="1:29" x14ac:dyDescent="0.25">
      <c r="A215" s="1">
        <v>533</v>
      </c>
      <c r="B215" s="17" t="s">
        <v>1493</v>
      </c>
      <c r="C215" s="2" t="s">
        <v>1494</v>
      </c>
      <c r="D215" s="15" t="s">
        <v>1495</v>
      </c>
      <c r="E215" s="9" t="s">
        <v>519</v>
      </c>
      <c r="F215" s="9" t="s">
        <v>1496</v>
      </c>
      <c r="G215" s="9" t="s">
        <v>1497</v>
      </c>
      <c r="H215" s="2" t="s">
        <v>35</v>
      </c>
      <c r="I215" s="3">
        <v>33580</v>
      </c>
      <c r="J215" s="9" t="str">
        <f t="shared" ca="1" si="3"/>
        <v>31 ans</v>
      </c>
      <c r="K215" s="2" t="s">
        <v>36</v>
      </c>
      <c r="L215" s="2" t="str">
        <f>"35"</f>
        <v>35</v>
      </c>
      <c r="M215" s="2"/>
      <c r="N215" s="2" t="str">
        <f>"AVENUE 76 EST"</f>
        <v>AVENUE 76 EST</v>
      </c>
      <c r="O215" s="2" t="s">
        <v>1498</v>
      </c>
      <c r="P215" s="9" t="e">
        <f>VLOOKUP($O215,'Liste des Villes'!$B$2:$B$1128,1,FALSE)</f>
        <v>#N/A</v>
      </c>
      <c r="Q215" s="9" t="str">
        <f>IFERROR($P215,PROPER(VLOOKUP($O215,'Villes en erreur'!$A$2:$B$72,2,FALSE)))</f>
        <v>Montréal</v>
      </c>
      <c r="R215" s="9" t="str">
        <f>IFERROR($P215,PROPER(VLOOKUP($O215,'Villes en erreur'!$A$2:$B$72,2,FALSE)))</f>
        <v>Montréal</v>
      </c>
      <c r="S215" s="9" t="str">
        <f>IF(ISBLANK($R215),"",VLOOKUP($R215,'Liste des Villes'!$B$2:$H$1128,4,FALSE))</f>
        <v>Montréal</v>
      </c>
      <c r="T215" s="2" t="s">
        <v>336</v>
      </c>
      <c r="U215" s="2" t="s">
        <v>39</v>
      </c>
      <c r="V215" s="2" t="s">
        <v>40</v>
      </c>
      <c r="W215" s="2" t="s">
        <v>1499</v>
      </c>
      <c r="X215" s="2"/>
      <c r="Y215" s="2"/>
      <c r="Z215" s="2"/>
      <c r="AA215" s="2" t="s">
        <v>213</v>
      </c>
      <c r="AB215" s="2" t="s">
        <v>53</v>
      </c>
      <c r="AC215" s="4" t="s">
        <v>44</v>
      </c>
    </row>
    <row r="216" spans="1:29" x14ac:dyDescent="0.25">
      <c r="A216" s="1">
        <v>3471</v>
      </c>
      <c r="B216" s="17" t="s">
        <v>1500</v>
      </c>
      <c r="C216" s="2" t="s">
        <v>1501</v>
      </c>
      <c r="D216" s="15" t="s">
        <v>1502</v>
      </c>
      <c r="E216" s="9" t="s">
        <v>1503</v>
      </c>
      <c r="F216" s="9" t="s">
        <v>292</v>
      </c>
      <c r="G216" s="9" t="s">
        <v>1504</v>
      </c>
      <c r="H216" s="2" t="s">
        <v>60</v>
      </c>
      <c r="I216" s="3">
        <v>36258</v>
      </c>
      <c r="J216" s="9" t="str">
        <f t="shared" ca="1" si="3"/>
        <v>24 ans</v>
      </c>
      <c r="K216" s="2" t="s">
        <v>123</v>
      </c>
      <c r="L216" s="2" t="str">
        <f>"272"</f>
        <v>272</v>
      </c>
      <c r="M216" s="2"/>
      <c r="N216" s="2" t="str">
        <f>"RUE BERTHIAUME"</f>
        <v>RUE BERTHIAUME</v>
      </c>
      <c r="O216" s="2" t="s">
        <v>971</v>
      </c>
      <c r="P216" s="9" t="e">
        <f>VLOOKUP($O216,'Liste des Villes'!$B$2:$B$1128,1,FALSE)</f>
        <v>#N/A</v>
      </c>
      <c r="Q216" s="9" t="str">
        <f>IFERROR($P216,PROPER(VLOOKUP($O216,'Villes en erreur'!$A$2:$B$72,2,FALSE)))</f>
        <v>Saint-Jérôme</v>
      </c>
      <c r="R216" s="9" t="str">
        <f>IFERROR($P216,PROPER(VLOOKUP($O216,'Villes en erreur'!$A$2:$B$72,2,FALSE)))</f>
        <v>Saint-Jérôme</v>
      </c>
      <c r="S216" s="9" t="str">
        <f>IF(ISBLANK($R216),"",VLOOKUP($R216,'Liste des Villes'!$B$2:$H$1128,4,FALSE))</f>
        <v>Laurentides</v>
      </c>
      <c r="T216" s="2" t="s">
        <v>1325</v>
      </c>
      <c r="U216" s="2" t="s">
        <v>39</v>
      </c>
      <c r="V216" s="2" t="s">
        <v>40</v>
      </c>
      <c r="W216" s="2" t="s">
        <v>1505</v>
      </c>
      <c r="X216" s="2"/>
      <c r="Y216" s="2"/>
      <c r="Z216" s="2"/>
      <c r="AA216" s="2" t="s">
        <v>832</v>
      </c>
      <c r="AB216" s="2" t="s">
        <v>73</v>
      </c>
      <c r="AC216" s="4" t="s">
        <v>44</v>
      </c>
    </row>
    <row r="217" spans="1:29" x14ac:dyDescent="0.25">
      <c r="A217" s="1">
        <v>3029</v>
      </c>
      <c r="B217" s="17" t="s">
        <v>1506</v>
      </c>
      <c r="C217" s="2" t="s">
        <v>1507</v>
      </c>
      <c r="D217" s="15" t="s">
        <v>1508</v>
      </c>
      <c r="E217" s="9" t="s">
        <v>92</v>
      </c>
      <c r="F217" s="9" t="s">
        <v>1509</v>
      </c>
      <c r="G217" s="9" t="s">
        <v>1485</v>
      </c>
      <c r="H217" s="2" t="s">
        <v>60</v>
      </c>
      <c r="I217" s="3">
        <v>37058</v>
      </c>
      <c r="J217" s="9" t="str">
        <f t="shared" ca="1" si="3"/>
        <v>22 ans</v>
      </c>
      <c r="K217" s="2" t="s">
        <v>156</v>
      </c>
      <c r="L217" s="2" t="str">
        <f>"1126"</f>
        <v>1126</v>
      </c>
      <c r="M217" s="2"/>
      <c r="N217" s="2" t="str">
        <f>"RUE DU ZÉPHYR"</f>
        <v>RUE DU ZÉPHYR</v>
      </c>
      <c r="O217" s="2" t="s">
        <v>372</v>
      </c>
      <c r="P217" s="9" t="e">
        <f>VLOOKUP($O217,'Liste des Villes'!$B$2:$B$1128,1,FALSE)</f>
        <v>#N/A</v>
      </c>
      <c r="Q217" s="9" t="str">
        <f>IFERROR($P217,PROPER(VLOOKUP($O217,'Villes en erreur'!$A$2:$B$72,2,FALSE)))</f>
        <v>Montréal</v>
      </c>
      <c r="R217" s="9" t="str">
        <f>IFERROR($P217,PROPER(VLOOKUP($O217,'Villes en erreur'!$A$2:$B$72,2,FALSE)))</f>
        <v>Montréal</v>
      </c>
      <c r="S217" s="9" t="str">
        <f>IF(ISBLANK($R217),"",VLOOKUP($R217,'Liste des Villes'!$B$2:$H$1128,4,FALSE))</f>
        <v>Montréal</v>
      </c>
      <c r="T217" s="2" t="s">
        <v>1510</v>
      </c>
      <c r="U217" s="2" t="s">
        <v>39</v>
      </c>
      <c r="V217" s="2" t="s">
        <v>40</v>
      </c>
      <c r="W217" s="2" t="s">
        <v>1511</v>
      </c>
      <c r="X217" s="2"/>
      <c r="Y217" s="2"/>
      <c r="Z217" s="2"/>
      <c r="AA217" s="2" t="s">
        <v>375</v>
      </c>
      <c r="AB217" s="2" t="s">
        <v>376</v>
      </c>
      <c r="AC217" s="4" t="s">
        <v>44</v>
      </c>
    </row>
    <row r="218" spans="1:29" x14ac:dyDescent="0.25">
      <c r="A218" s="1">
        <v>1182</v>
      </c>
      <c r="B218" s="17" t="s">
        <v>1512</v>
      </c>
      <c r="C218" s="2" t="s">
        <v>1513</v>
      </c>
      <c r="D218" s="15" t="s">
        <v>1076</v>
      </c>
      <c r="E218" s="9" t="s">
        <v>1514</v>
      </c>
      <c r="F218" s="9" t="s">
        <v>839</v>
      </c>
      <c r="G218" s="9" t="s">
        <v>219</v>
      </c>
      <c r="H218" s="2" t="s">
        <v>35</v>
      </c>
      <c r="I218" s="3">
        <v>31333</v>
      </c>
      <c r="J218" s="9" t="str">
        <f t="shared" ca="1" si="3"/>
        <v>37 ans</v>
      </c>
      <c r="K218" s="2" t="s">
        <v>36</v>
      </c>
      <c r="L218" s="2" t="str">
        <f>"14"</f>
        <v>14</v>
      </c>
      <c r="M218" s="2"/>
      <c r="N218" s="2" t="str">
        <f>"29E AV"</f>
        <v>29E AV</v>
      </c>
      <c r="O218" s="2" t="s">
        <v>220</v>
      </c>
      <c r="P218" s="9" t="e">
        <f>VLOOKUP($O218,'Liste des Villes'!$B$2:$B$1128,1,FALSE)</f>
        <v>#N/A</v>
      </c>
      <c r="Q218" s="9" t="str">
        <f>IFERROR($P218,PROPER(VLOOKUP($O218,'Villes en erreur'!$A$2:$B$72,2,FALSE)))</f>
        <v>Saint-Jérôme</v>
      </c>
      <c r="R218" s="9" t="str">
        <f>IFERROR($P218,PROPER(VLOOKUP($O218,'Villes en erreur'!$A$2:$B$72,2,FALSE)))</f>
        <v>Saint-Jérôme</v>
      </c>
      <c r="S218" s="9" t="str">
        <f>IF(ISBLANK($R218),"",VLOOKUP($R218,'Liste des Villes'!$B$2:$H$1128,4,FALSE))</f>
        <v>Laurentides</v>
      </c>
      <c r="T218" s="2" t="s">
        <v>1515</v>
      </c>
      <c r="U218" s="2" t="s">
        <v>39</v>
      </c>
      <c r="V218" s="2" t="s">
        <v>40</v>
      </c>
      <c r="W218" s="2" t="s">
        <v>1516</v>
      </c>
      <c r="X218" s="2"/>
      <c r="Y218" s="2"/>
      <c r="Z218" s="2"/>
      <c r="AA218" s="2" t="s">
        <v>149</v>
      </c>
      <c r="AB218" s="2" t="s">
        <v>150</v>
      </c>
      <c r="AC218" s="4" t="s">
        <v>44</v>
      </c>
    </row>
    <row r="219" spans="1:29" x14ac:dyDescent="0.25">
      <c r="A219" s="1">
        <v>2891</v>
      </c>
      <c r="B219" s="17" t="s">
        <v>1517</v>
      </c>
      <c r="C219" s="2" t="s">
        <v>1518</v>
      </c>
      <c r="D219" s="15" t="s">
        <v>1519</v>
      </c>
      <c r="E219" s="9" t="s">
        <v>186</v>
      </c>
      <c r="F219" s="9" t="s">
        <v>1104</v>
      </c>
      <c r="G219" s="9" t="s">
        <v>1207</v>
      </c>
      <c r="H219" s="2" t="s">
        <v>35</v>
      </c>
      <c r="I219" s="3">
        <v>33137</v>
      </c>
      <c r="J219" s="9" t="str">
        <f t="shared" ca="1" si="3"/>
        <v>32 ans</v>
      </c>
      <c r="K219" s="2" t="s">
        <v>36</v>
      </c>
      <c r="L219" s="2" t="str">
        <f>"28"</f>
        <v>28</v>
      </c>
      <c r="M219" s="2"/>
      <c r="N219" s="2" t="str">
        <f>"AV CARPENTIER"</f>
        <v>AV CARPENTIER</v>
      </c>
      <c r="O219" s="2" t="s">
        <v>37</v>
      </c>
      <c r="P219" s="9" t="e">
        <f>VLOOKUP($O219,'Liste des Villes'!$B$2:$B$1128,1,FALSE)</f>
        <v>#N/A</v>
      </c>
      <c r="Q219" s="9" t="str">
        <f>IFERROR($P219,PROPER(VLOOKUP($O219,'Villes en erreur'!$A$2:$B$72,2,FALSE)))</f>
        <v>Saint-Lin–Laurentides</v>
      </c>
      <c r="R219" s="9" t="str">
        <f>IFERROR($P219,PROPER(VLOOKUP($O219,'Villes en erreur'!$A$2:$B$72,2,FALSE)))</f>
        <v>Saint-Lin–Laurentides</v>
      </c>
      <c r="S219" s="9" t="str">
        <f>IF(ISBLANK($R219),"",VLOOKUP($R219,'Liste des Villes'!$B$2:$H$1128,4,FALSE))</f>
        <v>Lanaudière</v>
      </c>
      <c r="T219" s="2" t="s">
        <v>38</v>
      </c>
      <c r="U219" s="2" t="s">
        <v>39</v>
      </c>
      <c r="V219" s="2" t="s">
        <v>40</v>
      </c>
      <c r="W219" s="2" t="s">
        <v>1520</v>
      </c>
      <c r="X219" s="2"/>
      <c r="Y219" s="2"/>
      <c r="Z219" s="2"/>
      <c r="AA219" s="2" t="s">
        <v>42</v>
      </c>
      <c r="AB219" s="2" t="s">
        <v>43</v>
      </c>
      <c r="AC219" s="4" t="s">
        <v>44</v>
      </c>
    </row>
    <row r="220" spans="1:29" x14ac:dyDescent="0.25">
      <c r="A220" s="1">
        <v>516</v>
      </c>
      <c r="B220" s="17" t="s">
        <v>1521</v>
      </c>
      <c r="C220" s="2" t="s">
        <v>1522</v>
      </c>
      <c r="D220" s="15" t="s">
        <v>1523</v>
      </c>
      <c r="E220" s="9" t="s">
        <v>1524</v>
      </c>
      <c r="F220" s="9" t="s">
        <v>1409</v>
      </c>
      <c r="G220" s="9" t="s">
        <v>1525</v>
      </c>
      <c r="H220" s="2" t="s">
        <v>60</v>
      </c>
      <c r="I220" s="3">
        <v>33336</v>
      </c>
      <c r="J220" s="9" t="str">
        <f t="shared" ca="1" si="3"/>
        <v>32 ans</v>
      </c>
      <c r="K220" s="2" t="s">
        <v>36</v>
      </c>
      <c r="L220" s="2" t="str">
        <f>"32"</f>
        <v>32</v>
      </c>
      <c r="M220" s="2"/>
      <c r="N220" s="2" t="str">
        <f>"AV DES SORBIERS"</f>
        <v>AV DES SORBIERS</v>
      </c>
      <c r="O220" s="2" t="s">
        <v>37</v>
      </c>
      <c r="P220" s="9" t="e">
        <f>VLOOKUP($O220,'Liste des Villes'!$B$2:$B$1128,1,FALSE)</f>
        <v>#N/A</v>
      </c>
      <c r="Q220" s="9" t="str">
        <f>IFERROR($P220,PROPER(VLOOKUP($O220,'Villes en erreur'!$A$2:$B$72,2,FALSE)))</f>
        <v>Saint-Lin–Laurentides</v>
      </c>
      <c r="R220" s="9" t="str">
        <f>IFERROR($P220,PROPER(VLOOKUP($O220,'Villes en erreur'!$A$2:$B$72,2,FALSE)))</f>
        <v>Saint-Lin–Laurentides</v>
      </c>
      <c r="S220" s="9" t="str">
        <f>IF(ISBLANK($R220),"",VLOOKUP($R220,'Liste des Villes'!$B$2:$H$1128,4,FALSE))</f>
        <v>Lanaudière</v>
      </c>
      <c r="T220" s="2" t="s">
        <v>38</v>
      </c>
      <c r="U220" s="2" t="s">
        <v>39</v>
      </c>
      <c r="V220" s="2" t="s">
        <v>40</v>
      </c>
      <c r="W220" s="2" t="s">
        <v>1526</v>
      </c>
      <c r="X220" s="2"/>
      <c r="Y220" s="2"/>
      <c r="Z220" s="2"/>
      <c r="AA220" s="2" t="s">
        <v>42</v>
      </c>
      <c r="AB220" s="2" t="s">
        <v>53</v>
      </c>
      <c r="AC220" s="4" t="s">
        <v>44</v>
      </c>
    </row>
    <row r="221" spans="1:29" x14ac:dyDescent="0.25">
      <c r="A221" s="1">
        <v>1510</v>
      </c>
      <c r="B221" s="17" t="s">
        <v>1527</v>
      </c>
      <c r="C221" s="2" t="s">
        <v>1528</v>
      </c>
      <c r="D221" s="15" t="s">
        <v>1529</v>
      </c>
      <c r="E221" s="9" t="s">
        <v>295</v>
      </c>
      <c r="F221" s="9" t="s">
        <v>1530</v>
      </c>
      <c r="G221" s="9" t="s">
        <v>219</v>
      </c>
      <c r="H221" s="2" t="s">
        <v>35</v>
      </c>
      <c r="I221" s="3">
        <v>31285</v>
      </c>
      <c r="J221" s="9" t="str">
        <f t="shared" ca="1" si="3"/>
        <v>37 ans</v>
      </c>
      <c r="K221" s="2" t="s">
        <v>36</v>
      </c>
      <c r="L221" s="2" t="str">
        <f>"14"</f>
        <v>14</v>
      </c>
      <c r="M221" s="2"/>
      <c r="N221" s="2" t="str">
        <f>"27E"</f>
        <v>27E</v>
      </c>
      <c r="O221" s="2" t="s">
        <v>1531</v>
      </c>
      <c r="P221" s="9" t="e">
        <f>VLOOKUP($O221,'Liste des Villes'!$B$2:$B$1128,1,FALSE)</f>
        <v>#N/A</v>
      </c>
      <c r="Q221" s="9" t="str">
        <f>IFERROR($P221,PROPER(VLOOKUP($O221,'Villes en erreur'!$A$2:$B$72,2,FALSE)))</f>
        <v>Saint-Jérôme</v>
      </c>
      <c r="R221" s="9" t="str">
        <f>IFERROR($P221,PROPER(VLOOKUP($O221,'Villes en erreur'!$A$2:$B$72,2,FALSE)))</f>
        <v>Saint-Jérôme</v>
      </c>
      <c r="S221" s="9" t="str">
        <f>IF(ISBLANK($R221),"",VLOOKUP($R221,'Liste des Villes'!$B$2:$H$1128,4,FALSE))</f>
        <v>Laurentides</v>
      </c>
      <c r="T221" s="2" t="s">
        <v>1532</v>
      </c>
      <c r="U221" s="2" t="s">
        <v>39</v>
      </c>
      <c r="V221" s="2" t="s">
        <v>40</v>
      </c>
      <c r="W221" s="2" t="s">
        <v>1533</v>
      </c>
      <c r="X221" s="2"/>
      <c r="Y221" s="2"/>
      <c r="Z221" s="2"/>
      <c r="AA221" s="2" t="s">
        <v>149</v>
      </c>
      <c r="AB221" s="2" t="s">
        <v>150</v>
      </c>
      <c r="AC221" s="4" t="s">
        <v>44</v>
      </c>
    </row>
    <row r="222" spans="1:29" x14ac:dyDescent="0.25">
      <c r="A222" s="1">
        <v>1342</v>
      </c>
      <c r="B222" s="17" t="s">
        <v>1534</v>
      </c>
      <c r="C222" s="2" t="s">
        <v>1535</v>
      </c>
      <c r="D222" s="15" t="s">
        <v>1536</v>
      </c>
      <c r="E222" s="9" t="s">
        <v>1497</v>
      </c>
      <c r="F222" s="9" t="s">
        <v>1537</v>
      </c>
      <c r="G222" s="9" t="s">
        <v>1538</v>
      </c>
      <c r="H222" s="2" t="s">
        <v>60</v>
      </c>
      <c r="I222" s="3">
        <v>36262</v>
      </c>
      <c r="J222" s="9" t="str">
        <f t="shared" ca="1" si="3"/>
        <v>24 ans</v>
      </c>
      <c r="K222" s="2" t="s">
        <v>123</v>
      </c>
      <c r="L222" s="2" t="str">
        <f>"274"</f>
        <v>274</v>
      </c>
      <c r="M222" s="2"/>
      <c r="N222" s="2" t="str">
        <f>"RUE BERTRAND"</f>
        <v>RUE BERTRAND</v>
      </c>
      <c r="O222" s="2" t="s">
        <v>829</v>
      </c>
      <c r="P222" s="9" t="e">
        <f>VLOOKUP($O222,'Liste des Villes'!$B$2:$B$1128,1,FALSE)</f>
        <v>#N/A</v>
      </c>
      <c r="Q222" s="9" t="str">
        <f>IFERROR($P222,PROPER(VLOOKUP($O222,'Villes en erreur'!$A$2:$B$72,2,FALSE)))</f>
        <v>Saint-Jérôme</v>
      </c>
      <c r="R222" s="9" t="str">
        <f>IFERROR($P222,PROPER(VLOOKUP($O222,'Villes en erreur'!$A$2:$B$72,2,FALSE)))</f>
        <v>Saint-Jérôme</v>
      </c>
      <c r="S222" s="9" t="str">
        <f>IF(ISBLANK($R222),"",VLOOKUP($R222,'Liste des Villes'!$B$2:$H$1128,4,FALSE))</f>
        <v>Laurentides</v>
      </c>
      <c r="T222" s="2" t="s">
        <v>830</v>
      </c>
      <c r="U222" s="2" t="s">
        <v>39</v>
      </c>
      <c r="V222" s="2" t="s">
        <v>40</v>
      </c>
      <c r="W222" s="2" t="s">
        <v>1539</v>
      </c>
      <c r="X222" s="2"/>
      <c r="Y222" s="2"/>
      <c r="Z222" s="2"/>
      <c r="AA222" s="2" t="s">
        <v>832</v>
      </c>
      <c r="AB222" s="2" t="s">
        <v>73</v>
      </c>
      <c r="AC222" s="4" t="s">
        <v>44</v>
      </c>
    </row>
    <row r="223" spans="1:29" x14ac:dyDescent="0.25">
      <c r="A223" s="1">
        <v>4526</v>
      </c>
      <c r="B223" s="17" t="s">
        <v>1540</v>
      </c>
      <c r="C223" s="2" t="s">
        <v>1541</v>
      </c>
      <c r="D223" s="15" t="s">
        <v>1542</v>
      </c>
      <c r="E223" s="9" t="s">
        <v>137</v>
      </c>
      <c r="F223" s="9" t="s">
        <v>527</v>
      </c>
      <c r="G223" s="9" t="s">
        <v>145</v>
      </c>
      <c r="H223" s="2" t="s">
        <v>35</v>
      </c>
      <c r="I223" s="3">
        <v>31642</v>
      </c>
      <c r="J223" s="9" t="str">
        <f t="shared" ca="1" si="3"/>
        <v>37 ans</v>
      </c>
      <c r="K223" s="2" t="s">
        <v>36</v>
      </c>
      <c r="L223" s="2" t="str">
        <f>"16"</f>
        <v>16</v>
      </c>
      <c r="M223" s="2"/>
      <c r="N223" s="2" t="str">
        <f>"36E AV"</f>
        <v>36E AV</v>
      </c>
      <c r="O223" s="2" t="s">
        <v>998</v>
      </c>
      <c r="P223" s="9" t="e">
        <f>VLOOKUP($O223,'Liste des Villes'!$B$2:$B$1128,1,FALSE)</f>
        <v>#N/A</v>
      </c>
      <c r="Q223" s="9" t="str">
        <f>IFERROR($P223,PROPER(VLOOKUP($O223,'Villes en erreur'!$A$2:$B$72,2,FALSE)))</f>
        <v>Saint-Colomban</v>
      </c>
      <c r="R223" s="9" t="str">
        <f>IFERROR($P223,PROPER(VLOOKUP($O223,'Villes en erreur'!$A$2:$B$72,2,FALSE)))</f>
        <v>Saint-Colomban</v>
      </c>
      <c r="S223" s="9" t="str">
        <f>IF(ISBLANK($R223),"",VLOOKUP($R223,'Liste des Villes'!$B$2:$H$1128,4,FALSE))</f>
        <v>Laurentides</v>
      </c>
      <c r="T223" s="2" t="s">
        <v>1543</v>
      </c>
      <c r="U223" s="2" t="s">
        <v>39</v>
      </c>
      <c r="V223" s="2" t="s">
        <v>40</v>
      </c>
      <c r="W223" s="2" t="s">
        <v>1544</v>
      </c>
      <c r="X223" s="2"/>
      <c r="Y223" s="2"/>
      <c r="Z223" s="2"/>
      <c r="AA223" s="2" t="s">
        <v>149</v>
      </c>
      <c r="AB223" s="2" t="s">
        <v>150</v>
      </c>
      <c r="AC223" s="4" t="s">
        <v>44</v>
      </c>
    </row>
    <row r="224" spans="1:29" x14ac:dyDescent="0.25">
      <c r="A224" s="1">
        <v>1528</v>
      </c>
      <c r="B224" s="17" t="s">
        <v>1545</v>
      </c>
      <c r="C224" s="2" t="s">
        <v>1546</v>
      </c>
      <c r="D224" s="15" t="s">
        <v>1547</v>
      </c>
      <c r="E224" s="9" t="s">
        <v>503</v>
      </c>
      <c r="F224" s="9" t="s">
        <v>1548</v>
      </c>
      <c r="G224" s="9" t="s">
        <v>122</v>
      </c>
      <c r="H224" s="2" t="s">
        <v>35</v>
      </c>
      <c r="I224" s="3">
        <v>36350</v>
      </c>
      <c r="J224" s="9" t="str">
        <f t="shared" ca="1" si="3"/>
        <v>24 ans</v>
      </c>
      <c r="K224" s="2" t="s">
        <v>123</v>
      </c>
      <c r="L224" s="2" t="str">
        <f>"317"</f>
        <v>317</v>
      </c>
      <c r="M224" s="2"/>
      <c r="N224" s="2" t="str">
        <f>"RUE CHAMPAGNE"</f>
        <v>RUE CHAMPAGNE</v>
      </c>
      <c r="O224" s="2" t="s">
        <v>893</v>
      </c>
      <c r="P224" s="9" t="e">
        <f>VLOOKUP($O224,'Liste des Villes'!$B$2:$B$1128,1,FALSE)</f>
        <v>#N/A</v>
      </c>
      <c r="Q224" s="9" t="str">
        <f>IFERROR($P224,PROPER(VLOOKUP($O224,'Villes en erreur'!$A$2:$B$72,2,FALSE)))</f>
        <v>Saint-Faustin–Lac-Carré</v>
      </c>
      <c r="R224" s="9" t="str">
        <f>IFERROR($P224,PROPER(VLOOKUP($O224,'Villes en erreur'!$A$2:$B$72,2,FALSE)))</f>
        <v>Saint-Faustin–Lac-Carré</v>
      </c>
      <c r="S224" s="9" t="str">
        <f>IF(ISBLANK($R224),"",VLOOKUP($R224,'Liste des Villes'!$B$2:$H$1128,4,FALSE))</f>
        <v>Laurentides</v>
      </c>
      <c r="T224" s="2" t="s">
        <v>125</v>
      </c>
      <c r="U224" s="2" t="s">
        <v>39</v>
      </c>
      <c r="V224" s="2" t="s">
        <v>40</v>
      </c>
      <c r="W224" s="2" t="s">
        <v>1549</v>
      </c>
      <c r="X224" s="2"/>
      <c r="Y224" s="2"/>
      <c r="Z224" s="2"/>
      <c r="AA224" s="2" t="s">
        <v>127</v>
      </c>
      <c r="AB224" s="2" t="s">
        <v>73</v>
      </c>
      <c r="AC224" s="4" t="s">
        <v>44</v>
      </c>
    </row>
    <row r="225" spans="1:29" x14ac:dyDescent="0.25">
      <c r="A225" s="1">
        <v>4195</v>
      </c>
      <c r="B225" s="17" t="s">
        <v>1550</v>
      </c>
      <c r="C225" s="2" t="s">
        <v>1551</v>
      </c>
      <c r="D225" s="15" t="s">
        <v>1552</v>
      </c>
      <c r="E225" s="9" t="s">
        <v>1553</v>
      </c>
      <c r="F225" s="9" t="s">
        <v>1554</v>
      </c>
      <c r="G225" s="9" t="s">
        <v>1555</v>
      </c>
      <c r="H225" s="2" t="s">
        <v>60</v>
      </c>
      <c r="I225" s="3">
        <v>33326</v>
      </c>
      <c r="J225" s="9" t="str">
        <f t="shared" ca="1" si="3"/>
        <v>32 ans</v>
      </c>
      <c r="K225" s="2" t="s">
        <v>36</v>
      </c>
      <c r="L225" s="2" t="str">
        <f>"31"</f>
        <v>31</v>
      </c>
      <c r="M225" s="2"/>
      <c r="N225" s="2" t="str">
        <f>"AV DES PEUPLIERS"</f>
        <v>AV DES PEUPLIERS</v>
      </c>
      <c r="O225" s="2" t="s">
        <v>37</v>
      </c>
      <c r="P225" s="9" t="e">
        <f>VLOOKUP($O225,'Liste des Villes'!$B$2:$B$1128,1,FALSE)</f>
        <v>#N/A</v>
      </c>
      <c r="Q225" s="9" t="str">
        <f>IFERROR($P225,PROPER(VLOOKUP($O225,'Villes en erreur'!$A$2:$B$72,2,FALSE)))</f>
        <v>Saint-Lin–Laurentides</v>
      </c>
      <c r="R225" s="9" t="str">
        <f>IFERROR($P225,PROPER(VLOOKUP($O225,'Villes en erreur'!$A$2:$B$72,2,FALSE)))</f>
        <v>Saint-Lin–Laurentides</v>
      </c>
      <c r="S225" s="9" t="str">
        <f>IF(ISBLANK($R225),"",VLOOKUP($R225,'Liste des Villes'!$B$2:$H$1128,4,FALSE))</f>
        <v>Lanaudière</v>
      </c>
      <c r="T225" s="2" t="s">
        <v>38</v>
      </c>
      <c r="U225" s="2" t="s">
        <v>39</v>
      </c>
      <c r="V225" s="2" t="s">
        <v>40</v>
      </c>
      <c r="W225" s="2" t="s">
        <v>1556</v>
      </c>
      <c r="X225" s="2"/>
      <c r="Y225" s="2"/>
      <c r="Z225" s="2"/>
      <c r="AA225" s="2" t="s">
        <v>42</v>
      </c>
      <c r="AB225" s="2" t="s">
        <v>53</v>
      </c>
      <c r="AC225" s="4" t="s">
        <v>44</v>
      </c>
    </row>
    <row r="226" spans="1:29" x14ac:dyDescent="0.25">
      <c r="A226" s="1">
        <v>1369</v>
      </c>
      <c r="B226" s="17" t="s">
        <v>1557</v>
      </c>
      <c r="C226" s="2" t="s">
        <v>1558</v>
      </c>
      <c r="D226" s="15" t="s">
        <v>1559</v>
      </c>
      <c r="E226" s="9" t="s">
        <v>1560</v>
      </c>
      <c r="F226" s="9" t="s">
        <v>867</v>
      </c>
      <c r="G226" s="9" t="s">
        <v>935</v>
      </c>
      <c r="H226" s="2" t="s">
        <v>60</v>
      </c>
      <c r="I226" s="3">
        <v>33381</v>
      </c>
      <c r="J226" s="9" t="str">
        <f t="shared" ca="1" si="3"/>
        <v>32 ans</v>
      </c>
      <c r="K226" s="2" t="s">
        <v>36</v>
      </c>
      <c r="L226" s="2" t="str">
        <f>"32"</f>
        <v>32</v>
      </c>
      <c r="M226" s="2"/>
      <c r="N226" s="2" t="str">
        <f>"AV DU PARC"</f>
        <v>AV DU PARC</v>
      </c>
      <c r="O226" s="2" t="s">
        <v>37</v>
      </c>
      <c r="P226" s="9" t="e">
        <f>VLOOKUP($O226,'Liste des Villes'!$B$2:$B$1128,1,FALSE)</f>
        <v>#N/A</v>
      </c>
      <c r="Q226" s="9" t="str">
        <f>IFERROR($P226,PROPER(VLOOKUP($O226,'Villes en erreur'!$A$2:$B$72,2,FALSE)))</f>
        <v>Saint-Lin–Laurentides</v>
      </c>
      <c r="R226" s="9" t="str">
        <f>IFERROR($P226,PROPER(VLOOKUP($O226,'Villes en erreur'!$A$2:$B$72,2,FALSE)))</f>
        <v>Saint-Lin–Laurentides</v>
      </c>
      <c r="S226" s="9" t="str">
        <f>IF(ISBLANK($R226),"",VLOOKUP($R226,'Liste des Villes'!$B$2:$H$1128,4,FALSE))</f>
        <v>Lanaudière</v>
      </c>
      <c r="T226" s="2" t="s">
        <v>38</v>
      </c>
      <c r="U226" s="2" t="s">
        <v>39</v>
      </c>
      <c r="V226" s="2" t="s">
        <v>40</v>
      </c>
      <c r="W226" s="2" t="s">
        <v>1561</v>
      </c>
      <c r="X226" s="2"/>
      <c r="Y226" s="2"/>
      <c r="Z226" s="2"/>
      <c r="AA226" s="2" t="s">
        <v>42</v>
      </c>
      <c r="AB226" s="2" t="s">
        <v>53</v>
      </c>
      <c r="AC226" s="4" t="s">
        <v>44</v>
      </c>
    </row>
    <row r="227" spans="1:29" x14ac:dyDescent="0.25">
      <c r="A227" s="1">
        <v>4324</v>
      </c>
      <c r="B227" s="17" t="s">
        <v>1562</v>
      </c>
      <c r="C227" s="2" t="s">
        <v>1563</v>
      </c>
      <c r="D227" s="15" t="s">
        <v>1564</v>
      </c>
      <c r="E227" s="9" t="s">
        <v>92</v>
      </c>
      <c r="F227" s="9" t="s">
        <v>1565</v>
      </c>
      <c r="G227" s="9" t="s">
        <v>1566</v>
      </c>
      <c r="H227" s="2" t="s">
        <v>60</v>
      </c>
      <c r="I227" s="3">
        <v>37588</v>
      </c>
      <c r="J227" s="9" t="str">
        <f t="shared" ca="1" si="3"/>
        <v>20 ans</v>
      </c>
      <c r="K227" s="2" t="s">
        <v>262</v>
      </c>
      <c r="L227" s="2" t="str">
        <f>"381A"</f>
        <v>381A</v>
      </c>
      <c r="M227" s="2" t="str">
        <f>"1"</f>
        <v>1</v>
      </c>
      <c r="N227" s="2" t="str">
        <f>"TURCOT"</f>
        <v>TURCOT</v>
      </c>
      <c r="O227" s="2" t="s">
        <v>1567</v>
      </c>
      <c r="P227" s="9" t="e">
        <f>VLOOKUP($O227,'Liste des Villes'!$B$2:$B$1128,1,FALSE)</f>
        <v>#N/A</v>
      </c>
      <c r="Q227" s="9" t="str">
        <f>IFERROR($P227,PROPER(VLOOKUP($O227,'Villes en erreur'!$A$2:$B$72,2,FALSE)))</f>
        <v>Saint-Jérôme</v>
      </c>
      <c r="R227" s="9" t="str">
        <f>IFERROR($P227,PROPER(VLOOKUP($O227,'Villes en erreur'!$A$2:$B$72,2,FALSE)))</f>
        <v>Saint-Jérôme</v>
      </c>
      <c r="S227" s="9" t="str">
        <f>IF(ISBLANK($R227),"",VLOOKUP($R227,'Liste des Villes'!$B$2:$H$1128,4,FALSE))</f>
        <v>Laurentides</v>
      </c>
      <c r="T227" s="2" t="s">
        <v>1568</v>
      </c>
      <c r="U227" s="2" t="s">
        <v>39</v>
      </c>
      <c r="V227" s="2" t="s">
        <v>40</v>
      </c>
      <c r="W227" s="2" t="s">
        <v>1569</v>
      </c>
      <c r="X227" s="2" t="str">
        <f>"4508219045 x9045"</f>
        <v>4508219045 x9045</v>
      </c>
      <c r="Y227" s="2" t="str">
        <f>"4383344493"</f>
        <v>4383344493</v>
      </c>
      <c r="Z227" s="2" t="str">
        <f>"5148259442"</f>
        <v>5148259442</v>
      </c>
      <c r="AA227" s="2" t="s">
        <v>456</v>
      </c>
      <c r="AB227" s="2" t="s">
        <v>457</v>
      </c>
      <c r="AC227" s="4" t="s">
        <v>44</v>
      </c>
    </row>
    <row r="228" spans="1:29" x14ac:dyDescent="0.25">
      <c r="A228" s="1">
        <v>2573</v>
      </c>
      <c r="B228" s="17" t="s">
        <v>1570</v>
      </c>
      <c r="C228" s="2" t="s">
        <v>1571</v>
      </c>
      <c r="D228" s="15" t="s">
        <v>1572</v>
      </c>
      <c r="E228" s="9" t="s">
        <v>92</v>
      </c>
      <c r="F228" s="9" t="s">
        <v>944</v>
      </c>
      <c r="G228" s="9" t="s">
        <v>59</v>
      </c>
      <c r="H228" s="2" t="s">
        <v>60</v>
      </c>
      <c r="I228" s="3">
        <v>33475</v>
      </c>
      <c r="J228" s="9" t="str">
        <f t="shared" ca="1" si="3"/>
        <v>32 ans</v>
      </c>
      <c r="K228" s="2" t="s">
        <v>36</v>
      </c>
      <c r="L228" s="2" t="str">
        <f>"33"</f>
        <v>33</v>
      </c>
      <c r="M228" s="2"/>
      <c r="N228" s="2" t="str">
        <f>"AV FORGET"</f>
        <v>AV FORGET</v>
      </c>
      <c r="O228" s="2" t="s">
        <v>51</v>
      </c>
      <c r="P228" s="9" t="e">
        <f>VLOOKUP($O228,'Liste des Villes'!$B$2:$B$1128,1,FALSE)</f>
        <v>#N/A</v>
      </c>
      <c r="Q228" s="9" t="str">
        <f>IFERROR($P228,PROPER(VLOOKUP($O228,'Villes en erreur'!$A$2:$B$72,2,FALSE)))</f>
        <v>Saint-Lin–Laurentides</v>
      </c>
      <c r="R228" s="9" t="str">
        <f>IFERROR($P228,PROPER(VLOOKUP($O228,'Villes en erreur'!$A$2:$B$72,2,FALSE)))</f>
        <v>Saint-Lin–Laurentides</v>
      </c>
      <c r="S228" s="9" t="str">
        <f>IF(ISBLANK($R228),"",VLOOKUP($R228,'Liste des Villes'!$B$2:$H$1128,4,FALSE))</f>
        <v>Lanaudière</v>
      </c>
      <c r="T228" s="2" t="s">
        <v>38</v>
      </c>
      <c r="U228" s="2" t="s">
        <v>39</v>
      </c>
      <c r="V228" s="2" t="s">
        <v>40</v>
      </c>
      <c r="W228" s="2" t="s">
        <v>1573</v>
      </c>
      <c r="X228" s="2"/>
      <c r="Y228" s="2"/>
      <c r="Z228" s="2"/>
      <c r="AA228" s="2" t="s">
        <v>42</v>
      </c>
      <c r="AB228" s="2" t="s">
        <v>53</v>
      </c>
      <c r="AC228" s="4" t="s">
        <v>44</v>
      </c>
    </row>
    <row r="229" spans="1:29" x14ac:dyDescent="0.25">
      <c r="A229" s="1">
        <v>3316</v>
      </c>
      <c r="B229" s="17" t="s">
        <v>1574</v>
      </c>
      <c r="C229" s="2" t="s">
        <v>1575</v>
      </c>
      <c r="D229" s="15" t="s">
        <v>1576</v>
      </c>
      <c r="E229" s="9" t="s">
        <v>635</v>
      </c>
      <c r="F229" s="9" t="s">
        <v>411</v>
      </c>
      <c r="G229" s="9" t="s">
        <v>1577</v>
      </c>
      <c r="H229" s="2" t="s">
        <v>35</v>
      </c>
      <c r="I229" s="3">
        <v>33356</v>
      </c>
      <c r="J229" s="9" t="str">
        <f t="shared" ca="1" si="3"/>
        <v>32 ans</v>
      </c>
      <c r="K229" s="2" t="s">
        <v>36</v>
      </c>
      <c r="L229" s="2" t="str">
        <f>"32"</f>
        <v>32</v>
      </c>
      <c r="M229" s="2"/>
      <c r="N229" s="2" t="str">
        <f>"AV DU MARCHÉ"</f>
        <v>AV DU MARCHÉ</v>
      </c>
      <c r="O229" s="2" t="s">
        <v>37</v>
      </c>
      <c r="P229" s="9" t="e">
        <f>VLOOKUP($O229,'Liste des Villes'!$B$2:$B$1128,1,FALSE)</f>
        <v>#N/A</v>
      </c>
      <c r="Q229" s="9" t="str">
        <f>IFERROR($P229,PROPER(VLOOKUP($O229,'Villes en erreur'!$A$2:$B$72,2,FALSE)))</f>
        <v>Saint-Lin–Laurentides</v>
      </c>
      <c r="R229" s="9" t="str">
        <f>IFERROR($P229,PROPER(VLOOKUP($O229,'Villes en erreur'!$A$2:$B$72,2,FALSE)))</f>
        <v>Saint-Lin–Laurentides</v>
      </c>
      <c r="S229" s="9" t="str">
        <f>IF(ISBLANK($R229),"",VLOOKUP($R229,'Liste des Villes'!$B$2:$H$1128,4,FALSE))</f>
        <v>Lanaudière</v>
      </c>
      <c r="T229" s="2" t="s">
        <v>38</v>
      </c>
      <c r="U229" s="2" t="s">
        <v>39</v>
      </c>
      <c r="V229" s="2" t="s">
        <v>40</v>
      </c>
      <c r="W229" s="2" t="s">
        <v>1578</v>
      </c>
      <c r="X229" s="2"/>
      <c r="Y229" s="2"/>
      <c r="Z229" s="2"/>
      <c r="AA229" s="2" t="s">
        <v>42</v>
      </c>
      <c r="AB229" s="2" t="s">
        <v>53</v>
      </c>
      <c r="AC229" s="4" t="s">
        <v>44</v>
      </c>
    </row>
    <row r="230" spans="1:29" x14ac:dyDescent="0.25">
      <c r="A230" s="1">
        <v>4589</v>
      </c>
      <c r="B230" s="17" t="s">
        <v>1579</v>
      </c>
      <c r="C230" s="2" t="s">
        <v>1580</v>
      </c>
      <c r="D230" s="15" t="s">
        <v>1581</v>
      </c>
      <c r="E230" s="9" t="s">
        <v>1582</v>
      </c>
      <c r="F230" s="9" t="s">
        <v>1583</v>
      </c>
      <c r="G230" s="9" t="s">
        <v>1584</v>
      </c>
      <c r="H230" s="2" t="s">
        <v>60</v>
      </c>
      <c r="I230" s="3">
        <v>36916</v>
      </c>
      <c r="J230" s="9" t="str">
        <f t="shared" ca="1" si="3"/>
        <v>22 ans</v>
      </c>
      <c r="K230" s="2" t="s">
        <v>156</v>
      </c>
      <c r="L230" s="2" t="str">
        <f>"919"</f>
        <v>919</v>
      </c>
      <c r="M230" s="2"/>
      <c r="N230" s="2" t="str">
        <f>"RUE DESCHATELETS"</f>
        <v>RUE DESCHATELETS</v>
      </c>
      <c r="O230" s="2" t="s">
        <v>1585</v>
      </c>
      <c r="P230" s="9" t="e">
        <f>VLOOKUP($O230,'Liste des Villes'!$B$2:$B$1128,1,FALSE)</f>
        <v>#N/A</v>
      </c>
      <c r="Q230" s="9" t="str">
        <f>IFERROR($P230,PROPER(VLOOKUP($O230,'Villes en erreur'!$A$2:$B$72,2,FALSE)))</f>
        <v>Sainte-Sophie</v>
      </c>
      <c r="R230" s="9" t="str">
        <f>IFERROR($P230,PROPER(VLOOKUP($O230,'Villes en erreur'!$A$2:$B$72,2,FALSE)))</f>
        <v>Sainte-Sophie</v>
      </c>
      <c r="S230" s="9" t="str">
        <f>IF(ISBLANK($R230),"",VLOOKUP($R230,'Liste des Villes'!$B$2:$H$1128,4,FALSE))</f>
        <v>Laurentides</v>
      </c>
      <c r="T230" s="2" t="s">
        <v>1586</v>
      </c>
      <c r="U230" s="2" t="s">
        <v>39</v>
      </c>
      <c r="V230" s="2" t="s">
        <v>40</v>
      </c>
      <c r="W230" s="2" t="s">
        <v>1587</v>
      </c>
      <c r="X230" s="2"/>
      <c r="Y230" s="2"/>
      <c r="Z230" s="2"/>
      <c r="AA230" s="2" t="s">
        <v>299</v>
      </c>
      <c r="AB230" s="2" t="s">
        <v>161</v>
      </c>
      <c r="AC230" s="4" t="s">
        <v>44</v>
      </c>
    </row>
    <row r="231" spans="1:29" x14ac:dyDescent="0.25">
      <c r="A231" s="1">
        <v>2377</v>
      </c>
      <c r="B231" s="17" t="s">
        <v>1588</v>
      </c>
      <c r="C231" s="2" t="s">
        <v>1589</v>
      </c>
      <c r="D231" s="15" t="s">
        <v>1590</v>
      </c>
      <c r="E231" s="9" t="s">
        <v>1591</v>
      </c>
      <c r="F231" s="9" t="s">
        <v>1592</v>
      </c>
      <c r="G231" s="9" t="s">
        <v>219</v>
      </c>
      <c r="H231" s="2" t="s">
        <v>35</v>
      </c>
      <c r="I231" s="3">
        <v>30852</v>
      </c>
      <c r="J231" s="9" t="str">
        <f t="shared" ca="1" si="3"/>
        <v>39 ans</v>
      </c>
      <c r="K231" s="2" t="s">
        <v>36</v>
      </c>
      <c r="L231" s="2" t="str">
        <f>"13"</f>
        <v>13</v>
      </c>
      <c r="M231" s="2"/>
      <c r="N231" s="2" t="str">
        <f>"22E AVENUE"</f>
        <v>22E AVENUE</v>
      </c>
      <c r="O231" s="2" t="s">
        <v>1593</v>
      </c>
      <c r="P231" s="9" t="e">
        <f>VLOOKUP($O231,'Liste des Villes'!$B$2:$B$1128,1,FALSE)</f>
        <v>#N/A</v>
      </c>
      <c r="Q231" s="9" t="str">
        <f>IFERROR($P231,PROPER(VLOOKUP($O231,'Villes en erreur'!$A$2:$B$72,2,FALSE)))</f>
        <v>Sainte-Marthe-Sur-Le-Lac</v>
      </c>
      <c r="R231" s="9" t="str">
        <f>IFERROR($P231,PROPER(VLOOKUP($O231,'Villes en erreur'!$A$2:$B$72,2,FALSE)))</f>
        <v>Sainte-Marthe-Sur-Le-Lac</v>
      </c>
      <c r="S231" s="9" t="str">
        <f>IF(ISBLANK($R231),"",VLOOKUP($R231,'Liste des Villes'!$B$2:$H$1128,4,FALSE))</f>
        <v>Laurentides</v>
      </c>
      <c r="T231" s="2" t="s">
        <v>1594</v>
      </c>
      <c r="U231" s="2" t="s">
        <v>39</v>
      </c>
      <c r="V231" s="2" t="s">
        <v>40</v>
      </c>
      <c r="W231" s="2" t="s">
        <v>1595</v>
      </c>
      <c r="X231" s="2"/>
      <c r="Y231" s="2"/>
      <c r="Z231" s="2"/>
      <c r="AA231" s="2" t="s">
        <v>149</v>
      </c>
      <c r="AB231" s="2" t="s">
        <v>150</v>
      </c>
      <c r="AC231" s="4" t="s">
        <v>44</v>
      </c>
    </row>
    <row r="232" spans="1:29" x14ac:dyDescent="0.25">
      <c r="A232" s="1">
        <v>228</v>
      </c>
      <c r="B232" s="17" t="s">
        <v>1596</v>
      </c>
      <c r="C232" s="2" t="s">
        <v>1597</v>
      </c>
      <c r="D232" s="15" t="s">
        <v>957</v>
      </c>
      <c r="E232" s="9" t="s">
        <v>1598</v>
      </c>
      <c r="F232" s="9" t="s">
        <v>955</v>
      </c>
      <c r="G232" s="9" t="s">
        <v>1599</v>
      </c>
      <c r="H232" s="2" t="s">
        <v>60</v>
      </c>
      <c r="I232" s="3">
        <v>21233</v>
      </c>
      <c r="J232" s="9" t="str">
        <f t="shared" ca="1" si="3"/>
        <v>65 ans</v>
      </c>
      <c r="K232" s="2"/>
      <c r="L232" s="2"/>
      <c r="M232" s="2"/>
      <c r="N232" s="2" t="str">
        <f>"79"</f>
        <v>79</v>
      </c>
      <c r="O232" s="2" t="s">
        <v>1600</v>
      </c>
      <c r="P232" s="9" t="str">
        <f>VLOOKUP($O232,'Liste des Villes'!$B$2:$B$1128,1,FALSE)</f>
        <v>Wentworth-Nord</v>
      </c>
      <c r="Q232" s="9" t="str">
        <f>IFERROR($P232,PROPER(VLOOKUP($O232,'Villes en erreur'!$A$2:$B$72,2,FALSE)))</f>
        <v>Wentworth-Nord</v>
      </c>
      <c r="R232" s="9" t="s">
        <v>1601</v>
      </c>
      <c r="S232" s="9" t="str">
        <f>IF(ISBLANK($R232),"",VLOOKUP($R232,'Liste des Villes'!$B$2:$H$1128,4,FALSE))</f>
        <v>Laurentides</v>
      </c>
      <c r="T232" s="2" t="s">
        <v>1602</v>
      </c>
      <c r="U232" s="2" t="s">
        <v>39</v>
      </c>
      <c r="V232" s="2" t="s">
        <v>40</v>
      </c>
      <c r="W232" s="2" t="s">
        <v>444</v>
      </c>
      <c r="X232" s="2"/>
      <c r="Y232" s="2"/>
      <c r="Z232" s="2"/>
      <c r="AA232" s="2" t="s">
        <v>639</v>
      </c>
      <c r="AB232" s="2" t="s">
        <v>445</v>
      </c>
      <c r="AC232" s="4" t="s">
        <v>446</v>
      </c>
    </row>
    <row r="233" spans="1:29" x14ac:dyDescent="0.25">
      <c r="A233" s="1">
        <v>3055</v>
      </c>
      <c r="B233" s="17" t="s">
        <v>1603</v>
      </c>
      <c r="C233" s="2" t="s">
        <v>1604</v>
      </c>
      <c r="D233" s="15" t="s">
        <v>936</v>
      </c>
      <c r="E233" s="9" t="s">
        <v>1605</v>
      </c>
      <c r="F233" s="9" t="s">
        <v>934</v>
      </c>
      <c r="G233" s="9" t="s">
        <v>441</v>
      </c>
      <c r="H233" s="2" t="s">
        <v>60</v>
      </c>
      <c r="I233" s="3">
        <v>22622</v>
      </c>
      <c r="J233" s="9" t="str">
        <f t="shared" ca="1" si="3"/>
        <v>61 ans</v>
      </c>
      <c r="K233" s="2"/>
      <c r="L233" s="2" t="str">
        <f t="shared" ref="L233:L241" si="4">"1"</f>
        <v>1</v>
      </c>
      <c r="M233" s="2"/>
      <c r="N233" s="2" t="str">
        <f>", C.P. 09, SUCC. COP POSTE CANADA"</f>
        <v>, C.P. 09, SUCC. COP POSTE CANADA</v>
      </c>
      <c r="O233" s="2" t="s">
        <v>1600</v>
      </c>
      <c r="P233" s="9" t="str">
        <f>VLOOKUP($O233,'Liste des Villes'!$B$2:$B$1128,1,FALSE)</f>
        <v>Wentworth-Nord</v>
      </c>
      <c r="Q233" s="9" t="str">
        <f>IFERROR($P233,PROPER(VLOOKUP($O233,'Villes en erreur'!$A$2:$B$72,2,FALSE)))</f>
        <v>Wentworth-Nord</v>
      </c>
      <c r="R233" s="9" t="s">
        <v>1601</v>
      </c>
      <c r="S233" s="9" t="str">
        <f>IF(ISBLANK($R233),"",VLOOKUP($R233,'Liste des Villes'!$B$2:$H$1128,4,FALSE))</f>
        <v>Laurentides</v>
      </c>
      <c r="T233" s="2" t="s">
        <v>1606</v>
      </c>
      <c r="U233" s="2" t="s">
        <v>39</v>
      </c>
      <c r="V233" s="2" t="s">
        <v>40</v>
      </c>
      <c r="W233" s="2" t="s">
        <v>444</v>
      </c>
      <c r="X233" s="2"/>
      <c r="Y233" s="2"/>
      <c r="Z233" s="2"/>
      <c r="AA233" s="2" t="s">
        <v>149</v>
      </c>
      <c r="AB233" s="2" t="s">
        <v>445</v>
      </c>
      <c r="AC233" s="4" t="s">
        <v>446</v>
      </c>
    </row>
    <row r="234" spans="1:29" x14ac:dyDescent="0.25">
      <c r="A234" s="1">
        <v>655</v>
      </c>
      <c r="B234" s="17" t="s">
        <v>1607</v>
      </c>
      <c r="C234" s="2" t="s">
        <v>530</v>
      </c>
      <c r="D234" s="15" t="s">
        <v>531</v>
      </c>
      <c r="E234" s="9" t="s">
        <v>532</v>
      </c>
      <c r="F234" s="9" t="s">
        <v>1608</v>
      </c>
      <c r="G234" s="9" t="s">
        <v>441</v>
      </c>
      <c r="H234" s="2" t="s">
        <v>60</v>
      </c>
      <c r="I234" s="3">
        <v>23922</v>
      </c>
      <c r="J234" s="9" t="str">
        <f t="shared" ca="1" si="3"/>
        <v>58 ans</v>
      </c>
      <c r="K234" s="2" t="s">
        <v>36</v>
      </c>
      <c r="L234" s="2" t="str">
        <f t="shared" si="4"/>
        <v>1</v>
      </c>
      <c r="M234" s="2"/>
      <c r="N234" s="2" t="str">
        <f>"101E AV"</f>
        <v>101E AV</v>
      </c>
      <c r="O234" s="2" t="s">
        <v>1609</v>
      </c>
      <c r="P234" s="9" t="str">
        <f>VLOOKUP($O234,'Liste des Villes'!$B$2:$B$1128,1,FALSE)</f>
        <v>Ville-Marie</v>
      </c>
      <c r="Q234" s="9" t="str">
        <f>IFERROR($P234,PROPER(VLOOKUP($O234,'Villes en erreur'!$A$2:$B$72,2,FALSE)))</f>
        <v>Ville-Marie</v>
      </c>
      <c r="R234" s="9" t="s">
        <v>1610</v>
      </c>
      <c r="S234" s="9" t="str">
        <f>IF(ISBLANK($R234),"",VLOOKUP($R234,'Liste des Villes'!$B$2:$H$1128,4,FALSE))</f>
        <v>Abitibi-Témiscamingue</v>
      </c>
      <c r="T234" s="2" t="s">
        <v>1611</v>
      </c>
      <c r="U234" s="2" t="s">
        <v>39</v>
      </c>
      <c r="V234" s="2" t="s">
        <v>40</v>
      </c>
      <c r="W234" s="2" t="s">
        <v>1612</v>
      </c>
      <c r="X234" s="2"/>
      <c r="Y234" s="2"/>
      <c r="Z234" s="2"/>
      <c r="AA234" s="2" t="s">
        <v>149</v>
      </c>
      <c r="AB234" s="2" t="s">
        <v>445</v>
      </c>
      <c r="AC234" s="4" t="s">
        <v>446</v>
      </c>
    </row>
    <row r="235" spans="1:29" x14ac:dyDescent="0.25">
      <c r="A235" s="1">
        <v>2543</v>
      </c>
      <c r="B235" s="17" t="s">
        <v>1613</v>
      </c>
      <c r="C235" s="2" t="s">
        <v>1614</v>
      </c>
      <c r="D235" s="15" t="s">
        <v>1615</v>
      </c>
      <c r="E235" s="9" t="s">
        <v>1616</v>
      </c>
      <c r="F235" s="9" t="s">
        <v>1617</v>
      </c>
      <c r="G235" s="9" t="s">
        <v>441</v>
      </c>
      <c r="H235" s="2" t="s">
        <v>60</v>
      </c>
      <c r="I235" s="3">
        <v>24120</v>
      </c>
      <c r="J235" s="9" t="str">
        <f t="shared" ca="1" si="3"/>
        <v>57 ans</v>
      </c>
      <c r="K235" s="2" t="s">
        <v>36</v>
      </c>
      <c r="L235" s="2" t="str">
        <f t="shared" si="4"/>
        <v>1</v>
      </c>
      <c r="M235" s="2"/>
      <c r="N235" s="2" t="str">
        <f>"101E AV"</f>
        <v>101E AV</v>
      </c>
      <c r="O235" s="2" t="s">
        <v>1618</v>
      </c>
      <c r="P235" s="9" t="str">
        <f>VLOOKUP($O235,'Liste des Villes'!$B$2:$B$1128,1,FALSE)</f>
        <v>Victoriaville</v>
      </c>
      <c r="Q235" s="9" t="str">
        <f>IFERROR($P235,PROPER(VLOOKUP($O235,'Villes en erreur'!$A$2:$B$72,2,FALSE)))</f>
        <v>Victoriaville</v>
      </c>
      <c r="R235" s="9" t="s">
        <v>1619</v>
      </c>
      <c r="S235" s="9" t="str">
        <f>IF(ISBLANK($R235),"",VLOOKUP($R235,'Liste des Villes'!$B$2:$H$1128,4,FALSE))</f>
        <v>Centre-du-Québec</v>
      </c>
      <c r="T235" s="2" t="s">
        <v>1620</v>
      </c>
      <c r="U235" s="2" t="s">
        <v>39</v>
      </c>
      <c r="V235" s="2" t="s">
        <v>40</v>
      </c>
      <c r="W235" s="2" t="s">
        <v>1621</v>
      </c>
      <c r="X235" s="2"/>
      <c r="Y235" s="2"/>
      <c r="Z235" s="2"/>
      <c r="AA235" s="2" t="s">
        <v>149</v>
      </c>
      <c r="AB235" s="2" t="s">
        <v>445</v>
      </c>
      <c r="AC235" s="4" t="s">
        <v>446</v>
      </c>
    </row>
    <row r="236" spans="1:29" x14ac:dyDescent="0.25">
      <c r="A236" s="1">
        <v>1332</v>
      </c>
      <c r="B236" s="17" t="s">
        <v>1622</v>
      </c>
      <c r="C236" s="2" t="s">
        <v>1623</v>
      </c>
      <c r="D236" s="15" t="s">
        <v>1624</v>
      </c>
      <c r="E236" s="9" t="s">
        <v>1625</v>
      </c>
      <c r="F236" s="9" t="s">
        <v>982</v>
      </c>
      <c r="G236" s="9" t="s">
        <v>1626</v>
      </c>
      <c r="H236" s="2" t="s">
        <v>60</v>
      </c>
      <c r="I236" s="3">
        <v>24464</v>
      </c>
      <c r="J236" s="9" t="str">
        <f t="shared" ca="1" si="3"/>
        <v>56 ans</v>
      </c>
      <c r="K236" s="2" t="s">
        <v>36</v>
      </c>
      <c r="L236" s="2" t="str">
        <f t="shared" si="4"/>
        <v>1</v>
      </c>
      <c r="M236" s="2"/>
      <c r="N236" s="2" t="str">
        <f>"101E AV E"</f>
        <v>101E AV E</v>
      </c>
      <c r="O236" s="2" t="s">
        <v>1618</v>
      </c>
      <c r="P236" s="9" t="str">
        <f>VLOOKUP($O236,'Liste des Villes'!$B$2:$B$1128,1,FALSE)</f>
        <v>Victoriaville</v>
      </c>
      <c r="Q236" s="9" t="str">
        <f>IFERROR($P236,PROPER(VLOOKUP($O236,'Villes en erreur'!$A$2:$B$72,2,FALSE)))</f>
        <v>Victoriaville</v>
      </c>
      <c r="R236" s="9" t="s">
        <v>1619</v>
      </c>
      <c r="S236" s="9" t="str">
        <f>IF(ISBLANK($R236),"",VLOOKUP($R236,'Liste des Villes'!$B$2:$H$1128,4,FALSE))</f>
        <v>Centre-du-Québec</v>
      </c>
      <c r="T236" s="2" t="s">
        <v>1627</v>
      </c>
      <c r="U236" s="2" t="s">
        <v>39</v>
      </c>
      <c r="V236" s="2" t="s">
        <v>40</v>
      </c>
      <c r="W236" s="2" t="s">
        <v>1628</v>
      </c>
      <c r="X236" s="2"/>
      <c r="Y236" s="2"/>
      <c r="Z236" s="2"/>
      <c r="AA236" s="2" t="s">
        <v>149</v>
      </c>
      <c r="AB236" s="2" t="s">
        <v>445</v>
      </c>
      <c r="AC236" s="4" t="s">
        <v>446</v>
      </c>
    </row>
    <row r="237" spans="1:29" x14ac:dyDescent="0.25">
      <c r="A237" s="1">
        <v>774</v>
      </c>
      <c r="B237" s="17" t="s">
        <v>1629</v>
      </c>
      <c r="C237" s="2" t="s">
        <v>1630</v>
      </c>
      <c r="D237" s="15" t="s">
        <v>1631</v>
      </c>
      <c r="E237" s="9" t="s">
        <v>137</v>
      </c>
      <c r="F237" s="9" t="s">
        <v>1632</v>
      </c>
      <c r="G237" s="9" t="s">
        <v>1633</v>
      </c>
      <c r="H237" s="2" t="s">
        <v>35</v>
      </c>
      <c r="I237" s="3">
        <v>24646</v>
      </c>
      <c r="J237" s="9" t="str">
        <f t="shared" ca="1" si="3"/>
        <v>56 ans</v>
      </c>
      <c r="K237" s="2" t="s">
        <v>36</v>
      </c>
      <c r="L237" s="2" t="str">
        <f t="shared" si="4"/>
        <v>1</v>
      </c>
      <c r="M237" s="2"/>
      <c r="N237" s="2" t="str">
        <f>"103E AVENUE"</f>
        <v>103E AVENUE</v>
      </c>
      <c r="O237" s="2" t="s">
        <v>1634</v>
      </c>
      <c r="P237" s="9" t="str">
        <f>VLOOKUP($O237,'Liste des Villes'!$B$2:$B$1128,1,FALSE)</f>
        <v>Vaudreuil-Dorion</v>
      </c>
      <c r="Q237" s="9" t="str">
        <f>IFERROR($P237,PROPER(VLOOKUP($O237,'Villes en erreur'!$A$2:$B$72,2,FALSE)))</f>
        <v>Vaudreuil-Dorion</v>
      </c>
      <c r="R237" s="9" t="s">
        <v>1635</v>
      </c>
      <c r="S237" s="9" t="str">
        <f>IF(ISBLANK($R237),"",VLOOKUP($R237,'Liste des Villes'!$B$2:$H$1128,4,FALSE))</f>
        <v>Montérégie</v>
      </c>
      <c r="T237" s="2" t="s">
        <v>1636</v>
      </c>
      <c r="U237" s="2" t="s">
        <v>39</v>
      </c>
      <c r="V237" s="2" t="s">
        <v>40</v>
      </c>
      <c r="W237" s="2" t="s">
        <v>1637</v>
      </c>
      <c r="X237" s="2"/>
      <c r="Y237" s="2"/>
      <c r="Z237" s="2"/>
      <c r="AA237" s="2" t="s">
        <v>149</v>
      </c>
      <c r="AB237" s="2" t="s">
        <v>445</v>
      </c>
      <c r="AC237" s="4" t="s">
        <v>446</v>
      </c>
    </row>
    <row r="238" spans="1:29" x14ac:dyDescent="0.25">
      <c r="A238" s="1">
        <v>1187</v>
      </c>
      <c r="B238" s="17" t="s">
        <v>1638</v>
      </c>
      <c r="C238" s="2" t="s">
        <v>1639</v>
      </c>
      <c r="D238" s="15" t="s">
        <v>1640</v>
      </c>
      <c r="E238" s="9" t="s">
        <v>743</v>
      </c>
      <c r="F238" s="9" t="s">
        <v>1641</v>
      </c>
      <c r="G238" s="9" t="s">
        <v>1642</v>
      </c>
      <c r="H238" s="2" t="s">
        <v>35</v>
      </c>
      <c r="I238" s="3">
        <v>25957</v>
      </c>
      <c r="J238" s="9" t="str">
        <f t="shared" ca="1" si="3"/>
        <v>52 ans</v>
      </c>
      <c r="K238" s="2" t="s">
        <v>36</v>
      </c>
      <c r="L238" s="2" t="str">
        <f t="shared" si="4"/>
        <v>1</v>
      </c>
      <c r="M238" s="2"/>
      <c r="N238" s="2" t="str">
        <f>"106E AV"</f>
        <v>106E AV</v>
      </c>
      <c r="O238" s="2" t="s">
        <v>1643</v>
      </c>
      <c r="P238" s="9" t="str">
        <f>VLOOKUP($O238,'Liste des Villes'!$B$2:$B$1128,1,FALSE)</f>
        <v>Val-Morin</v>
      </c>
      <c r="Q238" s="9" t="str">
        <f>IFERROR($P238,PROPER(VLOOKUP($O238,'Villes en erreur'!$A$2:$B$72,2,FALSE)))</f>
        <v>Val-Morin</v>
      </c>
      <c r="R238" s="9" t="s">
        <v>1644</v>
      </c>
      <c r="S238" s="9" t="str">
        <f>IF(ISBLANK($R238),"",VLOOKUP($R238,'Liste des Villes'!$B$2:$H$1128,4,FALSE))</f>
        <v>Laurentides</v>
      </c>
      <c r="T238" s="2" t="s">
        <v>1645</v>
      </c>
      <c r="U238" s="2" t="s">
        <v>39</v>
      </c>
      <c r="V238" s="2" t="s">
        <v>40</v>
      </c>
      <c r="W238" s="2" t="s">
        <v>1646</v>
      </c>
      <c r="X238" s="2"/>
      <c r="Y238" s="2"/>
      <c r="Z238" s="2"/>
      <c r="AA238" s="2" t="s">
        <v>149</v>
      </c>
      <c r="AB238" s="2" t="s">
        <v>445</v>
      </c>
      <c r="AC238" s="4" t="s">
        <v>446</v>
      </c>
    </row>
    <row r="239" spans="1:29" x14ac:dyDescent="0.25">
      <c r="A239" s="1">
        <v>622</v>
      </c>
      <c r="B239" s="17" t="s">
        <v>1647</v>
      </c>
      <c r="C239" s="2" t="s">
        <v>1648</v>
      </c>
      <c r="D239" s="15" t="s">
        <v>1649</v>
      </c>
      <c r="E239" s="9" t="s">
        <v>1650</v>
      </c>
      <c r="F239" s="9" t="s">
        <v>1651</v>
      </c>
      <c r="G239" s="9" t="s">
        <v>1652</v>
      </c>
      <c r="H239" s="2" t="s">
        <v>35</v>
      </c>
      <c r="I239" s="3">
        <v>26170</v>
      </c>
      <c r="J239" s="9" t="str">
        <f t="shared" ca="1" si="3"/>
        <v>52 ans</v>
      </c>
      <c r="K239" s="2" t="s">
        <v>36</v>
      </c>
      <c r="L239" s="2" t="str">
        <f t="shared" si="4"/>
        <v>1</v>
      </c>
      <c r="M239" s="2"/>
      <c r="N239" s="2" t="str">
        <f>"106E AV"</f>
        <v>106E AV</v>
      </c>
      <c r="O239" s="2" t="s">
        <v>1643</v>
      </c>
      <c r="P239" s="9" t="str">
        <f>VLOOKUP($O239,'Liste des Villes'!$B$2:$B$1128,1,FALSE)</f>
        <v>Val-Morin</v>
      </c>
      <c r="Q239" s="9" t="str">
        <f>IFERROR($P239,PROPER(VLOOKUP($O239,'Villes en erreur'!$A$2:$B$72,2,FALSE)))</f>
        <v>Val-Morin</v>
      </c>
      <c r="R239" s="9" t="s">
        <v>1644</v>
      </c>
      <c r="S239" s="9" t="str">
        <f>IF(ISBLANK($R239),"",VLOOKUP($R239,'Liste des Villes'!$B$2:$H$1128,4,FALSE))</f>
        <v>Laurentides</v>
      </c>
      <c r="T239" s="2" t="s">
        <v>1653</v>
      </c>
      <c r="U239" s="2" t="s">
        <v>39</v>
      </c>
      <c r="V239" s="2" t="s">
        <v>40</v>
      </c>
      <c r="W239" s="2" t="s">
        <v>1654</v>
      </c>
      <c r="X239" s="2"/>
      <c r="Y239" s="2"/>
      <c r="Z239" s="2"/>
      <c r="AA239" s="2" t="s">
        <v>149</v>
      </c>
      <c r="AB239" s="2" t="s">
        <v>445</v>
      </c>
      <c r="AC239" s="4" t="s">
        <v>446</v>
      </c>
    </row>
    <row r="240" spans="1:29" x14ac:dyDescent="0.25">
      <c r="A240" s="1">
        <v>4606</v>
      </c>
      <c r="B240" s="17" t="s">
        <v>1655</v>
      </c>
      <c r="C240" s="2" t="s">
        <v>1656</v>
      </c>
      <c r="D240" s="15" t="s">
        <v>1657</v>
      </c>
      <c r="E240" s="9" t="s">
        <v>1658</v>
      </c>
      <c r="F240" s="9" t="s">
        <v>1659</v>
      </c>
      <c r="G240" s="9" t="s">
        <v>1660</v>
      </c>
      <c r="H240" s="2" t="s">
        <v>35</v>
      </c>
      <c r="I240" s="3">
        <v>24687</v>
      </c>
      <c r="J240" s="9" t="str">
        <f t="shared" ca="1" si="3"/>
        <v>56 ans</v>
      </c>
      <c r="K240" s="2" t="s">
        <v>36</v>
      </c>
      <c r="L240" s="2" t="str">
        <f t="shared" si="4"/>
        <v>1</v>
      </c>
      <c r="M240" s="2"/>
      <c r="N240" s="2" t="str">
        <f>"104E AV"</f>
        <v>104E AV</v>
      </c>
      <c r="O240" s="2" t="s">
        <v>1643</v>
      </c>
      <c r="P240" s="9" t="str">
        <f>VLOOKUP($O240,'Liste des Villes'!$B$2:$B$1128,1,FALSE)</f>
        <v>Val-Morin</v>
      </c>
      <c r="Q240" s="9" t="str">
        <f>IFERROR($P240,PROPER(VLOOKUP($O240,'Villes en erreur'!$A$2:$B$72,2,FALSE)))</f>
        <v>Val-Morin</v>
      </c>
      <c r="R240" s="9" t="s">
        <v>1644</v>
      </c>
      <c r="S240" s="9" t="str">
        <f>IF(ISBLANK($R240),"",VLOOKUP($R240,'Liste des Villes'!$B$2:$H$1128,4,FALSE))</f>
        <v>Laurentides</v>
      </c>
      <c r="T240" s="2" t="s">
        <v>1661</v>
      </c>
      <c r="U240" s="2" t="s">
        <v>39</v>
      </c>
      <c r="V240" s="2" t="s">
        <v>40</v>
      </c>
      <c r="W240" s="2" t="s">
        <v>1662</v>
      </c>
      <c r="X240" s="2"/>
      <c r="Y240" s="2"/>
      <c r="Z240" s="2"/>
      <c r="AA240" s="2" t="s">
        <v>149</v>
      </c>
      <c r="AB240" s="2" t="s">
        <v>445</v>
      </c>
      <c r="AC240" s="4" t="s">
        <v>446</v>
      </c>
    </row>
    <row r="241" spans="1:29" x14ac:dyDescent="0.25">
      <c r="A241" s="1">
        <v>372</v>
      </c>
      <c r="B241" s="17" t="s">
        <v>1663</v>
      </c>
      <c r="C241" s="2" t="s">
        <v>1664</v>
      </c>
      <c r="D241" s="15" t="s">
        <v>1665</v>
      </c>
      <c r="E241" s="9" t="s">
        <v>487</v>
      </c>
      <c r="F241" s="9" t="s">
        <v>488</v>
      </c>
      <c r="G241" s="9" t="s">
        <v>1666</v>
      </c>
      <c r="H241" s="2" t="s">
        <v>35</v>
      </c>
      <c r="I241" s="3">
        <v>25537</v>
      </c>
      <c r="J241" s="9" t="str">
        <f t="shared" ca="1" si="3"/>
        <v>53 ans</v>
      </c>
      <c r="K241" s="2" t="s">
        <v>36</v>
      </c>
      <c r="L241" s="2" t="str">
        <f t="shared" si="4"/>
        <v>1</v>
      </c>
      <c r="M241" s="2"/>
      <c r="N241" s="2" t="str">
        <f>"106E AV"</f>
        <v>106E AV</v>
      </c>
      <c r="O241" s="2" t="s">
        <v>1643</v>
      </c>
      <c r="P241" s="9" t="str">
        <f>VLOOKUP($O241,'Liste des Villes'!$B$2:$B$1128,1,FALSE)</f>
        <v>Val-Morin</v>
      </c>
      <c r="Q241" s="9" t="str">
        <f>IFERROR($P241,PROPER(VLOOKUP($O241,'Villes en erreur'!$A$2:$B$72,2,FALSE)))</f>
        <v>Val-Morin</v>
      </c>
      <c r="R241" s="9" t="s">
        <v>1644</v>
      </c>
      <c r="S241" s="9" t="str">
        <f>IF(ISBLANK($R241),"",VLOOKUP($R241,'Liste des Villes'!$B$2:$H$1128,4,FALSE))</f>
        <v>Laurentides</v>
      </c>
      <c r="T241" s="2" t="s">
        <v>1667</v>
      </c>
      <c r="U241" s="2" t="s">
        <v>39</v>
      </c>
      <c r="V241" s="2" t="s">
        <v>40</v>
      </c>
      <c r="W241" s="2" t="s">
        <v>1668</v>
      </c>
      <c r="X241" s="2"/>
      <c r="Y241" s="2"/>
      <c r="Z241" s="2"/>
      <c r="AA241" s="2" t="s">
        <v>149</v>
      </c>
      <c r="AB241" s="2" t="s">
        <v>445</v>
      </c>
      <c r="AC241" s="4" t="s">
        <v>446</v>
      </c>
    </row>
    <row r="242" spans="1:29" x14ac:dyDescent="0.25">
      <c r="A242" s="1">
        <v>4379</v>
      </c>
      <c r="B242" s="17" t="s">
        <v>1669</v>
      </c>
      <c r="C242" s="2" t="s">
        <v>1670</v>
      </c>
      <c r="D242" s="15" t="s">
        <v>1061</v>
      </c>
      <c r="E242" s="9" t="s">
        <v>1671</v>
      </c>
      <c r="F242" s="9" t="s">
        <v>1672</v>
      </c>
      <c r="G242" s="9" t="s">
        <v>1673</v>
      </c>
      <c r="H242" s="2" t="s">
        <v>35</v>
      </c>
      <c r="I242" s="3">
        <v>26587</v>
      </c>
      <c r="J242" s="9" t="str">
        <f t="shared" ca="1" si="3"/>
        <v>50 ans</v>
      </c>
      <c r="K242" s="2" t="s">
        <v>36</v>
      </c>
      <c r="L242" s="2" t="str">
        <f>"2"</f>
        <v>2</v>
      </c>
      <c r="M242" s="2"/>
      <c r="N242" s="2" t="str">
        <f>"109E AV"</f>
        <v>109E AV</v>
      </c>
      <c r="O242" s="2" t="s">
        <v>1643</v>
      </c>
      <c r="P242" s="9" t="str">
        <f>VLOOKUP($O242,'Liste des Villes'!$B$2:$B$1128,1,FALSE)</f>
        <v>Val-Morin</v>
      </c>
      <c r="Q242" s="9" t="str">
        <f>IFERROR($P242,PROPER(VLOOKUP($O242,'Villes en erreur'!$A$2:$B$72,2,FALSE)))</f>
        <v>Val-Morin</v>
      </c>
      <c r="R242" s="9" t="s">
        <v>1644</v>
      </c>
      <c r="S242" s="9" t="str">
        <f>IF(ISBLANK($R242),"",VLOOKUP($R242,'Liste des Villes'!$B$2:$H$1128,4,FALSE))</f>
        <v>Laurentides</v>
      </c>
      <c r="T242" s="2" t="s">
        <v>1674</v>
      </c>
      <c r="U242" s="2" t="s">
        <v>39</v>
      </c>
      <c r="V242" s="2" t="s">
        <v>40</v>
      </c>
      <c r="W242" s="2" t="s">
        <v>1675</v>
      </c>
      <c r="X242" s="2"/>
      <c r="Y242" s="2"/>
      <c r="Z242" s="2"/>
      <c r="AA242" s="2" t="s">
        <v>149</v>
      </c>
      <c r="AB242" s="2" t="s">
        <v>445</v>
      </c>
      <c r="AC242" s="4" t="s">
        <v>446</v>
      </c>
    </row>
    <row r="243" spans="1:29" x14ac:dyDescent="0.25">
      <c r="A243" s="1">
        <v>880</v>
      </c>
      <c r="B243" s="17" t="s">
        <v>1676</v>
      </c>
      <c r="C243" s="2" t="s">
        <v>163</v>
      </c>
      <c r="D243" s="15" t="s">
        <v>164</v>
      </c>
      <c r="E243" s="9" t="s">
        <v>165</v>
      </c>
      <c r="F243" s="9" t="s">
        <v>1677</v>
      </c>
      <c r="G243" s="9" t="s">
        <v>1642</v>
      </c>
      <c r="H243" s="2" t="s">
        <v>35</v>
      </c>
      <c r="I243" s="3">
        <v>25907</v>
      </c>
      <c r="J243" s="9" t="str">
        <f t="shared" ca="1" si="3"/>
        <v>52 ans</v>
      </c>
      <c r="K243" s="2" t="s">
        <v>36</v>
      </c>
      <c r="L243" s="2" t="str">
        <f>"1"</f>
        <v>1</v>
      </c>
      <c r="M243" s="2"/>
      <c r="N243" s="2" t="str">
        <f>"106E AV"</f>
        <v>106E AV</v>
      </c>
      <c r="O243" s="2" t="s">
        <v>1643</v>
      </c>
      <c r="P243" s="9" t="str">
        <f>VLOOKUP($O243,'Liste des Villes'!$B$2:$B$1128,1,FALSE)</f>
        <v>Val-Morin</v>
      </c>
      <c r="Q243" s="9" t="str">
        <f>IFERROR($P243,PROPER(VLOOKUP($O243,'Villes en erreur'!$A$2:$B$72,2,FALSE)))</f>
        <v>Val-Morin</v>
      </c>
      <c r="R243" s="9" t="s">
        <v>1644</v>
      </c>
      <c r="S243" s="9" t="str">
        <f>IF(ISBLANK($R243),"",VLOOKUP($R243,'Liste des Villes'!$B$2:$H$1128,4,FALSE))</f>
        <v>Laurentides</v>
      </c>
      <c r="T243" s="2" t="s">
        <v>1678</v>
      </c>
      <c r="U243" s="2" t="s">
        <v>39</v>
      </c>
      <c r="V243" s="2" t="s">
        <v>40</v>
      </c>
      <c r="W243" s="2" t="s">
        <v>1679</v>
      </c>
      <c r="X243" s="2"/>
      <c r="Y243" s="2"/>
      <c r="Z243" s="2"/>
      <c r="AA243" s="2" t="s">
        <v>149</v>
      </c>
      <c r="AB243" s="2" t="s">
        <v>445</v>
      </c>
      <c r="AC243" s="4" t="s">
        <v>446</v>
      </c>
    </row>
    <row r="244" spans="1:29" x14ac:dyDescent="0.25">
      <c r="A244" s="1">
        <v>160</v>
      </c>
      <c r="B244" s="17" t="s">
        <v>1680</v>
      </c>
      <c r="C244" s="2" t="s">
        <v>1681</v>
      </c>
      <c r="D244" s="15" t="s">
        <v>1682</v>
      </c>
      <c r="E244" s="9" t="s">
        <v>1683</v>
      </c>
      <c r="F244" s="9" t="s">
        <v>178</v>
      </c>
      <c r="G244" s="9" t="s">
        <v>1673</v>
      </c>
      <c r="H244" s="2" t="s">
        <v>35</v>
      </c>
      <c r="I244" s="3">
        <v>26716</v>
      </c>
      <c r="J244" s="9" t="str">
        <f t="shared" ca="1" si="3"/>
        <v>50 ans</v>
      </c>
      <c r="K244" s="2" t="s">
        <v>36</v>
      </c>
      <c r="L244" s="2" t="str">
        <f>"2"</f>
        <v>2</v>
      </c>
      <c r="M244" s="2"/>
      <c r="N244" s="2" t="str">
        <f>"10E AV"</f>
        <v>10E AV</v>
      </c>
      <c r="O244" s="2" t="s">
        <v>1643</v>
      </c>
      <c r="P244" s="9" t="str">
        <f>VLOOKUP($O244,'Liste des Villes'!$B$2:$B$1128,1,FALSE)</f>
        <v>Val-Morin</v>
      </c>
      <c r="Q244" s="9" t="str">
        <f>IFERROR($P244,PROPER(VLOOKUP($O244,'Villes en erreur'!$A$2:$B$72,2,FALSE)))</f>
        <v>Val-Morin</v>
      </c>
      <c r="R244" s="9" t="s">
        <v>1644</v>
      </c>
      <c r="S244" s="9" t="str">
        <f>IF(ISBLANK($R244),"",VLOOKUP($R244,'Liste des Villes'!$B$2:$H$1128,4,FALSE))</f>
        <v>Laurentides</v>
      </c>
      <c r="T244" s="2" t="s">
        <v>1684</v>
      </c>
      <c r="U244" s="2" t="s">
        <v>39</v>
      </c>
      <c r="V244" s="2" t="s">
        <v>40</v>
      </c>
      <c r="W244" s="2" t="s">
        <v>1685</v>
      </c>
      <c r="X244" s="2"/>
      <c r="Y244" s="2"/>
      <c r="Z244" s="2"/>
      <c r="AA244" s="2" t="s">
        <v>149</v>
      </c>
      <c r="AB244" s="2" t="s">
        <v>445</v>
      </c>
      <c r="AC244" s="4" t="s">
        <v>446</v>
      </c>
    </row>
    <row r="245" spans="1:29" x14ac:dyDescent="0.25">
      <c r="A245" s="1">
        <v>203</v>
      </c>
      <c r="B245" s="17" t="s">
        <v>1686</v>
      </c>
      <c r="C245" s="2" t="s">
        <v>1687</v>
      </c>
      <c r="D245" s="15" t="s">
        <v>1688</v>
      </c>
      <c r="E245" s="9" t="s">
        <v>1689</v>
      </c>
      <c r="F245" s="9" t="s">
        <v>1690</v>
      </c>
      <c r="G245" s="9" t="s">
        <v>1673</v>
      </c>
      <c r="H245" s="2" t="s">
        <v>35</v>
      </c>
      <c r="I245" s="3">
        <v>26800</v>
      </c>
      <c r="J245" s="9" t="str">
        <f t="shared" ca="1" si="3"/>
        <v>50 ans</v>
      </c>
      <c r="K245" s="2" t="s">
        <v>36</v>
      </c>
      <c r="L245" s="2" t="str">
        <f>"2"</f>
        <v>2</v>
      </c>
      <c r="M245" s="2"/>
      <c r="N245" s="2" t="str">
        <f>"10E AV"</f>
        <v>10E AV</v>
      </c>
      <c r="O245" s="2" t="s">
        <v>1643</v>
      </c>
      <c r="P245" s="9" t="str">
        <f>VLOOKUP($O245,'Liste des Villes'!$B$2:$B$1128,1,FALSE)</f>
        <v>Val-Morin</v>
      </c>
      <c r="Q245" s="9" t="str">
        <f>IFERROR($P245,PROPER(VLOOKUP($O245,'Villes en erreur'!$A$2:$B$72,2,FALSE)))</f>
        <v>Val-Morin</v>
      </c>
      <c r="R245" s="9" t="s">
        <v>1644</v>
      </c>
      <c r="S245" s="9" t="str">
        <f>IF(ISBLANK($R245),"",VLOOKUP($R245,'Liste des Villes'!$B$2:$H$1128,4,FALSE))</f>
        <v>Laurentides</v>
      </c>
      <c r="T245" s="2" t="s">
        <v>1691</v>
      </c>
      <c r="U245" s="2" t="s">
        <v>39</v>
      </c>
      <c r="V245" s="2" t="s">
        <v>40</v>
      </c>
      <c r="W245" s="2" t="s">
        <v>1692</v>
      </c>
      <c r="X245" s="2"/>
      <c r="Y245" s="2"/>
      <c r="Z245" s="2"/>
      <c r="AA245" s="2" t="s">
        <v>149</v>
      </c>
      <c r="AB245" s="2" t="s">
        <v>445</v>
      </c>
      <c r="AC245" s="4" t="s">
        <v>446</v>
      </c>
    </row>
    <row r="246" spans="1:29" x14ac:dyDescent="0.25">
      <c r="A246" s="1">
        <v>135</v>
      </c>
      <c r="B246" s="17" t="s">
        <v>1693</v>
      </c>
      <c r="C246" s="2" t="s">
        <v>1694</v>
      </c>
      <c r="D246" s="15" t="s">
        <v>875</v>
      </c>
      <c r="E246" s="9" t="s">
        <v>1695</v>
      </c>
      <c r="F246" s="9" t="s">
        <v>1696</v>
      </c>
      <c r="G246" s="9" t="s">
        <v>1673</v>
      </c>
      <c r="H246" s="2" t="s">
        <v>35</v>
      </c>
      <c r="I246" s="3">
        <v>26854</v>
      </c>
      <c r="J246" s="9" t="str">
        <f t="shared" ca="1" si="3"/>
        <v>50 ans</v>
      </c>
      <c r="K246" s="2" t="s">
        <v>36</v>
      </c>
      <c r="L246" s="2" t="str">
        <f>"2"</f>
        <v>2</v>
      </c>
      <c r="M246" s="2"/>
      <c r="N246" s="2" t="str">
        <f>"10E AV"</f>
        <v>10E AV</v>
      </c>
      <c r="O246" s="2" t="s">
        <v>1643</v>
      </c>
      <c r="P246" s="9" t="str">
        <f>VLOOKUP($O246,'Liste des Villes'!$B$2:$B$1128,1,FALSE)</f>
        <v>Val-Morin</v>
      </c>
      <c r="Q246" s="9" t="str">
        <f>IFERROR($P246,PROPER(VLOOKUP($O246,'Villes en erreur'!$A$2:$B$72,2,FALSE)))</f>
        <v>Val-Morin</v>
      </c>
      <c r="R246" s="9" t="s">
        <v>1644</v>
      </c>
      <c r="S246" s="9" t="str">
        <f>IF(ISBLANK($R246),"",VLOOKUP($R246,'Liste des Villes'!$B$2:$H$1128,4,FALSE))</f>
        <v>Laurentides</v>
      </c>
      <c r="T246" s="2" t="s">
        <v>1697</v>
      </c>
      <c r="U246" s="2" t="s">
        <v>39</v>
      </c>
      <c r="V246" s="2" t="s">
        <v>40</v>
      </c>
      <c r="W246" s="2" t="s">
        <v>1698</v>
      </c>
      <c r="X246" s="2"/>
      <c r="Y246" s="2"/>
      <c r="Z246" s="2"/>
      <c r="AA246" s="2" t="s">
        <v>149</v>
      </c>
      <c r="AB246" s="2" t="s">
        <v>445</v>
      </c>
      <c r="AC246" s="4" t="s">
        <v>446</v>
      </c>
    </row>
    <row r="247" spans="1:29" x14ac:dyDescent="0.25">
      <c r="A247" s="1">
        <v>2884</v>
      </c>
      <c r="B247" s="17" t="s">
        <v>1699</v>
      </c>
      <c r="C247" s="2" t="s">
        <v>1700</v>
      </c>
      <c r="D247" s="15" t="s">
        <v>1701</v>
      </c>
      <c r="E247" s="9" t="s">
        <v>1702</v>
      </c>
      <c r="F247" s="9" t="s">
        <v>1703</v>
      </c>
      <c r="G247" s="9" t="s">
        <v>1642</v>
      </c>
      <c r="H247" s="2" t="s">
        <v>35</v>
      </c>
      <c r="I247" s="3">
        <v>25569</v>
      </c>
      <c r="J247" s="9" t="str">
        <f t="shared" ca="1" si="3"/>
        <v>53 ans</v>
      </c>
      <c r="K247" s="2" t="s">
        <v>36</v>
      </c>
      <c r="L247" s="2" t="str">
        <f>"1"</f>
        <v>1</v>
      </c>
      <c r="M247" s="2"/>
      <c r="N247" s="2" t="str">
        <f>"106E AV"</f>
        <v>106E AV</v>
      </c>
      <c r="O247" s="2" t="s">
        <v>1643</v>
      </c>
      <c r="P247" s="9" t="str">
        <f>VLOOKUP($O247,'Liste des Villes'!$B$2:$B$1128,1,FALSE)</f>
        <v>Val-Morin</v>
      </c>
      <c r="Q247" s="9" t="str">
        <f>IFERROR($P247,PROPER(VLOOKUP($O247,'Villes en erreur'!$A$2:$B$72,2,FALSE)))</f>
        <v>Val-Morin</v>
      </c>
      <c r="R247" s="9" t="s">
        <v>1644</v>
      </c>
      <c r="S247" s="9" t="str">
        <f>IF(ISBLANK($R247),"",VLOOKUP($R247,'Liste des Villes'!$B$2:$H$1128,4,FALSE))</f>
        <v>Laurentides</v>
      </c>
      <c r="T247" s="2" t="s">
        <v>1704</v>
      </c>
      <c r="U247" s="2" t="s">
        <v>39</v>
      </c>
      <c r="V247" s="2" t="s">
        <v>40</v>
      </c>
      <c r="W247" s="2" t="s">
        <v>1705</v>
      </c>
      <c r="X247" s="2"/>
      <c r="Y247" s="2"/>
      <c r="Z247" s="2"/>
      <c r="AA247" s="2" t="s">
        <v>149</v>
      </c>
      <c r="AB247" s="2" t="s">
        <v>445</v>
      </c>
      <c r="AC247" s="4" t="s">
        <v>446</v>
      </c>
    </row>
    <row r="248" spans="1:29" x14ac:dyDescent="0.25">
      <c r="A248" s="1">
        <v>3776</v>
      </c>
      <c r="B248" s="17" t="s">
        <v>1706</v>
      </c>
      <c r="C248" s="2" t="s">
        <v>1707</v>
      </c>
      <c r="D248" s="15" t="s">
        <v>1708</v>
      </c>
      <c r="E248" s="9" t="s">
        <v>1709</v>
      </c>
      <c r="F248" s="9" t="s">
        <v>1710</v>
      </c>
      <c r="G248" s="9" t="s">
        <v>1673</v>
      </c>
      <c r="H248" s="2" t="s">
        <v>35</v>
      </c>
      <c r="I248" s="3">
        <v>26229</v>
      </c>
      <c r="J248" s="9" t="str">
        <f t="shared" ca="1" si="3"/>
        <v>51 ans</v>
      </c>
      <c r="K248" s="2" t="s">
        <v>36</v>
      </c>
      <c r="L248" s="2" t="str">
        <f>"1"</f>
        <v>1</v>
      </c>
      <c r="M248" s="2"/>
      <c r="N248" s="2" t="str">
        <f>"108E AV"</f>
        <v>108E AV</v>
      </c>
      <c r="O248" s="2" t="s">
        <v>1643</v>
      </c>
      <c r="P248" s="9" t="str">
        <f>VLOOKUP($O248,'Liste des Villes'!$B$2:$B$1128,1,FALSE)</f>
        <v>Val-Morin</v>
      </c>
      <c r="Q248" s="9" t="str">
        <f>IFERROR($P248,PROPER(VLOOKUP($O248,'Villes en erreur'!$A$2:$B$72,2,FALSE)))</f>
        <v>Val-Morin</v>
      </c>
      <c r="R248" s="9" t="s">
        <v>1644</v>
      </c>
      <c r="S248" s="9" t="str">
        <f>IF(ISBLANK($R248),"",VLOOKUP($R248,'Liste des Villes'!$B$2:$H$1128,4,FALSE))</f>
        <v>Laurentides</v>
      </c>
      <c r="T248" s="2" t="s">
        <v>1711</v>
      </c>
      <c r="U248" s="2" t="s">
        <v>39</v>
      </c>
      <c r="V248" s="2" t="s">
        <v>40</v>
      </c>
      <c r="W248" s="2" t="s">
        <v>1712</v>
      </c>
      <c r="X248" s="2"/>
      <c r="Y248" s="2"/>
      <c r="Z248" s="2"/>
      <c r="AA248" s="2" t="s">
        <v>149</v>
      </c>
      <c r="AB248" s="2" t="s">
        <v>445</v>
      </c>
      <c r="AC248" s="4" t="s">
        <v>446</v>
      </c>
    </row>
    <row r="249" spans="1:29" x14ac:dyDescent="0.25">
      <c r="A249" s="1">
        <v>1757</v>
      </c>
      <c r="B249" s="17" t="s">
        <v>1713</v>
      </c>
      <c r="C249" s="2" t="s">
        <v>1714</v>
      </c>
      <c r="D249" s="15" t="s">
        <v>363</v>
      </c>
      <c r="E249" s="9" t="s">
        <v>1715</v>
      </c>
      <c r="F249" s="9" t="s">
        <v>1716</v>
      </c>
      <c r="G249" s="9" t="s">
        <v>1660</v>
      </c>
      <c r="H249" s="2" t="s">
        <v>35</v>
      </c>
      <c r="I249" s="3">
        <v>24726</v>
      </c>
      <c r="J249" s="9" t="str">
        <f t="shared" ca="1" si="3"/>
        <v>55 ans</v>
      </c>
      <c r="K249" s="2" t="s">
        <v>36</v>
      </c>
      <c r="L249" s="2" t="str">
        <f>"1"</f>
        <v>1</v>
      </c>
      <c r="M249" s="2"/>
      <c r="N249" s="2" t="str">
        <f>"105E AV"</f>
        <v>105E AV</v>
      </c>
      <c r="O249" s="2" t="s">
        <v>1643</v>
      </c>
      <c r="P249" s="9" t="str">
        <f>VLOOKUP($O249,'Liste des Villes'!$B$2:$B$1128,1,FALSE)</f>
        <v>Val-Morin</v>
      </c>
      <c r="Q249" s="9" t="str">
        <f>IFERROR($P249,PROPER(VLOOKUP($O249,'Villes en erreur'!$A$2:$B$72,2,FALSE)))</f>
        <v>Val-Morin</v>
      </c>
      <c r="R249" s="9" t="s">
        <v>1644</v>
      </c>
      <c r="S249" s="9" t="str">
        <f>IF(ISBLANK($R249),"",VLOOKUP($R249,'Liste des Villes'!$B$2:$H$1128,4,FALSE))</f>
        <v>Laurentides</v>
      </c>
      <c r="T249" s="2" t="s">
        <v>1717</v>
      </c>
      <c r="U249" s="2" t="s">
        <v>39</v>
      </c>
      <c r="V249" s="2" t="s">
        <v>40</v>
      </c>
      <c r="W249" s="2" t="s">
        <v>1718</v>
      </c>
      <c r="X249" s="2"/>
      <c r="Y249" s="2"/>
      <c r="Z249" s="2"/>
      <c r="AA249" s="2" t="s">
        <v>149</v>
      </c>
      <c r="AB249" s="2" t="s">
        <v>445</v>
      </c>
      <c r="AC249" s="4" t="s">
        <v>446</v>
      </c>
    </row>
    <row r="250" spans="1:29" x14ac:dyDescent="0.25">
      <c r="A250" s="1">
        <v>2976</v>
      </c>
      <c r="B250" s="17" t="s">
        <v>1719</v>
      </c>
      <c r="C250" s="2" t="s">
        <v>346</v>
      </c>
      <c r="D250" s="15" t="s">
        <v>347</v>
      </c>
      <c r="E250" s="9" t="s">
        <v>348</v>
      </c>
      <c r="F250" s="9" t="s">
        <v>1720</v>
      </c>
      <c r="G250" s="9" t="s">
        <v>1660</v>
      </c>
      <c r="H250" s="2" t="s">
        <v>35</v>
      </c>
      <c r="I250" s="3">
        <v>24702</v>
      </c>
      <c r="J250" s="9" t="str">
        <f t="shared" ca="1" si="3"/>
        <v>56 ans</v>
      </c>
      <c r="K250" s="2" t="s">
        <v>36</v>
      </c>
      <c r="L250" s="2" t="str">
        <f>"1"</f>
        <v>1</v>
      </c>
      <c r="M250" s="2"/>
      <c r="N250" s="2" t="str">
        <f>"104E AV"</f>
        <v>104E AV</v>
      </c>
      <c r="O250" s="2" t="s">
        <v>1643</v>
      </c>
      <c r="P250" s="9" t="str">
        <f>VLOOKUP($O250,'Liste des Villes'!$B$2:$B$1128,1,FALSE)</f>
        <v>Val-Morin</v>
      </c>
      <c r="Q250" s="9" t="str">
        <f>IFERROR($P250,PROPER(VLOOKUP($O250,'Villes en erreur'!$A$2:$B$72,2,FALSE)))</f>
        <v>Val-Morin</v>
      </c>
      <c r="R250" s="9" t="s">
        <v>1644</v>
      </c>
      <c r="S250" s="9" t="str">
        <f>IF(ISBLANK($R250),"",VLOOKUP($R250,'Liste des Villes'!$B$2:$H$1128,4,FALSE))</f>
        <v>Laurentides</v>
      </c>
      <c r="T250" s="2" t="s">
        <v>1721</v>
      </c>
      <c r="U250" s="2" t="s">
        <v>39</v>
      </c>
      <c r="V250" s="2" t="s">
        <v>40</v>
      </c>
      <c r="W250" s="2" t="s">
        <v>1722</v>
      </c>
      <c r="X250" s="2"/>
      <c r="Y250" s="2"/>
      <c r="Z250" s="2"/>
      <c r="AA250" s="2" t="s">
        <v>149</v>
      </c>
      <c r="AB250" s="2" t="s">
        <v>445</v>
      </c>
      <c r="AC250" s="4" t="s">
        <v>446</v>
      </c>
    </row>
    <row r="251" spans="1:29" x14ac:dyDescent="0.25">
      <c r="A251" s="1">
        <v>644</v>
      </c>
      <c r="B251" s="17" t="s">
        <v>1723</v>
      </c>
      <c r="C251" s="2" t="s">
        <v>1724</v>
      </c>
      <c r="D251" s="15" t="s">
        <v>1177</v>
      </c>
      <c r="E251" s="9" t="s">
        <v>332</v>
      </c>
      <c r="F251" s="9" t="s">
        <v>1175</v>
      </c>
      <c r="G251" s="9" t="s">
        <v>1673</v>
      </c>
      <c r="H251" s="2" t="s">
        <v>35</v>
      </c>
      <c r="I251" s="3">
        <v>26939</v>
      </c>
      <c r="J251" s="9" t="str">
        <f t="shared" ca="1" si="3"/>
        <v>49 ans</v>
      </c>
      <c r="K251" s="2" t="s">
        <v>36</v>
      </c>
      <c r="L251" s="2" t="str">
        <f>"2"</f>
        <v>2</v>
      </c>
      <c r="M251" s="2"/>
      <c r="N251" s="2" t="str">
        <f>"10E AV"</f>
        <v>10E AV</v>
      </c>
      <c r="O251" s="2" t="s">
        <v>1643</v>
      </c>
      <c r="P251" s="9" t="str">
        <f>VLOOKUP($O251,'Liste des Villes'!$B$2:$B$1128,1,FALSE)</f>
        <v>Val-Morin</v>
      </c>
      <c r="Q251" s="9" t="str">
        <f>IFERROR($P251,PROPER(VLOOKUP($O251,'Villes en erreur'!$A$2:$B$72,2,FALSE)))</f>
        <v>Val-Morin</v>
      </c>
      <c r="R251" s="9" t="s">
        <v>1644</v>
      </c>
      <c r="S251" s="9" t="str">
        <f>IF(ISBLANK($R251),"",VLOOKUP($R251,'Liste des Villes'!$B$2:$H$1128,4,FALSE))</f>
        <v>Laurentides</v>
      </c>
      <c r="T251" s="2" t="s">
        <v>1725</v>
      </c>
      <c r="U251" s="2" t="s">
        <v>39</v>
      </c>
      <c r="V251" s="2" t="s">
        <v>40</v>
      </c>
      <c r="W251" s="2" t="s">
        <v>1726</v>
      </c>
      <c r="X251" s="2"/>
      <c r="Y251" s="2"/>
      <c r="Z251" s="2"/>
      <c r="AA251" s="2" t="s">
        <v>149</v>
      </c>
      <c r="AB251" s="2" t="s">
        <v>445</v>
      </c>
      <c r="AC251" s="4" t="s">
        <v>446</v>
      </c>
    </row>
    <row r="252" spans="1:29" x14ac:dyDescent="0.25">
      <c r="A252" s="1">
        <v>159</v>
      </c>
      <c r="B252" s="17" t="s">
        <v>1727</v>
      </c>
      <c r="C252" s="2" t="s">
        <v>1728</v>
      </c>
      <c r="D252" s="15" t="s">
        <v>155</v>
      </c>
      <c r="E252" s="9" t="s">
        <v>1729</v>
      </c>
      <c r="F252" s="9" t="s">
        <v>153</v>
      </c>
      <c r="G252" s="9" t="s">
        <v>1660</v>
      </c>
      <c r="H252" s="2" t="s">
        <v>35</v>
      </c>
      <c r="I252" s="3">
        <v>25115</v>
      </c>
      <c r="J252" s="9" t="str">
        <f t="shared" ca="1" si="3"/>
        <v>54 ans</v>
      </c>
      <c r="K252" s="2" t="s">
        <v>36</v>
      </c>
      <c r="L252" s="2" t="str">
        <f>"1"</f>
        <v>1</v>
      </c>
      <c r="M252" s="2"/>
      <c r="N252" s="2" t="str">
        <f>"106 AV"</f>
        <v>106 AV</v>
      </c>
      <c r="O252" s="2" t="s">
        <v>1643</v>
      </c>
      <c r="P252" s="9" t="str">
        <f>VLOOKUP($O252,'Liste des Villes'!$B$2:$B$1128,1,FALSE)</f>
        <v>Val-Morin</v>
      </c>
      <c r="Q252" s="9" t="str">
        <f>IFERROR($P252,PROPER(VLOOKUP($O252,'Villes en erreur'!$A$2:$B$72,2,FALSE)))</f>
        <v>Val-Morin</v>
      </c>
      <c r="R252" s="9" t="s">
        <v>1644</v>
      </c>
      <c r="S252" s="9" t="str">
        <f>IF(ISBLANK($R252),"",VLOOKUP($R252,'Liste des Villes'!$B$2:$H$1128,4,FALSE))</f>
        <v>Laurentides</v>
      </c>
      <c r="T252" s="2" t="s">
        <v>1730</v>
      </c>
      <c r="U252" s="2" t="s">
        <v>39</v>
      </c>
      <c r="V252" s="2" t="s">
        <v>40</v>
      </c>
      <c r="W252" s="2" t="s">
        <v>1731</v>
      </c>
      <c r="X252" s="2"/>
      <c r="Y252" s="2"/>
      <c r="Z252" s="2"/>
      <c r="AA252" s="2" t="s">
        <v>149</v>
      </c>
      <c r="AB252" s="2" t="s">
        <v>445</v>
      </c>
      <c r="AC252" s="4" t="s">
        <v>446</v>
      </c>
    </row>
    <row r="253" spans="1:29" x14ac:dyDescent="0.25">
      <c r="A253" s="1">
        <v>3176</v>
      </c>
      <c r="B253" s="17" t="s">
        <v>1732</v>
      </c>
      <c r="C253" s="2" t="s">
        <v>1733</v>
      </c>
      <c r="D253" s="15" t="s">
        <v>100</v>
      </c>
      <c r="E253" s="9" t="s">
        <v>122</v>
      </c>
      <c r="F253" s="9" t="s">
        <v>1734</v>
      </c>
      <c r="G253" s="9" t="s">
        <v>1735</v>
      </c>
      <c r="H253" s="2" t="s">
        <v>35</v>
      </c>
      <c r="I253" s="3">
        <v>25455</v>
      </c>
      <c r="J253" s="9" t="str">
        <f t="shared" ca="1" si="3"/>
        <v>53 ans</v>
      </c>
      <c r="K253" s="2" t="s">
        <v>36</v>
      </c>
      <c r="L253" s="2" t="str">
        <f>"1"</f>
        <v>1</v>
      </c>
      <c r="M253" s="2"/>
      <c r="N253" s="2" t="str">
        <f>"106E AV"</f>
        <v>106E AV</v>
      </c>
      <c r="O253" s="2" t="s">
        <v>1643</v>
      </c>
      <c r="P253" s="9" t="str">
        <f>VLOOKUP($O253,'Liste des Villes'!$B$2:$B$1128,1,FALSE)</f>
        <v>Val-Morin</v>
      </c>
      <c r="Q253" s="9" t="str">
        <f>IFERROR($P253,PROPER(VLOOKUP($O253,'Villes en erreur'!$A$2:$B$72,2,FALSE)))</f>
        <v>Val-Morin</v>
      </c>
      <c r="R253" s="9" t="s">
        <v>1644</v>
      </c>
      <c r="S253" s="9" t="str">
        <f>IF(ISBLANK($R253),"",VLOOKUP($R253,'Liste des Villes'!$B$2:$H$1128,4,FALSE))</f>
        <v>Laurentides</v>
      </c>
      <c r="T253" s="2" t="s">
        <v>1736</v>
      </c>
      <c r="U253" s="2" t="s">
        <v>39</v>
      </c>
      <c r="V253" s="2" t="s">
        <v>40</v>
      </c>
      <c r="W253" s="2" t="s">
        <v>1737</v>
      </c>
      <c r="X253" s="2"/>
      <c r="Y253" s="2"/>
      <c r="Z253" s="2"/>
      <c r="AA253" s="2" t="s">
        <v>149</v>
      </c>
      <c r="AB253" s="2" t="s">
        <v>445</v>
      </c>
      <c r="AC253" s="4" t="s">
        <v>446</v>
      </c>
    </row>
    <row r="254" spans="1:29" x14ac:dyDescent="0.25">
      <c r="A254" s="1">
        <v>3646</v>
      </c>
      <c r="B254" s="17" t="s">
        <v>1738</v>
      </c>
      <c r="C254" s="2" t="s">
        <v>576</v>
      </c>
      <c r="D254" s="15" t="s">
        <v>203</v>
      </c>
      <c r="E254" s="9" t="s">
        <v>577</v>
      </c>
      <c r="F254" s="9" t="s">
        <v>1739</v>
      </c>
      <c r="G254" s="9" t="s">
        <v>1673</v>
      </c>
      <c r="H254" s="2" t="s">
        <v>35</v>
      </c>
      <c r="I254" s="3">
        <v>26339</v>
      </c>
      <c r="J254" s="9" t="str">
        <f t="shared" ca="1" si="3"/>
        <v>51 ans</v>
      </c>
      <c r="K254" s="2" t="s">
        <v>36</v>
      </c>
      <c r="L254" s="2" t="str">
        <f>"1"</f>
        <v>1</v>
      </c>
      <c r="M254" s="2"/>
      <c r="N254" s="2" t="str">
        <f>"109E AV"</f>
        <v>109E AV</v>
      </c>
      <c r="O254" s="2" t="s">
        <v>1643</v>
      </c>
      <c r="P254" s="9" t="str">
        <f>VLOOKUP($O254,'Liste des Villes'!$B$2:$B$1128,1,FALSE)</f>
        <v>Val-Morin</v>
      </c>
      <c r="Q254" s="9" t="str">
        <f>IFERROR($P254,PROPER(VLOOKUP($O254,'Villes en erreur'!$A$2:$B$72,2,FALSE)))</f>
        <v>Val-Morin</v>
      </c>
      <c r="R254" s="9" t="s">
        <v>1644</v>
      </c>
      <c r="S254" s="9" t="str">
        <f>IF(ISBLANK($R254),"",VLOOKUP($R254,'Liste des Villes'!$B$2:$H$1128,4,FALSE))</f>
        <v>Laurentides</v>
      </c>
      <c r="T254" s="2" t="s">
        <v>1740</v>
      </c>
      <c r="U254" s="2" t="s">
        <v>39</v>
      </c>
      <c r="V254" s="2" t="s">
        <v>40</v>
      </c>
      <c r="W254" s="2" t="s">
        <v>1741</v>
      </c>
      <c r="X254" s="2"/>
      <c r="Y254" s="2"/>
      <c r="Z254" s="2"/>
      <c r="AA254" s="2" t="s">
        <v>149</v>
      </c>
      <c r="AB254" s="2" t="s">
        <v>445</v>
      </c>
      <c r="AC254" s="4" t="s">
        <v>446</v>
      </c>
    </row>
    <row r="255" spans="1:29" x14ac:dyDescent="0.25">
      <c r="A255" s="1">
        <v>4555</v>
      </c>
      <c r="B255" s="17" t="s">
        <v>1742</v>
      </c>
      <c r="C255" s="2" t="s">
        <v>1743</v>
      </c>
      <c r="D255" s="15" t="s">
        <v>1744</v>
      </c>
      <c r="E255" s="9" t="s">
        <v>1745</v>
      </c>
      <c r="F255" s="9" t="s">
        <v>1746</v>
      </c>
      <c r="G255" s="9" t="s">
        <v>1673</v>
      </c>
      <c r="H255" s="2" t="s">
        <v>35</v>
      </c>
      <c r="I255" s="3">
        <v>27025</v>
      </c>
      <c r="J255" s="9" t="str">
        <f t="shared" ca="1" si="3"/>
        <v>49 ans</v>
      </c>
      <c r="K255" s="2" t="s">
        <v>36</v>
      </c>
      <c r="L255" s="2" t="str">
        <f>"2"</f>
        <v>2</v>
      </c>
      <c r="M255" s="2"/>
      <c r="N255" s="2" t="str">
        <f>"10E AV"</f>
        <v>10E AV</v>
      </c>
      <c r="O255" s="2" t="s">
        <v>1747</v>
      </c>
      <c r="P255" s="9" t="str">
        <f>VLOOKUP($O255,'Liste des Villes'!$B$2:$B$1128,1,FALSE)</f>
        <v>Val-d'Or</v>
      </c>
      <c r="Q255" s="9" t="str">
        <f>IFERROR($P255,PROPER(VLOOKUP($O255,'Villes en erreur'!$A$2:$B$72,2,FALSE)))</f>
        <v>Val-d'Or</v>
      </c>
      <c r="R255" s="9" t="s">
        <v>1748</v>
      </c>
      <c r="S255" s="9" t="str">
        <f>IF(ISBLANK($R255),"",VLOOKUP($R255,'Liste des Villes'!$B$2:$H$1128,4,FALSE))</f>
        <v>Abitibi-Témiscamingue</v>
      </c>
      <c r="T255" s="2" t="s">
        <v>1749</v>
      </c>
      <c r="U255" s="2" t="s">
        <v>39</v>
      </c>
      <c r="V255" s="2" t="s">
        <v>40</v>
      </c>
      <c r="W255" s="2" t="s">
        <v>1750</v>
      </c>
      <c r="X255" s="2"/>
      <c r="Y255" s="2"/>
      <c r="Z255" s="2"/>
      <c r="AA255" s="2" t="s">
        <v>149</v>
      </c>
      <c r="AB255" s="2" t="s">
        <v>445</v>
      </c>
      <c r="AC255" s="4" t="s">
        <v>446</v>
      </c>
    </row>
    <row r="256" spans="1:29" x14ac:dyDescent="0.25">
      <c r="A256" s="1">
        <v>4322</v>
      </c>
      <c r="B256" s="17" t="s">
        <v>1751</v>
      </c>
      <c r="C256" s="2" t="s">
        <v>1752</v>
      </c>
      <c r="D256" s="15" t="s">
        <v>1753</v>
      </c>
      <c r="E256" s="9" t="s">
        <v>1754</v>
      </c>
      <c r="F256" s="9" t="s">
        <v>1755</v>
      </c>
      <c r="G256" s="9" t="s">
        <v>1673</v>
      </c>
      <c r="H256" s="2" t="s">
        <v>35</v>
      </c>
      <c r="I256" s="3">
        <v>27002</v>
      </c>
      <c r="J256" s="9" t="str">
        <f t="shared" ca="1" si="3"/>
        <v>49 ans</v>
      </c>
      <c r="K256" s="2" t="s">
        <v>36</v>
      </c>
      <c r="L256" s="2" t="str">
        <f>"2"</f>
        <v>2</v>
      </c>
      <c r="M256" s="2"/>
      <c r="N256" s="2" t="str">
        <f>"10E AV"</f>
        <v>10E AV</v>
      </c>
      <c r="O256" s="2" t="s">
        <v>1747</v>
      </c>
      <c r="P256" s="9" t="str">
        <f>VLOOKUP($O256,'Liste des Villes'!$B$2:$B$1128,1,FALSE)</f>
        <v>Val-d'Or</v>
      </c>
      <c r="Q256" s="9" t="str">
        <f>IFERROR($P256,PROPER(VLOOKUP($O256,'Villes en erreur'!$A$2:$B$72,2,FALSE)))</f>
        <v>Val-d'Or</v>
      </c>
      <c r="R256" s="9" t="s">
        <v>1748</v>
      </c>
      <c r="S256" s="9" t="str">
        <f>IF(ISBLANK($R256),"",VLOOKUP($R256,'Liste des Villes'!$B$2:$H$1128,4,FALSE))</f>
        <v>Abitibi-Témiscamingue</v>
      </c>
      <c r="T256" s="2" t="s">
        <v>1756</v>
      </c>
      <c r="U256" s="2" t="s">
        <v>39</v>
      </c>
      <c r="V256" s="2" t="s">
        <v>40</v>
      </c>
      <c r="W256" s="2" t="s">
        <v>1757</v>
      </c>
      <c r="X256" s="2"/>
      <c r="Y256" s="2"/>
      <c r="Z256" s="2"/>
      <c r="AA256" s="2" t="s">
        <v>149</v>
      </c>
      <c r="AB256" s="2" t="s">
        <v>445</v>
      </c>
      <c r="AC256" s="4" t="s">
        <v>446</v>
      </c>
    </row>
    <row r="257" spans="1:29" x14ac:dyDescent="0.25">
      <c r="A257" s="1">
        <v>2052</v>
      </c>
      <c r="B257" s="17" t="s">
        <v>1758</v>
      </c>
      <c r="C257" s="2" t="s">
        <v>1759</v>
      </c>
      <c r="D257" s="15" t="s">
        <v>219</v>
      </c>
      <c r="E257" s="9" t="s">
        <v>503</v>
      </c>
      <c r="F257" s="9" t="s">
        <v>504</v>
      </c>
      <c r="G257" s="9" t="s">
        <v>1673</v>
      </c>
      <c r="H257" s="2" t="s">
        <v>35</v>
      </c>
      <c r="I257" s="3">
        <v>27036</v>
      </c>
      <c r="J257" s="9" t="str">
        <f t="shared" ca="1" si="3"/>
        <v>49 ans</v>
      </c>
      <c r="K257" s="2" t="s">
        <v>36</v>
      </c>
      <c r="L257" s="2" t="str">
        <f>"2"</f>
        <v>2</v>
      </c>
      <c r="M257" s="2"/>
      <c r="N257" s="2" t="str">
        <f>"10E AV O"</f>
        <v>10E AV O</v>
      </c>
      <c r="O257" s="2" t="s">
        <v>1760</v>
      </c>
      <c r="P257" s="9" t="str">
        <f>VLOOKUP($O257,'Liste des Villes'!$B$2:$B$1128,1,FALSE)</f>
        <v>Val-des-Lacs</v>
      </c>
      <c r="Q257" s="9" t="str">
        <f>IFERROR($P257,PROPER(VLOOKUP($O257,'Villes en erreur'!$A$2:$B$72,2,FALSE)))</f>
        <v>Val-des-Lacs</v>
      </c>
      <c r="R257" s="9" t="s">
        <v>1761</v>
      </c>
      <c r="S257" s="9" t="str">
        <f>IF(ISBLANK($R257),"",VLOOKUP($R257,'Liste des Villes'!$B$2:$H$1128,4,FALSE))</f>
        <v>Laurentides</v>
      </c>
      <c r="T257" s="2" t="s">
        <v>1762</v>
      </c>
      <c r="U257" s="2" t="s">
        <v>39</v>
      </c>
      <c r="V257" s="2" t="s">
        <v>40</v>
      </c>
      <c r="W257" s="2" t="s">
        <v>1763</v>
      </c>
      <c r="X257" s="2"/>
      <c r="Y257" s="2"/>
      <c r="Z257" s="2"/>
      <c r="AA257" s="2" t="s">
        <v>149</v>
      </c>
      <c r="AB257" s="2" t="s">
        <v>445</v>
      </c>
      <c r="AC257" s="4" t="s">
        <v>446</v>
      </c>
    </row>
    <row r="258" spans="1:29" x14ac:dyDescent="0.25">
      <c r="A258" s="1">
        <v>99</v>
      </c>
      <c r="B258" s="17" t="s">
        <v>1764</v>
      </c>
      <c r="C258" s="2" t="s">
        <v>1765</v>
      </c>
      <c r="D258" s="15" t="s">
        <v>304</v>
      </c>
      <c r="E258" s="9" t="s">
        <v>1766</v>
      </c>
      <c r="F258" s="9" t="s">
        <v>1767</v>
      </c>
      <c r="G258" s="9" t="s">
        <v>1673</v>
      </c>
      <c r="H258" s="2" t="s">
        <v>35</v>
      </c>
      <c r="I258" s="3">
        <v>27052</v>
      </c>
      <c r="J258" s="9" t="str">
        <f t="shared" ref="J258:J321" ca="1" si="5">_xlfn.CONCAT(INT((TODAY()-$I258)/365.25)," ans")</f>
        <v>49 ans</v>
      </c>
      <c r="K258" s="2" t="s">
        <v>36</v>
      </c>
      <c r="L258" s="2" t="str">
        <f>"2"</f>
        <v>2</v>
      </c>
      <c r="M258" s="2"/>
      <c r="N258" s="2" t="str">
        <f>"10E RUE"</f>
        <v>10E RUE</v>
      </c>
      <c r="O258" s="2" t="s">
        <v>1760</v>
      </c>
      <c r="P258" s="9" t="str">
        <f>VLOOKUP($O258,'Liste des Villes'!$B$2:$B$1128,1,FALSE)</f>
        <v>Val-des-Lacs</v>
      </c>
      <c r="Q258" s="9" t="str">
        <f>IFERROR($P258,PROPER(VLOOKUP($O258,'Villes en erreur'!$A$2:$B$72,2,FALSE)))</f>
        <v>Val-des-Lacs</v>
      </c>
      <c r="R258" s="9" t="s">
        <v>1761</v>
      </c>
      <c r="S258" s="9" t="str">
        <f>IF(ISBLANK($R258),"",VLOOKUP($R258,'Liste des Villes'!$B$2:$H$1128,4,FALSE))</f>
        <v>Laurentides</v>
      </c>
      <c r="T258" s="2" t="s">
        <v>1768</v>
      </c>
      <c r="U258" s="2" t="s">
        <v>39</v>
      </c>
      <c r="V258" s="2" t="s">
        <v>40</v>
      </c>
      <c r="W258" s="2" t="s">
        <v>1769</v>
      </c>
      <c r="X258" s="2"/>
      <c r="Y258" s="2"/>
      <c r="Z258" s="2"/>
      <c r="AA258" s="2" t="s">
        <v>149</v>
      </c>
      <c r="AB258" s="2" t="s">
        <v>445</v>
      </c>
      <c r="AC258" s="4" t="s">
        <v>446</v>
      </c>
    </row>
    <row r="259" spans="1:29" x14ac:dyDescent="0.25">
      <c r="A259" s="1">
        <v>1391</v>
      </c>
      <c r="B259" s="17" t="s">
        <v>1770</v>
      </c>
      <c r="C259" s="2" t="s">
        <v>1771</v>
      </c>
      <c r="D259" s="15" t="s">
        <v>1772</v>
      </c>
      <c r="E259" s="9" t="s">
        <v>704</v>
      </c>
      <c r="F259" s="9" t="s">
        <v>1773</v>
      </c>
      <c r="G259" s="9" t="s">
        <v>1774</v>
      </c>
      <c r="H259" s="2" t="s">
        <v>35</v>
      </c>
      <c r="I259" s="3">
        <v>28266</v>
      </c>
      <c r="J259" s="9" t="str">
        <f t="shared" ca="1" si="5"/>
        <v>46 ans</v>
      </c>
      <c r="K259" s="2" t="s">
        <v>36</v>
      </c>
      <c r="L259" s="2" t="str">
        <f>"5"</f>
        <v>5</v>
      </c>
      <c r="M259" s="2"/>
      <c r="N259" s="2" t="str">
        <f>"114E AVENUE"</f>
        <v>114E AVENUE</v>
      </c>
      <c r="O259" s="2" t="s">
        <v>1775</v>
      </c>
      <c r="P259" s="9" t="str">
        <f>VLOOKUP($O259,'Liste des Villes'!$B$2:$B$1128,1,FALSE)</f>
        <v>Val-David</v>
      </c>
      <c r="Q259" s="9" t="str">
        <f>IFERROR($P259,PROPER(VLOOKUP($O259,'Villes en erreur'!$A$2:$B$72,2,FALSE)))</f>
        <v>Val-David</v>
      </c>
      <c r="R259" s="9" t="s">
        <v>1776</v>
      </c>
      <c r="S259" s="9" t="str">
        <f>IF(ISBLANK($R259),"",VLOOKUP($R259,'Liste des Villes'!$B$2:$H$1128,4,FALSE))</f>
        <v>Laurentides</v>
      </c>
      <c r="T259" s="2" t="s">
        <v>1777</v>
      </c>
      <c r="U259" s="2" t="s">
        <v>39</v>
      </c>
      <c r="V259" s="2" t="s">
        <v>40</v>
      </c>
      <c r="W259" s="2" t="s">
        <v>1778</v>
      </c>
      <c r="X259" s="2"/>
      <c r="Y259" s="2"/>
      <c r="Z259" s="2"/>
      <c r="AA259" s="2" t="s">
        <v>149</v>
      </c>
      <c r="AB259" s="2" t="s">
        <v>445</v>
      </c>
      <c r="AC259" s="4" t="s">
        <v>446</v>
      </c>
    </row>
    <row r="260" spans="1:29" x14ac:dyDescent="0.25">
      <c r="A260" s="1">
        <v>1228</v>
      </c>
      <c r="B260" s="17" t="s">
        <v>1779</v>
      </c>
      <c r="C260" s="2" t="s">
        <v>1780</v>
      </c>
      <c r="D260" s="15" t="s">
        <v>1781</v>
      </c>
      <c r="E260" s="9" t="s">
        <v>228</v>
      </c>
      <c r="F260" s="9" t="s">
        <v>1360</v>
      </c>
      <c r="G260" s="9" t="s">
        <v>1782</v>
      </c>
      <c r="H260" s="2" t="s">
        <v>35</v>
      </c>
      <c r="I260" s="3">
        <v>27860</v>
      </c>
      <c r="J260" s="9" t="str">
        <f t="shared" ca="1" si="5"/>
        <v>47 ans</v>
      </c>
      <c r="K260" s="2" t="s">
        <v>36</v>
      </c>
      <c r="L260" s="2" t="str">
        <f>"4"</f>
        <v>4</v>
      </c>
      <c r="M260" s="2"/>
      <c r="N260" s="2" t="str">
        <f>"112E AV"</f>
        <v>112E AV</v>
      </c>
      <c r="O260" s="2" t="s">
        <v>1775</v>
      </c>
      <c r="P260" s="9" t="str">
        <f>VLOOKUP($O260,'Liste des Villes'!$B$2:$B$1128,1,FALSE)</f>
        <v>Val-David</v>
      </c>
      <c r="Q260" s="9" t="str">
        <f>IFERROR($P260,PROPER(VLOOKUP($O260,'Villes en erreur'!$A$2:$B$72,2,FALSE)))</f>
        <v>Val-David</v>
      </c>
      <c r="R260" s="9" t="s">
        <v>1776</v>
      </c>
      <c r="S260" s="9" t="str">
        <f>IF(ISBLANK($R260),"",VLOOKUP($R260,'Liste des Villes'!$B$2:$H$1128,4,FALSE))</f>
        <v>Laurentides</v>
      </c>
      <c r="T260" s="2" t="s">
        <v>1783</v>
      </c>
      <c r="U260" s="2" t="s">
        <v>39</v>
      </c>
      <c r="V260" s="2" t="s">
        <v>40</v>
      </c>
      <c r="W260" s="2" t="s">
        <v>1784</v>
      </c>
      <c r="X260" s="2"/>
      <c r="Y260" s="2"/>
      <c r="Z260" s="2"/>
      <c r="AA260" s="2" t="s">
        <v>149</v>
      </c>
      <c r="AB260" s="2" t="s">
        <v>445</v>
      </c>
      <c r="AC260" s="4" t="s">
        <v>446</v>
      </c>
    </row>
    <row r="261" spans="1:29" x14ac:dyDescent="0.25">
      <c r="A261" s="1">
        <v>187</v>
      </c>
      <c r="B261" s="17" t="s">
        <v>1785</v>
      </c>
      <c r="C261" s="2" t="s">
        <v>1786</v>
      </c>
      <c r="D261" s="15" t="s">
        <v>1787</v>
      </c>
      <c r="E261" s="9" t="s">
        <v>1788</v>
      </c>
      <c r="F261" s="9" t="s">
        <v>1789</v>
      </c>
      <c r="G261" s="9" t="s">
        <v>1673</v>
      </c>
      <c r="H261" s="2" t="s">
        <v>35</v>
      </c>
      <c r="I261" s="3">
        <v>27278</v>
      </c>
      <c r="J261" s="9" t="str">
        <f t="shared" ca="1" si="5"/>
        <v>48 ans</v>
      </c>
      <c r="K261" s="2" t="s">
        <v>36</v>
      </c>
      <c r="L261" s="2" t="str">
        <f>"2"</f>
        <v>2</v>
      </c>
      <c r="M261" s="2"/>
      <c r="N261" s="2" t="str">
        <f>"111 AVENUE"</f>
        <v>111 AVENUE</v>
      </c>
      <c r="O261" s="2" t="s">
        <v>1775</v>
      </c>
      <c r="P261" s="9" t="str">
        <f>VLOOKUP($O261,'Liste des Villes'!$B$2:$B$1128,1,FALSE)</f>
        <v>Val-David</v>
      </c>
      <c r="Q261" s="9" t="str">
        <f>IFERROR($P261,PROPER(VLOOKUP($O261,'Villes en erreur'!$A$2:$B$72,2,FALSE)))</f>
        <v>Val-David</v>
      </c>
      <c r="R261" s="9" t="s">
        <v>1776</v>
      </c>
      <c r="S261" s="9" t="str">
        <f>IF(ISBLANK($R261),"",VLOOKUP($R261,'Liste des Villes'!$B$2:$H$1128,4,FALSE))</f>
        <v>Laurentides</v>
      </c>
      <c r="T261" s="2" t="s">
        <v>1790</v>
      </c>
      <c r="U261" s="2" t="s">
        <v>39</v>
      </c>
      <c r="V261" s="2" t="s">
        <v>40</v>
      </c>
      <c r="W261" s="2" t="s">
        <v>1791</v>
      </c>
      <c r="X261" s="2"/>
      <c r="Y261" s="2"/>
      <c r="Z261" s="2"/>
      <c r="AA261" s="2" t="s">
        <v>149</v>
      </c>
      <c r="AB261" s="2" t="s">
        <v>445</v>
      </c>
      <c r="AC261" s="4" t="s">
        <v>446</v>
      </c>
    </row>
    <row r="262" spans="1:29" x14ac:dyDescent="0.25">
      <c r="A262" s="1">
        <v>1472</v>
      </c>
      <c r="B262" s="17" t="s">
        <v>1792</v>
      </c>
      <c r="C262" s="2" t="s">
        <v>1793</v>
      </c>
      <c r="D262" s="15" t="s">
        <v>349</v>
      </c>
      <c r="E262" s="9" t="s">
        <v>622</v>
      </c>
      <c r="F262" s="9" t="s">
        <v>1794</v>
      </c>
      <c r="G262" s="9" t="s">
        <v>1795</v>
      </c>
      <c r="H262" s="2" t="s">
        <v>60</v>
      </c>
      <c r="I262" s="3">
        <v>28085</v>
      </c>
      <c r="J262" s="9" t="str">
        <f t="shared" ca="1" si="5"/>
        <v>46 ans</v>
      </c>
      <c r="K262" s="2" t="s">
        <v>36</v>
      </c>
      <c r="L262" s="2" t="str">
        <f>"4"</f>
        <v>4</v>
      </c>
      <c r="M262" s="2"/>
      <c r="N262" s="2" t="str">
        <f>"112E AV"</f>
        <v>112E AV</v>
      </c>
      <c r="O262" s="2" t="s">
        <v>1775</v>
      </c>
      <c r="P262" s="9" t="str">
        <f>VLOOKUP($O262,'Liste des Villes'!$B$2:$B$1128,1,FALSE)</f>
        <v>Val-David</v>
      </c>
      <c r="Q262" s="9" t="str">
        <f>IFERROR($P262,PROPER(VLOOKUP($O262,'Villes en erreur'!$A$2:$B$72,2,FALSE)))</f>
        <v>Val-David</v>
      </c>
      <c r="R262" s="9" t="s">
        <v>1776</v>
      </c>
      <c r="S262" s="9" t="str">
        <f>IF(ISBLANK($R262),"",VLOOKUP($R262,'Liste des Villes'!$B$2:$H$1128,4,FALSE))</f>
        <v>Laurentides</v>
      </c>
      <c r="T262" s="2" t="s">
        <v>1796</v>
      </c>
      <c r="U262" s="2" t="s">
        <v>39</v>
      </c>
      <c r="V262" s="2" t="s">
        <v>40</v>
      </c>
      <c r="W262" s="2" t="s">
        <v>1797</v>
      </c>
      <c r="X262" s="2"/>
      <c r="Y262" s="2"/>
      <c r="Z262" s="2"/>
      <c r="AA262" s="2" t="s">
        <v>149</v>
      </c>
      <c r="AB262" s="2" t="s">
        <v>445</v>
      </c>
      <c r="AC262" s="4" t="s">
        <v>446</v>
      </c>
    </row>
    <row r="263" spans="1:29" x14ac:dyDescent="0.25">
      <c r="A263" s="1">
        <v>244</v>
      </c>
      <c r="B263" s="17" t="s">
        <v>1798</v>
      </c>
      <c r="C263" s="2" t="s">
        <v>1799</v>
      </c>
      <c r="D263" s="15" t="s">
        <v>1800</v>
      </c>
      <c r="E263" s="9" t="s">
        <v>1801</v>
      </c>
      <c r="F263" s="9" t="s">
        <v>1802</v>
      </c>
      <c r="G263" s="9" t="s">
        <v>1673</v>
      </c>
      <c r="H263" s="2" t="s">
        <v>35</v>
      </c>
      <c r="I263" s="3">
        <v>27562</v>
      </c>
      <c r="J263" s="9" t="str">
        <f t="shared" ca="1" si="5"/>
        <v>48 ans</v>
      </c>
      <c r="K263" s="2" t="s">
        <v>36</v>
      </c>
      <c r="L263" s="2" t="str">
        <f>"3"</f>
        <v>3</v>
      </c>
      <c r="M263" s="2"/>
      <c r="N263" s="2" t="str">
        <f>"111E AVENUE"</f>
        <v>111E AVENUE</v>
      </c>
      <c r="O263" s="2" t="s">
        <v>1775</v>
      </c>
      <c r="P263" s="9" t="str">
        <f>VLOOKUP($O263,'Liste des Villes'!$B$2:$B$1128,1,FALSE)</f>
        <v>Val-David</v>
      </c>
      <c r="Q263" s="9" t="str">
        <f>IFERROR($P263,PROPER(VLOOKUP($O263,'Villes en erreur'!$A$2:$B$72,2,FALSE)))</f>
        <v>Val-David</v>
      </c>
      <c r="R263" s="9" t="s">
        <v>1776</v>
      </c>
      <c r="S263" s="9" t="str">
        <f>IF(ISBLANK($R263),"",VLOOKUP($R263,'Liste des Villes'!$B$2:$H$1128,4,FALSE))</f>
        <v>Laurentides</v>
      </c>
      <c r="T263" s="2" t="s">
        <v>1803</v>
      </c>
      <c r="U263" s="2" t="s">
        <v>39</v>
      </c>
      <c r="V263" s="2" t="s">
        <v>40</v>
      </c>
      <c r="W263" s="2" t="s">
        <v>1804</v>
      </c>
      <c r="X263" s="2"/>
      <c r="Y263" s="2"/>
      <c r="Z263" s="2"/>
      <c r="AA263" s="2" t="s">
        <v>149</v>
      </c>
      <c r="AB263" s="2" t="s">
        <v>445</v>
      </c>
      <c r="AC263" s="4" t="s">
        <v>446</v>
      </c>
    </row>
    <row r="264" spans="1:29" x14ac:dyDescent="0.25">
      <c r="A264" s="1">
        <v>4070</v>
      </c>
      <c r="B264" s="17" t="s">
        <v>1805</v>
      </c>
      <c r="C264" s="2" t="s">
        <v>1806</v>
      </c>
      <c r="D264" s="15" t="s">
        <v>1807</v>
      </c>
      <c r="E264" s="9" t="s">
        <v>1410</v>
      </c>
      <c r="F264" s="9" t="s">
        <v>1808</v>
      </c>
      <c r="G264" s="9" t="s">
        <v>1809</v>
      </c>
      <c r="H264" s="2" t="s">
        <v>60</v>
      </c>
      <c r="I264" s="3">
        <v>28138</v>
      </c>
      <c r="J264" s="9" t="str">
        <f t="shared" ca="1" si="5"/>
        <v>46 ans</v>
      </c>
      <c r="K264" s="2" t="s">
        <v>36</v>
      </c>
      <c r="L264" s="2" t="str">
        <f>"5"</f>
        <v>5</v>
      </c>
      <c r="M264" s="2"/>
      <c r="N264" s="2" t="str">
        <f>"112e Avenue"</f>
        <v>112e Avenue</v>
      </c>
      <c r="O264" s="2" t="s">
        <v>1775</v>
      </c>
      <c r="P264" s="9" t="str">
        <f>VLOOKUP($O264,'Liste des Villes'!$B$2:$B$1128,1,FALSE)</f>
        <v>Val-David</v>
      </c>
      <c r="Q264" s="9" t="str">
        <f>IFERROR($P264,PROPER(VLOOKUP($O264,'Villes en erreur'!$A$2:$B$72,2,FALSE)))</f>
        <v>Val-David</v>
      </c>
      <c r="R264" s="9" t="s">
        <v>1776</v>
      </c>
      <c r="S264" s="9" t="str">
        <f>IF(ISBLANK($R264),"",VLOOKUP($R264,'Liste des Villes'!$B$2:$H$1128,4,FALSE))</f>
        <v>Laurentides</v>
      </c>
      <c r="T264" s="2" t="s">
        <v>1810</v>
      </c>
      <c r="U264" s="2" t="s">
        <v>39</v>
      </c>
      <c r="V264" s="2" t="s">
        <v>40</v>
      </c>
      <c r="W264" s="2" t="s">
        <v>1811</v>
      </c>
      <c r="X264" s="2"/>
      <c r="Y264" s="2"/>
      <c r="Z264" s="2"/>
      <c r="AA264" s="2" t="s">
        <v>149</v>
      </c>
      <c r="AB264" s="2" t="s">
        <v>445</v>
      </c>
      <c r="AC264" s="4" t="s">
        <v>446</v>
      </c>
    </row>
    <row r="265" spans="1:29" x14ac:dyDescent="0.25">
      <c r="A265" s="1">
        <v>2803</v>
      </c>
      <c r="B265" s="17" t="s">
        <v>1812</v>
      </c>
      <c r="C265" s="2" t="s">
        <v>1813</v>
      </c>
      <c r="D265" s="15" t="s">
        <v>1814</v>
      </c>
      <c r="E265" s="9" t="s">
        <v>549</v>
      </c>
      <c r="F265" s="9" t="s">
        <v>1815</v>
      </c>
      <c r="G265" s="9" t="s">
        <v>1816</v>
      </c>
      <c r="H265" s="2" t="s">
        <v>35</v>
      </c>
      <c r="I265" s="3">
        <v>28065</v>
      </c>
      <c r="J265" s="9" t="str">
        <f t="shared" ca="1" si="5"/>
        <v>46 ans</v>
      </c>
      <c r="K265" s="2" t="s">
        <v>36</v>
      </c>
      <c r="L265" s="2" t="str">
        <f>"4"</f>
        <v>4</v>
      </c>
      <c r="M265" s="2"/>
      <c r="N265" s="2" t="str">
        <f>"112E AV"</f>
        <v>112E AV</v>
      </c>
      <c r="O265" s="2" t="s">
        <v>1775</v>
      </c>
      <c r="P265" s="9" t="str">
        <f>VLOOKUP($O265,'Liste des Villes'!$B$2:$B$1128,1,FALSE)</f>
        <v>Val-David</v>
      </c>
      <c r="Q265" s="9" t="str">
        <f>IFERROR($P265,PROPER(VLOOKUP($O265,'Villes en erreur'!$A$2:$B$72,2,FALSE)))</f>
        <v>Val-David</v>
      </c>
      <c r="R265" s="9" t="s">
        <v>1776</v>
      </c>
      <c r="S265" s="9" t="str">
        <f>IF(ISBLANK($R265),"",VLOOKUP($R265,'Liste des Villes'!$B$2:$H$1128,4,FALSE))</f>
        <v>Laurentides</v>
      </c>
      <c r="T265" s="2" t="s">
        <v>1817</v>
      </c>
      <c r="U265" s="2" t="s">
        <v>39</v>
      </c>
      <c r="V265" s="2" t="s">
        <v>40</v>
      </c>
      <c r="W265" s="2" t="s">
        <v>1818</v>
      </c>
      <c r="X265" s="2"/>
      <c r="Y265" s="2"/>
      <c r="Z265" s="2"/>
      <c r="AA265" s="2" t="s">
        <v>149</v>
      </c>
      <c r="AB265" s="2" t="s">
        <v>445</v>
      </c>
      <c r="AC265" s="4" t="s">
        <v>446</v>
      </c>
    </row>
    <row r="266" spans="1:29" x14ac:dyDescent="0.25">
      <c r="A266" s="1">
        <v>4250</v>
      </c>
      <c r="B266" s="17" t="s">
        <v>1819</v>
      </c>
      <c r="C266" s="2" t="s">
        <v>1820</v>
      </c>
      <c r="D266" s="15" t="s">
        <v>1821</v>
      </c>
      <c r="E266" s="9" t="s">
        <v>1037</v>
      </c>
      <c r="F266" s="9" t="s">
        <v>1822</v>
      </c>
      <c r="G266" s="9" t="s">
        <v>1625</v>
      </c>
      <c r="H266" s="2" t="s">
        <v>35</v>
      </c>
      <c r="I266" s="3">
        <v>27752</v>
      </c>
      <c r="J266" s="9" t="str">
        <f t="shared" ca="1" si="5"/>
        <v>47 ans</v>
      </c>
      <c r="K266" s="2" t="s">
        <v>36</v>
      </c>
      <c r="L266" s="2" t="str">
        <f>"4"</f>
        <v>4</v>
      </c>
      <c r="M266" s="2"/>
      <c r="N266" s="2" t="str">
        <f>"112 AVENUE"</f>
        <v>112 AVENUE</v>
      </c>
      <c r="O266" s="2" t="s">
        <v>1775</v>
      </c>
      <c r="P266" s="9" t="str">
        <f>VLOOKUP($O266,'Liste des Villes'!$B$2:$B$1128,1,FALSE)</f>
        <v>Val-David</v>
      </c>
      <c r="Q266" s="9" t="str">
        <f>IFERROR($P266,PROPER(VLOOKUP($O266,'Villes en erreur'!$A$2:$B$72,2,FALSE)))</f>
        <v>Val-David</v>
      </c>
      <c r="R266" s="9" t="s">
        <v>1776</v>
      </c>
      <c r="S266" s="9" t="str">
        <f>IF(ISBLANK($R266),"",VLOOKUP($R266,'Liste des Villes'!$B$2:$H$1128,4,FALSE))</f>
        <v>Laurentides</v>
      </c>
      <c r="T266" s="2" t="s">
        <v>1823</v>
      </c>
      <c r="U266" s="2" t="s">
        <v>39</v>
      </c>
      <c r="V266" s="2" t="s">
        <v>40</v>
      </c>
      <c r="W266" s="2" t="s">
        <v>1824</v>
      </c>
      <c r="X266" s="2"/>
      <c r="Y266" s="2"/>
      <c r="Z266" s="2"/>
      <c r="AA266" s="2" t="s">
        <v>149</v>
      </c>
      <c r="AB266" s="2" t="s">
        <v>445</v>
      </c>
      <c r="AC266" s="4" t="s">
        <v>446</v>
      </c>
    </row>
    <row r="267" spans="1:29" x14ac:dyDescent="0.25">
      <c r="A267" s="1">
        <v>3587</v>
      </c>
      <c r="B267" s="17" t="s">
        <v>1825</v>
      </c>
      <c r="C267" s="2" t="s">
        <v>1826</v>
      </c>
      <c r="D267" s="15" t="s">
        <v>1827</v>
      </c>
      <c r="E267" s="9" t="s">
        <v>1397</v>
      </c>
      <c r="F267" s="9" t="s">
        <v>1030</v>
      </c>
      <c r="G267" s="9" t="s">
        <v>474</v>
      </c>
      <c r="H267" s="2" t="s">
        <v>35</v>
      </c>
      <c r="I267" s="3">
        <v>28200</v>
      </c>
      <c r="J267" s="9" t="str">
        <f t="shared" ca="1" si="5"/>
        <v>46 ans</v>
      </c>
      <c r="K267" s="2" t="s">
        <v>36</v>
      </c>
      <c r="L267" s="2" t="str">
        <f>"5"</f>
        <v>5</v>
      </c>
      <c r="M267" s="2"/>
      <c r="N267" s="2" t="str">
        <f>"114E AV"</f>
        <v>114E AV</v>
      </c>
      <c r="O267" s="2" t="s">
        <v>1775</v>
      </c>
      <c r="P267" s="9" t="str">
        <f>VLOOKUP($O267,'Liste des Villes'!$B$2:$B$1128,1,FALSE)</f>
        <v>Val-David</v>
      </c>
      <c r="Q267" s="9" t="str">
        <f>IFERROR($P267,PROPER(VLOOKUP($O267,'Villes en erreur'!$A$2:$B$72,2,FALSE)))</f>
        <v>Val-David</v>
      </c>
      <c r="R267" s="9" t="s">
        <v>1776</v>
      </c>
      <c r="S267" s="9" t="str">
        <f>IF(ISBLANK($R267),"",VLOOKUP($R267,'Liste des Villes'!$B$2:$H$1128,4,FALSE))</f>
        <v>Laurentides</v>
      </c>
      <c r="T267" s="2" t="s">
        <v>1828</v>
      </c>
      <c r="U267" s="2" t="s">
        <v>39</v>
      </c>
      <c r="V267" s="2" t="s">
        <v>40</v>
      </c>
      <c r="W267" s="2" t="s">
        <v>1829</v>
      </c>
      <c r="X267" s="2"/>
      <c r="Y267" s="2"/>
      <c r="Z267" s="2"/>
      <c r="AA267" s="2" t="s">
        <v>149</v>
      </c>
      <c r="AB267" s="2" t="s">
        <v>445</v>
      </c>
      <c r="AC267" s="4" t="s">
        <v>446</v>
      </c>
    </row>
    <row r="268" spans="1:29" x14ac:dyDescent="0.25">
      <c r="A268" s="1">
        <v>1711</v>
      </c>
      <c r="B268" s="17" t="s">
        <v>1830</v>
      </c>
      <c r="C268" s="2" t="s">
        <v>1831</v>
      </c>
      <c r="D268" s="15" t="s">
        <v>1832</v>
      </c>
      <c r="E268" s="9" t="s">
        <v>698</v>
      </c>
      <c r="F268" s="9" t="s">
        <v>460</v>
      </c>
      <c r="G268" s="9" t="s">
        <v>1673</v>
      </c>
      <c r="H268" s="2" t="s">
        <v>35</v>
      </c>
      <c r="I268" s="3">
        <v>27228</v>
      </c>
      <c r="J268" s="9" t="str">
        <f t="shared" ca="1" si="5"/>
        <v>49 ans</v>
      </c>
      <c r="K268" s="2" t="s">
        <v>36</v>
      </c>
      <c r="L268" s="2" t="str">
        <f>"2"</f>
        <v>2</v>
      </c>
      <c r="M268" s="2"/>
      <c r="N268" s="2" t="str">
        <f>"10E RUE"</f>
        <v>10E RUE</v>
      </c>
      <c r="O268" s="2" t="s">
        <v>1775</v>
      </c>
      <c r="P268" s="9" t="str">
        <f>VLOOKUP($O268,'Liste des Villes'!$B$2:$B$1128,1,FALSE)</f>
        <v>Val-David</v>
      </c>
      <c r="Q268" s="9" t="str">
        <f>IFERROR($P268,PROPER(VLOOKUP($O268,'Villes en erreur'!$A$2:$B$72,2,FALSE)))</f>
        <v>Val-David</v>
      </c>
      <c r="R268" s="9" t="s">
        <v>1776</v>
      </c>
      <c r="S268" s="9" t="str">
        <f>IF(ISBLANK($R268),"",VLOOKUP($R268,'Liste des Villes'!$B$2:$H$1128,4,FALSE))</f>
        <v>Laurentides</v>
      </c>
      <c r="T268" s="2" t="s">
        <v>1833</v>
      </c>
      <c r="U268" s="2" t="s">
        <v>39</v>
      </c>
      <c r="V268" s="2" t="s">
        <v>40</v>
      </c>
      <c r="W268" s="2" t="s">
        <v>1834</v>
      </c>
      <c r="X268" s="2"/>
      <c r="Y268" s="2"/>
      <c r="Z268" s="2"/>
      <c r="AA268" s="2" t="s">
        <v>149</v>
      </c>
      <c r="AB268" s="2" t="s">
        <v>445</v>
      </c>
      <c r="AC268" s="4" t="s">
        <v>446</v>
      </c>
    </row>
    <row r="269" spans="1:29" x14ac:dyDescent="0.25">
      <c r="A269" s="1">
        <v>4183</v>
      </c>
      <c r="B269" s="17" t="s">
        <v>1835</v>
      </c>
      <c r="C269" s="2" t="s">
        <v>1836</v>
      </c>
      <c r="D269" s="15" t="s">
        <v>1837</v>
      </c>
      <c r="E269" s="9" t="s">
        <v>509</v>
      </c>
      <c r="F269" s="9" t="s">
        <v>510</v>
      </c>
      <c r="G269" s="9" t="s">
        <v>1838</v>
      </c>
      <c r="H269" s="2" t="s">
        <v>60</v>
      </c>
      <c r="I269" s="3">
        <v>28284</v>
      </c>
      <c r="J269" s="9" t="str">
        <f t="shared" ca="1" si="5"/>
        <v>46 ans</v>
      </c>
      <c r="K269" s="2" t="s">
        <v>36</v>
      </c>
      <c r="L269" s="2" t="str">
        <f>"5"</f>
        <v>5</v>
      </c>
      <c r="M269" s="2"/>
      <c r="N269" s="2" t="str">
        <f>"115E AV"</f>
        <v>115E AV</v>
      </c>
      <c r="O269" s="2" t="s">
        <v>1775</v>
      </c>
      <c r="P269" s="9" t="str">
        <f>VLOOKUP($O269,'Liste des Villes'!$B$2:$B$1128,1,FALSE)</f>
        <v>Val-David</v>
      </c>
      <c r="Q269" s="9" t="str">
        <f>IFERROR($P269,PROPER(VLOOKUP($O269,'Villes en erreur'!$A$2:$B$72,2,FALSE)))</f>
        <v>Val-David</v>
      </c>
      <c r="R269" s="9" t="s">
        <v>1776</v>
      </c>
      <c r="S269" s="9" t="str">
        <f>IF(ISBLANK($R269),"",VLOOKUP($R269,'Liste des Villes'!$B$2:$H$1128,4,FALSE))</f>
        <v>Laurentides</v>
      </c>
      <c r="T269" s="2" t="s">
        <v>1839</v>
      </c>
      <c r="U269" s="2" t="s">
        <v>39</v>
      </c>
      <c r="V269" s="2" t="s">
        <v>40</v>
      </c>
      <c r="W269" s="2" t="s">
        <v>1840</v>
      </c>
      <c r="X269" s="2"/>
      <c r="Y269" s="2"/>
      <c r="Z269" s="2"/>
      <c r="AA269" s="2" t="s">
        <v>149</v>
      </c>
      <c r="AB269" s="2" t="s">
        <v>445</v>
      </c>
      <c r="AC269" s="4" t="s">
        <v>446</v>
      </c>
    </row>
    <row r="270" spans="1:29" x14ac:dyDescent="0.25">
      <c r="A270" s="1">
        <v>4043</v>
      </c>
      <c r="B270" s="17" t="s">
        <v>1841</v>
      </c>
      <c r="C270" s="2" t="s">
        <v>1842</v>
      </c>
      <c r="D270" s="15" t="s">
        <v>1843</v>
      </c>
      <c r="E270" s="9" t="s">
        <v>1844</v>
      </c>
      <c r="F270" s="9" t="s">
        <v>1845</v>
      </c>
      <c r="G270" s="9" t="s">
        <v>1846</v>
      </c>
      <c r="H270" s="2" t="s">
        <v>35</v>
      </c>
      <c r="I270" s="3">
        <v>28145</v>
      </c>
      <c r="J270" s="9" t="str">
        <f t="shared" ca="1" si="5"/>
        <v>46 ans</v>
      </c>
      <c r="K270" s="2" t="s">
        <v>36</v>
      </c>
      <c r="L270" s="2" t="str">
        <f>"5"</f>
        <v>5</v>
      </c>
      <c r="M270" s="2"/>
      <c r="N270" s="2" t="str">
        <f>"113E AV"</f>
        <v>113E AV</v>
      </c>
      <c r="O270" s="2" t="s">
        <v>1775</v>
      </c>
      <c r="P270" s="9" t="str">
        <f>VLOOKUP($O270,'Liste des Villes'!$B$2:$B$1128,1,FALSE)</f>
        <v>Val-David</v>
      </c>
      <c r="Q270" s="9" t="str">
        <f>IFERROR($P270,PROPER(VLOOKUP($O270,'Villes en erreur'!$A$2:$B$72,2,FALSE)))</f>
        <v>Val-David</v>
      </c>
      <c r="R270" s="9" t="s">
        <v>1776</v>
      </c>
      <c r="S270" s="9" t="str">
        <f>IF(ISBLANK($R270),"",VLOOKUP($R270,'Liste des Villes'!$B$2:$H$1128,4,FALSE))</f>
        <v>Laurentides</v>
      </c>
      <c r="T270" s="2" t="s">
        <v>1847</v>
      </c>
      <c r="U270" s="2" t="s">
        <v>39</v>
      </c>
      <c r="V270" s="2" t="s">
        <v>40</v>
      </c>
      <c r="W270" s="2" t="s">
        <v>1848</v>
      </c>
      <c r="X270" s="2"/>
      <c r="Y270" s="2"/>
      <c r="Z270" s="2"/>
      <c r="AA270" s="2" t="s">
        <v>149</v>
      </c>
      <c r="AB270" s="2" t="s">
        <v>445</v>
      </c>
      <c r="AC270" s="4" t="s">
        <v>446</v>
      </c>
    </row>
    <row r="271" spans="1:29" x14ac:dyDescent="0.25">
      <c r="A271" s="1">
        <v>1750</v>
      </c>
      <c r="B271" s="17" t="s">
        <v>1849</v>
      </c>
      <c r="C271" s="2" t="s">
        <v>1850</v>
      </c>
      <c r="D271" s="15" t="s">
        <v>1851</v>
      </c>
      <c r="E271" s="9" t="s">
        <v>85</v>
      </c>
      <c r="F271" s="9" t="s">
        <v>1852</v>
      </c>
      <c r="G271" s="9" t="s">
        <v>1853</v>
      </c>
      <c r="H271" s="2" t="s">
        <v>35</v>
      </c>
      <c r="I271" s="3">
        <v>27944</v>
      </c>
      <c r="J271" s="9" t="str">
        <f t="shared" ca="1" si="5"/>
        <v>47 ans</v>
      </c>
      <c r="K271" s="2" t="s">
        <v>36</v>
      </c>
      <c r="L271" s="2" t="str">
        <f>"4"</f>
        <v>4</v>
      </c>
      <c r="M271" s="2"/>
      <c r="N271" s="2" t="str">
        <f>"112E AV"</f>
        <v>112E AV</v>
      </c>
      <c r="O271" s="2" t="s">
        <v>1775</v>
      </c>
      <c r="P271" s="9" t="str">
        <f>VLOOKUP($O271,'Liste des Villes'!$B$2:$B$1128,1,FALSE)</f>
        <v>Val-David</v>
      </c>
      <c r="Q271" s="9" t="str">
        <f>IFERROR($P271,PROPER(VLOOKUP($O271,'Villes en erreur'!$A$2:$B$72,2,FALSE)))</f>
        <v>Val-David</v>
      </c>
      <c r="R271" s="9" t="s">
        <v>1776</v>
      </c>
      <c r="S271" s="9" t="str">
        <f>IF(ISBLANK($R271),"",VLOOKUP($R271,'Liste des Villes'!$B$2:$H$1128,4,FALSE))</f>
        <v>Laurentides</v>
      </c>
      <c r="T271" s="2" t="s">
        <v>1854</v>
      </c>
      <c r="U271" s="2" t="s">
        <v>39</v>
      </c>
      <c r="V271" s="2" t="s">
        <v>40</v>
      </c>
      <c r="W271" s="2" t="s">
        <v>1855</v>
      </c>
      <c r="X271" s="2"/>
      <c r="Y271" s="2"/>
      <c r="Z271" s="2"/>
      <c r="AA271" s="2" t="s">
        <v>149</v>
      </c>
      <c r="AB271" s="2" t="s">
        <v>445</v>
      </c>
      <c r="AC271" s="4" t="s">
        <v>446</v>
      </c>
    </row>
    <row r="272" spans="1:29" x14ac:dyDescent="0.25">
      <c r="A272" s="1">
        <v>3621</v>
      </c>
      <c r="B272" s="17" t="s">
        <v>1856</v>
      </c>
      <c r="C272" s="2" t="s">
        <v>1857</v>
      </c>
      <c r="D272" s="15" t="s">
        <v>1048</v>
      </c>
      <c r="E272" s="9" t="s">
        <v>1858</v>
      </c>
      <c r="F272" s="9" t="s">
        <v>1859</v>
      </c>
      <c r="G272" s="9" t="s">
        <v>1860</v>
      </c>
      <c r="H272" s="2" t="s">
        <v>35</v>
      </c>
      <c r="I272" s="3">
        <v>28312</v>
      </c>
      <c r="J272" s="9" t="str">
        <f t="shared" ca="1" si="5"/>
        <v>46 ans</v>
      </c>
      <c r="K272" s="2" t="s">
        <v>36</v>
      </c>
      <c r="L272" s="2" t="str">
        <f>"5"</f>
        <v>5</v>
      </c>
      <c r="M272" s="2"/>
      <c r="N272" s="2" t="str">
        <f>"115E AV"</f>
        <v>115E AV</v>
      </c>
      <c r="O272" s="2" t="s">
        <v>1775</v>
      </c>
      <c r="P272" s="9" t="str">
        <f>VLOOKUP($O272,'Liste des Villes'!$B$2:$B$1128,1,FALSE)</f>
        <v>Val-David</v>
      </c>
      <c r="Q272" s="9" t="str">
        <f>IFERROR($P272,PROPER(VLOOKUP($O272,'Villes en erreur'!$A$2:$B$72,2,FALSE)))</f>
        <v>Val-David</v>
      </c>
      <c r="R272" s="9" t="s">
        <v>1776</v>
      </c>
      <c r="S272" s="9" t="str">
        <f>IF(ISBLANK($R272),"",VLOOKUP($R272,'Liste des Villes'!$B$2:$H$1128,4,FALSE))</f>
        <v>Laurentides</v>
      </c>
      <c r="T272" s="2" t="s">
        <v>1861</v>
      </c>
      <c r="U272" s="2" t="s">
        <v>39</v>
      </c>
      <c r="V272" s="2" t="s">
        <v>40</v>
      </c>
      <c r="W272" s="2" t="s">
        <v>1862</v>
      </c>
      <c r="X272" s="2"/>
      <c r="Y272" s="2"/>
      <c r="Z272" s="2"/>
      <c r="AA272" s="2" t="s">
        <v>149</v>
      </c>
      <c r="AB272" s="2" t="s">
        <v>445</v>
      </c>
      <c r="AC272" s="4" t="s">
        <v>446</v>
      </c>
    </row>
    <row r="273" spans="1:29" x14ac:dyDescent="0.25">
      <c r="A273" s="1">
        <v>140</v>
      </c>
      <c r="B273" s="17" t="s">
        <v>1863</v>
      </c>
      <c r="C273" s="2" t="s">
        <v>1864</v>
      </c>
      <c r="D273" s="15" t="s">
        <v>1865</v>
      </c>
      <c r="E273" s="9" t="s">
        <v>1315</v>
      </c>
      <c r="F273" s="9" t="s">
        <v>1329</v>
      </c>
      <c r="G273" s="9" t="s">
        <v>1673</v>
      </c>
      <c r="H273" s="2" t="s">
        <v>35</v>
      </c>
      <c r="I273" s="3">
        <v>27096</v>
      </c>
      <c r="J273" s="9" t="str">
        <f t="shared" ca="1" si="5"/>
        <v>49 ans</v>
      </c>
      <c r="K273" s="2" t="s">
        <v>36</v>
      </c>
      <c r="L273" s="2" t="str">
        <f>"2"</f>
        <v>2</v>
      </c>
      <c r="M273" s="2"/>
      <c r="N273" s="2" t="str">
        <f>"10E RUE"</f>
        <v>10E RUE</v>
      </c>
      <c r="O273" s="2" t="s">
        <v>1775</v>
      </c>
      <c r="P273" s="9" t="str">
        <f>VLOOKUP($O273,'Liste des Villes'!$B$2:$B$1128,1,FALSE)</f>
        <v>Val-David</v>
      </c>
      <c r="Q273" s="9" t="str">
        <f>IFERROR($P273,PROPER(VLOOKUP($O273,'Villes en erreur'!$A$2:$B$72,2,FALSE)))</f>
        <v>Val-David</v>
      </c>
      <c r="R273" s="9" t="s">
        <v>1776</v>
      </c>
      <c r="S273" s="9" t="str">
        <f>IF(ISBLANK($R273),"",VLOOKUP($R273,'Liste des Villes'!$B$2:$H$1128,4,FALSE))</f>
        <v>Laurentides</v>
      </c>
      <c r="T273" s="2" t="s">
        <v>1866</v>
      </c>
      <c r="U273" s="2" t="s">
        <v>39</v>
      </c>
      <c r="V273" s="2" t="s">
        <v>40</v>
      </c>
      <c r="W273" s="2" t="s">
        <v>1867</v>
      </c>
      <c r="X273" s="2"/>
      <c r="Y273" s="2"/>
      <c r="Z273" s="2"/>
      <c r="AA273" s="2" t="s">
        <v>149</v>
      </c>
      <c r="AB273" s="2" t="s">
        <v>445</v>
      </c>
      <c r="AC273" s="4" t="s">
        <v>446</v>
      </c>
    </row>
    <row r="274" spans="1:29" x14ac:dyDescent="0.25">
      <c r="A274" s="1">
        <v>1906</v>
      </c>
      <c r="B274" s="17" t="s">
        <v>1868</v>
      </c>
      <c r="C274" s="2" t="s">
        <v>1869</v>
      </c>
      <c r="D274" s="15" t="s">
        <v>1870</v>
      </c>
      <c r="E274" s="9" t="s">
        <v>1560</v>
      </c>
      <c r="F274" s="9" t="s">
        <v>1871</v>
      </c>
      <c r="G274" s="9" t="s">
        <v>1872</v>
      </c>
      <c r="H274" s="2" t="s">
        <v>60</v>
      </c>
      <c r="I274" s="3">
        <v>27920</v>
      </c>
      <c r="J274" s="9" t="str">
        <f t="shared" ca="1" si="5"/>
        <v>47 ans</v>
      </c>
      <c r="K274" s="2" t="s">
        <v>36</v>
      </c>
      <c r="L274" s="2" t="str">
        <f>"4"</f>
        <v>4</v>
      </c>
      <c r="M274" s="2"/>
      <c r="N274" s="2" t="str">
        <f>"112E AV"</f>
        <v>112E AV</v>
      </c>
      <c r="O274" s="2" t="s">
        <v>1775</v>
      </c>
      <c r="P274" s="9" t="str">
        <f>VLOOKUP($O274,'Liste des Villes'!$B$2:$B$1128,1,FALSE)</f>
        <v>Val-David</v>
      </c>
      <c r="Q274" s="9" t="str">
        <f>IFERROR($P274,PROPER(VLOOKUP($O274,'Villes en erreur'!$A$2:$B$72,2,FALSE)))</f>
        <v>Val-David</v>
      </c>
      <c r="R274" s="9" t="s">
        <v>1776</v>
      </c>
      <c r="S274" s="9" t="str">
        <f>IF(ISBLANK($R274),"",VLOOKUP($R274,'Liste des Villes'!$B$2:$H$1128,4,FALSE))</f>
        <v>Laurentides</v>
      </c>
      <c r="T274" s="2" t="s">
        <v>1873</v>
      </c>
      <c r="U274" s="2" t="s">
        <v>39</v>
      </c>
      <c r="V274" s="2" t="s">
        <v>40</v>
      </c>
      <c r="W274" s="2" t="s">
        <v>1874</v>
      </c>
      <c r="X274" s="2"/>
      <c r="Y274" s="2"/>
      <c r="Z274" s="2"/>
      <c r="AA274" s="2" t="s">
        <v>149</v>
      </c>
      <c r="AB274" s="2" t="s">
        <v>445</v>
      </c>
      <c r="AC274" s="4" t="s">
        <v>446</v>
      </c>
    </row>
    <row r="275" spans="1:29" x14ac:dyDescent="0.25">
      <c r="A275" s="1">
        <v>3003</v>
      </c>
      <c r="B275" s="17" t="s">
        <v>1875</v>
      </c>
      <c r="C275" s="2" t="s">
        <v>1876</v>
      </c>
      <c r="D275" s="15" t="s">
        <v>1877</v>
      </c>
      <c r="E275" s="9" t="s">
        <v>495</v>
      </c>
      <c r="F275" s="9" t="s">
        <v>1878</v>
      </c>
      <c r="G275" s="9" t="s">
        <v>1879</v>
      </c>
      <c r="H275" s="2" t="s">
        <v>60</v>
      </c>
      <c r="I275" s="3">
        <v>27963</v>
      </c>
      <c r="J275" s="9" t="str">
        <f t="shared" ca="1" si="5"/>
        <v>47 ans</v>
      </c>
      <c r="K275" s="2" t="s">
        <v>36</v>
      </c>
      <c r="L275" s="2" t="str">
        <f>"4"</f>
        <v>4</v>
      </c>
      <c r="M275" s="2"/>
      <c r="N275" s="2" t="str">
        <f>"112E AV"</f>
        <v>112E AV</v>
      </c>
      <c r="O275" s="2" t="s">
        <v>1775</v>
      </c>
      <c r="P275" s="9" t="str">
        <f>VLOOKUP($O275,'Liste des Villes'!$B$2:$B$1128,1,FALSE)</f>
        <v>Val-David</v>
      </c>
      <c r="Q275" s="9" t="str">
        <f>IFERROR($P275,PROPER(VLOOKUP($O275,'Villes en erreur'!$A$2:$B$72,2,FALSE)))</f>
        <v>Val-David</v>
      </c>
      <c r="R275" s="9" t="s">
        <v>1776</v>
      </c>
      <c r="S275" s="9" t="str">
        <f>IF(ISBLANK($R275),"",VLOOKUP($R275,'Liste des Villes'!$B$2:$H$1128,4,FALSE))</f>
        <v>Laurentides</v>
      </c>
      <c r="T275" s="2" t="s">
        <v>1880</v>
      </c>
      <c r="U275" s="2" t="s">
        <v>39</v>
      </c>
      <c r="V275" s="2" t="s">
        <v>40</v>
      </c>
      <c r="W275" s="2" t="s">
        <v>1881</v>
      </c>
      <c r="X275" s="2"/>
      <c r="Y275" s="2"/>
      <c r="Z275" s="2"/>
      <c r="AA275" s="2" t="s">
        <v>149</v>
      </c>
      <c r="AB275" s="2" t="s">
        <v>445</v>
      </c>
      <c r="AC275" s="4" t="s">
        <v>446</v>
      </c>
    </row>
    <row r="276" spans="1:29" x14ac:dyDescent="0.25">
      <c r="A276" s="1">
        <v>773</v>
      </c>
      <c r="B276" s="17" t="s">
        <v>1882</v>
      </c>
      <c r="C276" s="2" t="s">
        <v>1883</v>
      </c>
      <c r="D276" s="15" t="s">
        <v>1005</v>
      </c>
      <c r="E276" s="9" t="s">
        <v>1884</v>
      </c>
      <c r="F276" s="9" t="s">
        <v>1885</v>
      </c>
      <c r="G276" s="9" t="s">
        <v>1886</v>
      </c>
      <c r="H276" s="2" t="s">
        <v>35</v>
      </c>
      <c r="I276" s="3">
        <v>27693</v>
      </c>
      <c r="J276" s="9" t="str">
        <f t="shared" ca="1" si="5"/>
        <v>47 ans</v>
      </c>
      <c r="K276" s="2" t="s">
        <v>36</v>
      </c>
      <c r="L276" s="2" t="str">
        <f>"4"</f>
        <v>4</v>
      </c>
      <c r="M276" s="2"/>
      <c r="N276" s="2" t="str">
        <f>"112 AVENUE"</f>
        <v>112 AVENUE</v>
      </c>
      <c r="O276" s="2" t="s">
        <v>1775</v>
      </c>
      <c r="P276" s="9" t="str">
        <f>VLOOKUP($O276,'Liste des Villes'!$B$2:$B$1128,1,FALSE)</f>
        <v>Val-David</v>
      </c>
      <c r="Q276" s="9" t="str">
        <f>IFERROR($P276,PROPER(VLOOKUP($O276,'Villes en erreur'!$A$2:$B$72,2,FALSE)))</f>
        <v>Val-David</v>
      </c>
      <c r="R276" s="9" t="s">
        <v>1776</v>
      </c>
      <c r="S276" s="9" t="str">
        <f>IF(ISBLANK($R276),"",VLOOKUP($R276,'Liste des Villes'!$B$2:$H$1128,4,FALSE))</f>
        <v>Laurentides</v>
      </c>
      <c r="T276" s="2" t="s">
        <v>1887</v>
      </c>
      <c r="U276" s="2" t="s">
        <v>39</v>
      </c>
      <c r="V276" s="2" t="s">
        <v>40</v>
      </c>
      <c r="W276" s="2" t="s">
        <v>1888</v>
      </c>
      <c r="X276" s="2"/>
      <c r="Y276" s="2"/>
      <c r="Z276" s="2"/>
      <c r="AA276" s="2" t="s">
        <v>149</v>
      </c>
      <c r="AB276" s="2" t="s">
        <v>445</v>
      </c>
      <c r="AC276" s="4" t="s">
        <v>446</v>
      </c>
    </row>
    <row r="277" spans="1:29" x14ac:dyDescent="0.25">
      <c r="A277" s="1">
        <v>441</v>
      </c>
      <c r="B277" s="17" t="s">
        <v>1889</v>
      </c>
      <c r="C277" s="2" t="s">
        <v>1890</v>
      </c>
      <c r="D277" s="15" t="s">
        <v>166</v>
      </c>
      <c r="E277" s="9" t="s">
        <v>1891</v>
      </c>
      <c r="F277" s="9" t="s">
        <v>164</v>
      </c>
      <c r="G277" s="9" t="s">
        <v>1892</v>
      </c>
      <c r="H277" s="2" t="s">
        <v>35</v>
      </c>
      <c r="I277" s="3">
        <v>28192</v>
      </c>
      <c r="J277" s="9" t="str">
        <f t="shared" ca="1" si="5"/>
        <v>46 ans</v>
      </c>
      <c r="K277" s="2" t="s">
        <v>36</v>
      </c>
      <c r="L277" s="2" t="str">
        <f>"5"</f>
        <v>5</v>
      </c>
      <c r="M277" s="2"/>
      <c r="N277" s="2" t="str">
        <f>"114E AV"</f>
        <v>114E AV</v>
      </c>
      <c r="O277" s="2" t="s">
        <v>1775</v>
      </c>
      <c r="P277" s="9" t="str">
        <f>VLOOKUP($O277,'Liste des Villes'!$B$2:$B$1128,1,FALSE)</f>
        <v>Val-David</v>
      </c>
      <c r="Q277" s="9" t="str">
        <f>IFERROR($P277,PROPER(VLOOKUP($O277,'Villes en erreur'!$A$2:$B$72,2,FALSE)))</f>
        <v>Val-David</v>
      </c>
      <c r="R277" s="9" t="s">
        <v>1776</v>
      </c>
      <c r="S277" s="9" t="str">
        <f>IF(ISBLANK($R277),"",VLOOKUP($R277,'Liste des Villes'!$B$2:$H$1128,4,FALSE))</f>
        <v>Laurentides</v>
      </c>
      <c r="T277" s="2" t="s">
        <v>1893</v>
      </c>
      <c r="U277" s="2" t="s">
        <v>39</v>
      </c>
      <c r="V277" s="2" t="s">
        <v>40</v>
      </c>
      <c r="W277" s="2" t="s">
        <v>1894</v>
      </c>
      <c r="X277" s="2"/>
      <c r="Y277" s="2"/>
      <c r="Z277" s="2"/>
      <c r="AA277" s="2" t="s">
        <v>149</v>
      </c>
      <c r="AB277" s="2" t="s">
        <v>445</v>
      </c>
      <c r="AC277" s="4" t="s">
        <v>446</v>
      </c>
    </row>
    <row r="278" spans="1:29" x14ac:dyDescent="0.25">
      <c r="A278" s="1">
        <v>1131</v>
      </c>
      <c r="B278" s="17" t="s">
        <v>1895</v>
      </c>
      <c r="C278" s="2" t="s">
        <v>1896</v>
      </c>
      <c r="D278" s="15" t="s">
        <v>1897</v>
      </c>
      <c r="E278" s="9" t="s">
        <v>1898</v>
      </c>
      <c r="F278" s="9" t="s">
        <v>1899</v>
      </c>
      <c r="G278" s="9" t="s">
        <v>1900</v>
      </c>
      <c r="H278" s="2" t="s">
        <v>35</v>
      </c>
      <c r="I278" s="3">
        <v>27747</v>
      </c>
      <c r="J278" s="9" t="str">
        <f t="shared" ca="1" si="5"/>
        <v>47 ans</v>
      </c>
      <c r="K278" s="2" t="s">
        <v>36</v>
      </c>
      <c r="L278" s="2" t="str">
        <f>"4"</f>
        <v>4</v>
      </c>
      <c r="M278" s="2"/>
      <c r="N278" s="2" t="str">
        <f>"112 AVENUE"</f>
        <v>112 AVENUE</v>
      </c>
      <c r="O278" s="2" t="s">
        <v>1775</v>
      </c>
      <c r="P278" s="9" t="str">
        <f>VLOOKUP($O278,'Liste des Villes'!$B$2:$B$1128,1,FALSE)</f>
        <v>Val-David</v>
      </c>
      <c r="Q278" s="9" t="str">
        <f>IFERROR($P278,PROPER(VLOOKUP($O278,'Villes en erreur'!$A$2:$B$72,2,FALSE)))</f>
        <v>Val-David</v>
      </c>
      <c r="R278" s="9" t="s">
        <v>1776</v>
      </c>
      <c r="S278" s="9" t="str">
        <f>IF(ISBLANK($R278),"",VLOOKUP($R278,'Liste des Villes'!$B$2:$H$1128,4,FALSE))</f>
        <v>Laurentides</v>
      </c>
      <c r="T278" s="2" t="s">
        <v>1901</v>
      </c>
      <c r="U278" s="2" t="s">
        <v>39</v>
      </c>
      <c r="V278" s="2" t="s">
        <v>40</v>
      </c>
      <c r="W278" s="2" t="s">
        <v>1902</v>
      </c>
      <c r="X278" s="2"/>
      <c r="Y278" s="2"/>
      <c r="Z278" s="2"/>
      <c r="AA278" s="2" t="s">
        <v>149</v>
      </c>
      <c r="AB278" s="2" t="s">
        <v>445</v>
      </c>
      <c r="AC278" s="4" t="s">
        <v>446</v>
      </c>
    </row>
    <row r="279" spans="1:29" x14ac:dyDescent="0.25">
      <c r="A279" s="1">
        <v>400</v>
      </c>
      <c r="B279" s="17" t="s">
        <v>1903</v>
      </c>
      <c r="C279" s="2" t="s">
        <v>1904</v>
      </c>
      <c r="D279" s="15" t="s">
        <v>1905</v>
      </c>
      <c r="E279" s="9" t="s">
        <v>137</v>
      </c>
      <c r="F279" s="9" t="s">
        <v>1906</v>
      </c>
      <c r="G279" s="9" t="s">
        <v>1907</v>
      </c>
      <c r="H279" s="2" t="s">
        <v>60</v>
      </c>
      <c r="I279" s="3">
        <v>28283</v>
      </c>
      <c r="J279" s="9" t="str">
        <f t="shared" ca="1" si="5"/>
        <v>46 ans</v>
      </c>
      <c r="K279" s="2" t="s">
        <v>36</v>
      </c>
      <c r="L279" s="2" t="str">
        <f>"5"</f>
        <v>5</v>
      </c>
      <c r="M279" s="2"/>
      <c r="N279" s="2" t="str">
        <f>"115E AV"</f>
        <v>115E AV</v>
      </c>
      <c r="O279" s="2" t="s">
        <v>1775</v>
      </c>
      <c r="P279" s="9" t="str">
        <f>VLOOKUP($O279,'Liste des Villes'!$B$2:$B$1128,1,FALSE)</f>
        <v>Val-David</v>
      </c>
      <c r="Q279" s="9" t="str">
        <f>IFERROR($P279,PROPER(VLOOKUP($O279,'Villes en erreur'!$A$2:$B$72,2,FALSE)))</f>
        <v>Val-David</v>
      </c>
      <c r="R279" s="9" t="s">
        <v>1776</v>
      </c>
      <c r="S279" s="9" t="str">
        <f>IF(ISBLANK($R279),"",VLOOKUP($R279,'Liste des Villes'!$B$2:$H$1128,4,FALSE))</f>
        <v>Laurentides</v>
      </c>
      <c r="T279" s="2" t="s">
        <v>1908</v>
      </c>
      <c r="U279" s="2" t="s">
        <v>39</v>
      </c>
      <c r="V279" s="2" t="s">
        <v>40</v>
      </c>
      <c r="W279" s="2" t="s">
        <v>1909</v>
      </c>
      <c r="X279" s="2"/>
      <c r="Y279" s="2"/>
      <c r="Z279" s="2"/>
      <c r="AA279" s="2" t="s">
        <v>149</v>
      </c>
      <c r="AB279" s="2" t="s">
        <v>445</v>
      </c>
      <c r="AC279" s="4" t="s">
        <v>446</v>
      </c>
    </row>
    <row r="280" spans="1:29" x14ac:dyDescent="0.25">
      <c r="A280" s="1">
        <v>3447</v>
      </c>
      <c r="B280" s="17" t="s">
        <v>1910</v>
      </c>
      <c r="C280" s="2" t="s">
        <v>1911</v>
      </c>
      <c r="D280" s="15" t="s">
        <v>1912</v>
      </c>
      <c r="E280" s="9" t="s">
        <v>120</v>
      </c>
      <c r="F280" s="9" t="s">
        <v>1913</v>
      </c>
      <c r="G280" s="9" t="s">
        <v>1673</v>
      </c>
      <c r="H280" s="2" t="s">
        <v>35</v>
      </c>
      <c r="I280" s="3">
        <v>27146</v>
      </c>
      <c r="J280" s="9" t="str">
        <f t="shared" ca="1" si="5"/>
        <v>49 ans</v>
      </c>
      <c r="K280" s="2" t="s">
        <v>36</v>
      </c>
      <c r="L280" s="2" t="str">
        <f>"2"</f>
        <v>2</v>
      </c>
      <c r="M280" s="2"/>
      <c r="N280" s="2" t="str">
        <f>"10E RUE"</f>
        <v>10E RUE</v>
      </c>
      <c r="O280" s="2" t="s">
        <v>1775</v>
      </c>
      <c r="P280" s="9" t="str">
        <f>VLOOKUP($O280,'Liste des Villes'!$B$2:$B$1128,1,FALSE)</f>
        <v>Val-David</v>
      </c>
      <c r="Q280" s="9" t="str">
        <f>IFERROR($P280,PROPER(VLOOKUP($O280,'Villes en erreur'!$A$2:$B$72,2,FALSE)))</f>
        <v>Val-David</v>
      </c>
      <c r="R280" s="9" t="s">
        <v>1776</v>
      </c>
      <c r="S280" s="9" t="str">
        <f>IF(ISBLANK($R280),"",VLOOKUP($R280,'Liste des Villes'!$B$2:$H$1128,4,FALSE))</f>
        <v>Laurentides</v>
      </c>
      <c r="T280" s="2" t="s">
        <v>1914</v>
      </c>
      <c r="U280" s="2" t="s">
        <v>39</v>
      </c>
      <c r="V280" s="2" t="s">
        <v>40</v>
      </c>
      <c r="W280" s="2" t="s">
        <v>1915</v>
      </c>
      <c r="X280" s="2"/>
      <c r="Y280" s="2"/>
      <c r="Z280" s="2"/>
      <c r="AA280" s="2" t="s">
        <v>149</v>
      </c>
      <c r="AB280" s="2" t="s">
        <v>445</v>
      </c>
      <c r="AC280" s="4" t="s">
        <v>446</v>
      </c>
    </row>
    <row r="281" spans="1:29" x14ac:dyDescent="0.25">
      <c r="A281" s="1">
        <v>1640</v>
      </c>
      <c r="B281" s="17" t="s">
        <v>1916</v>
      </c>
      <c r="C281" s="2" t="s">
        <v>1917</v>
      </c>
      <c r="D281" s="15" t="s">
        <v>1918</v>
      </c>
      <c r="E281" s="9" t="s">
        <v>1377</v>
      </c>
      <c r="F281" s="9" t="s">
        <v>1378</v>
      </c>
      <c r="G281" s="9" t="s">
        <v>1886</v>
      </c>
      <c r="H281" s="2" t="s">
        <v>35</v>
      </c>
      <c r="I281" s="3">
        <v>27673</v>
      </c>
      <c r="J281" s="9" t="str">
        <f t="shared" ca="1" si="5"/>
        <v>47 ans</v>
      </c>
      <c r="K281" s="2" t="s">
        <v>36</v>
      </c>
      <c r="L281" s="2" t="str">
        <f>"3"</f>
        <v>3</v>
      </c>
      <c r="M281" s="2"/>
      <c r="N281" s="2" t="str">
        <f>"111E AVENUE OUEST"</f>
        <v>111E AVENUE OUEST</v>
      </c>
      <c r="O281" s="2" t="s">
        <v>1775</v>
      </c>
      <c r="P281" s="9" t="str">
        <f>VLOOKUP($O281,'Liste des Villes'!$B$2:$B$1128,1,FALSE)</f>
        <v>Val-David</v>
      </c>
      <c r="Q281" s="9" t="str">
        <f>IFERROR($P281,PROPER(VLOOKUP($O281,'Villes en erreur'!$A$2:$B$72,2,FALSE)))</f>
        <v>Val-David</v>
      </c>
      <c r="R281" s="9" t="s">
        <v>1776</v>
      </c>
      <c r="S281" s="9" t="str">
        <f>IF(ISBLANK($R281),"",VLOOKUP($R281,'Liste des Villes'!$B$2:$H$1128,4,FALSE))</f>
        <v>Laurentides</v>
      </c>
      <c r="T281" s="2" t="s">
        <v>1919</v>
      </c>
      <c r="U281" s="2" t="s">
        <v>39</v>
      </c>
      <c r="V281" s="2" t="s">
        <v>40</v>
      </c>
      <c r="W281" s="2" t="s">
        <v>1920</v>
      </c>
      <c r="X281" s="2"/>
      <c r="Y281" s="2"/>
      <c r="Z281" s="2"/>
      <c r="AA281" s="2" t="s">
        <v>149</v>
      </c>
      <c r="AB281" s="2" t="s">
        <v>445</v>
      </c>
      <c r="AC281" s="4" t="s">
        <v>446</v>
      </c>
    </row>
    <row r="282" spans="1:29" x14ac:dyDescent="0.25">
      <c r="A282" s="1">
        <v>2146</v>
      </c>
      <c r="B282" s="17" t="s">
        <v>1921</v>
      </c>
      <c r="C282" s="2" t="s">
        <v>1922</v>
      </c>
      <c r="D282" s="15" t="s">
        <v>1923</v>
      </c>
      <c r="E282" s="9" t="s">
        <v>1924</v>
      </c>
      <c r="F282" s="9" t="s">
        <v>1925</v>
      </c>
      <c r="G282" s="9" t="s">
        <v>1926</v>
      </c>
      <c r="H282" s="2" t="s">
        <v>60</v>
      </c>
      <c r="I282" s="3">
        <v>27770</v>
      </c>
      <c r="J282" s="9" t="str">
        <f t="shared" ca="1" si="5"/>
        <v>47 ans</v>
      </c>
      <c r="K282" s="2" t="s">
        <v>36</v>
      </c>
      <c r="L282" s="2" t="str">
        <f>"4"</f>
        <v>4</v>
      </c>
      <c r="M282" s="2"/>
      <c r="N282" s="2" t="str">
        <f>"112 AVENUE"</f>
        <v>112 AVENUE</v>
      </c>
      <c r="O282" s="2" t="s">
        <v>1775</v>
      </c>
      <c r="P282" s="9" t="str">
        <f>VLOOKUP($O282,'Liste des Villes'!$B$2:$B$1128,1,FALSE)</f>
        <v>Val-David</v>
      </c>
      <c r="Q282" s="9" t="str">
        <f>IFERROR($P282,PROPER(VLOOKUP($O282,'Villes en erreur'!$A$2:$B$72,2,FALSE)))</f>
        <v>Val-David</v>
      </c>
      <c r="R282" s="9" t="s">
        <v>1776</v>
      </c>
      <c r="S282" s="9" t="str">
        <f>IF(ISBLANK($R282),"",VLOOKUP($R282,'Liste des Villes'!$B$2:$H$1128,4,FALSE))</f>
        <v>Laurentides</v>
      </c>
      <c r="T282" s="2" t="s">
        <v>1927</v>
      </c>
      <c r="U282" s="2" t="s">
        <v>39</v>
      </c>
      <c r="V282" s="2" t="s">
        <v>40</v>
      </c>
      <c r="W282" s="2" t="s">
        <v>1928</v>
      </c>
      <c r="X282" s="2"/>
      <c r="Y282" s="2"/>
      <c r="Z282" s="2"/>
      <c r="AA282" s="2" t="s">
        <v>149</v>
      </c>
      <c r="AB282" s="2" t="s">
        <v>445</v>
      </c>
      <c r="AC282" s="4" t="s">
        <v>446</v>
      </c>
    </row>
    <row r="283" spans="1:29" x14ac:dyDescent="0.25">
      <c r="A283" s="1">
        <v>3128</v>
      </c>
      <c r="B283" s="17" t="s">
        <v>1929</v>
      </c>
      <c r="C283" s="2" t="s">
        <v>1930</v>
      </c>
      <c r="D283" s="15" t="s">
        <v>208</v>
      </c>
      <c r="E283" s="9" t="s">
        <v>1931</v>
      </c>
      <c r="F283" s="9" t="s">
        <v>1932</v>
      </c>
      <c r="G283" s="9" t="s">
        <v>1933</v>
      </c>
      <c r="H283" s="2" t="s">
        <v>60</v>
      </c>
      <c r="I283" s="3">
        <v>28052</v>
      </c>
      <c r="J283" s="9" t="str">
        <f t="shared" ca="1" si="5"/>
        <v>46 ans</v>
      </c>
      <c r="K283" s="2" t="s">
        <v>36</v>
      </c>
      <c r="L283" s="2" t="str">
        <f>"4"</f>
        <v>4</v>
      </c>
      <c r="M283" s="2"/>
      <c r="N283" s="2" t="str">
        <f>"112E AV"</f>
        <v>112E AV</v>
      </c>
      <c r="O283" s="2" t="s">
        <v>1775</v>
      </c>
      <c r="P283" s="9" t="str">
        <f>VLOOKUP($O283,'Liste des Villes'!$B$2:$B$1128,1,FALSE)</f>
        <v>Val-David</v>
      </c>
      <c r="Q283" s="9" t="str">
        <f>IFERROR($P283,PROPER(VLOOKUP($O283,'Villes en erreur'!$A$2:$B$72,2,FALSE)))</f>
        <v>Val-David</v>
      </c>
      <c r="R283" s="9" t="s">
        <v>1776</v>
      </c>
      <c r="S283" s="9" t="str">
        <f>IF(ISBLANK($R283),"",VLOOKUP($R283,'Liste des Villes'!$B$2:$H$1128,4,FALSE))</f>
        <v>Laurentides</v>
      </c>
      <c r="T283" s="2" t="s">
        <v>1934</v>
      </c>
      <c r="U283" s="2" t="s">
        <v>39</v>
      </c>
      <c r="V283" s="2" t="s">
        <v>40</v>
      </c>
      <c r="W283" s="2" t="s">
        <v>1935</v>
      </c>
      <c r="X283" s="2"/>
      <c r="Y283" s="2"/>
      <c r="Z283" s="2"/>
      <c r="AA283" s="2" t="s">
        <v>149</v>
      </c>
      <c r="AB283" s="2" t="s">
        <v>445</v>
      </c>
      <c r="AC283" s="4" t="s">
        <v>446</v>
      </c>
    </row>
    <row r="284" spans="1:29" x14ac:dyDescent="0.25">
      <c r="A284" s="1">
        <v>1481</v>
      </c>
      <c r="B284" s="17" t="s">
        <v>1936</v>
      </c>
      <c r="C284" s="2" t="s">
        <v>1937</v>
      </c>
      <c r="D284" s="15" t="s">
        <v>1938</v>
      </c>
      <c r="E284" s="9" t="s">
        <v>1377</v>
      </c>
      <c r="F284" s="9" t="s">
        <v>1939</v>
      </c>
      <c r="G284" s="9" t="s">
        <v>1673</v>
      </c>
      <c r="H284" s="2" t="s">
        <v>35</v>
      </c>
      <c r="I284" s="3">
        <v>27364</v>
      </c>
      <c r="J284" s="9" t="str">
        <f t="shared" ca="1" si="5"/>
        <v>48 ans</v>
      </c>
      <c r="K284" s="2" t="s">
        <v>36</v>
      </c>
      <c r="L284" s="2" t="str">
        <f>"3"</f>
        <v>3</v>
      </c>
      <c r="M284" s="2"/>
      <c r="N284" s="2" t="str">
        <f>"111E AV"</f>
        <v>111E AV</v>
      </c>
      <c r="O284" s="2" t="s">
        <v>1775</v>
      </c>
      <c r="P284" s="9" t="str">
        <f>VLOOKUP($O284,'Liste des Villes'!$B$2:$B$1128,1,FALSE)</f>
        <v>Val-David</v>
      </c>
      <c r="Q284" s="9" t="str">
        <f>IFERROR($P284,PROPER(VLOOKUP($O284,'Villes en erreur'!$A$2:$B$72,2,FALSE)))</f>
        <v>Val-David</v>
      </c>
      <c r="R284" s="9" t="s">
        <v>1776</v>
      </c>
      <c r="S284" s="9" t="str">
        <f>IF(ISBLANK($R284),"",VLOOKUP($R284,'Liste des Villes'!$B$2:$H$1128,4,FALSE))</f>
        <v>Laurentides</v>
      </c>
      <c r="T284" s="2" t="s">
        <v>1940</v>
      </c>
      <c r="U284" s="2" t="s">
        <v>39</v>
      </c>
      <c r="V284" s="2" t="s">
        <v>40</v>
      </c>
      <c r="W284" s="2" t="s">
        <v>1941</v>
      </c>
      <c r="X284" s="2"/>
      <c r="Y284" s="2"/>
      <c r="Z284" s="2"/>
      <c r="AA284" s="2" t="s">
        <v>149</v>
      </c>
      <c r="AB284" s="2" t="s">
        <v>445</v>
      </c>
      <c r="AC284" s="4" t="s">
        <v>446</v>
      </c>
    </row>
    <row r="285" spans="1:29" x14ac:dyDescent="0.25">
      <c r="A285" s="1">
        <v>2501</v>
      </c>
      <c r="B285" s="17" t="s">
        <v>1942</v>
      </c>
      <c r="C285" s="2" t="s">
        <v>1943</v>
      </c>
      <c r="D285" s="15" t="s">
        <v>66</v>
      </c>
      <c r="E285" s="9" t="s">
        <v>1944</v>
      </c>
      <c r="F285" s="9" t="s">
        <v>64</v>
      </c>
      <c r="G285" s="9" t="s">
        <v>1945</v>
      </c>
      <c r="H285" s="2" t="s">
        <v>35</v>
      </c>
      <c r="I285" s="3">
        <v>28337</v>
      </c>
      <c r="J285" s="9" t="str">
        <f t="shared" ca="1" si="5"/>
        <v>46 ans</v>
      </c>
      <c r="K285" s="2" t="s">
        <v>36</v>
      </c>
      <c r="L285" s="2" t="str">
        <f>"5"</f>
        <v>5</v>
      </c>
      <c r="M285" s="2"/>
      <c r="N285" s="2" t="str">
        <f>"115E AV"</f>
        <v>115E AV</v>
      </c>
      <c r="O285" s="2" t="s">
        <v>1775</v>
      </c>
      <c r="P285" s="9" t="str">
        <f>VLOOKUP($O285,'Liste des Villes'!$B$2:$B$1128,1,FALSE)</f>
        <v>Val-David</v>
      </c>
      <c r="Q285" s="9" t="str">
        <f>IFERROR($P285,PROPER(VLOOKUP($O285,'Villes en erreur'!$A$2:$B$72,2,FALSE)))</f>
        <v>Val-David</v>
      </c>
      <c r="R285" s="9" t="s">
        <v>1776</v>
      </c>
      <c r="S285" s="9" t="str">
        <f>IF(ISBLANK($R285),"",VLOOKUP($R285,'Liste des Villes'!$B$2:$H$1128,4,FALSE))</f>
        <v>Laurentides</v>
      </c>
      <c r="T285" s="2" t="s">
        <v>1946</v>
      </c>
      <c r="U285" s="2" t="s">
        <v>39</v>
      </c>
      <c r="V285" s="2" t="s">
        <v>40</v>
      </c>
      <c r="W285" s="2" t="s">
        <v>1947</v>
      </c>
      <c r="X285" s="2"/>
      <c r="Y285" s="2"/>
      <c r="Z285" s="2"/>
      <c r="AA285" s="2" t="s">
        <v>149</v>
      </c>
      <c r="AB285" s="2" t="s">
        <v>445</v>
      </c>
      <c r="AC285" s="4" t="s">
        <v>446</v>
      </c>
    </row>
    <row r="286" spans="1:29" x14ac:dyDescent="0.25">
      <c r="A286" s="1">
        <v>3104</v>
      </c>
      <c r="B286" s="17" t="s">
        <v>1948</v>
      </c>
      <c r="C286" s="2" t="s">
        <v>1949</v>
      </c>
      <c r="D286" s="15" t="s">
        <v>1950</v>
      </c>
      <c r="E286" s="9" t="s">
        <v>277</v>
      </c>
      <c r="F286" s="9" t="s">
        <v>1951</v>
      </c>
      <c r="G286" s="9" t="s">
        <v>1952</v>
      </c>
      <c r="H286" s="2" t="s">
        <v>35</v>
      </c>
      <c r="I286" s="3">
        <v>28034</v>
      </c>
      <c r="J286" s="9" t="str">
        <f t="shared" ca="1" si="5"/>
        <v>46 ans</v>
      </c>
      <c r="K286" s="2" t="s">
        <v>36</v>
      </c>
      <c r="L286" s="2" t="str">
        <f>"4"</f>
        <v>4</v>
      </c>
      <c r="M286" s="2"/>
      <c r="N286" s="2" t="str">
        <f>"112E AV"</f>
        <v>112E AV</v>
      </c>
      <c r="O286" s="2" t="s">
        <v>1775</v>
      </c>
      <c r="P286" s="9" t="str">
        <f>VLOOKUP($O286,'Liste des Villes'!$B$2:$B$1128,1,FALSE)</f>
        <v>Val-David</v>
      </c>
      <c r="Q286" s="9" t="str">
        <f>IFERROR($P286,PROPER(VLOOKUP($O286,'Villes en erreur'!$A$2:$B$72,2,FALSE)))</f>
        <v>Val-David</v>
      </c>
      <c r="R286" s="9" t="s">
        <v>1776</v>
      </c>
      <c r="S286" s="9" t="str">
        <f>IF(ISBLANK($R286),"",VLOOKUP($R286,'Liste des Villes'!$B$2:$H$1128,4,FALSE))</f>
        <v>Laurentides</v>
      </c>
      <c r="T286" s="2" t="s">
        <v>1953</v>
      </c>
      <c r="U286" s="2" t="s">
        <v>39</v>
      </c>
      <c r="V286" s="2" t="s">
        <v>40</v>
      </c>
      <c r="W286" s="2" t="s">
        <v>1954</v>
      </c>
      <c r="X286" s="2"/>
      <c r="Y286" s="2"/>
      <c r="Z286" s="2"/>
      <c r="AA286" s="2" t="s">
        <v>149</v>
      </c>
      <c r="AB286" s="2" t="s">
        <v>445</v>
      </c>
      <c r="AC286" s="4" t="s">
        <v>446</v>
      </c>
    </row>
    <row r="287" spans="1:29" x14ac:dyDescent="0.25">
      <c r="A287" s="1">
        <v>3242</v>
      </c>
      <c r="B287" s="17" t="s">
        <v>1955</v>
      </c>
      <c r="C287" s="2" t="s">
        <v>1956</v>
      </c>
      <c r="D287" s="15" t="s">
        <v>1957</v>
      </c>
      <c r="E287" s="9" t="s">
        <v>1958</v>
      </c>
      <c r="F287" s="9" t="s">
        <v>1959</v>
      </c>
      <c r="G287" s="9" t="s">
        <v>1952</v>
      </c>
      <c r="H287" s="2" t="s">
        <v>35</v>
      </c>
      <c r="I287" s="3">
        <v>28023</v>
      </c>
      <c r="J287" s="9" t="str">
        <f t="shared" ca="1" si="5"/>
        <v>46 ans</v>
      </c>
      <c r="K287" s="2" t="s">
        <v>36</v>
      </c>
      <c r="L287" s="2" t="str">
        <f>"4"</f>
        <v>4</v>
      </c>
      <c r="M287" s="2"/>
      <c r="N287" s="2" t="str">
        <f>"112E AV"</f>
        <v>112E AV</v>
      </c>
      <c r="O287" s="2" t="s">
        <v>1775</v>
      </c>
      <c r="P287" s="9" t="str">
        <f>VLOOKUP($O287,'Liste des Villes'!$B$2:$B$1128,1,FALSE)</f>
        <v>Val-David</v>
      </c>
      <c r="Q287" s="9" t="str">
        <f>IFERROR($P287,PROPER(VLOOKUP($O287,'Villes en erreur'!$A$2:$B$72,2,FALSE)))</f>
        <v>Val-David</v>
      </c>
      <c r="R287" s="9" t="s">
        <v>1776</v>
      </c>
      <c r="S287" s="9" t="str">
        <f>IF(ISBLANK($R287),"",VLOOKUP($R287,'Liste des Villes'!$B$2:$H$1128,4,FALSE))</f>
        <v>Laurentides</v>
      </c>
      <c r="T287" s="2" t="s">
        <v>1960</v>
      </c>
      <c r="U287" s="2" t="s">
        <v>39</v>
      </c>
      <c r="V287" s="2" t="s">
        <v>40</v>
      </c>
      <c r="W287" s="2" t="s">
        <v>1961</v>
      </c>
      <c r="X287" s="2"/>
      <c r="Y287" s="2"/>
      <c r="Z287" s="2"/>
      <c r="AA287" s="2" t="s">
        <v>149</v>
      </c>
      <c r="AB287" s="2" t="s">
        <v>445</v>
      </c>
      <c r="AC287" s="4" t="s">
        <v>446</v>
      </c>
    </row>
    <row r="288" spans="1:29" x14ac:dyDescent="0.25">
      <c r="A288" s="1">
        <v>1823</v>
      </c>
      <c r="B288" s="17" t="s">
        <v>1962</v>
      </c>
      <c r="C288" s="2" t="s">
        <v>1963</v>
      </c>
      <c r="D288" s="15" t="s">
        <v>1964</v>
      </c>
      <c r="E288" s="9" t="s">
        <v>1965</v>
      </c>
      <c r="F288" s="9" t="s">
        <v>1966</v>
      </c>
      <c r="G288" s="9" t="s">
        <v>929</v>
      </c>
      <c r="H288" s="2" t="s">
        <v>35</v>
      </c>
      <c r="I288" s="3">
        <v>28376</v>
      </c>
      <c r="J288" s="9" t="str">
        <f t="shared" ca="1" si="5"/>
        <v>45 ans</v>
      </c>
      <c r="K288" s="2" t="s">
        <v>36</v>
      </c>
      <c r="L288" s="2" t="str">
        <f>"5"</f>
        <v>5</v>
      </c>
      <c r="M288" s="2"/>
      <c r="N288" s="2" t="str">
        <f>"115E AV"</f>
        <v>115E AV</v>
      </c>
      <c r="O288" s="2" t="s">
        <v>1775</v>
      </c>
      <c r="P288" s="9" t="str">
        <f>VLOOKUP($O288,'Liste des Villes'!$B$2:$B$1128,1,FALSE)</f>
        <v>Val-David</v>
      </c>
      <c r="Q288" s="9" t="str">
        <f>IFERROR($P288,PROPER(VLOOKUP($O288,'Villes en erreur'!$A$2:$B$72,2,FALSE)))</f>
        <v>Val-David</v>
      </c>
      <c r="R288" s="9" t="s">
        <v>1776</v>
      </c>
      <c r="S288" s="9" t="str">
        <f>IF(ISBLANK($R288),"",VLOOKUP($R288,'Liste des Villes'!$B$2:$H$1128,4,FALSE))</f>
        <v>Laurentides</v>
      </c>
      <c r="T288" s="2" t="s">
        <v>1967</v>
      </c>
      <c r="U288" s="2" t="s">
        <v>39</v>
      </c>
      <c r="V288" s="2" t="s">
        <v>40</v>
      </c>
      <c r="W288" s="2" t="s">
        <v>1968</v>
      </c>
      <c r="X288" s="2"/>
      <c r="Y288" s="2"/>
      <c r="Z288" s="2"/>
      <c r="AA288" s="2" t="s">
        <v>149</v>
      </c>
      <c r="AB288" s="2" t="s">
        <v>1969</v>
      </c>
      <c r="AC288" s="4" t="s">
        <v>446</v>
      </c>
    </row>
    <row r="289" spans="1:29" x14ac:dyDescent="0.25">
      <c r="A289" s="1">
        <v>789</v>
      </c>
      <c r="B289" s="17" t="s">
        <v>1970</v>
      </c>
      <c r="C289" s="2" t="s">
        <v>1971</v>
      </c>
      <c r="D289" s="15" t="s">
        <v>1972</v>
      </c>
      <c r="E289" s="9" t="s">
        <v>956</v>
      </c>
      <c r="F289" s="9" t="s">
        <v>106</v>
      </c>
      <c r="G289" s="9" t="s">
        <v>1673</v>
      </c>
      <c r="H289" s="2" t="s">
        <v>35</v>
      </c>
      <c r="I289" s="3">
        <v>27342</v>
      </c>
      <c r="J289" s="9" t="str">
        <f t="shared" ca="1" si="5"/>
        <v>48 ans</v>
      </c>
      <c r="K289" s="2" t="s">
        <v>36</v>
      </c>
      <c r="L289" s="2" t="str">
        <f>"3"</f>
        <v>3</v>
      </c>
      <c r="M289" s="2"/>
      <c r="N289" s="2" t="str">
        <f>"111E AV"</f>
        <v>111E AV</v>
      </c>
      <c r="O289" s="2" t="s">
        <v>1775</v>
      </c>
      <c r="P289" s="9" t="str">
        <f>VLOOKUP($O289,'Liste des Villes'!$B$2:$B$1128,1,FALSE)</f>
        <v>Val-David</v>
      </c>
      <c r="Q289" s="9" t="str">
        <f>IFERROR($P289,PROPER(VLOOKUP($O289,'Villes en erreur'!$A$2:$B$72,2,FALSE)))</f>
        <v>Val-David</v>
      </c>
      <c r="R289" s="9" t="s">
        <v>1776</v>
      </c>
      <c r="S289" s="9" t="str">
        <f>IF(ISBLANK($R289),"",VLOOKUP($R289,'Liste des Villes'!$B$2:$H$1128,4,FALSE))</f>
        <v>Laurentides</v>
      </c>
      <c r="T289" s="2" t="s">
        <v>1973</v>
      </c>
      <c r="U289" s="2" t="s">
        <v>39</v>
      </c>
      <c r="V289" s="2" t="s">
        <v>40</v>
      </c>
      <c r="W289" s="2" t="s">
        <v>1974</v>
      </c>
      <c r="X289" s="2"/>
      <c r="Y289" s="2"/>
      <c r="Z289" s="2"/>
      <c r="AA289" s="2" t="s">
        <v>149</v>
      </c>
      <c r="AB289" s="2" t="s">
        <v>445</v>
      </c>
      <c r="AC289" s="4" t="s">
        <v>446</v>
      </c>
    </row>
    <row r="290" spans="1:29" x14ac:dyDescent="0.25">
      <c r="A290" s="1">
        <v>1900</v>
      </c>
      <c r="B290" s="17" t="s">
        <v>1975</v>
      </c>
      <c r="C290" s="2" t="s">
        <v>1976</v>
      </c>
      <c r="D290" s="15" t="s">
        <v>1977</v>
      </c>
      <c r="E290" s="9" t="s">
        <v>1978</v>
      </c>
      <c r="F290" s="9" t="s">
        <v>1979</v>
      </c>
      <c r="G290" s="9" t="s">
        <v>1846</v>
      </c>
      <c r="H290" s="2" t="s">
        <v>35</v>
      </c>
      <c r="I290" s="3">
        <v>28151</v>
      </c>
      <c r="J290" s="9" t="str">
        <f t="shared" ca="1" si="5"/>
        <v>46 ans</v>
      </c>
      <c r="K290" s="2" t="s">
        <v>36</v>
      </c>
      <c r="L290" s="2" t="str">
        <f>"5"</f>
        <v>5</v>
      </c>
      <c r="M290" s="2"/>
      <c r="N290" s="2" t="str">
        <f>"113ÈME AVENUE"</f>
        <v>113ÈME AVENUE</v>
      </c>
      <c r="O290" s="2" t="s">
        <v>1775</v>
      </c>
      <c r="P290" s="9" t="str">
        <f>VLOOKUP($O290,'Liste des Villes'!$B$2:$B$1128,1,FALSE)</f>
        <v>Val-David</v>
      </c>
      <c r="Q290" s="9" t="str">
        <f>IFERROR($P290,PROPER(VLOOKUP($O290,'Villes en erreur'!$A$2:$B$72,2,FALSE)))</f>
        <v>Val-David</v>
      </c>
      <c r="R290" s="9" t="s">
        <v>1776</v>
      </c>
      <c r="S290" s="9" t="str">
        <f>IF(ISBLANK($R290),"",VLOOKUP($R290,'Liste des Villes'!$B$2:$H$1128,4,FALSE))</f>
        <v>Laurentides</v>
      </c>
      <c r="T290" s="2" t="s">
        <v>1980</v>
      </c>
      <c r="U290" s="2" t="s">
        <v>39</v>
      </c>
      <c r="V290" s="2" t="s">
        <v>40</v>
      </c>
      <c r="W290" s="2" t="s">
        <v>1894</v>
      </c>
      <c r="X290" s="2"/>
      <c r="Y290" s="2"/>
      <c r="Z290" s="2"/>
      <c r="AA290" s="2" t="s">
        <v>149</v>
      </c>
      <c r="AB290" s="2" t="s">
        <v>445</v>
      </c>
      <c r="AC290" s="4" t="s">
        <v>446</v>
      </c>
    </row>
    <row r="291" spans="1:29" x14ac:dyDescent="0.25">
      <c r="A291" s="1">
        <v>551</v>
      </c>
      <c r="B291" s="17" t="s">
        <v>1981</v>
      </c>
      <c r="C291" s="2" t="s">
        <v>1982</v>
      </c>
      <c r="D291" s="15" t="s">
        <v>1983</v>
      </c>
      <c r="E291" s="9" t="s">
        <v>1984</v>
      </c>
      <c r="F291" s="9" t="s">
        <v>1985</v>
      </c>
      <c r="G291" s="9" t="s">
        <v>1986</v>
      </c>
      <c r="H291" s="2" t="s">
        <v>60</v>
      </c>
      <c r="I291" s="3">
        <v>27874</v>
      </c>
      <c r="J291" s="9" t="str">
        <f t="shared" ca="1" si="5"/>
        <v>47 ans</v>
      </c>
      <c r="K291" s="2" t="s">
        <v>36</v>
      </c>
      <c r="L291" s="2" t="str">
        <f>"4"</f>
        <v>4</v>
      </c>
      <c r="M291" s="2"/>
      <c r="N291" s="2" t="str">
        <f>"112E AV"</f>
        <v>112E AV</v>
      </c>
      <c r="O291" s="2" t="s">
        <v>1775</v>
      </c>
      <c r="P291" s="9" t="str">
        <f>VLOOKUP($O291,'Liste des Villes'!$B$2:$B$1128,1,FALSE)</f>
        <v>Val-David</v>
      </c>
      <c r="Q291" s="9" t="str">
        <f>IFERROR($P291,PROPER(VLOOKUP($O291,'Villes en erreur'!$A$2:$B$72,2,FALSE)))</f>
        <v>Val-David</v>
      </c>
      <c r="R291" s="9" t="s">
        <v>1776</v>
      </c>
      <c r="S291" s="9" t="str">
        <f>IF(ISBLANK($R291),"",VLOOKUP($R291,'Liste des Villes'!$B$2:$H$1128,4,FALSE))</f>
        <v>Laurentides</v>
      </c>
      <c r="T291" s="2" t="s">
        <v>1987</v>
      </c>
      <c r="U291" s="2" t="s">
        <v>39</v>
      </c>
      <c r="V291" s="2" t="s">
        <v>40</v>
      </c>
      <c r="W291" s="2" t="s">
        <v>1988</v>
      </c>
      <c r="X291" s="2"/>
      <c r="Y291" s="2"/>
      <c r="Z291" s="2"/>
      <c r="AA291" s="2" t="s">
        <v>149</v>
      </c>
      <c r="AB291" s="2" t="s">
        <v>445</v>
      </c>
      <c r="AC291" s="4" t="s">
        <v>446</v>
      </c>
    </row>
    <row r="292" spans="1:29" x14ac:dyDescent="0.25">
      <c r="A292" s="1">
        <v>2882</v>
      </c>
      <c r="B292" s="17" t="s">
        <v>1989</v>
      </c>
      <c r="C292" s="2" t="s">
        <v>163</v>
      </c>
      <c r="D292" s="15" t="s">
        <v>164</v>
      </c>
      <c r="E292" s="9" t="s">
        <v>165</v>
      </c>
      <c r="F292" s="9" t="s">
        <v>1990</v>
      </c>
      <c r="G292" s="9" t="s">
        <v>1673</v>
      </c>
      <c r="H292" s="2" t="s">
        <v>35</v>
      </c>
      <c r="I292" s="3">
        <v>27388</v>
      </c>
      <c r="J292" s="9" t="str">
        <f t="shared" ca="1" si="5"/>
        <v>48 ans</v>
      </c>
      <c r="K292" s="2" t="s">
        <v>36</v>
      </c>
      <c r="L292" s="2" t="str">
        <f>"3"</f>
        <v>3</v>
      </c>
      <c r="M292" s="2"/>
      <c r="N292" s="2" t="str">
        <f>"111E AV O"</f>
        <v>111E AV O</v>
      </c>
      <c r="O292" s="2" t="s">
        <v>1775</v>
      </c>
      <c r="P292" s="9" t="str">
        <f>VLOOKUP($O292,'Liste des Villes'!$B$2:$B$1128,1,FALSE)</f>
        <v>Val-David</v>
      </c>
      <c r="Q292" s="9" t="str">
        <f>IFERROR($P292,PROPER(VLOOKUP($O292,'Villes en erreur'!$A$2:$B$72,2,FALSE)))</f>
        <v>Val-David</v>
      </c>
      <c r="R292" s="9" t="s">
        <v>1776</v>
      </c>
      <c r="S292" s="9" t="str">
        <f>IF(ISBLANK($R292),"",VLOOKUP($R292,'Liste des Villes'!$B$2:$H$1128,4,FALSE))</f>
        <v>Laurentides</v>
      </c>
      <c r="T292" s="2" t="s">
        <v>1991</v>
      </c>
      <c r="U292" s="2" t="s">
        <v>39</v>
      </c>
      <c r="V292" s="2" t="s">
        <v>40</v>
      </c>
      <c r="W292" s="2" t="s">
        <v>1992</v>
      </c>
      <c r="X292" s="2"/>
      <c r="Y292" s="2"/>
      <c r="Z292" s="2"/>
      <c r="AA292" s="2" t="s">
        <v>149</v>
      </c>
      <c r="AB292" s="2" t="s">
        <v>445</v>
      </c>
      <c r="AC292" s="4" t="s">
        <v>446</v>
      </c>
    </row>
    <row r="293" spans="1:29" x14ac:dyDescent="0.25">
      <c r="A293" s="1">
        <v>4384</v>
      </c>
      <c r="B293" s="17" t="s">
        <v>1993</v>
      </c>
      <c r="C293" s="2" t="s">
        <v>1994</v>
      </c>
      <c r="D293" s="15" t="s">
        <v>1995</v>
      </c>
      <c r="E293" s="9" t="s">
        <v>1996</v>
      </c>
      <c r="F293" s="9" t="s">
        <v>934</v>
      </c>
      <c r="G293" s="9" t="s">
        <v>1673</v>
      </c>
      <c r="H293" s="2" t="s">
        <v>35</v>
      </c>
      <c r="I293" s="3">
        <v>27569</v>
      </c>
      <c r="J293" s="9" t="str">
        <f t="shared" ca="1" si="5"/>
        <v>48 ans</v>
      </c>
      <c r="K293" s="2" t="s">
        <v>36</v>
      </c>
      <c r="L293" s="2" t="str">
        <f>"3"</f>
        <v>3</v>
      </c>
      <c r="M293" s="2"/>
      <c r="N293" s="2" t="str">
        <f>"111E AVENUE OUEST"</f>
        <v>111E AVENUE OUEST</v>
      </c>
      <c r="O293" s="2" t="s">
        <v>1775</v>
      </c>
      <c r="P293" s="9" t="str">
        <f>VLOOKUP($O293,'Liste des Villes'!$B$2:$B$1128,1,FALSE)</f>
        <v>Val-David</v>
      </c>
      <c r="Q293" s="9" t="str">
        <f>IFERROR($P293,PROPER(VLOOKUP($O293,'Villes en erreur'!$A$2:$B$72,2,FALSE)))</f>
        <v>Val-David</v>
      </c>
      <c r="R293" s="9" t="s">
        <v>1776</v>
      </c>
      <c r="S293" s="9" t="str">
        <f>IF(ISBLANK($R293),"",VLOOKUP($R293,'Liste des Villes'!$B$2:$H$1128,4,FALSE))</f>
        <v>Laurentides</v>
      </c>
      <c r="T293" s="2" t="s">
        <v>1997</v>
      </c>
      <c r="U293" s="2" t="s">
        <v>39</v>
      </c>
      <c r="V293" s="2" t="s">
        <v>40</v>
      </c>
      <c r="W293" s="2" t="s">
        <v>1998</v>
      </c>
      <c r="X293" s="2"/>
      <c r="Y293" s="2"/>
      <c r="Z293" s="2"/>
      <c r="AA293" s="2" t="s">
        <v>149</v>
      </c>
      <c r="AB293" s="2" t="s">
        <v>445</v>
      </c>
      <c r="AC293" s="4" t="s">
        <v>446</v>
      </c>
    </row>
    <row r="294" spans="1:29" x14ac:dyDescent="0.25">
      <c r="A294" s="1">
        <v>2922</v>
      </c>
      <c r="B294" s="17" t="s">
        <v>1999</v>
      </c>
      <c r="C294" s="2" t="s">
        <v>2000</v>
      </c>
      <c r="D294" s="15" t="s">
        <v>2001</v>
      </c>
      <c r="E294" s="9" t="s">
        <v>219</v>
      </c>
      <c r="F294" s="9" t="s">
        <v>582</v>
      </c>
      <c r="G294" s="9" t="s">
        <v>2002</v>
      </c>
      <c r="H294" s="2" t="s">
        <v>35</v>
      </c>
      <c r="I294" s="3">
        <v>28074</v>
      </c>
      <c r="J294" s="9" t="str">
        <f t="shared" ca="1" si="5"/>
        <v>46 ans</v>
      </c>
      <c r="K294" s="2" t="s">
        <v>36</v>
      </c>
      <c r="L294" s="2" t="str">
        <f>"4"</f>
        <v>4</v>
      </c>
      <c r="M294" s="2"/>
      <c r="N294" s="2" t="str">
        <f>"112E AV"</f>
        <v>112E AV</v>
      </c>
      <c r="O294" s="2" t="s">
        <v>1775</v>
      </c>
      <c r="P294" s="9" t="str">
        <f>VLOOKUP($O294,'Liste des Villes'!$B$2:$B$1128,1,FALSE)</f>
        <v>Val-David</v>
      </c>
      <c r="Q294" s="9" t="str">
        <f>IFERROR($P294,PROPER(VLOOKUP($O294,'Villes en erreur'!$A$2:$B$72,2,FALSE)))</f>
        <v>Val-David</v>
      </c>
      <c r="R294" s="9" t="s">
        <v>1776</v>
      </c>
      <c r="S294" s="9" t="str">
        <f>IF(ISBLANK($R294),"",VLOOKUP($R294,'Liste des Villes'!$B$2:$H$1128,4,FALSE))</f>
        <v>Laurentides</v>
      </c>
      <c r="T294" s="2" t="s">
        <v>1817</v>
      </c>
      <c r="U294" s="2" t="s">
        <v>39</v>
      </c>
      <c r="V294" s="2" t="s">
        <v>40</v>
      </c>
      <c r="W294" s="2" t="s">
        <v>2003</v>
      </c>
      <c r="X294" s="2"/>
      <c r="Y294" s="2"/>
      <c r="Z294" s="2"/>
      <c r="AA294" s="2" t="s">
        <v>149</v>
      </c>
      <c r="AB294" s="2" t="s">
        <v>445</v>
      </c>
      <c r="AC294" s="4" t="s">
        <v>446</v>
      </c>
    </row>
    <row r="295" spans="1:29" x14ac:dyDescent="0.25">
      <c r="A295" s="1">
        <v>4465</v>
      </c>
      <c r="B295" s="17" t="s">
        <v>2004</v>
      </c>
      <c r="C295" s="2" t="s">
        <v>1976</v>
      </c>
      <c r="D295" s="15" t="s">
        <v>1977</v>
      </c>
      <c r="E295" s="9" t="s">
        <v>1978</v>
      </c>
      <c r="F295" s="9" t="s">
        <v>2005</v>
      </c>
      <c r="G295" s="9" t="s">
        <v>1673</v>
      </c>
      <c r="H295" s="2" t="s">
        <v>35</v>
      </c>
      <c r="I295" s="3">
        <v>27177</v>
      </c>
      <c r="J295" s="9" t="str">
        <f t="shared" ca="1" si="5"/>
        <v>49 ans</v>
      </c>
      <c r="K295" s="2" t="s">
        <v>36</v>
      </c>
      <c r="L295" s="2" t="str">
        <f>"2"</f>
        <v>2</v>
      </c>
      <c r="M295" s="2"/>
      <c r="N295" s="2" t="str">
        <f>"10E RUE"</f>
        <v>10E RUE</v>
      </c>
      <c r="O295" s="2" t="s">
        <v>1775</v>
      </c>
      <c r="P295" s="9" t="str">
        <f>VLOOKUP($O295,'Liste des Villes'!$B$2:$B$1128,1,FALSE)</f>
        <v>Val-David</v>
      </c>
      <c r="Q295" s="9" t="str">
        <f>IFERROR($P295,PROPER(VLOOKUP($O295,'Villes en erreur'!$A$2:$B$72,2,FALSE)))</f>
        <v>Val-David</v>
      </c>
      <c r="R295" s="9" t="s">
        <v>1776</v>
      </c>
      <c r="S295" s="9" t="str">
        <f>IF(ISBLANK($R295),"",VLOOKUP($R295,'Liste des Villes'!$B$2:$H$1128,4,FALSE))</f>
        <v>Laurentides</v>
      </c>
      <c r="T295" s="2" t="s">
        <v>2006</v>
      </c>
      <c r="U295" s="2" t="s">
        <v>39</v>
      </c>
      <c r="V295" s="2" t="s">
        <v>40</v>
      </c>
      <c r="W295" s="2" t="s">
        <v>2007</v>
      </c>
      <c r="X295" s="2"/>
      <c r="Y295" s="2"/>
      <c r="Z295" s="2"/>
      <c r="AA295" s="2" t="s">
        <v>149</v>
      </c>
      <c r="AB295" s="2" t="s">
        <v>445</v>
      </c>
      <c r="AC295" s="4" t="s">
        <v>446</v>
      </c>
    </row>
    <row r="296" spans="1:29" x14ac:dyDescent="0.25">
      <c r="A296" s="1">
        <v>956</v>
      </c>
      <c r="B296" s="17" t="s">
        <v>2008</v>
      </c>
      <c r="C296" s="2" t="s">
        <v>2009</v>
      </c>
      <c r="D296" s="15" t="s">
        <v>1076</v>
      </c>
      <c r="E296" s="9" t="s">
        <v>332</v>
      </c>
      <c r="F296" s="9" t="s">
        <v>2010</v>
      </c>
      <c r="G296" s="9" t="s">
        <v>929</v>
      </c>
      <c r="H296" s="2" t="s">
        <v>35</v>
      </c>
      <c r="I296" s="3">
        <v>28434</v>
      </c>
      <c r="J296" s="9" t="str">
        <f t="shared" ca="1" si="5"/>
        <v>45 ans</v>
      </c>
      <c r="K296" s="2" t="s">
        <v>36</v>
      </c>
      <c r="L296" s="2" t="str">
        <f>"5"</f>
        <v>5</v>
      </c>
      <c r="M296" s="2"/>
      <c r="N296" s="2" t="str">
        <f>"115E AV"</f>
        <v>115E AV</v>
      </c>
      <c r="O296" s="2" t="s">
        <v>2011</v>
      </c>
      <c r="P296" s="9" t="str">
        <f>VLOOKUP($O296,'Liste des Villes'!$B$2:$B$1128,1,FALSE)</f>
        <v>Trois-Rivières</v>
      </c>
      <c r="Q296" s="9" t="str">
        <f>IFERROR($P296,PROPER(VLOOKUP($O296,'Villes en erreur'!$A$2:$B$72,2,FALSE)))</f>
        <v>Trois-Rivières</v>
      </c>
      <c r="R296" s="9" t="s">
        <v>2012</v>
      </c>
      <c r="S296" s="9" t="str">
        <f>IF(ISBLANK($R296),"",VLOOKUP($R296,'Liste des Villes'!$B$2:$H$1128,4,FALSE))</f>
        <v>Mauricie</v>
      </c>
      <c r="T296" s="2" t="s">
        <v>2013</v>
      </c>
      <c r="U296" s="2" t="s">
        <v>39</v>
      </c>
      <c r="V296" s="2" t="s">
        <v>40</v>
      </c>
      <c r="W296" s="2" t="s">
        <v>2014</v>
      </c>
      <c r="X296" s="2"/>
      <c r="Y296" s="2"/>
      <c r="Z296" s="2"/>
      <c r="AA296" s="2" t="s">
        <v>149</v>
      </c>
      <c r="AB296" s="2" t="s">
        <v>1969</v>
      </c>
      <c r="AC296" s="4" t="s">
        <v>446</v>
      </c>
    </row>
    <row r="297" spans="1:29" x14ac:dyDescent="0.25">
      <c r="A297" s="1">
        <v>2390</v>
      </c>
      <c r="B297" s="17" t="s">
        <v>2015</v>
      </c>
      <c r="C297" s="2" t="s">
        <v>2016</v>
      </c>
      <c r="D297" s="15" t="s">
        <v>2017</v>
      </c>
      <c r="E297" s="9" t="s">
        <v>101</v>
      </c>
      <c r="F297" s="9" t="s">
        <v>2018</v>
      </c>
      <c r="G297" s="9" t="s">
        <v>929</v>
      </c>
      <c r="H297" s="2" t="s">
        <v>35</v>
      </c>
      <c r="I297" s="3">
        <v>28498</v>
      </c>
      <c r="J297" s="9" t="str">
        <f t="shared" ca="1" si="5"/>
        <v>45 ans</v>
      </c>
      <c r="K297" s="2" t="s">
        <v>36</v>
      </c>
      <c r="L297" s="2" t="str">
        <f>"5"</f>
        <v>5</v>
      </c>
      <c r="M297" s="2"/>
      <c r="N297" s="2" t="str">
        <f>"115E AV"</f>
        <v>115E AV</v>
      </c>
      <c r="O297" s="2" t="s">
        <v>2011</v>
      </c>
      <c r="P297" s="9" t="str">
        <f>VLOOKUP($O297,'Liste des Villes'!$B$2:$B$1128,1,FALSE)</f>
        <v>Trois-Rivières</v>
      </c>
      <c r="Q297" s="9" t="str">
        <f>IFERROR($P297,PROPER(VLOOKUP($O297,'Villes en erreur'!$A$2:$B$72,2,FALSE)))</f>
        <v>Trois-Rivières</v>
      </c>
      <c r="R297" s="9" t="s">
        <v>2012</v>
      </c>
      <c r="S297" s="9" t="str">
        <f>IF(ISBLANK($R297),"",VLOOKUP($R297,'Liste des Villes'!$B$2:$H$1128,4,FALSE))</f>
        <v>Mauricie</v>
      </c>
      <c r="T297" s="2" t="s">
        <v>2019</v>
      </c>
      <c r="U297" s="2" t="s">
        <v>39</v>
      </c>
      <c r="V297" s="2" t="s">
        <v>40</v>
      </c>
      <c r="W297" s="2" t="s">
        <v>2020</v>
      </c>
      <c r="X297" s="2"/>
      <c r="Y297" s="2"/>
      <c r="Z297" s="2"/>
      <c r="AA297" s="2" t="s">
        <v>149</v>
      </c>
      <c r="AB297" s="2" t="s">
        <v>1969</v>
      </c>
      <c r="AC297" s="4" t="s">
        <v>446</v>
      </c>
    </row>
    <row r="298" spans="1:29" x14ac:dyDescent="0.25">
      <c r="A298" s="1">
        <v>2024</v>
      </c>
      <c r="B298" s="17" t="s">
        <v>2021</v>
      </c>
      <c r="C298" s="2" t="s">
        <v>2022</v>
      </c>
      <c r="D298" s="15" t="s">
        <v>2023</v>
      </c>
      <c r="E298" s="9" t="s">
        <v>616</v>
      </c>
      <c r="F298" s="9" t="s">
        <v>2024</v>
      </c>
      <c r="G298" s="9" t="s">
        <v>929</v>
      </c>
      <c r="H298" s="2" t="s">
        <v>35</v>
      </c>
      <c r="I298" s="3">
        <v>28498</v>
      </c>
      <c r="J298" s="9" t="str">
        <f t="shared" ca="1" si="5"/>
        <v>45 ans</v>
      </c>
      <c r="K298" s="2" t="s">
        <v>36</v>
      </c>
      <c r="L298" s="2" t="str">
        <f>"5"</f>
        <v>5</v>
      </c>
      <c r="M298" s="2"/>
      <c r="N298" s="2" t="str">
        <f>"115E AV"</f>
        <v>115E AV</v>
      </c>
      <c r="O298" s="2" t="s">
        <v>2011</v>
      </c>
      <c r="P298" s="9" t="str">
        <f>VLOOKUP($O298,'Liste des Villes'!$B$2:$B$1128,1,FALSE)</f>
        <v>Trois-Rivières</v>
      </c>
      <c r="Q298" s="9" t="str">
        <f>IFERROR($P298,PROPER(VLOOKUP($O298,'Villes en erreur'!$A$2:$B$72,2,FALSE)))</f>
        <v>Trois-Rivières</v>
      </c>
      <c r="R298" s="9" t="s">
        <v>2012</v>
      </c>
      <c r="S298" s="9" t="str">
        <f>IF(ISBLANK($R298),"",VLOOKUP($R298,'Liste des Villes'!$B$2:$H$1128,4,FALSE))</f>
        <v>Mauricie</v>
      </c>
      <c r="T298" s="2" t="s">
        <v>2025</v>
      </c>
      <c r="U298" s="2" t="s">
        <v>39</v>
      </c>
      <c r="V298" s="2" t="s">
        <v>40</v>
      </c>
      <c r="W298" s="2" t="s">
        <v>2026</v>
      </c>
      <c r="X298" s="2"/>
      <c r="Y298" s="2"/>
      <c r="Z298" s="2"/>
      <c r="AA298" s="2" t="s">
        <v>149</v>
      </c>
      <c r="AB298" s="2" t="s">
        <v>1969</v>
      </c>
      <c r="AC298" s="4" t="s">
        <v>446</v>
      </c>
    </row>
    <row r="299" spans="1:29" x14ac:dyDescent="0.25">
      <c r="A299" s="1">
        <v>1462</v>
      </c>
      <c r="B299" s="17" t="s">
        <v>2027</v>
      </c>
      <c r="C299" s="2" t="s">
        <v>2028</v>
      </c>
      <c r="D299" s="15" t="s">
        <v>825</v>
      </c>
      <c r="E299" s="9" t="s">
        <v>2029</v>
      </c>
      <c r="F299" s="9" t="s">
        <v>827</v>
      </c>
      <c r="G299" s="9" t="s">
        <v>929</v>
      </c>
      <c r="H299" s="2" t="s">
        <v>35</v>
      </c>
      <c r="I299" s="3">
        <v>28518</v>
      </c>
      <c r="J299" s="9" t="str">
        <f t="shared" ca="1" si="5"/>
        <v>45 ans</v>
      </c>
      <c r="K299" s="2" t="s">
        <v>36</v>
      </c>
      <c r="L299" s="2" t="str">
        <f>"5"</f>
        <v>5</v>
      </c>
      <c r="M299" s="2"/>
      <c r="N299" s="2" t="str">
        <f>"115e Avenue"</f>
        <v>115e Avenue</v>
      </c>
      <c r="O299" s="2" t="s">
        <v>2030</v>
      </c>
      <c r="P299" s="9" t="str">
        <f>VLOOKUP($O299,'Liste des Villes'!$B$2:$B$1128,1,FALSE)</f>
        <v>Thurso</v>
      </c>
      <c r="Q299" s="9" t="str">
        <f>IFERROR($P299,PROPER(VLOOKUP($O299,'Villes en erreur'!$A$2:$B$72,2,FALSE)))</f>
        <v>Thurso</v>
      </c>
      <c r="R299" s="9" t="s">
        <v>2031</v>
      </c>
      <c r="S299" s="9" t="str">
        <f>IF(ISBLANK($R299),"",VLOOKUP($R299,'Liste des Villes'!$B$2:$H$1128,4,FALSE))</f>
        <v>Outaouais</v>
      </c>
      <c r="T299" s="2" t="s">
        <v>2032</v>
      </c>
      <c r="U299" s="2" t="s">
        <v>39</v>
      </c>
      <c r="V299" s="2" t="s">
        <v>40</v>
      </c>
      <c r="W299" s="2" t="s">
        <v>2033</v>
      </c>
      <c r="X299" s="2"/>
      <c r="Y299" s="2"/>
      <c r="Z299" s="2"/>
      <c r="AA299" s="2" t="s">
        <v>149</v>
      </c>
      <c r="AB299" s="2" t="s">
        <v>1969</v>
      </c>
      <c r="AC299" s="4" t="s">
        <v>446</v>
      </c>
    </row>
    <row r="300" spans="1:29" x14ac:dyDescent="0.25">
      <c r="A300" s="1">
        <v>1964</v>
      </c>
      <c r="B300" s="17" t="s">
        <v>2034</v>
      </c>
      <c r="C300" s="2" t="s">
        <v>2035</v>
      </c>
      <c r="D300" s="15" t="s">
        <v>875</v>
      </c>
      <c r="E300" s="9" t="s">
        <v>2036</v>
      </c>
      <c r="F300" s="9" t="s">
        <v>2037</v>
      </c>
      <c r="G300" s="9" t="s">
        <v>929</v>
      </c>
      <c r="H300" s="2" t="s">
        <v>35</v>
      </c>
      <c r="I300" s="3">
        <v>28955</v>
      </c>
      <c r="J300" s="9" t="str">
        <f t="shared" ca="1" si="5"/>
        <v>44 ans</v>
      </c>
      <c r="K300" s="2" t="s">
        <v>36</v>
      </c>
      <c r="L300" s="2" t="str">
        <f>"6"</f>
        <v>6</v>
      </c>
      <c r="M300" s="2"/>
      <c r="N300" s="2" t="str">
        <f>"11E RUE"</f>
        <v>11E RUE</v>
      </c>
      <c r="O300" s="2" t="s">
        <v>2038</v>
      </c>
      <c r="P300" s="9" t="str">
        <f>VLOOKUP($O300,'Liste des Villes'!$B$2:$B$1128,1,FALSE)</f>
        <v>Terrebonne</v>
      </c>
      <c r="Q300" s="9" t="str">
        <f>IFERROR($P300,PROPER(VLOOKUP($O300,'Villes en erreur'!$A$2:$B$72,2,FALSE)))</f>
        <v>Terrebonne</v>
      </c>
      <c r="R300" s="9" t="s">
        <v>2039</v>
      </c>
      <c r="S300" s="9" t="str">
        <f>IF(ISBLANK($R300),"",VLOOKUP($R300,'Liste des Villes'!$B$2:$H$1128,4,FALSE))</f>
        <v>Lanaudière</v>
      </c>
      <c r="T300" s="2" t="s">
        <v>2040</v>
      </c>
      <c r="U300" s="2" t="s">
        <v>39</v>
      </c>
      <c r="V300" s="2" t="s">
        <v>40</v>
      </c>
      <c r="W300" s="2" t="s">
        <v>2041</v>
      </c>
      <c r="X300" s="2"/>
      <c r="Y300" s="2"/>
      <c r="Z300" s="2"/>
      <c r="AA300" s="2" t="s">
        <v>149</v>
      </c>
      <c r="AB300" s="2" t="s">
        <v>1969</v>
      </c>
      <c r="AC300" s="4" t="s">
        <v>446</v>
      </c>
    </row>
    <row r="301" spans="1:29" x14ac:dyDescent="0.25">
      <c r="A301" s="1">
        <v>772</v>
      </c>
      <c r="B301" s="17" t="s">
        <v>2042</v>
      </c>
      <c r="C301" s="2" t="s">
        <v>2043</v>
      </c>
      <c r="D301" s="15" t="s">
        <v>1554</v>
      </c>
      <c r="E301" s="9" t="s">
        <v>253</v>
      </c>
      <c r="F301" s="9" t="s">
        <v>1552</v>
      </c>
      <c r="G301" s="9" t="s">
        <v>1410</v>
      </c>
      <c r="H301" s="2" t="s">
        <v>35</v>
      </c>
      <c r="I301" s="3">
        <v>30088</v>
      </c>
      <c r="J301" s="9" t="str">
        <f t="shared" ca="1" si="5"/>
        <v>41 ans</v>
      </c>
      <c r="K301" s="2" t="s">
        <v>36</v>
      </c>
      <c r="L301" s="2" t="str">
        <f>"10"</f>
        <v>10</v>
      </c>
      <c r="M301" s="2"/>
      <c r="N301" s="2" t="str">
        <f>"19E AVENUE"</f>
        <v>19E AVENUE</v>
      </c>
      <c r="O301" s="2" t="s">
        <v>2038</v>
      </c>
      <c r="P301" s="9" t="str">
        <f>VLOOKUP($O301,'Liste des Villes'!$B$2:$B$1128,1,FALSE)</f>
        <v>Terrebonne</v>
      </c>
      <c r="Q301" s="9" t="str">
        <f>IFERROR($P301,PROPER(VLOOKUP($O301,'Villes en erreur'!$A$2:$B$72,2,FALSE)))</f>
        <v>Terrebonne</v>
      </c>
      <c r="R301" s="9" t="s">
        <v>2039</v>
      </c>
      <c r="S301" s="9" t="str">
        <f>IF(ISBLANK($R301),"",VLOOKUP($R301,'Liste des Villes'!$B$2:$H$1128,4,FALSE))</f>
        <v>Lanaudière</v>
      </c>
      <c r="T301" s="2" t="s">
        <v>2044</v>
      </c>
      <c r="U301" s="2" t="s">
        <v>39</v>
      </c>
      <c r="V301" s="2" t="s">
        <v>40</v>
      </c>
      <c r="W301" s="2" t="s">
        <v>2045</v>
      </c>
      <c r="X301" s="2"/>
      <c r="Y301" s="2"/>
      <c r="Z301" s="2"/>
      <c r="AA301" s="2" t="s">
        <v>149</v>
      </c>
      <c r="AB301" s="2" t="s">
        <v>1969</v>
      </c>
      <c r="AC301" s="4" t="s">
        <v>446</v>
      </c>
    </row>
    <row r="302" spans="1:29" x14ac:dyDescent="0.25">
      <c r="A302" s="1">
        <v>2234</v>
      </c>
      <c r="B302" s="17" t="s">
        <v>2046</v>
      </c>
      <c r="C302" s="2" t="s">
        <v>2047</v>
      </c>
      <c r="D302" s="15" t="s">
        <v>2048</v>
      </c>
      <c r="E302" s="9" t="s">
        <v>2049</v>
      </c>
      <c r="F302" s="9" t="s">
        <v>2050</v>
      </c>
      <c r="G302" s="9" t="s">
        <v>2051</v>
      </c>
      <c r="H302" s="2" t="s">
        <v>35</v>
      </c>
      <c r="I302" s="3">
        <v>29264</v>
      </c>
      <c r="J302" s="9" t="str">
        <f t="shared" ca="1" si="5"/>
        <v>43 ans</v>
      </c>
      <c r="K302" s="2" t="s">
        <v>36</v>
      </c>
      <c r="L302" s="2" t="str">
        <f>"8"</f>
        <v>8</v>
      </c>
      <c r="M302" s="2"/>
      <c r="N302" s="2" t="str">
        <f>"135E AVENUE"</f>
        <v>135E AVENUE</v>
      </c>
      <c r="O302" s="2" t="s">
        <v>2038</v>
      </c>
      <c r="P302" s="9" t="str">
        <f>VLOOKUP($O302,'Liste des Villes'!$B$2:$B$1128,1,FALSE)</f>
        <v>Terrebonne</v>
      </c>
      <c r="Q302" s="9" t="str">
        <f>IFERROR($P302,PROPER(VLOOKUP($O302,'Villes en erreur'!$A$2:$B$72,2,FALSE)))</f>
        <v>Terrebonne</v>
      </c>
      <c r="R302" s="9" t="s">
        <v>2039</v>
      </c>
      <c r="S302" s="9" t="str">
        <f>IF(ISBLANK($R302),"",VLOOKUP($R302,'Liste des Villes'!$B$2:$H$1128,4,FALSE))</f>
        <v>Lanaudière</v>
      </c>
      <c r="T302" s="2" t="s">
        <v>2052</v>
      </c>
      <c r="U302" s="2" t="s">
        <v>39</v>
      </c>
      <c r="V302" s="2" t="s">
        <v>40</v>
      </c>
      <c r="W302" s="2" t="s">
        <v>2053</v>
      </c>
      <c r="X302" s="2"/>
      <c r="Y302" s="2"/>
      <c r="Z302" s="2"/>
      <c r="AA302" s="2" t="s">
        <v>149</v>
      </c>
      <c r="AB302" s="2" t="s">
        <v>1969</v>
      </c>
      <c r="AC302" s="4" t="s">
        <v>446</v>
      </c>
    </row>
    <row r="303" spans="1:29" x14ac:dyDescent="0.25">
      <c r="A303" s="1">
        <v>1272</v>
      </c>
      <c r="B303" s="17" t="s">
        <v>2054</v>
      </c>
      <c r="C303" s="2" t="s">
        <v>2055</v>
      </c>
      <c r="D303" s="15" t="s">
        <v>2056</v>
      </c>
      <c r="E303" s="9" t="s">
        <v>539</v>
      </c>
      <c r="F303" s="9" t="s">
        <v>540</v>
      </c>
      <c r="G303" s="9" t="s">
        <v>929</v>
      </c>
      <c r="H303" s="2" t="s">
        <v>35</v>
      </c>
      <c r="I303" s="3">
        <v>28522</v>
      </c>
      <c r="J303" s="9" t="str">
        <f t="shared" ca="1" si="5"/>
        <v>45 ans</v>
      </c>
      <c r="K303" s="2" t="s">
        <v>36</v>
      </c>
      <c r="L303" s="2" t="str">
        <f>"5"</f>
        <v>5</v>
      </c>
      <c r="M303" s="2"/>
      <c r="N303" s="2" t="str">
        <f>"116E AV"</f>
        <v>116E AV</v>
      </c>
      <c r="O303" s="2" t="s">
        <v>2038</v>
      </c>
      <c r="P303" s="9" t="str">
        <f>VLOOKUP($O303,'Liste des Villes'!$B$2:$B$1128,1,FALSE)</f>
        <v>Terrebonne</v>
      </c>
      <c r="Q303" s="9" t="str">
        <f>IFERROR($P303,PROPER(VLOOKUP($O303,'Villes en erreur'!$A$2:$B$72,2,FALSE)))</f>
        <v>Terrebonne</v>
      </c>
      <c r="R303" s="9" t="s">
        <v>2039</v>
      </c>
      <c r="S303" s="9" t="str">
        <f>IF(ISBLANK($R303),"",VLOOKUP($R303,'Liste des Villes'!$B$2:$H$1128,4,FALSE))</f>
        <v>Lanaudière</v>
      </c>
      <c r="T303" s="2" t="s">
        <v>2057</v>
      </c>
      <c r="U303" s="2" t="s">
        <v>39</v>
      </c>
      <c r="V303" s="2" t="s">
        <v>40</v>
      </c>
      <c r="W303" s="2" t="s">
        <v>2058</v>
      </c>
      <c r="X303" s="2"/>
      <c r="Y303" s="2"/>
      <c r="Z303" s="2"/>
      <c r="AA303" s="2" t="s">
        <v>149</v>
      </c>
      <c r="AB303" s="2" t="s">
        <v>1969</v>
      </c>
      <c r="AC303" s="4" t="s">
        <v>446</v>
      </c>
    </row>
    <row r="304" spans="1:29" x14ac:dyDescent="0.25">
      <c r="A304" s="1">
        <v>46</v>
      </c>
      <c r="B304" s="17" t="s">
        <v>2059</v>
      </c>
      <c r="C304" s="2" t="s">
        <v>2060</v>
      </c>
      <c r="D304" s="15" t="s">
        <v>2061</v>
      </c>
      <c r="E304" s="9" t="s">
        <v>2062</v>
      </c>
      <c r="F304" s="9" t="s">
        <v>2063</v>
      </c>
      <c r="G304" s="9" t="s">
        <v>1410</v>
      </c>
      <c r="H304" s="2" t="s">
        <v>35</v>
      </c>
      <c r="I304" s="3">
        <v>30075</v>
      </c>
      <c r="J304" s="9" t="str">
        <f t="shared" ca="1" si="5"/>
        <v>41 ans</v>
      </c>
      <c r="K304" s="2" t="s">
        <v>36</v>
      </c>
      <c r="L304" s="2" t="str">
        <f>"10"</f>
        <v>10</v>
      </c>
      <c r="M304" s="2"/>
      <c r="N304" s="2" t="str">
        <f>"19E AV"</f>
        <v>19E AV</v>
      </c>
      <c r="O304" s="2" t="s">
        <v>2038</v>
      </c>
      <c r="P304" s="9" t="str">
        <f>VLOOKUP($O304,'Liste des Villes'!$B$2:$B$1128,1,FALSE)</f>
        <v>Terrebonne</v>
      </c>
      <c r="Q304" s="9" t="str">
        <f>IFERROR($P304,PROPER(VLOOKUP($O304,'Villes en erreur'!$A$2:$B$72,2,FALSE)))</f>
        <v>Terrebonne</v>
      </c>
      <c r="R304" s="9" t="s">
        <v>2039</v>
      </c>
      <c r="S304" s="9" t="str">
        <f>IF(ISBLANK($R304),"",VLOOKUP($R304,'Liste des Villes'!$B$2:$H$1128,4,FALSE))</f>
        <v>Lanaudière</v>
      </c>
      <c r="T304" s="2" t="s">
        <v>2064</v>
      </c>
      <c r="U304" s="2" t="s">
        <v>39</v>
      </c>
      <c r="V304" s="2" t="s">
        <v>40</v>
      </c>
      <c r="W304" s="2" t="s">
        <v>2065</v>
      </c>
      <c r="X304" s="2"/>
      <c r="Y304" s="2"/>
      <c r="Z304" s="2"/>
      <c r="AA304" s="2" t="s">
        <v>149</v>
      </c>
      <c r="AB304" s="2" t="s">
        <v>1969</v>
      </c>
      <c r="AC304" s="4" t="s">
        <v>446</v>
      </c>
    </row>
    <row r="305" spans="1:29" x14ac:dyDescent="0.25">
      <c r="A305" s="1">
        <v>3991</v>
      </c>
      <c r="B305" s="17" t="s">
        <v>2066</v>
      </c>
      <c r="C305" s="2" t="s">
        <v>2067</v>
      </c>
      <c r="D305" s="15" t="s">
        <v>2068</v>
      </c>
      <c r="E305" s="9" t="s">
        <v>2069</v>
      </c>
      <c r="F305" s="9" t="s">
        <v>2070</v>
      </c>
      <c r="G305" s="9" t="s">
        <v>929</v>
      </c>
      <c r="H305" s="2" t="s">
        <v>35</v>
      </c>
      <c r="I305" s="3">
        <v>28798</v>
      </c>
      <c r="J305" s="9" t="str">
        <f t="shared" ca="1" si="5"/>
        <v>44 ans</v>
      </c>
      <c r="K305" s="2" t="s">
        <v>36</v>
      </c>
      <c r="L305" s="2" t="str">
        <f>"6"</f>
        <v>6</v>
      </c>
      <c r="M305" s="2"/>
      <c r="N305" s="2" t="str">
        <f>"11E AVENUE"</f>
        <v>11E AVENUE</v>
      </c>
      <c r="O305" s="2" t="s">
        <v>2038</v>
      </c>
      <c r="P305" s="9" t="str">
        <f>VLOOKUP($O305,'Liste des Villes'!$B$2:$B$1128,1,FALSE)</f>
        <v>Terrebonne</v>
      </c>
      <c r="Q305" s="9" t="str">
        <f>IFERROR($P305,PROPER(VLOOKUP($O305,'Villes en erreur'!$A$2:$B$72,2,FALSE)))</f>
        <v>Terrebonne</v>
      </c>
      <c r="R305" s="9" t="s">
        <v>2039</v>
      </c>
      <c r="S305" s="9" t="str">
        <f>IF(ISBLANK($R305),"",VLOOKUP($R305,'Liste des Villes'!$B$2:$H$1128,4,FALSE))</f>
        <v>Lanaudière</v>
      </c>
      <c r="T305" s="2" t="s">
        <v>2071</v>
      </c>
      <c r="U305" s="2" t="s">
        <v>39</v>
      </c>
      <c r="V305" s="2" t="s">
        <v>40</v>
      </c>
      <c r="W305" s="2" t="s">
        <v>2072</v>
      </c>
      <c r="X305" s="2"/>
      <c r="Y305" s="2"/>
      <c r="Z305" s="2"/>
      <c r="AA305" s="2" t="s">
        <v>149</v>
      </c>
      <c r="AB305" s="2" t="s">
        <v>1969</v>
      </c>
      <c r="AC305" s="4" t="s">
        <v>446</v>
      </c>
    </row>
    <row r="306" spans="1:29" x14ac:dyDescent="0.25">
      <c r="A306" s="1">
        <v>1793</v>
      </c>
      <c r="B306" s="17" t="s">
        <v>2073</v>
      </c>
      <c r="C306" s="2" t="s">
        <v>2074</v>
      </c>
      <c r="D306" s="15" t="s">
        <v>2075</v>
      </c>
      <c r="E306" s="9" t="s">
        <v>253</v>
      </c>
      <c r="F306" s="9" t="s">
        <v>1552</v>
      </c>
      <c r="G306" s="9" t="s">
        <v>616</v>
      </c>
      <c r="H306" s="2" t="s">
        <v>60</v>
      </c>
      <c r="I306" s="3">
        <v>30631</v>
      </c>
      <c r="J306" s="9" t="str">
        <f t="shared" ca="1" si="5"/>
        <v>39 ans</v>
      </c>
      <c r="K306" s="2" t="s">
        <v>36</v>
      </c>
      <c r="L306" s="2" t="str">
        <f>"12"</f>
        <v>12</v>
      </c>
      <c r="M306" s="2"/>
      <c r="N306" s="2" t="str">
        <f>"21E AV"</f>
        <v>21E AV</v>
      </c>
      <c r="O306" s="2" t="s">
        <v>2038</v>
      </c>
      <c r="P306" s="9" t="str">
        <f>VLOOKUP($O306,'Liste des Villes'!$B$2:$B$1128,1,FALSE)</f>
        <v>Terrebonne</v>
      </c>
      <c r="Q306" s="9" t="str">
        <f>IFERROR($P306,PROPER(VLOOKUP($O306,'Villes en erreur'!$A$2:$B$72,2,FALSE)))</f>
        <v>Terrebonne</v>
      </c>
      <c r="R306" s="9" t="s">
        <v>2039</v>
      </c>
      <c r="S306" s="9" t="str">
        <f>IF(ISBLANK($R306),"",VLOOKUP($R306,'Liste des Villes'!$B$2:$H$1128,4,FALSE))</f>
        <v>Lanaudière</v>
      </c>
      <c r="T306" s="2" t="s">
        <v>2076</v>
      </c>
      <c r="U306" s="2" t="s">
        <v>39</v>
      </c>
      <c r="V306" s="2" t="s">
        <v>40</v>
      </c>
      <c r="W306" s="2" t="s">
        <v>2077</v>
      </c>
      <c r="X306" s="2"/>
      <c r="Y306" s="2"/>
      <c r="Z306" s="2"/>
      <c r="AA306" s="2" t="s">
        <v>149</v>
      </c>
      <c r="AB306" s="2" t="s">
        <v>150</v>
      </c>
      <c r="AC306" s="4" t="s">
        <v>44</v>
      </c>
    </row>
    <row r="307" spans="1:29" x14ac:dyDescent="0.25">
      <c r="A307" s="1">
        <v>1063</v>
      </c>
      <c r="B307" s="17" t="s">
        <v>2078</v>
      </c>
      <c r="C307" s="2" t="s">
        <v>2079</v>
      </c>
      <c r="D307" s="15" t="s">
        <v>2080</v>
      </c>
      <c r="E307" s="9" t="s">
        <v>1315</v>
      </c>
      <c r="F307" s="9" t="s">
        <v>1329</v>
      </c>
      <c r="G307" s="9" t="s">
        <v>1410</v>
      </c>
      <c r="H307" s="2" t="s">
        <v>35</v>
      </c>
      <c r="I307" s="3">
        <v>29714</v>
      </c>
      <c r="J307" s="9" t="str">
        <f t="shared" ca="1" si="5"/>
        <v>42 ans</v>
      </c>
      <c r="K307" s="2" t="s">
        <v>36</v>
      </c>
      <c r="L307" s="2" t="str">
        <f>"9"</f>
        <v>9</v>
      </c>
      <c r="M307" s="2"/>
      <c r="N307" s="2" t="str">
        <f>"15E AVENUE"</f>
        <v>15E AVENUE</v>
      </c>
      <c r="O307" s="2" t="s">
        <v>2038</v>
      </c>
      <c r="P307" s="9" t="str">
        <f>VLOOKUP($O307,'Liste des Villes'!$B$2:$B$1128,1,FALSE)</f>
        <v>Terrebonne</v>
      </c>
      <c r="Q307" s="9" t="str">
        <f>IFERROR($P307,PROPER(VLOOKUP($O307,'Villes en erreur'!$A$2:$B$72,2,FALSE)))</f>
        <v>Terrebonne</v>
      </c>
      <c r="R307" s="9" t="s">
        <v>2039</v>
      </c>
      <c r="S307" s="9" t="str">
        <f>IF(ISBLANK($R307),"",VLOOKUP($R307,'Liste des Villes'!$B$2:$H$1128,4,FALSE))</f>
        <v>Lanaudière</v>
      </c>
      <c r="T307" s="2" t="s">
        <v>2081</v>
      </c>
      <c r="U307" s="2" t="s">
        <v>39</v>
      </c>
      <c r="V307" s="2" t="s">
        <v>40</v>
      </c>
      <c r="W307" s="2" t="s">
        <v>2082</v>
      </c>
      <c r="X307" s="2"/>
      <c r="Y307" s="2"/>
      <c r="Z307" s="2"/>
      <c r="AA307" s="2" t="s">
        <v>149</v>
      </c>
      <c r="AB307" s="2" t="s">
        <v>1969</v>
      </c>
      <c r="AC307" s="4" t="s">
        <v>446</v>
      </c>
    </row>
    <row r="308" spans="1:29" x14ac:dyDescent="0.25">
      <c r="A308" s="1">
        <v>2061</v>
      </c>
      <c r="B308" s="17" t="s">
        <v>2083</v>
      </c>
      <c r="C308" s="2" t="s">
        <v>2084</v>
      </c>
      <c r="D308" s="15" t="s">
        <v>2085</v>
      </c>
      <c r="E308" s="9" t="s">
        <v>2086</v>
      </c>
      <c r="F308" s="9" t="s">
        <v>2087</v>
      </c>
      <c r="G308" s="9" t="s">
        <v>2088</v>
      </c>
      <c r="H308" s="2" t="s">
        <v>60</v>
      </c>
      <c r="I308" s="3">
        <v>30422</v>
      </c>
      <c r="J308" s="9" t="str">
        <f t="shared" ca="1" si="5"/>
        <v>40 ans</v>
      </c>
      <c r="K308" s="2" t="s">
        <v>36</v>
      </c>
      <c r="L308" s="2" t="str">
        <f>"11"</f>
        <v>11</v>
      </c>
      <c r="M308" s="2"/>
      <c r="N308" s="2" t="str">
        <f>"20E AV"</f>
        <v>20E AV</v>
      </c>
      <c r="O308" s="2" t="s">
        <v>2038</v>
      </c>
      <c r="P308" s="9" t="str">
        <f>VLOOKUP($O308,'Liste des Villes'!$B$2:$B$1128,1,FALSE)</f>
        <v>Terrebonne</v>
      </c>
      <c r="Q308" s="9" t="str">
        <f>IFERROR($P308,PROPER(VLOOKUP($O308,'Villes en erreur'!$A$2:$B$72,2,FALSE)))</f>
        <v>Terrebonne</v>
      </c>
      <c r="R308" s="9" t="s">
        <v>2039</v>
      </c>
      <c r="S308" s="9" t="str">
        <f>IF(ISBLANK($R308),"",VLOOKUP($R308,'Liste des Villes'!$B$2:$H$1128,4,FALSE))</f>
        <v>Lanaudière</v>
      </c>
      <c r="T308" s="2" t="s">
        <v>2089</v>
      </c>
      <c r="U308" s="2" t="s">
        <v>39</v>
      </c>
      <c r="V308" s="2" t="s">
        <v>40</v>
      </c>
      <c r="W308" s="2" t="s">
        <v>2090</v>
      </c>
      <c r="X308" s="2"/>
      <c r="Y308" s="2"/>
      <c r="Z308" s="2"/>
      <c r="AA308" s="2" t="s">
        <v>149</v>
      </c>
      <c r="AB308" s="2" t="s">
        <v>150</v>
      </c>
      <c r="AC308" s="4" t="s">
        <v>446</v>
      </c>
    </row>
    <row r="309" spans="1:29" x14ac:dyDescent="0.25">
      <c r="A309" s="1">
        <v>268</v>
      </c>
      <c r="B309" s="17" t="s">
        <v>2091</v>
      </c>
      <c r="C309" s="2" t="s">
        <v>2092</v>
      </c>
      <c r="D309" s="15" t="s">
        <v>2093</v>
      </c>
      <c r="E309" s="9" t="s">
        <v>172</v>
      </c>
      <c r="F309" s="9" t="s">
        <v>2094</v>
      </c>
      <c r="G309" s="9" t="s">
        <v>616</v>
      </c>
      <c r="H309" s="2" t="s">
        <v>60</v>
      </c>
      <c r="I309" s="3">
        <v>30682</v>
      </c>
      <c r="J309" s="9" t="str">
        <f t="shared" ca="1" si="5"/>
        <v>39 ans</v>
      </c>
      <c r="K309" s="2" t="s">
        <v>36</v>
      </c>
      <c r="L309" s="2" t="str">
        <f>"12"</f>
        <v>12</v>
      </c>
      <c r="M309" s="2"/>
      <c r="N309" s="2" t="str">
        <f>"21E AV"</f>
        <v>21E AV</v>
      </c>
      <c r="O309" s="2" t="s">
        <v>2038</v>
      </c>
      <c r="P309" s="9" t="str">
        <f>VLOOKUP($O309,'Liste des Villes'!$B$2:$B$1128,1,FALSE)</f>
        <v>Terrebonne</v>
      </c>
      <c r="Q309" s="9" t="str">
        <f>IFERROR($P309,PROPER(VLOOKUP($O309,'Villes en erreur'!$A$2:$B$72,2,FALSE)))</f>
        <v>Terrebonne</v>
      </c>
      <c r="R309" s="9" t="s">
        <v>2039</v>
      </c>
      <c r="S309" s="9" t="str">
        <f>IF(ISBLANK($R309),"",VLOOKUP($R309,'Liste des Villes'!$B$2:$H$1128,4,FALSE))</f>
        <v>Lanaudière</v>
      </c>
      <c r="T309" s="2" t="s">
        <v>2095</v>
      </c>
      <c r="U309" s="2" t="s">
        <v>39</v>
      </c>
      <c r="V309" s="2" t="s">
        <v>40</v>
      </c>
      <c r="W309" s="2" t="s">
        <v>2096</v>
      </c>
      <c r="X309" s="2"/>
      <c r="Y309" s="2"/>
      <c r="Z309" s="2"/>
      <c r="AA309" s="2" t="s">
        <v>149</v>
      </c>
      <c r="AB309" s="2" t="s">
        <v>150</v>
      </c>
      <c r="AC309" s="4" t="s">
        <v>44</v>
      </c>
    </row>
    <row r="310" spans="1:29" x14ac:dyDescent="0.25">
      <c r="A310" s="1">
        <v>1175</v>
      </c>
      <c r="B310" s="17" t="s">
        <v>2097</v>
      </c>
      <c r="C310" s="2" t="s">
        <v>2098</v>
      </c>
      <c r="D310" s="15" t="s">
        <v>2099</v>
      </c>
      <c r="E310" s="9" t="s">
        <v>2100</v>
      </c>
      <c r="F310" s="9" t="s">
        <v>2101</v>
      </c>
      <c r="G310" s="9" t="s">
        <v>929</v>
      </c>
      <c r="H310" s="2" t="s">
        <v>35</v>
      </c>
      <c r="I310" s="3">
        <v>28814</v>
      </c>
      <c r="J310" s="9" t="str">
        <f t="shared" ca="1" si="5"/>
        <v>44 ans</v>
      </c>
      <c r="K310" s="2" t="s">
        <v>36</v>
      </c>
      <c r="L310" s="2" t="str">
        <f>"6"</f>
        <v>6</v>
      </c>
      <c r="M310" s="2"/>
      <c r="N310" s="2" t="str">
        <f>"11E RUE"</f>
        <v>11E RUE</v>
      </c>
      <c r="O310" s="2" t="s">
        <v>2038</v>
      </c>
      <c r="P310" s="9" t="str">
        <f>VLOOKUP($O310,'Liste des Villes'!$B$2:$B$1128,1,FALSE)</f>
        <v>Terrebonne</v>
      </c>
      <c r="Q310" s="9" t="str">
        <f>IFERROR($P310,PROPER(VLOOKUP($O310,'Villes en erreur'!$A$2:$B$72,2,FALSE)))</f>
        <v>Terrebonne</v>
      </c>
      <c r="R310" s="9" t="s">
        <v>2039</v>
      </c>
      <c r="S310" s="9" t="str">
        <f>IF(ISBLANK($R310),"",VLOOKUP($R310,'Liste des Villes'!$B$2:$H$1128,4,FALSE))</f>
        <v>Lanaudière</v>
      </c>
      <c r="T310" s="2" t="s">
        <v>2102</v>
      </c>
      <c r="U310" s="2" t="s">
        <v>39</v>
      </c>
      <c r="V310" s="2" t="s">
        <v>40</v>
      </c>
      <c r="W310" s="2" t="s">
        <v>2103</v>
      </c>
      <c r="X310" s="2"/>
      <c r="Y310" s="2"/>
      <c r="Z310" s="2"/>
      <c r="AA310" s="2" t="s">
        <v>149</v>
      </c>
      <c r="AB310" s="2" t="s">
        <v>1969</v>
      </c>
      <c r="AC310" s="4" t="s">
        <v>446</v>
      </c>
    </row>
    <row r="311" spans="1:29" x14ac:dyDescent="0.25">
      <c r="A311" s="1">
        <v>488</v>
      </c>
      <c r="B311" s="17" t="s">
        <v>2104</v>
      </c>
      <c r="C311" s="2" t="s">
        <v>2105</v>
      </c>
      <c r="D311" s="15" t="s">
        <v>2106</v>
      </c>
      <c r="E311" s="9" t="s">
        <v>2107</v>
      </c>
      <c r="F311" s="9" t="s">
        <v>2108</v>
      </c>
      <c r="G311" s="9" t="s">
        <v>1410</v>
      </c>
      <c r="H311" s="2" t="s">
        <v>35</v>
      </c>
      <c r="I311" s="3">
        <v>30114</v>
      </c>
      <c r="J311" s="9" t="str">
        <f t="shared" ca="1" si="5"/>
        <v>41 ans</v>
      </c>
      <c r="K311" s="2" t="s">
        <v>36</v>
      </c>
      <c r="L311" s="2" t="str">
        <f>"10"</f>
        <v>10</v>
      </c>
      <c r="M311" s="2"/>
      <c r="N311" s="2" t="str">
        <f>"1ER BOULEVARD"</f>
        <v>1ER BOULEVARD</v>
      </c>
      <c r="O311" s="2" t="s">
        <v>2038</v>
      </c>
      <c r="P311" s="9" t="str">
        <f>VLOOKUP($O311,'Liste des Villes'!$B$2:$B$1128,1,FALSE)</f>
        <v>Terrebonne</v>
      </c>
      <c r="Q311" s="9" t="str">
        <f>IFERROR($P311,PROPER(VLOOKUP($O311,'Villes en erreur'!$A$2:$B$72,2,FALSE)))</f>
        <v>Terrebonne</v>
      </c>
      <c r="R311" s="9" t="s">
        <v>2039</v>
      </c>
      <c r="S311" s="9" t="str">
        <f>IF(ISBLANK($R311),"",VLOOKUP($R311,'Liste des Villes'!$B$2:$H$1128,4,FALSE))</f>
        <v>Lanaudière</v>
      </c>
      <c r="T311" s="2" t="s">
        <v>2109</v>
      </c>
      <c r="U311" s="2" t="s">
        <v>39</v>
      </c>
      <c r="V311" s="2" t="s">
        <v>40</v>
      </c>
      <c r="W311" s="2" t="s">
        <v>2110</v>
      </c>
      <c r="X311" s="2"/>
      <c r="Y311" s="2"/>
      <c r="Z311" s="2"/>
      <c r="AA311" s="2" t="s">
        <v>149</v>
      </c>
      <c r="AB311" s="2" t="s">
        <v>1969</v>
      </c>
      <c r="AC311" s="4" t="s">
        <v>446</v>
      </c>
    </row>
    <row r="312" spans="1:29" x14ac:dyDescent="0.25">
      <c r="A312" s="1">
        <v>2148</v>
      </c>
      <c r="B312" s="17" t="s">
        <v>2111</v>
      </c>
      <c r="C312" s="2" t="s">
        <v>2112</v>
      </c>
      <c r="D312" s="15" t="s">
        <v>2113</v>
      </c>
      <c r="E312" s="9" t="s">
        <v>2114</v>
      </c>
      <c r="F312" s="9" t="s">
        <v>2115</v>
      </c>
      <c r="G312" s="9" t="s">
        <v>929</v>
      </c>
      <c r="H312" s="2" t="s">
        <v>35</v>
      </c>
      <c r="I312" s="3">
        <v>29081</v>
      </c>
      <c r="J312" s="9" t="str">
        <f t="shared" ca="1" si="5"/>
        <v>44 ans</v>
      </c>
      <c r="K312" s="2" t="s">
        <v>36</v>
      </c>
      <c r="L312" s="2" t="str">
        <f>"7"</f>
        <v>7</v>
      </c>
      <c r="M312" s="2"/>
      <c r="N312" s="2" t="str">
        <f>"126E AV"</f>
        <v>126E AV</v>
      </c>
      <c r="O312" s="2" t="s">
        <v>2038</v>
      </c>
      <c r="P312" s="9" t="str">
        <f>VLOOKUP($O312,'Liste des Villes'!$B$2:$B$1128,1,FALSE)</f>
        <v>Terrebonne</v>
      </c>
      <c r="Q312" s="9" t="str">
        <f>IFERROR($P312,PROPER(VLOOKUP($O312,'Villes en erreur'!$A$2:$B$72,2,FALSE)))</f>
        <v>Terrebonne</v>
      </c>
      <c r="R312" s="9" t="s">
        <v>2039</v>
      </c>
      <c r="S312" s="9" t="str">
        <f>IF(ISBLANK($R312),"",VLOOKUP($R312,'Liste des Villes'!$B$2:$H$1128,4,FALSE))</f>
        <v>Lanaudière</v>
      </c>
      <c r="T312" s="2" t="s">
        <v>2116</v>
      </c>
      <c r="U312" s="2" t="s">
        <v>39</v>
      </c>
      <c r="V312" s="2" t="s">
        <v>40</v>
      </c>
      <c r="W312" s="2" t="s">
        <v>2117</v>
      </c>
      <c r="X312" s="2"/>
      <c r="Y312" s="2"/>
      <c r="Z312" s="2"/>
      <c r="AA312" s="2" t="s">
        <v>149</v>
      </c>
      <c r="AB312" s="2" t="s">
        <v>1969</v>
      </c>
      <c r="AC312" s="4" t="s">
        <v>446</v>
      </c>
    </row>
    <row r="313" spans="1:29" x14ac:dyDescent="0.25">
      <c r="A313" s="1">
        <v>1214</v>
      </c>
      <c r="B313" s="17" t="s">
        <v>2118</v>
      </c>
      <c r="C313" s="2" t="s">
        <v>2119</v>
      </c>
      <c r="D313" s="15" t="s">
        <v>684</v>
      </c>
      <c r="E313" s="9" t="s">
        <v>348</v>
      </c>
      <c r="F313" s="9" t="s">
        <v>762</v>
      </c>
      <c r="G313" s="9" t="s">
        <v>1410</v>
      </c>
      <c r="H313" s="2" t="s">
        <v>35</v>
      </c>
      <c r="I313" s="3">
        <v>30396</v>
      </c>
      <c r="J313" s="9" t="str">
        <f t="shared" ca="1" si="5"/>
        <v>40 ans</v>
      </c>
      <c r="K313" s="2" t="s">
        <v>36</v>
      </c>
      <c r="L313" s="2" t="str">
        <f>"11"</f>
        <v>11</v>
      </c>
      <c r="M313" s="2"/>
      <c r="N313" s="2" t="str">
        <f>"20E AV"</f>
        <v>20E AV</v>
      </c>
      <c r="O313" s="2" t="s">
        <v>2038</v>
      </c>
      <c r="P313" s="9" t="str">
        <f>VLOOKUP($O313,'Liste des Villes'!$B$2:$B$1128,1,FALSE)</f>
        <v>Terrebonne</v>
      </c>
      <c r="Q313" s="9" t="str">
        <f>IFERROR($P313,PROPER(VLOOKUP($O313,'Villes en erreur'!$A$2:$B$72,2,FALSE)))</f>
        <v>Terrebonne</v>
      </c>
      <c r="R313" s="9" t="s">
        <v>2039</v>
      </c>
      <c r="S313" s="9" t="str">
        <f>IF(ISBLANK($R313),"",VLOOKUP($R313,'Liste des Villes'!$B$2:$H$1128,4,FALSE))</f>
        <v>Lanaudière</v>
      </c>
      <c r="T313" s="2" t="s">
        <v>2120</v>
      </c>
      <c r="U313" s="2" t="s">
        <v>39</v>
      </c>
      <c r="V313" s="2" t="s">
        <v>40</v>
      </c>
      <c r="W313" s="2" t="s">
        <v>2121</v>
      </c>
      <c r="X313" s="2"/>
      <c r="Y313" s="2"/>
      <c r="Z313" s="2"/>
      <c r="AA313" s="2" t="s">
        <v>149</v>
      </c>
      <c r="AB313" s="2" t="s">
        <v>150</v>
      </c>
      <c r="AC313" s="4" t="s">
        <v>446</v>
      </c>
    </row>
    <row r="314" spans="1:29" x14ac:dyDescent="0.25">
      <c r="A314" s="1">
        <v>2353</v>
      </c>
      <c r="B314" s="17" t="s">
        <v>2122</v>
      </c>
      <c r="C314" s="2" t="s">
        <v>1359</v>
      </c>
      <c r="D314" s="15" t="s">
        <v>1360</v>
      </c>
      <c r="E314" s="9" t="s">
        <v>1361</v>
      </c>
      <c r="F314" s="9" t="s">
        <v>1362</v>
      </c>
      <c r="G314" s="9" t="s">
        <v>929</v>
      </c>
      <c r="H314" s="2" t="s">
        <v>35</v>
      </c>
      <c r="I314" s="3">
        <v>28843</v>
      </c>
      <c r="J314" s="9" t="str">
        <f t="shared" ca="1" si="5"/>
        <v>44 ans</v>
      </c>
      <c r="K314" s="2" t="s">
        <v>36</v>
      </c>
      <c r="L314" s="2" t="str">
        <f>"6"</f>
        <v>6</v>
      </c>
      <c r="M314" s="2"/>
      <c r="N314" s="2" t="str">
        <f>"11E RUE"</f>
        <v>11E RUE</v>
      </c>
      <c r="O314" s="2" t="s">
        <v>2038</v>
      </c>
      <c r="P314" s="9" t="str">
        <f>VLOOKUP($O314,'Liste des Villes'!$B$2:$B$1128,1,FALSE)</f>
        <v>Terrebonne</v>
      </c>
      <c r="Q314" s="9" t="str">
        <f>IFERROR($P314,PROPER(VLOOKUP($O314,'Villes en erreur'!$A$2:$B$72,2,FALSE)))</f>
        <v>Terrebonne</v>
      </c>
      <c r="R314" s="9" t="s">
        <v>2039</v>
      </c>
      <c r="S314" s="9" t="str">
        <f>IF(ISBLANK($R314),"",VLOOKUP($R314,'Liste des Villes'!$B$2:$H$1128,4,FALSE))</f>
        <v>Lanaudière</v>
      </c>
      <c r="T314" s="2" t="s">
        <v>2123</v>
      </c>
      <c r="U314" s="2" t="s">
        <v>39</v>
      </c>
      <c r="V314" s="2" t="s">
        <v>40</v>
      </c>
      <c r="W314" s="2" t="s">
        <v>2124</v>
      </c>
      <c r="X314" s="2"/>
      <c r="Y314" s="2"/>
      <c r="Z314" s="2"/>
      <c r="AA314" s="2" t="s">
        <v>149</v>
      </c>
      <c r="AB314" s="2" t="s">
        <v>1969</v>
      </c>
      <c r="AC314" s="4" t="s">
        <v>446</v>
      </c>
    </row>
    <row r="315" spans="1:29" x14ac:dyDescent="0.25">
      <c r="A315" s="1">
        <v>3460</v>
      </c>
      <c r="B315" s="17" t="s">
        <v>2125</v>
      </c>
      <c r="C315" s="2" t="s">
        <v>2126</v>
      </c>
      <c r="D315" s="15" t="s">
        <v>1024</v>
      </c>
      <c r="E315" s="9" t="s">
        <v>2127</v>
      </c>
      <c r="F315" s="9" t="s">
        <v>2128</v>
      </c>
      <c r="G315" s="9" t="s">
        <v>1410</v>
      </c>
      <c r="H315" s="2" t="s">
        <v>35</v>
      </c>
      <c r="I315" s="3">
        <v>29808</v>
      </c>
      <c r="J315" s="9" t="str">
        <f t="shared" ca="1" si="5"/>
        <v>42 ans</v>
      </c>
      <c r="K315" s="2" t="s">
        <v>36</v>
      </c>
      <c r="L315" s="2" t="str">
        <f>"9"</f>
        <v>9</v>
      </c>
      <c r="M315" s="2"/>
      <c r="N315" s="2" t="str">
        <f>"17E AV NORD"</f>
        <v>17E AV NORD</v>
      </c>
      <c r="O315" s="2" t="s">
        <v>2038</v>
      </c>
      <c r="P315" s="9" t="str">
        <f>VLOOKUP($O315,'Liste des Villes'!$B$2:$B$1128,1,FALSE)</f>
        <v>Terrebonne</v>
      </c>
      <c r="Q315" s="9" t="str">
        <f>IFERROR($P315,PROPER(VLOOKUP($O315,'Villes en erreur'!$A$2:$B$72,2,FALSE)))</f>
        <v>Terrebonne</v>
      </c>
      <c r="R315" s="9" t="s">
        <v>2039</v>
      </c>
      <c r="S315" s="9" t="str">
        <f>IF(ISBLANK($R315),"",VLOOKUP($R315,'Liste des Villes'!$B$2:$H$1128,4,FALSE))</f>
        <v>Lanaudière</v>
      </c>
      <c r="T315" s="2" t="s">
        <v>2129</v>
      </c>
      <c r="U315" s="2" t="s">
        <v>39</v>
      </c>
      <c r="V315" s="2" t="s">
        <v>40</v>
      </c>
      <c r="W315" s="2" t="s">
        <v>2130</v>
      </c>
      <c r="X315" s="2"/>
      <c r="Y315" s="2"/>
      <c r="Z315" s="2"/>
      <c r="AA315" s="2" t="s">
        <v>149</v>
      </c>
      <c r="AB315" s="2" t="s">
        <v>1969</v>
      </c>
      <c r="AC315" s="4" t="s">
        <v>446</v>
      </c>
    </row>
    <row r="316" spans="1:29" x14ac:dyDescent="0.25">
      <c r="A316" s="1">
        <v>1780</v>
      </c>
      <c r="B316" s="17" t="s">
        <v>2131</v>
      </c>
      <c r="C316" s="2" t="s">
        <v>2132</v>
      </c>
      <c r="D316" s="15" t="s">
        <v>2133</v>
      </c>
      <c r="E316" s="9" t="s">
        <v>2134</v>
      </c>
      <c r="F316" s="9" t="s">
        <v>225</v>
      </c>
      <c r="G316" s="9" t="s">
        <v>219</v>
      </c>
      <c r="H316" s="2" t="s">
        <v>35</v>
      </c>
      <c r="I316" s="3">
        <v>30827</v>
      </c>
      <c r="J316" s="9" t="str">
        <f t="shared" ca="1" si="5"/>
        <v>39 ans</v>
      </c>
      <c r="K316" s="2" t="s">
        <v>36</v>
      </c>
      <c r="L316" s="2" t="str">
        <f>"12"</f>
        <v>12</v>
      </c>
      <c r="M316" s="2"/>
      <c r="N316" s="2" t="str">
        <f>"22E AV"</f>
        <v>22E AV</v>
      </c>
      <c r="O316" s="2" t="s">
        <v>2038</v>
      </c>
      <c r="P316" s="9" t="str">
        <f>VLOOKUP($O316,'Liste des Villes'!$B$2:$B$1128,1,FALSE)</f>
        <v>Terrebonne</v>
      </c>
      <c r="Q316" s="9" t="str">
        <f>IFERROR($P316,PROPER(VLOOKUP($O316,'Villes en erreur'!$A$2:$B$72,2,FALSE)))</f>
        <v>Terrebonne</v>
      </c>
      <c r="R316" s="9" t="s">
        <v>2039</v>
      </c>
      <c r="S316" s="9" t="str">
        <f>IF(ISBLANK($R316),"",VLOOKUP($R316,'Liste des Villes'!$B$2:$H$1128,4,FALSE))</f>
        <v>Lanaudière</v>
      </c>
      <c r="T316" s="2" t="s">
        <v>2135</v>
      </c>
      <c r="U316" s="2" t="s">
        <v>39</v>
      </c>
      <c r="V316" s="2" t="s">
        <v>40</v>
      </c>
      <c r="W316" s="2" t="s">
        <v>2136</v>
      </c>
      <c r="X316" s="2"/>
      <c r="Y316" s="2"/>
      <c r="Z316" s="2"/>
      <c r="AA316" s="2" t="s">
        <v>149</v>
      </c>
      <c r="AB316" s="2" t="s">
        <v>150</v>
      </c>
      <c r="AC316" s="4" t="s">
        <v>44</v>
      </c>
    </row>
    <row r="317" spans="1:29" x14ac:dyDescent="0.25">
      <c r="A317" s="1">
        <v>150</v>
      </c>
      <c r="B317" s="17" t="s">
        <v>2137</v>
      </c>
      <c r="C317" s="2" t="s">
        <v>2138</v>
      </c>
      <c r="D317" s="15" t="s">
        <v>2139</v>
      </c>
      <c r="E317" s="9" t="s">
        <v>2140</v>
      </c>
      <c r="F317" s="9" t="s">
        <v>2141</v>
      </c>
      <c r="G317" s="9" t="s">
        <v>2142</v>
      </c>
      <c r="H317" s="2" t="s">
        <v>35</v>
      </c>
      <c r="I317" s="3">
        <v>30400</v>
      </c>
      <c r="J317" s="9" t="str">
        <f t="shared" ca="1" si="5"/>
        <v>40 ans</v>
      </c>
      <c r="K317" s="2" t="s">
        <v>36</v>
      </c>
      <c r="L317" s="2" t="str">
        <f>"11"</f>
        <v>11</v>
      </c>
      <c r="M317" s="2"/>
      <c r="N317" s="2" t="str">
        <f>"20E AV"</f>
        <v>20E AV</v>
      </c>
      <c r="O317" s="2" t="s">
        <v>2038</v>
      </c>
      <c r="P317" s="9" t="str">
        <f>VLOOKUP($O317,'Liste des Villes'!$B$2:$B$1128,1,FALSE)</f>
        <v>Terrebonne</v>
      </c>
      <c r="Q317" s="9" t="str">
        <f>IFERROR($P317,PROPER(VLOOKUP($O317,'Villes en erreur'!$A$2:$B$72,2,FALSE)))</f>
        <v>Terrebonne</v>
      </c>
      <c r="R317" s="9" t="s">
        <v>2039</v>
      </c>
      <c r="S317" s="9" t="str">
        <f>IF(ISBLANK($R317),"",VLOOKUP($R317,'Liste des Villes'!$B$2:$H$1128,4,FALSE))</f>
        <v>Lanaudière</v>
      </c>
      <c r="T317" s="2" t="s">
        <v>2143</v>
      </c>
      <c r="U317" s="2" t="s">
        <v>39</v>
      </c>
      <c r="V317" s="2" t="s">
        <v>40</v>
      </c>
      <c r="W317" s="2" t="s">
        <v>2144</v>
      </c>
      <c r="X317" s="2"/>
      <c r="Y317" s="2"/>
      <c r="Z317" s="2"/>
      <c r="AA317" s="2" t="s">
        <v>149</v>
      </c>
      <c r="AB317" s="2" t="s">
        <v>150</v>
      </c>
      <c r="AC317" s="4" t="s">
        <v>446</v>
      </c>
    </row>
    <row r="318" spans="1:29" x14ac:dyDescent="0.25">
      <c r="A318" s="1">
        <v>2459</v>
      </c>
      <c r="B318" s="17" t="s">
        <v>2145</v>
      </c>
      <c r="C318" s="2" t="s">
        <v>2146</v>
      </c>
      <c r="D318" s="15" t="s">
        <v>2147</v>
      </c>
      <c r="E318" s="9" t="s">
        <v>775</v>
      </c>
      <c r="F318" s="9" t="s">
        <v>2148</v>
      </c>
      <c r="G318" s="9" t="s">
        <v>219</v>
      </c>
      <c r="H318" s="2" t="s">
        <v>35</v>
      </c>
      <c r="I318" s="3">
        <v>30736</v>
      </c>
      <c r="J318" s="9" t="str">
        <f t="shared" ca="1" si="5"/>
        <v>39 ans</v>
      </c>
      <c r="K318" s="2" t="s">
        <v>36</v>
      </c>
      <c r="L318" s="2" t="str">
        <f>"12"</f>
        <v>12</v>
      </c>
      <c r="M318" s="2"/>
      <c r="N318" s="2" t="str">
        <f>"220E AV"</f>
        <v>220E AV</v>
      </c>
      <c r="O318" s="2" t="s">
        <v>2038</v>
      </c>
      <c r="P318" s="9" t="str">
        <f>VLOOKUP($O318,'Liste des Villes'!$B$2:$B$1128,1,FALSE)</f>
        <v>Terrebonne</v>
      </c>
      <c r="Q318" s="9" t="str">
        <f>IFERROR($P318,PROPER(VLOOKUP($O318,'Villes en erreur'!$A$2:$B$72,2,FALSE)))</f>
        <v>Terrebonne</v>
      </c>
      <c r="R318" s="9" t="s">
        <v>2039</v>
      </c>
      <c r="S318" s="9" t="str">
        <f>IF(ISBLANK($R318),"",VLOOKUP($R318,'Liste des Villes'!$B$2:$H$1128,4,FALSE))</f>
        <v>Lanaudière</v>
      </c>
      <c r="T318" s="2" t="s">
        <v>2149</v>
      </c>
      <c r="U318" s="2" t="s">
        <v>39</v>
      </c>
      <c r="V318" s="2" t="s">
        <v>40</v>
      </c>
      <c r="W318" s="2" t="s">
        <v>2150</v>
      </c>
      <c r="X318" s="2"/>
      <c r="Y318" s="2"/>
      <c r="Z318" s="2"/>
      <c r="AA318" s="2" t="s">
        <v>149</v>
      </c>
      <c r="AB318" s="2" t="s">
        <v>150</v>
      </c>
      <c r="AC318" s="4" t="s">
        <v>44</v>
      </c>
    </row>
    <row r="319" spans="1:29" x14ac:dyDescent="0.25">
      <c r="A319" s="1">
        <v>3169</v>
      </c>
      <c r="B319" s="17" t="s">
        <v>2151</v>
      </c>
      <c r="C319" s="2" t="s">
        <v>2152</v>
      </c>
      <c r="D319" s="15" t="s">
        <v>2153</v>
      </c>
      <c r="E319" s="9" t="s">
        <v>664</v>
      </c>
      <c r="F319" s="9" t="s">
        <v>2154</v>
      </c>
      <c r="G319" s="9" t="s">
        <v>929</v>
      </c>
      <c r="H319" s="2" t="s">
        <v>35</v>
      </c>
      <c r="I319" s="3">
        <v>28897</v>
      </c>
      <c r="J319" s="9" t="str">
        <f t="shared" ca="1" si="5"/>
        <v>44 ans</v>
      </c>
      <c r="K319" s="2" t="s">
        <v>36</v>
      </c>
      <c r="L319" s="2" t="str">
        <f>"6"</f>
        <v>6</v>
      </c>
      <c r="M319" s="2"/>
      <c r="N319" s="2" t="str">
        <f>"11E RUE"</f>
        <v>11E RUE</v>
      </c>
      <c r="O319" s="2" t="s">
        <v>2038</v>
      </c>
      <c r="P319" s="9" t="str">
        <f>VLOOKUP($O319,'Liste des Villes'!$B$2:$B$1128,1,FALSE)</f>
        <v>Terrebonne</v>
      </c>
      <c r="Q319" s="9" t="str">
        <f>IFERROR($P319,PROPER(VLOOKUP($O319,'Villes en erreur'!$A$2:$B$72,2,FALSE)))</f>
        <v>Terrebonne</v>
      </c>
      <c r="R319" s="9" t="s">
        <v>2039</v>
      </c>
      <c r="S319" s="9" t="str">
        <f>IF(ISBLANK($R319),"",VLOOKUP($R319,'Liste des Villes'!$B$2:$H$1128,4,FALSE))</f>
        <v>Lanaudière</v>
      </c>
      <c r="T319" s="2" t="s">
        <v>2155</v>
      </c>
      <c r="U319" s="2" t="s">
        <v>39</v>
      </c>
      <c r="V319" s="2" t="s">
        <v>40</v>
      </c>
      <c r="W319" s="2" t="s">
        <v>2156</v>
      </c>
      <c r="X319" s="2"/>
      <c r="Y319" s="2"/>
      <c r="Z319" s="2"/>
      <c r="AA319" s="2" t="s">
        <v>149</v>
      </c>
      <c r="AB319" s="2" t="s">
        <v>1969</v>
      </c>
      <c r="AC319" s="4" t="s">
        <v>446</v>
      </c>
    </row>
    <row r="320" spans="1:29" x14ac:dyDescent="0.25">
      <c r="A320" s="1">
        <v>4004</v>
      </c>
      <c r="B320" s="17" t="s">
        <v>2157</v>
      </c>
      <c r="C320" s="2" t="s">
        <v>2158</v>
      </c>
      <c r="D320" s="15" t="s">
        <v>2159</v>
      </c>
      <c r="E320" s="9" t="s">
        <v>2160</v>
      </c>
      <c r="F320" s="9" t="s">
        <v>2161</v>
      </c>
      <c r="G320" s="9" t="s">
        <v>929</v>
      </c>
      <c r="H320" s="2" t="s">
        <v>35</v>
      </c>
      <c r="I320" s="3">
        <v>29161</v>
      </c>
      <c r="J320" s="9" t="str">
        <f t="shared" ca="1" si="5"/>
        <v>43 ans</v>
      </c>
      <c r="K320" s="2" t="s">
        <v>36</v>
      </c>
      <c r="L320" s="2" t="str">
        <f>"7"</f>
        <v>7</v>
      </c>
      <c r="M320" s="2"/>
      <c r="N320" s="2" t="str">
        <f>"129E AVENUE"</f>
        <v>129E AVENUE</v>
      </c>
      <c r="O320" s="2" t="s">
        <v>2038</v>
      </c>
      <c r="P320" s="9" t="str">
        <f>VLOOKUP($O320,'Liste des Villes'!$B$2:$B$1128,1,FALSE)</f>
        <v>Terrebonne</v>
      </c>
      <c r="Q320" s="9" t="str">
        <f>IFERROR($P320,PROPER(VLOOKUP($O320,'Villes en erreur'!$A$2:$B$72,2,FALSE)))</f>
        <v>Terrebonne</v>
      </c>
      <c r="R320" s="9" t="s">
        <v>2039</v>
      </c>
      <c r="S320" s="9" t="str">
        <f>IF(ISBLANK($R320),"",VLOOKUP($R320,'Liste des Villes'!$B$2:$H$1128,4,FALSE))</f>
        <v>Lanaudière</v>
      </c>
      <c r="T320" s="2" t="s">
        <v>2162</v>
      </c>
      <c r="U320" s="2" t="s">
        <v>39</v>
      </c>
      <c r="V320" s="2" t="s">
        <v>40</v>
      </c>
      <c r="W320" s="2" t="s">
        <v>2163</v>
      </c>
      <c r="X320" s="2"/>
      <c r="Y320" s="2"/>
      <c r="Z320" s="2"/>
      <c r="AA320" s="2" t="s">
        <v>149</v>
      </c>
      <c r="AB320" s="2" t="s">
        <v>1969</v>
      </c>
      <c r="AC320" s="4" t="s">
        <v>446</v>
      </c>
    </row>
    <row r="321" spans="1:29" x14ac:dyDescent="0.25">
      <c r="A321" s="1">
        <v>3695</v>
      </c>
      <c r="B321" s="17" t="s">
        <v>2164</v>
      </c>
      <c r="C321" s="2" t="s">
        <v>2165</v>
      </c>
      <c r="D321" s="15" t="s">
        <v>2166</v>
      </c>
      <c r="E321" s="9" t="s">
        <v>109</v>
      </c>
      <c r="F321" s="9" t="s">
        <v>1360</v>
      </c>
      <c r="G321" s="9" t="s">
        <v>1410</v>
      </c>
      <c r="H321" s="2" t="s">
        <v>35</v>
      </c>
      <c r="I321" s="3">
        <v>29917</v>
      </c>
      <c r="J321" s="9" t="str">
        <f t="shared" ca="1" si="5"/>
        <v>41 ans</v>
      </c>
      <c r="K321" s="2" t="s">
        <v>36</v>
      </c>
      <c r="L321" s="2" t="str">
        <f>"10"</f>
        <v>10</v>
      </c>
      <c r="M321" s="2"/>
      <c r="N321" s="2" t="str">
        <f>"17ÈME AVENUE"</f>
        <v>17ÈME AVENUE</v>
      </c>
      <c r="O321" s="2" t="s">
        <v>2038</v>
      </c>
      <c r="P321" s="9" t="str">
        <f>VLOOKUP($O321,'Liste des Villes'!$B$2:$B$1128,1,FALSE)</f>
        <v>Terrebonne</v>
      </c>
      <c r="Q321" s="9" t="str">
        <f>IFERROR($P321,PROPER(VLOOKUP($O321,'Villes en erreur'!$A$2:$B$72,2,FALSE)))</f>
        <v>Terrebonne</v>
      </c>
      <c r="R321" s="9" t="s">
        <v>2039</v>
      </c>
      <c r="S321" s="9" t="str">
        <f>IF(ISBLANK($R321),"",VLOOKUP($R321,'Liste des Villes'!$B$2:$H$1128,4,FALSE))</f>
        <v>Lanaudière</v>
      </c>
      <c r="T321" s="2" t="s">
        <v>2167</v>
      </c>
      <c r="U321" s="2" t="s">
        <v>39</v>
      </c>
      <c r="V321" s="2" t="s">
        <v>40</v>
      </c>
      <c r="W321" s="2" t="s">
        <v>2168</v>
      </c>
      <c r="X321" s="2"/>
      <c r="Y321" s="2"/>
      <c r="Z321" s="2"/>
      <c r="AA321" s="2" t="s">
        <v>149</v>
      </c>
      <c r="AB321" s="2" t="s">
        <v>1969</v>
      </c>
      <c r="AC321" s="4" t="s">
        <v>446</v>
      </c>
    </row>
    <row r="322" spans="1:29" x14ac:dyDescent="0.25">
      <c r="A322" s="1">
        <v>3705</v>
      </c>
      <c r="B322" s="17" t="s">
        <v>2169</v>
      </c>
      <c r="C322" s="2" t="s">
        <v>1348</v>
      </c>
      <c r="D322" s="15" t="s">
        <v>1349</v>
      </c>
      <c r="E322" s="9" t="s">
        <v>380</v>
      </c>
      <c r="F322" s="9" t="s">
        <v>2170</v>
      </c>
      <c r="G322" s="9" t="s">
        <v>1410</v>
      </c>
      <c r="H322" s="2" t="s">
        <v>35</v>
      </c>
      <c r="I322" s="3">
        <v>29326</v>
      </c>
      <c r="J322" s="9" t="str">
        <f t="shared" ref="J322:J385" ca="1" si="6">_xlfn.CONCAT(INT((TODAY()-$I322)/365.25)," ans")</f>
        <v>43 ans</v>
      </c>
      <c r="K322" s="2" t="s">
        <v>36</v>
      </c>
      <c r="L322" s="2" t="str">
        <f>"8"</f>
        <v>8</v>
      </c>
      <c r="M322" s="2"/>
      <c r="N322" s="2" t="str">
        <f>"13E AVENUE"</f>
        <v>13E AVENUE</v>
      </c>
      <c r="O322" s="2" t="s">
        <v>2038</v>
      </c>
      <c r="P322" s="9" t="str">
        <f>VLOOKUP($O322,'Liste des Villes'!$B$2:$B$1128,1,FALSE)</f>
        <v>Terrebonne</v>
      </c>
      <c r="Q322" s="9" t="str">
        <f>IFERROR($P322,PROPER(VLOOKUP($O322,'Villes en erreur'!$A$2:$B$72,2,FALSE)))</f>
        <v>Terrebonne</v>
      </c>
      <c r="R322" s="9" t="s">
        <v>2039</v>
      </c>
      <c r="S322" s="9" t="str">
        <f>IF(ISBLANK($R322),"",VLOOKUP($R322,'Liste des Villes'!$B$2:$H$1128,4,FALSE))</f>
        <v>Lanaudière</v>
      </c>
      <c r="T322" s="2" t="s">
        <v>2171</v>
      </c>
      <c r="U322" s="2" t="s">
        <v>39</v>
      </c>
      <c r="V322" s="2" t="s">
        <v>40</v>
      </c>
      <c r="W322" s="2" t="s">
        <v>2172</v>
      </c>
      <c r="X322" s="2"/>
      <c r="Y322" s="2"/>
      <c r="Z322" s="2"/>
      <c r="AA322" s="2" t="s">
        <v>149</v>
      </c>
      <c r="AB322" s="2" t="s">
        <v>1969</v>
      </c>
      <c r="AC322" s="4" t="s">
        <v>446</v>
      </c>
    </row>
    <row r="323" spans="1:29" x14ac:dyDescent="0.25">
      <c r="A323" s="1">
        <v>4173</v>
      </c>
      <c r="B323" s="17" t="s">
        <v>2173</v>
      </c>
      <c r="C323" s="2" t="s">
        <v>2174</v>
      </c>
      <c r="D323" s="15" t="s">
        <v>166</v>
      </c>
      <c r="E323" s="9" t="s">
        <v>2175</v>
      </c>
      <c r="F323" s="9" t="s">
        <v>2176</v>
      </c>
      <c r="G323" s="9" t="s">
        <v>929</v>
      </c>
      <c r="H323" s="2" t="s">
        <v>35</v>
      </c>
      <c r="I323" s="3">
        <v>28781</v>
      </c>
      <c r="J323" s="9" t="str">
        <f t="shared" ca="1" si="6"/>
        <v>44 ans</v>
      </c>
      <c r="K323" s="2" t="s">
        <v>36</v>
      </c>
      <c r="L323" s="2" t="str">
        <f>"6"</f>
        <v>6</v>
      </c>
      <c r="M323" s="2"/>
      <c r="N323" s="2" t="str">
        <f>"11E AV"</f>
        <v>11E AV</v>
      </c>
      <c r="O323" s="2" t="s">
        <v>2038</v>
      </c>
      <c r="P323" s="9" t="str">
        <f>VLOOKUP($O323,'Liste des Villes'!$B$2:$B$1128,1,FALSE)</f>
        <v>Terrebonne</v>
      </c>
      <c r="Q323" s="9" t="str">
        <f>IFERROR($P323,PROPER(VLOOKUP($O323,'Villes en erreur'!$A$2:$B$72,2,FALSE)))</f>
        <v>Terrebonne</v>
      </c>
      <c r="R323" s="9" t="s">
        <v>2039</v>
      </c>
      <c r="S323" s="9" t="str">
        <f>IF(ISBLANK($R323),"",VLOOKUP($R323,'Liste des Villes'!$B$2:$H$1128,4,FALSE))</f>
        <v>Lanaudière</v>
      </c>
      <c r="T323" s="2" t="s">
        <v>2177</v>
      </c>
      <c r="U323" s="2" t="s">
        <v>39</v>
      </c>
      <c r="V323" s="2" t="s">
        <v>40</v>
      </c>
      <c r="W323" s="2" t="s">
        <v>2178</v>
      </c>
      <c r="X323" s="2"/>
      <c r="Y323" s="2"/>
      <c r="Z323" s="2"/>
      <c r="AA323" s="2" t="s">
        <v>149</v>
      </c>
      <c r="AB323" s="2" t="s">
        <v>1969</v>
      </c>
      <c r="AC323" s="4" t="s">
        <v>446</v>
      </c>
    </row>
    <row r="324" spans="1:29" x14ac:dyDescent="0.25">
      <c r="A324" s="1">
        <v>3545</v>
      </c>
      <c r="B324" s="17" t="s">
        <v>2179</v>
      </c>
      <c r="C324" s="2" t="s">
        <v>2180</v>
      </c>
      <c r="D324" s="15" t="s">
        <v>2181</v>
      </c>
      <c r="E324" s="9" t="s">
        <v>2182</v>
      </c>
      <c r="F324" s="9" t="s">
        <v>304</v>
      </c>
      <c r="G324" s="9" t="s">
        <v>1410</v>
      </c>
      <c r="H324" s="2" t="s">
        <v>35</v>
      </c>
      <c r="I324" s="3">
        <v>29321</v>
      </c>
      <c r="J324" s="9" t="str">
        <f t="shared" ca="1" si="6"/>
        <v>43 ans</v>
      </c>
      <c r="K324" s="2" t="s">
        <v>36</v>
      </c>
      <c r="L324" s="2" t="str">
        <f>"8"</f>
        <v>8</v>
      </c>
      <c r="M324" s="2"/>
      <c r="N324" s="2" t="str">
        <f>"13E AV"</f>
        <v>13E AV</v>
      </c>
      <c r="O324" s="2" t="s">
        <v>2038</v>
      </c>
      <c r="P324" s="9" t="str">
        <f>VLOOKUP($O324,'Liste des Villes'!$B$2:$B$1128,1,FALSE)</f>
        <v>Terrebonne</v>
      </c>
      <c r="Q324" s="9" t="str">
        <f>IFERROR($P324,PROPER(VLOOKUP($O324,'Villes en erreur'!$A$2:$B$72,2,FALSE)))</f>
        <v>Terrebonne</v>
      </c>
      <c r="R324" s="9" t="s">
        <v>2039</v>
      </c>
      <c r="S324" s="9" t="str">
        <f>IF(ISBLANK($R324),"",VLOOKUP($R324,'Liste des Villes'!$B$2:$H$1128,4,FALSE))</f>
        <v>Lanaudière</v>
      </c>
      <c r="T324" s="2" t="s">
        <v>2183</v>
      </c>
      <c r="U324" s="2" t="s">
        <v>39</v>
      </c>
      <c r="V324" s="2" t="s">
        <v>40</v>
      </c>
      <c r="W324" s="2" t="s">
        <v>2184</v>
      </c>
      <c r="X324" s="2"/>
      <c r="Y324" s="2"/>
      <c r="Z324" s="2"/>
      <c r="AA324" s="2" t="s">
        <v>149</v>
      </c>
      <c r="AB324" s="2" t="s">
        <v>1969</v>
      </c>
      <c r="AC324" s="4" t="s">
        <v>446</v>
      </c>
    </row>
    <row r="325" spans="1:29" x14ac:dyDescent="0.25">
      <c r="A325" s="1">
        <v>2329</v>
      </c>
      <c r="B325" s="17" t="s">
        <v>2185</v>
      </c>
      <c r="C325" s="2" t="s">
        <v>2186</v>
      </c>
      <c r="D325" s="15" t="s">
        <v>2187</v>
      </c>
      <c r="E325" s="9" t="s">
        <v>610</v>
      </c>
      <c r="F325" s="9" t="s">
        <v>2188</v>
      </c>
      <c r="G325" s="9" t="s">
        <v>929</v>
      </c>
      <c r="H325" s="2" t="s">
        <v>35</v>
      </c>
      <c r="I325" s="3">
        <v>28730</v>
      </c>
      <c r="J325" s="9" t="str">
        <f t="shared" ca="1" si="6"/>
        <v>44 ans</v>
      </c>
      <c r="K325" s="2" t="s">
        <v>36</v>
      </c>
      <c r="L325" s="2" t="str">
        <f>"5"</f>
        <v>5</v>
      </c>
      <c r="M325" s="2"/>
      <c r="N325" s="2" t="str">
        <f>"119IÈME AVENUE"</f>
        <v>119IÈME AVENUE</v>
      </c>
      <c r="O325" s="2" t="s">
        <v>2038</v>
      </c>
      <c r="P325" s="9" t="str">
        <f>VLOOKUP($O325,'Liste des Villes'!$B$2:$B$1128,1,FALSE)</f>
        <v>Terrebonne</v>
      </c>
      <c r="Q325" s="9" t="str">
        <f>IFERROR($P325,PROPER(VLOOKUP($O325,'Villes en erreur'!$A$2:$B$72,2,FALSE)))</f>
        <v>Terrebonne</v>
      </c>
      <c r="R325" s="9" t="s">
        <v>2039</v>
      </c>
      <c r="S325" s="9" t="str">
        <f>IF(ISBLANK($R325),"",VLOOKUP($R325,'Liste des Villes'!$B$2:$H$1128,4,FALSE))</f>
        <v>Lanaudière</v>
      </c>
      <c r="T325" s="2" t="s">
        <v>2189</v>
      </c>
      <c r="U325" s="2" t="s">
        <v>39</v>
      </c>
      <c r="V325" s="2" t="s">
        <v>40</v>
      </c>
      <c r="W325" s="2" t="s">
        <v>2190</v>
      </c>
      <c r="X325" s="2"/>
      <c r="Y325" s="2"/>
      <c r="Z325" s="2"/>
      <c r="AA325" s="2" t="s">
        <v>149</v>
      </c>
      <c r="AB325" s="2" t="s">
        <v>1969</v>
      </c>
      <c r="AC325" s="4" t="s">
        <v>446</v>
      </c>
    </row>
    <row r="326" spans="1:29" x14ac:dyDescent="0.25">
      <c r="A326" s="1">
        <v>641</v>
      </c>
      <c r="B326" s="17" t="s">
        <v>2191</v>
      </c>
      <c r="C326" s="2" t="s">
        <v>2192</v>
      </c>
      <c r="D326" s="15" t="s">
        <v>1509</v>
      </c>
      <c r="E326" s="9" t="s">
        <v>233</v>
      </c>
      <c r="F326" s="9" t="s">
        <v>1508</v>
      </c>
      <c r="G326" s="9" t="s">
        <v>1410</v>
      </c>
      <c r="H326" s="2" t="s">
        <v>35</v>
      </c>
      <c r="I326" s="3">
        <v>29677</v>
      </c>
      <c r="J326" s="9" t="str">
        <f t="shared" ca="1" si="6"/>
        <v>42 ans</v>
      </c>
      <c r="K326" s="2" t="s">
        <v>36</v>
      </c>
      <c r="L326" s="2" t="str">
        <f>"9"</f>
        <v>9</v>
      </c>
      <c r="M326" s="2"/>
      <c r="N326" s="2" t="str">
        <f>"15E AVENUE"</f>
        <v>15E AVENUE</v>
      </c>
      <c r="O326" s="2" t="s">
        <v>2038</v>
      </c>
      <c r="P326" s="9" t="str">
        <f>VLOOKUP($O326,'Liste des Villes'!$B$2:$B$1128,1,FALSE)</f>
        <v>Terrebonne</v>
      </c>
      <c r="Q326" s="9" t="str">
        <f>IFERROR($P326,PROPER(VLOOKUP($O326,'Villes en erreur'!$A$2:$B$72,2,FALSE)))</f>
        <v>Terrebonne</v>
      </c>
      <c r="R326" s="9" t="s">
        <v>2039</v>
      </c>
      <c r="S326" s="9" t="str">
        <f>IF(ISBLANK($R326),"",VLOOKUP($R326,'Liste des Villes'!$B$2:$H$1128,4,FALSE))</f>
        <v>Lanaudière</v>
      </c>
      <c r="T326" s="2" t="s">
        <v>2193</v>
      </c>
      <c r="U326" s="2" t="s">
        <v>39</v>
      </c>
      <c r="V326" s="2" t="s">
        <v>40</v>
      </c>
      <c r="W326" s="2" t="s">
        <v>2194</v>
      </c>
      <c r="X326" s="2"/>
      <c r="Y326" s="2"/>
      <c r="Z326" s="2"/>
      <c r="AA326" s="2" t="s">
        <v>149</v>
      </c>
      <c r="AB326" s="2" t="s">
        <v>1969</v>
      </c>
      <c r="AC326" s="4" t="s">
        <v>446</v>
      </c>
    </row>
    <row r="327" spans="1:29" x14ac:dyDescent="0.25">
      <c r="A327" s="1">
        <v>1365</v>
      </c>
      <c r="B327" s="17" t="s">
        <v>2195</v>
      </c>
      <c r="C327" s="2" t="s">
        <v>2196</v>
      </c>
      <c r="D327" s="15" t="s">
        <v>2197</v>
      </c>
      <c r="E327" s="9" t="s">
        <v>2198</v>
      </c>
      <c r="F327" s="9" t="s">
        <v>2199</v>
      </c>
      <c r="G327" s="9" t="s">
        <v>1410</v>
      </c>
      <c r="H327" s="2" t="s">
        <v>35</v>
      </c>
      <c r="I327" s="3">
        <v>29987</v>
      </c>
      <c r="J327" s="9" t="str">
        <f t="shared" ca="1" si="6"/>
        <v>41 ans</v>
      </c>
      <c r="K327" s="2" t="s">
        <v>36</v>
      </c>
      <c r="L327" s="2" t="str">
        <f>"10"</f>
        <v>10</v>
      </c>
      <c r="M327" s="2"/>
      <c r="N327" s="2" t="str">
        <f>"18E AV"</f>
        <v>18E AV</v>
      </c>
      <c r="O327" s="2" t="s">
        <v>2038</v>
      </c>
      <c r="P327" s="9" t="str">
        <f>VLOOKUP($O327,'Liste des Villes'!$B$2:$B$1128,1,FALSE)</f>
        <v>Terrebonne</v>
      </c>
      <c r="Q327" s="9" t="str">
        <f>IFERROR($P327,PROPER(VLOOKUP($O327,'Villes en erreur'!$A$2:$B$72,2,FALSE)))</f>
        <v>Terrebonne</v>
      </c>
      <c r="R327" s="9" t="s">
        <v>2039</v>
      </c>
      <c r="S327" s="9" t="str">
        <f>IF(ISBLANK($R327),"",VLOOKUP($R327,'Liste des Villes'!$B$2:$H$1128,4,FALSE))</f>
        <v>Lanaudière</v>
      </c>
      <c r="T327" s="2" t="s">
        <v>2200</v>
      </c>
      <c r="U327" s="2" t="s">
        <v>39</v>
      </c>
      <c r="V327" s="2" t="s">
        <v>40</v>
      </c>
      <c r="W327" s="2" t="s">
        <v>2201</v>
      </c>
      <c r="X327" s="2"/>
      <c r="Y327" s="2"/>
      <c r="Z327" s="2"/>
      <c r="AA327" s="2" t="s">
        <v>149</v>
      </c>
      <c r="AB327" s="2" t="s">
        <v>1969</v>
      </c>
      <c r="AC327" s="4" t="s">
        <v>446</v>
      </c>
    </row>
    <row r="328" spans="1:29" x14ac:dyDescent="0.25">
      <c r="A328" s="1">
        <v>107</v>
      </c>
      <c r="B328" s="17" t="s">
        <v>2202</v>
      </c>
      <c r="C328" s="2" t="s">
        <v>2203</v>
      </c>
      <c r="D328" s="15" t="s">
        <v>2204</v>
      </c>
      <c r="E328" s="9" t="s">
        <v>2205</v>
      </c>
      <c r="F328" s="9" t="s">
        <v>1219</v>
      </c>
      <c r="G328" s="9" t="s">
        <v>1410</v>
      </c>
      <c r="H328" s="2" t="s">
        <v>35</v>
      </c>
      <c r="I328" s="3">
        <v>29873</v>
      </c>
      <c r="J328" s="9" t="str">
        <f t="shared" ca="1" si="6"/>
        <v>41 ans</v>
      </c>
      <c r="K328" s="2" t="s">
        <v>36</v>
      </c>
      <c r="L328" s="2" t="str">
        <f>"9"</f>
        <v>9</v>
      </c>
      <c r="M328" s="2"/>
      <c r="N328" s="2" t="str">
        <f>"17E RUE"</f>
        <v>17E RUE</v>
      </c>
      <c r="O328" s="2" t="s">
        <v>2038</v>
      </c>
      <c r="P328" s="9" t="str">
        <f>VLOOKUP($O328,'Liste des Villes'!$B$2:$B$1128,1,FALSE)</f>
        <v>Terrebonne</v>
      </c>
      <c r="Q328" s="9" t="str">
        <f>IFERROR($P328,PROPER(VLOOKUP($O328,'Villes en erreur'!$A$2:$B$72,2,FALSE)))</f>
        <v>Terrebonne</v>
      </c>
      <c r="R328" s="9" t="s">
        <v>2039</v>
      </c>
      <c r="S328" s="9" t="str">
        <f>IF(ISBLANK($R328),"",VLOOKUP($R328,'Liste des Villes'!$B$2:$H$1128,4,FALSE))</f>
        <v>Lanaudière</v>
      </c>
      <c r="T328" s="2" t="s">
        <v>2206</v>
      </c>
      <c r="U328" s="2" t="s">
        <v>39</v>
      </c>
      <c r="V328" s="2" t="s">
        <v>40</v>
      </c>
      <c r="W328" s="2" t="s">
        <v>2207</v>
      </c>
      <c r="X328" s="2"/>
      <c r="Y328" s="2"/>
      <c r="Z328" s="2"/>
      <c r="AA328" s="2" t="s">
        <v>149</v>
      </c>
      <c r="AB328" s="2" t="s">
        <v>1969</v>
      </c>
      <c r="AC328" s="4" t="s">
        <v>446</v>
      </c>
    </row>
    <row r="329" spans="1:29" x14ac:dyDescent="0.25">
      <c r="A329" s="1">
        <v>765</v>
      </c>
      <c r="B329" s="17" t="s">
        <v>2208</v>
      </c>
      <c r="C329" s="2" t="s">
        <v>2209</v>
      </c>
      <c r="D329" s="15" t="s">
        <v>782</v>
      </c>
      <c r="E329" s="9" t="s">
        <v>2210</v>
      </c>
      <c r="F329" s="9" t="s">
        <v>2211</v>
      </c>
      <c r="G329" s="9" t="s">
        <v>1410</v>
      </c>
      <c r="H329" s="2" t="s">
        <v>35</v>
      </c>
      <c r="I329" s="3">
        <v>30333</v>
      </c>
      <c r="J329" s="9" t="str">
        <f t="shared" ca="1" si="6"/>
        <v>40 ans</v>
      </c>
      <c r="K329" s="2" t="s">
        <v>36</v>
      </c>
      <c r="L329" s="2" t="str">
        <f>"11"</f>
        <v>11</v>
      </c>
      <c r="M329" s="2"/>
      <c r="N329" s="2" t="str">
        <f>"1RE RUE E"</f>
        <v>1RE RUE E</v>
      </c>
      <c r="O329" s="2" t="s">
        <v>2038</v>
      </c>
      <c r="P329" s="9" t="str">
        <f>VLOOKUP($O329,'Liste des Villes'!$B$2:$B$1128,1,FALSE)</f>
        <v>Terrebonne</v>
      </c>
      <c r="Q329" s="9" t="str">
        <f>IFERROR($P329,PROPER(VLOOKUP($O329,'Villes en erreur'!$A$2:$B$72,2,FALSE)))</f>
        <v>Terrebonne</v>
      </c>
      <c r="R329" s="9" t="s">
        <v>2039</v>
      </c>
      <c r="S329" s="9" t="str">
        <f>IF(ISBLANK($R329),"",VLOOKUP($R329,'Liste des Villes'!$B$2:$H$1128,4,FALSE))</f>
        <v>Lanaudière</v>
      </c>
      <c r="T329" s="2" t="s">
        <v>2212</v>
      </c>
      <c r="U329" s="2" t="s">
        <v>39</v>
      </c>
      <c r="V329" s="2" t="s">
        <v>40</v>
      </c>
      <c r="W329" s="2" t="s">
        <v>2213</v>
      </c>
      <c r="X329" s="2"/>
      <c r="Y329" s="2"/>
      <c r="Z329" s="2"/>
      <c r="AA329" s="2" t="s">
        <v>149</v>
      </c>
      <c r="AB329" s="2" t="s">
        <v>150</v>
      </c>
      <c r="AC329" s="4" t="s">
        <v>446</v>
      </c>
    </row>
    <row r="330" spans="1:29" x14ac:dyDescent="0.25">
      <c r="A330" s="1">
        <v>4506</v>
      </c>
      <c r="B330" s="17" t="s">
        <v>2214</v>
      </c>
      <c r="C330" s="2" t="s">
        <v>2215</v>
      </c>
      <c r="D330" s="15" t="s">
        <v>2216</v>
      </c>
      <c r="E330" s="9" t="s">
        <v>2217</v>
      </c>
      <c r="F330" s="9" t="s">
        <v>2218</v>
      </c>
      <c r="G330" s="9" t="s">
        <v>1410</v>
      </c>
      <c r="H330" s="2" t="s">
        <v>35</v>
      </c>
      <c r="I330" s="3">
        <v>30396</v>
      </c>
      <c r="J330" s="9" t="str">
        <f t="shared" ca="1" si="6"/>
        <v>40 ans</v>
      </c>
      <c r="K330" s="2" t="s">
        <v>36</v>
      </c>
      <c r="L330" s="2" t="str">
        <f>"11"</f>
        <v>11</v>
      </c>
      <c r="M330" s="2"/>
      <c r="N330" s="2" t="str">
        <f>"209E AVENUE"</f>
        <v>209E AVENUE</v>
      </c>
      <c r="O330" s="2" t="s">
        <v>2038</v>
      </c>
      <c r="P330" s="9" t="str">
        <f>VLOOKUP($O330,'Liste des Villes'!$B$2:$B$1128,1,FALSE)</f>
        <v>Terrebonne</v>
      </c>
      <c r="Q330" s="9" t="str">
        <f>IFERROR($P330,PROPER(VLOOKUP($O330,'Villes en erreur'!$A$2:$B$72,2,FALSE)))</f>
        <v>Terrebonne</v>
      </c>
      <c r="R330" s="9" t="s">
        <v>2039</v>
      </c>
      <c r="S330" s="9" t="str">
        <f>IF(ISBLANK($R330),"",VLOOKUP($R330,'Liste des Villes'!$B$2:$H$1128,4,FALSE))</f>
        <v>Lanaudière</v>
      </c>
      <c r="T330" s="2" t="s">
        <v>2219</v>
      </c>
      <c r="U330" s="2" t="s">
        <v>39</v>
      </c>
      <c r="V330" s="2" t="s">
        <v>40</v>
      </c>
      <c r="W330" s="2" t="s">
        <v>2220</v>
      </c>
      <c r="X330" s="2"/>
      <c r="Y330" s="2"/>
      <c r="Z330" s="2"/>
      <c r="AA330" s="2" t="s">
        <v>149</v>
      </c>
      <c r="AB330" s="2" t="s">
        <v>150</v>
      </c>
      <c r="AC330" s="4" t="s">
        <v>446</v>
      </c>
    </row>
    <row r="331" spans="1:29" x14ac:dyDescent="0.25">
      <c r="A331" s="1">
        <v>923</v>
      </c>
      <c r="B331" s="17" t="s">
        <v>2221</v>
      </c>
      <c r="C331" s="2" t="s">
        <v>2222</v>
      </c>
      <c r="D331" s="15" t="s">
        <v>462</v>
      </c>
      <c r="E331" s="9" t="s">
        <v>2223</v>
      </c>
      <c r="F331" s="9" t="s">
        <v>460</v>
      </c>
      <c r="G331" s="9" t="s">
        <v>616</v>
      </c>
      <c r="H331" s="2" t="s">
        <v>60</v>
      </c>
      <c r="I331" s="3">
        <v>30523</v>
      </c>
      <c r="J331" s="9" t="str">
        <f t="shared" ca="1" si="6"/>
        <v>40 ans</v>
      </c>
      <c r="K331" s="2" t="s">
        <v>36</v>
      </c>
      <c r="L331" s="2" t="str">
        <f>"12"</f>
        <v>12</v>
      </c>
      <c r="M331" s="2"/>
      <c r="N331" s="2" t="str">
        <f>"20E AV SUD"</f>
        <v>20E AV SUD</v>
      </c>
      <c r="O331" s="2" t="s">
        <v>2039</v>
      </c>
      <c r="P331" s="9" t="str">
        <f>VLOOKUP($O331,'Liste des Villes'!$B$2:$B$1128,1,FALSE)</f>
        <v>Terrebonne</v>
      </c>
      <c r="Q331" s="9" t="str">
        <f>IFERROR($P331,PROPER(VLOOKUP($O331,'Villes en erreur'!$A$2:$B$72,2,FALSE)))</f>
        <v>Terrebonne</v>
      </c>
      <c r="R331" s="9" t="s">
        <v>2039</v>
      </c>
      <c r="S331" s="9" t="str">
        <f>IF(ISBLANK($R331),"",VLOOKUP($R331,'Liste des Villes'!$B$2:$H$1128,4,FALSE))</f>
        <v>Lanaudière</v>
      </c>
      <c r="T331" s="2" t="s">
        <v>2224</v>
      </c>
      <c r="U331" s="2" t="s">
        <v>39</v>
      </c>
      <c r="V331" s="2" t="s">
        <v>40</v>
      </c>
      <c r="W331" s="2" t="s">
        <v>2225</v>
      </c>
      <c r="X331" s="2"/>
      <c r="Y331" s="2"/>
      <c r="Z331" s="2"/>
      <c r="AA331" s="2" t="s">
        <v>149</v>
      </c>
      <c r="AB331" s="2" t="s">
        <v>150</v>
      </c>
      <c r="AC331" s="4" t="s">
        <v>446</v>
      </c>
    </row>
    <row r="332" spans="1:29" x14ac:dyDescent="0.25">
      <c r="A332" s="1">
        <v>2187</v>
      </c>
      <c r="B332" s="17" t="s">
        <v>2226</v>
      </c>
      <c r="C332" s="2" t="s">
        <v>681</v>
      </c>
      <c r="D332" s="15" t="s">
        <v>682</v>
      </c>
      <c r="E332" s="9" t="s">
        <v>683</v>
      </c>
      <c r="F332" s="9" t="s">
        <v>684</v>
      </c>
      <c r="G332" s="9" t="s">
        <v>2227</v>
      </c>
      <c r="H332" s="2" t="s">
        <v>35</v>
      </c>
      <c r="I332" s="3">
        <v>29187</v>
      </c>
      <c r="J332" s="9" t="str">
        <f t="shared" ca="1" si="6"/>
        <v>43 ans</v>
      </c>
      <c r="K332" s="2" t="s">
        <v>36</v>
      </c>
      <c r="L332" s="2" t="str">
        <f>"7"</f>
        <v>7</v>
      </c>
      <c r="M332" s="2"/>
      <c r="N332" s="2" t="str">
        <f>"12E AV"</f>
        <v>12E AV</v>
      </c>
      <c r="O332" s="2" t="s">
        <v>2038</v>
      </c>
      <c r="P332" s="9" t="str">
        <f>VLOOKUP($O332,'Liste des Villes'!$B$2:$B$1128,1,FALSE)</f>
        <v>Terrebonne</v>
      </c>
      <c r="Q332" s="9" t="str">
        <f>IFERROR($P332,PROPER(VLOOKUP($O332,'Villes en erreur'!$A$2:$B$72,2,FALSE)))</f>
        <v>Terrebonne</v>
      </c>
      <c r="R332" s="9" t="s">
        <v>2039</v>
      </c>
      <c r="S332" s="9" t="str">
        <f>IF(ISBLANK($R332),"",VLOOKUP($R332,'Liste des Villes'!$B$2:$H$1128,4,FALSE))</f>
        <v>Lanaudière</v>
      </c>
      <c r="T332" s="2" t="s">
        <v>2228</v>
      </c>
      <c r="U332" s="2" t="s">
        <v>39</v>
      </c>
      <c r="V332" s="2" t="s">
        <v>40</v>
      </c>
      <c r="W332" s="2" t="s">
        <v>2229</v>
      </c>
      <c r="X332" s="2"/>
      <c r="Y332" s="2"/>
      <c r="Z332" s="2"/>
      <c r="AA332" s="2" t="s">
        <v>149</v>
      </c>
      <c r="AB332" s="2" t="s">
        <v>1969</v>
      </c>
      <c r="AC332" s="4" t="s">
        <v>446</v>
      </c>
    </row>
    <row r="333" spans="1:29" x14ac:dyDescent="0.25">
      <c r="A333" s="1">
        <v>2663</v>
      </c>
      <c r="B333" s="17" t="s">
        <v>2230</v>
      </c>
      <c r="C333" s="2" t="s">
        <v>2231</v>
      </c>
      <c r="D333" s="15" t="s">
        <v>2232</v>
      </c>
      <c r="E333" s="9" t="s">
        <v>348</v>
      </c>
      <c r="F333" s="9" t="s">
        <v>2233</v>
      </c>
      <c r="G333" s="9" t="s">
        <v>616</v>
      </c>
      <c r="H333" s="2" t="s">
        <v>60</v>
      </c>
      <c r="I333" s="3">
        <v>30560</v>
      </c>
      <c r="J333" s="9" t="str">
        <f t="shared" ca="1" si="6"/>
        <v>39 ans</v>
      </c>
      <c r="K333" s="2" t="s">
        <v>36</v>
      </c>
      <c r="L333" s="2" t="str">
        <f>"12"</f>
        <v>12</v>
      </c>
      <c r="M333" s="2"/>
      <c r="N333" s="2" t="str">
        <f>"20E RUE"</f>
        <v>20E RUE</v>
      </c>
      <c r="O333" s="2" t="s">
        <v>2038</v>
      </c>
      <c r="P333" s="9" t="str">
        <f>VLOOKUP($O333,'Liste des Villes'!$B$2:$B$1128,1,FALSE)</f>
        <v>Terrebonne</v>
      </c>
      <c r="Q333" s="9" t="str">
        <f>IFERROR($P333,PROPER(VLOOKUP($O333,'Villes en erreur'!$A$2:$B$72,2,FALSE)))</f>
        <v>Terrebonne</v>
      </c>
      <c r="R333" s="9" t="s">
        <v>2039</v>
      </c>
      <c r="S333" s="9" t="str">
        <f>IF(ISBLANK($R333),"",VLOOKUP($R333,'Liste des Villes'!$B$2:$H$1128,4,FALSE))</f>
        <v>Lanaudière</v>
      </c>
      <c r="T333" s="2" t="s">
        <v>2234</v>
      </c>
      <c r="U333" s="2" t="s">
        <v>39</v>
      </c>
      <c r="V333" s="2" t="s">
        <v>40</v>
      </c>
      <c r="W333" s="2" t="s">
        <v>2235</v>
      </c>
      <c r="X333" s="2"/>
      <c r="Y333" s="2"/>
      <c r="Z333" s="2"/>
      <c r="AA333" s="2" t="s">
        <v>149</v>
      </c>
      <c r="AB333" s="2" t="s">
        <v>150</v>
      </c>
      <c r="AC333" s="4" t="s">
        <v>446</v>
      </c>
    </row>
    <row r="334" spans="1:29" x14ac:dyDescent="0.25">
      <c r="A334" s="1">
        <v>4220</v>
      </c>
      <c r="B334" s="17" t="s">
        <v>2236</v>
      </c>
      <c r="C334" s="2" t="s">
        <v>2237</v>
      </c>
      <c r="D334" s="15" t="s">
        <v>898</v>
      </c>
      <c r="E334" s="9" t="s">
        <v>2238</v>
      </c>
      <c r="F334" s="9" t="s">
        <v>1389</v>
      </c>
      <c r="G334" s="9" t="s">
        <v>929</v>
      </c>
      <c r="H334" s="2" t="s">
        <v>35</v>
      </c>
      <c r="I334" s="3">
        <v>28988</v>
      </c>
      <c r="J334" s="9" t="str">
        <f t="shared" ca="1" si="6"/>
        <v>44 ans</v>
      </c>
      <c r="K334" s="2" t="s">
        <v>36</v>
      </c>
      <c r="L334" s="2" t="str">
        <f>"6"</f>
        <v>6</v>
      </c>
      <c r="M334" s="2"/>
      <c r="N334" s="2" t="str">
        <f>"11E RUE"</f>
        <v>11E RUE</v>
      </c>
      <c r="O334" s="2" t="s">
        <v>2038</v>
      </c>
      <c r="P334" s="9" t="str">
        <f>VLOOKUP($O334,'Liste des Villes'!$B$2:$B$1128,1,FALSE)</f>
        <v>Terrebonne</v>
      </c>
      <c r="Q334" s="9" t="str">
        <f>IFERROR($P334,PROPER(VLOOKUP($O334,'Villes en erreur'!$A$2:$B$72,2,FALSE)))</f>
        <v>Terrebonne</v>
      </c>
      <c r="R334" s="9" t="s">
        <v>2039</v>
      </c>
      <c r="S334" s="9" t="str">
        <f>IF(ISBLANK($R334),"",VLOOKUP($R334,'Liste des Villes'!$B$2:$H$1128,4,FALSE))</f>
        <v>Lanaudière</v>
      </c>
      <c r="T334" s="2" t="s">
        <v>2239</v>
      </c>
      <c r="U334" s="2" t="s">
        <v>39</v>
      </c>
      <c r="V334" s="2" t="s">
        <v>40</v>
      </c>
      <c r="W334" s="2" t="s">
        <v>2240</v>
      </c>
      <c r="X334" s="2"/>
      <c r="Y334" s="2"/>
      <c r="Z334" s="2"/>
      <c r="AA334" s="2" t="s">
        <v>149</v>
      </c>
      <c r="AB334" s="2" t="s">
        <v>1969</v>
      </c>
      <c r="AC334" s="4" t="s">
        <v>446</v>
      </c>
    </row>
    <row r="335" spans="1:29" x14ac:dyDescent="0.25">
      <c r="A335" s="1">
        <v>747</v>
      </c>
      <c r="B335" s="17" t="s">
        <v>2241</v>
      </c>
      <c r="C335" s="2" t="s">
        <v>112</v>
      </c>
      <c r="D335" s="15" t="s">
        <v>113</v>
      </c>
      <c r="E335" s="9" t="s">
        <v>114</v>
      </c>
      <c r="F335" s="9" t="s">
        <v>2242</v>
      </c>
      <c r="G335" s="9" t="s">
        <v>2243</v>
      </c>
      <c r="H335" s="2" t="s">
        <v>35</v>
      </c>
      <c r="I335" s="3">
        <v>29224</v>
      </c>
      <c r="J335" s="9" t="str">
        <f t="shared" ca="1" si="6"/>
        <v>43 ans</v>
      </c>
      <c r="K335" s="2" t="s">
        <v>36</v>
      </c>
      <c r="L335" s="2" t="str">
        <f>"7"</f>
        <v>7</v>
      </c>
      <c r="M335" s="2"/>
      <c r="N335" s="2" t="str">
        <f>"12E RUE"</f>
        <v>12E RUE</v>
      </c>
      <c r="O335" s="2" t="s">
        <v>2038</v>
      </c>
      <c r="P335" s="9" t="str">
        <f>VLOOKUP($O335,'Liste des Villes'!$B$2:$B$1128,1,FALSE)</f>
        <v>Terrebonne</v>
      </c>
      <c r="Q335" s="9" t="str">
        <f>IFERROR($P335,PROPER(VLOOKUP($O335,'Villes en erreur'!$A$2:$B$72,2,FALSE)))</f>
        <v>Terrebonne</v>
      </c>
      <c r="R335" s="9" t="s">
        <v>2039</v>
      </c>
      <c r="S335" s="9" t="str">
        <f>IF(ISBLANK($R335),"",VLOOKUP($R335,'Liste des Villes'!$B$2:$H$1128,4,FALSE))</f>
        <v>Lanaudière</v>
      </c>
      <c r="T335" s="2" t="s">
        <v>2244</v>
      </c>
      <c r="U335" s="2" t="s">
        <v>39</v>
      </c>
      <c r="V335" s="2" t="s">
        <v>40</v>
      </c>
      <c r="W335" s="2" t="s">
        <v>2245</v>
      </c>
      <c r="X335" s="2"/>
      <c r="Y335" s="2"/>
      <c r="Z335" s="2"/>
      <c r="AA335" s="2" t="s">
        <v>149</v>
      </c>
      <c r="AB335" s="2" t="s">
        <v>1969</v>
      </c>
      <c r="AC335" s="4" t="s">
        <v>446</v>
      </c>
    </row>
    <row r="336" spans="1:29" x14ac:dyDescent="0.25">
      <c r="A336" s="1">
        <v>1121</v>
      </c>
      <c r="B336" s="17" t="s">
        <v>2246</v>
      </c>
      <c r="C336" s="2" t="s">
        <v>403</v>
      </c>
      <c r="D336" s="15" t="s">
        <v>312</v>
      </c>
      <c r="E336" s="9" t="s">
        <v>404</v>
      </c>
      <c r="F336" s="9" t="s">
        <v>311</v>
      </c>
      <c r="G336" s="9" t="s">
        <v>616</v>
      </c>
      <c r="H336" s="2" t="s">
        <v>60</v>
      </c>
      <c r="I336" s="3">
        <v>30555</v>
      </c>
      <c r="J336" s="9" t="str">
        <f t="shared" ca="1" si="6"/>
        <v>39 ans</v>
      </c>
      <c r="K336" s="2" t="s">
        <v>36</v>
      </c>
      <c r="L336" s="2" t="str">
        <f>"12"</f>
        <v>12</v>
      </c>
      <c r="M336" s="2"/>
      <c r="N336" s="2" t="str">
        <f>"20E RUE"</f>
        <v>20E RUE</v>
      </c>
      <c r="O336" s="2" t="s">
        <v>2038</v>
      </c>
      <c r="P336" s="9" t="str">
        <f>VLOOKUP($O336,'Liste des Villes'!$B$2:$B$1128,1,FALSE)</f>
        <v>Terrebonne</v>
      </c>
      <c r="Q336" s="9" t="str">
        <f>IFERROR($P336,PROPER(VLOOKUP($O336,'Villes en erreur'!$A$2:$B$72,2,FALSE)))</f>
        <v>Terrebonne</v>
      </c>
      <c r="R336" s="9" t="s">
        <v>2039</v>
      </c>
      <c r="S336" s="9" t="str">
        <f>IF(ISBLANK($R336),"",VLOOKUP($R336,'Liste des Villes'!$B$2:$H$1128,4,FALSE))</f>
        <v>Lanaudière</v>
      </c>
      <c r="T336" s="2" t="s">
        <v>2247</v>
      </c>
      <c r="U336" s="2" t="s">
        <v>39</v>
      </c>
      <c r="V336" s="2" t="s">
        <v>40</v>
      </c>
      <c r="W336" s="2" t="s">
        <v>2248</v>
      </c>
      <c r="X336" s="2"/>
      <c r="Y336" s="2"/>
      <c r="Z336" s="2"/>
      <c r="AA336" s="2" t="s">
        <v>149</v>
      </c>
      <c r="AB336" s="2" t="s">
        <v>150</v>
      </c>
      <c r="AC336" s="4" t="s">
        <v>446</v>
      </c>
    </row>
    <row r="337" spans="1:29" x14ac:dyDescent="0.25">
      <c r="A337" s="1">
        <v>4616</v>
      </c>
      <c r="B337" s="17" t="s">
        <v>2249</v>
      </c>
      <c r="C337" s="2" t="s">
        <v>2250</v>
      </c>
      <c r="D337" s="15" t="s">
        <v>2251</v>
      </c>
      <c r="E337" s="9" t="s">
        <v>1162</v>
      </c>
      <c r="F337" s="9" t="s">
        <v>2252</v>
      </c>
      <c r="G337" s="9" t="s">
        <v>1410</v>
      </c>
      <c r="H337" s="2" t="s">
        <v>35</v>
      </c>
      <c r="I337" s="3">
        <v>30325</v>
      </c>
      <c r="J337" s="9" t="str">
        <f t="shared" ca="1" si="6"/>
        <v>40 ans</v>
      </c>
      <c r="K337" s="2" t="s">
        <v>36</v>
      </c>
      <c r="L337" s="2" t="str">
        <f>"11"</f>
        <v>11</v>
      </c>
      <c r="M337" s="2"/>
      <c r="N337" s="2" t="str">
        <f>"1RE RUE DU MONT-SUISSE"</f>
        <v>1RE RUE DU MONT-SUISSE</v>
      </c>
      <c r="O337" s="2" t="s">
        <v>2038</v>
      </c>
      <c r="P337" s="9" t="str">
        <f>VLOOKUP($O337,'Liste des Villes'!$B$2:$B$1128,1,FALSE)</f>
        <v>Terrebonne</v>
      </c>
      <c r="Q337" s="9" t="str">
        <f>IFERROR($P337,PROPER(VLOOKUP($O337,'Villes en erreur'!$A$2:$B$72,2,FALSE)))</f>
        <v>Terrebonne</v>
      </c>
      <c r="R337" s="9" t="s">
        <v>2039</v>
      </c>
      <c r="S337" s="9" t="str">
        <f>IF(ISBLANK($R337),"",VLOOKUP($R337,'Liste des Villes'!$B$2:$H$1128,4,FALSE))</f>
        <v>Lanaudière</v>
      </c>
      <c r="T337" s="2" t="s">
        <v>2253</v>
      </c>
      <c r="U337" s="2" t="s">
        <v>39</v>
      </c>
      <c r="V337" s="2" t="s">
        <v>40</v>
      </c>
      <c r="W337" s="2" t="s">
        <v>2254</v>
      </c>
      <c r="X337" s="2"/>
      <c r="Y337" s="2"/>
      <c r="Z337" s="2"/>
      <c r="AA337" s="2" t="s">
        <v>149</v>
      </c>
      <c r="AB337" s="2" t="s">
        <v>150</v>
      </c>
      <c r="AC337" s="4" t="s">
        <v>446</v>
      </c>
    </row>
    <row r="338" spans="1:29" x14ac:dyDescent="0.25">
      <c r="A338" s="1">
        <v>1364</v>
      </c>
      <c r="B338" s="17" t="s">
        <v>2255</v>
      </c>
      <c r="C338" s="2" t="s">
        <v>2256</v>
      </c>
      <c r="D338" s="15" t="s">
        <v>2257</v>
      </c>
      <c r="E338" s="9" t="s">
        <v>380</v>
      </c>
      <c r="F338" s="9" t="s">
        <v>304</v>
      </c>
      <c r="G338" s="9" t="s">
        <v>616</v>
      </c>
      <c r="H338" s="2" t="s">
        <v>60</v>
      </c>
      <c r="I338" s="3">
        <v>30581</v>
      </c>
      <c r="J338" s="9" t="str">
        <f t="shared" ca="1" si="6"/>
        <v>39 ans</v>
      </c>
      <c r="K338" s="2" t="s">
        <v>36</v>
      </c>
      <c r="L338" s="2" t="str">
        <f>"12"</f>
        <v>12</v>
      </c>
      <c r="M338" s="2"/>
      <c r="N338" s="2" t="str">
        <f>"218E AVENUE"</f>
        <v>218E AVENUE</v>
      </c>
      <c r="O338" s="2" t="s">
        <v>2038</v>
      </c>
      <c r="P338" s="9" t="str">
        <f>VLOOKUP($O338,'Liste des Villes'!$B$2:$B$1128,1,FALSE)</f>
        <v>Terrebonne</v>
      </c>
      <c r="Q338" s="9" t="str">
        <f>IFERROR($P338,PROPER(VLOOKUP($O338,'Villes en erreur'!$A$2:$B$72,2,FALSE)))</f>
        <v>Terrebonne</v>
      </c>
      <c r="R338" s="9" t="s">
        <v>2039</v>
      </c>
      <c r="S338" s="9" t="str">
        <f>IF(ISBLANK($R338),"",VLOOKUP($R338,'Liste des Villes'!$B$2:$H$1128,4,FALSE))</f>
        <v>Lanaudière</v>
      </c>
      <c r="T338" s="2" t="s">
        <v>2258</v>
      </c>
      <c r="U338" s="2" t="s">
        <v>39</v>
      </c>
      <c r="V338" s="2" t="s">
        <v>40</v>
      </c>
      <c r="W338" s="2" t="s">
        <v>2259</v>
      </c>
      <c r="X338" s="2"/>
      <c r="Y338" s="2"/>
      <c r="Z338" s="2"/>
      <c r="AA338" s="2" t="s">
        <v>149</v>
      </c>
      <c r="AB338" s="2" t="s">
        <v>150</v>
      </c>
      <c r="AC338" s="4" t="s">
        <v>44</v>
      </c>
    </row>
    <row r="339" spans="1:29" x14ac:dyDescent="0.25">
      <c r="A339" s="1">
        <v>1915</v>
      </c>
      <c r="B339" s="17" t="s">
        <v>2260</v>
      </c>
      <c r="C339" s="2" t="s">
        <v>2261</v>
      </c>
      <c r="D339" s="15" t="s">
        <v>867</v>
      </c>
      <c r="E339" s="9" t="s">
        <v>2262</v>
      </c>
      <c r="F339" s="9" t="s">
        <v>2263</v>
      </c>
      <c r="G339" s="9" t="s">
        <v>1410</v>
      </c>
      <c r="H339" s="2" t="s">
        <v>35</v>
      </c>
      <c r="I339" s="3">
        <v>29549</v>
      </c>
      <c r="J339" s="9" t="str">
        <f t="shared" ca="1" si="6"/>
        <v>42 ans</v>
      </c>
      <c r="K339" s="2" t="s">
        <v>36</v>
      </c>
      <c r="L339" s="2" t="str">
        <f>"8"</f>
        <v>8</v>
      </c>
      <c r="M339" s="2"/>
      <c r="N339" s="2" t="str">
        <f>"14E AVENUE"</f>
        <v>14E AVENUE</v>
      </c>
      <c r="O339" s="2" t="s">
        <v>2038</v>
      </c>
      <c r="P339" s="9" t="str">
        <f>VLOOKUP($O339,'Liste des Villes'!$B$2:$B$1128,1,FALSE)</f>
        <v>Terrebonne</v>
      </c>
      <c r="Q339" s="9" t="str">
        <f>IFERROR($P339,PROPER(VLOOKUP($O339,'Villes en erreur'!$A$2:$B$72,2,FALSE)))</f>
        <v>Terrebonne</v>
      </c>
      <c r="R339" s="9" t="s">
        <v>2039</v>
      </c>
      <c r="S339" s="9" t="str">
        <f>IF(ISBLANK($R339),"",VLOOKUP($R339,'Liste des Villes'!$B$2:$H$1128,4,FALSE))</f>
        <v>Lanaudière</v>
      </c>
      <c r="T339" s="2" t="s">
        <v>2264</v>
      </c>
      <c r="U339" s="2" t="s">
        <v>39</v>
      </c>
      <c r="V339" s="2" t="s">
        <v>40</v>
      </c>
      <c r="W339" s="2" t="s">
        <v>2265</v>
      </c>
      <c r="X339" s="2"/>
      <c r="Y339" s="2"/>
      <c r="Z339" s="2"/>
      <c r="AA339" s="2" t="s">
        <v>149</v>
      </c>
      <c r="AB339" s="2" t="s">
        <v>1969</v>
      </c>
      <c r="AC339" s="4" t="s">
        <v>446</v>
      </c>
    </row>
    <row r="340" spans="1:29" x14ac:dyDescent="0.25">
      <c r="A340" s="1">
        <v>3199</v>
      </c>
      <c r="B340" s="17" t="s">
        <v>2266</v>
      </c>
      <c r="C340" s="2" t="s">
        <v>2267</v>
      </c>
      <c r="D340" s="15" t="s">
        <v>2268</v>
      </c>
      <c r="E340" s="9" t="s">
        <v>196</v>
      </c>
      <c r="F340" s="9" t="s">
        <v>2269</v>
      </c>
      <c r="G340" s="9" t="s">
        <v>1410</v>
      </c>
      <c r="H340" s="2" t="s">
        <v>35</v>
      </c>
      <c r="I340" s="3">
        <v>30146</v>
      </c>
      <c r="J340" s="9" t="str">
        <f t="shared" ca="1" si="6"/>
        <v>41 ans</v>
      </c>
      <c r="K340" s="2" t="s">
        <v>36</v>
      </c>
      <c r="L340" s="2" t="str">
        <f>"10"</f>
        <v>10</v>
      </c>
      <c r="M340" s="2"/>
      <c r="N340" s="2" t="str">
        <f>"1ER RANG DE DONCASTER"</f>
        <v>1ER RANG DE DONCASTER</v>
      </c>
      <c r="O340" s="2" t="s">
        <v>2038</v>
      </c>
      <c r="P340" s="9" t="str">
        <f>VLOOKUP($O340,'Liste des Villes'!$B$2:$B$1128,1,FALSE)</f>
        <v>Terrebonne</v>
      </c>
      <c r="Q340" s="9" t="str">
        <f>IFERROR($P340,PROPER(VLOOKUP($O340,'Villes en erreur'!$A$2:$B$72,2,FALSE)))</f>
        <v>Terrebonne</v>
      </c>
      <c r="R340" s="9" t="s">
        <v>2039</v>
      </c>
      <c r="S340" s="9" t="str">
        <f>IF(ISBLANK($R340),"",VLOOKUP($R340,'Liste des Villes'!$B$2:$H$1128,4,FALSE))</f>
        <v>Lanaudière</v>
      </c>
      <c r="T340" s="2" t="s">
        <v>2270</v>
      </c>
      <c r="U340" s="2" t="s">
        <v>39</v>
      </c>
      <c r="V340" s="2" t="s">
        <v>40</v>
      </c>
      <c r="W340" s="2" t="s">
        <v>2271</v>
      </c>
      <c r="X340" s="2"/>
      <c r="Y340" s="2"/>
      <c r="Z340" s="2"/>
      <c r="AA340" s="2" t="s">
        <v>149</v>
      </c>
      <c r="AB340" s="2" t="s">
        <v>1969</v>
      </c>
      <c r="AC340" s="4" t="s">
        <v>446</v>
      </c>
    </row>
    <row r="341" spans="1:29" x14ac:dyDescent="0.25">
      <c r="A341" s="1">
        <v>4383</v>
      </c>
      <c r="B341" s="17" t="s">
        <v>2272</v>
      </c>
      <c r="C341" s="2" t="s">
        <v>2273</v>
      </c>
      <c r="D341" s="15" t="s">
        <v>582</v>
      </c>
      <c r="E341" s="9" t="s">
        <v>2274</v>
      </c>
      <c r="F341" s="9" t="s">
        <v>2275</v>
      </c>
      <c r="G341" s="9" t="s">
        <v>929</v>
      </c>
      <c r="H341" s="2" t="s">
        <v>35</v>
      </c>
      <c r="I341" s="3">
        <v>28629</v>
      </c>
      <c r="J341" s="9" t="str">
        <f t="shared" ca="1" si="6"/>
        <v>45 ans</v>
      </c>
      <c r="K341" s="2" t="s">
        <v>36</v>
      </c>
      <c r="L341" s="2" t="str">
        <f>"5"</f>
        <v>5</v>
      </c>
      <c r="M341" s="2"/>
      <c r="N341" s="2" t="str">
        <f>"119E AV"</f>
        <v>119E AV</v>
      </c>
      <c r="O341" s="2" t="s">
        <v>2038</v>
      </c>
      <c r="P341" s="9" t="str">
        <f>VLOOKUP($O341,'Liste des Villes'!$B$2:$B$1128,1,FALSE)</f>
        <v>Terrebonne</v>
      </c>
      <c r="Q341" s="9" t="str">
        <f>IFERROR($P341,PROPER(VLOOKUP($O341,'Villes en erreur'!$A$2:$B$72,2,FALSE)))</f>
        <v>Terrebonne</v>
      </c>
      <c r="R341" s="9" t="s">
        <v>2039</v>
      </c>
      <c r="S341" s="9" t="str">
        <f>IF(ISBLANK($R341),"",VLOOKUP($R341,'Liste des Villes'!$B$2:$H$1128,4,FALSE))</f>
        <v>Lanaudière</v>
      </c>
      <c r="T341" s="2" t="s">
        <v>2276</v>
      </c>
      <c r="U341" s="2" t="s">
        <v>39</v>
      </c>
      <c r="V341" s="2" t="s">
        <v>40</v>
      </c>
      <c r="W341" s="2" t="s">
        <v>2277</v>
      </c>
      <c r="X341" s="2"/>
      <c r="Y341" s="2"/>
      <c r="Z341" s="2"/>
      <c r="AA341" s="2" t="s">
        <v>149</v>
      </c>
      <c r="AB341" s="2" t="s">
        <v>1969</v>
      </c>
      <c r="AC341" s="4" t="s">
        <v>446</v>
      </c>
    </row>
    <row r="342" spans="1:29" x14ac:dyDescent="0.25">
      <c r="A342" s="1">
        <v>1775</v>
      </c>
      <c r="B342" s="17" t="s">
        <v>2278</v>
      </c>
      <c r="C342" s="2" t="s">
        <v>2279</v>
      </c>
      <c r="D342" s="15" t="s">
        <v>2280</v>
      </c>
      <c r="E342" s="9" t="s">
        <v>2281</v>
      </c>
      <c r="F342" s="9" t="s">
        <v>2282</v>
      </c>
      <c r="G342" s="9" t="s">
        <v>616</v>
      </c>
      <c r="H342" s="2" t="s">
        <v>60</v>
      </c>
      <c r="I342" s="3">
        <v>30705</v>
      </c>
      <c r="J342" s="9" t="str">
        <f t="shared" ca="1" si="6"/>
        <v>39 ans</v>
      </c>
      <c r="K342" s="2" t="s">
        <v>36</v>
      </c>
      <c r="L342" s="2" t="str">
        <f>"12"</f>
        <v>12</v>
      </c>
      <c r="M342" s="2"/>
      <c r="N342" s="2" t="str">
        <f>"21E AV"</f>
        <v>21E AV</v>
      </c>
      <c r="O342" s="2" t="s">
        <v>2038</v>
      </c>
      <c r="P342" s="9" t="str">
        <f>VLOOKUP($O342,'Liste des Villes'!$B$2:$B$1128,1,FALSE)</f>
        <v>Terrebonne</v>
      </c>
      <c r="Q342" s="9" t="str">
        <f>IFERROR($P342,PROPER(VLOOKUP($O342,'Villes en erreur'!$A$2:$B$72,2,FALSE)))</f>
        <v>Terrebonne</v>
      </c>
      <c r="R342" s="9" t="s">
        <v>2039</v>
      </c>
      <c r="S342" s="9" t="str">
        <f>IF(ISBLANK($R342),"",VLOOKUP($R342,'Liste des Villes'!$B$2:$H$1128,4,FALSE))</f>
        <v>Lanaudière</v>
      </c>
      <c r="T342" s="2" t="s">
        <v>2283</v>
      </c>
      <c r="U342" s="2" t="s">
        <v>39</v>
      </c>
      <c r="V342" s="2" t="s">
        <v>40</v>
      </c>
      <c r="W342" s="2" t="s">
        <v>2284</v>
      </c>
      <c r="X342" s="2"/>
      <c r="Y342" s="2"/>
      <c r="Z342" s="2"/>
      <c r="AA342" s="2" t="s">
        <v>149</v>
      </c>
      <c r="AB342" s="2" t="s">
        <v>150</v>
      </c>
      <c r="AC342" s="4" t="s">
        <v>44</v>
      </c>
    </row>
    <row r="343" spans="1:29" x14ac:dyDescent="0.25">
      <c r="A343" s="1">
        <v>3470</v>
      </c>
      <c r="B343" s="17" t="s">
        <v>2285</v>
      </c>
      <c r="C343" s="2" t="s">
        <v>2286</v>
      </c>
      <c r="D343" s="15" t="s">
        <v>1951</v>
      </c>
      <c r="E343" s="9" t="s">
        <v>186</v>
      </c>
      <c r="F343" s="9" t="s">
        <v>1950</v>
      </c>
      <c r="G343" s="9" t="s">
        <v>1410</v>
      </c>
      <c r="H343" s="2" t="s">
        <v>35</v>
      </c>
      <c r="I343" s="3">
        <v>30282</v>
      </c>
      <c r="J343" s="9" t="str">
        <f t="shared" ca="1" si="6"/>
        <v>40 ans</v>
      </c>
      <c r="K343" s="2" t="s">
        <v>36</v>
      </c>
      <c r="L343" s="2" t="str">
        <f>"11"</f>
        <v>11</v>
      </c>
      <c r="M343" s="2"/>
      <c r="N343" s="2" t="str">
        <f>"1RE AV"</f>
        <v>1RE AV</v>
      </c>
      <c r="O343" s="2" t="s">
        <v>2038</v>
      </c>
      <c r="P343" s="9" t="str">
        <f>VLOOKUP($O343,'Liste des Villes'!$B$2:$B$1128,1,FALSE)</f>
        <v>Terrebonne</v>
      </c>
      <c r="Q343" s="9" t="str">
        <f>IFERROR($P343,PROPER(VLOOKUP($O343,'Villes en erreur'!$A$2:$B$72,2,FALSE)))</f>
        <v>Terrebonne</v>
      </c>
      <c r="R343" s="9" t="s">
        <v>2039</v>
      </c>
      <c r="S343" s="9" t="str">
        <f>IF(ISBLANK($R343),"",VLOOKUP($R343,'Liste des Villes'!$B$2:$H$1128,4,FALSE))</f>
        <v>Lanaudière</v>
      </c>
      <c r="T343" s="2" t="s">
        <v>2287</v>
      </c>
      <c r="U343" s="2" t="s">
        <v>39</v>
      </c>
      <c r="V343" s="2" t="s">
        <v>40</v>
      </c>
      <c r="W343" s="2" t="s">
        <v>2288</v>
      </c>
      <c r="X343" s="2"/>
      <c r="Y343" s="2"/>
      <c r="Z343" s="2"/>
      <c r="AA343" s="2" t="s">
        <v>149</v>
      </c>
      <c r="AB343" s="2" t="s">
        <v>150</v>
      </c>
      <c r="AC343" s="4" t="s">
        <v>446</v>
      </c>
    </row>
    <row r="344" spans="1:29" x14ac:dyDescent="0.25">
      <c r="A344" s="1">
        <v>3384</v>
      </c>
      <c r="B344" s="17" t="s">
        <v>2289</v>
      </c>
      <c r="C344" s="2" t="s">
        <v>2290</v>
      </c>
      <c r="D344" s="15" t="s">
        <v>2291</v>
      </c>
      <c r="E344" s="9" t="s">
        <v>635</v>
      </c>
      <c r="F344" s="9" t="s">
        <v>2292</v>
      </c>
      <c r="G344" s="9" t="s">
        <v>219</v>
      </c>
      <c r="H344" s="2" t="s">
        <v>35</v>
      </c>
      <c r="I344" s="3">
        <v>30801</v>
      </c>
      <c r="J344" s="9" t="str">
        <f t="shared" ca="1" si="6"/>
        <v>39 ans</v>
      </c>
      <c r="K344" s="2" t="s">
        <v>36</v>
      </c>
      <c r="L344" s="2" t="str">
        <f>"12"</f>
        <v>12</v>
      </c>
      <c r="M344" s="2"/>
      <c r="N344" s="2" t="str">
        <f>"22E AV"</f>
        <v>22E AV</v>
      </c>
      <c r="O344" s="2" t="s">
        <v>2038</v>
      </c>
      <c r="P344" s="9" t="str">
        <f>VLOOKUP($O344,'Liste des Villes'!$B$2:$B$1128,1,FALSE)</f>
        <v>Terrebonne</v>
      </c>
      <c r="Q344" s="9" t="str">
        <f>IFERROR($P344,PROPER(VLOOKUP($O344,'Villes en erreur'!$A$2:$B$72,2,FALSE)))</f>
        <v>Terrebonne</v>
      </c>
      <c r="R344" s="9" t="s">
        <v>2039</v>
      </c>
      <c r="S344" s="9" t="str">
        <f>IF(ISBLANK($R344),"",VLOOKUP($R344,'Liste des Villes'!$B$2:$H$1128,4,FALSE))</f>
        <v>Lanaudière</v>
      </c>
      <c r="T344" s="2" t="s">
        <v>2293</v>
      </c>
      <c r="U344" s="2" t="s">
        <v>39</v>
      </c>
      <c r="V344" s="2" t="s">
        <v>40</v>
      </c>
      <c r="W344" s="2" t="s">
        <v>2294</v>
      </c>
      <c r="X344" s="2"/>
      <c r="Y344" s="2"/>
      <c r="Z344" s="2"/>
      <c r="AA344" s="2" t="s">
        <v>149</v>
      </c>
      <c r="AB344" s="2" t="s">
        <v>150</v>
      </c>
      <c r="AC344" s="4" t="s">
        <v>44</v>
      </c>
    </row>
    <row r="345" spans="1:29" x14ac:dyDescent="0.25">
      <c r="A345" s="1">
        <v>2108</v>
      </c>
      <c r="B345" s="17" t="s">
        <v>2295</v>
      </c>
      <c r="C345" s="2" t="s">
        <v>2296</v>
      </c>
      <c r="D345" s="15" t="s">
        <v>1608</v>
      </c>
      <c r="E345" s="9" t="s">
        <v>495</v>
      </c>
      <c r="F345" s="9" t="s">
        <v>531</v>
      </c>
      <c r="G345" s="9" t="s">
        <v>616</v>
      </c>
      <c r="H345" s="2" t="s">
        <v>60</v>
      </c>
      <c r="I345" s="3">
        <v>30536</v>
      </c>
      <c r="J345" s="9" t="str">
        <f t="shared" ca="1" si="6"/>
        <v>40 ans</v>
      </c>
      <c r="K345" s="2" t="s">
        <v>36</v>
      </c>
      <c r="L345" s="2" t="str">
        <f>"12"</f>
        <v>12</v>
      </c>
      <c r="M345" s="2"/>
      <c r="N345" s="2" t="str">
        <f>"20E AVENUE"</f>
        <v>20E AVENUE</v>
      </c>
      <c r="O345" s="2" t="s">
        <v>2038</v>
      </c>
      <c r="P345" s="9" t="str">
        <f>VLOOKUP($O345,'Liste des Villes'!$B$2:$B$1128,1,FALSE)</f>
        <v>Terrebonne</v>
      </c>
      <c r="Q345" s="9" t="str">
        <f>IFERROR($P345,PROPER(VLOOKUP($O345,'Villes en erreur'!$A$2:$B$72,2,FALSE)))</f>
        <v>Terrebonne</v>
      </c>
      <c r="R345" s="9" t="s">
        <v>2039</v>
      </c>
      <c r="S345" s="9" t="str">
        <f>IF(ISBLANK($R345),"",VLOOKUP($R345,'Liste des Villes'!$B$2:$H$1128,4,FALSE))</f>
        <v>Lanaudière</v>
      </c>
      <c r="T345" s="2" t="s">
        <v>2224</v>
      </c>
      <c r="U345" s="2" t="s">
        <v>39</v>
      </c>
      <c r="V345" s="2" t="s">
        <v>40</v>
      </c>
      <c r="W345" s="2" t="s">
        <v>2297</v>
      </c>
      <c r="X345" s="2"/>
      <c r="Y345" s="2"/>
      <c r="Z345" s="2"/>
      <c r="AA345" s="2" t="s">
        <v>149</v>
      </c>
      <c r="AB345" s="2" t="s">
        <v>150</v>
      </c>
      <c r="AC345" s="4" t="s">
        <v>446</v>
      </c>
    </row>
    <row r="346" spans="1:29" x14ac:dyDescent="0.25">
      <c r="A346" s="1">
        <v>3135</v>
      </c>
      <c r="B346" s="17" t="s">
        <v>2298</v>
      </c>
      <c r="C346" s="2" t="s">
        <v>2299</v>
      </c>
      <c r="D346" s="15" t="s">
        <v>1025</v>
      </c>
      <c r="E346" s="9" t="s">
        <v>2049</v>
      </c>
      <c r="F346" s="9" t="s">
        <v>1113</v>
      </c>
      <c r="G346" s="9" t="s">
        <v>2300</v>
      </c>
      <c r="H346" s="2" t="s">
        <v>35</v>
      </c>
      <c r="I346" s="3">
        <v>29175</v>
      </c>
      <c r="J346" s="9" t="str">
        <f t="shared" ca="1" si="6"/>
        <v>43 ans</v>
      </c>
      <c r="K346" s="2" t="s">
        <v>36</v>
      </c>
      <c r="L346" s="2" t="str">
        <f>"7"</f>
        <v>7</v>
      </c>
      <c r="M346" s="2"/>
      <c r="N346" s="2" t="str">
        <f>"12E AV"</f>
        <v>12E AV</v>
      </c>
      <c r="O346" s="2" t="s">
        <v>2038</v>
      </c>
      <c r="P346" s="9" t="str">
        <f>VLOOKUP($O346,'Liste des Villes'!$B$2:$B$1128,1,FALSE)</f>
        <v>Terrebonne</v>
      </c>
      <c r="Q346" s="9" t="str">
        <f>IFERROR($P346,PROPER(VLOOKUP($O346,'Villes en erreur'!$A$2:$B$72,2,FALSE)))</f>
        <v>Terrebonne</v>
      </c>
      <c r="R346" s="9" t="s">
        <v>2039</v>
      </c>
      <c r="S346" s="9" t="str">
        <f>IF(ISBLANK($R346),"",VLOOKUP($R346,'Liste des Villes'!$B$2:$H$1128,4,FALSE))</f>
        <v>Lanaudière</v>
      </c>
      <c r="T346" s="2" t="s">
        <v>2301</v>
      </c>
      <c r="U346" s="2" t="s">
        <v>39</v>
      </c>
      <c r="V346" s="2" t="s">
        <v>40</v>
      </c>
      <c r="W346" s="2" t="s">
        <v>2302</v>
      </c>
      <c r="X346" s="2"/>
      <c r="Y346" s="2"/>
      <c r="Z346" s="2"/>
      <c r="AA346" s="2" t="s">
        <v>149</v>
      </c>
      <c r="AB346" s="2" t="s">
        <v>1969</v>
      </c>
      <c r="AC346" s="4" t="s">
        <v>446</v>
      </c>
    </row>
    <row r="347" spans="1:29" x14ac:dyDescent="0.25">
      <c r="A347" s="1">
        <v>3298</v>
      </c>
      <c r="B347" s="17" t="s">
        <v>2303</v>
      </c>
      <c r="C347" s="2" t="s">
        <v>2304</v>
      </c>
      <c r="D347" s="15" t="s">
        <v>2305</v>
      </c>
      <c r="E347" s="9" t="s">
        <v>1986</v>
      </c>
      <c r="F347" s="9" t="s">
        <v>982</v>
      </c>
      <c r="G347" s="9" t="s">
        <v>1410</v>
      </c>
      <c r="H347" s="2" t="s">
        <v>35</v>
      </c>
      <c r="I347" s="3">
        <v>30275</v>
      </c>
      <c r="J347" s="9" t="str">
        <f t="shared" ca="1" si="6"/>
        <v>40 ans</v>
      </c>
      <c r="K347" s="2" t="s">
        <v>36</v>
      </c>
      <c r="L347" s="2" t="str">
        <f>"11"</f>
        <v>11</v>
      </c>
      <c r="M347" s="2"/>
      <c r="N347" s="2" t="str">
        <f>"1RE AV"</f>
        <v>1RE AV</v>
      </c>
      <c r="O347" s="2" t="s">
        <v>2038</v>
      </c>
      <c r="P347" s="9" t="str">
        <f>VLOOKUP($O347,'Liste des Villes'!$B$2:$B$1128,1,FALSE)</f>
        <v>Terrebonne</v>
      </c>
      <c r="Q347" s="9" t="str">
        <f>IFERROR($P347,PROPER(VLOOKUP($O347,'Villes en erreur'!$A$2:$B$72,2,FALSE)))</f>
        <v>Terrebonne</v>
      </c>
      <c r="R347" s="9" t="s">
        <v>2039</v>
      </c>
      <c r="S347" s="9" t="str">
        <f>IF(ISBLANK($R347),"",VLOOKUP($R347,'Liste des Villes'!$B$2:$H$1128,4,FALSE))</f>
        <v>Lanaudière</v>
      </c>
      <c r="T347" s="2" t="s">
        <v>2306</v>
      </c>
      <c r="U347" s="2" t="s">
        <v>39</v>
      </c>
      <c r="V347" s="2" t="s">
        <v>40</v>
      </c>
      <c r="W347" s="2" t="s">
        <v>2307</v>
      </c>
      <c r="X347" s="2"/>
      <c r="Y347" s="2"/>
      <c r="Z347" s="2"/>
      <c r="AA347" s="2" t="s">
        <v>149</v>
      </c>
      <c r="AB347" s="2" t="s">
        <v>150</v>
      </c>
      <c r="AC347" s="4" t="s">
        <v>446</v>
      </c>
    </row>
    <row r="348" spans="1:29" x14ac:dyDescent="0.25">
      <c r="A348" s="1">
        <v>3331</v>
      </c>
      <c r="B348" s="17" t="s">
        <v>2308</v>
      </c>
      <c r="C348" s="2" t="s">
        <v>2309</v>
      </c>
      <c r="D348" s="15" t="s">
        <v>2310</v>
      </c>
      <c r="E348" s="9" t="s">
        <v>348</v>
      </c>
      <c r="F348" s="9" t="s">
        <v>621</v>
      </c>
      <c r="G348" s="9" t="s">
        <v>929</v>
      </c>
      <c r="H348" s="2" t="s">
        <v>35</v>
      </c>
      <c r="I348" s="3">
        <v>28560</v>
      </c>
      <c r="J348" s="9" t="str">
        <f t="shared" ca="1" si="6"/>
        <v>45 ans</v>
      </c>
      <c r="K348" s="2" t="s">
        <v>36</v>
      </c>
      <c r="L348" s="2" t="str">
        <f>"5"</f>
        <v>5</v>
      </c>
      <c r="M348" s="2"/>
      <c r="N348" s="2" t="str">
        <f>"118E AV"</f>
        <v>118E AV</v>
      </c>
      <c r="O348" s="2" t="s">
        <v>2038</v>
      </c>
      <c r="P348" s="9" t="str">
        <f>VLOOKUP($O348,'Liste des Villes'!$B$2:$B$1128,1,FALSE)</f>
        <v>Terrebonne</v>
      </c>
      <c r="Q348" s="9" t="str">
        <f>IFERROR($P348,PROPER(VLOOKUP($O348,'Villes en erreur'!$A$2:$B$72,2,FALSE)))</f>
        <v>Terrebonne</v>
      </c>
      <c r="R348" s="9" t="s">
        <v>2039</v>
      </c>
      <c r="S348" s="9" t="str">
        <f>IF(ISBLANK($R348),"",VLOOKUP($R348,'Liste des Villes'!$B$2:$H$1128,4,FALSE))</f>
        <v>Lanaudière</v>
      </c>
      <c r="T348" s="2" t="s">
        <v>2311</v>
      </c>
      <c r="U348" s="2" t="s">
        <v>39</v>
      </c>
      <c r="V348" s="2" t="s">
        <v>40</v>
      </c>
      <c r="W348" s="2" t="s">
        <v>2312</v>
      </c>
      <c r="X348" s="2"/>
      <c r="Y348" s="2"/>
      <c r="Z348" s="2"/>
      <c r="AA348" s="2" t="s">
        <v>149</v>
      </c>
      <c r="AB348" s="2" t="s">
        <v>1969</v>
      </c>
      <c r="AC348" s="4" t="s">
        <v>446</v>
      </c>
    </row>
    <row r="349" spans="1:29" x14ac:dyDescent="0.25">
      <c r="A349" s="1">
        <v>1569</v>
      </c>
      <c r="B349" s="17" t="s">
        <v>2313</v>
      </c>
      <c r="C349" s="2" t="s">
        <v>2314</v>
      </c>
      <c r="D349" s="15" t="s">
        <v>2315</v>
      </c>
      <c r="E349" s="9" t="s">
        <v>370</v>
      </c>
      <c r="F349" s="9" t="s">
        <v>2316</v>
      </c>
      <c r="G349" s="9" t="s">
        <v>929</v>
      </c>
      <c r="H349" s="2" t="s">
        <v>35</v>
      </c>
      <c r="I349" s="3">
        <v>28695</v>
      </c>
      <c r="J349" s="9" t="str">
        <f t="shared" ca="1" si="6"/>
        <v>45 ans</v>
      </c>
      <c r="K349" s="2" t="s">
        <v>36</v>
      </c>
      <c r="L349" s="2" t="str">
        <f>"5"</f>
        <v>5</v>
      </c>
      <c r="M349" s="2"/>
      <c r="N349" s="2" t="str">
        <f>"119E AV"</f>
        <v>119E AV</v>
      </c>
      <c r="O349" s="2" t="s">
        <v>2038</v>
      </c>
      <c r="P349" s="9" t="str">
        <f>VLOOKUP($O349,'Liste des Villes'!$B$2:$B$1128,1,FALSE)</f>
        <v>Terrebonne</v>
      </c>
      <c r="Q349" s="9" t="str">
        <f>IFERROR($P349,PROPER(VLOOKUP($O349,'Villes en erreur'!$A$2:$B$72,2,FALSE)))</f>
        <v>Terrebonne</v>
      </c>
      <c r="R349" s="9" t="s">
        <v>2039</v>
      </c>
      <c r="S349" s="9" t="str">
        <f>IF(ISBLANK($R349),"",VLOOKUP($R349,'Liste des Villes'!$B$2:$H$1128,4,FALSE))</f>
        <v>Lanaudière</v>
      </c>
      <c r="T349" s="2" t="s">
        <v>2317</v>
      </c>
      <c r="U349" s="2" t="s">
        <v>39</v>
      </c>
      <c r="V349" s="2" t="s">
        <v>40</v>
      </c>
      <c r="W349" s="2" t="s">
        <v>2318</v>
      </c>
      <c r="X349" s="2"/>
      <c r="Y349" s="2"/>
      <c r="Z349" s="2"/>
      <c r="AA349" s="2" t="s">
        <v>149</v>
      </c>
      <c r="AB349" s="2" t="s">
        <v>1969</v>
      </c>
      <c r="AC349" s="4" t="s">
        <v>446</v>
      </c>
    </row>
    <row r="350" spans="1:29" x14ac:dyDescent="0.25">
      <c r="A350" s="1">
        <v>3065</v>
      </c>
      <c r="B350" s="17" t="s">
        <v>2319</v>
      </c>
      <c r="C350" s="2" t="s">
        <v>2320</v>
      </c>
      <c r="D350" s="15" t="s">
        <v>2321</v>
      </c>
      <c r="E350" s="9" t="s">
        <v>348</v>
      </c>
      <c r="F350" s="9" t="s">
        <v>2322</v>
      </c>
      <c r="G350" s="9" t="s">
        <v>1410</v>
      </c>
      <c r="H350" s="2" t="s">
        <v>35</v>
      </c>
      <c r="I350" s="3">
        <v>29383</v>
      </c>
      <c r="J350" s="9" t="str">
        <f t="shared" ca="1" si="6"/>
        <v>43 ans</v>
      </c>
      <c r="K350" s="2" t="s">
        <v>36</v>
      </c>
      <c r="L350" s="2" t="str">
        <f>"8"</f>
        <v>8</v>
      </c>
      <c r="M350" s="2"/>
      <c r="N350" s="2" t="str">
        <f>"14E AV"</f>
        <v>14E AV</v>
      </c>
      <c r="O350" s="2" t="s">
        <v>2038</v>
      </c>
      <c r="P350" s="9" t="str">
        <f>VLOOKUP($O350,'Liste des Villes'!$B$2:$B$1128,1,FALSE)</f>
        <v>Terrebonne</v>
      </c>
      <c r="Q350" s="9" t="str">
        <f>IFERROR($P350,PROPER(VLOOKUP($O350,'Villes en erreur'!$A$2:$B$72,2,FALSE)))</f>
        <v>Terrebonne</v>
      </c>
      <c r="R350" s="9" t="s">
        <v>2039</v>
      </c>
      <c r="S350" s="9" t="str">
        <f>IF(ISBLANK($R350),"",VLOOKUP($R350,'Liste des Villes'!$B$2:$H$1128,4,FALSE))</f>
        <v>Lanaudière</v>
      </c>
      <c r="T350" s="2" t="s">
        <v>2323</v>
      </c>
      <c r="U350" s="2" t="s">
        <v>39</v>
      </c>
      <c r="V350" s="2" t="s">
        <v>40</v>
      </c>
      <c r="W350" s="2" t="s">
        <v>2324</v>
      </c>
      <c r="X350" s="2"/>
      <c r="Y350" s="2"/>
      <c r="Z350" s="2"/>
      <c r="AA350" s="2" t="s">
        <v>149</v>
      </c>
      <c r="AB350" s="2" t="s">
        <v>1969</v>
      </c>
      <c r="AC350" s="4" t="s">
        <v>446</v>
      </c>
    </row>
    <row r="351" spans="1:29" x14ac:dyDescent="0.25">
      <c r="A351" s="1">
        <v>1123</v>
      </c>
      <c r="B351" s="17" t="s">
        <v>2325</v>
      </c>
      <c r="C351" s="2" t="s">
        <v>2326</v>
      </c>
      <c r="D351" s="15" t="s">
        <v>2327</v>
      </c>
      <c r="E351" s="9" t="s">
        <v>154</v>
      </c>
      <c r="F351" s="9" t="s">
        <v>2328</v>
      </c>
      <c r="G351" s="9" t="s">
        <v>1410</v>
      </c>
      <c r="H351" s="2" t="s">
        <v>35</v>
      </c>
      <c r="I351" s="3">
        <v>29333</v>
      </c>
      <c r="J351" s="9" t="str">
        <f t="shared" ca="1" si="6"/>
        <v>43 ans</v>
      </c>
      <c r="K351" s="2" t="s">
        <v>36</v>
      </c>
      <c r="L351" s="2" t="str">
        <f>"8"</f>
        <v>8</v>
      </c>
      <c r="M351" s="2"/>
      <c r="N351" s="2" t="str">
        <f>"13E RUE"</f>
        <v>13E RUE</v>
      </c>
      <c r="O351" s="2" t="s">
        <v>2038</v>
      </c>
      <c r="P351" s="9" t="str">
        <f>VLOOKUP($O351,'Liste des Villes'!$B$2:$B$1128,1,FALSE)</f>
        <v>Terrebonne</v>
      </c>
      <c r="Q351" s="9" t="str">
        <f>IFERROR($P351,PROPER(VLOOKUP($O351,'Villes en erreur'!$A$2:$B$72,2,FALSE)))</f>
        <v>Terrebonne</v>
      </c>
      <c r="R351" s="9" t="s">
        <v>2039</v>
      </c>
      <c r="S351" s="9" t="str">
        <f>IF(ISBLANK($R351),"",VLOOKUP($R351,'Liste des Villes'!$B$2:$H$1128,4,FALSE))</f>
        <v>Lanaudière</v>
      </c>
      <c r="T351" s="2" t="s">
        <v>2329</v>
      </c>
      <c r="U351" s="2" t="s">
        <v>39</v>
      </c>
      <c r="V351" s="2" t="s">
        <v>40</v>
      </c>
      <c r="W351" s="2" t="s">
        <v>2330</v>
      </c>
      <c r="X351" s="2"/>
      <c r="Y351" s="2"/>
      <c r="Z351" s="2"/>
      <c r="AA351" s="2" t="s">
        <v>149</v>
      </c>
      <c r="AB351" s="2" t="s">
        <v>1969</v>
      </c>
      <c r="AC351" s="4" t="s">
        <v>446</v>
      </c>
    </row>
    <row r="352" spans="1:29" x14ac:dyDescent="0.25">
      <c r="A352" s="1">
        <v>491</v>
      </c>
      <c r="B352" s="17" t="s">
        <v>2331</v>
      </c>
      <c r="C352" s="2" t="s">
        <v>2332</v>
      </c>
      <c r="D352" s="15" t="s">
        <v>2333</v>
      </c>
      <c r="E352" s="9" t="s">
        <v>2334</v>
      </c>
      <c r="F352" s="9" t="s">
        <v>562</v>
      </c>
      <c r="G352" s="9" t="s">
        <v>1410</v>
      </c>
      <c r="H352" s="2" t="s">
        <v>35</v>
      </c>
      <c r="I352" s="3">
        <v>29683</v>
      </c>
      <c r="J352" s="9" t="str">
        <f t="shared" ca="1" si="6"/>
        <v>42 ans</v>
      </c>
      <c r="K352" s="2" t="s">
        <v>36</v>
      </c>
      <c r="L352" s="2" t="str">
        <f>"9"</f>
        <v>9</v>
      </c>
      <c r="M352" s="2"/>
      <c r="N352" s="2" t="str">
        <f>"15E AVENUE"</f>
        <v>15E AVENUE</v>
      </c>
      <c r="O352" s="2" t="s">
        <v>2038</v>
      </c>
      <c r="P352" s="9" t="str">
        <f>VLOOKUP($O352,'Liste des Villes'!$B$2:$B$1128,1,FALSE)</f>
        <v>Terrebonne</v>
      </c>
      <c r="Q352" s="9" t="str">
        <f>IFERROR($P352,PROPER(VLOOKUP($O352,'Villes en erreur'!$A$2:$B$72,2,FALSE)))</f>
        <v>Terrebonne</v>
      </c>
      <c r="R352" s="9" t="s">
        <v>2039</v>
      </c>
      <c r="S352" s="9" t="str">
        <f>IF(ISBLANK($R352),"",VLOOKUP($R352,'Liste des Villes'!$B$2:$H$1128,4,FALSE))</f>
        <v>Lanaudière</v>
      </c>
      <c r="T352" s="2" t="s">
        <v>2335</v>
      </c>
      <c r="U352" s="2" t="s">
        <v>39</v>
      </c>
      <c r="V352" s="2" t="s">
        <v>40</v>
      </c>
      <c r="W352" s="2" t="s">
        <v>2336</v>
      </c>
      <c r="X352" s="2"/>
      <c r="Y352" s="2"/>
      <c r="Z352" s="2"/>
      <c r="AA352" s="2" t="s">
        <v>149</v>
      </c>
      <c r="AB352" s="2" t="s">
        <v>1969</v>
      </c>
      <c r="AC352" s="4" t="s">
        <v>446</v>
      </c>
    </row>
    <row r="353" spans="1:29" x14ac:dyDescent="0.25">
      <c r="A353" s="1">
        <v>4176</v>
      </c>
      <c r="B353" s="17" t="s">
        <v>2337</v>
      </c>
      <c r="C353" s="2" t="s">
        <v>2338</v>
      </c>
      <c r="D353" s="15" t="s">
        <v>877</v>
      </c>
      <c r="E353" s="9" t="s">
        <v>2339</v>
      </c>
      <c r="F353" s="9" t="s">
        <v>875</v>
      </c>
      <c r="G353" s="9" t="s">
        <v>1410</v>
      </c>
      <c r="H353" s="2" t="s">
        <v>35</v>
      </c>
      <c r="I353" s="3">
        <v>30352</v>
      </c>
      <c r="J353" s="9" t="str">
        <f t="shared" ca="1" si="6"/>
        <v>40 ans</v>
      </c>
      <c r="K353" s="2" t="s">
        <v>36</v>
      </c>
      <c r="L353" s="2" t="str">
        <f>"11"</f>
        <v>11</v>
      </c>
      <c r="M353" s="2"/>
      <c r="N353" s="2" t="str">
        <f>"201E AV"</f>
        <v>201E AV</v>
      </c>
      <c r="O353" s="2" t="s">
        <v>2038</v>
      </c>
      <c r="P353" s="9" t="str">
        <f>VLOOKUP($O353,'Liste des Villes'!$B$2:$B$1128,1,FALSE)</f>
        <v>Terrebonne</v>
      </c>
      <c r="Q353" s="9" t="str">
        <f>IFERROR($P353,PROPER(VLOOKUP($O353,'Villes en erreur'!$A$2:$B$72,2,FALSE)))</f>
        <v>Terrebonne</v>
      </c>
      <c r="R353" s="9" t="s">
        <v>2039</v>
      </c>
      <c r="S353" s="9" t="str">
        <f>IF(ISBLANK($R353),"",VLOOKUP($R353,'Liste des Villes'!$B$2:$H$1128,4,FALSE))</f>
        <v>Lanaudière</v>
      </c>
      <c r="T353" s="2" t="s">
        <v>2340</v>
      </c>
      <c r="U353" s="2" t="s">
        <v>39</v>
      </c>
      <c r="V353" s="2" t="s">
        <v>40</v>
      </c>
      <c r="W353" s="2" t="s">
        <v>2341</v>
      </c>
      <c r="X353" s="2"/>
      <c r="Y353" s="2"/>
      <c r="Z353" s="2"/>
      <c r="AA353" s="2" t="s">
        <v>149</v>
      </c>
      <c r="AB353" s="2" t="s">
        <v>150</v>
      </c>
      <c r="AC353" s="4" t="s">
        <v>446</v>
      </c>
    </row>
    <row r="354" spans="1:29" x14ac:dyDescent="0.25">
      <c r="A354" s="1">
        <v>2471</v>
      </c>
      <c r="B354" s="17" t="s">
        <v>2342</v>
      </c>
      <c r="C354" s="2" t="s">
        <v>2343</v>
      </c>
      <c r="D354" s="15" t="s">
        <v>2344</v>
      </c>
      <c r="E354" s="9" t="s">
        <v>94</v>
      </c>
      <c r="F354" s="9" t="s">
        <v>1360</v>
      </c>
      <c r="G354" s="9" t="s">
        <v>1410</v>
      </c>
      <c r="H354" s="2" t="s">
        <v>35</v>
      </c>
      <c r="I354" s="3">
        <v>29641</v>
      </c>
      <c r="J354" s="9" t="str">
        <f t="shared" ca="1" si="6"/>
        <v>42 ans</v>
      </c>
      <c r="K354" s="2" t="s">
        <v>36</v>
      </c>
      <c r="L354" s="2" t="str">
        <f>"8"</f>
        <v>8</v>
      </c>
      <c r="M354" s="2"/>
      <c r="N354" s="2" t="str">
        <f>"15E AV"</f>
        <v>15E AV</v>
      </c>
      <c r="O354" s="2" t="s">
        <v>2038</v>
      </c>
      <c r="P354" s="9" t="str">
        <f>VLOOKUP($O354,'Liste des Villes'!$B$2:$B$1128,1,FALSE)</f>
        <v>Terrebonne</v>
      </c>
      <c r="Q354" s="9" t="str">
        <f>IFERROR($P354,PROPER(VLOOKUP($O354,'Villes en erreur'!$A$2:$B$72,2,FALSE)))</f>
        <v>Terrebonne</v>
      </c>
      <c r="R354" s="9" t="s">
        <v>2039</v>
      </c>
      <c r="S354" s="9" t="str">
        <f>IF(ISBLANK($R354),"",VLOOKUP($R354,'Liste des Villes'!$B$2:$H$1128,4,FALSE))</f>
        <v>Lanaudière</v>
      </c>
      <c r="T354" s="2" t="s">
        <v>2345</v>
      </c>
      <c r="U354" s="2" t="s">
        <v>39</v>
      </c>
      <c r="V354" s="2" t="s">
        <v>40</v>
      </c>
      <c r="W354" s="2" t="s">
        <v>2346</v>
      </c>
      <c r="X354" s="2"/>
      <c r="Y354" s="2"/>
      <c r="Z354" s="2"/>
      <c r="AA354" s="2" t="s">
        <v>149</v>
      </c>
      <c r="AB354" s="2" t="s">
        <v>1969</v>
      </c>
      <c r="AC354" s="4" t="s">
        <v>446</v>
      </c>
    </row>
    <row r="355" spans="1:29" x14ac:dyDescent="0.25">
      <c r="A355" s="1">
        <v>1482</v>
      </c>
      <c r="B355" s="17" t="s">
        <v>2347</v>
      </c>
      <c r="C355" s="2" t="s">
        <v>2348</v>
      </c>
      <c r="D355" s="15" t="s">
        <v>1523</v>
      </c>
      <c r="E355" s="9" t="s">
        <v>2349</v>
      </c>
      <c r="F355" s="9" t="s">
        <v>2350</v>
      </c>
      <c r="G355" s="9" t="s">
        <v>929</v>
      </c>
      <c r="H355" s="2" t="s">
        <v>35</v>
      </c>
      <c r="I355" s="3">
        <v>29139</v>
      </c>
      <c r="J355" s="9" t="str">
        <f t="shared" ca="1" si="6"/>
        <v>43 ans</v>
      </c>
      <c r="K355" s="2" t="s">
        <v>36</v>
      </c>
      <c r="L355" s="2" t="str">
        <f>"7"</f>
        <v>7</v>
      </c>
      <c r="M355" s="2"/>
      <c r="N355" s="2" t="str">
        <f>"129E AV"</f>
        <v>129E AV</v>
      </c>
      <c r="O355" s="2" t="s">
        <v>2038</v>
      </c>
      <c r="P355" s="9" t="str">
        <f>VLOOKUP($O355,'Liste des Villes'!$B$2:$B$1128,1,FALSE)</f>
        <v>Terrebonne</v>
      </c>
      <c r="Q355" s="9" t="str">
        <f>IFERROR($P355,PROPER(VLOOKUP($O355,'Villes en erreur'!$A$2:$B$72,2,FALSE)))</f>
        <v>Terrebonne</v>
      </c>
      <c r="R355" s="9" t="s">
        <v>2039</v>
      </c>
      <c r="S355" s="9" t="str">
        <f>IF(ISBLANK($R355),"",VLOOKUP($R355,'Liste des Villes'!$B$2:$H$1128,4,FALSE))</f>
        <v>Lanaudière</v>
      </c>
      <c r="T355" s="2" t="s">
        <v>2351</v>
      </c>
      <c r="U355" s="2" t="s">
        <v>39</v>
      </c>
      <c r="V355" s="2" t="s">
        <v>40</v>
      </c>
      <c r="W355" s="2" t="s">
        <v>2352</v>
      </c>
      <c r="X355" s="2"/>
      <c r="Y355" s="2"/>
      <c r="Z355" s="2"/>
      <c r="AA355" s="2" t="s">
        <v>149</v>
      </c>
      <c r="AB355" s="2" t="s">
        <v>1969</v>
      </c>
      <c r="AC355" s="4" t="s">
        <v>446</v>
      </c>
    </row>
    <row r="356" spans="1:29" x14ac:dyDescent="0.25">
      <c r="A356" s="1">
        <v>1102</v>
      </c>
      <c r="B356" s="17" t="s">
        <v>2353</v>
      </c>
      <c r="C356" s="2" t="s">
        <v>2354</v>
      </c>
      <c r="D356" s="15" t="s">
        <v>582</v>
      </c>
      <c r="E356" s="9" t="s">
        <v>2355</v>
      </c>
      <c r="F356" s="9" t="s">
        <v>2001</v>
      </c>
      <c r="G356" s="9" t="s">
        <v>2356</v>
      </c>
      <c r="H356" s="2" t="s">
        <v>60</v>
      </c>
      <c r="I356" s="3">
        <v>30489</v>
      </c>
      <c r="J356" s="9" t="str">
        <f t="shared" ca="1" si="6"/>
        <v>40 ans</v>
      </c>
      <c r="K356" s="2" t="s">
        <v>36</v>
      </c>
      <c r="L356" s="2" t="str">
        <f>"11"</f>
        <v>11</v>
      </c>
      <c r="M356" s="2"/>
      <c r="N356" s="2" t="str">
        <f>"20E AV NORD"</f>
        <v>20E AV NORD</v>
      </c>
      <c r="O356" s="2" t="s">
        <v>2038</v>
      </c>
      <c r="P356" s="9" t="str">
        <f>VLOOKUP($O356,'Liste des Villes'!$B$2:$B$1128,1,FALSE)</f>
        <v>Terrebonne</v>
      </c>
      <c r="Q356" s="9" t="str">
        <f>IFERROR($P356,PROPER(VLOOKUP($O356,'Villes en erreur'!$A$2:$B$72,2,FALSE)))</f>
        <v>Terrebonne</v>
      </c>
      <c r="R356" s="9" t="s">
        <v>2039</v>
      </c>
      <c r="S356" s="9" t="str">
        <f>IF(ISBLANK($R356),"",VLOOKUP($R356,'Liste des Villes'!$B$2:$H$1128,4,FALSE))</f>
        <v>Lanaudière</v>
      </c>
      <c r="T356" s="2" t="s">
        <v>2357</v>
      </c>
      <c r="U356" s="2" t="s">
        <v>39</v>
      </c>
      <c r="V356" s="2" t="s">
        <v>40</v>
      </c>
      <c r="W356" s="2" t="s">
        <v>2358</v>
      </c>
      <c r="X356" s="2"/>
      <c r="Y356" s="2"/>
      <c r="Z356" s="2"/>
      <c r="AA356" s="2" t="s">
        <v>149</v>
      </c>
      <c r="AB356" s="2" t="s">
        <v>150</v>
      </c>
      <c r="AC356" s="4" t="s">
        <v>446</v>
      </c>
    </row>
    <row r="357" spans="1:29" x14ac:dyDescent="0.25">
      <c r="A357" s="1">
        <v>510</v>
      </c>
      <c r="B357" s="17" t="s">
        <v>2359</v>
      </c>
      <c r="C357" s="2" t="s">
        <v>2360</v>
      </c>
      <c r="D357" s="15" t="s">
        <v>2115</v>
      </c>
      <c r="E357" s="9" t="s">
        <v>195</v>
      </c>
      <c r="F357" s="9" t="s">
        <v>2361</v>
      </c>
      <c r="G357" s="9" t="s">
        <v>616</v>
      </c>
      <c r="H357" s="2" t="s">
        <v>60</v>
      </c>
      <c r="I357" s="3">
        <v>30500</v>
      </c>
      <c r="J357" s="9" t="str">
        <f t="shared" ca="1" si="6"/>
        <v>40 ans</v>
      </c>
      <c r="K357" s="2" t="s">
        <v>36</v>
      </c>
      <c r="L357" s="2" t="str">
        <f>"11"</f>
        <v>11</v>
      </c>
      <c r="M357" s="2"/>
      <c r="N357" s="2" t="str">
        <f>"20E AV SUD"</f>
        <v>20E AV SUD</v>
      </c>
      <c r="O357" s="2" t="s">
        <v>2038</v>
      </c>
      <c r="P357" s="9" t="str">
        <f>VLOOKUP($O357,'Liste des Villes'!$B$2:$B$1128,1,FALSE)</f>
        <v>Terrebonne</v>
      </c>
      <c r="Q357" s="9" t="str">
        <f>IFERROR($P357,PROPER(VLOOKUP($O357,'Villes en erreur'!$A$2:$B$72,2,FALSE)))</f>
        <v>Terrebonne</v>
      </c>
      <c r="R357" s="9" t="s">
        <v>2039</v>
      </c>
      <c r="S357" s="9" t="str">
        <f>IF(ISBLANK($R357),"",VLOOKUP($R357,'Liste des Villes'!$B$2:$H$1128,4,FALSE))</f>
        <v>Lanaudière</v>
      </c>
      <c r="T357" s="2" t="s">
        <v>2362</v>
      </c>
      <c r="U357" s="2" t="s">
        <v>39</v>
      </c>
      <c r="V357" s="2" t="s">
        <v>40</v>
      </c>
      <c r="W357" s="2" t="s">
        <v>2363</v>
      </c>
      <c r="X357" s="2"/>
      <c r="Y357" s="2"/>
      <c r="Z357" s="2"/>
      <c r="AA357" s="2" t="s">
        <v>149</v>
      </c>
      <c r="AB357" s="2" t="s">
        <v>150</v>
      </c>
      <c r="AC357" s="4" t="s">
        <v>446</v>
      </c>
    </row>
    <row r="358" spans="1:29" x14ac:dyDescent="0.25">
      <c r="A358" s="1">
        <v>729</v>
      </c>
      <c r="B358" s="17" t="s">
        <v>2364</v>
      </c>
      <c r="C358" s="2" t="s">
        <v>598</v>
      </c>
      <c r="D358" s="15" t="s">
        <v>599</v>
      </c>
      <c r="E358" s="9" t="s">
        <v>600</v>
      </c>
      <c r="F358" s="9" t="s">
        <v>562</v>
      </c>
      <c r="G358" s="9" t="s">
        <v>1410</v>
      </c>
      <c r="H358" s="2" t="s">
        <v>35</v>
      </c>
      <c r="I358" s="3">
        <v>29714</v>
      </c>
      <c r="J358" s="9" t="str">
        <f t="shared" ca="1" si="6"/>
        <v>42 ans</v>
      </c>
      <c r="K358" s="2" t="s">
        <v>36</v>
      </c>
      <c r="L358" s="2" t="str">
        <f>"9"</f>
        <v>9</v>
      </c>
      <c r="M358" s="2"/>
      <c r="N358" s="2" t="str">
        <f>"15E AVENUE"</f>
        <v>15E AVENUE</v>
      </c>
      <c r="O358" s="2" t="s">
        <v>2038</v>
      </c>
      <c r="P358" s="9" t="str">
        <f>VLOOKUP($O358,'Liste des Villes'!$B$2:$B$1128,1,FALSE)</f>
        <v>Terrebonne</v>
      </c>
      <c r="Q358" s="9" t="str">
        <f>IFERROR($P358,PROPER(VLOOKUP($O358,'Villes en erreur'!$A$2:$B$72,2,FALSE)))</f>
        <v>Terrebonne</v>
      </c>
      <c r="R358" s="9" t="s">
        <v>2039</v>
      </c>
      <c r="S358" s="9" t="str">
        <f>IF(ISBLANK($R358),"",VLOOKUP($R358,'Liste des Villes'!$B$2:$H$1128,4,FALSE))</f>
        <v>Lanaudière</v>
      </c>
      <c r="T358" s="2" t="s">
        <v>2365</v>
      </c>
      <c r="U358" s="2" t="s">
        <v>39</v>
      </c>
      <c r="V358" s="2" t="s">
        <v>40</v>
      </c>
      <c r="W358" s="2" t="s">
        <v>2366</v>
      </c>
      <c r="X358" s="2"/>
      <c r="Y358" s="2"/>
      <c r="Z358" s="2"/>
      <c r="AA358" s="2" t="s">
        <v>149</v>
      </c>
      <c r="AB358" s="2" t="s">
        <v>1969</v>
      </c>
      <c r="AC358" s="4" t="s">
        <v>446</v>
      </c>
    </row>
    <row r="359" spans="1:29" x14ac:dyDescent="0.25">
      <c r="A359" s="1">
        <v>2107</v>
      </c>
      <c r="B359" s="17" t="s">
        <v>2367</v>
      </c>
      <c r="C359" s="2" t="s">
        <v>2368</v>
      </c>
      <c r="D359" s="15" t="s">
        <v>2369</v>
      </c>
      <c r="E359" s="9" t="s">
        <v>2370</v>
      </c>
      <c r="F359" s="9" t="s">
        <v>178</v>
      </c>
      <c r="G359" s="9" t="s">
        <v>1410</v>
      </c>
      <c r="H359" s="2" t="s">
        <v>35</v>
      </c>
      <c r="I359" s="3">
        <v>29963</v>
      </c>
      <c r="J359" s="9" t="str">
        <f t="shared" ca="1" si="6"/>
        <v>41 ans</v>
      </c>
      <c r="K359" s="2" t="s">
        <v>36</v>
      </c>
      <c r="L359" s="2" t="str">
        <f>"10"</f>
        <v>10</v>
      </c>
      <c r="M359" s="2"/>
      <c r="N359" s="2" t="str">
        <f>"18E AV"</f>
        <v>18E AV</v>
      </c>
      <c r="O359" s="2" t="s">
        <v>2038</v>
      </c>
      <c r="P359" s="9" t="str">
        <f>VLOOKUP($O359,'Liste des Villes'!$B$2:$B$1128,1,FALSE)</f>
        <v>Terrebonne</v>
      </c>
      <c r="Q359" s="9" t="str">
        <f>IFERROR($P359,PROPER(VLOOKUP($O359,'Villes en erreur'!$A$2:$B$72,2,FALSE)))</f>
        <v>Terrebonne</v>
      </c>
      <c r="R359" s="9" t="s">
        <v>2039</v>
      </c>
      <c r="S359" s="9" t="str">
        <f>IF(ISBLANK($R359),"",VLOOKUP($R359,'Liste des Villes'!$B$2:$H$1128,4,FALSE))</f>
        <v>Lanaudière</v>
      </c>
      <c r="T359" s="2" t="s">
        <v>2371</v>
      </c>
      <c r="U359" s="2" t="s">
        <v>39</v>
      </c>
      <c r="V359" s="2" t="s">
        <v>40</v>
      </c>
      <c r="W359" s="2" t="s">
        <v>2372</v>
      </c>
      <c r="X359" s="2"/>
      <c r="Y359" s="2"/>
      <c r="Z359" s="2"/>
      <c r="AA359" s="2" t="s">
        <v>149</v>
      </c>
      <c r="AB359" s="2" t="s">
        <v>1969</v>
      </c>
      <c r="AC359" s="4" t="s">
        <v>446</v>
      </c>
    </row>
    <row r="360" spans="1:29" x14ac:dyDescent="0.25">
      <c r="A360" s="1">
        <v>3549</v>
      </c>
      <c r="B360" s="17" t="s">
        <v>2373</v>
      </c>
      <c r="C360" s="2" t="s">
        <v>2374</v>
      </c>
      <c r="D360" s="15" t="s">
        <v>2375</v>
      </c>
      <c r="E360" s="9" t="s">
        <v>1416</v>
      </c>
      <c r="F360" s="9" t="s">
        <v>2376</v>
      </c>
      <c r="G360" s="9" t="s">
        <v>929</v>
      </c>
      <c r="H360" s="2" t="s">
        <v>35</v>
      </c>
      <c r="I360" s="3">
        <v>28992</v>
      </c>
      <c r="J360" s="9" t="str">
        <f t="shared" ca="1" si="6"/>
        <v>44 ans</v>
      </c>
      <c r="K360" s="2" t="s">
        <v>36</v>
      </c>
      <c r="L360" s="2" t="str">
        <f>"6"</f>
        <v>6</v>
      </c>
      <c r="M360" s="2"/>
      <c r="N360" s="2" t="str">
        <f>"120E AV"</f>
        <v>120E AV</v>
      </c>
      <c r="O360" s="2" t="s">
        <v>2038</v>
      </c>
      <c r="P360" s="9" t="str">
        <f>VLOOKUP($O360,'Liste des Villes'!$B$2:$B$1128,1,FALSE)</f>
        <v>Terrebonne</v>
      </c>
      <c r="Q360" s="9" t="str">
        <f>IFERROR($P360,PROPER(VLOOKUP($O360,'Villes en erreur'!$A$2:$B$72,2,FALSE)))</f>
        <v>Terrebonne</v>
      </c>
      <c r="R360" s="9" t="s">
        <v>2039</v>
      </c>
      <c r="S360" s="9" t="str">
        <f>IF(ISBLANK($R360),"",VLOOKUP($R360,'Liste des Villes'!$B$2:$H$1128,4,FALSE))</f>
        <v>Lanaudière</v>
      </c>
      <c r="T360" s="2" t="s">
        <v>2239</v>
      </c>
      <c r="U360" s="2" t="s">
        <v>39</v>
      </c>
      <c r="V360" s="2" t="s">
        <v>40</v>
      </c>
      <c r="W360" s="2" t="s">
        <v>2377</v>
      </c>
      <c r="X360" s="2"/>
      <c r="Y360" s="2"/>
      <c r="Z360" s="2"/>
      <c r="AA360" s="2" t="s">
        <v>149</v>
      </c>
      <c r="AB360" s="2" t="s">
        <v>1969</v>
      </c>
      <c r="AC360" s="4" t="s">
        <v>446</v>
      </c>
    </row>
    <row r="361" spans="1:29" x14ac:dyDescent="0.25">
      <c r="A361" s="1">
        <v>1401</v>
      </c>
      <c r="B361" s="17" t="s">
        <v>2378</v>
      </c>
      <c r="C361" s="2" t="s">
        <v>2379</v>
      </c>
      <c r="D361" s="15" t="s">
        <v>2380</v>
      </c>
      <c r="E361" s="9" t="s">
        <v>2381</v>
      </c>
      <c r="F361" s="9" t="s">
        <v>675</v>
      </c>
      <c r="G361" s="9" t="s">
        <v>616</v>
      </c>
      <c r="H361" s="2" t="s">
        <v>60</v>
      </c>
      <c r="I361" s="3">
        <v>30582</v>
      </c>
      <c r="J361" s="9" t="str">
        <f t="shared" ca="1" si="6"/>
        <v>39 ans</v>
      </c>
      <c r="K361" s="2" t="s">
        <v>36</v>
      </c>
      <c r="L361" s="2" t="str">
        <f>"12"</f>
        <v>12</v>
      </c>
      <c r="M361" s="2"/>
      <c r="N361" s="2" t="str">
        <f>"21E AV"</f>
        <v>21E AV</v>
      </c>
      <c r="O361" s="2" t="s">
        <v>2038</v>
      </c>
      <c r="P361" s="9" t="str">
        <f>VLOOKUP($O361,'Liste des Villes'!$B$2:$B$1128,1,FALSE)</f>
        <v>Terrebonne</v>
      </c>
      <c r="Q361" s="9" t="str">
        <f>IFERROR($P361,PROPER(VLOOKUP($O361,'Villes en erreur'!$A$2:$B$72,2,FALSE)))</f>
        <v>Terrebonne</v>
      </c>
      <c r="R361" s="9" t="s">
        <v>2039</v>
      </c>
      <c r="S361" s="9" t="str">
        <f>IF(ISBLANK($R361),"",VLOOKUP($R361,'Liste des Villes'!$B$2:$H$1128,4,FALSE))</f>
        <v>Lanaudière</v>
      </c>
      <c r="T361" s="2" t="s">
        <v>2076</v>
      </c>
      <c r="U361" s="2" t="s">
        <v>39</v>
      </c>
      <c r="V361" s="2" t="s">
        <v>40</v>
      </c>
      <c r="W361" s="2" t="s">
        <v>2382</v>
      </c>
      <c r="X361" s="2"/>
      <c r="Y361" s="2"/>
      <c r="Z361" s="2"/>
      <c r="AA361" s="2" t="s">
        <v>149</v>
      </c>
      <c r="AB361" s="2" t="s">
        <v>150</v>
      </c>
      <c r="AC361" s="4" t="s">
        <v>44</v>
      </c>
    </row>
    <row r="362" spans="1:29" x14ac:dyDescent="0.25">
      <c r="A362" s="1">
        <v>2958</v>
      </c>
      <c r="B362" s="17" t="s">
        <v>2383</v>
      </c>
      <c r="C362" s="2" t="s">
        <v>2384</v>
      </c>
      <c r="D362" s="15" t="s">
        <v>2385</v>
      </c>
      <c r="E362" s="9" t="s">
        <v>826</v>
      </c>
      <c r="F362" s="9" t="s">
        <v>2386</v>
      </c>
      <c r="G362" s="9" t="s">
        <v>219</v>
      </c>
      <c r="H362" s="2" t="s">
        <v>35</v>
      </c>
      <c r="I362" s="3">
        <v>30770</v>
      </c>
      <c r="J362" s="9" t="str">
        <f t="shared" ca="1" si="6"/>
        <v>39 ans</v>
      </c>
      <c r="K362" s="2" t="s">
        <v>36</v>
      </c>
      <c r="L362" s="2" t="str">
        <f>"12"</f>
        <v>12</v>
      </c>
      <c r="M362" s="2"/>
      <c r="N362" s="2" t="str">
        <f>"22E AV"</f>
        <v>22E AV</v>
      </c>
      <c r="O362" s="2" t="s">
        <v>2038</v>
      </c>
      <c r="P362" s="9" t="str">
        <f>VLOOKUP($O362,'Liste des Villes'!$B$2:$B$1128,1,FALSE)</f>
        <v>Terrebonne</v>
      </c>
      <c r="Q362" s="9" t="str">
        <f>IFERROR($P362,PROPER(VLOOKUP($O362,'Villes en erreur'!$A$2:$B$72,2,FALSE)))</f>
        <v>Terrebonne</v>
      </c>
      <c r="R362" s="9" t="s">
        <v>2039</v>
      </c>
      <c r="S362" s="9" t="str">
        <f>IF(ISBLANK($R362),"",VLOOKUP($R362,'Liste des Villes'!$B$2:$H$1128,4,FALSE))</f>
        <v>Lanaudière</v>
      </c>
      <c r="T362" s="2" t="s">
        <v>2387</v>
      </c>
      <c r="U362" s="2" t="s">
        <v>39</v>
      </c>
      <c r="V362" s="2" t="s">
        <v>40</v>
      </c>
      <c r="W362" s="2" t="s">
        <v>2388</v>
      </c>
      <c r="X362" s="2"/>
      <c r="Y362" s="2"/>
      <c r="Z362" s="2"/>
      <c r="AA362" s="2" t="s">
        <v>149</v>
      </c>
      <c r="AB362" s="2" t="s">
        <v>150</v>
      </c>
      <c r="AC362" s="4" t="s">
        <v>44</v>
      </c>
    </row>
    <row r="363" spans="1:29" x14ac:dyDescent="0.25">
      <c r="A363" s="1">
        <v>2899</v>
      </c>
      <c r="B363" s="17" t="s">
        <v>2389</v>
      </c>
      <c r="C363" s="2" t="s">
        <v>2390</v>
      </c>
      <c r="D363" s="15" t="s">
        <v>2391</v>
      </c>
      <c r="E363" s="9" t="s">
        <v>1410</v>
      </c>
      <c r="F363" s="9" t="s">
        <v>1523</v>
      </c>
      <c r="G363" s="9" t="s">
        <v>2392</v>
      </c>
      <c r="H363" s="2" t="s">
        <v>60</v>
      </c>
      <c r="I363" s="3">
        <v>30429</v>
      </c>
      <c r="J363" s="9" t="str">
        <f t="shared" ca="1" si="6"/>
        <v>40 ans</v>
      </c>
      <c r="K363" s="2" t="s">
        <v>36</v>
      </c>
      <c r="L363" s="2" t="str">
        <f>"11"</f>
        <v>11</v>
      </c>
      <c r="M363" s="2"/>
      <c r="N363" s="2" t="str">
        <f>"20E AV"</f>
        <v>20E AV</v>
      </c>
      <c r="O363" s="2" t="s">
        <v>2038</v>
      </c>
      <c r="P363" s="9" t="str">
        <f>VLOOKUP($O363,'Liste des Villes'!$B$2:$B$1128,1,FALSE)</f>
        <v>Terrebonne</v>
      </c>
      <c r="Q363" s="9" t="str">
        <f>IFERROR($P363,PROPER(VLOOKUP($O363,'Villes en erreur'!$A$2:$B$72,2,FALSE)))</f>
        <v>Terrebonne</v>
      </c>
      <c r="R363" s="9" t="s">
        <v>2039</v>
      </c>
      <c r="S363" s="9" t="str">
        <f>IF(ISBLANK($R363),"",VLOOKUP($R363,'Liste des Villes'!$B$2:$H$1128,4,FALSE))</f>
        <v>Lanaudière</v>
      </c>
      <c r="T363" s="2" t="s">
        <v>2393</v>
      </c>
      <c r="U363" s="2" t="s">
        <v>39</v>
      </c>
      <c r="V363" s="2" t="s">
        <v>40</v>
      </c>
      <c r="W363" s="2" t="s">
        <v>2394</v>
      </c>
      <c r="X363" s="2"/>
      <c r="Y363" s="2"/>
      <c r="Z363" s="2"/>
      <c r="AA363" s="2" t="s">
        <v>149</v>
      </c>
      <c r="AB363" s="2" t="s">
        <v>150</v>
      </c>
      <c r="AC363" s="4" t="s">
        <v>446</v>
      </c>
    </row>
    <row r="364" spans="1:29" x14ac:dyDescent="0.25">
      <c r="A364" s="1">
        <v>3833</v>
      </c>
      <c r="B364" s="17" t="s">
        <v>2395</v>
      </c>
      <c r="C364" s="2" t="s">
        <v>2396</v>
      </c>
      <c r="D364" s="15" t="s">
        <v>480</v>
      </c>
      <c r="E364" s="9" t="s">
        <v>2397</v>
      </c>
      <c r="F364" s="9" t="s">
        <v>478</v>
      </c>
      <c r="G364" s="9" t="s">
        <v>2398</v>
      </c>
      <c r="H364" s="2" t="s">
        <v>60</v>
      </c>
      <c r="I364" s="3">
        <v>30486</v>
      </c>
      <c r="J364" s="9" t="str">
        <f t="shared" ca="1" si="6"/>
        <v>40 ans</v>
      </c>
      <c r="K364" s="2" t="s">
        <v>36</v>
      </c>
      <c r="L364" s="2" t="str">
        <f>"11"</f>
        <v>11</v>
      </c>
      <c r="M364" s="2"/>
      <c r="N364" s="2" t="str">
        <f>"20E AV"</f>
        <v>20E AV</v>
      </c>
      <c r="O364" s="2" t="s">
        <v>2038</v>
      </c>
      <c r="P364" s="9" t="str">
        <f>VLOOKUP($O364,'Liste des Villes'!$B$2:$B$1128,1,FALSE)</f>
        <v>Terrebonne</v>
      </c>
      <c r="Q364" s="9" t="str">
        <f>IFERROR($P364,PROPER(VLOOKUP($O364,'Villes en erreur'!$A$2:$B$72,2,FALSE)))</f>
        <v>Terrebonne</v>
      </c>
      <c r="R364" s="9" t="s">
        <v>2039</v>
      </c>
      <c r="S364" s="9" t="str">
        <f>IF(ISBLANK($R364),"",VLOOKUP($R364,'Liste des Villes'!$B$2:$H$1128,4,FALSE))</f>
        <v>Lanaudière</v>
      </c>
      <c r="T364" s="2" t="s">
        <v>2399</v>
      </c>
      <c r="U364" s="2" t="s">
        <v>39</v>
      </c>
      <c r="V364" s="2" t="s">
        <v>40</v>
      </c>
      <c r="W364" s="2" t="s">
        <v>2400</v>
      </c>
      <c r="X364" s="2"/>
      <c r="Y364" s="2"/>
      <c r="Z364" s="2"/>
      <c r="AA364" s="2" t="s">
        <v>149</v>
      </c>
      <c r="AB364" s="2" t="s">
        <v>150</v>
      </c>
      <c r="AC364" s="4" t="s">
        <v>446</v>
      </c>
    </row>
    <row r="365" spans="1:29" x14ac:dyDescent="0.25">
      <c r="A365" s="1">
        <v>3252</v>
      </c>
      <c r="B365" s="17" t="s">
        <v>2401</v>
      </c>
      <c r="C365" s="2" t="s">
        <v>2402</v>
      </c>
      <c r="D365" s="15" t="s">
        <v>2403</v>
      </c>
      <c r="E365" s="9" t="s">
        <v>2404</v>
      </c>
      <c r="F365" s="9" t="s">
        <v>615</v>
      </c>
      <c r="G365" s="9" t="s">
        <v>616</v>
      </c>
      <c r="H365" s="2" t="s">
        <v>60</v>
      </c>
      <c r="I365" s="3">
        <v>30646</v>
      </c>
      <c r="J365" s="9" t="str">
        <f t="shared" ca="1" si="6"/>
        <v>39 ans</v>
      </c>
      <c r="K365" s="2" t="s">
        <v>36</v>
      </c>
      <c r="L365" s="2" t="str">
        <f>"12"</f>
        <v>12</v>
      </c>
      <c r="M365" s="2"/>
      <c r="N365" s="2" t="str">
        <f>"21E AV"</f>
        <v>21E AV</v>
      </c>
      <c r="O365" s="2" t="s">
        <v>2038</v>
      </c>
      <c r="P365" s="9" t="str">
        <f>VLOOKUP($O365,'Liste des Villes'!$B$2:$B$1128,1,FALSE)</f>
        <v>Terrebonne</v>
      </c>
      <c r="Q365" s="9" t="str">
        <f>IFERROR($P365,PROPER(VLOOKUP($O365,'Villes en erreur'!$A$2:$B$72,2,FALSE)))</f>
        <v>Terrebonne</v>
      </c>
      <c r="R365" s="9" t="s">
        <v>2039</v>
      </c>
      <c r="S365" s="9" t="str">
        <f>IF(ISBLANK($R365),"",VLOOKUP($R365,'Liste des Villes'!$B$2:$H$1128,4,FALSE))</f>
        <v>Lanaudière</v>
      </c>
      <c r="T365" s="2" t="s">
        <v>2405</v>
      </c>
      <c r="U365" s="2" t="s">
        <v>39</v>
      </c>
      <c r="V365" s="2" t="s">
        <v>40</v>
      </c>
      <c r="W365" s="2" t="s">
        <v>2406</v>
      </c>
      <c r="X365" s="2"/>
      <c r="Y365" s="2"/>
      <c r="Z365" s="2"/>
      <c r="AA365" s="2" t="s">
        <v>149</v>
      </c>
      <c r="AB365" s="2" t="s">
        <v>150</v>
      </c>
      <c r="AC365" s="4" t="s">
        <v>44</v>
      </c>
    </row>
    <row r="366" spans="1:29" x14ac:dyDescent="0.25">
      <c r="A366" s="1">
        <v>475</v>
      </c>
      <c r="B366" s="17" t="s">
        <v>2407</v>
      </c>
      <c r="C366" s="2" t="s">
        <v>2408</v>
      </c>
      <c r="D366" s="15" t="s">
        <v>2409</v>
      </c>
      <c r="E366" s="9" t="s">
        <v>92</v>
      </c>
      <c r="F366" s="9" t="s">
        <v>2410</v>
      </c>
      <c r="G366" s="9" t="s">
        <v>1410</v>
      </c>
      <c r="H366" s="2" t="s">
        <v>35</v>
      </c>
      <c r="I366" s="3">
        <v>29918</v>
      </c>
      <c r="J366" s="9" t="str">
        <f t="shared" ca="1" si="6"/>
        <v>41 ans</v>
      </c>
      <c r="K366" s="2" t="s">
        <v>36</v>
      </c>
      <c r="L366" s="2" t="str">
        <f>"10"</f>
        <v>10</v>
      </c>
      <c r="M366" s="2"/>
      <c r="N366" s="2" t="str">
        <f>"18E AV"</f>
        <v>18E AV</v>
      </c>
      <c r="O366" s="2" t="s">
        <v>2038</v>
      </c>
      <c r="P366" s="9" t="str">
        <f>VLOOKUP($O366,'Liste des Villes'!$B$2:$B$1128,1,FALSE)</f>
        <v>Terrebonne</v>
      </c>
      <c r="Q366" s="9" t="str">
        <f>IFERROR($P366,PROPER(VLOOKUP($O366,'Villes en erreur'!$A$2:$B$72,2,FALSE)))</f>
        <v>Terrebonne</v>
      </c>
      <c r="R366" s="9" t="s">
        <v>2039</v>
      </c>
      <c r="S366" s="9" t="str">
        <f>IF(ISBLANK($R366),"",VLOOKUP($R366,'Liste des Villes'!$B$2:$H$1128,4,FALSE))</f>
        <v>Lanaudière</v>
      </c>
      <c r="T366" s="2" t="s">
        <v>2411</v>
      </c>
      <c r="U366" s="2" t="s">
        <v>39</v>
      </c>
      <c r="V366" s="2" t="s">
        <v>40</v>
      </c>
      <c r="W366" s="2" t="s">
        <v>2412</v>
      </c>
      <c r="X366" s="2"/>
      <c r="Y366" s="2"/>
      <c r="Z366" s="2"/>
      <c r="AA366" s="2" t="s">
        <v>149</v>
      </c>
      <c r="AB366" s="2" t="s">
        <v>1969</v>
      </c>
      <c r="AC366" s="4" t="s">
        <v>446</v>
      </c>
    </row>
    <row r="367" spans="1:29" x14ac:dyDescent="0.25">
      <c r="A367" s="1">
        <v>1327</v>
      </c>
      <c r="B367" s="17" t="s">
        <v>2413</v>
      </c>
      <c r="C367" s="2" t="s">
        <v>2414</v>
      </c>
      <c r="D367" s="15" t="s">
        <v>2415</v>
      </c>
      <c r="E367" s="9" t="s">
        <v>2416</v>
      </c>
      <c r="F367" s="9" t="s">
        <v>363</v>
      </c>
      <c r="G367" s="9" t="s">
        <v>219</v>
      </c>
      <c r="H367" s="2" t="s">
        <v>35</v>
      </c>
      <c r="I367" s="3">
        <v>30719</v>
      </c>
      <c r="J367" s="9" t="str">
        <f t="shared" ca="1" si="6"/>
        <v>39 ans</v>
      </c>
      <c r="K367" s="2" t="s">
        <v>36</v>
      </c>
      <c r="L367" s="2" t="str">
        <f>"12"</f>
        <v>12</v>
      </c>
      <c r="M367" s="2"/>
      <c r="N367" s="2" t="str">
        <f>"21ème Rue"</f>
        <v>21ème Rue</v>
      </c>
      <c r="O367" s="2" t="s">
        <v>2038</v>
      </c>
      <c r="P367" s="9" t="str">
        <f>VLOOKUP($O367,'Liste des Villes'!$B$2:$B$1128,1,FALSE)</f>
        <v>Terrebonne</v>
      </c>
      <c r="Q367" s="9" t="str">
        <f>IFERROR($P367,PROPER(VLOOKUP($O367,'Villes en erreur'!$A$2:$B$72,2,FALSE)))</f>
        <v>Terrebonne</v>
      </c>
      <c r="R367" s="9" t="s">
        <v>2039</v>
      </c>
      <c r="S367" s="9" t="str">
        <f>IF(ISBLANK($R367),"",VLOOKUP($R367,'Liste des Villes'!$B$2:$H$1128,4,FALSE))</f>
        <v>Lanaudière</v>
      </c>
      <c r="T367" s="2" t="s">
        <v>2417</v>
      </c>
      <c r="U367" s="2" t="s">
        <v>39</v>
      </c>
      <c r="V367" s="2" t="s">
        <v>40</v>
      </c>
      <c r="W367" s="2" t="s">
        <v>2418</v>
      </c>
      <c r="X367" s="2"/>
      <c r="Y367" s="2"/>
      <c r="Z367" s="2"/>
      <c r="AA367" s="2" t="s">
        <v>149</v>
      </c>
      <c r="AB367" s="2" t="s">
        <v>150</v>
      </c>
      <c r="AC367" s="4" t="s">
        <v>44</v>
      </c>
    </row>
    <row r="368" spans="1:29" x14ac:dyDescent="0.25">
      <c r="A368" s="1">
        <v>1627</v>
      </c>
      <c r="B368" s="17" t="s">
        <v>2419</v>
      </c>
      <c r="C368" s="2" t="s">
        <v>2420</v>
      </c>
      <c r="D368" s="15" t="s">
        <v>2421</v>
      </c>
      <c r="E368" s="9" t="s">
        <v>2422</v>
      </c>
      <c r="F368" s="9" t="s">
        <v>2423</v>
      </c>
      <c r="G368" s="9" t="s">
        <v>1410</v>
      </c>
      <c r="H368" s="2" t="s">
        <v>35</v>
      </c>
      <c r="I368" s="3">
        <v>30231</v>
      </c>
      <c r="J368" s="9" t="str">
        <f t="shared" ca="1" si="6"/>
        <v>40 ans</v>
      </c>
      <c r="K368" s="2" t="s">
        <v>36</v>
      </c>
      <c r="L368" s="2" t="str">
        <f>"10"</f>
        <v>10</v>
      </c>
      <c r="M368" s="2"/>
      <c r="N368" s="2" t="str">
        <f>"1ère Rue Du Domaine-Bavarois"</f>
        <v>1ère Rue Du Domaine-Bavarois</v>
      </c>
      <c r="O368" s="2" t="s">
        <v>2038</v>
      </c>
      <c r="P368" s="9" t="str">
        <f>VLOOKUP($O368,'Liste des Villes'!$B$2:$B$1128,1,FALSE)</f>
        <v>Terrebonne</v>
      </c>
      <c r="Q368" s="9" t="str">
        <f>IFERROR($P368,PROPER(VLOOKUP($O368,'Villes en erreur'!$A$2:$B$72,2,FALSE)))</f>
        <v>Terrebonne</v>
      </c>
      <c r="R368" s="9" t="s">
        <v>2039</v>
      </c>
      <c r="S368" s="9" t="str">
        <f>IF(ISBLANK($R368),"",VLOOKUP($R368,'Liste des Villes'!$B$2:$H$1128,4,FALSE))</f>
        <v>Lanaudière</v>
      </c>
      <c r="T368" s="2" t="s">
        <v>2424</v>
      </c>
      <c r="U368" s="2" t="s">
        <v>39</v>
      </c>
      <c r="V368" s="2" t="s">
        <v>40</v>
      </c>
      <c r="W368" s="2" t="s">
        <v>2425</v>
      </c>
      <c r="X368" s="2"/>
      <c r="Y368" s="2"/>
      <c r="Z368" s="2"/>
      <c r="AA368" s="2" t="s">
        <v>149</v>
      </c>
      <c r="AB368" s="2" t="s">
        <v>1969</v>
      </c>
      <c r="AC368" s="4" t="s">
        <v>446</v>
      </c>
    </row>
    <row r="369" spans="1:29" x14ac:dyDescent="0.25">
      <c r="A369" s="1">
        <v>2643</v>
      </c>
      <c r="B369" s="17" t="s">
        <v>2426</v>
      </c>
      <c r="C369" s="2" t="s">
        <v>416</v>
      </c>
      <c r="D369" s="15" t="s">
        <v>417</v>
      </c>
      <c r="E369" s="9" t="s">
        <v>418</v>
      </c>
      <c r="F369" s="9" t="s">
        <v>2427</v>
      </c>
      <c r="G369" s="9" t="s">
        <v>929</v>
      </c>
      <c r="H369" s="2" t="s">
        <v>35</v>
      </c>
      <c r="I369" s="3">
        <v>29044</v>
      </c>
      <c r="J369" s="9" t="str">
        <f t="shared" ca="1" si="6"/>
        <v>44 ans</v>
      </c>
      <c r="K369" s="2" t="s">
        <v>36</v>
      </c>
      <c r="L369" s="2" t="str">
        <f>"6"</f>
        <v>6</v>
      </c>
      <c r="M369" s="2"/>
      <c r="N369" s="2" t="str">
        <f>"124E AV"</f>
        <v>124E AV</v>
      </c>
      <c r="O369" s="2" t="s">
        <v>2038</v>
      </c>
      <c r="P369" s="9" t="str">
        <f>VLOOKUP($O369,'Liste des Villes'!$B$2:$B$1128,1,FALSE)</f>
        <v>Terrebonne</v>
      </c>
      <c r="Q369" s="9" t="str">
        <f>IFERROR($P369,PROPER(VLOOKUP($O369,'Villes en erreur'!$A$2:$B$72,2,FALSE)))</f>
        <v>Terrebonne</v>
      </c>
      <c r="R369" s="9" t="s">
        <v>2039</v>
      </c>
      <c r="S369" s="9" t="str">
        <f>IF(ISBLANK($R369),"",VLOOKUP($R369,'Liste des Villes'!$B$2:$H$1128,4,FALSE))</f>
        <v>Lanaudière</v>
      </c>
      <c r="T369" s="2" t="s">
        <v>2428</v>
      </c>
      <c r="U369" s="2" t="s">
        <v>39</v>
      </c>
      <c r="V369" s="2" t="s">
        <v>40</v>
      </c>
      <c r="W369" s="2" t="s">
        <v>2429</v>
      </c>
      <c r="X369" s="2"/>
      <c r="Y369" s="2"/>
      <c r="Z369" s="2"/>
      <c r="AA369" s="2" t="s">
        <v>149</v>
      </c>
      <c r="AB369" s="2" t="s">
        <v>1969</v>
      </c>
      <c r="AC369" s="4" t="s">
        <v>446</v>
      </c>
    </row>
    <row r="370" spans="1:29" x14ac:dyDescent="0.25">
      <c r="A370" s="1">
        <v>2379</v>
      </c>
      <c r="B370" s="17" t="s">
        <v>2430</v>
      </c>
      <c r="C370" s="2" t="s">
        <v>2431</v>
      </c>
      <c r="D370" s="15" t="s">
        <v>2432</v>
      </c>
      <c r="E370" s="9" t="s">
        <v>2433</v>
      </c>
      <c r="F370" s="9" t="s">
        <v>2434</v>
      </c>
      <c r="G370" s="9" t="s">
        <v>616</v>
      </c>
      <c r="H370" s="2" t="s">
        <v>60</v>
      </c>
      <c r="I370" s="3">
        <v>30709</v>
      </c>
      <c r="J370" s="9" t="str">
        <f t="shared" ca="1" si="6"/>
        <v>39 ans</v>
      </c>
      <c r="K370" s="2" t="s">
        <v>36</v>
      </c>
      <c r="L370" s="2" t="str">
        <f>"12"</f>
        <v>12</v>
      </c>
      <c r="M370" s="2"/>
      <c r="N370" s="2" t="str">
        <f>"21E AV SUD"</f>
        <v>21E AV SUD</v>
      </c>
      <c r="O370" s="2" t="s">
        <v>2038</v>
      </c>
      <c r="P370" s="9" t="str">
        <f>VLOOKUP($O370,'Liste des Villes'!$B$2:$B$1128,1,FALSE)</f>
        <v>Terrebonne</v>
      </c>
      <c r="Q370" s="9" t="str">
        <f>IFERROR($P370,PROPER(VLOOKUP($O370,'Villes en erreur'!$A$2:$B$72,2,FALSE)))</f>
        <v>Terrebonne</v>
      </c>
      <c r="R370" s="9" t="s">
        <v>2039</v>
      </c>
      <c r="S370" s="9" t="str">
        <f>IF(ISBLANK($R370),"",VLOOKUP($R370,'Liste des Villes'!$B$2:$H$1128,4,FALSE))</f>
        <v>Lanaudière</v>
      </c>
      <c r="T370" s="2" t="s">
        <v>2435</v>
      </c>
      <c r="U370" s="2" t="s">
        <v>39</v>
      </c>
      <c r="V370" s="2" t="s">
        <v>40</v>
      </c>
      <c r="W370" s="2" t="s">
        <v>2436</v>
      </c>
      <c r="X370" s="2"/>
      <c r="Y370" s="2"/>
      <c r="Z370" s="2"/>
      <c r="AA370" s="2" t="s">
        <v>149</v>
      </c>
      <c r="AB370" s="2" t="s">
        <v>150</v>
      </c>
      <c r="AC370" s="4" t="s">
        <v>44</v>
      </c>
    </row>
    <row r="371" spans="1:29" x14ac:dyDescent="0.25">
      <c r="A371" s="1">
        <v>2836</v>
      </c>
      <c r="B371" s="17" t="s">
        <v>2437</v>
      </c>
      <c r="C371" s="2" t="s">
        <v>598</v>
      </c>
      <c r="D371" s="15" t="s">
        <v>599</v>
      </c>
      <c r="E371" s="9" t="s">
        <v>600</v>
      </c>
      <c r="F371" s="9" t="s">
        <v>562</v>
      </c>
      <c r="G371" s="9" t="s">
        <v>1410</v>
      </c>
      <c r="H371" s="2" t="s">
        <v>35</v>
      </c>
      <c r="I371" s="3">
        <v>29786</v>
      </c>
      <c r="J371" s="9" t="str">
        <f t="shared" ca="1" si="6"/>
        <v>42 ans</v>
      </c>
      <c r="K371" s="2" t="s">
        <v>36</v>
      </c>
      <c r="L371" s="2" t="str">
        <f>"9"</f>
        <v>9</v>
      </c>
      <c r="M371" s="2"/>
      <c r="N371" s="2" t="str">
        <f>"17E AV"</f>
        <v>17E AV</v>
      </c>
      <c r="O371" s="2" t="s">
        <v>2038</v>
      </c>
      <c r="P371" s="9" t="str">
        <f>VLOOKUP($O371,'Liste des Villes'!$B$2:$B$1128,1,FALSE)</f>
        <v>Terrebonne</v>
      </c>
      <c r="Q371" s="9" t="str">
        <f>IFERROR($P371,PROPER(VLOOKUP($O371,'Villes en erreur'!$A$2:$B$72,2,FALSE)))</f>
        <v>Terrebonne</v>
      </c>
      <c r="R371" s="9" t="s">
        <v>2039</v>
      </c>
      <c r="S371" s="9" t="str">
        <f>IF(ISBLANK($R371),"",VLOOKUP($R371,'Liste des Villes'!$B$2:$H$1128,4,FALSE))</f>
        <v>Lanaudière</v>
      </c>
      <c r="T371" s="2" t="s">
        <v>2438</v>
      </c>
      <c r="U371" s="2" t="s">
        <v>39</v>
      </c>
      <c r="V371" s="2" t="s">
        <v>40</v>
      </c>
      <c r="W371" s="2" t="s">
        <v>2439</v>
      </c>
      <c r="X371" s="2"/>
      <c r="Y371" s="2"/>
      <c r="Z371" s="2"/>
      <c r="AA371" s="2" t="s">
        <v>149</v>
      </c>
      <c r="AB371" s="2" t="s">
        <v>1969</v>
      </c>
      <c r="AC371" s="4" t="s">
        <v>446</v>
      </c>
    </row>
    <row r="372" spans="1:29" x14ac:dyDescent="0.25">
      <c r="A372" s="1">
        <v>2018</v>
      </c>
      <c r="B372" s="17" t="s">
        <v>2440</v>
      </c>
      <c r="C372" s="2" t="s">
        <v>2441</v>
      </c>
      <c r="D372" s="15" t="s">
        <v>2442</v>
      </c>
      <c r="E372" s="9" t="s">
        <v>1198</v>
      </c>
      <c r="F372" s="9" t="s">
        <v>718</v>
      </c>
      <c r="G372" s="9" t="s">
        <v>1410</v>
      </c>
      <c r="H372" s="2" t="s">
        <v>35</v>
      </c>
      <c r="I372" s="3">
        <v>30388</v>
      </c>
      <c r="J372" s="9" t="str">
        <f t="shared" ca="1" si="6"/>
        <v>40 ans</v>
      </c>
      <c r="K372" s="2" t="s">
        <v>36</v>
      </c>
      <c r="L372" s="2" t="str">
        <f>"11"</f>
        <v>11</v>
      </c>
      <c r="M372" s="2"/>
      <c r="N372" s="2" t="str">
        <f>"209E AV"</f>
        <v>209E AV</v>
      </c>
      <c r="O372" s="2" t="s">
        <v>2038</v>
      </c>
      <c r="P372" s="9" t="str">
        <f>VLOOKUP($O372,'Liste des Villes'!$B$2:$B$1128,1,FALSE)</f>
        <v>Terrebonne</v>
      </c>
      <c r="Q372" s="9" t="str">
        <f>IFERROR($P372,PROPER(VLOOKUP($O372,'Villes en erreur'!$A$2:$B$72,2,FALSE)))</f>
        <v>Terrebonne</v>
      </c>
      <c r="R372" s="9" t="s">
        <v>2039</v>
      </c>
      <c r="S372" s="9" t="str">
        <f>IF(ISBLANK($R372),"",VLOOKUP($R372,'Liste des Villes'!$B$2:$H$1128,4,FALSE))</f>
        <v>Lanaudière</v>
      </c>
      <c r="T372" s="2" t="s">
        <v>2340</v>
      </c>
      <c r="U372" s="2" t="s">
        <v>39</v>
      </c>
      <c r="V372" s="2" t="s">
        <v>40</v>
      </c>
      <c r="W372" s="2" t="s">
        <v>2443</v>
      </c>
      <c r="X372" s="2"/>
      <c r="Y372" s="2"/>
      <c r="Z372" s="2"/>
      <c r="AA372" s="2" t="s">
        <v>149</v>
      </c>
      <c r="AB372" s="2" t="s">
        <v>150</v>
      </c>
      <c r="AC372" s="4" t="s">
        <v>446</v>
      </c>
    </row>
    <row r="373" spans="1:29" x14ac:dyDescent="0.25">
      <c r="A373" s="1">
        <v>4211</v>
      </c>
      <c r="B373" s="17" t="s">
        <v>2444</v>
      </c>
      <c r="C373" s="2" t="s">
        <v>2445</v>
      </c>
      <c r="D373" s="15" t="s">
        <v>2446</v>
      </c>
      <c r="E373" s="9" t="s">
        <v>698</v>
      </c>
      <c r="F373" s="9" t="s">
        <v>2447</v>
      </c>
      <c r="G373" s="9" t="s">
        <v>1410</v>
      </c>
      <c r="H373" s="2" t="s">
        <v>35</v>
      </c>
      <c r="I373" s="3">
        <v>30295</v>
      </c>
      <c r="J373" s="9" t="str">
        <f t="shared" ca="1" si="6"/>
        <v>40 ans</v>
      </c>
      <c r="K373" s="2" t="s">
        <v>36</v>
      </c>
      <c r="L373" s="2" t="str">
        <f>"11"</f>
        <v>11</v>
      </c>
      <c r="M373" s="2"/>
      <c r="N373" s="2" t="str">
        <f>"1RE AVENUE DU LAC-VERT"</f>
        <v>1RE AVENUE DU LAC-VERT</v>
      </c>
      <c r="O373" s="2" t="s">
        <v>2038</v>
      </c>
      <c r="P373" s="9" t="str">
        <f>VLOOKUP($O373,'Liste des Villes'!$B$2:$B$1128,1,FALSE)</f>
        <v>Terrebonne</v>
      </c>
      <c r="Q373" s="9" t="str">
        <f>IFERROR($P373,PROPER(VLOOKUP($O373,'Villes en erreur'!$A$2:$B$72,2,FALSE)))</f>
        <v>Terrebonne</v>
      </c>
      <c r="R373" s="9" t="s">
        <v>2039</v>
      </c>
      <c r="S373" s="9" t="str">
        <f>IF(ISBLANK($R373),"",VLOOKUP($R373,'Liste des Villes'!$B$2:$H$1128,4,FALSE))</f>
        <v>Lanaudière</v>
      </c>
      <c r="T373" s="2" t="s">
        <v>2448</v>
      </c>
      <c r="U373" s="2" t="s">
        <v>39</v>
      </c>
      <c r="V373" s="2" t="s">
        <v>40</v>
      </c>
      <c r="W373" s="2" t="s">
        <v>2449</v>
      </c>
      <c r="X373" s="2"/>
      <c r="Y373" s="2"/>
      <c r="Z373" s="2"/>
      <c r="AA373" s="2" t="s">
        <v>149</v>
      </c>
      <c r="AB373" s="2" t="s">
        <v>150</v>
      </c>
      <c r="AC373" s="4" t="s">
        <v>446</v>
      </c>
    </row>
    <row r="374" spans="1:29" x14ac:dyDescent="0.25">
      <c r="A374" s="1">
        <v>3271</v>
      </c>
      <c r="B374" s="17" t="s">
        <v>2450</v>
      </c>
      <c r="C374" s="2" t="s">
        <v>2451</v>
      </c>
      <c r="D374" s="15" t="s">
        <v>504</v>
      </c>
      <c r="E374" s="9" t="s">
        <v>1673</v>
      </c>
      <c r="F374" s="9" t="s">
        <v>502</v>
      </c>
      <c r="G374" s="9" t="s">
        <v>1410</v>
      </c>
      <c r="H374" s="2" t="s">
        <v>35</v>
      </c>
      <c r="I374" s="3">
        <v>29750</v>
      </c>
      <c r="J374" s="9" t="str">
        <f t="shared" ca="1" si="6"/>
        <v>42 ans</v>
      </c>
      <c r="K374" s="2" t="s">
        <v>36</v>
      </c>
      <c r="L374" s="2" t="str">
        <f>"9"</f>
        <v>9</v>
      </c>
      <c r="M374" s="2"/>
      <c r="N374" s="2" t="str">
        <f>"16E AV"</f>
        <v>16E AV</v>
      </c>
      <c r="O374" s="2" t="s">
        <v>2038</v>
      </c>
      <c r="P374" s="9" t="str">
        <f>VLOOKUP($O374,'Liste des Villes'!$B$2:$B$1128,1,FALSE)</f>
        <v>Terrebonne</v>
      </c>
      <c r="Q374" s="9" t="str">
        <f>IFERROR($P374,PROPER(VLOOKUP($O374,'Villes en erreur'!$A$2:$B$72,2,FALSE)))</f>
        <v>Terrebonne</v>
      </c>
      <c r="R374" s="9" t="s">
        <v>2039</v>
      </c>
      <c r="S374" s="9" t="str">
        <f>IF(ISBLANK($R374),"",VLOOKUP($R374,'Liste des Villes'!$B$2:$H$1128,4,FALSE))</f>
        <v>Lanaudière</v>
      </c>
      <c r="T374" s="2" t="s">
        <v>2452</v>
      </c>
      <c r="U374" s="2" t="s">
        <v>39</v>
      </c>
      <c r="V374" s="2" t="s">
        <v>40</v>
      </c>
      <c r="W374" s="2" t="s">
        <v>2453</v>
      </c>
      <c r="X374" s="2"/>
      <c r="Y374" s="2"/>
      <c r="Z374" s="2"/>
      <c r="AA374" s="2" t="s">
        <v>149</v>
      </c>
      <c r="AB374" s="2" t="s">
        <v>1969</v>
      </c>
      <c r="AC374" s="4" t="s">
        <v>446</v>
      </c>
    </row>
    <row r="375" spans="1:29" x14ac:dyDescent="0.25">
      <c r="A375" s="1">
        <v>2358</v>
      </c>
      <c r="B375" s="17" t="s">
        <v>2454</v>
      </c>
      <c r="C375" s="2" t="s">
        <v>1103</v>
      </c>
      <c r="D375" s="15" t="s">
        <v>1104</v>
      </c>
      <c r="E375" s="9" t="s">
        <v>277</v>
      </c>
      <c r="F375" s="9" t="s">
        <v>2455</v>
      </c>
      <c r="G375" s="9" t="s">
        <v>1410</v>
      </c>
      <c r="H375" s="2" t="s">
        <v>35</v>
      </c>
      <c r="I375" s="3">
        <v>30050</v>
      </c>
      <c r="J375" s="9" t="str">
        <f t="shared" ca="1" si="6"/>
        <v>41 ans</v>
      </c>
      <c r="K375" s="2" t="s">
        <v>36</v>
      </c>
      <c r="L375" s="2" t="str">
        <f>"10"</f>
        <v>10</v>
      </c>
      <c r="M375" s="2"/>
      <c r="N375" s="2" t="str">
        <f>"19E AV"</f>
        <v>19E AV</v>
      </c>
      <c r="O375" s="2" t="s">
        <v>2038</v>
      </c>
      <c r="P375" s="9" t="str">
        <f>VLOOKUP($O375,'Liste des Villes'!$B$2:$B$1128,1,FALSE)</f>
        <v>Terrebonne</v>
      </c>
      <c r="Q375" s="9" t="str">
        <f>IFERROR($P375,PROPER(VLOOKUP($O375,'Villes en erreur'!$A$2:$B$72,2,FALSE)))</f>
        <v>Terrebonne</v>
      </c>
      <c r="R375" s="9" t="s">
        <v>2039</v>
      </c>
      <c r="S375" s="9" t="str">
        <f>IF(ISBLANK($R375),"",VLOOKUP($R375,'Liste des Villes'!$B$2:$H$1128,4,FALSE))</f>
        <v>Lanaudière</v>
      </c>
      <c r="T375" s="2" t="s">
        <v>2456</v>
      </c>
      <c r="U375" s="2" t="s">
        <v>39</v>
      </c>
      <c r="V375" s="2" t="s">
        <v>40</v>
      </c>
      <c r="W375" s="2" t="s">
        <v>2457</v>
      </c>
      <c r="X375" s="2"/>
      <c r="Y375" s="2"/>
      <c r="Z375" s="2"/>
      <c r="AA375" s="2" t="s">
        <v>149</v>
      </c>
      <c r="AB375" s="2" t="s">
        <v>1969</v>
      </c>
      <c r="AC375" s="4" t="s">
        <v>446</v>
      </c>
    </row>
    <row r="376" spans="1:29" x14ac:dyDescent="0.25">
      <c r="A376" s="1">
        <v>2714</v>
      </c>
      <c r="B376" s="17" t="s">
        <v>2458</v>
      </c>
      <c r="C376" s="2" t="s">
        <v>2459</v>
      </c>
      <c r="D376" s="15" t="s">
        <v>2460</v>
      </c>
      <c r="E376" s="9" t="s">
        <v>2461</v>
      </c>
      <c r="F376" s="9" t="s">
        <v>2462</v>
      </c>
      <c r="G376" s="9" t="s">
        <v>1410</v>
      </c>
      <c r="H376" s="2" t="s">
        <v>35</v>
      </c>
      <c r="I376" s="3">
        <v>29269</v>
      </c>
      <c r="J376" s="9" t="str">
        <f t="shared" ca="1" si="6"/>
        <v>43 ans</v>
      </c>
      <c r="K376" s="2" t="s">
        <v>36</v>
      </c>
      <c r="L376" s="2" t="str">
        <f>"8"</f>
        <v>8</v>
      </c>
      <c r="M376" s="2"/>
      <c r="N376" s="2" t="str">
        <f>"13E AV"</f>
        <v>13E AV</v>
      </c>
      <c r="O376" s="2" t="s">
        <v>2038</v>
      </c>
      <c r="P376" s="9" t="str">
        <f>VLOOKUP($O376,'Liste des Villes'!$B$2:$B$1128,1,FALSE)</f>
        <v>Terrebonne</v>
      </c>
      <c r="Q376" s="9" t="str">
        <f>IFERROR($P376,PROPER(VLOOKUP($O376,'Villes en erreur'!$A$2:$B$72,2,FALSE)))</f>
        <v>Terrebonne</v>
      </c>
      <c r="R376" s="9" t="s">
        <v>2039</v>
      </c>
      <c r="S376" s="9" t="str">
        <f>IF(ISBLANK($R376),"",VLOOKUP($R376,'Liste des Villes'!$B$2:$H$1128,4,FALSE))</f>
        <v>Lanaudière</v>
      </c>
      <c r="T376" s="2" t="s">
        <v>2463</v>
      </c>
      <c r="U376" s="2" t="s">
        <v>39</v>
      </c>
      <c r="V376" s="2" t="s">
        <v>40</v>
      </c>
      <c r="W376" s="2" t="s">
        <v>2464</v>
      </c>
      <c r="X376" s="2"/>
      <c r="Y376" s="2"/>
      <c r="Z376" s="2"/>
      <c r="AA376" s="2" t="s">
        <v>149</v>
      </c>
      <c r="AB376" s="2" t="s">
        <v>1969</v>
      </c>
      <c r="AC376" s="4" t="s">
        <v>446</v>
      </c>
    </row>
    <row r="377" spans="1:29" x14ac:dyDescent="0.25">
      <c r="A377" s="1">
        <v>3726</v>
      </c>
      <c r="B377" s="17" t="s">
        <v>2465</v>
      </c>
      <c r="C377" s="2" t="s">
        <v>2466</v>
      </c>
      <c r="D377" s="15" t="s">
        <v>2467</v>
      </c>
      <c r="E377" s="9" t="s">
        <v>2468</v>
      </c>
      <c r="F377" s="9" t="s">
        <v>2469</v>
      </c>
      <c r="G377" s="9" t="s">
        <v>1410</v>
      </c>
      <c r="H377" s="2" t="s">
        <v>35</v>
      </c>
      <c r="I377" s="3">
        <v>30180</v>
      </c>
      <c r="J377" s="9" t="str">
        <f t="shared" ca="1" si="6"/>
        <v>41 ans</v>
      </c>
      <c r="K377" s="2" t="s">
        <v>36</v>
      </c>
      <c r="L377" s="2" t="str">
        <f>"10"</f>
        <v>10</v>
      </c>
      <c r="M377" s="2"/>
      <c r="N377" s="2" t="str">
        <f>"1ER RANG O"</f>
        <v>1ER RANG O</v>
      </c>
      <c r="O377" s="2" t="s">
        <v>2038</v>
      </c>
      <c r="P377" s="9" t="str">
        <f>VLOOKUP($O377,'Liste des Villes'!$B$2:$B$1128,1,FALSE)</f>
        <v>Terrebonne</v>
      </c>
      <c r="Q377" s="9" t="str">
        <f>IFERROR($P377,PROPER(VLOOKUP($O377,'Villes en erreur'!$A$2:$B$72,2,FALSE)))</f>
        <v>Terrebonne</v>
      </c>
      <c r="R377" s="9" t="s">
        <v>2039</v>
      </c>
      <c r="S377" s="9" t="str">
        <f>IF(ISBLANK($R377),"",VLOOKUP($R377,'Liste des Villes'!$B$2:$H$1128,4,FALSE))</f>
        <v>Lanaudière</v>
      </c>
      <c r="T377" s="2" t="s">
        <v>2470</v>
      </c>
      <c r="U377" s="2" t="s">
        <v>39</v>
      </c>
      <c r="V377" s="2" t="s">
        <v>40</v>
      </c>
      <c r="W377" s="2" t="s">
        <v>2471</v>
      </c>
      <c r="X377" s="2"/>
      <c r="Y377" s="2"/>
      <c r="Z377" s="2"/>
      <c r="AA377" s="2" t="s">
        <v>149</v>
      </c>
      <c r="AB377" s="2" t="s">
        <v>1969</v>
      </c>
      <c r="AC377" s="4" t="s">
        <v>446</v>
      </c>
    </row>
    <row r="378" spans="1:29" x14ac:dyDescent="0.25">
      <c r="A378" s="1">
        <v>472</v>
      </c>
      <c r="B378" s="17" t="s">
        <v>2472</v>
      </c>
      <c r="C378" s="2" t="s">
        <v>2473</v>
      </c>
      <c r="D378" s="15" t="s">
        <v>2474</v>
      </c>
      <c r="E378" s="9" t="s">
        <v>2475</v>
      </c>
      <c r="F378" s="9" t="s">
        <v>2476</v>
      </c>
      <c r="G378" s="9" t="s">
        <v>219</v>
      </c>
      <c r="H378" s="2" t="s">
        <v>35</v>
      </c>
      <c r="I378" s="3">
        <v>30823</v>
      </c>
      <c r="J378" s="9" t="str">
        <f t="shared" ca="1" si="6"/>
        <v>39 ans</v>
      </c>
      <c r="K378" s="2" t="s">
        <v>36</v>
      </c>
      <c r="L378" s="2" t="str">
        <f>"12"</f>
        <v>12</v>
      </c>
      <c r="M378" s="2"/>
      <c r="N378" s="2" t="str">
        <f>"22E AV"</f>
        <v>22E AV</v>
      </c>
      <c r="O378" s="2" t="s">
        <v>2038</v>
      </c>
      <c r="P378" s="9" t="str">
        <f>VLOOKUP($O378,'Liste des Villes'!$B$2:$B$1128,1,FALSE)</f>
        <v>Terrebonne</v>
      </c>
      <c r="Q378" s="9" t="str">
        <f>IFERROR($P378,PROPER(VLOOKUP($O378,'Villes en erreur'!$A$2:$B$72,2,FALSE)))</f>
        <v>Terrebonne</v>
      </c>
      <c r="R378" s="9" t="s">
        <v>2039</v>
      </c>
      <c r="S378" s="9" t="str">
        <f>IF(ISBLANK($R378),"",VLOOKUP($R378,'Liste des Villes'!$B$2:$H$1128,4,FALSE))</f>
        <v>Lanaudière</v>
      </c>
      <c r="T378" s="2" t="s">
        <v>2293</v>
      </c>
      <c r="U378" s="2" t="s">
        <v>39</v>
      </c>
      <c r="V378" s="2" t="s">
        <v>40</v>
      </c>
      <c r="W378" s="2" t="s">
        <v>2477</v>
      </c>
      <c r="X378" s="2"/>
      <c r="Y378" s="2"/>
      <c r="Z378" s="2"/>
      <c r="AA378" s="2" t="s">
        <v>149</v>
      </c>
      <c r="AB378" s="2" t="s">
        <v>150</v>
      </c>
      <c r="AC378" s="4" t="s">
        <v>44</v>
      </c>
    </row>
    <row r="379" spans="1:29" x14ac:dyDescent="0.25">
      <c r="A379" s="1">
        <v>563</v>
      </c>
      <c r="B379" s="17" t="s">
        <v>2478</v>
      </c>
      <c r="C379" s="2" t="s">
        <v>2479</v>
      </c>
      <c r="D379" s="15" t="s">
        <v>2480</v>
      </c>
      <c r="E379" s="9" t="s">
        <v>539</v>
      </c>
      <c r="F379" s="9" t="s">
        <v>2481</v>
      </c>
      <c r="G379" s="9" t="s">
        <v>929</v>
      </c>
      <c r="H379" s="2" t="s">
        <v>35</v>
      </c>
      <c r="I379" s="3">
        <v>29150</v>
      </c>
      <c r="J379" s="9" t="str">
        <f t="shared" ca="1" si="6"/>
        <v>43 ans</v>
      </c>
      <c r="K379" s="2" t="s">
        <v>36</v>
      </c>
      <c r="L379" s="2" t="str">
        <f>"7"</f>
        <v>7</v>
      </c>
      <c r="M379" s="2"/>
      <c r="N379" s="2" t="str">
        <f>"129E AV"</f>
        <v>129E AV</v>
      </c>
      <c r="O379" s="2" t="s">
        <v>2038</v>
      </c>
      <c r="P379" s="9" t="str">
        <f>VLOOKUP($O379,'Liste des Villes'!$B$2:$B$1128,1,FALSE)</f>
        <v>Terrebonne</v>
      </c>
      <c r="Q379" s="9" t="str">
        <f>IFERROR($P379,PROPER(VLOOKUP($O379,'Villes en erreur'!$A$2:$B$72,2,FALSE)))</f>
        <v>Terrebonne</v>
      </c>
      <c r="R379" s="9" t="s">
        <v>2039</v>
      </c>
      <c r="S379" s="9" t="str">
        <f>IF(ISBLANK($R379),"",VLOOKUP($R379,'Liste des Villes'!$B$2:$H$1128,4,FALSE))</f>
        <v>Lanaudière</v>
      </c>
      <c r="T379" s="2" t="s">
        <v>2482</v>
      </c>
      <c r="U379" s="2" t="s">
        <v>39</v>
      </c>
      <c r="V379" s="2" t="s">
        <v>40</v>
      </c>
      <c r="W379" s="2" t="s">
        <v>2483</v>
      </c>
      <c r="X379" s="2"/>
      <c r="Y379" s="2"/>
      <c r="Z379" s="2"/>
      <c r="AA379" s="2" t="s">
        <v>149</v>
      </c>
      <c r="AB379" s="2" t="s">
        <v>1969</v>
      </c>
      <c r="AC379" s="4" t="s">
        <v>446</v>
      </c>
    </row>
    <row r="380" spans="1:29" x14ac:dyDescent="0.25">
      <c r="A380" s="1">
        <v>2810</v>
      </c>
      <c r="B380" s="17" t="s">
        <v>2484</v>
      </c>
      <c r="C380" s="2" t="s">
        <v>2485</v>
      </c>
      <c r="D380" s="15" t="s">
        <v>2486</v>
      </c>
      <c r="E380" s="9" t="s">
        <v>541</v>
      </c>
      <c r="F380" s="9" t="s">
        <v>2487</v>
      </c>
      <c r="G380" s="9" t="s">
        <v>1410</v>
      </c>
      <c r="H380" s="2" t="s">
        <v>35</v>
      </c>
      <c r="I380" s="3">
        <v>30108</v>
      </c>
      <c r="J380" s="9" t="str">
        <f t="shared" ca="1" si="6"/>
        <v>41 ans</v>
      </c>
      <c r="K380" s="2" t="s">
        <v>36</v>
      </c>
      <c r="L380" s="2" t="str">
        <f>"10"</f>
        <v>10</v>
      </c>
      <c r="M380" s="2"/>
      <c r="N380" s="2" t="str">
        <f>"1ER BOULEVARD"</f>
        <v>1ER BOULEVARD</v>
      </c>
      <c r="O380" s="2" t="s">
        <v>2038</v>
      </c>
      <c r="P380" s="9" t="str">
        <f>VLOOKUP($O380,'Liste des Villes'!$B$2:$B$1128,1,FALSE)</f>
        <v>Terrebonne</v>
      </c>
      <c r="Q380" s="9" t="str">
        <f>IFERROR($P380,PROPER(VLOOKUP($O380,'Villes en erreur'!$A$2:$B$72,2,FALSE)))</f>
        <v>Terrebonne</v>
      </c>
      <c r="R380" s="9" t="s">
        <v>2039</v>
      </c>
      <c r="S380" s="9" t="str">
        <f>IF(ISBLANK($R380),"",VLOOKUP($R380,'Liste des Villes'!$B$2:$H$1128,4,FALSE))</f>
        <v>Lanaudière</v>
      </c>
      <c r="T380" s="2" t="s">
        <v>2488</v>
      </c>
      <c r="U380" s="2" t="s">
        <v>39</v>
      </c>
      <c r="V380" s="2" t="s">
        <v>40</v>
      </c>
      <c r="W380" s="2" t="s">
        <v>2489</v>
      </c>
      <c r="X380" s="2"/>
      <c r="Y380" s="2"/>
      <c r="Z380" s="2"/>
      <c r="AA380" s="2" t="s">
        <v>149</v>
      </c>
      <c r="AB380" s="2" t="s">
        <v>1969</v>
      </c>
      <c r="AC380" s="4" t="s">
        <v>446</v>
      </c>
    </row>
    <row r="381" spans="1:29" x14ac:dyDescent="0.25">
      <c r="A381" s="1">
        <v>3004</v>
      </c>
      <c r="B381" s="17" t="s">
        <v>2490</v>
      </c>
      <c r="C381" s="2" t="s">
        <v>2491</v>
      </c>
      <c r="D381" s="15" t="s">
        <v>2492</v>
      </c>
      <c r="E381" s="9" t="s">
        <v>253</v>
      </c>
      <c r="F381" s="9" t="s">
        <v>726</v>
      </c>
      <c r="G381" s="9" t="s">
        <v>1410</v>
      </c>
      <c r="H381" s="2" t="s">
        <v>35</v>
      </c>
      <c r="I381" s="3">
        <v>30215</v>
      </c>
      <c r="J381" s="9" t="str">
        <f t="shared" ca="1" si="6"/>
        <v>40 ans</v>
      </c>
      <c r="K381" s="2" t="s">
        <v>36</v>
      </c>
      <c r="L381" s="2" t="str">
        <f>"10"</f>
        <v>10</v>
      </c>
      <c r="M381" s="2"/>
      <c r="N381" s="2" t="str">
        <f>"1ERE AVENUE"</f>
        <v>1ERE AVENUE</v>
      </c>
      <c r="O381" s="2" t="s">
        <v>2038</v>
      </c>
      <c r="P381" s="9" t="str">
        <f>VLOOKUP($O381,'Liste des Villes'!$B$2:$B$1128,1,FALSE)</f>
        <v>Terrebonne</v>
      </c>
      <c r="Q381" s="9" t="str">
        <f>IFERROR($P381,PROPER(VLOOKUP($O381,'Villes en erreur'!$A$2:$B$72,2,FALSE)))</f>
        <v>Terrebonne</v>
      </c>
      <c r="R381" s="9" t="s">
        <v>2039</v>
      </c>
      <c r="S381" s="9" t="str">
        <f>IF(ISBLANK($R381),"",VLOOKUP($R381,'Liste des Villes'!$B$2:$H$1128,4,FALSE))</f>
        <v>Lanaudière</v>
      </c>
      <c r="T381" s="2" t="s">
        <v>2493</v>
      </c>
      <c r="U381" s="2" t="s">
        <v>39</v>
      </c>
      <c r="V381" s="2" t="s">
        <v>40</v>
      </c>
      <c r="W381" s="2" t="s">
        <v>2494</v>
      </c>
      <c r="X381" s="2"/>
      <c r="Y381" s="2"/>
      <c r="Z381" s="2"/>
      <c r="AA381" s="2" t="s">
        <v>149</v>
      </c>
      <c r="AB381" s="2" t="s">
        <v>1969</v>
      </c>
      <c r="AC381" s="4" t="s">
        <v>446</v>
      </c>
    </row>
    <row r="382" spans="1:29" x14ac:dyDescent="0.25">
      <c r="A382" s="1">
        <v>2931</v>
      </c>
      <c r="B382" s="17" t="s">
        <v>2495</v>
      </c>
      <c r="C382" s="2" t="s">
        <v>2496</v>
      </c>
      <c r="D382" s="15" t="s">
        <v>2497</v>
      </c>
      <c r="E382" s="9" t="s">
        <v>2498</v>
      </c>
      <c r="F382" s="9" t="s">
        <v>2099</v>
      </c>
      <c r="G382" s="9" t="s">
        <v>929</v>
      </c>
      <c r="H382" s="2" t="s">
        <v>35</v>
      </c>
      <c r="I382" s="3">
        <v>28549</v>
      </c>
      <c r="J382" s="9" t="str">
        <f t="shared" ca="1" si="6"/>
        <v>45 ans</v>
      </c>
      <c r="K382" s="2" t="s">
        <v>36</v>
      </c>
      <c r="L382" s="2" t="str">
        <f>"5"</f>
        <v>5</v>
      </c>
      <c r="M382" s="2"/>
      <c r="N382" s="2" t="str">
        <f>"116E AVENUE"</f>
        <v>116E AVENUE</v>
      </c>
      <c r="O382" s="2" t="s">
        <v>2038</v>
      </c>
      <c r="P382" s="9" t="str">
        <f>VLOOKUP($O382,'Liste des Villes'!$B$2:$B$1128,1,FALSE)</f>
        <v>Terrebonne</v>
      </c>
      <c r="Q382" s="9" t="str">
        <f>IFERROR($P382,PROPER(VLOOKUP($O382,'Villes en erreur'!$A$2:$B$72,2,FALSE)))</f>
        <v>Terrebonne</v>
      </c>
      <c r="R382" s="9" t="s">
        <v>2039</v>
      </c>
      <c r="S382" s="9" t="str">
        <f>IF(ISBLANK($R382),"",VLOOKUP($R382,'Liste des Villes'!$B$2:$H$1128,4,FALSE))</f>
        <v>Lanaudière</v>
      </c>
      <c r="T382" s="2" t="s">
        <v>2499</v>
      </c>
      <c r="U382" s="2" t="s">
        <v>39</v>
      </c>
      <c r="V382" s="2" t="s">
        <v>40</v>
      </c>
      <c r="W382" s="2" t="s">
        <v>2500</v>
      </c>
      <c r="X382" s="2"/>
      <c r="Y382" s="2"/>
      <c r="Z382" s="2"/>
      <c r="AA382" s="2" t="s">
        <v>149</v>
      </c>
      <c r="AB382" s="2" t="s">
        <v>1969</v>
      </c>
      <c r="AC382" s="4" t="s">
        <v>446</v>
      </c>
    </row>
    <row r="383" spans="1:29" x14ac:dyDescent="0.25">
      <c r="A383" s="1">
        <v>3981</v>
      </c>
      <c r="B383" s="17" t="s">
        <v>2501</v>
      </c>
      <c r="C383" s="2" t="s">
        <v>2502</v>
      </c>
      <c r="D383" s="15" t="s">
        <v>2503</v>
      </c>
      <c r="E383" s="9" t="s">
        <v>2504</v>
      </c>
      <c r="F383" s="9" t="s">
        <v>2139</v>
      </c>
      <c r="G383" s="9" t="s">
        <v>1410</v>
      </c>
      <c r="H383" s="2" t="s">
        <v>35</v>
      </c>
      <c r="I383" s="3">
        <v>29557</v>
      </c>
      <c r="J383" s="9" t="str">
        <f t="shared" ca="1" si="6"/>
        <v>42 ans</v>
      </c>
      <c r="K383" s="2" t="s">
        <v>36</v>
      </c>
      <c r="L383" s="2" t="str">
        <f>"8"</f>
        <v>8</v>
      </c>
      <c r="M383" s="2"/>
      <c r="N383" s="2" t="str">
        <f>"152E AVENUE"</f>
        <v>152E AVENUE</v>
      </c>
      <c r="O383" s="2" t="s">
        <v>2038</v>
      </c>
      <c r="P383" s="9" t="str">
        <f>VLOOKUP($O383,'Liste des Villes'!$B$2:$B$1128,1,FALSE)</f>
        <v>Terrebonne</v>
      </c>
      <c r="Q383" s="9" t="str">
        <f>IFERROR($P383,PROPER(VLOOKUP($O383,'Villes en erreur'!$A$2:$B$72,2,FALSE)))</f>
        <v>Terrebonne</v>
      </c>
      <c r="R383" s="9" t="s">
        <v>2039</v>
      </c>
      <c r="S383" s="9" t="str">
        <f>IF(ISBLANK($R383),"",VLOOKUP($R383,'Liste des Villes'!$B$2:$H$1128,4,FALSE))</f>
        <v>Lanaudière</v>
      </c>
      <c r="T383" s="2" t="s">
        <v>2505</v>
      </c>
      <c r="U383" s="2" t="s">
        <v>39</v>
      </c>
      <c r="V383" s="2" t="s">
        <v>40</v>
      </c>
      <c r="W383" s="2" t="s">
        <v>2506</v>
      </c>
      <c r="X383" s="2"/>
      <c r="Y383" s="2"/>
      <c r="Z383" s="2"/>
      <c r="AA383" s="2" t="s">
        <v>149</v>
      </c>
      <c r="AB383" s="2" t="s">
        <v>1969</v>
      </c>
      <c r="AC383" s="4" t="s">
        <v>446</v>
      </c>
    </row>
    <row r="384" spans="1:29" x14ac:dyDescent="0.25">
      <c r="A384" s="1">
        <v>1830</v>
      </c>
      <c r="B384" s="17" t="s">
        <v>2507</v>
      </c>
      <c r="C384" s="2" t="s">
        <v>1103</v>
      </c>
      <c r="D384" s="15" t="s">
        <v>1104</v>
      </c>
      <c r="E384" s="9" t="s">
        <v>277</v>
      </c>
      <c r="F384" s="9" t="s">
        <v>2508</v>
      </c>
      <c r="G384" s="9" t="s">
        <v>1410</v>
      </c>
      <c r="H384" s="2" t="s">
        <v>35</v>
      </c>
      <c r="I384" s="3">
        <v>30272</v>
      </c>
      <c r="J384" s="9" t="str">
        <f t="shared" ca="1" si="6"/>
        <v>40 ans</v>
      </c>
      <c r="K384" s="2" t="s">
        <v>36</v>
      </c>
      <c r="L384" s="2" t="str">
        <f>"10"</f>
        <v>10</v>
      </c>
      <c r="M384" s="2"/>
      <c r="N384" s="2" t="str">
        <f>"1RE AV"</f>
        <v>1RE AV</v>
      </c>
      <c r="O384" s="2" t="s">
        <v>2038</v>
      </c>
      <c r="P384" s="9" t="str">
        <f>VLOOKUP($O384,'Liste des Villes'!$B$2:$B$1128,1,FALSE)</f>
        <v>Terrebonne</v>
      </c>
      <c r="Q384" s="9" t="str">
        <f>IFERROR($P384,PROPER(VLOOKUP($O384,'Villes en erreur'!$A$2:$B$72,2,FALSE)))</f>
        <v>Terrebonne</v>
      </c>
      <c r="R384" s="9" t="s">
        <v>2039</v>
      </c>
      <c r="S384" s="9" t="str">
        <f>IF(ISBLANK($R384),"",VLOOKUP($R384,'Liste des Villes'!$B$2:$H$1128,4,FALSE))</f>
        <v>Lanaudière</v>
      </c>
      <c r="T384" s="2" t="s">
        <v>2424</v>
      </c>
      <c r="U384" s="2" t="s">
        <v>39</v>
      </c>
      <c r="V384" s="2" t="s">
        <v>40</v>
      </c>
      <c r="W384" s="2" t="s">
        <v>2509</v>
      </c>
      <c r="X384" s="2"/>
      <c r="Y384" s="2"/>
      <c r="Z384" s="2"/>
      <c r="AA384" s="2" t="s">
        <v>149</v>
      </c>
      <c r="AB384" s="2" t="s">
        <v>1969</v>
      </c>
      <c r="AC384" s="4" t="s">
        <v>446</v>
      </c>
    </row>
    <row r="385" spans="1:29" x14ac:dyDescent="0.25">
      <c r="A385" s="1">
        <v>656</v>
      </c>
      <c r="B385" s="17" t="s">
        <v>2510</v>
      </c>
      <c r="C385" s="2" t="s">
        <v>2511</v>
      </c>
      <c r="D385" s="15" t="s">
        <v>304</v>
      </c>
      <c r="E385" s="9" t="s">
        <v>2512</v>
      </c>
      <c r="F385" s="9" t="s">
        <v>2513</v>
      </c>
      <c r="G385" s="9" t="s">
        <v>1410</v>
      </c>
      <c r="H385" s="2" t="s">
        <v>35</v>
      </c>
      <c r="I385" s="3">
        <v>29915</v>
      </c>
      <c r="J385" s="9" t="str">
        <f t="shared" ca="1" si="6"/>
        <v>41 ans</v>
      </c>
      <c r="K385" s="2" t="s">
        <v>36</v>
      </c>
      <c r="L385" s="2" t="str">
        <f>"10"</f>
        <v>10</v>
      </c>
      <c r="M385" s="2"/>
      <c r="N385" s="2" t="str">
        <f>"17E RUE"</f>
        <v>17E RUE</v>
      </c>
      <c r="O385" s="2" t="s">
        <v>2038</v>
      </c>
      <c r="P385" s="9" t="str">
        <f>VLOOKUP($O385,'Liste des Villes'!$B$2:$B$1128,1,FALSE)</f>
        <v>Terrebonne</v>
      </c>
      <c r="Q385" s="9" t="str">
        <f>IFERROR($P385,PROPER(VLOOKUP($O385,'Villes en erreur'!$A$2:$B$72,2,FALSE)))</f>
        <v>Terrebonne</v>
      </c>
      <c r="R385" s="9" t="s">
        <v>2039</v>
      </c>
      <c r="S385" s="9" t="str">
        <f>IF(ISBLANK($R385),"",VLOOKUP($R385,'Liste des Villes'!$B$2:$H$1128,4,FALSE))</f>
        <v>Lanaudière</v>
      </c>
      <c r="T385" s="2" t="s">
        <v>2514</v>
      </c>
      <c r="U385" s="2" t="s">
        <v>39</v>
      </c>
      <c r="V385" s="2" t="s">
        <v>40</v>
      </c>
      <c r="W385" s="2" t="s">
        <v>2515</v>
      </c>
      <c r="X385" s="2"/>
      <c r="Y385" s="2"/>
      <c r="Z385" s="2"/>
      <c r="AA385" s="2" t="s">
        <v>149</v>
      </c>
      <c r="AB385" s="2" t="s">
        <v>1969</v>
      </c>
      <c r="AC385" s="4" t="s">
        <v>446</v>
      </c>
    </row>
    <row r="386" spans="1:29" x14ac:dyDescent="0.25">
      <c r="A386" s="1">
        <v>1299</v>
      </c>
      <c r="B386" s="17" t="s">
        <v>2516</v>
      </c>
      <c r="C386" s="2" t="s">
        <v>2517</v>
      </c>
      <c r="D386" s="15" t="s">
        <v>2518</v>
      </c>
      <c r="E386" s="9" t="s">
        <v>260</v>
      </c>
      <c r="F386" s="9" t="s">
        <v>1256</v>
      </c>
      <c r="G386" s="9" t="s">
        <v>1410</v>
      </c>
      <c r="H386" s="2" t="s">
        <v>35</v>
      </c>
      <c r="I386" s="3">
        <v>30340</v>
      </c>
      <c r="J386" s="9" t="str">
        <f t="shared" ref="J386:J449" ca="1" si="7">_xlfn.CONCAT(INT((TODAY()-$I386)/365.25)," ans")</f>
        <v>40 ans</v>
      </c>
      <c r="K386" s="2" t="s">
        <v>36</v>
      </c>
      <c r="L386" s="2" t="str">
        <f>"11"</f>
        <v>11</v>
      </c>
      <c r="M386" s="2"/>
      <c r="N386" s="2" t="str">
        <f>"20 e Avenue Nord"</f>
        <v>20 e Avenue Nord</v>
      </c>
      <c r="O386" s="2" t="s">
        <v>2038</v>
      </c>
      <c r="P386" s="9" t="str">
        <f>VLOOKUP($O386,'Liste des Villes'!$B$2:$B$1128,1,FALSE)</f>
        <v>Terrebonne</v>
      </c>
      <c r="Q386" s="9" t="str">
        <f>IFERROR($P386,PROPER(VLOOKUP($O386,'Villes en erreur'!$A$2:$B$72,2,FALSE)))</f>
        <v>Terrebonne</v>
      </c>
      <c r="R386" s="9" t="s">
        <v>2039</v>
      </c>
      <c r="S386" s="9" t="str">
        <f>IF(ISBLANK($R386),"",VLOOKUP($R386,'Liste des Villes'!$B$2:$H$1128,4,FALSE))</f>
        <v>Lanaudière</v>
      </c>
      <c r="T386" s="2" t="s">
        <v>2519</v>
      </c>
      <c r="U386" s="2" t="s">
        <v>39</v>
      </c>
      <c r="V386" s="2" t="s">
        <v>40</v>
      </c>
      <c r="W386" s="2" t="s">
        <v>2520</v>
      </c>
      <c r="X386" s="2"/>
      <c r="Y386" s="2"/>
      <c r="Z386" s="2"/>
      <c r="AA386" s="2" t="s">
        <v>149</v>
      </c>
      <c r="AB386" s="2" t="s">
        <v>150</v>
      </c>
      <c r="AC386" s="4" t="s">
        <v>446</v>
      </c>
    </row>
    <row r="387" spans="1:29" x14ac:dyDescent="0.25">
      <c r="A387" s="1">
        <v>3255</v>
      </c>
      <c r="B387" s="17" t="s">
        <v>2521</v>
      </c>
      <c r="C387" s="2" t="s">
        <v>2522</v>
      </c>
      <c r="D387" s="15" t="s">
        <v>2523</v>
      </c>
      <c r="E387" s="9" t="s">
        <v>2524</v>
      </c>
      <c r="F387" s="9" t="s">
        <v>56</v>
      </c>
      <c r="G387" s="9" t="s">
        <v>676</v>
      </c>
      <c r="H387" s="2" t="s">
        <v>35</v>
      </c>
      <c r="I387" s="3">
        <v>29246</v>
      </c>
      <c r="J387" s="9" t="str">
        <f t="shared" ca="1" si="7"/>
        <v>43 ans</v>
      </c>
      <c r="K387" s="2" t="s">
        <v>36</v>
      </c>
      <c r="L387" s="2" t="str">
        <f>"7"</f>
        <v>7</v>
      </c>
      <c r="M387" s="2"/>
      <c r="N387" s="2" t="str">
        <f>"132DE SAVOIE"</f>
        <v>132DE SAVOIE</v>
      </c>
      <c r="O387" s="2" t="s">
        <v>2038</v>
      </c>
      <c r="P387" s="9" t="str">
        <f>VLOOKUP($O387,'Liste des Villes'!$B$2:$B$1128,1,FALSE)</f>
        <v>Terrebonne</v>
      </c>
      <c r="Q387" s="9" t="str">
        <f>IFERROR($P387,PROPER(VLOOKUP($O387,'Villes en erreur'!$A$2:$B$72,2,FALSE)))</f>
        <v>Terrebonne</v>
      </c>
      <c r="R387" s="9" t="s">
        <v>2039</v>
      </c>
      <c r="S387" s="9" t="str">
        <f>IF(ISBLANK($R387),"",VLOOKUP($R387,'Liste des Villes'!$B$2:$H$1128,4,FALSE))</f>
        <v>Lanaudière</v>
      </c>
      <c r="T387" s="2" t="s">
        <v>2525</v>
      </c>
      <c r="U387" s="2" t="s">
        <v>39</v>
      </c>
      <c r="V387" s="2" t="s">
        <v>40</v>
      </c>
      <c r="W387" s="2" t="s">
        <v>2526</v>
      </c>
      <c r="X387" s="2"/>
      <c r="Y387" s="2"/>
      <c r="Z387" s="2"/>
      <c r="AA387" s="2" t="s">
        <v>149</v>
      </c>
      <c r="AB387" s="2" t="s">
        <v>1969</v>
      </c>
      <c r="AC387" s="4" t="s">
        <v>446</v>
      </c>
    </row>
    <row r="388" spans="1:29" x14ac:dyDescent="0.25">
      <c r="A388" s="1">
        <v>748</v>
      </c>
      <c r="B388" s="17" t="s">
        <v>2527</v>
      </c>
      <c r="C388" s="2" t="s">
        <v>2528</v>
      </c>
      <c r="D388" s="15" t="s">
        <v>825</v>
      </c>
      <c r="E388" s="9" t="s">
        <v>2529</v>
      </c>
      <c r="F388" s="9" t="s">
        <v>827</v>
      </c>
      <c r="G388" s="9" t="s">
        <v>1410</v>
      </c>
      <c r="H388" s="2" t="s">
        <v>35</v>
      </c>
      <c r="I388" s="3">
        <v>29800</v>
      </c>
      <c r="J388" s="9" t="str">
        <f t="shared" ca="1" si="7"/>
        <v>42 ans</v>
      </c>
      <c r="K388" s="2" t="s">
        <v>36</v>
      </c>
      <c r="L388" s="2" t="str">
        <f>"9"</f>
        <v>9</v>
      </c>
      <c r="M388" s="2"/>
      <c r="N388" s="2" t="str">
        <f>"17E AV NORD"</f>
        <v>17E AV NORD</v>
      </c>
      <c r="O388" s="2" t="s">
        <v>2038</v>
      </c>
      <c r="P388" s="9" t="str">
        <f>VLOOKUP($O388,'Liste des Villes'!$B$2:$B$1128,1,FALSE)</f>
        <v>Terrebonne</v>
      </c>
      <c r="Q388" s="9" t="str">
        <f>IFERROR($P388,PROPER(VLOOKUP($O388,'Villes en erreur'!$A$2:$B$72,2,FALSE)))</f>
        <v>Terrebonne</v>
      </c>
      <c r="R388" s="9" t="s">
        <v>2039</v>
      </c>
      <c r="S388" s="9" t="str">
        <f>IF(ISBLANK($R388),"",VLOOKUP($R388,'Liste des Villes'!$B$2:$H$1128,4,FALSE))</f>
        <v>Lanaudière</v>
      </c>
      <c r="T388" s="2" t="s">
        <v>2530</v>
      </c>
      <c r="U388" s="2" t="s">
        <v>39</v>
      </c>
      <c r="V388" s="2" t="s">
        <v>40</v>
      </c>
      <c r="W388" s="2" t="s">
        <v>2531</v>
      </c>
      <c r="X388" s="2"/>
      <c r="Y388" s="2"/>
      <c r="Z388" s="2"/>
      <c r="AA388" s="2" t="s">
        <v>149</v>
      </c>
      <c r="AB388" s="2" t="s">
        <v>1969</v>
      </c>
      <c r="AC388" s="4" t="s">
        <v>446</v>
      </c>
    </row>
    <row r="389" spans="1:29" x14ac:dyDescent="0.25">
      <c r="A389" s="1">
        <v>4133</v>
      </c>
      <c r="B389" s="17" t="s">
        <v>2532</v>
      </c>
      <c r="C389" s="2" t="s">
        <v>2533</v>
      </c>
      <c r="D389" s="15" t="s">
        <v>2010</v>
      </c>
      <c r="E389" s="9" t="s">
        <v>743</v>
      </c>
      <c r="F389" s="9" t="s">
        <v>1076</v>
      </c>
      <c r="G389" s="9" t="s">
        <v>2534</v>
      </c>
      <c r="H389" s="2" t="s">
        <v>60</v>
      </c>
      <c r="I389" s="3">
        <v>30495</v>
      </c>
      <c r="J389" s="9" t="str">
        <f t="shared" ca="1" si="7"/>
        <v>40 ans</v>
      </c>
      <c r="K389" s="2" t="s">
        <v>36</v>
      </c>
      <c r="L389" s="2" t="str">
        <f>"11"</f>
        <v>11</v>
      </c>
      <c r="M389" s="2"/>
      <c r="N389" s="2" t="str">
        <f>"20E AV SUD"</f>
        <v>20E AV SUD</v>
      </c>
      <c r="O389" s="2" t="s">
        <v>2038</v>
      </c>
      <c r="P389" s="9" t="str">
        <f>VLOOKUP($O389,'Liste des Villes'!$B$2:$B$1128,1,FALSE)</f>
        <v>Terrebonne</v>
      </c>
      <c r="Q389" s="9" t="str">
        <f>IFERROR($P389,PROPER(VLOOKUP($O389,'Villes en erreur'!$A$2:$B$72,2,FALSE)))</f>
        <v>Terrebonne</v>
      </c>
      <c r="R389" s="9" t="s">
        <v>2039</v>
      </c>
      <c r="S389" s="9" t="str">
        <f>IF(ISBLANK($R389),"",VLOOKUP($R389,'Liste des Villes'!$B$2:$H$1128,4,FALSE))</f>
        <v>Lanaudière</v>
      </c>
      <c r="T389" s="2" t="s">
        <v>2535</v>
      </c>
      <c r="U389" s="2" t="s">
        <v>39</v>
      </c>
      <c r="V389" s="2" t="s">
        <v>40</v>
      </c>
      <c r="W389" s="2" t="s">
        <v>2536</v>
      </c>
      <c r="X389" s="2"/>
      <c r="Y389" s="2"/>
      <c r="Z389" s="2"/>
      <c r="AA389" s="2" t="s">
        <v>149</v>
      </c>
      <c r="AB389" s="2" t="s">
        <v>150</v>
      </c>
      <c r="AC389" s="4" t="s">
        <v>446</v>
      </c>
    </row>
    <row r="390" spans="1:29" x14ac:dyDescent="0.25">
      <c r="A390" s="1">
        <v>3036</v>
      </c>
      <c r="B390" s="17" t="s">
        <v>2537</v>
      </c>
      <c r="C390" s="2" t="s">
        <v>2538</v>
      </c>
      <c r="D390" s="15" t="s">
        <v>2539</v>
      </c>
      <c r="E390" s="9" t="s">
        <v>1341</v>
      </c>
      <c r="F390" s="9" t="s">
        <v>1773</v>
      </c>
      <c r="G390" s="9" t="s">
        <v>1410</v>
      </c>
      <c r="H390" s="2" t="s">
        <v>35</v>
      </c>
      <c r="I390" s="3">
        <v>29735</v>
      </c>
      <c r="J390" s="9" t="str">
        <f t="shared" ca="1" si="7"/>
        <v>42 ans</v>
      </c>
      <c r="K390" s="2" t="s">
        <v>36</v>
      </c>
      <c r="L390" s="2" t="str">
        <f>"9"</f>
        <v>9</v>
      </c>
      <c r="M390" s="2"/>
      <c r="N390" s="2" t="str">
        <f>"16E AV"</f>
        <v>16E AV</v>
      </c>
      <c r="O390" s="2" t="s">
        <v>2038</v>
      </c>
      <c r="P390" s="9" t="str">
        <f>VLOOKUP($O390,'Liste des Villes'!$B$2:$B$1128,1,FALSE)</f>
        <v>Terrebonne</v>
      </c>
      <c r="Q390" s="9" t="str">
        <f>IFERROR($P390,PROPER(VLOOKUP($O390,'Villes en erreur'!$A$2:$B$72,2,FALSE)))</f>
        <v>Terrebonne</v>
      </c>
      <c r="R390" s="9" t="s">
        <v>2039</v>
      </c>
      <c r="S390" s="9" t="str">
        <f>IF(ISBLANK($R390),"",VLOOKUP($R390,'Liste des Villes'!$B$2:$H$1128,4,FALSE))</f>
        <v>Lanaudière</v>
      </c>
      <c r="T390" s="2" t="s">
        <v>2081</v>
      </c>
      <c r="U390" s="2" t="s">
        <v>39</v>
      </c>
      <c r="V390" s="2" t="s">
        <v>40</v>
      </c>
      <c r="W390" s="2" t="s">
        <v>2540</v>
      </c>
      <c r="X390" s="2"/>
      <c r="Y390" s="2"/>
      <c r="Z390" s="2"/>
      <c r="AA390" s="2" t="s">
        <v>149</v>
      </c>
      <c r="AB390" s="2" t="s">
        <v>1969</v>
      </c>
      <c r="AC390" s="4" t="s">
        <v>446</v>
      </c>
    </row>
    <row r="391" spans="1:29" x14ac:dyDescent="0.25">
      <c r="A391" s="1">
        <v>154</v>
      </c>
      <c r="B391" s="17" t="s">
        <v>2541</v>
      </c>
      <c r="C391" s="2" t="s">
        <v>2542</v>
      </c>
      <c r="D391" s="15" t="s">
        <v>34</v>
      </c>
      <c r="E391" s="9" t="s">
        <v>341</v>
      </c>
      <c r="F391" s="9" t="s">
        <v>782</v>
      </c>
      <c r="G391" s="9" t="s">
        <v>616</v>
      </c>
      <c r="H391" s="2" t="s">
        <v>60</v>
      </c>
      <c r="I391" s="3">
        <v>30573</v>
      </c>
      <c r="J391" s="9" t="str">
        <f t="shared" ca="1" si="7"/>
        <v>39 ans</v>
      </c>
      <c r="K391" s="2" t="s">
        <v>36</v>
      </c>
      <c r="L391" s="2" t="str">
        <f>"12"</f>
        <v>12</v>
      </c>
      <c r="M391" s="2"/>
      <c r="N391" s="2" t="str">
        <f>"20E RUE"</f>
        <v>20E RUE</v>
      </c>
      <c r="O391" s="2" t="s">
        <v>2038</v>
      </c>
      <c r="P391" s="9" t="str">
        <f>VLOOKUP($O391,'Liste des Villes'!$B$2:$B$1128,1,FALSE)</f>
        <v>Terrebonne</v>
      </c>
      <c r="Q391" s="9" t="str">
        <f>IFERROR($P391,PROPER(VLOOKUP($O391,'Villes en erreur'!$A$2:$B$72,2,FALSE)))</f>
        <v>Terrebonne</v>
      </c>
      <c r="R391" s="9" t="s">
        <v>2039</v>
      </c>
      <c r="S391" s="9" t="str">
        <f>IF(ISBLANK($R391),"",VLOOKUP($R391,'Liste des Villes'!$B$2:$H$1128,4,FALSE))</f>
        <v>Lanaudière</v>
      </c>
      <c r="T391" s="2" t="s">
        <v>2543</v>
      </c>
      <c r="U391" s="2" t="s">
        <v>39</v>
      </c>
      <c r="V391" s="2" t="s">
        <v>40</v>
      </c>
      <c r="W391" s="2" t="s">
        <v>2544</v>
      </c>
      <c r="X391" s="2"/>
      <c r="Y391" s="2"/>
      <c r="Z391" s="2"/>
      <c r="AA391" s="2" t="s">
        <v>149</v>
      </c>
      <c r="AB391" s="2" t="s">
        <v>150</v>
      </c>
      <c r="AC391" s="4" t="s">
        <v>446</v>
      </c>
    </row>
    <row r="392" spans="1:29" x14ac:dyDescent="0.25">
      <c r="A392" s="1">
        <v>3568</v>
      </c>
      <c r="B392" s="17" t="s">
        <v>2545</v>
      </c>
      <c r="C392" s="2" t="s">
        <v>2546</v>
      </c>
      <c r="D392" s="15" t="s">
        <v>1441</v>
      </c>
      <c r="E392" s="9" t="s">
        <v>277</v>
      </c>
      <c r="F392" s="9" t="s">
        <v>1440</v>
      </c>
      <c r="G392" s="9" t="s">
        <v>1410</v>
      </c>
      <c r="H392" s="2" t="s">
        <v>35</v>
      </c>
      <c r="I392" s="3">
        <v>29524</v>
      </c>
      <c r="J392" s="9" t="str">
        <f t="shared" ca="1" si="7"/>
        <v>42 ans</v>
      </c>
      <c r="K392" s="2" t="s">
        <v>36</v>
      </c>
      <c r="L392" s="2" t="str">
        <f>"8"</f>
        <v>8</v>
      </c>
      <c r="M392" s="2"/>
      <c r="N392" s="2" t="str">
        <f>"14E AV SUD"</f>
        <v>14E AV SUD</v>
      </c>
      <c r="O392" s="2" t="s">
        <v>2038</v>
      </c>
      <c r="P392" s="9" t="str">
        <f>VLOOKUP($O392,'Liste des Villes'!$B$2:$B$1128,1,FALSE)</f>
        <v>Terrebonne</v>
      </c>
      <c r="Q392" s="9" t="str">
        <f>IFERROR($P392,PROPER(VLOOKUP($O392,'Villes en erreur'!$A$2:$B$72,2,FALSE)))</f>
        <v>Terrebonne</v>
      </c>
      <c r="R392" s="9" t="s">
        <v>2039</v>
      </c>
      <c r="S392" s="9" t="str">
        <f>IF(ISBLANK($R392),"",VLOOKUP($R392,'Liste des Villes'!$B$2:$H$1128,4,FALSE))</f>
        <v>Lanaudière</v>
      </c>
      <c r="T392" s="2" t="s">
        <v>2547</v>
      </c>
      <c r="U392" s="2" t="s">
        <v>39</v>
      </c>
      <c r="V392" s="2" t="s">
        <v>40</v>
      </c>
      <c r="W392" s="2" t="s">
        <v>2548</v>
      </c>
      <c r="X392" s="2"/>
      <c r="Y392" s="2"/>
      <c r="Z392" s="2"/>
      <c r="AA392" s="2" t="s">
        <v>149</v>
      </c>
      <c r="AB392" s="2" t="s">
        <v>1969</v>
      </c>
      <c r="AC392" s="4" t="s">
        <v>446</v>
      </c>
    </row>
    <row r="393" spans="1:29" x14ac:dyDescent="0.25">
      <c r="A393" s="1">
        <v>518</v>
      </c>
      <c r="B393" s="17" t="s">
        <v>2549</v>
      </c>
      <c r="C393" s="2" t="s">
        <v>2550</v>
      </c>
      <c r="D393" s="15" t="s">
        <v>2551</v>
      </c>
      <c r="E393" s="9" t="s">
        <v>2552</v>
      </c>
      <c r="F393" s="9" t="s">
        <v>562</v>
      </c>
      <c r="G393" s="9" t="s">
        <v>1410</v>
      </c>
      <c r="H393" s="2" t="s">
        <v>35</v>
      </c>
      <c r="I393" s="3">
        <v>29362</v>
      </c>
      <c r="J393" s="9" t="str">
        <f t="shared" ca="1" si="7"/>
        <v>43 ans</v>
      </c>
      <c r="K393" s="2" t="s">
        <v>36</v>
      </c>
      <c r="L393" s="2" t="str">
        <f>"8"</f>
        <v>8</v>
      </c>
      <c r="M393" s="2"/>
      <c r="N393" s="2" t="str">
        <f>"145E AV"</f>
        <v>145E AV</v>
      </c>
      <c r="O393" s="2" t="s">
        <v>2038</v>
      </c>
      <c r="P393" s="9" t="str">
        <f>VLOOKUP($O393,'Liste des Villes'!$B$2:$B$1128,1,FALSE)</f>
        <v>Terrebonne</v>
      </c>
      <c r="Q393" s="9" t="str">
        <f>IFERROR($P393,PROPER(VLOOKUP($O393,'Villes en erreur'!$A$2:$B$72,2,FALSE)))</f>
        <v>Terrebonne</v>
      </c>
      <c r="R393" s="9" t="s">
        <v>2039</v>
      </c>
      <c r="S393" s="9" t="str">
        <f>IF(ISBLANK($R393),"",VLOOKUP($R393,'Liste des Villes'!$B$2:$H$1128,4,FALSE))</f>
        <v>Lanaudière</v>
      </c>
      <c r="T393" s="2" t="s">
        <v>2553</v>
      </c>
      <c r="U393" s="2" t="s">
        <v>39</v>
      </c>
      <c r="V393" s="2" t="s">
        <v>40</v>
      </c>
      <c r="W393" s="2" t="s">
        <v>2554</v>
      </c>
      <c r="X393" s="2"/>
      <c r="Y393" s="2"/>
      <c r="Z393" s="2"/>
      <c r="AA393" s="2" t="s">
        <v>149</v>
      </c>
      <c r="AB393" s="2" t="s">
        <v>1969</v>
      </c>
      <c r="AC393" s="4" t="s">
        <v>446</v>
      </c>
    </row>
    <row r="394" spans="1:29" x14ac:dyDescent="0.25">
      <c r="A394" s="1">
        <v>3869</v>
      </c>
      <c r="B394" s="17" t="s">
        <v>2555</v>
      </c>
      <c r="C394" s="2" t="s">
        <v>1155</v>
      </c>
      <c r="D394" s="15" t="s">
        <v>1156</v>
      </c>
      <c r="E394" s="9" t="s">
        <v>137</v>
      </c>
      <c r="F394" s="9" t="s">
        <v>1157</v>
      </c>
      <c r="G394" s="9" t="s">
        <v>1410</v>
      </c>
      <c r="H394" s="2" t="s">
        <v>35</v>
      </c>
      <c r="I394" s="3">
        <v>30102</v>
      </c>
      <c r="J394" s="9" t="str">
        <f t="shared" ca="1" si="7"/>
        <v>41 ans</v>
      </c>
      <c r="K394" s="2" t="s">
        <v>36</v>
      </c>
      <c r="L394" s="2" t="str">
        <f>"10"</f>
        <v>10</v>
      </c>
      <c r="M394" s="2"/>
      <c r="N394" s="2" t="str">
        <f>"1ER BLVD"</f>
        <v>1ER BLVD</v>
      </c>
      <c r="O394" s="2" t="s">
        <v>2038</v>
      </c>
      <c r="P394" s="9" t="str">
        <f>VLOOKUP($O394,'Liste des Villes'!$B$2:$B$1128,1,FALSE)</f>
        <v>Terrebonne</v>
      </c>
      <c r="Q394" s="9" t="str">
        <f>IFERROR($P394,PROPER(VLOOKUP($O394,'Villes en erreur'!$A$2:$B$72,2,FALSE)))</f>
        <v>Terrebonne</v>
      </c>
      <c r="R394" s="9" t="s">
        <v>2039</v>
      </c>
      <c r="S394" s="9" t="str">
        <f>IF(ISBLANK($R394),"",VLOOKUP($R394,'Liste des Villes'!$B$2:$H$1128,4,FALSE))</f>
        <v>Lanaudière</v>
      </c>
      <c r="T394" s="2" t="s">
        <v>2556</v>
      </c>
      <c r="U394" s="2" t="s">
        <v>39</v>
      </c>
      <c r="V394" s="2" t="s">
        <v>40</v>
      </c>
      <c r="W394" s="2" t="s">
        <v>2557</v>
      </c>
      <c r="X394" s="2"/>
      <c r="Y394" s="2"/>
      <c r="Z394" s="2"/>
      <c r="AA394" s="2" t="s">
        <v>149</v>
      </c>
      <c r="AB394" s="2" t="s">
        <v>1969</v>
      </c>
      <c r="AC394" s="4" t="s">
        <v>446</v>
      </c>
    </row>
    <row r="395" spans="1:29" x14ac:dyDescent="0.25">
      <c r="A395" s="1">
        <v>3428</v>
      </c>
      <c r="B395" s="17" t="s">
        <v>2558</v>
      </c>
      <c r="C395" s="2" t="s">
        <v>2559</v>
      </c>
      <c r="D395" s="15" t="s">
        <v>2560</v>
      </c>
      <c r="E395" s="9" t="s">
        <v>2561</v>
      </c>
      <c r="F395" s="9" t="s">
        <v>1145</v>
      </c>
      <c r="G395" s="9" t="s">
        <v>1410</v>
      </c>
      <c r="H395" s="2" t="s">
        <v>35</v>
      </c>
      <c r="I395" s="3">
        <v>29393</v>
      </c>
      <c r="J395" s="9" t="str">
        <f t="shared" ca="1" si="7"/>
        <v>43 ans</v>
      </c>
      <c r="K395" s="2" t="s">
        <v>36</v>
      </c>
      <c r="L395" s="2" t="str">
        <f>"8"</f>
        <v>8</v>
      </c>
      <c r="M395" s="2"/>
      <c r="N395" s="2" t="str">
        <f>"14E AV"</f>
        <v>14E AV</v>
      </c>
      <c r="O395" s="2" t="s">
        <v>2038</v>
      </c>
      <c r="P395" s="9" t="str">
        <f>VLOOKUP($O395,'Liste des Villes'!$B$2:$B$1128,1,FALSE)</f>
        <v>Terrebonne</v>
      </c>
      <c r="Q395" s="9" t="str">
        <f>IFERROR($P395,PROPER(VLOOKUP($O395,'Villes en erreur'!$A$2:$B$72,2,FALSE)))</f>
        <v>Terrebonne</v>
      </c>
      <c r="R395" s="9" t="s">
        <v>2039</v>
      </c>
      <c r="S395" s="9" t="str">
        <f>IF(ISBLANK($R395),"",VLOOKUP($R395,'Liste des Villes'!$B$2:$H$1128,4,FALSE))</f>
        <v>Lanaudière</v>
      </c>
      <c r="T395" s="2" t="s">
        <v>2562</v>
      </c>
      <c r="U395" s="2" t="s">
        <v>39</v>
      </c>
      <c r="V395" s="2" t="s">
        <v>40</v>
      </c>
      <c r="W395" s="2" t="s">
        <v>2563</v>
      </c>
      <c r="X395" s="2"/>
      <c r="Y395" s="2"/>
      <c r="Z395" s="2"/>
      <c r="AA395" s="2" t="s">
        <v>149</v>
      </c>
      <c r="AB395" s="2" t="s">
        <v>1969</v>
      </c>
      <c r="AC395" s="4" t="s">
        <v>446</v>
      </c>
    </row>
    <row r="396" spans="1:29" x14ac:dyDescent="0.25">
      <c r="A396" s="1">
        <v>4457</v>
      </c>
      <c r="B396" s="17" t="s">
        <v>2564</v>
      </c>
      <c r="C396" s="2" t="s">
        <v>2565</v>
      </c>
      <c r="D396" s="15" t="s">
        <v>520</v>
      </c>
      <c r="E396" s="9" t="s">
        <v>1037</v>
      </c>
      <c r="F396" s="9" t="s">
        <v>518</v>
      </c>
      <c r="G396" s="9" t="s">
        <v>929</v>
      </c>
      <c r="H396" s="2" t="s">
        <v>35</v>
      </c>
      <c r="I396" s="3">
        <v>28950</v>
      </c>
      <c r="J396" s="9" t="str">
        <f t="shared" ca="1" si="7"/>
        <v>44 ans</v>
      </c>
      <c r="K396" s="2" t="s">
        <v>36</v>
      </c>
      <c r="L396" s="2" t="str">
        <f>"6"</f>
        <v>6</v>
      </c>
      <c r="M396" s="2"/>
      <c r="N396" s="2" t="str">
        <f>"11E RUE"</f>
        <v>11E RUE</v>
      </c>
      <c r="O396" s="2" t="s">
        <v>2038</v>
      </c>
      <c r="P396" s="9" t="str">
        <f>VLOOKUP($O396,'Liste des Villes'!$B$2:$B$1128,1,FALSE)</f>
        <v>Terrebonne</v>
      </c>
      <c r="Q396" s="9" t="str">
        <f>IFERROR($P396,PROPER(VLOOKUP($O396,'Villes en erreur'!$A$2:$B$72,2,FALSE)))</f>
        <v>Terrebonne</v>
      </c>
      <c r="R396" s="9" t="s">
        <v>2039</v>
      </c>
      <c r="S396" s="9" t="str">
        <f>IF(ISBLANK($R396),"",VLOOKUP($R396,'Liste des Villes'!$B$2:$H$1128,4,FALSE))</f>
        <v>Lanaudière</v>
      </c>
      <c r="T396" s="2" t="s">
        <v>2566</v>
      </c>
      <c r="U396" s="2" t="s">
        <v>39</v>
      </c>
      <c r="V396" s="2" t="s">
        <v>40</v>
      </c>
      <c r="W396" s="2" t="s">
        <v>2567</v>
      </c>
      <c r="X396" s="2"/>
      <c r="Y396" s="2"/>
      <c r="Z396" s="2"/>
      <c r="AA396" s="2" t="s">
        <v>149</v>
      </c>
      <c r="AB396" s="2" t="s">
        <v>1969</v>
      </c>
      <c r="AC396" s="4" t="s">
        <v>446</v>
      </c>
    </row>
    <row r="397" spans="1:29" x14ac:dyDescent="0.25">
      <c r="A397" s="1">
        <v>3141</v>
      </c>
      <c r="B397" s="17" t="s">
        <v>2568</v>
      </c>
      <c r="C397" s="2" t="s">
        <v>2569</v>
      </c>
      <c r="D397" s="15" t="s">
        <v>738</v>
      </c>
      <c r="E397" s="9" t="s">
        <v>2570</v>
      </c>
      <c r="F397" s="9" t="s">
        <v>1225</v>
      </c>
      <c r="G397" s="9" t="s">
        <v>1410</v>
      </c>
      <c r="H397" s="2" t="s">
        <v>35</v>
      </c>
      <c r="I397" s="3">
        <v>29790</v>
      </c>
      <c r="J397" s="9" t="str">
        <f t="shared" ca="1" si="7"/>
        <v>42 ans</v>
      </c>
      <c r="K397" s="2" t="s">
        <v>36</v>
      </c>
      <c r="L397" s="2" t="str">
        <f>"9"</f>
        <v>9</v>
      </c>
      <c r="M397" s="2"/>
      <c r="N397" s="2" t="str">
        <f>"17E AV"</f>
        <v>17E AV</v>
      </c>
      <c r="O397" s="2" t="s">
        <v>2038</v>
      </c>
      <c r="P397" s="9" t="str">
        <f>VLOOKUP($O397,'Liste des Villes'!$B$2:$B$1128,1,FALSE)</f>
        <v>Terrebonne</v>
      </c>
      <c r="Q397" s="9" t="str">
        <f>IFERROR($P397,PROPER(VLOOKUP($O397,'Villes en erreur'!$A$2:$B$72,2,FALSE)))</f>
        <v>Terrebonne</v>
      </c>
      <c r="R397" s="9" t="s">
        <v>2039</v>
      </c>
      <c r="S397" s="9" t="str">
        <f>IF(ISBLANK($R397),"",VLOOKUP($R397,'Liste des Villes'!$B$2:$H$1128,4,FALSE))</f>
        <v>Lanaudière</v>
      </c>
      <c r="T397" s="2" t="s">
        <v>2530</v>
      </c>
      <c r="U397" s="2" t="s">
        <v>39</v>
      </c>
      <c r="V397" s="2" t="s">
        <v>40</v>
      </c>
      <c r="W397" s="2" t="s">
        <v>2571</v>
      </c>
      <c r="X397" s="2"/>
      <c r="Y397" s="2"/>
      <c r="Z397" s="2"/>
      <c r="AA397" s="2" t="s">
        <v>149</v>
      </c>
      <c r="AB397" s="2" t="s">
        <v>1969</v>
      </c>
      <c r="AC397" s="4" t="s">
        <v>446</v>
      </c>
    </row>
    <row r="398" spans="1:29" x14ac:dyDescent="0.25">
      <c r="A398" s="1">
        <v>2090</v>
      </c>
      <c r="B398" s="17" t="s">
        <v>2572</v>
      </c>
      <c r="C398" s="2" t="s">
        <v>2573</v>
      </c>
      <c r="D398" s="15" t="s">
        <v>246</v>
      </c>
      <c r="E398" s="9" t="s">
        <v>2574</v>
      </c>
      <c r="F398" s="9" t="s">
        <v>1617</v>
      </c>
      <c r="G398" s="9" t="s">
        <v>929</v>
      </c>
      <c r="H398" s="2" t="s">
        <v>35</v>
      </c>
      <c r="I398" s="3">
        <v>28803</v>
      </c>
      <c r="J398" s="9" t="str">
        <f t="shared" ca="1" si="7"/>
        <v>44 ans</v>
      </c>
      <c r="K398" s="2" t="s">
        <v>36</v>
      </c>
      <c r="L398" s="2" t="str">
        <f>"6"</f>
        <v>6</v>
      </c>
      <c r="M398" s="2"/>
      <c r="N398" s="2" t="str">
        <f>"11E RUE"</f>
        <v>11E RUE</v>
      </c>
      <c r="O398" s="2" t="s">
        <v>2038</v>
      </c>
      <c r="P398" s="9" t="str">
        <f>VLOOKUP($O398,'Liste des Villes'!$B$2:$B$1128,1,FALSE)</f>
        <v>Terrebonne</v>
      </c>
      <c r="Q398" s="9" t="str">
        <f>IFERROR($P398,PROPER(VLOOKUP($O398,'Villes en erreur'!$A$2:$B$72,2,FALSE)))</f>
        <v>Terrebonne</v>
      </c>
      <c r="R398" s="9" t="s">
        <v>2039</v>
      </c>
      <c r="S398" s="9" t="str">
        <f>IF(ISBLANK($R398),"",VLOOKUP($R398,'Liste des Villes'!$B$2:$H$1128,4,FALSE))</f>
        <v>Lanaudière</v>
      </c>
      <c r="T398" s="2" t="s">
        <v>2575</v>
      </c>
      <c r="U398" s="2" t="s">
        <v>39</v>
      </c>
      <c r="V398" s="2" t="s">
        <v>40</v>
      </c>
      <c r="W398" s="2" t="s">
        <v>2576</v>
      </c>
      <c r="X398" s="2"/>
      <c r="Y398" s="2"/>
      <c r="Z398" s="2"/>
      <c r="AA398" s="2" t="s">
        <v>149</v>
      </c>
      <c r="AB398" s="2" t="s">
        <v>1969</v>
      </c>
      <c r="AC398" s="4" t="s">
        <v>446</v>
      </c>
    </row>
    <row r="399" spans="1:29" x14ac:dyDescent="0.25">
      <c r="A399" s="1">
        <v>3262</v>
      </c>
      <c r="B399" s="17" t="s">
        <v>2577</v>
      </c>
      <c r="C399" s="2" t="s">
        <v>2578</v>
      </c>
      <c r="D399" s="15" t="s">
        <v>34</v>
      </c>
      <c r="E399" s="9" t="s">
        <v>2579</v>
      </c>
      <c r="F399" s="9" t="s">
        <v>2580</v>
      </c>
      <c r="G399" s="9" t="s">
        <v>1410</v>
      </c>
      <c r="H399" s="2" t="s">
        <v>35</v>
      </c>
      <c r="I399" s="3">
        <v>29785</v>
      </c>
      <c r="J399" s="9" t="str">
        <f t="shared" ca="1" si="7"/>
        <v>42 ans</v>
      </c>
      <c r="K399" s="2" t="s">
        <v>36</v>
      </c>
      <c r="L399" s="2" t="str">
        <f>"9"</f>
        <v>9</v>
      </c>
      <c r="M399" s="2"/>
      <c r="N399" s="2" t="str">
        <f>"16E AV E"</f>
        <v>16E AV E</v>
      </c>
      <c r="O399" s="2" t="s">
        <v>2038</v>
      </c>
      <c r="P399" s="9" t="str">
        <f>VLOOKUP($O399,'Liste des Villes'!$B$2:$B$1128,1,FALSE)</f>
        <v>Terrebonne</v>
      </c>
      <c r="Q399" s="9" t="str">
        <f>IFERROR($P399,PROPER(VLOOKUP($O399,'Villes en erreur'!$A$2:$B$72,2,FALSE)))</f>
        <v>Terrebonne</v>
      </c>
      <c r="R399" s="9" t="s">
        <v>2039</v>
      </c>
      <c r="S399" s="9" t="str">
        <f>IF(ISBLANK($R399),"",VLOOKUP($R399,'Liste des Villes'!$B$2:$H$1128,4,FALSE))</f>
        <v>Lanaudière</v>
      </c>
      <c r="T399" s="2" t="s">
        <v>2581</v>
      </c>
      <c r="U399" s="2" t="s">
        <v>39</v>
      </c>
      <c r="V399" s="2" t="s">
        <v>40</v>
      </c>
      <c r="W399" s="2" t="s">
        <v>2582</v>
      </c>
      <c r="X399" s="2"/>
      <c r="Y399" s="2"/>
      <c r="Z399" s="2"/>
      <c r="AA399" s="2" t="s">
        <v>149</v>
      </c>
      <c r="AB399" s="2" t="s">
        <v>1969</v>
      </c>
      <c r="AC399" s="4" t="s">
        <v>446</v>
      </c>
    </row>
    <row r="400" spans="1:29" x14ac:dyDescent="0.25">
      <c r="A400" s="1">
        <v>4060</v>
      </c>
      <c r="B400" s="17" t="s">
        <v>2583</v>
      </c>
      <c r="C400" s="2" t="s">
        <v>2584</v>
      </c>
      <c r="D400" s="15" t="s">
        <v>2161</v>
      </c>
      <c r="E400" s="9" t="s">
        <v>775</v>
      </c>
      <c r="F400" s="9" t="s">
        <v>2159</v>
      </c>
      <c r="G400" s="9" t="s">
        <v>2585</v>
      </c>
      <c r="H400" s="2" t="s">
        <v>60</v>
      </c>
      <c r="I400" s="3">
        <v>30495</v>
      </c>
      <c r="J400" s="9" t="str">
        <f t="shared" ca="1" si="7"/>
        <v>40 ans</v>
      </c>
      <c r="K400" s="2" t="s">
        <v>36</v>
      </c>
      <c r="L400" s="2" t="str">
        <f>"11"</f>
        <v>11</v>
      </c>
      <c r="M400" s="2"/>
      <c r="N400" s="2" t="str">
        <f>"20E AV SUD"</f>
        <v>20E AV SUD</v>
      </c>
      <c r="O400" s="2" t="s">
        <v>2038</v>
      </c>
      <c r="P400" s="9" t="str">
        <f>VLOOKUP($O400,'Liste des Villes'!$B$2:$B$1128,1,FALSE)</f>
        <v>Terrebonne</v>
      </c>
      <c r="Q400" s="9" t="str">
        <f>IFERROR($P400,PROPER(VLOOKUP($O400,'Villes en erreur'!$A$2:$B$72,2,FALSE)))</f>
        <v>Terrebonne</v>
      </c>
      <c r="R400" s="9" t="s">
        <v>2039</v>
      </c>
      <c r="S400" s="9" t="str">
        <f>IF(ISBLANK($R400),"",VLOOKUP($R400,'Liste des Villes'!$B$2:$H$1128,4,FALSE))</f>
        <v>Lanaudière</v>
      </c>
      <c r="T400" s="2" t="s">
        <v>2586</v>
      </c>
      <c r="U400" s="2" t="s">
        <v>39</v>
      </c>
      <c r="V400" s="2" t="s">
        <v>40</v>
      </c>
      <c r="W400" s="2" t="s">
        <v>2587</v>
      </c>
      <c r="X400" s="2"/>
      <c r="Y400" s="2"/>
      <c r="Z400" s="2"/>
      <c r="AA400" s="2" t="s">
        <v>149</v>
      </c>
      <c r="AB400" s="2" t="s">
        <v>150</v>
      </c>
      <c r="AC400" s="4" t="s">
        <v>446</v>
      </c>
    </row>
    <row r="401" spans="1:29" x14ac:dyDescent="0.25">
      <c r="A401" s="1">
        <v>2232</v>
      </c>
      <c r="B401" s="17" t="s">
        <v>2588</v>
      </c>
      <c r="C401" s="2" t="s">
        <v>2589</v>
      </c>
      <c r="D401" s="15" t="s">
        <v>2590</v>
      </c>
      <c r="E401" s="9" t="s">
        <v>2591</v>
      </c>
      <c r="F401" s="9" t="s">
        <v>782</v>
      </c>
      <c r="G401" s="9" t="s">
        <v>929</v>
      </c>
      <c r="H401" s="2" t="s">
        <v>35</v>
      </c>
      <c r="I401" s="3">
        <v>28589</v>
      </c>
      <c r="J401" s="9" t="str">
        <f t="shared" ca="1" si="7"/>
        <v>45 ans</v>
      </c>
      <c r="K401" s="2" t="s">
        <v>36</v>
      </c>
      <c r="L401" s="2" t="str">
        <f>"5"</f>
        <v>5</v>
      </c>
      <c r="M401" s="2"/>
      <c r="N401" s="2" t="str">
        <f>"119E AV"</f>
        <v>119E AV</v>
      </c>
      <c r="O401" s="2" t="s">
        <v>2038</v>
      </c>
      <c r="P401" s="9" t="str">
        <f>VLOOKUP($O401,'Liste des Villes'!$B$2:$B$1128,1,FALSE)</f>
        <v>Terrebonne</v>
      </c>
      <c r="Q401" s="9" t="str">
        <f>IFERROR($P401,PROPER(VLOOKUP($O401,'Villes en erreur'!$A$2:$B$72,2,FALSE)))</f>
        <v>Terrebonne</v>
      </c>
      <c r="R401" s="9" t="s">
        <v>2039</v>
      </c>
      <c r="S401" s="9" t="str">
        <f>IF(ISBLANK($R401),"",VLOOKUP($R401,'Liste des Villes'!$B$2:$H$1128,4,FALSE))</f>
        <v>Lanaudière</v>
      </c>
      <c r="T401" s="2" t="s">
        <v>2592</v>
      </c>
      <c r="U401" s="2" t="s">
        <v>39</v>
      </c>
      <c r="V401" s="2" t="s">
        <v>40</v>
      </c>
      <c r="W401" s="2" t="s">
        <v>2593</v>
      </c>
      <c r="X401" s="2"/>
      <c r="Y401" s="2"/>
      <c r="Z401" s="2"/>
      <c r="AA401" s="2" t="s">
        <v>149</v>
      </c>
      <c r="AB401" s="2" t="s">
        <v>1969</v>
      </c>
      <c r="AC401" s="4" t="s">
        <v>446</v>
      </c>
    </row>
    <row r="402" spans="1:29" x14ac:dyDescent="0.25">
      <c r="A402" s="1">
        <v>4083</v>
      </c>
      <c r="B402" s="17" t="s">
        <v>2594</v>
      </c>
      <c r="C402" s="2" t="s">
        <v>1103</v>
      </c>
      <c r="D402" s="15" t="s">
        <v>1104</v>
      </c>
      <c r="E402" s="9" t="s">
        <v>277</v>
      </c>
      <c r="F402" s="9" t="s">
        <v>2595</v>
      </c>
      <c r="G402" s="9" t="s">
        <v>929</v>
      </c>
      <c r="H402" s="2" t="s">
        <v>35</v>
      </c>
      <c r="I402" s="3">
        <v>28762</v>
      </c>
      <c r="J402" s="9" t="str">
        <f t="shared" ca="1" si="7"/>
        <v>44 ans</v>
      </c>
      <c r="K402" s="2" t="s">
        <v>36</v>
      </c>
      <c r="L402" s="2" t="str">
        <f>"5"</f>
        <v>5</v>
      </c>
      <c r="M402" s="2"/>
      <c r="N402" s="2" t="str">
        <f>"11E AV"</f>
        <v>11E AV</v>
      </c>
      <c r="O402" s="2" t="s">
        <v>2038</v>
      </c>
      <c r="P402" s="9" t="str">
        <f>VLOOKUP($O402,'Liste des Villes'!$B$2:$B$1128,1,FALSE)</f>
        <v>Terrebonne</v>
      </c>
      <c r="Q402" s="9" t="str">
        <f>IFERROR($P402,PROPER(VLOOKUP($O402,'Villes en erreur'!$A$2:$B$72,2,FALSE)))</f>
        <v>Terrebonne</v>
      </c>
      <c r="R402" s="9" t="s">
        <v>2039</v>
      </c>
      <c r="S402" s="9" t="str">
        <f>IF(ISBLANK($R402),"",VLOOKUP($R402,'Liste des Villes'!$B$2:$H$1128,4,FALSE))</f>
        <v>Lanaudière</v>
      </c>
      <c r="T402" s="2" t="s">
        <v>2596</v>
      </c>
      <c r="U402" s="2" t="s">
        <v>39</v>
      </c>
      <c r="V402" s="2" t="s">
        <v>40</v>
      </c>
      <c r="W402" s="2" t="s">
        <v>2597</v>
      </c>
      <c r="X402" s="2"/>
      <c r="Y402" s="2"/>
      <c r="Z402" s="2"/>
      <c r="AA402" s="2" t="s">
        <v>149</v>
      </c>
      <c r="AB402" s="2" t="s">
        <v>1969</v>
      </c>
      <c r="AC402" s="4" t="s">
        <v>446</v>
      </c>
    </row>
    <row r="403" spans="1:29" x14ac:dyDescent="0.25">
      <c r="A403" s="1">
        <v>1852</v>
      </c>
      <c r="B403" s="17" t="s">
        <v>2598</v>
      </c>
      <c r="C403" s="2" t="s">
        <v>2599</v>
      </c>
      <c r="D403" s="15" t="s">
        <v>2600</v>
      </c>
      <c r="E403" s="9" t="s">
        <v>996</v>
      </c>
      <c r="F403" s="9" t="s">
        <v>1268</v>
      </c>
      <c r="G403" s="9" t="s">
        <v>305</v>
      </c>
      <c r="H403" s="2" t="s">
        <v>60</v>
      </c>
      <c r="I403" s="3">
        <v>31754</v>
      </c>
      <c r="J403" s="9" t="str">
        <f t="shared" ca="1" si="7"/>
        <v>36 ans</v>
      </c>
      <c r="K403" s="2" t="s">
        <v>36</v>
      </c>
      <c r="L403" s="2" t="str">
        <f>"17"</f>
        <v>17</v>
      </c>
      <c r="M403" s="2"/>
      <c r="N403" s="2" t="str">
        <f>"38E AV"</f>
        <v>38E AV</v>
      </c>
      <c r="O403" s="2" t="s">
        <v>2601</v>
      </c>
      <c r="P403" s="9" t="str">
        <f>VLOOKUP($O403,'Liste des Villes'!$B$2:$B$1128,1,FALSE)</f>
        <v>Shawinigan</v>
      </c>
      <c r="Q403" s="9" t="str">
        <f>IFERROR($P403,PROPER(VLOOKUP($O403,'Villes en erreur'!$A$2:$B$72,2,FALSE)))</f>
        <v>Shawinigan</v>
      </c>
      <c r="R403" s="9" t="s">
        <v>2602</v>
      </c>
      <c r="S403" s="9" t="str">
        <f>IF(ISBLANK($R403),"",VLOOKUP($R403,'Liste des Villes'!$B$2:$H$1128,4,FALSE))</f>
        <v>Mauricie</v>
      </c>
      <c r="T403" s="2" t="s">
        <v>2603</v>
      </c>
      <c r="U403" s="2" t="s">
        <v>39</v>
      </c>
      <c r="V403" s="2" t="s">
        <v>40</v>
      </c>
      <c r="W403" s="2" t="s">
        <v>2604</v>
      </c>
      <c r="X403" s="2"/>
      <c r="Y403" s="2"/>
      <c r="Z403" s="2"/>
      <c r="AA403" s="2" t="s">
        <v>149</v>
      </c>
      <c r="AB403" s="2" t="s">
        <v>150</v>
      </c>
      <c r="AC403" s="4" t="s">
        <v>44</v>
      </c>
    </row>
    <row r="404" spans="1:29" x14ac:dyDescent="0.25">
      <c r="A404" s="1">
        <v>1808</v>
      </c>
      <c r="B404" s="17" t="s">
        <v>2605</v>
      </c>
      <c r="C404" s="2" t="s">
        <v>2606</v>
      </c>
      <c r="D404" s="15" t="s">
        <v>2128</v>
      </c>
      <c r="E404" s="9" t="s">
        <v>179</v>
      </c>
      <c r="F404" s="9" t="s">
        <v>1024</v>
      </c>
      <c r="G404" s="9" t="s">
        <v>305</v>
      </c>
      <c r="H404" s="2" t="s">
        <v>60</v>
      </c>
      <c r="I404" s="3">
        <v>31762</v>
      </c>
      <c r="J404" s="9" t="str">
        <f t="shared" ca="1" si="7"/>
        <v>36 ans</v>
      </c>
      <c r="K404" s="2" t="s">
        <v>36</v>
      </c>
      <c r="L404" s="2" t="str">
        <f>"17"</f>
        <v>17</v>
      </c>
      <c r="M404" s="2"/>
      <c r="N404" s="2" t="str">
        <f>"38E AV O"</f>
        <v>38E AV O</v>
      </c>
      <c r="O404" s="2" t="s">
        <v>2607</v>
      </c>
      <c r="P404" s="9" t="str">
        <f>VLOOKUP($O404,'Liste des Villes'!$B$2:$B$1128,1,FALSE)</f>
        <v>Senneterre</v>
      </c>
      <c r="Q404" s="9" t="str">
        <f>IFERROR($P404,PROPER(VLOOKUP($O404,'Villes en erreur'!$A$2:$B$72,2,FALSE)))</f>
        <v>Senneterre</v>
      </c>
      <c r="R404" s="9" t="s">
        <v>2608</v>
      </c>
      <c r="S404" s="9" t="str">
        <f>IF(ISBLANK($R404),"",VLOOKUP($R404,'Liste des Villes'!$B$2:$H$1128,4,FALSE))</f>
        <v>Abitibi-Témiscamingue</v>
      </c>
      <c r="T404" s="2" t="s">
        <v>2609</v>
      </c>
      <c r="U404" s="2" t="s">
        <v>39</v>
      </c>
      <c r="V404" s="2" t="s">
        <v>40</v>
      </c>
      <c r="W404" s="2" t="s">
        <v>2610</v>
      </c>
      <c r="X404" s="2"/>
      <c r="Y404" s="2"/>
      <c r="Z404" s="2"/>
      <c r="AA404" s="2" t="s">
        <v>149</v>
      </c>
      <c r="AB404" s="2" t="s">
        <v>150</v>
      </c>
      <c r="AC404" s="4" t="s">
        <v>44</v>
      </c>
    </row>
    <row r="405" spans="1:29" x14ac:dyDescent="0.25">
      <c r="A405" s="1">
        <v>4048</v>
      </c>
      <c r="B405" s="17" t="s">
        <v>2611</v>
      </c>
      <c r="C405" s="2" t="s">
        <v>2612</v>
      </c>
      <c r="D405" s="15" t="s">
        <v>2613</v>
      </c>
      <c r="E405" s="9" t="s">
        <v>2614</v>
      </c>
      <c r="F405" s="9" t="s">
        <v>2615</v>
      </c>
      <c r="G405" s="9" t="s">
        <v>2210</v>
      </c>
      <c r="H405" s="2" t="s">
        <v>60</v>
      </c>
      <c r="I405" s="3">
        <v>32310</v>
      </c>
      <c r="J405" s="9" t="str">
        <f t="shared" ca="1" si="7"/>
        <v>35 ans</v>
      </c>
      <c r="K405" s="2" t="s">
        <v>36</v>
      </c>
      <c r="L405" s="2" t="str">
        <f>"22"</f>
        <v>22</v>
      </c>
      <c r="M405" s="2"/>
      <c r="N405" s="2" t="str">
        <f>"55E AV"</f>
        <v>55E AV</v>
      </c>
      <c r="O405" s="2" t="s">
        <v>2616</v>
      </c>
      <c r="P405" s="9" t="str">
        <f>VLOOKUP($O405,'Liste des Villes'!$B$2:$B$1128,1,FALSE)</f>
        <v>Saint-Sauveur</v>
      </c>
      <c r="Q405" s="9" t="str">
        <f>IFERROR($P405,PROPER(VLOOKUP($O405,'Villes en erreur'!$A$2:$B$72,2,FALSE)))</f>
        <v>Saint-Sauveur</v>
      </c>
      <c r="R405" s="9" t="s">
        <v>2617</v>
      </c>
      <c r="S405" s="9" t="str">
        <f>IF(ISBLANK($R405),"",VLOOKUP($R405,'Liste des Villes'!$B$2:$H$1128,4,FALSE))</f>
        <v>Laurentides</v>
      </c>
      <c r="T405" s="2" t="s">
        <v>2618</v>
      </c>
      <c r="U405" s="2" t="s">
        <v>39</v>
      </c>
      <c r="V405" s="2" t="s">
        <v>40</v>
      </c>
      <c r="W405" s="2" t="s">
        <v>2619</v>
      </c>
      <c r="X405" s="2"/>
      <c r="Y405" s="2"/>
      <c r="Z405" s="2"/>
      <c r="AA405" s="2" t="s">
        <v>385</v>
      </c>
      <c r="AB405" s="2" t="s">
        <v>2620</v>
      </c>
      <c r="AC405" s="4" t="s">
        <v>44</v>
      </c>
    </row>
    <row r="406" spans="1:29" x14ac:dyDescent="0.25">
      <c r="A406" s="1">
        <v>1340</v>
      </c>
      <c r="B406" s="17" t="s">
        <v>2621</v>
      </c>
      <c r="C406" s="2" t="s">
        <v>2622</v>
      </c>
      <c r="D406" s="15" t="s">
        <v>2623</v>
      </c>
      <c r="E406" s="9" t="s">
        <v>2624</v>
      </c>
      <c r="F406" s="9" t="s">
        <v>2474</v>
      </c>
      <c r="G406" s="9" t="s">
        <v>2210</v>
      </c>
      <c r="H406" s="2" t="s">
        <v>60</v>
      </c>
      <c r="I406" s="3">
        <v>32367</v>
      </c>
      <c r="J406" s="9" t="str">
        <f t="shared" ca="1" si="7"/>
        <v>35 ans</v>
      </c>
      <c r="K406" s="2" t="s">
        <v>36</v>
      </c>
      <c r="L406" s="2" t="str">
        <f>"22"</f>
        <v>22</v>
      </c>
      <c r="M406" s="2"/>
      <c r="N406" s="2" t="str">
        <f>"55E AV"</f>
        <v>55E AV</v>
      </c>
      <c r="O406" s="2" t="s">
        <v>2616</v>
      </c>
      <c r="P406" s="9" t="str">
        <f>VLOOKUP($O406,'Liste des Villes'!$B$2:$B$1128,1,FALSE)</f>
        <v>Saint-Sauveur</v>
      </c>
      <c r="Q406" s="9" t="str">
        <f>IFERROR($P406,PROPER(VLOOKUP($O406,'Villes en erreur'!$A$2:$B$72,2,FALSE)))</f>
        <v>Saint-Sauveur</v>
      </c>
      <c r="R406" s="9" t="s">
        <v>2617</v>
      </c>
      <c r="S406" s="9" t="str">
        <f>IF(ISBLANK($R406),"",VLOOKUP($R406,'Liste des Villes'!$B$2:$H$1128,4,FALSE))</f>
        <v>Laurentides</v>
      </c>
      <c r="T406" s="2" t="s">
        <v>2618</v>
      </c>
      <c r="U406" s="2" t="s">
        <v>39</v>
      </c>
      <c r="V406" s="2" t="s">
        <v>40</v>
      </c>
      <c r="W406" s="2" t="s">
        <v>2625</v>
      </c>
      <c r="X406" s="2"/>
      <c r="Y406" s="2"/>
      <c r="Z406" s="2"/>
      <c r="AA406" s="2" t="s">
        <v>385</v>
      </c>
      <c r="AB406" s="2" t="s">
        <v>2620</v>
      </c>
      <c r="AC406" s="4" t="s">
        <v>44</v>
      </c>
    </row>
    <row r="407" spans="1:29" x14ac:dyDescent="0.25">
      <c r="A407" s="1">
        <v>2378</v>
      </c>
      <c r="B407" s="17" t="s">
        <v>2626</v>
      </c>
      <c r="C407" s="2" t="s">
        <v>2627</v>
      </c>
      <c r="D407" s="15" t="s">
        <v>2628</v>
      </c>
      <c r="E407" s="9" t="s">
        <v>418</v>
      </c>
      <c r="F407" s="9" t="s">
        <v>2629</v>
      </c>
      <c r="G407" s="9" t="s">
        <v>2210</v>
      </c>
      <c r="H407" s="2" t="s">
        <v>60</v>
      </c>
      <c r="I407" s="3">
        <v>32279</v>
      </c>
      <c r="J407" s="9" t="str">
        <f t="shared" ca="1" si="7"/>
        <v>35 ans</v>
      </c>
      <c r="K407" s="2" t="s">
        <v>36</v>
      </c>
      <c r="L407" s="2" t="str">
        <f>"21"</f>
        <v>21</v>
      </c>
      <c r="M407" s="2"/>
      <c r="N407" s="2" t="str">
        <f>"52E AV"</f>
        <v>52E AV</v>
      </c>
      <c r="O407" s="2" t="s">
        <v>2616</v>
      </c>
      <c r="P407" s="9" t="str">
        <f>VLOOKUP($O407,'Liste des Villes'!$B$2:$B$1128,1,FALSE)</f>
        <v>Saint-Sauveur</v>
      </c>
      <c r="Q407" s="9" t="str">
        <f>IFERROR($P407,PROPER(VLOOKUP($O407,'Villes en erreur'!$A$2:$B$72,2,FALSE)))</f>
        <v>Saint-Sauveur</v>
      </c>
      <c r="R407" s="9" t="s">
        <v>2617</v>
      </c>
      <c r="S407" s="9" t="str">
        <f>IF(ISBLANK($R407),"",VLOOKUP($R407,'Liste des Villes'!$B$2:$H$1128,4,FALSE))</f>
        <v>Laurentides</v>
      </c>
      <c r="T407" s="2" t="s">
        <v>2630</v>
      </c>
      <c r="U407" s="2" t="s">
        <v>39</v>
      </c>
      <c r="V407" s="2" t="s">
        <v>40</v>
      </c>
      <c r="W407" s="2" t="s">
        <v>2631</v>
      </c>
      <c r="X407" s="2"/>
      <c r="Y407" s="2"/>
      <c r="Z407" s="2"/>
      <c r="AA407" s="2" t="s">
        <v>385</v>
      </c>
      <c r="AB407" s="2" t="s">
        <v>2620</v>
      </c>
      <c r="AC407" s="4" t="s">
        <v>44</v>
      </c>
    </row>
    <row r="408" spans="1:29" x14ac:dyDescent="0.25">
      <c r="A408" s="1">
        <v>4266</v>
      </c>
      <c r="B408" s="17" t="s">
        <v>2632</v>
      </c>
      <c r="C408" s="2" t="s">
        <v>2633</v>
      </c>
      <c r="D408" s="15" t="s">
        <v>2634</v>
      </c>
      <c r="E408" s="9" t="s">
        <v>2635</v>
      </c>
      <c r="F408" s="9" t="s">
        <v>33</v>
      </c>
      <c r="G408" s="9" t="s">
        <v>1754</v>
      </c>
      <c r="H408" s="2" t="s">
        <v>60</v>
      </c>
      <c r="I408" s="3">
        <v>31916</v>
      </c>
      <c r="J408" s="9" t="str">
        <f t="shared" ca="1" si="7"/>
        <v>36 ans</v>
      </c>
      <c r="K408" s="2" t="s">
        <v>36</v>
      </c>
      <c r="L408" s="2" t="str">
        <f>"18"</f>
        <v>18</v>
      </c>
      <c r="M408" s="2"/>
      <c r="N408" s="2" t="str">
        <f>"40E AV"</f>
        <v>40E AV</v>
      </c>
      <c r="O408" s="2" t="s">
        <v>2616</v>
      </c>
      <c r="P408" s="9" t="str">
        <f>VLOOKUP($O408,'Liste des Villes'!$B$2:$B$1128,1,FALSE)</f>
        <v>Saint-Sauveur</v>
      </c>
      <c r="Q408" s="9" t="str">
        <f>IFERROR($P408,PROPER(VLOOKUP($O408,'Villes en erreur'!$A$2:$B$72,2,FALSE)))</f>
        <v>Saint-Sauveur</v>
      </c>
      <c r="R408" s="9" t="s">
        <v>2617</v>
      </c>
      <c r="S408" s="9" t="str">
        <f>IF(ISBLANK($R408),"",VLOOKUP($R408,'Liste des Villes'!$B$2:$H$1128,4,FALSE))</f>
        <v>Laurentides</v>
      </c>
      <c r="T408" s="2" t="s">
        <v>2636</v>
      </c>
      <c r="U408" s="2" t="s">
        <v>39</v>
      </c>
      <c r="V408" s="2" t="s">
        <v>40</v>
      </c>
      <c r="W408" s="2" t="s">
        <v>2637</v>
      </c>
      <c r="X408" s="2"/>
      <c r="Y408" s="2"/>
      <c r="Z408" s="2"/>
      <c r="AA408" s="2" t="s">
        <v>149</v>
      </c>
      <c r="AB408" s="2" t="s">
        <v>2620</v>
      </c>
      <c r="AC408" s="4" t="s">
        <v>44</v>
      </c>
    </row>
    <row r="409" spans="1:29" x14ac:dyDescent="0.25">
      <c r="A409" s="1">
        <v>2579</v>
      </c>
      <c r="B409" s="17" t="s">
        <v>2638</v>
      </c>
      <c r="C409" s="2" t="s">
        <v>2639</v>
      </c>
      <c r="D409" s="15" t="s">
        <v>2640</v>
      </c>
      <c r="E409" s="9" t="s">
        <v>2641</v>
      </c>
      <c r="F409" s="9" t="s">
        <v>2642</v>
      </c>
      <c r="G409" s="9" t="s">
        <v>2210</v>
      </c>
      <c r="H409" s="2" t="s">
        <v>60</v>
      </c>
      <c r="I409" s="3">
        <v>32426</v>
      </c>
      <c r="J409" s="9" t="str">
        <f t="shared" ca="1" si="7"/>
        <v>34 ans</v>
      </c>
      <c r="K409" s="2" t="s">
        <v>36</v>
      </c>
      <c r="L409" s="2" t="str">
        <f>"22"</f>
        <v>22</v>
      </c>
      <c r="M409" s="2"/>
      <c r="N409" s="2" t="str">
        <f>"58E AVENUE"</f>
        <v>58E AVENUE</v>
      </c>
      <c r="O409" s="2" t="s">
        <v>2616</v>
      </c>
      <c r="P409" s="9" t="str">
        <f>VLOOKUP($O409,'Liste des Villes'!$B$2:$B$1128,1,FALSE)</f>
        <v>Saint-Sauveur</v>
      </c>
      <c r="Q409" s="9" t="str">
        <f>IFERROR($P409,PROPER(VLOOKUP($O409,'Villes en erreur'!$A$2:$B$72,2,FALSE)))</f>
        <v>Saint-Sauveur</v>
      </c>
      <c r="R409" s="9" t="s">
        <v>2617</v>
      </c>
      <c r="S409" s="9" t="str">
        <f>IF(ISBLANK($R409),"",VLOOKUP($R409,'Liste des Villes'!$B$2:$H$1128,4,FALSE))</f>
        <v>Laurentides</v>
      </c>
      <c r="T409" s="2" t="s">
        <v>2643</v>
      </c>
      <c r="U409" s="2" t="s">
        <v>39</v>
      </c>
      <c r="V409" s="2" t="s">
        <v>40</v>
      </c>
      <c r="W409" s="2" t="s">
        <v>2644</v>
      </c>
      <c r="X409" s="2"/>
      <c r="Y409" s="2"/>
      <c r="Z409" s="2"/>
      <c r="AA409" s="2" t="s">
        <v>385</v>
      </c>
      <c r="AB409" s="2" t="s">
        <v>2620</v>
      </c>
      <c r="AC409" s="4" t="s">
        <v>44</v>
      </c>
    </row>
    <row r="410" spans="1:29" x14ac:dyDescent="0.25">
      <c r="A410" s="1">
        <v>3584</v>
      </c>
      <c r="B410" s="17" t="s">
        <v>2645</v>
      </c>
      <c r="C410" s="2" t="s">
        <v>2646</v>
      </c>
      <c r="D410" s="15" t="s">
        <v>2647</v>
      </c>
      <c r="E410" s="9" t="s">
        <v>775</v>
      </c>
      <c r="F410" s="9" t="s">
        <v>2648</v>
      </c>
      <c r="G410" s="9" t="s">
        <v>2649</v>
      </c>
      <c r="H410" s="2" t="s">
        <v>60</v>
      </c>
      <c r="I410" s="3">
        <v>32498</v>
      </c>
      <c r="J410" s="9" t="str">
        <f t="shared" ca="1" si="7"/>
        <v>34 ans</v>
      </c>
      <c r="K410" s="2" t="s">
        <v>36</v>
      </c>
      <c r="L410" s="2" t="str">
        <f>"23"</f>
        <v>23</v>
      </c>
      <c r="M410" s="2"/>
      <c r="N410" s="2" t="str">
        <f>"65E AVE"</f>
        <v>65E AVE</v>
      </c>
      <c r="O410" s="2" t="s">
        <v>2616</v>
      </c>
      <c r="P410" s="9" t="str">
        <f>VLOOKUP($O410,'Liste des Villes'!$B$2:$B$1128,1,FALSE)</f>
        <v>Saint-Sauveur</v>
      </c>
      <c r="Q410" s="9" t="str">
        <f>IFERROR($P410,PROPER(VLOOKUP($O410,'Villes en erreur'!$A$2:$B$72,2,FALSE)))</f>
        <v>Saint-Sauveur</v>
      </c>
      <c r="R410" s="9" t="s">
        <v>2617</v>
      </c>
      <c r="S410" s="9" t="str">
        <f>IF(ISBLANK($R410),"",VLOOKUP($R410,'Liste des Villes'!$B$2:$H$1128,4,FALSE))</f>
        <v>Laurentides</v>
      </c>
      <c r="T410" s="2" t="s">
        <v>2643</v>
      </c>
      <c r="U410" s="2" t="s">
        <v>39</v>
      </c>
      <c r="V410" s="2" t="s">
        <v>40</v>
      </c>
      <c r="W410" s="2" t="s">
        <v>2650</v>
      </c>
      <c r="X410" s="2"/>
      <c r="Y410" s="2"/>
      <c r="Z410" s="2"/>
      <c r="AA410" s="2" t="s">
        <v>385</v>
      </c>
      <c r="AB410" s="2" t="s">
        <v>282</v>
      </c>
      <c r="AC410" s="4" t="s">
        <v>44</v>
      </c>
    </row>
    <row r="411" spans="1:29" x14ac:dyDescent="0.25">
      <c r="A411" s="1">
        <v>420</v>
      </c>
      <c r="B411" s="17" t="s">
        <v>2651</v>
      </c>
      <c r="C411" s="2" t="s">
        <v>2652</v>
      </c>
      <c r="D411" s="15" t="s">
        <v>2653</v>
      </c>
      <c r="E411" s="9" t="s">
        <v>2654</v>
      </c>
      <c r="F411" s="9" t="s">
        <v>2655</v>
      </c>
      <c r="G411" s="9" t="s">
        <v>2656</v>
      </c>
      <c r="H411" s="2" t="s">
        <v>60</v>
      </c>
      <c r="I411" s="3">
        <v>32470</v>
      </c>
      <c r="J411" s="9" t="str">
        <f t="shared" ca="1" si="7"/>
        <v>34 ans</v>
      </c>
      <c r="K411" s="2" t="s">
        <v>36</v>
      </c>
      <c r="L411" s="2" t="str">
        <f>"22"</f>
        <v>22</v>
      </c>
      <c r="M411" s="2"/>
      <c r="N411" s="2" t="str">
        <f>"61E AVENUE O"</f>
        <v>61E AVENUE O</v>
      </c>
      <c r="O411" s="2" t="s">
        <v>2616</v>
      </c>
      <c r="P411" s="9" t="str">
        <f>VLOOKUP($O411,'Liste des Villes'!$B$2:$B$1128,1,FALSE)</f>
        <v>Saint-Sauveur</v>
      </c>
      <c r="Q411" s="9" t="str">
        <f>IFERROR($P411,PROPER(VLOOKUP($O411,'Villes en erreur'!$A$2:$B$72,2,FALSE)))</f>
        <v>Saint-Sauveur</v>
      </c>
      <c r="R411" s="9" t="s">
        <v>2617</v>
      </c>
      <c r="S411" s="9" t="str">
        <f>IF(ISBLANK($R411),"",VLOOKUP($R411,'Liste des Villes'!$B$2:$H$1128,4,FALSE))</f>
        <v>Laurentides</v>
      </c>
      <c r="T411" s="2" t="s">
        <v>2643</v>
      </c>
      <c r="U411" s="2" t="s">
        <v>39</v>
      </c>
      <c r="V411" s="2" t="s">
        <v>40</v>
      </c>
      <c r="W411" s="2" t="s">
        <v>2657</v>
      </c>
      <c r="X411" s="2"/>
      <c r="Y411" s="2"/>
      <c r="Z411" s="2"/>
      <c r="AA411" s="2" t="s">
        <v>385</v>
      </c>
      <c r="AB411" s="2" t="s">
        <v>2620</v>
      </c>
      <c r="AC411" s="4" t="s">
        <v>44</v>
      </c>
    </row>
    <row r="412" spans="1:29" x14ac:dyDescent="0.25">
      <c r="A412" s="1">
        <v>3025</v>
      </c>
      <c r="B412" s="17" t="s">
        <v>2658</v>
      </c>
      <c r="C412" s="2" t="s">
        <v>310</v>
      </c>
      <c r="D412" s="15" t="s">
        <v>311</v>
      </c>
      <c r="E412" s="9" t="s">
        <v>99</v>
      </c>
      <c r="F412" s="9" t="s">
        <v>2659</v>
      </c>
      <c r="G412" s="9" t="s">
        <v>305</v>
      </c>
      <c r="H412" s="2" t="s">
        <v>60</v>
      </c>
      <c r="I412" s="3">
        <v>31801</v>
      </c>
      <c r="J412" s="9" t="str">
        <f t="shared" ca="1" si="7"/>
        <v>36 ans</v>
      </c>
      <c r="K412" s="2" t="s">
        <v>36</v>
      </c>
      <c r="L412" s="2" t="str">
        <f>"17"</f>
        <v>17</v>
      </c>
      <c r="M412" s="2"/>
      <c r="N412" s="2" t="str">
        <f>"3E AV"</f>
        <v>3E AV</v>
      </c>
      <c r="O412" s="2" t="s">
        <v>2616</v>
      </c>
      <c r="P412" s="9" t="str">
        <f>VLOOKUP($O412,'Liste des Villes'!$B$2:$B$1128,1,FALSE)</f>
        <v>Saint-Sauveur</v>
      </c>
      <c r="Q412" s="9" t="str">
        <f>IFERROR($P412,PROPER(VLOOKUP($O412,'Villes en erreur'!$A$2:$B$72,2,FALSE)))</f>
        <v>Saint-Sauveur</v>
      </c>
      <c r="R412" s="9" t="s">
        <v>2617</v>
      </c>
      <c r="S412" s="9" t="str">
        <f>IF(ISBLANK($R412),"",VLOOKUP($R412,'Liste des Villes'!$B$2:$H$1128,4,FALSE))</f>
        <v>Laurentides</v>
      </c>
      <c r="T412" s="2" t="s">
        <v>2660</v>
      </c>
      <c r="U412" s="2" t="s">
        <v>39</v>
      </c>
      <c r="V412" s="2" t="s">
        <v>40</v>
      </c>
      <c r="W412" s="2" t="s">
        <v>2661</v>
      </c>
      <c r="X412" s="2"/>
      <c r="Y412" s="2"/>
      <c r="Z412" s="2"/>
      <c r="AA412" s="2" t="s">
        <v>149</v>
      </c>
      <c r="AB412" s="2" t="s">
        <v>2620</v>
      </c>
      <c r="AC412" s="4" t="s">
        <v>44</v>
      </c>
    </row>
    <row r="413" spans="1:29" x14ac:dyDescent="0.25">
      <c r="A413" s="1">
        <v>730</v>
      </c>
      <c r="B413" s="17" t="s">
        <v>2662</v>
      </c>
      <c r="C413" s="2" t="s">
        <v>2663</v>
      </c>
      <c r="D413" s="15" t="s">
        <v>527</v>
      </c>
      <c r="E413" s="9" t="s">
        <v>2664</v>
      </c>
      <c r="F413" s="9" t="s">
        <v>1542</v>
      </c>
      <c r="G413" s="9" t="s">
        <v>2210</v>
      </c>
      <c r="H413" s="2" t="s">
        <v>60</v>
      </c>
      <c r="I413" s="3">
        <v>32346</v>
      </c>
      <c r="J413" s="9" t="str">
        <f t="shared" ca="1" si="7"/>
        <v>35 ans</v>
      </c>
      <c r="K413" s="2" t="s">
        <v>36</v>
      </c>
      <c r="L413" s="2" t="str">
        <f>"22"</f>
        <v>22</v>
      </c>
      <c r="M413" s="2"/>
      <c r="N413" s="2" t="str">
        <f>"55E AV"</f>
        <v>55E AV</v>
      </c>
      <c r="O413" s="2" t="s">
        <v>2616</v>
      </c>
      <c r="P413" s="9" t="str">
        <f>VLOOKUP($O413,'Liste des Villes'!$B$2:$B$1128,1,FALSE)</f>
        <v>Saint-Sauveur</v>
      </c>
      <c r="Q413" s="9" t="str">
        <f>IFERROR($P413,PROPER(VLOOKUP($O413,'Villes en erreur'!$A$2:$B$72,2,FALSE)))</f>
        <v>Saint-Sauveur</v>
      </c>
      <c r="R413" s="9" t="s">
        <v>2617</v>
      </c>
      <c r="S413" s="9" t="str">
        <f>IF(ISBLANK($R413),"",VLOOKUP($R413,'Liste des Villes'!$B$2:$H$1128,4,FALSE))</f>
        <v>Laurentides</v>
      </c>
      <c r="T413" s="2" t="s">
        <v>2618</v>
      </c>
      <c r="U413" s="2" t="s">
        <v>39</v>
      </c>
      <c r="V413" s="2" t="s">
        <v>40</v>
      </c>
      <c r="W413" s="2" t="s">
        <v>2665</v>
      </c>
      <c r="X413" s="2"/>
      <c r="Y413" s="2"/>
      <c r="Z413" s="2"/>
      <c r="AA413" s="2" t="s">
        <v>385</v>
      </c>
      <c r="AB413" s="2" t="s">
        <v>2620</v>
      </c>
      <c r="AC413" s="4" t="s">
        <v>44</v>
      </c>
    </row>
    <row r="414" spans="1:29" x14ac:dyDescent="0.25">
      <c r="A414" s="1">
        <v>1235</v>
      </c>
      <c r="B414" s="17" t="s">
        <v>2666</v>
      </c>
      <c r="C414" s="2" t="s">
        <v>1806</v>
      </c>
      <c r="D414" s="15" t="s">
        <v>1807</v>
      </c>
      <c r="E414" s="9" t="s">
        <v>1410</v>
      </c>
      <c r="F414" s="9" t="s">
        <v>1808</v>
      </c>
      <c r="G414" s="9" t="s">
        <v>1754</v>
      </c>
      <c r="H414" s="2" t="s">
        <v>60</v>
      </c>
      <c r="I414" s="3">
        <v>31891</v>
      </c>
      <c r="J414" s="9" t="str">
        <f t="shared" ca="1" si="7"/>
        <v>36 ans</v>
      </c>
      <c r="K414" s="2" t="s">
        <v>36</v>
      </c>
      <c r="L414" s="2" t="str">
        <f>"17"</f>
        <v>17</v>
      </c>
      <c r="M414" s="2"/>
      <c r="N414" s="2" t="str">
        <f>"3E BLVD"</f>
        <v>3E BLVD</v>
      </c>
      <c r="O414" s="2" t="s">
        <v>2616</v>
      </c>
      <c r="P414" s="9" t="str">
        <f>VLOOKUP($O414,'Liste des Villes'!$B$2:$B$1128,1,FALSE)</f>
        <v>Saint-Sauveur</v>
      </c>
      <c r="Q414" s="9" t="str">
        <f>IFERROR($P414,PROPER(VLOOKUP($O414,'Villes en erreur'!$A$2:$B$72,2,FALSE)))</f>
        <v>Saint-Sauveur</v>
      </c>
      <c r="R414" s="9" t="s">
        <v>2617</v>
      </c>
      <c r="S414" s="9" t="str">
        <f>IF(ISBLANK($R414),"",VLOOKUP($R414,'Liste des Villes'!$B$2:$H$1128,4,FALSE))</f>
        <v>Laurentides</v>
      </c>
      <c r="T414" s="2" t="s">
        <v>2636</v>
      </c>
      <c r="U414" s="2" t="s">
        <v>39</v>
      </c>
      <c r="V414" s="2" t="s">
        <v>40</v>
      </c>
      <c r="W414" s="2" t="s">
        <v>2667</v>
      </c>
      <c r="X414" s="2"/>
      <c r="Y414" s="2"/>
      <c r="Z414" s="2"/>
      <c r="AA414" s="2" t="s">
        <v>149</v>
      </c>
      <c r="AB414" s="2" t="s">
        <v>2620</v>
      </c>
      <c r="AC414" s="4" t="s">
        <v>44</v>
      </c>
    </row>
    <row r="415" spans="1:29" x14ac:dyDescent="0.25">
      <c r="A415" s="1">
        <v>1615</v>
      </c>
      <c r="B415" s="17" t="s">
        <v>2668</v>
      </c>
      <c r="C415" s="2" t="s">
        <v>2669</v>
      </c>
      <c r="D415" s="15" t="s">
        <v>2670</v>
      </c>
      <c r="E415" s="9" t="s">
        <v>92</v>
      </c>
      <c r="F415" s="9" t="s">
        <v>2671</v>
      </c>
      <c r="G415" s="9" t="s">
        <v>1754</v>
      </c>
      <c r="H415" s="2" t="s">
        <v>60</v>
      </c>
      <c r="I415" s="3">
        <v>31924</v>
      </c>
      <c r="J415" s="9" t="str">
        <f t="shared" ca="1" si="7"/>
        <v>36 ans</v>
      </c>
      <c r="K415" s="2" t="s">
        <v>36</v>
      </c>
      <c r="L415" s="2" t="str">
        <f>"18"</f>
        <v>18</v>
      </c>
      <c r="M415" s="2"/>
      <c r="N415" s="2" t="str">
        <f>"40E AV"</f>
        <v>40E AV</v>
      </c>
      <c r="O415" s="2" t="s">
        <v>2616</v>
      </c>
      <c r="P415" s="9" t="str">
        <f>VLOOKUP($O415,'Liste des Villes'!$B$2:$B$1128,1,FALSE)</f>
        <v>Saint-Sauveur</v>
      </c>
      <c r="Q415" s="9" t="str">
        <f>IFERROR($P415,PROPER(VLOOKUP($O415,'Villes en erreur'!$A$2:$B$72,2,FALSE)))</f>
        <v>Saint-Sauveur</v>
      </c>
      <c r="R415" s="9" t="s">
        <v>2617</v>
      </c>
      <c r="S415" s="9" t="str">
        <f>IF(ISBLANK($R415),"",VLOOKUP($R415,'Liste des Villes'!$B$2:$H$1128,4,FALSE))</f>
        <v>Laurentides</v>
      </c>
      <c r="T415" s="2" t="s">
        <v>2636</v>
      </c>
      <c r="U415" s="2" t="s">
        <v>39</v>
      </c>
      <c r="V415" s="2" t="s">
        <v>40</v>
      </c>
      <c r="W415" s="2" t="s">
        <v>2672</v>
      </c>
      <c r="X415" s="2"/>
      <c r="Y415" s="2"/>
      <c r="Z415" s="2"/>
      <c r="AA415" s="2" t="s">
        <v>149</v>
      </c>
      <c r="AB415" s="2" t="s">
        <v>2620</v>
      </c>
      <c r="AC415" s="4" t="s">
        <v>44</v>
      </c>
    </row>
    <row r="416" spans="1:29" x14ac:dyDescent="0.25">
      <c r="A416" s="1">
        <v>3488</v>
      </c>
      <c r="B416" s="17" t="s">
        <v>2673</v>
      </c>
      <c r="C416" s="2" t="s">
        <v>2674</v>
      </c>
      <c r="D416" s="15" t="s">
        <v>2675</v>
      </c>
      <c r="E416" s="9" t="s">
        <v>2676</v>
      </c>
      <c r="F416" s="9" t="s">
        <v>2677</v>
      </c>
      <c r="G416" s="9" t="s">
        <v>1754</v>
      </c>
      <c r="H416" s="2" t="s">
        <v>60</v>
      </c>
      <c r="I416" s="3">
        <v>32047</v>
      </c>
      <c r="J416" s="9" t="str">
        <f t="shared" ca="1" si="7"/>
        <v>35 ans</v>
      </c>
      <c r="K416" s="2" t="s">
        <v>36</v>
      </c>
      <c r="L416" s="2" t="str">
        <f>"18"</f>
        <v>18</v>
      </c>
      <c r="M416" s="2"/>
      <c r="N416" s="2" t="str">
        <f>"42E AVENUE"</f>
        <v>42E AVENUE</v>
      </c>
      <c r="O416" s="2" t="s">
        <v>2616</v>
      </c>
      <c r="P416" s="9" t="str">
        <f>VLOOKUP($O416,'Liste des Villes'!$B$2:$B$1128,1,FALSE)</f>
        <v>Saint-Sauveur</v>
      </c>
      <c r="Q416" s="9" t="str">
        <f>IFERROR($P416,PROPER(VLOOKUP($O416,'Villes en erreur'!$A$2:$B$72,2,FALSE)))</f>
        <v>Saint-Sauveur</v>
      </c>
      <c r="R416" s="9" t="s">
        <v>2617</v>
      </c>
      <c r="S416" s="9" t="str">
        <f>IF(ISBLANK($R416),"",VLOOKUP($R416,'Liste des Villes'!$B$2:$H$1128,4,FALSE))</f>
        <v>Laurentides</v>
      </c>
      <c r="T416" s="2" t="s">
        <v>2630</v>
      </c>
      <c r="U416" s="2" t="s">
        <v>39</v>
      </c>
      <c r="V416" s="2" t="s">
        <v>40</v>
      </c>
      <c r="W416" s="2" t="s">
        <v>2678</v>
      </c>
      <c r="X416" s="2"/>
      <c r="Y416" s="2"/>
      <c r="Z416" s="2"/>
      <c r="AA416" s="2" t="s">
        <v>149</v>
      </c>
      <c r="AB416" s="2" t="s">
        <v>2620</v>
      </c>
      <c r="AC416" s="4" t="s">
        <v>44</v>
      </c>
    </row>
    <row r="417" spans="1:29" x14ac:dyDescent="0.25">
      <c r="A417" s="1">
        <v>2362</v>
      </c>
      <c r="B417" s="17" t="s">
        <v>2679</v>
      </c>
      <c r="C417" s="2" t="s">
        <v>2680</v>
      </c>
      <c r="D417" s="15" t="s">
        <v>2681</v>
      </c>
      <c r="E417" s="9" t="s">
        <v>85</v>
      </c>
      <c r="F417" s="9" t="s">
        <v>1852</v>
      </c>
      <c r="G417" s="9" t="s">
        <v>1754</v>
      </c>
      <c r="H417" s="2" t="s">
        <v>60</v>
      </c>
      <c r="I417" s="3">
        <v>31974</v>
      </c>
      <c r="J417" s="9" t="str">
        <f t="shared" ca="1" si="7"/>
        <v>36 ans</v>
      </c>
      <c r="K417" s="2" t="s">
        <v>36</v>
      </c>
      <c r="L417" s="2" t="str">
        <f>"18"</f>
        <v>18</v>
      </c>
      <c r="M417" s="2"/>
      <c r="N417" s="2" t="str">
        <f>"412E AV"</f>
        <v>412E AV</v>
      </c>
      <c r="O417" s="2" t="s">
        <v>2616</v>
      </c>
      <c r="P417" s="9" t="str">
        <f>VLOOKUP($O417,'Liste des Villes'!$B$2:$B$1128,1,FALSE)</f>
        <v>Saint-Sauveur</v>
      </c>
      <c r="Q417" s="9" t="str">
        <f>IFERROR($P417,PROPER(VLOOKUP($O417,'Villes en erreur'!$A$2:$B$72,2,FALSE)))</f>
        <v>Saint-Sauveur</v>
      </c>
      <c r="R417" s="9" t="s">
        <v>2617</v>
      </c>
      <c r="S417" s="9" t="str">
        <f>IF(ISBLANK($R417),"",VLOOKUP($R417,'Liste des Villes'!$B$2:$H$1128,4,FALSE))</f>
        <v>Laurentides</v>
      </c>
      <c r="T417" s="2" t="s">
        <v>2630</v>
      </c>
      <c r="U417" s="2" t="s">
        <v>39</v>
      </c>
      <c r="V417" s="2" t="s">
        <v>40</v>
      </c>
      <c r="W417" s="2" t="s">
        <v>2682</v>
      </c>
      <c r="X417" s="2"/>
      <c r="Y417" s="2"/>
      <c r="Z417" s="2"/>
      <c r="AA417" s="2" t="s">
        <v>149</v>
      </c>
      <c r="AB417" s="2" t="s">
        <v>2620</v>
      </c>
      <c r="AC417" s="4" t="s">
        <v>44</v>
      </c>
    </row>
    <row r="418" spans="1:29" x14ac:dyDescent="0.25">
      <c r="A418" s="1">
        <v>564</v>
      </c>
      <c r="B418" s="17" t="s">
        <v>2683</v>
      </c>
      <c r="C418" s="2" t="s">
        <v>2684</v>
      </c>
      <c r="D418" s="15" t="s">
        <v>2685</v>
      </c>
      <c r="E418" s="9" t="s">
        <v>2686</v>
      </c>
      <c r="F418" s="9" t="s">
        <v>1366</v>
      </c>
      <c r="G418" s="9" t="s">
        <v>1754</v>
      </c>
      <c r="H418" s="2" t="s">
        <v>60</v>
      </c>
      <c r="I418" s="3">
        <v>32062</v>
      </c>
      <c r="J418" s="9" t="str">
        <f t="shared" ca="1" si="7"/>
        <v>35 ans</v>
      </c>
      <c r="K418" s="2" t="s">
        <v>36</v>
      </c>
      <c r="L418" s="2" t="str">
        <f>"18"</f>
        <v>18</v>
      </c>
      <c r="M418" s="2"/>
      <c r="N418" s="2" t="str">
        <f>"42E AVENUE"</f>
        <v>42E AVENUE</v>
      </c>
      <c r="O418" s="2" t="s">
        <v>2616</v>
      </c>
      <c r="P418" s="9" t="str">
        <f>VLOOKUP($O418,'Liste des Villes'!$B$2:$B$1128,1,FALSE)</f>
        <v>Saint-Sauveur</v>
      </c>
      <c r="Q418" s="9" t="str">
        <f>IFERROR($P418,PROPER(VLOOKUP($O418,'Villes en erreur'!$A$2:$B$72,2,FALSE)))</f>
        <v>Saint-Sauveur</v>
      </c>
      <c r="R418" s="9" t="s">
        <v>2617</v>
      </c>
      <c r="S418" s="9" t="str">
        <f>IF(ISBLANK($R418),"",VLOOKUP($R418,'Liste des Villes'!$B$2:$H$1128,4,FALSE))</f>
        <v>Laurentides</v>
      </c>
      <c r="T418" s="2" t="s">
        <v>2630</v>
      </c>
      <c r="U418" s="2" t="s">
        <v>39</v>
      </c>
      <c r="V418" s="2" t="s">
        <v>40</v>
      </c>
      <c r="W418" s="2" t="s">
        <v>2687</v>
      </c>
      <c r="X418" s="2"/>
      <c r="Y418" s="2"/>
      <c r="Z418" s="2"/>
      <c r="AA418" s="2" t="s">
        <v>149</v>
      </c>
      <c r="AB418" s="2" t="s">
        <v>2620</v>
      </c>
      <c r="AC418" s="4" t="s">
        <v>44</v>
      </c>
    </row>
    <row r="419" spans="1:29" x14ac:dyDescent="0.25">
      <c r="A419" s="1">
        <v>1679</v>
      </c>
      <c r="B419" s="17" t="s">
        <v>2688</v>
      </c>
      <c r="C419" s="2" t="s">
        <v>2689</v>
      </c>
      <c r="D419" s="15" t="s">
        <v>1548</v>
      </c>
      <c r="E419" s="9" t="s">
        <v>1673</v>
      </c>
      <c r="F419" s="9" t="s">
        <v>2690</v>
      </c>
      <c r="G419" s="9" t="s">
        <v>396</v>
      </c>
      <c r="H419" s="2" t="s">
        <v>60</v>
      </c>
      <c r="I419" s="3">
        <v>32208</v>
      </c>
      <c r="J419" s="9" t="str">
        <f t="shared" ca="1" si="7"/>
        <v>35 ans</v>
      </c>
      <c r="K419" s="2" t="s">
        <v>36</v>
      </c>
      <c r="L419" s="2" t="str">
        <f>"20"</f>
        <v>20</v>
      </c>
      <c r="M419" s="2"/>
      <c r="N419" s="2" t="str">
        <f>"4E RUE"</f>
        <v>4E RUE</v>
      </c>
      <c r="O419" s="2" t="s">
        <v>2616</v>
      </c>
      <c r="P419" s="9" t="str">
        <f>VLOOKUP($O419,'Liste des Villes'!$B$2:$B$1128,1,FALSE)</f>
        <v>Saint-Sauveur</v>
      </c>
      <c r="Q419" s="9" t="str">
        <f>IFERROR($P419,PROPER(VLOOKUP($O419,'Villes en erreur'!$A$2:$B$72,2,FALSE)))</f>
        <v>Saint-Sauveur</v>
      </c>
      <c r="R419" s="9" t="s">
        <v>2617</v>
      </c>
      <c r="S419" s="9" t="str">
        <f>IF(ISBLANK($R419),"",VLOOKUP($R419,'Liste des Villes'!$B$2:$H$1128,4,FALSE))</f>
        <v>Laurentides</v>
      </c>
      <c r="T419" s="2" t="s">
        <v>2630</v>
      </c>
      <c r="U419" s="2" t="s">
        <v>39</v>
      </c>
      <c r="V419" s="2" t="s">
        <v>40</v>
      </c>
      <c r="W419" s="2" t="s">
        <v>2691</v>
      </c>
      <c r="X419" s="2"/>
      <c r="Y419" s="2"/>
      <c r="Z419" s="2"/>
      <c r="AA419" s="2" t="s">
        <v>385</v>
      </c>
      <c r="AB419" s="2" t="s">
        <v>2620</v>
      </c>
      <c r="AC419" s="4" t="s">
        <v>44</v>
      </c>
    </row>
    <row r="420" spans="1:29" x14ac:dyDescent="0.25">
      <c r="A420" s="1">
        <v>3617</v>
      </c>
      <c r="B420" s="17" t="s">
        <v>2692</v>
      </c>
      <c r="C420" s="2" t="s">
        <v>2209</v>
      </c>
      <c r="D420" s="15" t="s">
        <v>782</v>
      </c>
      <c r="E420" s="9" t="s">
        <v>2210</v>
      </c>
      <c r="F420" s="9" t="s">
        <v>2693</v>
      </c>
      <c r="G420" s="9" t="s">
        <v>2694</v>
      </c>
      <c r="H420" s="2" t="s">
        <v>35</v>
      </c>
      <c r="I420" s="3">
        <v>32481</v>
      </c>
      <c r="J420" s="9" t="str">
        <f t="shared" ca="1" si="7"/>
        <v>34 ans</v>
      </c>
      <c r="K420" s="2" t="s">
        <v>36</v>
      </c>
      <c r="L420" s="2" t="str">
        <f>"23"</f>
        <v>23</v>
      </c>
      <c r="M420" s="2"/>
      <c r="N420" s="2" t="str">
        <f>"63E AVENUE"</f>
        <v>63E AVENUE</v>
      </c>
      <c r="O420" s="2" t="s">
        <v>2616</v>
      </c>
      <c r="P420" s="9" t="str">
        <f>VLOOKUP($O420,'Liste des Villes'!$B$2:$B$1128,1,FALSE)</f>
        <v>Saint-Sauveur</v>
      </c>
      <c r="Q420" s="9" t="str">
        <f>IFERROR($P420,PROPER(VLOOKUP($O420,'Villes en erreur'!$A$2:$B$72,2,FALSE)))</f>
        <v>Saint-Sauveur</v>
      </c>
      <c r="R420" s="9" t="s">
        <v>2617</v>
      </c>
      <c r="S420" s="9" t="str">
        <f>IF(ISBLANK($R420),"",VLOOKUP($R420,'Liste des Villes'!$B$2:$H$1128,4,FALSE))</f>
        <v>Laurentides</v>
      </c>
      <c r="T420" s="2" t="s">
        <v>2643</v>
      </c>
      <c r="U420" s="2" t="s">
        <v>39</v>
      </c>
      <c r="V420" s="2" t="s">
        <v>40</v>
      </c>
      <c r="W420" s="2" t="s">
        <v>2695</v>
      </c>
      <c r="X420" s="2"/>
      <c r="Y420" s="2"/>
      <c r="Z420" s="2"/>
      <c r="AA420" s="2" t="s">
        <v>385</v>
      </c>
      <c r="AB420" s="2" t="s">
        <v>282</v>
      </c>
      <c r="AC420" s="4" t="s">
        <v>44</v>
      </c>
    </row>
    <row r="421" spans="1:29" x14ac:dyDescent="0.25">
      <c r="A421" s="1">
        <v>1454</v>
      </c>
      <c r="B421" s="17" t="s">
        <v>2696</v>
      </c>
      <c r="C421" s="2" t="s">
        <v>2697</v>
      </c>
      <c r="D421" s="15" t="s">
        <v>2698</v>
      </c>
      <c r="E421" s="9" t="s">
        <v>2699</v>
      </c>
      <c r="F421" s="9" t="s">
        <v>2700</v>
      </c>
      <c r="G421" s="9" t="s">
        <v>487</v>
      </c>
      <c r="H421" s="2" t="s">
        <v>35</v>
      </c>
      <c r="I421" s="3">
        <v>32628</v>
      </c>
      <c r="J421" s="9" t="str">
        <f t="shared" ca="1" si="7"/>
        <v>34 ans</v>
      </c>
      <c r="K421" s="2" t="s">
        <v>36</v>
      </c>
      <c r="L421" s="2" t="str">
        <f>"24"</f>
        <v>24</v>
      </c>
      <c r="M421" s="2"/>
      <c r="N421" s="2" t="str">
        <f>"6E RUE"</f>
        <v>6E RUE</v>
      </c>
      <c r="O421" s="2" t="s">
        <v>2616</v>
      </c>
      <c r="P421" s="9" t="str">
        <f>VLOOKUP($O421,'Liste des Villes'!$B$2:$B$1128,1,FALSE)</f>
        <v>Saint-Sauveur</v>
      </c>
      <c r="Q421" s="9" t="str">
        <f>IFERROR($P421,PROPER(VLOOKUP($O421,'Villes en erreur'!$A$2:$B$72,2,FALSE)))</f>
        <v>Saint-Sauveur</v>
      </c>
      <c r="R421" s="9" t="s">
        <v>2617</v>
      </c>
      <c r="S421" s="9" t="str">
        <f>IF(ISBLANK($R421),"",VLOOKUP($R421,'Liste des Villes'!$B$2:$H$1128,4,FALSE))</f>
        <v>Laurentides</v>
      </c>
      <c r="T421" s="2" t="s">
        <v>2701</v>
      </c>
      <c r="U421" s="2" t="s">
        <v>39</v>
      </c>
      <c r="V421" s="2" t="s">
        <v>40</v>
      </c>
      <c r="W421" s="2" t="s">
        <v>2702</v>
      </c>
      <c r="X421" s="2"/>
      <c r="Y421" s="2"/>
      <c r="Z421" s="2"/>
      <c r="AA421" s="2" t="s">
        <v>385</v>
      </c>
      <c r="AB421" s="2" t="s">
        <v>282</v>
      </c>
      <c r="AC421" s="4" t="s">
        <v>44</v>
      </c>
    </row>
    <row r="422" spans="1:29" x14ac:dyDescent="0.25">
      <c r="A422" s="1">
        <v>3209</v>
      </c>
      <c r="B422" s="17" t="s">
        <v>2703</v>
      </c>
      <c r="C422" s="2" t="s">
        <v>2704</v>
      </c>
      <c r="D422" s="15" t="s">
        <v>2705</v>
      </c>
      <c r="E422" s="9" t="s">
        <v>610</v>
      </c>
      <c r="F422" s="9" t="s">
        <v>2706</v>
      </c>
      <c r="G422" s="9" t="s">
        <v>2707</v>
      </c>
      <c r="H422" s="2" t="s">
        <v>35</v>
      </c>
      <c r="I422" s="3">
        <v>32475</v>
      </c>
      <c r="J422" s="9" t="str">
        <f t="shared" ca="1" si="7"/>
        <v>34 ans</v>
      </c>
      <c r="K422" s="2" t="s">
        <v>36</v>
      </c>
      <c r="L422" s="2" t="str">
        <f>"22"</f>
        <v>22</v>
      </c>
      <c r="M422" s="2"/>
      <c r="N422" s="2" t="str">
        <f>"62E AV E"</f>
        <v>62E AV E</v>
      </c>
      <c r="O422" s="2" t="s">
        <v>2616</v>
      </c>
      <c r="P422" s="9" t="str">
        <f>VLOOKUP($O422,'Liste des Villes'!$B$2:$B$1128,1,FALSE)</f>
        <v>Saint-Sauveur</v>
      </c>
      <c r="Q422" s="9" t="str">
        <f>IFERROR($P422,PROPER(VLOOKUP($O422,'Villes en erreur'!$A$2:$B$72,2,FALSE)))</f>
        <v>Saint-Sauveur</v>
      </c>
      <c r="R422" s="9" t="s">
        <v>2617</v>
      </c>
      <c r="S422" s="9" t="str">
        <f>IF(ISBLANK($R422),"",VLOOKUP($R422,'Liste des Villes'!$B$2:$H$1128,4,FALSE))</f>
        <v>Laurentides</v>
      </c>
      <c r="T422" s="2" t="s">
        <v>2643</v>
      </c>
      <c r="U422" s="2" t="s">
        <v>39</v>
      </c>
      <c r="V422" s="2" t="s">
        <v>40</v>
      </c>
      <c r="W422" s="2" t="s">
        <v>2708</v>
      </c>
      <c r="X422" s="2"/>
      <c r="Y422" s="2"/>
      <c r="Z422" s="2"/>
      <c r="AA422" s="2" t="s">
        <v>385</v>
      </c>
      <c r="AB422" s="2" t="s">
        <v>282</v>
      </c>
      <c r="AC422" s="4" t="s">
        <v>44</v>
      </c>
    </row>
    <row r="423" spans="1:29" x14ac:dyDescent="0.25">
      <c r="A423" s="1">
        <v>1220</v>
      </c>
      <c r="B423" s="17" t="s">
        <v>2709</v>
      </c>
      <c r="C423" s="2" t="s">
        <v>2710</v>
      </c>
      <c r="D423" s="15" t="s">
        <v>2711</v>
      </c>
      <c r="E423" s="9" t="s">
        <v>2712</v>
      </c>
      <c r="F423" s="9" t="s">
        <v>2713</v>
      </c>
      <c r="G423" s="9" t="s">
        <v>2210</v>
      </c>
      <c r="H423" s="2" t="s">
        <v>60</v>
      </c>
      <c r="I423" s="3">
        <v>32375</v>
      </c>
      <c r="J423" s="9" t="str">
        <f t="shared" ca="1" si="7"/>
        <v>35 ans</v>
      </c>
      <c r="K423" s="2" t="s">
        <v>36</v>
      </c>
      <c r="L423" s="2" t="str">
        <f>"22"</f>
        <v>22</v>
      </c>
      <c r="M423" s="2"/>
      <c r="N423" s="2" t="str">
        <f>"56E AV O"</f>
        <v>56E AV O</v>
      </c>
      <c r="O423" s="2" t="s">
        <v>2616</v>
      </c>
      <c r="P423" s="9" t="str">
        <f>VLOOKUP($O423,'Liste des Villes'!$B$2:$B$1128,1,FALSE)</f>
        <v>Saint-Sauveur</v>
      </c>
      <c r="Q423" s="9" t="str">
        <f>IFERROR($P423,PROPER(VLOOKUP($O423,'Villes en erreur'!$A$2:$B$72,2,FALSE)))</f>
        <v>Saint-Sauveur</v>
      </c>
      <c r="R423" s="9" t="s">
        <v>2617</v>
      </c>
      <c r="S423" s="9" t="str">
        <f>IF(ISBLANK($R423),"",VLOOKUP($R423,'Liste des Villes'!$B$2:$H$1128,4,FALSE))</f>
        <v>Laurentides</v>
      </c>
      <c r="T423" s="2" t="s">
        <v>2618</v>
      </c>
      <c r="U423" s="2" t="s">
        <v>39</v>
      </c>
      <c r="V423" s="2" t="s">
        <v>40</v>
      </c>
      <c r="W423" s="2" t="s">
        <v>2714</v>
      </c>
      <c r="X423" s="2"/>
      <c r="Y423" s="2"/>
      <c r="Z423" s="2"/>
      <c r="AA423" s="2" t="s">
        <v>385</v>
      </c>
      <c r="AB423" s="2" t="s">
        <v>2620</v>
      </c>
      <c r="AC423" s="4" t="s">
        <v>44</v>
      </c>
    </row>
    <row r="424" spans="1:29" x14ac:dyDescent="0.25">
      <c r="A424" s="1">
        <v>3737</v>
      </c>
      <c r="B424" s="17" t="s">
        <v>2715</v>
      </c>
      <c r="C424" s="2" t="s">
        <v>2716</v>
      </c>
      <c r="D424" s="15" t="s">
        <v>76</v>
      </c>
      <c r="E424" s="9" t="s">
        <v>2717</v>
      </c>
      <c r="F424" s="9" t="s">
        <v>2718</v>
      </c>
      <c r="G424" s="9" t="s">
        <v>2719</v>
      </c>
      <c r="H424" s="2" t="s">
        <v>60</v>
      </c>
      <c r="I424" s="3">
        <v>32259</v>
      </c>
      <c r="J424" s="9" t="str">
        <f t="shared" ca="1" si="7"/>
        <v>35 ans</v>
      </c>
      <c r="K424" s="2" t="s">
        <v>36</v>
      </c>
      <c r="L424" s="2" t="str">
        <f>"21"</f>
        <v>21</v>
      </c>
      <c r="M424" s="2"/>
      <c r="N424" s="2" t="str">
        <f>"51E AVENUE NORD"</f>
        <v>51E AVENUE NORD</v>
      </c>
      <c r="O424" s="2" t="s">
        <v>2616</v>
      </c>
      <c r="P424" s="9" t="str">
        <f>VLOOKUP($O424,'Liste des Villes'!$B$2:$B$1128,1,FALSE)</f>
        <v>Saint-Sauveur</v>
      </c>
      <c r="Q424" s="9" t="str">
        <f>IFERROR($P424,PROPER(VLOOKUP($O424,'Villes en erreur'!$A$2:$B$72,2,FALSE)))</f>
        <v>Saint-Sauveur</v>
      </c>
      <c r="R424" s="9" t="s">
        <v>2617</v>
      </c>
      <c r="S424" s="9" t="str">
        <f>IF(ISBLANK($R424),"",VLOOKUP($R424,'Liste des Villes'!$B$2:$H$1128,4,FALSE))</f>
        <v>Laurentides</v>
      </c>
      <c r="T424" s="2" t="s">
        <v>2630</v>
      </c>
      <c r="U424" s="2" t="s">
        <v>39</v>
      </c>
      <c r="V424" s="2" t="s">
        <v>40</v>
      </c>
      <c r="W424" s="2" t="s">
        <v>2720</v>
      </c>
      <c r="X424" s="2"/>
      <c r="Y424" s="2"/>
      <c r="Z424" s="2"/>
      <c r="AA424" s="2" t="s">
        <v>385</v>
      </c>
      <c r="AB424" s="2" t="s">
        <v>2620</v>
      </c>
      <c r="AC424" s="4" t="s">
        <v>44</v>
      </c>
    </row>
    <row r="425" spans="1:29" x14ac:dyDescent="0.25">
      <c r="A425" s="1">
        <v>2563</v>
      </c>
      <c r="B425" s="17" t="s">
        <v>2721</v>
      </c>
      <c r="C425" s="2" t="s">
        <v>2722</v>
      </c>
      <c r="D425" s="15" t="s">
        <v>2723</v>
      </c>
      <c r="E425" s="9" t="s">
        <v>1754</v>
      </c>
      <c r="F425" s="9" t="s">
        <v>2724</v>
      </c>
      <c r="G425" s="9" t="s">
        <v>396</v>
      </c>
      <c r="H425" s="2" t="s">
        <v>60</v>
      </c>
      <c r="I425" s="3">
        <v>32177</v>
      </c>
      <c r="J425" s="9" t="str">
        <f t="shared" ca="1" si="7"/>
        <v>35 ans</v>
      </c>
      <c r="K425" s="2" t="s">
        <v>36</v>
      </c>
      <c r="L425" s="2" t="str">
        <f>"20"</f>
        <v>20</v>
      </c>
      <c r="M425" s="2"/>
      <c r="N425" s="2" t="str">
        <f>"4E AV"</f>
        <v>4E AV</v>
      </c>
      <c r="O425" s="2" t="s">
        <v>2616</v>
      </c>
      <c r="P425" s="9" t="str">
        <f>VLOOKUP($O425,'Liste des Villes'!$B$2:$B$1128,1,FALSE)</f>
        <v>Saint-Sauveur</v>
      </c>
      <c r="Q425" s="9" t="str">
        <f>IFERROR($P425,PROPER(VLOOKUP($O425,'Villes en erreur'!$A$2:$B$72,2,FALSE)))</f>
        <v>Saint-Sauveur</v>
      </c>
      <c r="R425" s="9" t="s">
        <v>2617</v>
      </c>
      <c r="S425" s="9" t="str">
        <f>IF(ISBLANK($R425),"",VLOOKUP($R425,'Liste des Villes'!$B$2:$H$1128,4,FALSE))</f>
        <v>Laurentides</v>
      </c>
      <c r="T425" s="2" t="s">
        <v>2630</v>
      </c>
      <c r="U425" s="2" t="s">
        <v>39</v>
      </c>
      <c r="V425" s="2" t="s">
        <v>40</v>
      </c>
      <c r="W425" s="2" t="s">
        <v>2725</v>
      </c>
      <c r="X425" s="2"/>
      <c r="Y425" s="2"/>
      <c r="Z425" s="2"/>
      <c r="AA425" s="2" t="s">
        <v>385</v>
      </c>
      <c r="AB425" s="2" t="s">
        <v>2620</v>
      </c>
      <c r="AC425" s="4" t="s">
        <v>44</v>
      </c>
    </row>
    <row r="426" spans="1:29" x14ac:dyDescent="0.25">
      <c r="A426" s="1">
        <v>186</v>
      </c>
      <c r="B426" s="17" t="s">
        <v>2726</v>
      </c>
      <c r="C426" s="2" t="s">
        <v>2727</v>
      </c>
      <c r="D426" s="15" t="s">
        <v>2728</v>
      </c>
      <c r="E426" s="9" t="s">
        <v>341</v>
      </c>
      <c r="F426" s="9" t="s">
        <v>2729</v>
      </c>
      <c r="G426" s="9" t="s">
        <v>2730</v>
      </c>
      <c r="H426" s="2" t="s">
        <v>35</v>
      </c>
      <c r="I426" s="3">
        <v>31848</v>
      </c>
      <c r="J426" s="9" t="str">
        <f t="shared" ca="1" si="7"/>
        <v>36 ans</v>
      </c>
      <c r="K426" s="2" t="s">
        <v>36</v>
      </c>
      <c r="L426" s="2" t="str">
        <f>"17"</f>
        <v>17</v>
      </c>
      <c r="M426" s="2"/>
      <c r="N426" s="2" t="str">
        <f>"3E BLVD"</f>
        <v>3E BLVD</v>
      </c>
      <c r="O426" s="2" t="s">
        <v>2616</v>
      </c>
      <c r="P426" s="9" t="str">
        <f>VLOOKUP($O426,'Liste des Villes'!$B$2:$B$1128,1,FALSE)</f>
        <v>Saint-Sauveur</v>
      </c>
      <c r="Q426" s="9" t="str">
        <f>IFERROR($P426,PROPER(VLOOKUP($O426,'Villes en erreur'!$A$2:$B$72,2,FALSE)))</f>
        <v>Saint-Sauveur</v>
      </c>
      <c r="R426" s="9" t="s">
        <v>2617</v>
      </c>
      <c r="S426" s="9" t="str">
        <f>IF(ISBLANK($R426),"",VLOOKUP($R426,'Liste des Villes'!$B$2:$H$1128,4,FALSE))</f>
        <v>Laurentides</v>
      </c>
      <c r="T426" s="2" t="s">
        <v>2636</v>
      </c>
      <c r="U426" s="2" t="s">
        <v>39</v>
      </c>
      <c r="V426" s="2" t="s">
        <v>40</v>
      </c>
      <c r="W426" s="2" t="s">
        <v>2731</v>
      </c>
      <c r="X426" s="2"/>
      <c r="Y426" s="2"/>
      <c r="Z426" s="2"/>
      <c r="AA426" s="2" t="s">
        <v>149</v>
      </c>
      <c r="AB426" s="2" t="s">
        <v>2620</v>
      </c>
      <c r="AC426" s="4" t="s">
        <v>44</v>
      </c>
    </row>
    <row r="427" spans="1:29" x14ac:dyDescent="0.25">
      <c r="A427" s="1">
        <v>2751</v>
      </c>
      <c r="B427" s="17" t="s">
        <v>2732</v>
      </c>
      <c r="C427" s="2" t="s">
        <v>2733</v>
      </c>
      <c r="D427" s="15" t="s">
        <v>578</v>
      </c>
      <c r="E427" s="9" t="s">
        <v>1004</v>
      </c>
      <c r="F427" s="9" t="s">
        <v>203</v>
      </c>
      <c r="G427" s="9" t="s">
        <v>2210</v>
      </c>
      <c r="H427" s="2" t="s">
        <v>60</v>
      </c>
      <c r="I427" s="3">
        <v>32431</v>
      </c>
      <c r="J427" s="9" t="str">
        <f t="shared" ca="1" si="7"/>
        <v>34 ans</v>
      </c>
      <c r="K427" s="2" t="s">
        <v>36</v>
      </c>
      <c r="L427" s="2" t="str">
        <f>"22"</f>
        <v>22</v>
      </c>
      <c r="M427" s="2"/>
      <c r="N427" s="2" t="str">
        <f>"59E AVENUE SUD"</f>
        <v>59E AVENUE SUD</v>
      </c>
      <c r="O427" s="2" t="s">
        <v>2616</v>
      </c>
      <c r="P427" s="9" t="str">
        <f>VLOOKUP($O427,'Liste des Villes'!$B$2:$B$1128,1,FALSE)</f>
        <v>Saint-Sauveur</v>
      </c>
      <c r="Q427" s="9" t="str">
        <f>IFERROR($P427,PROPER(VLOOKUP($O427,'Villes en erreur'!$A$2:$B$72,2,FALSE)))</f>
        <v>Saint-Sauveur</v>
      </c>
      <c r="R427" s="9" t="s">
        <v>2617</v>
      </c>
      <c r="S427" s="9" t="str">
        <f>IF(ISBLANK($R427),"",VLOOKUP($R427,'Liste des Villes'!$B$2:$H$1128,4,FALSE))</f>
        <v>Laurentides</v>
      </c>
      <c r="T427" s="2" t="s">
        <v>2643</v>
      </c>
      <c r="U427" s="2" t="s">
        <v>39</v>
      </c>
      <c r="V427" s="2" t="s">
        <v>40</v>
      </c>
      <c r="W427" s="2" t="s">
        <v>2734</v>
      </c>
      <c r="X427" s="2"/>
      <c r="Y427" s="2"/>
      <c r="Z427" s="2"/>
      <c r="AA427" s="2" t="s">
        <v>385</v>
      </c>
      <c r="AB427" s="2" t="s">
        <v>2620</v>
      </c>
      <c r="AC427" s="4" t="s">
        <v>44</v>
      </c>
    </row>
    <row r="428" spans="1:29" x14ac:dyDescent="0.25">
      <c r="A428" s="1">
        <v>3371</v>
      </c>
      <c r="B428" s="17" t="s">
        <v>2735</v>
      </c>
      <c r="C428" s="2" t="s">
        <v>2736</v>
      </c>
      <c r="D428" s="15" t="s">
        <v>2737</v>
      </c>
      <c r="E428" s="9" t="s">
        <v>664</v>
      </c>
      <c r="F428" s="9" t="s">
        <v>2738</v>
      </c>
      <c r="G428" s="9" t="s">
        <v>1754</v>
      </c>
      <c r="H428" s="2" t="s">
        <v>60</v>
      </c>
      <c r="I428" s="3">
        <v>31926</v>
      </c>
      <c r="J428" s="9" t="str">
        <f t="shared" ca="1" si="7"/>
        <v>36 ans</v>
      </c>
      <c r="K428" s="2" t="s">
        <v>36</v>
      </c>
      <c r="L428" s="2" t="str">
        <f>"18"</f>
        <v>18</v>
      </c>
      <c r="M428" s="2"/>
      <c r="N428" s="2" t="str">
        <f>"40E AV"</f>
        <v>40E AV</v>
      </c>
      <c r="O428" s="2" t="s">
        <v>2616</v>
      </c>
      <c r="P428" s="9" t="str">
        <f>VLOOKUP($O428,'Liste des Villes'!$B$2:$B$1128,1,FALSE)</f>
        <v>Saint-Sauveur</v>
      </c>
      <c r="Q428" s="9" t="str">
        <f>IFERROR($P428,PROPER(VLOOKUP($O428,'Villes en erreur'!$A$2:$B$72,2,FALSE)))</f>
        <v>Saint-Sauveur</v>
      </c>
      <c r="R428" s="9" t="s">
        <v>2617</v>
      </c>
      <c r="S428" s="9" t="str">
        <f>IF(ISBLANK($R428),"",VLOOKUP($R428,'Liste des Villes'!$B$2:$H$1128,4,FALSE))</f>
        <v>Laurentides</v>
      </c>
      <c r="T428" s="2" t="s">
        <v>2739</v>
      </c>
      <c r="U428" s="2" t="s">
        <v>39</v>
      </c>
      <c r="V428" s="2" t="s">
        <v>40</v>
      </c>
      <c r="W428" s="2" t="s">
        <v>2740</v>
      </c>
      <c r="X428" s="2"/>
      <c r="Y428" s="2"/>
      <c r="Z428" s="2"/>
      <c r="AA428" s="2" t="s">
        <v>149</v>
      </c>
      <c r="AB428" s="2" t="s">
        <v>2620</v>
      </c>
      <c r="AC428" s="4" t="s">
        <v>44</v>
      </c>
    </row>
    <row r="429" spans="1:29" x14ac:dyDescent="0.25">
      <c r="A429" s="1">
        <v>3088</v>
      </c>
      <c r="B429" s="17" t="s">
        <v>2741</v>
      </c>
      <c r="C429" s="2" t="s">
        <v>1733</v>
      </c>
      <c r="D429" s="15" t="s">
        <v>100</v>
      </c>
      <c r="E429" s="9" t="s">
        <v>122</v>
      </c>
      <c r="F429" s="9" t="s">
        <v>2742</v>
      </c>
      <c r="G429" s="9" t="s">
        <v>2743</v>
      </c>
      <c r="H429" s="2" t="s">
        <v>35</v>
      </c>
      <c r="I429" s="3">
        <v>32515</v>
      </c>
      <c r="J429" s="9" t="str">
        <f t="shared" ca="1" si="7"/>
        <v>34 ans</v>
      </c>
      <c r="K429" s="2" t="s">
        <v>36</v>
      </c>
      <c r="L429" s="2" t="str">
        <f>"23"</f>
        <v>23</v>
      </c>
      <c r="M429" s="2"/>
      <c r="N429" s="2" t="str">
        <f>"69E AVE EST"</f>
        <v>69E AVE EST</v>
      </c>
      <c r="O429" s="2" t="s">
        <v>2616</v>
      </c>
      <c r="P429" s="9" t="str">
        <f>VLOOKUP($O429,'Liste des Villes'!$B$2:$B$1128,1,FALSE)</f>
        <v>Saint-Sauveur</v>
      </c>
      <c r="Q429" s="9" t="str">
        <f>IFERROR($P429,PROPER(VLOOKUP($O429,'Villes en erreur'!$A$2:$B$72,2,FALSE)))</f>
        <v>Saint-Sauveur</v>
      </c>
      <c r="R429" s="9" t="s">
        <v>2617</v>
      </c>
      <c r="S429" s="9" t="str">
        <f>IF(ISBLANK($R429),"",VLOOKUP($R429,'Liste des Villes'!$B$2:$H$1128,4,FALSE))</f>
        <v>Laurentides</v>
      </c>
      <c r="T429" s="2" t="s">
        <v>2643</v>
      </c>
      <c r="U429" s="2" t="s">
        <v>39</v>
      </c>
      <c r="V429" s="2" t="s">
        <v>40</v>
      </c>
      <c r="W429" s="2" t="s">
        <v>2744</v>
      </c>
      <c r="X429" s="2"/>
      <c r="Y429" s="2"/>
      <c r="Z429" s="2"/>
      <c r="AA429" s="2" t="s">
        <v>385</v>
      </c>
      <c r="AB429" s="2" t="s">
        <v>282</v>
      </c>
      <c r="AC429" s="4" t="s">
        <v>44</v>
      </c>
    </row>
    <row r="430" spans="1:29" x14ac:dyDescent="0.25">
      <c r="A430" s="1">
        <v>720</v>
      </c>
      <c r="B430" s="17" t="s">
        <v>2745</v>
      </c>
      <c r="C430" s="2" t="s">
        <v>118</v>
      </c>
      <c r="D430" s="15" t="s">
        <v>119</v>
      </c>
      <c r="E430" s="9" t="s">
        <v>120</v>
      </c>
      <c r="F430" s="9" t="s">
        <v>121</v>
      </c>
      <c r="G430" s="9" t="s">
        <v>1754</v>
      </c>
      <c r="H430" s="2" t="s">
        <v>60</v>
      </c>
      <c r="I430" s="3">
        <v>31891</v>
      </c>
      <c r="J430" s="9" t="str">
        <f t="shared" ca="1" si="7"/>
        <v>36 ans</v>
      </c>
      <c r="K430" s="2" t="s">
        <v>36</v>
      </c>
      <c r="L430" s="2" t="str">
        <f>"18"</f>
        <v>18</v>
      </c>
      <c r="M430" s="2"/>
      <c r="N430" s="2" t="str">
        <f>"3E RUE"</f>
        <v>3E RUE</v>
      </c>
      <c r="O430" s="2" t="s">
        <v>2616</v>
      </c>
      <c r="P430" s="9" t="str">
        <f>VLOOKUP($O430,'Liste des Villes'!$B$2:$B$1128,1,FALSE)</f>
        <v>Saint-Sauveur</v>
      </c>
      <c r="Q430" s="9" t="str">
        <f>IFERROR($P430,PROPER(VLOOKUP($O430,'Villes en erreur'!$A$2:$B$72,2,FALSE)))</f>
        <v>Saint-Sauveur</v>
      </c>
      <c r="R430" s="9" t="s">
        <v>2617</v>
      </c>
      <c r="S430" s="9" t="str">
        <f>IF(ISBLANK($R430),"",VLOOKUP($R430,'Liste des Villes'!$B$2:$H$1128,4,FALSE))</f>
        <v>Laurentides</v>
      </c>
      <c r="T430" s="2" t="s">
        <v>2636</v>
      </c>
      <c r="U430" s="2" t="s">
        <v>39</v>
      </c>
      <c r="V430" s="2" t="s">
        <v>40</v>
      </c>
      <c r="W430" s="2" t="s">
        <v>2746</v>
      </c>
      <c r="X430" s="2"/>
      <c r="Y430" s="2"/>
      <c r="Z430" s="2"/>
      <c r="AA430" s="2" t="s">
        <v>149</v>
      </c>
      <c r="AB430" s="2" t="s">
        <v>2620</v>
      </c>
      <c r="AC430" s="4" t="s">
        <v>44</v>
      </c>
    </row>
    <row r="431" spans="1:29" x14ac:dyDescent="0.25">
      <c r="A431" s="1">
        <v>2387</v>
      </c>
      <c r="B431" s="17" t="s">
        <v>2747</v>
      </c>
      <c r="C431" s="2" t="s">
        <v>2748</v>
      </c>
      <c r="D431" s="15" t="s">
        <v>2415</v>
      </c>
      <c r="E431" s="9" t="s">
        <v>2749</v>
      </c>
      <c r="F431" s="9" t="s">
        <v>363</v>
      </c>
      <c r="G431" s="9" t="s">
        <v>2750</v>
      </c>
      <c r="H431" s="2" t="s">
        <v>60</v>
      </c>
      <c r="I431" s="3">
        <v>32128</v>
      </c>
      <c r="J431" s="9" t="str">
        <f t="shared" ca="1" si="7"/>
        <v>35 ans</v>
      </c>
      <c r="K431" s="2" t="s">
        <v>36</v>
      </c>
      <c r="L431" s="2" t="str">
        <f>"19"</f>
        <v>19</v>
      </c>
      <c r="M431" s="2"/>
      <c r="N431" s="2" t="str">
        <f>"45E AV"</f>
        <v>45E AV</v>
      </c>
      <c r="O431" s="2" t="s">
        <v>2616</v>
      </c>
      <c r="P431" s="9" t="str">
        <f>VLOOKUP($O431,'Liste des Villes'!$B$2:$B$1128,1,FALSE)</f>
        <v>Saint-Sauveur</v>
      </c>
      <c r="Q431" s="9" t="str">
        <f>IFERROR($P431,PROPER(VLOOKUP($O431,'Villes en erreur'!$A$2:$B$72,2,FALSE)))</f>
        <v>Saint-Sauveur</v>
      </c>
      <c r="R431" s="9" t="s">
        <v>2617</v>
      </c>
      <c r="S431" s="9" t="str">
        <f>IF(ISBLANK($R431),"",VLOOKUP($R431,'Liste des Villes'!$B$2:$H$1128,4,FALSE))</f>
        <v>Laurentides</v>
      </c>
      <c r="T431" s="2" t="s">
        <v>2630</v>
      </c>
      <c r="U431" s="2" t="s">
        <v>39</v>
      </c>
      <c r="V431" s="2" t="s">
        <v>40</v>
      </c>
      <c r="W431" s="2" t="s">
        <v>2751</v>
      </c>
      <c r="X431" s="2"/>
      <c r="Y431" s="2"/>
      <c r="Z431" s="2"/>
      <c r="AA431" s="2" t="s">
        <v>385</v>
      </c>
      <c r="AB431" s="2" t="s">
        <v>2620</v>
      </c>
      <c r="AC431" s="4" t="s">
        <v>44</v>
      </c>
    </row>
    <row r="432" spans="1:29" x14ac:dyDescent="0.25">
      <c r="A432" s="1">
        <v>3910</v>
      </c>
      <c r="B432" s="17" t="s">
        <v>2752</v>
      </c>
      <c r="C432" s="2" t="s">
        <v>2753</v>
      </c>
      <c r="D432" s="15" t="s">
        <v>2754</v>
      </c>
      <c r="E432" s="9" t="s">
        <v>2755</v>
      </c>
      <c r="F432" s="9" t="s">
        <v>2756</v>
      </c>
      <c r="G432" s="9" t="s">
        <v>396</v>
      </c>
      <c r="H432" s="2" t="s">
        <v>60</v>
      </c>
      <c r="I432" s="3">
        <v>32165</v>
      </c>
      <c r="J432" s="9" t="str">
        <f t="shared" ca="1" si="7"/>
        <v>35 ans</v>
      </c>
      <c r="K432" s="2" t="s">
        <v>36</v>
      </c>
      <c r="L432" s="2" t="str">
        <f>"19"</f>
        <v>19</v>
      </c>
      <c r="M432" s="2"/>
      <c r="N432" s="2" t="str">
        <f>"47E AVENUE"</f>
        <v>47E AVENUE</v>
      </c>
      <c r="O432" s="2" t="s">
        <v>2616</v>
      </c>
      <c r="P432" s="9" t="str">
        <f>VLOOKUP($O432,'Liste des Villes'!$B$2:$B$1128,1,FALSE)</f>
        <v>Saint-Sauveur</v>
      </c>
      <c r="Q432" s="9" t="str">
        <f>IFERROR($P432,PROPER(VLOOKUP($O432,'Villes en erreur'!$A$2:$B$72,2,FALSE)))</f>
        <v>Saint-Sauveur</v>
      </c>
      <c r="R432" s="9" t="s">
        <v>2617</v>
      </c>
      <c r="S432" s="9" t="str">
        <f>IF(ISBLANK($R432),"",VLOOKUP($R432,'Liste des Villes'!$B$2:$H$1128,4,FALSE))</f>
        <v>Laurentides</v>
      </c>
      <c r="T432" s="2" t="s">
        <v>2630</v>
      </c>
      <c r="U432" s="2" t="s">
        <v>39</v>
      </c>
      <c r="V432" s="2" t="s">
        <v>40</v>
      </c>
      <c r="W432" s="2" t="s">
        <v>2757</v>
      </c>
      <c r="X432" s="2"/>
      <c r="Y432" s="2"/>
      <c r="Z432" s="2"/>
      <c r="AA432" s="2" t="s">
        <v>385</v>
      </c>
      <c r="AB432" s="2" t="s">
        <v>2620</v>
      </c>
      <c r="AC432" s="4" t="s">
        <v>44</v>
      </c>
    </row>
    <row r="433" spans="1:29" x14ac:dyDescent="0.25">
      <c r="A433" s="1">
        <v>1529</v>
      </c>
      <c r="B433" s="17" t="s">
        <v>2758</v>
      </c>
      <c r="C433" s="2" t="s">
        <v>2759</v>
      </c>
      <c r="D433" s="15" t="s">
        <v>2693</v>
      </c>
      <c r="E433" s="9" t="s">
        <v>781</v>
      </c>
      <c r="F433" s="9" t="s">
        <v>782</v>
      </c>
      <c r="G433" s="9" t="s">
        <v>487</v>
      </c>
      <c r="H433" s="2" t="s">
        <v>35</v>
      </c>
      <c r="I433" s="3">
        <v>32515</v>
      </c>
      <c r="J433" s="9" t="str">
        <f t="shared" ca="1" si="7"/>
        <v>34 ans</v>
      </c>
      <c r="K433" s="2" t="s">
        <v>36</v>
      </c>
      <c r="L433" s="2" t="str">
        <f>"23"</f>
        <v>23</v>
      </c>
      <c r="M433" s="2"/>
      <c r="N433" s="2" t="str">
        <f>"6E AV"</f>
        <v>6E AV</v>
      </c>
      <c r="O433" s="2" t="s">
        <v>2617</v>
      </c>
      <c r="P433" s="9" t="str">
        <f>VLOOKUP($O433,'Liste des Villes'!$B$2:$B$1128,1,FALSE)</f>
        <v>Saint-Sauveur</v>
      </c>
      <c r="Q433" s="9" t="str">
        <f>IFERROR($P433,PROPER(VLOOKUP($O433,'Villes en erreur'!$A$2:$B$72,2,FALSE)))</f>
        <v>Saint-Sauveur</v>
      </c>
      <c r="R433" s="9" t="s">
        <v>2617</v>
      </c>
      <c r="S433" s="9" t="str">
        <f>IF(ISBLANK($R433),"",VLOOKUP($R433,'Liste des Villes'!$B$2:$H$1128,4,FALSE))</f>
        <v>Laurentides</v>
      </c>
      <c r="T433" s="2" t="s">
        <v>2643</v>
      </c>
      <c r="U433" s="2" t="s">
        <v>39</v>
      </c>
      <c r="V433" s="2" t="s">
        <v>40</v>
      </c>
      <c r="W433" s="2" t="s">
        <v>2760</v>
      </c>
      <c r="X433" s="2"/>
      <c r="Y433" s="2"/>
      <c r="Z433" s="2"/>
      <c r="AA433" s="2" t="s">
        <v>385</v>
      </c>
      <c r="AB433" s="2" t="s">
        <v>282</v>
      </c>
      <c r="AC433" s="4" t="s">
        <v>44</v>
      </c>
    </row>
    <row r="434" spans="1:29" x14ac:dyDescent="0.25">
      <c r="A434" s="1">
        <v>3287</v>
      </c>
      <c r="B434" s="17" t="s">
        <v>2761</v>
      </c>
      <c r="C434" s="2" t="s">
        <v>2762</v>
      </c>
      <c r="D434" s="15" t="s">
        <v>2763</v>
      </c>
      <c r="E434" s="9" t="s">
        <v>2764</v>
      </c>
      <c r="F434" s="9" t="s">
        <v>2765</v>
      </c>
      <c r="G434" s="9" t="s">
        <v>2766</v>
      </c>
      <c r="H434" s="2" t="s">
        <v>60</v>
      </c>
      <c r="I434" s="3">
        <v>32438</v>
      </c>
      <c r="J434" s="9" t="str">
        <f t="shared" ca="1" si="7"/>
        <v>34 ans</v>
      </c>
      <c r="K434" s="2" t="s">
        <v>36</v>
      </c>
      <c r="L434" s="2" t="str">
        <f>"22"</f>
        <v>22</v>
      </c>
      <c r="M434" s="2"/>
      <c r="N434" s="2" t="str">
        <f>"5E BLVD"</f>
        <v>5E BLVD</v>
      </c>
      <c r="O434" s="2" t="s">
        <v>2616</v>
      </c>
      <c r="P434" s="9" t="str">
        <f>VLOOKUP($O434,'Liste des Villes'!$B$2:$B$1128,1,FALSE)</f>
        <v>Saint-Sauveur</v>
      </c>
      <c r="Q434" s="9" t="str">
        <f>IFERROR($P434,PROPER(VLOOKUP($O434,'Villes en erreur'!$A$2:$B$72,2,FALSE)))</f>
        <v>Saint-Sauveur</v>
      </c>
      <c r="R434" s="9" t="s">
        <v>2617</v>
      </c>
      <c r="S434" s="9" t="str">
        <f>IF(ISBLANK($R434),"",VLOOKUP($R434,'Liste des Villes'!$B$2:$H$1128,4,FALSE))</f>
        <v>Laurentides</v>
      </c>
      <c r="T434" s="2" t="s">
        <v>2643</v>
      </c>
      <c r="U434" s="2" t="s">
        <v>39</v>
      </c>
      <c r="V434" s="2" t="s">
        <v>40</v>
      </c>
      <c r="W434" s="2" t="s">
        <v>2767</v>
      </c>
      <c r="X434" s="2"/>
      <c r="Y434" s="2"/>
      <c r="Z434" s="2"/>
      <c r="AA434" s="2" t="s">
        <v>385</v>
      </c>
      <c r="AB434" s="2" t="s">
        <v>2620</v>
      </c>
      <c r="AC434" s="4" t="s">
        <v>44</v>
      </c>
    </row>
    <row r="435" spans="1:29" x14ac:dyDescent="0.25">
      <c r="A435" s="1">
        <v>3258</v>
      </c>
      <c r="B435" s="17" t="s">
        <v>2768</v>
      </c>
      <c r="C435" s="2" t="s">
        <v>2769</v>
      </c>
      <c r="D435" s="15" t="s">
        <v>2770</v>
      </c>
      <c r="E435" s="9" t="s">
        <v>956</v>
      </c>
      <c r="F435" s="9" t="s">
        <v>106</v>
      </c>
      <c r="G435" s="9" t="s">
        <v>487</v>
      </c>
      <c r="H435" s="2" t="s">
        <v>35</v>
      </c>
      <c r="I435" s="3">
        <v>32673</v>
      </c>
      <c r="J435" s="9" t="str">
        <f t="shared" ca="1" si="7"/>
        <v>34 ans</v>
      </c>
      <c r="K435" s="2" t="s">
        <v>36</v>
      </c>
      <c r="L435" s="2" t="str">
        <f>"24"</f>
        <v>24</v>
      </c>
      <c r="M435" s="2"/>
      <c r="N435" s="2" t="str">
        <f>"70 AVENUE EAST"</f>
        <v>70 AVENUE EAST</v>
      </c>
      <c r="O435" s="2" t="s">
        <v>2616</v>
      </c>
      <c r="P435" s="9" t="str">
        <f>VLOOKUP($O435,'Liste des Villes'!$B$2:$B$1128,1,FALSE)</f>
        <v>Saint-Sauveur</v>
      </c>
      <c r="Q435" s="9" t="str">
        <f>IFERROR($P435,PROPER(VLOOKUP($O435,'Villes en erreur'!$A$2:$B$72,2,FALSE)))</f>
        <v>Saint-Sauveur</v>
      </c>
      <c r="R435" s="9" t="s">
        <v>2617</v>
      </c>
      <c r="S435" s="9" t="str">
        <f>IF(ISBLANK($R435),"",VLOOKUP($R435,'Liste des Villes'!$B$2:$H$1128,4,FALSE))</f>
        <v>Laurentides</v>
      </c>
      <c r="T435" s="2" t="s">
        <v>2701</v>
      </c>
      <c r="U435" s="2" t="s">
        <v>39</v>
      </c>
      <c r="V435" s="2" t="s">
        <v>40</v>
      </c>
      <c r="W435" s="2" t="s">
        <v>2771</v>
      </c>
      <c r="X435" s="2"/>
      <c r="Y435" s="2"/>
      <c r="Z435" s="2"/>
      <c r="AA435" s="2" t="s">
        <v>385</v>
      </c>
      <c r="AB435" s="2" t="s">
        <v>282</v>
      </c>
      <c r="AC435" s="4" t="s">
        <v>44</v>
      </c>
    </row>
    <row r="436" spans="1:29" x14ac:dyDescent="0.25">
      <c r="A436" s="1">
        <v>4246</v>
      </c>
      <c r="B436" s="17" t="s">
        <v>2772</v>
      </c>
      <c r="C436" s="2" t="s">
        <v>2009</v>
      </c>
      <c r="D436" s="15" t="s">
        <v>1076</v>
      </c>
      <c r="E436" s="9" t="s">
        <v>332</v>
      </c>
      <c r="F436" s="9" t="s">
        <v>2773</v>
      </c>
      <c r="G436" s="9" t="s">
        <v>487</v>
      </c>
      <c r="H436" s="2" t="s">
        <v>35</v>
      </c>
      <c r="I436" s="3">
        <v>32714</v>
      </c>
      <c r="J436" s="9" t="str">
        <f t="shared" ca="1" si="7"/>
        <v>34 ans</v>
      </c>
      <c r="K436" s="2" t="s">
        <v>36</v>
      </c>
      <c r="L436" s="2" t="str">
        <f>"24"</f>
        <v>24</v>
      </c>
      <c r="M436" s="2"/>
      <c r="N436" s="2" t="str">
        <f>"79E AVENUE EST"</f>
        <v>79E AVENUE EST</v>
      </c>
      <c r="O436" s="2" t="s">
        <v>2616</v>
      </c>
      <c r="P436" s="9" t="str">
        <f>VLOOKUP($O436,'Liste des Villes'!$B$2:$B$1128,1,FALSE)</f>
        <v>Saint-Sauveur</v>
      </c>
      <c r="Q436" s="9" t="str">
        <f>IFERROR($P436,PROPER(VLOOKUP($O436,'Villes en erreur'!$A$2:$B$72,2,FALSE)))</f>
        <v>Saint-Sauveur</v>
      </c>
      <c r="R436" s="9" t="s">
        <v>2617</v>
      </c>
      <c r="S436" s="9" t="str">
        <f>IF(ISBLANK($R436),"",VLOOKUP($R436,'Liste des Villes'!$B$2:$H$1128,4,FALSE))</f>
        <v>Laurentides</v>
      </c>
      <c r="T436" s="2" t="s">
        <v>2774</v>
      </c>
      <c r="U436" s="2" t="s">
        <v>39</v>
      </c>
      <c r="V436" s="2" t="s">
        <v>40</v>
      </c>
      <c r="W436" s="2" t="s">
        <v>2775</v>
      </c>
      <c r="X436" s="2"/>
      <c r="Y436" s="2"/>
      <c r="Z436" s="2"/>
      <c r="AA436" s="2" t="s">
        <v>385</v>
      </c>
      <c r="AB436" s="2" t="s">
        <v>282</v>
      </c>
      <c r="AC436" s="4" t="s">
        <v>44</v>
      </c>
    </row>
    <row r="437" spans="1:29" x14ac:dyDescent="0.25">
      <c r="A437" s="1">
        <v>1436</v>
      </c>
      <c r="B437" s="17" t="s">
        <v>2776</v>
      </c>
      <c r="C437" s="2" t="s">
        <v>2777</v>
      </c>
      <c r="D437" s="15" t="s">
        <v>2778</v>
      </c>
      <c r="E437" s="9" t="s">
        <v>2779</v>
      </c>
      <c r="F437" s="9" t="s">
        <v>2780</v>
      </c>
      <c r="G437" s="9" t="s">
        <v>2210</v>
      </c>
      <c r="H437" s="2" t="s">
        <v>60</v>
      </c>
      <c r="I437" s="3">
        <v>32405</v>
      </c>
      <c r="J437" s="9" t="str">
        <f t="shared" ca="1" si="7"/>
        <v>34 ans</v>
      </c>
      <c r="K437" s="2" t="s">
        <v>36</v>
      </c>
      <c r="L437" s="2" t="str">
        <f>"22"</f>
        <v>22</v>
      </c>
      <c r="M437" s="2"/>
      <c r="N437" s="2" t="str">
        <f>"56E AVENUE OUEST"</f>
        <v>56E AVENUE OUEST</v>
      </c>
      <c r="O437" s="2" t="s">
        <v>2616</v>
      </c>
      <c r="P437" s="9" t="str">
        <f>VLOOKUP($O437,'Liste des Villes'!$B$2:$B$1128,1,FALSE)</f>
        <v>Saint-Sauveur</v>
      </c>
      <c r="Q437" s="9" t="str">
        <f>IFERROR($P437,PROPER(VLOOKUP($O437,'Villes en erreur'!$A$2:$B$72,2,FALSE)))</f>
        <v>Saint-Sauveur</v>
      </c>
      <c r="R437" s="9" t="s">
        <v>2617</v>
      </c>
      <c r="S437" s="9" t="str">
        <f>IF(ISBLANK($R437),"",VLOOKUP($R437,'Liste des Villes'!$B$2:$H$1128,4,FALSE))</f>
        <v>Laurentides</v>
      </c>
      <c r="T437" s="2" t="s">
        <v>2781</v>
      </c>
      <c r="U437" s="2" t="s">
        <v>39</v>
      </c>
      <c r="V437" s="2" t="s">
        <v>40</v>
      </c>
      <c r="W437" s="2" t="s">
        <v>2782</v>
      </c>
      <c r="X437" s="2"/>
      <c r="Y437" s="2"/>
      <c r="Z437" s="2"/>
      <c r="AA437" s="2" t="s">
        <v>385</v>
      </c>
      <c r="AB437" s="2" t="s">
        <v>2620</v>
      </c>
      <c r="AC437" s="4" t="s">
        <v>44</v>
      </c>
    </row>
    <row r="438" spans="1:29" x14ac:dyDescent="0.25">
      <c r="A438" s="1">
        <v>3082</v>
      </c>
      <c r="B438" s="17" t="s">
        <v>2783</v>
      </c>
      <c r="C438" s="2" t="s">
        <v>2784</v>
      </c>
      <c r="D438" s="15" t="s">
        <v>2785</v>
      </c>
      <c r="E438" s="9" t="s">
        <v>2786</v>
      </c>
      <c r="F438" s="9" t="s">
        <v>164</v>
      </c>
      <c r="G438" s="9" t="s">
        <v>2787</v>
      </c>
      <c r="H438" s="2" t="s">
        <v>60</v>
      </c>
      <c r="I438" s="3">
        <v>31847</v>
      </c>
      <c r="J438" s="9" t="str">
        <f t="shared" ca="1" si="7"/>
        <v>36 ans</v>
      </c>
      <c r="K438" s="2" t="s">
        <v>36</v>
      </c>
      <c r="L438" s="2" t="str">
        <f>"17"</f>
        <v>17</v>
      </c>
      <c r="M438" s="2"/>
      <c r="N438" s="2" t="str">
        <f>"3E BLVD"</f>
        <v>3E BLVD</v>
      </c>
      <c r="O438" s="2" t="s">
        <v>2616</v>
      </c>
      <c r="P438" s="9" t="str">
        <f>VLOOKUP($O438,'Liste des Villes'!$B$2:$B$1128,1,FALSE)</f>
        <v>Saint-Sauveur</v>
      </c>
      <c r="Q438" s="9" t="str">
        <f>IFERROR($P438,PROPER(VLOOKUP($O438,'Villes en erreur'!$A$2:$B$72,2,FALSE)))</f>
        <v>Saint-Sauveur</v>
      </c>
      <c r="R438" s="9" t="s">
        <v>2617</v>
      </c>
      <c r="S438" s="9" t="str">
        <f>IF(ISBLANK($R438),"",VLOOKUP($R438,'Liste des Villes'!$B$2:$H$1128,4,FALSE))</f>
        <v>Laurentides</v>
      </c>
      <c r="T438" s="2" t="s">
        <v>2636</v>
      </c>
      <c r="U438" s="2" t="s">
        <v>39</v>
      </c>
      <c r="V438" s="2" t="s">
        <v>40</v>
      </c>
      <c r="W438" s="2" t="s">
        <v>2788</v>
      </c>
      <c r="X438" s="2"/>
      <c r="Y438" s="2"/>
      <c r="Z438" s="2"/>
      <c r="AA438" s="2" t="s">
        <v>149</v>
      </c>
      <c r="AB438" s="2" t="s">
        <v>2620</v>
      </c>
      <c r="AC438" s="4" t="s">
        <v>44</v>
      </c>
    </row>
    <row r="439" spans="1:29" x14ac:dyDescent="0.25">
      <c r="A439" s="1">
        <v>601</v>
      </c>
      <c r="B439" s="17" t="s">
        <v>2789</v>
      </c>
      <c r="C439" s="2" t="s">
        <v>2790</v>
      </c>
      <c r="D439" s="15" t="s">
        <v>2791</v>
      </c>
      <c r="E439" s="9" t="s">
        <v>1024</v>
      </c>
      <c r="F439" s="9" t="s">
        <v>2792</v>
      </c>
      <c r="G439" s="9" t="s">
        <v>396</v>
      </c>
      <c r="H439" s="2" t="s">
        <v>60</v>
      </c>
      <c r="I439" s="3">
        <v>32173</v>
      </c>
      <c r="J439" s="9" t="str">
        <f t="shared" ca="1" si="7"/>
        <v>35 ans</v>
      </c>
      <c r="K439" s="2" t="s">
        <v>36</v>
      </c>
      <c r="L439" s="2" t="str">
        <f>"20"</f>
        <v>20</v>
      </c>
      <c r="M439" s="2"/>
      <c r="N439" s="2" t="str">
        <f>"4E AV"</f>
        <v>4E AV</v>
      </c>
      <c r="O439" s="2" t="s">
        <v>2616</v>
      </c>
      <c r="P439" s="9" t="str">
        <f>VLOOKUP($O439,'Liste des Villes'!$B$2:$B$1128,1,FALSE)</f>
        <v>Saint-Sauveur</v>
      </c>
      <c r="Q439" s="9" t="str">
        <f>IFERROR($P439,PROPER(VLOOKUP($O439,'Villes en erreur'!$A$2:$B$72,2,FALSE)))</f>
        <v>Saint-Sauveur</v>
      </c>
      <c r="R439" s="9" t="s">
        <v>2617</v>
      </c>
      <c r="S439" s="9" t="str">
        <f>IF(ISBLANK($R439),"",VLOOKUP($R439,'Liste des Villes'!$B$2:$H$1128,4,FALSE))</f>
        <v>Laurentides</v>
      </c>
      <c r="T439" s="2" t="s">
        <v>2630</v>
      </c>
      <c r="U439" s="2" t="s">
        <v>39</v>
      </c>
      <c r="V439" s="2" t="s">
        <v>40</v>
      </c>
      <c r="W439" s="2" t="s">
        <v>2793</v>
      </c>
      <c r="X439" s="2"/>
      <c r="Y439" s="2"/>
      <c r="Z439" s="2"/>
      <c r="AA439" s="2" t="s">
        <v>385</v>
      </c>
      <c r="AB439" s="2" t="s">
        <v>2620</v>
      </c>
      <c r="AC439" s="4" t="s">
        <v>44</v>
      </c>
    </row>
    <row r="440" spans="1:29" x14ac:dyDescent="0.25">
      <c r="A440" s="1">
        <v>657</v>
      </c>
      <c r="B440" s="17" t="s">
        <v>2794</v>
      </c>
      <c r="C440" s="2" t="s">
        <v>2795</v>
      </c>
      <c r="D440" s="15" t="s">
        <v>1592</v>
      </c>
      <c r="E440" s="9" t="s">
        <v>2796</v>
      </c>
      <c r="F440" s="9" t="s">
        <v>2797</v>
      </c>
      <c r="G440" s="9" t="s">
        <v>1754</v>
      </c>
      <c r="H440" s="2" t="s">
        <v>60</v>
      </c>
      <c r="I440" s="3">
        <v>32126</v>
      </c>
      <c r="J440" s="9" t="str">
        <f t="shared" ca="1" si="7"/>
        <v>35 ans</v>
      </c>
      <c r="K440" s="2" t="s">
        <v>36</v>
      </c>
      <c r="L440" s="2" t="str">
        <f>"19"</f>
        <v>19</v>
      </c>
      <c r="M440" s="2"/>
      <c r="N440" s="2" t="str">
        <f>"44E AVENUE"</f>
        <v>44E AVENUE</v>
      </c>
      <c r="O440" s="2" t="s">
        <v>2616</v>
      </c>
      <c r="P440" s="9" t="str">
        <f>VLOOKUP($O440,'Liste des Villes'!$B$2:$B$1128,1,FALSE)</f>
        <v>Saint-Sauveur</v>
      </c>
      <c r="Q440" s="9" t="str">
        <f>IFERROR($P440,PROPER(VLOOKUP($O440,'Villes en erreur'!$A$2:$B$72,2,FALSE)))</f>
        <v>Saint-Sauveur</v>
      </c>
      <c r="R440" s="9" t="s">
        <v>2617</v>
      </c>
      <c r="S440" s="9" t="str">
        <f>IF(ISBLANK($R440),"",VLOOKUP($R440,'Liste des Villes'!$B$2:$H$1128,4,FALSE))</f>
        <v>Laurentides</v>
      </c>
      <c r="T440" s="2" t="s">
        <v>2630</v>
      </c>
      <c r="U440" s="2" t="s">
        <v>39</v>
      </c>
      <c r="V440" s="2" t="s">
        <v>40</v>
      </c>
      <c r="W440" s="2" t="s">
        <v>2798</v>
      </c>
      <c r="X440" s="2"/>
      <c r="Y440" s="2"/>
      <c r="Z440" s="2"/>
      <c r="AA440" s="2" t="s">
        <v>385</v>
      </c>
      <c r="AB440" s="2" t="s">
        <v>2620</v>
      </c>
      <c r="AC440" s="4" t="s">
        <v>44</v>
      </c>
    </row>
    <row r="441" spans="1:29" x14ac:dyDescent="0.25">
      <c r="A441" s="1">
        <v>1949</v>
      </c>
      <c r="B441" s="17" t="s">
        <v>2799</v>
      </c>
      <c r="C441" s="2" t="s">
        <v>2800</v>
      </c>
      <c r="D441" s="15" t="s">
        <v>2801</v>
      </c>
      <c r="E441" s="9" t="s">
        <v>1689</v>
      </c>
      <c r="F441" s="9" t="s">
        <v>2802</v>
      </c>
      <c r="G441" s="9" t="s">
        <v>487</v>
      </c>
      <c r="H441" s="2" t="s">
        <v>35</v>
      </c>
      <c r="I441" s="3">
        <v>32620</v>
      </c>
      <c r="J441" s="9" t="str">
        <f t="shared" ca="1" si="7"/>
        <v>34 ans</v>
      </c>
      <c r="K441" s="2" t="s">
        <v>36</v>
      </c>
      <c r="L441" s="2" t="str">
        <f>"24"</f>
        <v>24</v>
      </c>
      <c r="M441" s="2"/>
      <c r="N441" s="2" t="str">
        <f>"6E RUE"</f>
        <v>6E RUE</v>
      </c>
      <c r="O441" s="2" t="s">
        <v>2616</v>
      </c>
      <c r="P441" s="9" t="str">
        <f>VLOOKUP($O441,'Liste des Villes'!$B$2:$B$1128,1,FALSE)</f>
        <v>Saint-Sauveur</v>
      </c>
      <c r="Q441" s="9" t="str">
        <f>IFERROR($P441,PROPER(VLOOKUP($O441,'Villes en erreur'!$A$2:$B$72,2,FALSE)))</f>
        <v>Saint-Sauveur</v>
      </c>
      <c r="R441" s="9" t="s">
        <v>2617</v>
      </c>
      <c r="S441" s="9" t="str">
        <f>IF(ISBLANK($R441),"",VLOOKUP($R441,'Liste des Villes'!$B$2:$H$1128,4,FALSE))</f>
        <v>Laurentides</v>
      </c>
      <c r="T441" s="2" t="s">
        <v>2701</v>
      </c>
      <c r="U441" s="2" t="s">
        <v>39</v>
      </c>
      <c r="V441" s="2" t="s">
        <v>40</v>
      </c>
      <c r="W441" s="2" t="s">
        <v>2803</v>
      </c>
      <c r="X441" s="2"/>
      <c r="Y441" s="2"/>
      <c r="Z441" s="2"/>
      <c r="AA441" s="2" t="s">
        <v>385</v>
      </c>
      <c r="AB441" s="2" t="s">
        <v>282</v>
      </c>
      <c r="AC441" s="4" t="s">
        <v>44</v>
      </c>
    </row>
    <row r="442" spans="1:29" x14ac:dyDescent="0.25">
      <c r="A442" s="1">
        <v>4225</v>
      </c>
      <c r="B442" s="17" t="s">
        <v>2804</v>
      </c>
      <c r="C442" s="2" t="s">
        <v>2805</v>
      </c>
      <c r="D442" s="15" t="s">
        <v>2806</v>
      </c>
      <c r="E442" s="9" t="s">
        <v>2807</v>
      </c>
      <c r="F442" s="9" t="s">
        <v>153</v>
      </c>
      <c r="G442" s="9" t="s">
        <v>487</v>
      </c>
      <c r="H442" s="2" t="s">
        <v>35</v>
      </c>
      <c r="I442" s="3">
        <v>32624</v>
      </c>
      <c r="J442" s="9" t="str">
        <f t="shared" ca="1" si="7"/>
        <v>34 ans</v>
      </c>
      <c r="K442" s="2" t="s">
        <v>36</v>
      </c>
      <c r="L442" s="2" t="str">
        <f>"24"</f>
        <v>24</v>
      </c>
      <c r="M442" s="2"/>
      <c r="N442" s="2" t="str">
        <f>"6E RUE"</f>
        <v>6E RUE</v>
      </c>
      <c r="O442" s="2" t="s">
        <v>2616</v>
      </c>
      <c r="P442" s="9" t="str">
        <f>VLOOKUP($O442,'Liste des Villes'!$B$2:$B$1128,1,FALSE)</f>
        <v>Saint-Sauveur</v>
      </c>
      <c r="Q442" s="9" t="str">
        <f>IFERROR($P442,PROPER(VLOOKUP($O442,'Villes en erreur'!$A$2:$B$72,2,FALSE)))</f>
        <v>Saint-Sauveur</v>
      </c>
      <c r="R442" s="9" t="s">
        <v>2617</v>
      </c>
      <c r="S442" s="9" t="str">
        <f>IF(ISBLANK($R442),"",VLOOKUP($R442,'Liste des Villes'!$B$2:$H$1128,4,FALSE))</f>
        <v>Laurentides</v>
      </c>
      <c r="T442" s="2" t="s">
        <v>2701</v>
      </c>
      <c r="U442" s="2" t="s">
        <v>39</v>
      </c>
      <c r="V442" s="2" t="s">
        <v>40</v>
      </c>
      <c r="W442" s="2" t="s">
        <v>2808</v>
      </c>
      <c r="X442" s="2"/>
      <c r="Y442" s="2"/>
      <c r="Z442" s="2"/>
      <c r="AA442" s="2" t="s">
        <v>385</v>
      </c>
      <c r="AB442" s="2" t="s">
        <v>282</v>
      </c>
      <c r="AC442" s="4" t="s">
        <v>44</v>
      </c>
    </row>
    <row r="443" spans="1:29" x14ac:dyDescent="0.25">
      <c r="A443" s="1">
        <v>3658</v>
      </c>
      <c r="B443" s="17" t="s">
        <v>2809</v>
      </c>
      <c r="C443" s="2" t="s">
        <v>2810</v>
      </c>
      <c r="D443" s="15" t="s">
        <v>2811</v>
      </c>
      <c r="E443" s="9" t="s">
        <v>2812</v>
      </c>
      <c r="F443" s="9" t="s">
        <v>584</v>
      </c>
      <c r="G443" s="9" t="s">
        <v>487</v>
      </c>
      <c r="H443" s="2" t="s">
        <v>35</v>
      </c>
      <c r="I443" s="3">
        <v>32690</v>
      </c>
      <c r="J443" s="9" t="str">
        <f t="shared" ca="1" si="7"/>
        <v>34 ans</v>
      </c>
      <c r="K443" s="2" t="s">
        <v>36</v>
      </c>
      <c r="L443" s="2" t="str">
        <f>"24"</f>
        <v>24</v>
      </c>
      <c r="M443" s="2"/>
      <c r="N443" s="2" t="str">
        <f>"70E AV O"</f>
        <v>70E AV O</v>
      </c>
      <c r="O443" s="2" t="s">
        <v>2616</v>
      </c>
      <c r="P443" s="9" t="str">
        <f>VLOOKUP($O443,'Liste des Villes'!$B$2:$B$1128,1,FALSE)</f>
        <v>Saint-Sauveur</v>
      </c>
      <c r="Q443" s="9" t="str">
        <f>IFERROR($P443,PROPER(VLOOKUP($O443,'Villes en erreur'!$A$2:$B$72,2,FALSE)))</f>
        <v>Saint-Sauveur</v>
      </c>
      <c r="R443" s="9" t="s">
        <v>2617</v>
      </c>
      <c r="S443" s="9" t="str">
        <f>IF(ISBLANK($R443),"",VLOOKUP($R443,'Liste des Villes'!$B$2:$H$1128,4,FALSE))</f>
        <v>Laurentides</v>
      </c>
      <c r="T443" s="2" t="s">
        <v>2701</v>
      </c>
      <c r="U443" s="2" t="s">
        <v>39</v>
      </c>
      <c r="V443" s="2" t="s">
        <v>40</v>
      </c>
      <c r="W443" s="2" t="s">
        <v>2813</v>
      </c>
      <c r="X443" s="2"/>
      <c r="Y443" s="2"/>
      <c r="Z443" s="2"/>
      <c r="AA443" s="2" t="s">
        <v>385</v>
      </c>
      <c r="AB443" s="2" t="s">
        <v>282</v>
      </c>
      <c r="AC443" s="4" t="s">
        <v>44</v>
      </c>
    </row>
    <row r="444" spans="1:29" x14ac:dyDescent="0.25">
      <c r="A444" s="1">
        <v>898</v>
      </c>
      <c r="B444" s="17" t="s">
        <v>2814</v>
      </c>
      <c r="C444" s="2" t="s">
        <v>2815</v>
      </c>
      <c r="D444" s="15" t="s">
        <v>2816</v>
      </c>
      <c r="E444" s="9" t="s">
        <v>1037</v>
      </c>
      <c r="F444" s="9" t="s">
        <v>2817</v>
      </c>
      <c r="G444" s="9" t="s">
        <v>487</v>
      </c>
      <c r="H444" s="2" t="s">
        <v>35</v>
      </c>
      <c r="I444" s="3">
        <v>32668</v>
      </c>
      <c r="J444" s="9" t="str">
        <f t="shared" ca="1" si="7"/>
        <v>34 ans</v>
      </c>
      <c r="K444" s="2" t="s">
        <v>36</v>
      </c>
      <c r="L444" s="2" t="str">
        <f>"24"</f>
        <v>24</v>
      </c>
      <c r="M444" s="2"/>
      <c r="N444" s="2" t="str">
        <f>"6E RUE"</f>
        <v>6E RUE</v>
      </c>
      <c r="O444" s="2" t="s">
        <v>2616</v>
      </c>
      <c r="P444" s="9" t="str">
        <f>VLOOKUP($O444,'Liste des Villes'!$B$2:$B$1128,1,FALSE)</f>
        <v>Saint-Sauveur</v>
      </c>
      <c r="Q444" s="9" t="str">
        <f>IFERROR($P444,PROPER(VLOOKUP($O444,'Villes en erreur'!$A$2:$B$72,2,FALSE)))</f>
        <v>Saint-Sauveur</v>
      </c>
      <c r="R444" s="9" t="s">
        <v>2617</v>
      </c>
      <c r="S444" s="9" t="str">
        <f>IF(ISBLANK($R444),"",VLOOKUP($R444,'Liste des Villes'!$B$2:$H$1128,4,FALSE))</f>
        <v>Laurentides</v>
      </c>
      <c r="T444" s="2" t="s">
        <v>2701</v>
      </c>
      <c r="U444" s="2" t="s">
        <v>39</v>
      </c>
      <c r="V444" s="2" t="s">
        <v>40</v>
      </c>
      <c r="W444" s="2" t="s">
        <v>2818</v>
      </c>
      <c r="X444" s="2"/>
      <c r="Y444" s="2"/>
      <c r="Z444" s="2"/>
      <c r="AA444" s="2" t="s">
        <v>385</v>
      </c>
      <c r="AB444" s="2" t="s">
        <v>282</v>
      </c>
      <c r="AC444" s="4" t="s">
        <v>44</v>
      </c>
    </row>
    <row r="445" spans="1:29" x14ac:dyDescent="0.25">
      <c r="A445" s="1">
        <v>2575</v>
      </c>
      <c r="B445" s="17" t="s">
        <v>2819</v>
      </c>
      <c r="C445" s="2" t="s">
        <v>2820</v>
      </c>
      <c r="D445" s="15" t="s">
        <v>2821</v>
      </c>
      <c r="E445" s="9" t="s">
        <v>2822</v>
      </c>
      <c r="F445" s="9" t="s">
        <v>2823</v>
      </c>
      <c r="G445" s="9" t="s">
        <v>2210</v>
      </c>
      <c r="H445" s="2" t="s">
        <v>60</v>
      </c>
      <c r="I445" s="3">
        <v>32408</v>
      </c>
      <c r="J445" s="9" t="str">
        <f t="shared" ca="1" si="7"/>
        <v>34 ans</v>
      </c>
      <c r="K445" s="2" t="s">
        <v>36</v>
      </c>
      <c r="L445" s="2" t="str">
        <f>"22"</f>
        <v>22</v>
      </c>
      <c r="M445" s="2"/>
      <c r="N445" s="2" t="str">
        <f>"57E AV"</f>
        <v>57E AV</v>
      </c>
      <c r="O445" s="2" t="s">
        <v>2616</v>
      </c>
      <c r="P445" s="9" t="str">
        <f>VLOOKUP($O445,'Liste des Villes'!$B$2:$B$1128,1,FALSE)</f>
        <v>Saint-Sauveur</v>
      </c>
      <c r="Q445" s="9" t="str">
        <f>IFERROR($P445,PROPER(VLOOKUP($O445,'Villes en erreur'!$A$2:$B$72,2,FALSE)))</f>
        <v>Saint-Sauveur</v>
      </c>
      <c r="R445" s="9" t="s">
        <v>2617</v>
      </c>
      <c r="S445" s="9" t="str">
        <f>IF(ISBLANK($R445),"",VLOOKUP($R445,'Liste des Villes'!$B$2:$H$1128,4,FALSE))</f>
        <v>Laurentides</v>
      </c>
      <c r="T445" s="2" t="s">
        <v>2643</v>
      </c>
      <c r="U445" s="2" t="s">
        <v>39</v>
      </c>
      <c r="V445" s="2" t="s">
        <v>40</v>
      </c>
      <c r="W445" s="2" t="s">
        <v>2824</v>
      </c>
      <c r="X445" s="2"/>
      <c r="Y445" s="2"/>
      <c r="Z445" s="2"/>
      <c r="AA445" s="2" t="s">
        <v>385</v>
      </c>
      <c r="AB445" s="2" t="s">
        <v>2620</v>
      </c>
      <c r="AC445" s="4" t="s">
        <v>44</v>
      </c>
    </row>
    <row r="446" spans="1:29" x14ac:dyDescent="0.25">
      <c r="A446" s="1">
        <v>456</v>
      </c>
      <c r="B446" s="17" t="s">
        <v>2825</v>
      </c>
      <c r="C446" s="2" t="s">
        <v>2826</v>
      </c>
      <c r="D446" s="15" t="s">
        <v>1753</v>
      </c>
      <c r="E446" s="9" t="s">
        <v>2730</v>
      </c>
      <c r="F446" s="9" t="s">
        <v>2827</v>
      </c>
      <c r="G446" s="9" t="s">
        <v>487</v>
      </c>
      <c r="H446" s="2" t="s">
        <v>35</v>
      </c>
      <c r="I446" s="3">
        <v>32588</v>
      </c>
      <c r="J446" s="9" t="str">
        <f t="shared" ca="1" si="7"/>
        <v>34 ans</v>
      </c>
      <c r="K446" s="2" t="s">
        <v>36</v>
      </c>
      <c r="L446" s="2" t="str">
        <f>"24"</f>
        <v>24</v>
      </c>
      <c r="M446" s="2"/>
      <c r="N446" s="2" t="str">
        <f>"6E RUE"</f>
        <v>6E RUE</v>
      </c>
      <c r="O446" s="2" t="s">
        <v>2616</v>
      </c>
      <c r="P446" s="9" t="str">
        <f>VLOOKUP($O446,'Liste des Villes'!$B$2:$B$1128,1,FALSE)</f>
        <v>Saint-Sauveur</v>
      </c>
      <c r="Q446" s="9" t="str">
        <f>IFERROR($P446,PROPER(VLOOKUP($O446,'Villes en erreur'!$A$2:$B$72,2,FALSE)))</f>
        <v>Saint-Sauveur</v>
      </c>
      <c r="R446" s="9" t="s">
        <v>2617</v>
      </c>
      <c r="S446" s="9" t="str">
        <f>IF(ISBLANK($R446),"",VLOOKUP($R446,'Liste des Villes'!$B$2:$H$1128,4,FALSE))</f>
        <v>Laurentides</v>
      </c>
      <c r="T446" s="2" t="s">
        <v>2828</v>
      </c>
      <c r="U446" s="2" t="s">
        <v>39</v>
      </c>
      <c r="V446" s="2" t="s">
        <v>40</v>
      </c>
      <c r="W446" s="2" t="s">
        <v>2803</v>
      </c>
      <c r="X446" s="2"/>
      <c r="Y446" s="2"/>
      <c r="Z446" s="2"/>
      <c r="AA446" s="2" t="s">
        <v>385</v>
      </c>
      <c r="AB446" s="2" t="s">
        <v>282</v>
      </c>
      <c r="AC446" s="4" t="s">
        <v>44</v>
      </c>
    </row>
    <row r="447" spans="1:29" x14ac:dyDescent="0.25">
      <c r="A447" s="1">
        <v>3403</v>
      </c>
      <c r="B447" s="17" t="s">
        <v>2829</v>
      </c>
      <c r="C447" s="2" t="s">
        <v>2830</v>
      </c>
      <c r="D447" s="15" t="s">
        <v>2831</v>
      </c>
      <c r="E447" s="9" t="s">
        <v>956</v>
      </c>
      <c r="F447" s="9" t="s">
        <v>2832</v>
      </c>
      <c r="G447" s="9" t="s">
        <v>305</v>
      </c>
      <c r="H447" s="2" t="s">
        <v>60</v>
      </c>
      <c r="I447" s="3">
        <v>31787</v>
      </c>
      <c r="J447" s="9" t="str">
        <f t="shared" ca="1" si="7"/>
        <v>36 ans</v>
      </c>
      <c r="K447" s="2" t="s">
        <v>36</v>
      </c>
      <c r="L447" s="2" t="str">
        <f>"17"</f>
        <v>17</v>
      </c>
      <c r="M447" s="2"/>
      <c r="N447" s="2" t="str">
        <f>"39E AV"</f>
        <v>39E AV</v>
      </c>
      <c r="O447" s="2" t="s">
        <v>2616</v>
      </c>
      <c r="P447" s="9" t="str">
        <f>VLOOKUP($O447,'Liste des Villes'!$B$2:$B$1128,1,FALSE)</f>
        <v>Saint-Sauveur</v>
      </c>
      <c r="Q447" s="9" t="str">
        <f>IFERROR($P447,PROPER(VLOOKUP($O447,'Villes en erreur'!$A$2:$B$72,2,FALSE)))</f>
        <v>Saint-Sauveur</v>
      </c>
      <c r="R447" s="9" t="s">
        <v>2617</v>
      </c>
      <c r="S447" s="9" t="str">
        <f>IF(ISBLANK($R447),"",VLOOKUP($R447,'Liste des Villes'!$B$2:$H$1128,4,FALSE))</f>
        <v>Laurentides</v>
      </c>
      <c r="T447" s="2" t="s">
        <v>2833</v>
      </c>
      <c r="U447" s="2" t="s">
        <v>39</v>
      </c>
      <c r="V447" s="2" t="s">
        <v>40</v>
      </c>
      <c r="W447" s="2" t="s">
        <v>2834</v>
      </c>
      <c r="X447" s="2"/>
      <c r="Y447" s="2"/>
      <c r="Z447" s="2"/>
      <c r="AA447" s="2" t="s">
        <v>149</v>
      </c>
      <c r="AB447" s="2" t="s">
        <v>2620</v>
      </c>
      <c r="AC447" s="4" t="s">
        <v>44</v>
      </c>
    </row>
    <row r="448" spans="1:29" x14ac:dyDescent="0.25">
      <c r="A448" s="1">
        <v>4207</v>
      </c>
      <c r="B448" s="17" t="s">
        <v>2835</v>
      </c>
      <c r="C448" s="2" t="s">
        <v>2836</v>
      </c>
      <c r="D448" s="15" t="s">
        <v>2837</v>
      </c>
      <c r="E448" s="9" t="s">
        <v>509</v>
      </c>
      <c r="F448" s="9" t="s">
        <v>1068</v>
      </c>
      <c r="G448" s="9" t="s">
        <v>396</v>
      </c>
      <c r="H448" s="2" t="s">
        <v>60</v>
      </c>
      <c r="I448" s="3">
        <v>32165</v>
      </c>
      <c r="J448" s="9" t="str">
        <f t="shared" ca="1" si="7"/>
        <v>35 ans</v>
      </c>
      <c r="K448" s="2" t="s">
        <v>36</v>
      </c>
      <c r="L448" s="2" t="str">
        <f>"20"</f>
        <v>20</v>
      </c>
      <c r="M448" s="2"/>
      <c r="N448" s="2" t="str">
        <f>"48E AV E"</f>
        <v>48E AV E</v>
      </c>
      <c r="O448" s="2" t="s">
        <v>2616</v>
      </c>
      <c r="P448" s="9" t="str">
        <f>VLOOKUP($O448,'Liste des Villes'!$B$2:$B$1128,1,FALSE)</f>
        <v>Saint-Sauveur</v>
      </c>
      <c r="Q448" s="9" t="str">
        <f>IFERROR($P448,PROPER(VLOOKUP($O448,'Villes en erreur'!$A$2:$B$72,2,FALSE)))</f>
        <v>Saint-Sauveur</v>
      </c>
      <c r="R448" s="9" t="s">
        <v>2617</v>
      </c>
      <c r="S448" s="9" t="str">
        <f>IF(ISBLANK($R448),"",VLOOKUP($R448,'Liste des Villes'!$B$2:$H$1128,4,FALSE))</f>
        <v>Laurentides</v>
      </c>
      <c r="T448" s="2" t="s">
        <v>2630</v>
      </c>
      <c r="U448" s="2" t="s">
        <v>39</v>
      </c>
      <c r="V448" s="2" t="s">
        <v>40</v>
      </c>
      <c r="W448" s="2" t="s">
        <v>2838</v>
      </c>
      <c r="X448" s="2"/>
      <c r="Y448" s="2"/>
      <c r="Z448" s="2"/>
      <c r="AA448" s="2" t="s">
        <v>385</v>
      </c>
      <c r="AB448" s="2" t="s">
        <v>2620</v>
      </c>
      <c r="AC448" s="4" t="s">
        <v>44</v>
      </c>
    </row>
    <row r="449" spans="1:29" x14ac:dyDescent="0.25">
      <c r="A449" s="1">
        <v>31</v>
      </c>
      <c r="B449" s="17" t="s">
        <v>2839</v>
      </c>
      <c r="C449" s="2" t="s">
        <v>2840</v>
      </c>
      <c r="D449" s="15" t="s">
        <v>2841</v>
      </c>
      <c r="E449" s="9" t="s">
        <v>2842</v>
      </c>
      <c r="F449" s="9" t="s">
        <v>2843</v>
      </c>
      <c r="G449" s="9" t="s">
        <v>487</v>
      </c>
      <c r="H449" s="2" t="s">
        <v>35</v>
      </c>
      <c r="I449" s="3">
        <v>32535</v>
      </c>
      <c r="J449" s="9" t="str">
        <f t="shared" ca="1" si="7"/>
        <v>34 ans</v>
      </c>
      <c r="K449" s="2" t="s">
        <v>36</v>
      </c>
      <c r="L449" s="2" t="str">
        <f>"23"</f>
        <v>23</v>
      </c>
      <c r="M449" s="2"/>
      <c r="N449" s="2" t="str">
        <f>"6E AV"</f>
        <v>6E AV</v>
      </c>
      <c r="O449" s="2" t="s">
        <v>2616</v>
      </c>
      <c r="P449" s="9" t="str">
        <f>VLOOKUP($O449,'Liste des Villes'!$B$2:$B$1128,1,FALSE)</f>
        <v>Saint-Sauveur</v>
      </c>
      <c r="Q449" s="9" t="str">
        <f>IFERROR($P449,PROPER(VLOOKUP($O449,'Villes en erreur'!$A$2:$B$72,2,FALSE)))</f>
        <v>Saint-Sauveur</v>
      </c>
      <c r="R449" s="9" t="s">
        <v>2617</v>
      </c>
      <c r="S449" s="9" t="str">
        <f>IF(ISBLANK($R449),"",VLOOKUP($R449,'Liste des Villes'!$B$2:$H$1128,4,FALSE))</f>
        <v>Laurentides</v>
      </c>
      <c r="T449" s="2" t="s">
        <v>2643</v>
      </c>
      <c r="U449" s="2" t="s">
        <v>39</v>
      </c>
      <c r="V449" s="2" t="s">
        <v>40</v>
      </c>
      <c r="W449" s="2" t="s">
        <v>2844</v>
      </c>
      <c r="X449" s="2"/>
      <c r="Y449" s="2"/>
      <c r="Z449" s="2"/>
      <c r="AA449" s="2" t="s">
        <v>385</v>
      </c>
      <c r="AB449" s="2" t="s">
        <v>282</v>
      </c>
      <c r="AC449" s="4" t="s">
        <v>44</v>
      </c>
    </row>
    <row r="450" spans="1:29" x14ac:dyDescent="0.25">
      <c r="A450" s="1">
        <v>2945</v>
      </c>
      <c r="B450" s="17" t="s">
        <v>2845</v>
      </c>
      <c r="C450" s="2" t="s">
        <v>2846</v>
      </c>
      <c r="D450" s="15" t="s">
        <v>1360</v>
      </c>
      <c r="E450" s="9" t="s">
        <v>2847</v>
      </c>
      <c r="F450" s="9" t="s">
        <v>2166</v>
      </c>
      <c r="G450" s="9" t="s">
        <v>2848</v>
      </c>
      <c r="H450" s="2" t="s">
        <v>60</v>
      </c>
      <c r="I450" s="3">
        <v>32163</v>
      </c>
      <c r="J450" s="9" t="str">
        <f t="shared" ref="J450:J513" ca="1" si="8">_xlfn.CONCAT(INT((TODAY()-$I450)/365.25)," ans")</f>
        <v>35 ans</v>
      </c>
      <c r="K450" s="2" t="s">
        <v>36</v>
      </c>
      <c r="L450" s="2" t="str">
        <f>"19"</f>
        <v>19</v>
      </c>
      <c r="M450" s="2"/>
      <c r="N450" s="2" t="str">
        <f>"46E AV E"</f>
        <v>46E AV E</v>
      </c>
      <c r="O450" s="2" t="s">
        <v>2616</v>
      </c>
      <c r="P450" s="9" t="str">
        <f>VLOOKUP($O450,'Liste des Villes'!$B$2:$B$1128,1,FALSE)</f>
        <v>Saint-Sauveur</v>
      </c>
      <c r="Q450" s="9" t="str">
        <f>IFERROR($P450,PROPER(VLOOKUP($O450,'Villes en erreur'!$A$2:$B$72,2,FALSE)))</f>
        <v>Saint-Sauveur</v>
      </c>
      <c r="R450" s="9" t="s">
        <v>2617</v>
      </c>
      <c r="S450" s="9" t="str">
        <f>IF(ISBLANK($R450),"",VLOOKUP($R450,'Liste des Villes'!$B$2:$H$1128,4,FALSE))</f>
        <v>Laurentides</v>
      </c>
      <c r="T450" s="2" t="s">
        <v>2630</v>
      </c>
      <c r="U450" s="2" t="s">
        <v>39</v>
      </c>
      <c r="V450" s="2" t="s">
        <v>40</v>
      </c>
      <c r="W450" s="2" t="s">
        <v>2849</v>
      </c>
      <c r="X450" s="2"/>
      <c r="Y450" s="2"/>
      <c r="Z450" s="2"/>
      <c r="AA450" s="2" t="s">
        <v>385</v>
      </c>
      <c r="AB450" s="2" t="s">
        <v>2620</v>
      </c>
      <c r="AC450" s="4" t="s">
        <v>44</v>
      </c>
    </row>
    <row r="451" spans="1:29" x14ac:dyDescent="0.25">
      <c r="A451" s="1">
        <v>1722</v>
      </c>
      <c r="B451" s="17" t="s">
        <v>2850</v>
      </c>
      <c r="C451" s="2" t="s">
        <v>2851</v>
      </c>
      <c r="D451" s="15" t="s">
        <v>825</v>
      </c>
      <c r="E451" s="9" t="s">
        <v>271</v>
      </c>
      <c r="F451" s="9" t="s">
        <v>2852</v>
      </c>
      <c r="G451" s="9" t="s">
        <v>2853</v>
      </c>
      <c r="H451" s="2" t="s">
        <v>35</v>
      </c>
      <c r="I451" s="3">
        <v>32133</v>
      </c>
      <c r="J451" s="9" t="str">
        <f t="shared" ca="1" si="8"/>
        <v>35 ans</v>
      </c>
      <c r="K451" s="2" t="s">
        <v>36</v>
      </c>
      <c r="L451" s="2" t="str">
        <f>"19"</f>
        <v>19</v>
      </c>
      <c r="M451" s="2"/>
      <c r="N451" s="2" t="str">
        <f>"45E AVENUE"</f>
        <v>45E AVENUE</v>
      </c>
      <c r="O451" s="2" t="s">
        <v>2616</v>
      </c>
      <c r="P451" s="9" t="str">
        <f>VLOOKUP($O451,'Liste des Villes'!$B$2:$B$1128,1,FALSE)</f>
        <v>Saint-Sauveur</v>
      </c>
      <c r="Q451" s="9" t="str">
        <f>IFERROR($P451,PROPER(VLOOKUP($O451,'Villes en erreur'!$A$2:$B$72,2,FALSE)))</f>
        <v>Saint-Sauveur</v>
      </c>
      <c r="R451" s="9" t="s">
        <v>2617</v>
      </c>
      <c r="S451" s="9" t="str">
        <f>IF(ISBLANK($R451),"",VLOOKUP($R451,'Liste des Villes'!$B$2:$H$1128,4,FALSE))</f>
        <v>Laurentides</v>
      </c>
      <c r="T451" s="2" t="s">
        <v>2630</v>
      </c>
      <c r="U451" s="2" t="s">
        <v>39</v>
      </c>
      <c r="V451" s="2" t="s">
        <v>40</v>
      </c>
      <c r="W451" s="2" t="s">
        <v>2854</v>
      </c>
      <c r="X451" s="2"/>
      <c r="Y451" s="2"/>
      <c r="Z451" s="2"/>
      <c r="AA451" s="2" t="s">
        <v>385</v>
      </c>
      <c r="AB451" s="2" t="s">
        <v>2620</v>
      </c>
      <c r="AC451" s="4" t="s">
        <v>44</v>
      </c>
    </row>
    <row r="452" spans="1:29" x14ac:dyDescent="0.25">
      <c r="A452" s="1">
        <v>1087</v>
      </c>
      <c r="B452" s="17" t="s">
        <v>2855</v>
      </c>
      <c r="C452" s="2" t="s">
        <v>2856</v>
      </c>
      <c r="D452" s="15" t="s">
        <v>1264</v>
      </c>
      <c r="E452" s="9" t="s">
        <v>826</v>
      </c>
      <c r="F452" s="9" t="s">
        <v>1262</v>
      </c>
      <c r="G452" s="9" t="s">
        <v>305</v>
      </c>
      <c r="H452" s="2" t="s">
        <v>60</v>
      </c>
      <c r="I452" s="3">
        <v>31794</v>
      </c>
      <c r="J452" s="9" t="str">
        <f t="shared" ca="1" si="8"/>
        <v>36 ans</v>
      </c>
      <c r="K452" s="2" t="s">
        <v>36</v>
      </c>
      <c r="L452" s="2" t="str">
        <f>"17"</f>
        <v>17</v>
      </c>
      <c r="M452" s="2"/>
      <c r="N452" s="2" t="str">
        <f>"39ÈME AVENUE"</f>
        <v>39ÈME AVENUE</v>
      </c>
      <c r="O452" s="2" t="s">
        <v>2617</v>
      </c>
      <c r="P452" s="9" t="str">
        <f>VLOOKUP($O452,'Liste des Villes'!$B$2:$B$1128,1,FALSE)</f>
        <v>Saint-Sauveur</v>
      </c>
      <c r="Q452" s="9" t="str">
        <f>IFERROR($P452,PROPER(VLOOKUP($O452,'Villes en erreur'!$A$2:$B$72,2,FALSE)))</f>
        <v>Saint-Sauveur</v>
      </c>
      <c r="R452" s="9" t="s">
        <v>2617</v>
      </c>
      <c r="S452" s="9" t="str">
        <f>IF(ISBLANK($R452),"",VLOOKUP($R452,'Liste des Villes'!$B$2:$H$1128,4,FALSE))</f>
        <v>Laurentides</v>
      </c>
      <c r="T452" s="2" t="s">
        <v>2857</v>
      </c>
      <c r="U452" s="2" t="s">
        <v>39</v>
      </c>
      <c r="V452" s="2" t="s">
        <v>40</v>
      </c>
      <c r="W452" s="2" t="s">
        <v>2858</v>
      </c>
      <c r="X452" s="2"/>
      <c r="Y452" s="2"/>
      <c r="Z452" s="2"/>
      <c r="AA452" s="2" t="s">
        <v>149</v>
      </c>
      <c r="AB452" s="2" t="s">
        <v>2620</v>
      </c>
      <c r="AC452" s="4" t="s">
        <v>44</v>
      </c>
    </row>
    <row r="453" spans="1:29" x14ac:dyDescent="0.25">
      <c r="A453" s="1">
        <v>2589</v>
      </c>
      <c r="B453" s="17" t="s">
        <v>2859</v>
      </c>
      <c r="C453" s="2" t="s">
        <v>2860</v>
      </c>
      <c r="D453" s="15" t="s">
        <v>2861</v>
      </c>
      <c r="E453" s="9" t="s">
        <v>635</v>
      </c>
      <c r="F453" s="9" t="s">
        <v>2862</v>
      </c>
      <c r="G453" s="9" t="s">
        <v>2210</v>
      </c>
      <c r="H453" s="2" t="s">
        <v>60</v>
      </c>
      <c r="I453" s="3">
        <v>32308</v>
      </c>
      <c r="J453" s="9" t="str">
        <f t="shared" ca="1" si="8"/>
        <v>35 ans</v>
      </c>
      <c r="K453" s="2" t="s">
        <v>36</v>
      </c>
      <c r="L453" s="2" t="str">
        <f>"21"</f>
        <v>21</v>
      </c>
      <c r="M453" s="2"/>
      <c r="N453" s="2" t="str">
        <f>"55E AV"</f>
        <v>55E AV</v>
      </c>
      <c r="O453" s="2" t="s">
        <v>2616</v>
      </c>
      <c r="P453" s="9" t="str">
        <f>VLOOKUP($O453,'Liste des Villes'!$B$2:$B$1128,1,FALSE)</f>
        <v>Saint-Sauveur</v>
      </c>
      <c r="Q453" s="9" t="str">
        <f>IFERROR($P453,PROPER(VLOOKUP($O453,'Villes en erreur'!$A$2:$B$72,2,FALSE)))</f>
        <v>Saint-Sauveur</v>
      </c>
      <c r="R453" s="9" t="s">
        <v>2617</v>
      </c>
      <c r="S453" s="9" t="str">
        <f>IF(ISBLANK($R453),"",VLOOKUP($R453,'Liste des Villes'!$B$2:$H$1128,4,FALSE))</f>
        <v>Laurentides</v>
      </c>
      <c r="T453" s="2" t="s">
        <v>2863</v>
      </c>
      <c r="U453" s="2" t="s">
        <v>39</v>
      </c>
      <c r="V453" s="2" t="s">
        <v>40</v>
      </c>
      <c r="W453" s="2" t="s">
        <v>2864</v>
      </c>
      <c r="X453" s="2"/>
      <c r="Y453" s="2"/>
      <c r="Z453" s="2"/>
      <c r="AA453" s="2" t="s">
        <v>385</v>
      </c>
      <c r="AB453" s="2" t="s">
        <v>2620</v>
      </c>
      <c r="AC453" s="4" t="s">
        <v>44</v>
      </c>
    </row>
    <row r="454" spans="1:29" x14ac:dyDescent="0.25">
      <c r="A454" s="1">
        <v>21</v>
      </c>
      <c r="B454" s="17" t="s">
        <v>2865</v>
      </c>
      <c r="C454" s="2" t="s">
        <v>2866</v>
      </c>
      <c r="D454" s="15" t="s">
        <v>2867</v>
      </c>
      <c r="E454" s="9" t="s">
        <v>1024</v>
      </c>
      <c r="F454" s="9" t="s">
        <v>1452</v>
      </c>
      <c r="G454" s="9" t="s">
        <v>2210</v>
      </c>
      <c r="H454" s="2" t="s">
        <v>60</v>
      </c>
      <c r="I454" s="3">
        <v>32432</v>
      </c>
      <c r="J454" s="9" t="str">
        <f t="shared" ca="1" si="8"/>
        <v>34 ans</v>
      </c>
      <c r="K454" s="2" t="s">
        <v>36</v>
      </c>
      <c r="L454" s="2" t="str">
        <f>"22"</f>
        <v>22</v>
      </c>
      <c r="M454" s="2"/>
      <c r="N454" s="2" t="str">
        <f>"5E AV"</f>
        <v>5E AV</v>
      </c>
      <c r="O454" s="2" t="s">
        <v>2616</v>
      </c>
      <c r="P454" s="9" t="str">
        <f>VLOOKUP($O454,'Liste des Villes'!$B$2:$B$1128,1,FALSE)</f>
        <v>Saint-Sauveur</v>
      </c>
      <c r="Q454" s="9" t="str">
        <f>IFERROR($P454,PROPER(VLOOKUP($O454,'Villes en erreur'!$A$2:$B$72,2,FALSE)))</f>
        <v>Saint-Sauveur</v>
      </c>
      <c r="R454" s="9" t="s">
        <v>2617</v>
      </c>
      <c r="S454" s="9" t="str">
        <f>IF(ISBLANK($R454),"",VLOOKUP($R454,'Liste des Villes'!$B$2:$H$1128,4,FALSE))</f>
        <v>Laurentides</v>
      </c>
      <c r="T454" s="2" t="s">
        <v>2643</v>
      </c>
      <c r="U454" s="2" t="s">
        <v>39</v>
      </c>
      <c r="V454" s="2" t="s">
        <v>40</v>
      </c>
      <c r="W454" s="2" t="s">
        <v>2868</v>
      </c>
      <c r="X454" s="2"/>
      <c r="Y454" s="2"/>
      <c r="Z454" s="2"/>
      <c r="AA454" s="2" t="s">
        <v>385</v>
      </c>
      <c r="AB454" s="2" t="s">
        <v>2620</v>
      </c>
      <c r="AC454" s="4" t="s">
        <v>44</v>
      </c>
    </row>
    <row r="455" spans="1:29" x14ac:dyDescent="0.25">
      <c r="A455" s="1">
        <v>151</v>
      </c>
      <c r="B455" s="17" t="s">
        <v>2869</v>
      </c>
      <c r="C455" s="2" t="s">
        <v>2870</v>
      </c>
      <c r="D455" s="15" t="s">
        <v>2871</v>
      </c>
      <c r="E455" s="9" t="s">
        <v>2872</v>
      </c>
      <c r="F455" s="9" t="s">
        <v>1489</v>
      </c>
      <c r="G455" s="9" t="s">
        <v>2210</v>
      </c>
      <c r="H455" s="2" t="s">
        <v>60</v>
      </c>
      <c r="I455" s="3">
        <v>32274</v>
      </c>
      <c r="J455" s="9" t="str">
        <f t="shared" ca="1" si="8"/>
        <v>35 ans</v>
      </c>
      <c r="K455" s="2" t="s">
        <v>36</v>
      </c>
      <c r="L455" s="2" t="str">
        <f>"21"</f>
        <v>21</v>
      </c>
      <c r="M455" s="2"/>
      <c r="N455" s="2" t="str">
        <f>"520E AV"</f>
        <v>520E AV</v>
      </c>
      <c r="O455" s="2" t="s">
        <v>2616</v>
      </c>
      <c r="P455" s="9" t="str">
        <f>VLOOKUP($O455,'Liste des Villes'!$B$2:$B$1128,1,FALSE)</f>
        <v>Saint-Sauveur</v>
      </c>
      <c r="Q455" s="9" t="str">
        <f>IFERROR($P455,PROPER(VLOOKUP($O455,'Villes en erreur'!$A$2:$B$72,2,FALSE)))</f>
        <v>Saint-Sauveur</v>
      </c>
      <c r="R455" s="9" t="s">
        <v>2617</v>
      </c>
      <c r="S455" s="9" t="str">
        <f>IF(ISBLANK($R455),"",VLOOKUP($R455,'Liste des Villes'!$B$2:$H$1128,4,FALSE))</f>
        <v>Laurentides</v>
      </c>
      <c r="T455" s="2" t="s">
        <v>2630</v>
      </c>
      <c r="U455" s="2" t="s">
        <v>39</v>
      </c>
      <c r="V455" s="2" t="s">
        <v>40</v>
      </c>
      <c r="W455" s="2" t="s">
        <v>2873</v>
      </c>
      <c r="X455" s="2"/>
      <c r="Y455" s="2"/>
      <c r="Z455" s="2"/>
      <c r="AA455" s="2" t="s">
        <v>385</v>
      </c>
      <c r="AB455" s="2" t="s">
        <v>2620</v>
      </c>
      <c r="AC455" s="4" t="s">
        <v>44</v>
      </c>
    </row>
    <row r="456" spans="1:29" x14ac:dyDescent="0.25">
      <c r="A456" s="1">
        <v>3753</v>
      </c>
      <c r="B456" s="17" t="s">
        <v>2874</v>
      </c>
      <c r="C456" s="2" t="s">
        <v>2875</v>
      </c>
      <c r="D456" s="15" t="s">
        <v>2876</v>
      </c>
      <c r="E456" s="9" t="s">
        <v>2877</v>
      </c>
      <c r="F456" s="9" t="s">
        <v>2878</v>
      </c>
      <c r="G456" s="9" t="s">
        <v>396</v>
      </c>
      <c r="H456" s="2" t="s">
        <v>60</v>
      </c>
      <c r="I456" s="3">
        <v>32169</v>
      </c>
      <c r="J456" s="9" t="str">
        <f t="shared" ca="1" si="8"/>
        <v>35 ans</v>
      </c>
      <c r="K456" s="2" t="s">
        <v>36</v>
      </c>
      <c r="L456" s="2" t="str">
        <f>"20"</f>
        <v>20</v>
      </c>
      <c r="M456" s="2"/>
      <c r="N456" s="2" t="str">
        <f>"48E AVENUE"</f>
        <v>48E AVENUE</v>
      </c>
      <c r="O456" s="2" t="s">
        <v>2616</v>
      </c>
      <c r="P456" s="9" t="str">
        <f>VLOOKUP($O456,'Liste des Villes'!$B$2:$B$1128,1,FALSE)</f>
        <v>Saint-Sauveur</v>
      </c>
      <c r="Q456" s="9" t="str">
        <f>IFERROR($P456,PROPER(VLOOKUP($O456,'Villes en erreur'!$A$2:$B$72,2,FALSE)))</f>
        <v>Saint-Sauveur</v>
      </c>
      <c r="R456" s="9" t="s">
        <v>2617</v>
      </c>
      <c r="S456" s="9" t="str">
        <f>IF(ISBLANK($R456),"",VLOOKUP($R456,'Liste des Villes'!$B$2:$H$1128,4,FALSE))</f>
        <v>Laurentides</v>
      </c>
      <c r="T456" s="2" t="s">
        <v>2630</v>
      </c>
      <c r="U456" s="2" t="s">
        <v>39</v>
      </c>
      <c r="V456" s="2" t="s">
        <v>40</v>
      </c>
      <c r="W456" s="2" t="s">
        <v>2879</v>
      </c>
      <c r="X456" s="2"/>
      <c r="Y456" s="2"/>
      <c r="Z456" s="2"/>
      <c r="AA456" s="2" t="s">
        <v>385</v>
      </c>
      <c r="AB456" s="2" t="s">
        <v>2620</v>
      </c>
      <c r="AC456" s="4" t="s">
        <v>44</v>
      </c>
    </row>
    <row r="457" spans="1:29" x14ac:dyDescent="0.25">
      <c r="A457" s="1">
        <v>2789</v>
      </c>
      <c r="B457" s="17" t="s">
        <v>2880</v>
      </c>
      <c r="C457" s="2" t="s">
        <v>2000</v>
      </c>
      <c r="D457" s="15" t="s">
        <v>2001</v>
      </c>
      <c r="E457" s="9" t="s">
        <v>219</v>
      </c>
      <c r="F457" s="9" t="s">
        <v>582</v>
      </c>
      <c r="G457" s="9" t="s">
        <v>305</v>
      </c>
      <c r="H457" s="2" t="s">
        <v>60</v>
      </c>
      <c r="I457" s="3">
        <v>31765</v>
      </c>
      <c r="J457" s="9" t="str">
        <f t="shared" ca="1" si="8"/>
        <v>36 ans</v>
      </c>
      <c r="K457" s="2" t="s">
        <v>36</v>
      </c>
      <c r="L457" s="2" t="str">
        <f>"17"</f>
        <v>17</v>
      </c>
      <c r="M457" s="2"/>
      <c r="N457" s="2" t="str">
        <f>"38E AVENUE"</f>
        <v>38E AVENUE</v>
      </c>
      <c r="O457" s="2" t="s">
        <v>2616</v>
      </c>
      <c r="P457" s="9" t="str">
        <f>VLOOKUP($O457,'Liste des Villes'!$B$2:$B$1128,1,FALSE)</f>
        <v>Saint-Sauveur</v>
      </c>
      <c r="Q457" s="9" t="str">
        <f>IFERROR($P457,PROPER(VLOOKUP($O457,'Villes en erreur'!$A$2:$B$72,2,FALSE)))</f>
        <v>Saint-Sauveur</v>
      </c>
      <c r="R457" s="9" t="s">
        <v>2617</v>
      </c>
      <c r="S457" s="9" t="str">
        <f>IF(ISBLANK($R457),"",VLOOKUP($R457,'Liste des Villes'!$B$2:$H$1128,4,FALSE))</f>
        <v>Laurentides</v>
      </c>
      <c r="T457" s="2" t="s">
        <v>2881</v>
      </c>
      <c r="U457" s="2" t="s">
        <v>39</v>
      </c>
      <c r="V457" s="2" t="s">
        <v>40</v>
      </c>
      <c r="W457" s="2" t="s">
        <v>2882</v>
      </c>
      <c r="X457" s="2"/>
      <c r="Y457" s="2"/>
      <c r="Z457" s="2"/>
      <c r="AA457" s="2" t="s">
        <v>149</v>
      </c>
      <c r="AB457" s="2" t="s">
        <v>150</v>
      </c>
      <c r="AC457" s="4" t="s">
        <v>44</v>
      </c>
    </row>
    <row r="458" spans="1:29" x14ac:dyDescent="0.25">
      <c r="A458" s="1">
        <v>2428</v>
      </c>
      <c r="B458" s="17" t="s">
        <v>2883</v>
      </c>
      <c r="C458" s="2" t="s">
        <v>2884</v>
      </c>
      <c r="D458" s="15" t="s">
        <v>2885</v>
      </c>
      <c r="E458" s="9" t="s">
        <v>1004</v>
      </c>
      <c r="F458" s="9" t="s">
        <v>203</v>
      </c>
      <c r="G458" s="9" t="s">
        <v>396</v>
      </c>
      <c r="H458" s="2" t="s">
        <v>60</v>
      </c>
      <c r="I458" s="3">
        <v>32239</v>
      </c>
      <c r="J458" s="9" t="str">
        <f t="shared" ca="1" si="8"/>
        <v>35 ans</v>
      </c>
      <c r="K458" s="2" t="s">
        <v>36</v>
      </c>
      <c r="L458" s="2" t="str">
        <f>"21"</f>
        <v>21</v>
      </c>
      <c r="M458" s="2"/>
      <c r="N458" s="2" t="str">
        <f>"4E-ET-5E-RANG"</f>
        <v>4E-ET-5E-RANG</v>
      </c>
      <c r="O458" s="2" t="s">
        <v>2616</v>
      </c>
      <c r="P458" s="9" t="str">
        <f>VLOOKUP($O458,'Liste des Villes'!$B$2:$B$1128,1,FALSE)</f>
        <v>Saint-Sauveur</v>
      </c>
      <c r="Q458" s="9" t="str">
        <f>IFERROR($P458,PROPER(VLOOKUP($O458,'Villes en erreur'!$A$2:$B$72,2,FALSE)))</f>
        <v>Saint-Sauveur</v>
      </c>
      <c r="R458" s="9" t="s">
        <v>2617</v>
      </c>
      <c r="S458" s="9" t="str">
        <f>IF(ISBLANK($R458),"",VLOOKUP($R458,'Liste des Villes'!$B$2:$H$1128,4,FALSE))</f>
        <v>Laurentides</v>
      </c>
      <c r="T458" s="2" t="s">
        <v>2630</v>
      </c>
      <c r="U458" s="2" t="s">
        <v>39</v>
      </c>
      <c r="V458" s="2" t="s">
        <v>40</v>
      </c>
      <c r="W458" s="2" t="s">
        <v>2886</v>
      </c>
      <c r="X458" s="2"/>
      <c r="Y458" s="2"/>
      <c r="Z458" s="2"/>
      <c r="AA458" s="2" t="s">
        <v>385</v>
      </c>
      <c r="AB458" s="2" t="s">
        <v>2620</v>
      </c>
      <c r="AC458" s="4" t="s">
        <v>44</v>
      </c>
    </row>
    <row r="459" spans="1:29" x14ac:dyDescent="0.25">
      <c r="A459" s="1">
        <v>4129</v>
      </c>
      <c r="B459" s="17" t="s">
        <v>2887</v>
      </c>
      <c r="C459" s="2" t="s">
        <v>2360</v>
      </c>
      <c r="D459" s="15" t="s">
        <v>2115</v>
      </c>
      <c r="E459" s="9" t="s">
        <v>195</v>
      </c>
      <c r="F459" s="9" t="s">
        <v>2888</v>
      </c>
      <c r="G459" s="9" t="s">
        <v>1754</v>
      </c>
      <c r="H459" s="2" t="s">
        <v>60</v>
      </c>
      <c r="I459" s="3">
        <v>32045</v>
      </c>
      <c r="J459" s="9" t="str">
        <f t="shared" ca="1" si="8"/>
        <v>35 ans</v>
      </c>
      <c r="K459" s="2" t="s">
        <v>36</v>
      </c>
      <c r="L459" s="2" t="str">
        <f>"18"</f>
        <v>18</v>
      </c>
      <c r="M459" s="2"/>
      <c r="N459" s="2" t="str">
        <f>"42E AV"</f>
        <v>42E AV</v>
      </c>
      <c r="O459" s="2" t="s">
        <v>2616</v>
      </c>
      <c r="P459" s="9" t="str">
        <f>VLOOKUP($O459,'Liste des Villes'!$B$2:$B$1128,1,FALSE)</f>
        <v>Saint-Sauveur</v>
      </c>
      <c r="Q459" s="9" t="str">
        <f>IFERROR($P459,PROPER(VLOOKUP($O459,'Villes en erreur'!$A$2:$B$72,2,FALSE)))</f>
        <v>Saint-Sauveur</v>
      </c>
      <c r="R459" s="9" t="s">
        <v>2617</v>
      </c>
      <c r="S459" s="9" t="str">
        <f>IF(ISBLANK($R459),"",VLOOKUP($R459,'Liste des Villes'!$B$2:$H$1128,4,FALSE))</f>
        <v>Laurentides</v>
      </c>
      <c r="T459" s="2" t="s">
        <v>2630</v>
      </c>
      <c r="U459" s="2" t="s">
        <v>39</v>
      </c>
      <c r="V459" s="2" t="s">
        <v>40</v>
      </c>
      <c r="W459" s="2" t="s">
        <v>2889</v>
      </c>
      <c r="X459" s="2"/>
      <c r="Y459" s="2"/>
      <c r="Z459" s="2"/>
      <c r="AA459" s="2" t="s">
        <v>149</v>
      </c>
      <c r="AB459" s="2" t="s">
        <v>2620</v>
      </c>
      <c r="AC459" s="4" t="s">
        <v>44</v>
      </c>
    </row>
    <row r="460" spans="1:29" x14ac:dyDescent="0.25">
      <c r="A460" s="1">
        <v>3928</v>
      </c>
      <c r="B460" s="17" t="s">
        <v>2890</v>
      </c>
      <c r="C460" s="2" t="s">
        <v>2891</v>
      </c>
      <c r="D460" s="15" t="s">
        <v>718</v>
      </c>
      <c r="E460" s="9" t="s">
        <v>381</v>
      </c>
      <c r="F460" s="9" t="s">
        <v>2892</v>
      </c>
      <c r="G460" s="9" t="s">
        <v>2210</v>
      </c>
      <c r="H460" s="2" t="s">
        <v>60</v>
      </c>
      <c r="I460" s="3">
        <v>32437</v>
      </c>
      <c r="J460" s="9" t="str">
        <f t="shared" ca="1" si="8"/>
        <v>34 ans</v>
      </c>
      <c r="K460" s="2" t="s">
        <v>36</v>
      </c>
      <c r="L460" s="2" t="str">
        <f>"22"</f>
        <v>22</v>
      </c>
      <c r="M460" s="2"/>
      <c r="N460" s="2" t="str">
        <f>"5E AV"</f>
        <v>5E AV</v>
      </c>
      <c r="O460" s="2" t="s">
        <v>2616</v>
      </c>
      <c r="P460" s="9" t="str">
        <f>VLOOKUP($O460,'Liste des Villes'!$B$2:$B$1128,1,FALSE)</f>
        <v>Saint-Sauveur</v>
      </c>
      <c r="Q460" s="9" t="str">
        <f>IFERROR($P460,PROPER(VLOOKUP($O460,'Villes en erreur'!$A$2:$B$72,2,FALSE)))</f>
        <v>Saint-Sauveur</v>
      </c>
      <c r="R460" s="9" t="s">
        <v>2617</v>
      </c>
      <c r="S460" s="9" t="str">
        <f>IF(ISBLANK($R460),"",VLOOKUP($R460,'Liste des Villes'!$B$2:$H$1128,4,FALSE))</f>
        <v>Laurentides</v>
      </c>
      <c r="T460" s="2" t="s">
        <v>2643</v>
      </c>
      <c r="U460" s="2" t="s">
        <v>39</v>
      </c>
      <c r="V460" s="2" t="s">
        <v>40</v>
      </c>
      <c r="W460" s="2" t="s">
        <v>2893</v>
      </c>
      <c r="X460" s="2"/>
      <c r="Y460" s="2"/>
      <c r="Z460" s="2"/>
      <c r="AA460" s="2" t="s">
        <v>385</v>
      </c>
      <c r="AB460" s="2" t="s">
        <v>2620</v>
      </c>
      <c r="AC460" s="4" t="s">
        <v>44</v>
      </c>
    </row>
    <row r="461" spans="1:29" x14ac:dyDescent="0.25">
      <c r="A461" s="1">
        <v>1890</v>
      </c>
      <c r="B461" s="17" t="s">
        <v>2894</v>
      </c>
      <c r="C461" s="2" t="s">
        <v>2895</v>
      </c>
      <c r="D461" s="15" t="s">
        <v>2896</v>
      </c>
      <c r="E461" s="9" t="s">
        <v>2897</v>
      </c>
      <c r="F461" s="9" t="s">
        <v>2898</v>
      </c>
      <c r="G461" s="9" t="s">
        <v>487</v>
      </c>
      <c r="H461" s="2" t="s">
        <v>35</v>
      </c>
      <c r="I461" s="3">
        <v>32682</v>
      </c>
      <c r="J461" s="9" t="str">
        <f t="shared" ca="1" si="8"/>
        <v>34 ans</v>
      </c>
      <c r="K461" s="2" t="s">
        <v>36</v>
      </c>
      <c r="L461" s="2" t="str">
        <f>"24"</f>
        <v>24</v>
      </c>
      <c r="M461" s="2"/>
      <c r="N461" s="2" t="str">
        <f>"70E AV E"</f>
        <v>70E AV E</v>
      </c>
      <c r="O461" s="2" t="s">
        <v>2616</v>
      </c>
      <c r="P461" s="9" t="str">
        <f>VLOOKUP($O461,'Liste des Villes'!$B$2:$B$1128,1,FALSE)</f>
        <v>Saint-Sauveur</v>
      </c>
      <c r="Q461" s="9" t="str">
        <f>IFERROR($P461,PROPER(VLOOKUP($O461,'Villes en erreur'!$A$2:$B$72,2,FALSE)))</f>
        <v>Saint-Sauveur</v>
      </c>
      <c r="R461" s="9" t="s">
        <v>2617</v>
      </c>
      <c r="S461" s="9" t="str">
        <f>IF(ISBLANK($R461),"",VLOOKUP($R461,'Liste des Villes'!$B$2:$H$1128,4,FALSE))</f>
        <v>Laurentides</v>
      </c>
      <c r="T461" s="2" t="s">
        <v>2701</v>
      </c>
      <c r="U461" s="2" t="s">
        <v>39</v>
      </c>
      <c r="V461" s="2" t="s">
        <v>40</v>
      </c>
      <c r="W461" s="2" t="s">
        <v>2899</v>
      </c>
      <c r="X461" s="2"/>
      <c r="Y461" s="2"/>
      <c r="Z461" s="2"/>
      <c r="AA461" s="2" t="s">
        <v>385</v>
      </c>
      <c r="AB461" s="2" t="s">
        <v>282</v>
      </c>
      <c r="AC461" s="4" t="s">
        <v>44</v>
      </c>
    </row>
    <row r="462" spans="1:29" x14ac:dyDescent="0.25">
      <c r="A462" s="1">
        <v>721</v>
      </c>
      <c r="B462" s="17" t="s">
        <v>2900</v>
      </c>
      <c r="C462" s="2" t="s">
        <v>2901</v>
      </c>
      <c r="D462" s="15" t="s">
        <v>2181</v>
      </c>
      <c r="E462" s="9" t="s">
        <v>380</v>
      </c>
      <c r="F462" s="9" t="s">
        <v>304</v>
      </c>
      <c r="G462" s="9" t="s">
        <v>396</v>
      </c>
      <c r="H462" s="2" t="s">
        <v>60</v>
      </c>
      <c r="I462" s="3">
        <v>32183</v>
      </c>
      <c r="J462" s="9" t="str">
        <f t="shared" ca="1" si="8"/>
        <v>35 ans</v>
      </c>
      <c r="K462" s="2" t="s">
        <v>36</v>
      </c>
      <c r="L462" s="2" t="str">
        <f>"20"</f>
        <v>20</v>
      </c>
      <c r="M462" s="2"/>
      <c r="N462" s="2" t="str">
        <f>"4E BOUL"</f>
        <v>4E BOUL</v>
      </c>
      <c r="O462" s="2" t="s">
        <v>2616</v>
      </c>
      <c r="P462" s="9" t="str">
        <f>VLOOKUP($O462,'Liste des Villes'!$B$2:$B$1128,1,FALSE)</f>
        <v>Saint-Sauveur</v>
      </c>
      <c r="Q462" s="9" t="str">
        <f>IFERROR($P462,PROPER(VLOOKUP($O462,'Villes en erreur'!$A$2:$B$72,2,FALSE)))</f>
        <v>Saint-Sauveur</v>
      </c>
      <c r="R462" s="9" t="s">
        <v>2617</v>
      </c>
      <c r="S462" s="9" t="str">
        <f>IF(ISBLANK($R462),"",VLOOKUP($R462,'Liste des Villes'!$B$2:$H$1128,4,FALSE))</f>
        <v>Laurentides</v>
      </c>
      <c r="T462" s="2" t="s">
        <v>2630</v>
      </c>
      <c r="U462" s="2" t="s">
        <v>39</v>
      </c>
      <c r="V462" s="2" t="s">
        <v>40</v>
      </c>
      <c r="W462" s="2" t="s">
        <v>2902</v>
      </c>
      <c r="X462" s="2"/>
      <c r="Y462" s="2"/>
      <c r="Z462" s="2"/>
      <c r="AA462" s="2" t="s">
        <v>385</v>
      </c>
      <c r="AB462" s="2" t="s">
        <v>2620</v>
      </c>
      <c r="AC462" s="4" t="s">
        <v>44</v>
      </c>
    </row>
    <row r="463" spans="1:29" x14ac:dyDescent="0.25">
      <c r="A463" s="1">
        <v>2486</v>
      </c>
      <c r="B463" s="17" t="s">
        <v>2903</v>
      </c>
      <c r="C463" s="2" t="s">
        <v>2904</v>
      </c>
      <c r="D463" s="15" t="s">
        <v>2350</v>
      </c>
      <c r="E463" s="9" t="s">
        <v>1410</v>
      </c>
      <c r="F463" s="9" t="s">
        <v>1523</v>
      </c>
      <c r="G463" s="9" t="s">
        <v>2905</v>
      </c>
      <c r="H463" s="2" t="s">
        <v>60</v>
      </c>
      <c r="I463" s="3">
        <v>32491</v>
      </c>
      <c r="J463" s="9" t="str">
        <f t="shared" ca="1" si="8"/>
        <v>34 ans</v>
      </c>
      <c r="K463" s="2" t="s">
        <v>36</v>
      </c>
      <c r="L463" s="2" t="str">
        <f>"23"</f>
        <v>23</v>
      </c>
      <c r="M463" s="2"/>
      <c r="N463" s="2" t="str">
        <f>"64ÈME AVENUE OUEST"</f>
        <v>64ÈME AVENUE OUEST</v>
      </c>
      <c r="O463" s="2" t="s">
        <v>2616</v>
      </c>
      <c r="P463" s="9" t="str">
        <f>VLOOKUP($O463,'Liste des Villes'!$B$2:$B$1128,1,FALSE)</f>
        <v>Saint-Sauveur</v>
      </c>
      <c r="Q463" s="9" t="str">
        <f>IFERROR($P463,PROPER(VLOOKUP($O463,'Villes en erreur'!$A$2:$B$72,2,FALSE)))</f>
        <v>Saint-Sauveur</v>
      </c>
      <c r="R463" s="9" t="s">
        <v>2617</v>
      </c>
      <c r="S463" s="9" t="str">
        <f>IF(ISBLANK($R463),"",VLOOKUP($R463,'Liste des Villes'!$B$2:$H$1128,4,FALSE))</f>
        <v>Laurentides</v>
      </c>
      <c r="T463" s="2" t="s">
        <v>2643</v>
      </c>
      <c r="U463" s="2" t="s">
        <v>39</v>
      </c>
      <c r="V463" s="2" t="s">
        <v>40</v>
      </c>
      <c r="W463" s="2" t="s">
        <v>2906</v>
      </c>
      <c r="X463" s="2"/>
      <c r="Y463" s="2"/>
      <c r="Z463" s="2"/>
      <c r="AA463" s="2" t="s">
        <v>385</v>
      </c>
      <c r="AB463" s="2" t="s">
        <v>282</v>
      </c>
      <c r="AC463" s="4" t="s">
        <v>44</v>
      </c>
    </row>
    <row r="464" spans="1:29" x14ac:dyDescent="0.25">
      <c r="A464" s="1">
        <v>317</v>
      </c>
      <c r="B464" s="17" t="s">
        <v>2907</v>
      </c>
      <c r="C464" s="2" t="s">
        <v>2908</v>
      </c>
      <c r="D464" s="15" t="s">
        <v>2909</v>
      </c>
      <c r="E464" s="9" t="s">
        <v>2381</v>
      </c>
      <c r="F464" s="9" t="s">
        <v>2910</v>
      </c>
      <c r="G464" s="9" t="s">
        <v>1754</v>
      </c>
      <c r="H464" s="2" t="s">
        <v>60</v>
      </c>
      <c r="I464" s="3">
        <v>31958</v>
      </c>
      <c r="J464" s="9" t="str">
        <f t="shared" ca="1" si="8"/>
        <v>36 ans</v>
      </c>
      <c r="K464" s="2" t="s">
        <v>36</v>
      </c>
      <c r="L464" s="2" t="str">
        <f>"18"</f>
        <v>18</v>
      </c>
      <c r="M464" s="2"/>
      <c r="N464" s="2" t="str">
        <f>"40E AV"</f>
        <v>40E AV</v>
      </c>
      <c r="O464" s="2" t="s">
        <v>2616</v>
      </c>
      <c r="P464" s="9" t="str">
        <f>VLOOKUP($O464,'Liste des Villes'!$B$2:$B$1128,1,FALSE)</f>
        <v>Saint-Sauveur</v>
      </c>
      <c r="Q464" s="9" t="str">
        <f>IFERROR($P464,PROPER(VLOOKUP($O464,'Villes en erreur'!$A$2:$B$72,2,FALSE)))</f>
        <v>Saint-Sauveur</v>
      </c>
      <c r="R464" s="9" t="s">
        <v>2617</v>
      </c>
      <c r="S464" s="9" t="str">
        <f>IF(ISBLANK($R464),"",VLOOKUP($R464,'Liste des Villes'!$B$2:$H$1128,4,FALSE))</f>
        <v>Laurentides</v>
      </c>
      <c r="T464" s="2" t="s">
        <v>2911</v>
      </c>
      <c r="U464" s="2" t="s">
        <v>39</v>
      </c>
      <c r="V464" s="2" t="s">
        <v>40</v>
      </c>
      <c r="W464" s="2" t="s">
        <v>2912</v>
      </c>
      <c r="X464" s="2"/>
      <c r="Y464" s="2"/>
      <c r="Z464" s="2"/>
      <c r="AA464" s="2" t="s">
        <v>149</v>
      </c>
      <c r="AB464" s="2" t="s">
        <v>2620</v>
      </c>
      <c r="AC464" s="4" t="s">
        <v>44</v>
      </c>
    </row>
    <row r="465" spans="1:29" x14ac:dyDescent="0.25">
      <c r="A465" s="1">
        <v>2963</v>
      </c>
      <c r="B465" s="17" t="s">
        <v>2913</v>
      </c>
      <c r="C465" s="2" t="s">
        <v>2914</v>
      </c>
      <c r="D465" s="15" t="s">
        <v>164</v>
      </c>
      <c r="E465" s="9" t="s">
        <v>602</v>
      </c>
      <c r="F465" s="9" t="s">
        <v>2915</v>
      </c>
      <c r="G465" s="9" t="s">
        <v>1754</v>
      </c>
      <c r="H465" s="2" t="s">
        <v>60</v>
      </c>
      <c r="I465" s="3">
        <v>31982</v>
      </c>
      <c r="J465" s="9" t="str">
        <f t="shared" ca="1" si="8"/>
        <v>36 ans</v>
      </c>
      <c r="K465" s="2" t="s">
        <v>36</v>
      </c>
      <c r="L465" s="2" t="str">
        <f>"18"</f>
        <v>18</v>
      </c>
      <c r="M465" s="2"/>
      <c r="N465" s="2" t="str">
        <f>"41E AVENUE"</f>
        <v>41E AVENUE</v>
      </c>
      <c r="O465" s="2" t="s">
        <v>2616</v>
      </c>
      <c r="P465" s="9" t="str">
        <f>VLOOKUP($O465,'Liste des Villes'!$B$2:$B$1128,1,FALSE)</f>
        <v>Saint-Sauveur</v>
      </c>
      <c r="Q465" s="9" t="str">
        <f>IFERROR($P465,PROPER(VLOOKUP($O465,'Villes en erreur'!$A$2:$B$72,2,FALSE)))</f>
        <v>Saint-Sauveur</v>
      </c>
      <c r="R465" s="9" t="s">
        <v>2617</v>
      </c>
      <c r="S465" s="9" t="str">
        <f>IF(ISBLANK($R465),"",VLOOKUP($R465,'Liste des Villes'!$B$2:$H$1128,4,FALSE))</f>
        <v>Laurentides</v>
      </c>
      <c r="T465" s="2" t="s">
        <v>2630</v>
      </c>
      <c r="U465" s="2" t="s">
        <v>39</v>
      </c>
      <c r="V465" s="2" t="s">
        <v>40</v>
      </c>
      <c r="W465" s="2" t="s">
        <v>2916</v>
      </c>
      <c r="X465" s="2"/>
      <c r="Y465" s="2"/>
      <c r="Z465" s="2"/>
      <c r="AA465" s="2" t="s">
        <v>149</v>
      </c>
      <c r="AB465" s="2" t="s">
        <v>2620</v>
      </c>
      <c r="AC465" s="4" t="s">
        <v>44</v>
      </c>
    </row>
    <row r="466" spans="1:29" x14ac:dyDescent="0.25">
      <c r="A466" s="1">
        <v>4114</v>
      </c>
      <c r="B466" s="17" t="s">
        <v>2917</v>
      </c>
      <c r="C466" s="2" t="s">
        <v>2918</v>
      </c>
      <c r="D466" s="15" t="s">
        <v>2919</v>
      </c>
      <c r="E466" s="9" t="s">
        <v>2920</v>
      </c>
      <c r="F466" s="9" t="s">
        <v>2921</v>
      </c>
      <c r="G466" s="9" t="s">
        <v>2210</v>
      </c>
      <c r="H466" s="2" t="s">
        <v>60</v>
      </c>
      <c r="I466" s="3">
        <v>32402</v>
      </c>
      <c r="J466" s="9" t="str">
        <f t="shared" ca="1" si="8"/>
        <v>34 ans</v>
      </c>
      <c r="K466" s="2" t="s">
        <v>36</v>
      </c>
      <c r="L466" s="2" t="str">
        <f>"22"</f>
        <v>22</v>
      </c>
      <c r="M466" s="2"/>
      <c r="N466" s="2" t="str">
        <f>"56E AV O"</f>
        <v>56E AV O</v>
      </c>
      <c r="O466" s="2" t="s">
        <v>2616</v>
      </c>
      <c r="P466" s="9" t="str">
        <f>VLOOKUP($O466,'Liste des Villes'!$B$2:$B$1128,1,FALSE)</f>
        <v>Saint-Sauveur</v>
      </c>
      <c r="Q466" s="9" t="str">
        <f>IFERROR($P466,PROPER(VLOOKUP($O466,'Villes en erreur'!$A$2:$B$72,2,FALSE)))</f>
        <v>Saint-Sauveur</v>
      </c>
      <c r="R466" s="9" t="s">
        <v>2617</v>
      </c>
      <c r="S466" s="9" t="str">
        <f>IF(ISBLANK($R466),"",VLOOKUP($R466,'Liste des Villes'!$B$2:$H$1128,4,FALSE))</f>
        <v>Laurentides</v>
      </c>
      <c r="T466" s="2" t="s">
        <v>2922</v>
      </c>
      <c r="U466" s="2" t="s">
        <v>39</v>
      </c>
      <c r="V466" s="2" t="s">
        <v>40</v>
      </c>
      <c r="W466" s="2" t="s">
        <v>2923</v>
      </c>
      <c r="X466" s="2"/>
      <c r="Y466" s="2"/>
      <c r="Z466" s="2"/>
      <c r="AA466" s="2" t="s">
        <v>385</v>
      </c>
      <c r="AB466" s="2" t="s">
        <v>2620</v>
      </c>
      <c r="AC466" s="4" t="s">
        <v>44</v>
      </c>
    </row>
    <row r="467" spans="1:29" x14ac:dyDescent="0.25">
      <c r="A467" s="1">
        <v>2540</v>
      </c>
      <c r="B467" s="17" t="s">
        <v>2924</v>
      </c>
      <c r="C467" s="2" t="s">
        <v>2925</v>
      </c>
      <c r="D467" s="15" t="s">
        <v>2926</v>
      </c>
      <c r="E467" s="9" t="s">
        <v>1024</v>
      </c>
      <c r="F467" s="9" t="s">
        <v>2927</v>
      </c>
      <c r="G467" s="9" t="s">
        <v>2928</v>
      </c>
      <c r="H467" s="2" t="s">
        <v>60</v>
      </c>
      <c r="I467" s="3">
        <v>32135</v>
      </c>
      <c r="J467" s="9" t="str">
        <f t="shared" ca="1" si="8"/>
        <v>35 ans</v>
      </c>
      <c r="K467" s="2" t="s">
        <v>36</v>
      </c>
      <c r="L467" s="2" t="str">
        <f>"19"</f>
        <v>19</v>
      </c>
      <c r="M467" s="2"/>
      <c r="N467" s="2" t="str">
        <f>"46E AV"</f>
        <v>46E AV</v>
      </c>
      <c r="O467" s="2" t="s">
        <v>2616</v>
      </c>
      <c r="P467" s="9" t="str">
        <f>VLOOKUP($O467,'Liste des Villes'!$B$2:$B$1128,1,FALSE)</f>
        <v>Saint-Sauveur</v>
      </c>
      <c r="Q467" s="9" t="str">
        <f>IFERROR($P467,PROPER(VLOOKUP($O467,'Villes en erreur'!$A$2:$B$72,2,FALSE)))</f>
        <v>Saint-Sauveur</v>
      </c>
      <c r="R467" s="9" t="s">
        <v>2617</v>
      </c>
      <c r="S467" s="9" t="str">
        <f>IF(ISBLANK($R467),"",VLOOKUP($R467,'Liste des Villes'!$B$2:$H$1128,4,FALSE))</f>
        <v>Laurentides</v>
      </c>
      <c r="T467" s="2" t="s">
        <v>2630</v>
      </c>
      <c r="U467" s="2" t="s">
        <v>39</v>
      </c>
      <c r="V467" s="2" t="s">
        <v>40</v>
      </c>
      <c r="W467" s="2" t="s">
        <v>2929</v>
      </c>
      <c r="X467" s="2"/>
      <c r="Y467" s="2"/>
      <c r="Z467" s="2"/>
      <c r="AA467" s="2" t="s">
        <v>385</v>
      </c>
      <c r="AB467" s="2" t="s">
        <v>2620</v>
      </c>
      <c r="AC467" s="4" t="s">
        <v>44</v>
      </c>
    </row>
    <row r="468" spans="1:29" x14ac:dyDescent="0.25">
      <c r="A468" s="1">
        <v>2389</v>
      </c>
      <c r="B468" s="17" t="s">
        <v>2930</v>
      </c>
      <c r="C468" s="2" t="s">
        <v>2931</v>
      </c>
      <c r="D468" s="15" t="s">
        <v>2932</v>
      </c>
      <c r="E468" s="9" t="s">
        <v>1745</v>
      </c>
      <c r="F468" s="9" t="s">
        <v>2933</v>
      </c>
      <c r="G468" s="9" t="s">
        <v>2210</v>
      </c>
      <c r="H468" s="2" t="s">
        <v>60</v>
      </c>
      <c r="I468" s="3">
        <v>32374</v>
      </c>
      <c r="J468" s="9" t="str">
        <f t="shared" ca="1" si="8"/>
        <v>35 ans</v>
      </c>
      <c r="K468" s="2" t="s">
        <v>36</v>
      </c>
      <c r="L468" s="2" t="str">
        <f>"22"</f>
        <v>22</v>
      </c>
      <c r="M468" s="2"/>
      <c r="N468" s="2" t="str">
        <f>"56E AV O"</f>
        <v>56E AV O</v>
      </c>
      <c r="O468" s="2" t="s">
        <v>2616</v>
      </c>
      <c r="P468" s="9" t="str">
        <f>VLOOKUP($O468,'Liste des Villes'!$B$2:$B$1128,1,FALSE)</f>
        <v>Saint-Sauveur</v>
      </c>
      <c r="Q468" s="9" t="str">
        <f>IFERROR($P468,PROPER(VLOOKUP($O468,'Villes en erreur'!$A$2:$B$72,2,FALSE)))</f>
        <v>Saint-Sauveur</v>
      </c>
      <c r="R468" s="9" t="s">
        <v>2617</v>
      </c>
      <c r="S468" s="9" t="str">
        <f>IF(ISBLANK($R468),"",VLOOKUP($R468,'Liste des Villes'!$B$2:$H$1128,4,FALSE))</f>
        <v>Laurentides</v>
      </c>
      <c r="T468" s="2" t="s">
        <v>2618</v>
      </c>
      <c r="U468" s="2" t="s">
        <v>39</v>
      </c>
      <c r="V468" s="2" t="s">
        <v>40</v>
      </c>
      <c r="W468" s="2" t="s">
        <v>2714</v>
      </c>
      <c r="X468" s="2"/>
      <c r="Y468" s="2"/>
      <c r="Z468" s="2"/>
      <c r="AA468" s="2" t="s">
        <v>385</v>
      </c>
      <c r="AB468" s="2" t="s">
        <v>2620</v>
      </c>
      <c r="AC468" s="4" t="s">
        <v>44</v>
      </c>
    </row>
    <row r="469" spans="1:29" x14ac:dyDescent="0.25">
      <c r="A469" s="1">
        <v>3425</v>
      </c>
      <c r="B469" s="17" t="s">
        <v>2934</v>
      </c>
      <c r="C469" s="2" t="s">
        <v>2935</v>
      </c>
      <c r="D469" s="15" t="s">
        <v>2139</v>
      </c>
      <c r="E469" s="9" t="s">
        <v>2936</v>
      </c>
      <c r="F469" s="9" t="s">
        <v>2937</v>
      </c>
      <c r="G469" s="9" t="s">
        <v>1754</v>
      </c>
      <c r="H469" s="2" t="s">
        <v>60</v>
      </c>
      <c r="I469" s="3">
        <v>31921</v>
      </c>
      <c r="J469" s="9" t="str">
        <f t="shared" ca="1" si="8"/>
        <v>36 ans</v>
      </c>
      <c r="K469" s="2" t="s">
        <v>36</v>
      </c>
      <c r="L469" s="2" t="str">
        <f>"18"</f>
        <v>18</v>
      </c>
      <c r="M469" s="2"/>
      <c r="N469" s="2" t="str">
        <f>"40E AV"</f>
        <v>40E AV</v>
      </c>
      <c r="O469" s="2" t="s">
        <v>2616</v>
      </c>
      <c r="P469" s="9" t="str">
        <f>VLOOKUP($O469,'Liste des Villes'!$B$2:$B$1128,1,FALSE)</f>
        <v>Saint-Sauveur</v>
      </c>
      <c r="Q469" s="9" t="str">
        <f>IFERROR($P469,PROPER(VLOOKUP($O469,'Villes en erreur'!$A$2:$B$72,2,FALSE)))</f>
        <v>Saint-Sauveur</v>
      </c>
      <c r="R469" s="9" t="s">
        <v>2617</v>
      </c>
      <c r="S469" s="9" t="str">
        <f>IF(ISBLANK($R469),"",VLOOKUP($R469,'Liste des Villes'!$B$2:$H$1128,4,FALSE))</f>
        <v>Laurentides</v>
      </c>
      <c r="T469" s="2" t="s">
        <v>2636</v>
      </c>
      <c r="U469" s="2" t="s">
        <v>39</v>
      </c>
      <c r="V469" s="2" t="s">
        <v>40</v>
      </c>
      <c r="W469" s="2" t="s">
        <v>2938</v>
      </c>
      <c r="X469" s="2"/>
      <c r="Y469" s="2"/>
      <c r="Z469" s="2"/>
      <c r="AA469" s="2" t="s">
        <v>149</v>
      </c>
      <c r="AB469" s="2" t="s">
        <v>2620</v>
      </c>
      <c r="AC469" s="4" t="s">
        <v>44</v>
      </c>
    </row>
    <row r="470" spans="1:29" x14ac:dyDescent="0.25">
      <c r="A470" s="1">
        <v>1330</v>
      </c>
      <c r="B470" s="17" t="s">
        <v>2939</v>
      </c>
      <c r="C470" s="2" t="s">
        <v>2940</v>
      </c>
      <c r="D470" s="15" t="s">
        <v>2941</v>
      </c>
      <c r="E470" s="9" t="s">
        <v>2217</v>
      </c>
      <c r="F470" s="9" t="s">
        <v>2942</v>
      </c>
      <c r="G470" s="9" t="s">
        <v>396</v>
      </c>
      <c r="H470" s="2" t="s">
        <v>60</v>
      </c>
      <c r="I470" s="3">
        <v>32250</v>
      </c>
      <c r="J470" s="9" t="str">
        <f t="shared" ca="1" si="8"/>
        <v>35 ans</v>
      </c>
      <c r="K470" s="2" t="s">
        <v>36</v>
      </c>
      <c r="L470" s="2" t="str">
        <f>"21"</f>
        <v>21</v>
      </c>
      <c r="M470" s="2"/>
      <c r="N470" s="2" t="str">
        <f>"501E AVENUE"</f>
        <v>501E AVENUE</v>
      </c>
      <c r="O470" s="2" t="s">
        <v>2616</v>
      </c>
      <c r="P470" s="9" t="str">
        <f>VLOOKUP($O470,'Liste des Villes'!$B$2:$B$1128,1,FALSE)</f>
        <v>Saint-Sauveur</v>
      </c>
      <c r="Q470" s="9" t="str">
        <f>IFERROR($P470,PROPER(VLOOKUP($O470,'Villes en erreur'!$A$2:$B$72,2,FALSE)))</f>
        <v>Saint-Sauveur</v>
      </c>
      <c r="R470" s="9" t="s">
        <v>2617</v>
      </c>
      <c r="S470" s="9" t="str">
        <f>IF(ISBLANK($R470),"",VLOOKUP($R470,'Liste des Villes'!$B$2:$H$1128,4,FALSE))</f>
        <v>Laurentides</v>
      </c>
      <c r="T470" s="2" t="s">
        <v>2630</v>
      </c>
      <c r="U470" s="2" t="s">
        <v>39</v>
      </c>
      <c r="V470" s="2" t="s">
        <v>40</v>
      </c>
      <c r="W470" s="2" t="s">
        <v>2943</v>
      </c>
      <c r="X470" s="2"/>
      <c r="Y470" s="2"/>
      <c r="Z470" s="2"/>
      <c r="AA470" s="2" t="s">
        <v>385</v>
      </c>
      <c r="AB470" s="2" t="s">
        <v>2620</v>
      </c>
      <c r="AC470" s="4" t="s">
        <v>44</v>
      </c>
    </row>
    <row r="471" spans="1:29" x14ac:dyDescent="0.25">
      <c r="A471" s="1">
        <v>1969</v>
      </c>
      <c r="B471" s="17" t="s">
        <v>2944</v>
      </c>
      <c r="C471" s="2" t="s">
        <v>2945</v>
      </c>
      <c r="D471" s="15" t="s">
        <v>2946</v>
      </c>
      <c r="E471" s="9" t="s">
        <v>509</v>
      </c>
      <c r="F471" s="9" t="s">
        <v>2698</v>
      </c>
      <c r="G471" s="9" t="s">
        <v>396</v>
      </c>
      <c r="H471" s="2" t="s">
        <v>60</v>
      </c>
      <c r="I471" s="3">
        <v>32240</v>
      </c>
      <c r="J471" s="9" t="str">
        <f t="shared" ca="1" si="8"/>
        <v>35 ans</v>
      </c>
      <c r="K471" s="2" t="s">
        <v>36</v>
      </c>
      <c r="L471" s="2" t="str">
        <f>"21"</f>
        <v>21</v>
      </c>
      <c r="M471" s="2"/>
      <c r="N471" s="2" t="str">
        <f>"501E AVENUE"</f>
        <v>501E AVENUE</v>
      </c>
      <c r="O471" s="2" t="s">
        <v>2616</v>
      </c>
      <c r="P471" s="9" t="str">
        <f>VLOOKUP($O471,'Liste des Villes'!$B$2:$B$1128,1,FALSE)</f>
        <v>Saint-Sauveur</v>
      </c>
      <c r="Q471" s="9" t="str">
        <f>IFERROR($P471,PROPER(VLOOKUP($O471,'Villes en erreur'!$A$2:$B$72,2,FALSE)))</f>
        <v>Saint-Sauveur</v>
      </c>
      <c r="R471" s="9" t="s">
        <v>2617</v>
      </c>
      <c r="S471" s="9" t="str">
        <f>IF(ISBLANK($R471),"",VLOOKUP($R471,'Liste des Villes'!$B$2:$H$1128,4,FALSE))</f>
        <v>Laurentides</v>
      </c>
      <c r="T471" s="2" t="s">
        <v>2630</v>
      </c>
      <c r="U471" s="2" t="s">
        <v>39</v>
      </c>
      <c r="V471" s="2" t="s">
        <v>40</v>
      </c>
      <c r="W471" s="2" t="s">
        <v>2947</v>
      </c>
      <c r="X471" s="2"/>
      <c r="Y471" s="2"/>
      <c r="Z471" s="2"/>
      <c r="AA471" s="2" t="s">
        <v>385</v>
      </c>
      <c r="AB471" s="2" t="s">
        <v>2620</v>
      </c>
      <c r="AC471" s="4" t="s">
        <v>44</v>
      </c>
    </row>
    <row r="472" spans="1:29" x14ac:dyDescent="0.25">
      <c r="A472" s="1">
        <v>1671</v>
      </c>
      <c r="B472" s="17" t="s">
        <v>2948</v>
      </c>
      <c r="C472" s="2" t="s">
        <v>2949</v>
      </c>
      <c r="D472" s="15" t="s">
        <v>2950</v>
      </c>
      <c r="E472" s="9" t="s">
        <v>2951</v>
      </c>
      <c r="F472" s="9" t="s">
        <v>1145</v>
      </c>
      <c r="G472" s="9" t="s">
        <v>396</v>
      </c>
      <c r="H472" s="2" t="s">
        <v>60</v>
      </c>
      <c r="I472" s="3">
        <v>32206</v>
      </c>
      <c r="J472" s="9" t="str">
        <f t="shared" ca="1" si="8"/>
        <v>35 ans</v>
      </c>
      <c r="K472" s="2" t="s">
        <v>36</v>
      </c>
      <c r="L472" s="2" t="str">
        <f>"20"</f>
        <v>20</v>
      </c>
      <c r="M472" s="2"/>
      <c r="N472" s="2" t="str">
        <f>"4E RANG"</f>
        <v>4E RANG</v>
      </c>
      <c r="O472" s="2" t="s">
        <v>2616</v>
      </c>
      <c r="P472" s="9" t="str">
        <f>VLOOKUP($O472,'Liste des Villes'!$B$2:$B$1128,1,FALSE)</f>
        <v>Saint-Sauveur</v>
      </c>
      <c r="Q472" s="9" t="str">
        <f>IFERROR($P472,PROPER(VLOOKUP($O472,'Villes en erreur'!$A$2:$B$72,2,FALSE)))</f>
        <v>Saint-Sauveur</v>
      </c>
      <c r="R472" s="9" t="s">
        <v>2617</v>
      </c>
      <c r="S472" s="9" t="str">
        <f>IF(ISBLANK($R472),"",VLOOKUP($R472,'Liste des Villes'!$B$2:$H$1128,4,FALSE))</f>
        <v>Laurentides</v>
      </c>
      <c r="T472" s="2" t="s">
        <v>2630</v>
      </c>
      <c r="U472" s="2" t="s">
        <v>39</v>
      </c>
      <c r="V472" s="2" t="s">
        <v>40</v>
      </c>
      <c r="W472" s="2" t="s">
        <v>2952</v>
      </c>
      <c r="X472" s="2"/>
      <c r="Y472" s="2"/>
      <c r="Z472" s="2"/>
      <c r="AA472" s="2" t="s">
        <v>385</v>
      </c>
      <c r="AB472" s="2" t="s">
        <v>2620</v>
      </c>
      <c r="AC472" s="4" t="s">
        <v>44</v>
      </c>
    </row>
    <row r="473" spans="1:29" x14ac:dyDescent="0.25">
      <c r="A473" s="1">
        <v>286</v>
      </c>
      <c r="B473" s="17" t="s">
        <v>2953</v>
      </c>
      <c r="C473" s="2" t="s">
        <v>2954</v>
      </c>
      <c r="D473" s="15" t="s">
        <v>2724</v>
      </c>
      <c r="E473" s="9" t="s">
        <v>341</v>
      </c>
      <c r="F473" s="9" t="s">
        <v>2723</v>
      </c>
      <c r="G473" s="9" t="s">
        <v>2955</v>
      </c>
      <c r="H473" s="2" t="s">
        <v>60</v>
      </c>
      <c r="I473" s="3">
        <v>31845</v>
      </c>
      <c r="J473" s="9" t="str">
        <f t="shared" ca="1" si="8"/>
        <v>36 ans</v>
      </c>
      <c r="K473" s="2" t="s">
        <v>36</v>
      </c>
      <c r="L473" s="2" t="str">
        <f>"17"</f>
        <v>17</v>
      </c>
      <c r="M473" s="2"/>
      <c r="N473" s="2" t="str">
        <f>"3E BLVD"</f>
        <v>3E BLVD</v>
      </c>
      <c r="O473" s="2" t="s">
        <v>2616</v>
      </c>
      <c r="P473" s="9" t="str">
        <f>VLOOKUP($O473,'Liste des Villes'!$B$2:$B$1128,1,FALSE)</f>
        <v>Saint-Sauveur</v>
      </c>
      <c r="Q473" s="9" t="str">
        <f>IFERROR($P473,PROPER(VLOOKUP($O473,'Villes en erreur'!$A$2:$B$72,2,FALSE)))</f>
        <v>Saint-Sauveur</v>
      </c>
      <c r="R473" s="9" t="s">
        <v>2617</v>
      </c>
      <c r="S473" s="9" t="str">
        <f>IF(ISBLANK($R473),"",VLOOKUP($R473,'Liste des Villes'!$B$2:$H$1128,4,FALSE))</f>
        <v>Laurentides</v>
      </c>
      <c r="T473" s="2" t="s">
        <v>2636</v>
      </c>
      <c r="U473" s="2" t="s">
        <v>39</v>
      </c>
      <c r="V473" s="2" t="s">
        <v>40</v>
      </c>
      <c r="W473" s="2" t="s">
        <v>2956</v>
      </c>
      <c r="X473" s="2"/>
      <c r="Y473" s="2"/>
      <c r="Z473" s="2"/>
      <c r="AA473" s="2" t="s">
        <v>149</v>
      </c>
      <c r="AB473" s="2" t="s">
        <v>2620</v>
      </c>
      <c r="AC473" s="4" t="s">
        <v>44</v>
      </c>
    </row>
    <row r="474" spans="1:29" x14ac:dyDescent="0.25">
      <c r="A474" s="1">
        <v>1564</v>
      </c>
      <c r="B474" s="17" t="s">
        <v>2957</v>
      </c>
      <c r="C474" s="2" t="s">
        <v>2958</v>
      </c>
      <c r="D474" s="15" t="s">
        <v>460</v>
      </c>
      <c r="E474" s="9" t="s">
        <v>2959</v>
      </c>
      <c r="F474" s="9" t="s">
        <v>462</v>
      </c>
      <c r="G474" s="9" t="s">
        <v>2210</v>
      </c>
      <c r="H474" s="2" t="s">
        <v>60</v>
      </c>
      <c r="I474" s="3">
        <v>32273</v>
      </c>
      <c r="J474" s="9" t="str">
        <f t="shared" ca="1" si="8"/>
        <v>35 ans</v>
      </c>
      <c r="K474" s="2" t="s">
        <v>36</v>
      </c>
      <c r="L474" s="2" t="str">
        <f>"21"</f>
        <v>21</v>
      </c>
      <c r="M474" s="2"/>
      <c r="N474" s="2" t="str">
        <f>"52 E RUE"</f>
        <v>52 E RUE</v>
      </c>
      <c r="O474" s="2" t="s">
        <v>2616</v>
      </c>
      <c r="P474" s="9" t="str">
        <f>VLOOKUP($O474,'Liste des Villes'!$B$2:$B$1128,1,FALSE)</f>
        <v>Saint-Sauveur</v>
      </c>
      <c r="Q474" s="9" t="str">
        <f>IFERROR($P474,PROPER(VLOOKUP($O474,'Villes en erreur'!$A$2:$B$72,2,FALSE)))</f>
        <v>Saint-Sauveur</v>
      </c>
      <c r="R474" s="9" t="s">
        <v>2617</v>
      </c>
      <c r="S474" s="9" t="str">
        <f>IF(ISBLANK($R474),"",VLOOKUP($R474,'Liste des Villes'!$B$2:$H$1128,4,FALSE))</f>
        <v>Laurentides</v>
      </c>
      <c r="T474" s="2" t="s">
        <v>2630</v>
      </c>
      <c r="U474" s="2" t="s">
        <v>39</v>
      </c>
      <c r="V474" s="2" t="s">
        <v>40</v>
      </c>
      <c r="W474" s="2" t="s">
        <v>2960</v>
      </c>
      <c r="X474" s="2"/>
      <c r="Y474" s="2"/>
      <c r="Z474" s="2"/>
      <c r="AA474" s="2" t="s">
        <v>385</v>
      </c>
      <c r="AB474" s="2" t="s">
        <v>2620</v>
      </c>
      <c r="AC474" s="4" t="s">
        <v>44</v>
      </c>
    </row>
    <row r="475" spans="1:29" x14ac:dyDescent="0.25">
      <c r="A475" s="1">
        <v>110</v>
      </c>
      <c r="B475" s="17" t="s">
        <v>2961</v>
      </c>
      <c r="C475" s="2" t="s">
        <v>2856</v>
      </c>
      <c r="D475" s="15" t="s">
        <v>1264</v>
      </c>
      <c r="E475" s="9" t="s">
        <v>826</v>
      </c>
      <c r="F475" s="9" t="s">
        <v>1262</v>
      </c>
      <c r="G475" s="9" t="s">
        <v>487</v>
      </c>
      <c r="H475" s="2" t="s">
        <v>35</v>
      </c>
      <c r="I475" s="3">
        <v>32697</v>
      </c>
      <c r="J475" s="9" t="str">
        <f t="shared" ca="1" si="8"/>
        <v>34 ans</v>
      </c>
      <c r="K475" s="2" t="s">
        <v>36</v>
      </c>
      <c r="L475" s="2" t="str">
        <f>"24"</f>
        <v>24</v>
      </c>
      <c r="M475" s="2"/>
      <c r="N475" s="2" t="str">
        <f>"70E AVENUE OUEST"</f>
        <v>70E AVENUE OUEST</v>
      </c>
      <c r="O475" s="2" t="s">
        <v>2616</v>
      </c>
      <c r="P475" s="9" t="str">
        <f>VLOOKUP($O475,'Liste des Villes'!$B$2:$B$1128,1,FALSE)</f>
        <v>Saint-Sauveur</v>
      </c>
      <c r="Q475" s="9" t="str">
        <f>IFERROR($P475,PROPER(VLOOKUP($O475,'Villes en erreur'!$A$2:$B$72,2,FALSE)))</f>
        <v>Saint-Sauveur</v>
      </c>
      <c r="R475" s="9" t="s">
        <v>2617</v>
      </c>
      <c r="S475" s="9" t="str">
        <f>IF(ISBLANK($R475),"",VLOOKUP($R475,'Liste des Villes'!$B$2:$H$1128,4,FALSE))</f>
        <v>Laurentides</v>
      </c>
      <c r="T475" s="2" t="s">
        <v>2701</v>
      </c>
      <c r="U475" s="2" t="s">
        <v>39</v>
      </c>
      <c r="V475" s="2" t="s">
        <v>40</v>
      </c>
      <c r="W475" s="2" t="s">
        <v>2962</v>
      </c>
      <c r="X475" s="2"/>
      <c r="Y475" s="2"/>
      <c r="Z475" s="2"/>
      <c r="AA475" s="2" t="s">
        <v>385</v>
      </c>
      <c r="AB475" s="2" t="s">
        <v>282</v>
      </c>
      <c r="AC475" s="4" t="s">
        <v>44</v>
      </c>
    </row>
    <row r="476" spans="1:29" x14ac:dyDescent="0.25">
      <c r="A476" s="1">
        <v>291</v>
      </c>
      <c r="B476" s="17" t="s">
        <v>2963</v>
      </c>
      <c r="C476" s="2" t="s">
        <v>2964</v>
      </c>
      <c r="D476" s="15" t="s">
        <v>2965</v>
      </c>
      <c r="E476" s="9" t="s">
        <v>219</v>
      </c>
      <c r="F476" s="9" t="s">
        <v>582</v>
      </c>
      <c r="G476" s="9" t="s">
        <v>305</v>
      </c>
      <c r="H476" s="2" t="s">
        <v>60</v>
      </c>
      <c r="I476" s="3">
        <v>31783</v>
      </c>
      <c r="J476" s="9" t="str">
        <f t="shared" ca="1" si="8"/>
        <v>36 ans</v>
      </c>
      <c r="K476" s="2" t="s">
        <v>36</v>
      </c>
      <c r="L476" s="2" t="str">
        <f>"17"</f>
        <v>17</v>
      </c>
      <c r="M476" s="2"/>
      <c r="N476" s="2" t="str">
        <f>"39E AV"</f>
        <v>39E AV</v>
      </c>
      <c r="O476" s="2" t="s">
        <v>2616</v>
      </c>
      <c r="P476" s="9" t="str">
        <f>VLOOKUP($O476,'Liste des Villes'!$B$2:$B$1128,1,FALSE)</f>
        <v>Saint-Sauveur</v>
      </c>
      <c r="Q476" s="9" t="str">
        <f>IFERROR($P476,PROPER(VLOOKUP($O476,'Villes en erreur'!$A$2:$B$72,2,FALSE)))</f>
        <v>Saint-Sauveur</v>
      </c>
      <c r="R476" s="9" t="s">
        <v>2617</v>
      </c>
      <c r="S476" s="9" t="str">
        <f>IF(ISBLANK($R476),"",VLOOKUP($R476,'Liste des Villes'!$B$2:$H$1128,4,FALSE))</f>
        <v>Laurentides</v>
      </c>
      <c r="T476" s="2" t="s">
        <v>2966</v>
      </c>
      <c r="U476" s="2" t="s">
        <v>39</v>
      </c>
      <c r="V476" s="2" t="s">
        <v>40</v>
      </c>
      <c r="W476" s="2" t="s">
        <v>2967</v>
      </c>
      <c r="X476" s="2"/>
      <c r="Y476" s="2"/>
      <c r="Z476" s="2"/>
      <c r="AA476" s="2" t="s">
        <v>149</v>
      </c>
      <c r="AB476" s="2" t="s">
        <v>150</v>
      </c>
      <c r="AC476" s="4" t="s">
        <v>44</v>
      </c>
    </row>
    <row r="477" spans="1:29" x14ac:dyDescent="0.25">
      <c r="A477" s="1">
        <v>805</v>
      </c>
      <c r="B477" s="17" t="s">
        <v>2968</v>
      </c>
      <c r="C477" s="2" t="s">
        <v>2565</v>
      </c>
      <c r="D477" s="15" t="s">
        <v>520</v>
      </c>
      <c r="E477" s="9" t="s">
        <v>1037</v>
      </c>
      <c r="F477" s="9" t="s">
        <v>518</v>
      </c>
      <c r="G477" s="9" t="s">
        <v>396</v>
      </c>
      <c r="H477" s="2" t="s">
        <v>60</v>
      </c>
      <c r="I477" s="3">
        <v>32208</v>
      </c>
      <c r="J477" s="9" t="str">
        <f t="shared" ca="1" si="8"/>
        <v>35 ans</v>
      </c>
      <c r="K477" s="2" t="s">
        <v>36</v>
      </c>
      <c r="L477" s="2" t="str">
        <f>"21"</f>
        <v>21</v>
      </c>
      <c r="M477" s="2"/>
      <c r="N477" s="2" t="str">
        <f>"4E RUE"</f>
        <v>4E RUE</v>
      </c>
      <c r="O477" s="2" t="s">
        <v>2616</v>
      </c>
      <c r="P477" s="9" t="str">
        <f>VLOOKUP($O477,'Liste des Villes'!$B$2:$B$1128,1,FALSE)</f>
        <v>Saint-Sauveur</v>
      </c>
      <c r="Q477" s="9" t="str">
        <f>IFERROR($P477,PROPER(VLOOKUP($O477,'Villes en erreur'!$A$2:$B$72,2,FALSE)))</f>
        <v>Saint-Sauveur</v>
      </c>
      <c r="R477" s="9" t="s">
        <v>2617</v>
      </c>
      <c r="S477" s="9" t="str">
        <f>IF(ISBLANK($R477),"",VLOOKUP($R477,'Liste des Villes'!$B$2:$H$1128,4,FALSE))</f>
        <v>Laurentides</v>
      </c>
      <c r="T477" s="2" t="s">
        <v>2630</v>
      </c>
      <c r="U477" s="2" t="s">
        <v>39</v>
      </c>
      <c r="V477" s="2" t="s">
        <v>40</v>
      </c>
      <c r="W477" s="2" t="s">
        <v>2969</v>
      </c>
      <c r="X477" s="2"/>
      <c r="Y477" s="2"/>
      <c r="Z477" s="2"/>
      <c r="AA477" s="2" t="s">
        <v>385</v>
      </c>
      <c r="AB477" s="2" t="s">
        <v>2620</v>
      </c>
      <c r="AC477" s="4" t="s">
        <v>44</v>
      </c>
    </row>
    <row r="478" spans="1:29" x14ac:dyDescent="0.25">
      <c r="A478" s="1">
        <v>2399</v>
      </c>
      <c r="B478" s="17" t="s">
        <v>2970</v>
      </c>
      <c r="C478" s="2" t="s">
        <v>2971</v>
      </c>
      <c r="D478" s="15" t="s">
        <v>719</v>
      </c>
      <c r="E478" s="9" t="s">
        <v>2972</v>
      </c>
      <c r="F478" s="9" t="s">
        <v>718</v>
      </c>
      <c r="G478" s="9" t="s">
        <v>2973</v>
      </c>
      <c r="H478" s="2" t="s">
        <v>35</v>
      </c>
      <c r="I478" s="3">
        <v>32490</v>
      </c>
      <c r="J478" s="9" t="str">
        <f t="shared" ca="1" si="8"/>
        <v>34 ans</v>
      </c>
      <c r="K478" s="2" t="s">
        <v>36</v>
      </c>
      <c r="L478" s="2" t="str">
        <f>"23"</f>
        <v>23</v>
      </c>
      <c r="M478" s="2"/>
      <c r="N478" s="2" t="str">
        <f>"64E AV"</f>
        <v>64E AV</v>
      </c>
      <c r="O478" s="2" t="s">
        <v>2616</v>
      </c>
      <c r="P478" s="9" t="str">
        <f>VLOOKUP($O478,'Liste des Villes'!$B$2:$B$1128,1,FALSE)</f>
        <v>Saint-Sauveur</v>
      </c>
      <c r="Q478" s="9" t="str">
        <f>IFERROR($P478,PROPER(VLOOKUP($O478,'Villes en erreur'!$A$2:$B$72,2,FALSE)))</f>
        <v>Saint-Sauveur</v>
      </c>
      <c r="R478" s="9" t="s">
        <v>2617</v>
      </c>
      <c r="S478" s="9" t="str">
        <f>IF(ISBLANK($R478),"",VLOOKUP($R478,'Liste des Villes'!$B$2:$H$1128,4,FALSE))</f>
        <v>Laurentides</v>
      </c>
      <c r="T478" s="2" t="s">
        <v>2643</v>
      </c>
      <c r="U478" s="2" t="s">
        <v>39</v>
      </c>
      <c r="V478" s="2" t="s">
        <v>40</v>
      </c>
      <c r="W478" s="2" t="s">
        <v>2974</v>
      </c>
      <c r="X478" s="2"/>
      <c r="Y478" s="2"/>
      <c r="Z478" s="2"/>
      <c r="AA478" s="2" t="s">
        <v>385</v>
      </c>
      <c r="AB478" s="2" t="s">
        <v>282</v>
      </c>
      <c r="AC478" s="4" t="s">
        <v>44</v>
      </c>
    </row>
    <row r="479" spans="1:29" x14ac:dyDescent="0.25">
      <c r="A479" s="1">
        <v>482</v>
      </c>
      <c r="B479" s="17" t="s">
        <v>2975</v>
      </c>
      <c r="C479" s="2" t="s">
        <v>2976</v>
      </c>
      <c r="D479" s="15" t="s">
        <v>2977</v>
      </c>
      <c r="E479" s="9" t="s">
        <v>2978</v>
      </c>
      <c r="F479" s="9" t="s">
        <v>2979</v>
      </c>
      <c r="G479" s="9" t="s">
        <v>2210</v>
      </c>
      <c r="H479" s="2" t="s">
        <v>60</v>
      </c>
      <c r="I479" s="3">
        <v>32283</v>
      </c>
      <c r="J479" s="9" t="str">
        <f t="shared" ca="1" si="8"/>
        <v>35 ans</v>
      </c>
      <c r="K479" s="2" t="s">
        <v>36</v>
      </c>
      <c r="L479" s="2" t="str">
        <f>"21"</f>
        <v>21</v>
      </c>
      <c r="M479" s="2"/>
      <c r="N479" s="2" t="str">
        <f>"53E AV"</f>
        <v>53E AV</v>
      </c>
      <c r="O479" s="2" t="s">
        <v>2616</v>
      </c>
      <c r="P479" s="9" t="str">
        <f>VLOOKUP($O479,'Liste des Villes'!$B$2:$B$1128,1,FALSE)</f>
        <v>Saint-Sauveur</v>
      </c>
      <c r="Q479" s="9" t="str">
        <f>IFERROR($P479,PROPER(VLOOKUP($O479,'Villes en erreur'!$A$2:$B$72,2,FALSE)))</f>
        <v>Saint-Sauveur</v>
      </c>
      <c r="R479" s="9" t="s">
        <v>2617</v>
      </c>
      <c r="S479" s="9" t="str">
        <f>IF(ISBLANK($R479),"",VLOOKUP($R479,'Liste des Villes'!$B$2:$H$1128,4,FALSE))</f>
        <v>Laurentides</v>
      </c>
      <c r="T479" s="2" t="s">
        <v>2863</v>
      </c>
      <c r="U479" s="2" t="s">
        <v>39</v>
      </c>
      <c r="V479" s="2" t="s">
        <v>40</v>
      </c>
      <c r="W479" s="2" t="s">
        <v>2980</v>
      </c>
      <c r="X479" s="2"/>
      <c r="Y479" s="2"/>
      <c r="Z479" s="2"/>
      <c r="AA479" s="2" t="s">
        <v>385</v>
      </c>
      <c r="AB479" s="2" t="s">
        <v>2620</v>
      </c>
      <c r="AC479" s="4" t="s">
        <v>44</v>
      </c>
    </row>
    <row r="480" spans="1:29" x14ac:dyDescent="0.25">
      <c r="A480" s="1">
        <v>1784</v>
      </c>
      <c r="B480" s="17" t="s">
        <v>2981</v>
      </c>
      <c r="C480" s="2" t="s">
        <v>2982</v>
      </c>
      <c r="D480" s="15" t="s">
        <v>2983</v>
      </c>
      <c r="E480" s="9" t="s">
        <v>370</v>
      </c>
      <c r="F480" s="9" t="s">
        <v>2984</v>
      </c>
      <c r="G480" s="9" t="s">
        <v>487</v>
      </c>
      <c r="H480" s="2" t="s">
        <v>35</v>
      </c>
      <c r="I480" s="3">
        <v>32552</v>
      </c>
      <c r="J480" s="9" t="str">
        <f t="shared" ca="1" si="8"/>
        <v>34 ans</v>
      </c>
      <c r="K480" s="2" t="s">
        <v>36</v>
      </c>
      <c r="L480" s="2" t="str">
        <f>"24"</f>
        <v>24</v>
      </c>
      <c r="M480" s="2"/>
      <c r="N480" s="2" t="str">
        <f>"6E RUE"</f>
        <v>6E RUE</v>
      </c>
      <c r="O480" s="2" t="s">
        <v>2616</v>
      </c>
      <c r="P480" s="9" t="str">
        <f>VLOOKUP($O480,'Liste des Villes'!$B$2:$B$1128,1,FALSE)</f>
        <v>Saint-Sauveur</v>
      </c>
      <c r="Q480" s="9" t="str">
        <f>IFERROR($P480,PROPER(VLOOKUP($O480,'Villes en erreur'!$A$2:$B$72,2,FALSE)))</f>
        <v>Saint-Sauveur</v>
      </c>
      <c r="R480" s="9" t="s">
        <v>2617</v>
      </c>
      <c r="S480" s="9" t="str">
        <f>IF(ISBLANK($R480),"",VLOOKUP($R480,'Liste des Villes'!$B$2:$H$1128,4,FALSE))</f>
        <v>Laurentides</v>
      </c>
      <c r="T480" s="2" t="s">
        <v>2643</v>
      </c>
      <c r="U480" s="2" t="s">
        <v>39</v>
      </c>
      <c r="V480" s="2" t="s">
        <v>40</v>
      </c>
      <c r="W480" s="2" t="s">
        <v>2985</v>
      </c>
      <c r="X480" s="2"/>
      <c r="Y480" s="2"/>
      <c r="Z480" s="2"/>
      <c r="AA480" s="2" t="s">
        <v>385</v>
      </c>
      <c r="AB480" s="2" t="s">
        <v>282</v>
      </c>
      <c r="AC480" s="4" t="s">
        <v>44</v>
      </c>
    </row>
    <row r="481" spans="1:29" x14ac:dyDescent="0.25">
      <c r="A481" s="1">
        <v>64</v>
      </c>
      <c r="B481" s="17" t="s">
        <v>2986</v>
      </c>
      <c r="C481" s="2" t="s">
        <v>2987</v>
      </c>
      <c r="D481" s="15" t="s">
        <v>1845</v>
      </c>
      <c r="E481" s="9" t="s">
        <v>2988</v>
      </c>
      <c r="F481" s="9" t="s">
        <v>1843</v>
      </c>
      <c r="G481" s="9" t="s">
        <v>305</v>
      </c>
      <c r="H481" s="2" t="s">
        <v>60</v>
      </c>
      <c r="I481" s="3">
        <v>31800</v>
      </c>
      <c r="J481" s="9" t="str">
        <f t="shared" ca="1" si="8"/>
        <v>36 ans</v>
      </c>
      <c r="K481" s="2" t="s">
        <v>36</v>
      </c>
      <c r="L481" s="2" t="str">
        <f>"17"</f>
        <v>17</v>
      </c>
      <c r="M481" s="2"/>
      <c r="N481" s="2" t="str">
        <f>"3E AV"</f>
        <v>3E AV</v>
      </c>
      <c r="O481" s="2" t="s">
        <v>2616</v>
      </c>
      <c r="P481" s="9" t="str">
        <f>VLOOKUP($O481,'Liste des Villes'!$B$2:$B$1128,1,FALSE)</f>
        <v>Saint-Sauveur</v>
      </c>
      <c r="Q481" s="9" t="str">
        <f>IFERROR($P481,PROPER(VLOOKUP($O481,'Villes en erreur'!$A$2:$B$72,2,FALSE)))</f>
        <v>Saint-Sauveur</v>
      </c>
      <c r="R481" s="9" t="s">
        <v>2617</v>
      </c>
      <c r="S481" s="9" t="str">
        <f>IF(ISBLANK($R481),"",VLOOKUP($R481,'Liste des Villes'!$B$2:$H$1128,4,FALSE))</f>
        <v>Laurentides</v>
      </c>
      <c r="T481" s="2" t="s">
        <v>2989</v>
      </c>
      <c r="U481" s="2" t="s">
        <v>39</v>
      </c>
      <c r="V481" s="2" t="s">
        <v>40</v>
      </c>
      <c r="W481" s="2" t="s">
        <v>2990</v>
      </c>
      <c r="X481" s="2"/>
      <c r="Y481" s="2"/>
      <c r="Z481" s="2"/>
      <c r="AA481" s="2" t="s">
        <v>149</v>
      </c>
      <c r="AB481" s="2" t="s">
        <v>2620</v>
      </c>
      <c r="AC481" s="4" t="s">
        <v>44</v>
      </c>
    </row>
    <row r="482" spans="1:29" x14ac:dyDescent="0.25">
      <c r="A482" s="1">
        <v>4256</v>
      </c>
      <c r="B482" s="17" t="s">
        <v>2991</v>
      </c>
      <c r="C482" s="2" t="s">
        <v>2992</v>
      </c>
      <c r="D482" s="15" t="s">
        <v>363</v>
      </c>
      <c r="E482" s="9" t="s">
        <v>2993</v>
      </c>
      <c r="F482" s="9" t="s">
        <v>1716</v>
      </c>
      <c r="G482" s="9" t="s">
        <v>487</v>
      </c>
      <c r="H482" s="2" t="s">
        <v>35</v>
      </c>
      <c r="I482" s="3">
        <v>32703</v>
      </c>
      <c r="J482" s="9" t="str">
        <f t="shared" ca="1" si="8"/>
        <v>34 ans</v>
      </c>
      <c r="K482" s="2" t="s">
        <v>36</v>
      </c>
      <c r="L482" s="2" t="str">
        <f>"24"</f>
        <v>24</v>
      </c>
      <c r="M482" s="2"/>
      <c r="N482" s="2" t="str">
        <f>"71E AVENUE EST"</f>
        <v>71E AVENUE EST</v>
      </c>
      <c r="O482" s="2" t="s">
        <v>2616</v>
      </c>
      <c r="P482" s="9" t="str">
        <f>VLOOKUP($O482,'Liste des Villes'!$B$2:$B$1128,1,FALSE)</f>
        <v>Saint-Sauveur</v>
      </c>
      <c r="Q482" s="9" t="str">
        <f>IFERROR($P482,PROPER(VLOOKUP($O482,'Villes en erreur'!$A$2:$B$72,2,FALSE)))</f>
        <v>Saint-Sauveur</v>
      </c>
      <c r="R482" s="9" t="s">
        <v>2617</v>
      </c>
      <c r="S482" s="9" t="str">
        <f>IF(ISBLANK($R482),"",VLOOKUP($R482,'Liste des Villes'!$B$2:$H$1128,4,FALSE))</f>
        <v>Laurentides</v>
      </c>
      <c r="T482" s="2" t="s">
        <v>2774</v>
      </c>
      <c r="U482" s="2" t="s">
        <v>39</v>
      </c>
      <c r="V482" s="2" t="s">
        <v>40</v>
      </c>
      <c r="W482" s="2" t="s">
        <v>2994</v>
      </c>
      <c r="X482" s="2"/>
      <c r="Y482" s="2"/>
      <c r="Z482" s="2"/>
      <c r="AA482" s="2" t="s">
        <v>385</v>
      </c>
      <c r="AB482" s="2" t="s">
        <v>282</v>
      </c>
      <c r="AC482" s="4" t="s">
        <v>44</v>
      </c>
    </row>
    <row r="483" spans="1:29" x14ac:dyDescent="0.25">
      <c r="A483" s="1">
        <v>3912</v>
      </c>
      <c r="B483" s="17" t="s">
        <v>2995</v>
      </c>
      <c r="C483" s="2" t="s">
        <v>2496</v>
      </c>
      <c r="D483" s="15" t="s">
        <v>2497</v>
      </c>
      <c r="E483" s="9" t="s">
        <v>2498</v>
      </c>
      <c r="F483" s="9" t="s">
        <v>2099</v>
      </c>
      <c r="G483" s="9" t="s">
        <v>2996</v>
      </c>
      <c r="H483" s="2" t="s">
        <v>35</v>
      </c>
      <c r="I483" s="3">
        <v>32749</v>
      </c>
      <c r="J483" s="9" t="str">
        <f t="shared" ca="1" si="8"/>
        <v>33 ans</v>
      </c>
      <c r="K483" s="2" t="s">
        <v>36</v>
      </c>
      <c r="L483" s="2" t="str">
        <f t="shared" ref="L483:L495" si="9">"25"</f>
        <v>25</v>
      </c>
      <c r="M483" s="2"/>
      <c r="N483" s="2" t="str">
        <f>"7E RUE"</f>
        <v>7E RUE</v>
      </c>
      <c r="O483" s="2" t="s">
        <v>2997</v>
      </c>
      <c r="P483" s="9" t="str">
        <f>VLOOKUP($O483,'Liste des Villes'!$B$2:$B$1128,1,FALSE)</f>
        <v>Saint-Roch-de-l'Achigan</v>
      </c>
      <c r="Q483" s="9" t="str">
        <f>IFERROR($P483,PROPER(VLOOKUP($O483,'Villes en erreur'!$A$2:$B$72,2,FALSE)))</f>
        <v>Saint-Roch-de-l'Achigan</v>
      </c>
      <c r="R483" s="9" t="s">
        <v>2998</v>
      </c>
      <c r="S483" s="9" t="str">
        <f>IF(ISBLANK($R483),"",VLOOKUP($R483,'Liste des Villes'!$B$2:$H$1128,4,FALSE))</f>
        <v>Lanaudière</v>
      </c>
      <c r="T483" s="2" t="s">
        <v>383</v>
      </c>
      <c r="U483" s="2" t="s">
        <v>39</v>
      </c>
      <c r="V483" s="2" t="s">
        <v>40</v>
      </c>
      <c r="W483" s="2" t="s">
        <v>2999</v>
      </c>
      <c r="X483" s="2"/>
      <c r="Y483" s="2"/>
      <c r="Z483" s="2"/>
      <c r="AA483" s="2" t="s">
        <v>385</v>
      </c>
      <c r="AB483" s="2" t="s">
        <v>282</v>
      </c>
      <c r="AC483" s="4" t="s">
        <v>44</v>
      </c>
    </row>
    <row r="484" spans="1:29" x14ac:dyDescent="0.25">
      <c r="A484" s="1">
        <v>1176</v>
      </c>
      <c r="B484" s="17" t="s">
        <v>3000</v>
      </c>
      <c r="C484" s="2" t="s">
        <v>3001</v>
      </c>
      <c r="D484" s="15" t="s">
        <v>3002</v>
      </c>
      <c r="E484" s="9" t="s">
        <v>131</v>
      </c>
      <c r="F484" s="9" t="s">
        <v>3003</v>
      </c>
      <c r="G484" s="9" t="s">
        <v>3004</v>
      </c>
      <c r="H484" s="2" t="s">
        <v>60</v>
      </c>
      <c r="I484" s="3">
        <v>32744</v>
      </c>
      <c r="J484" s="9" t="str">
        <f t="shared" ca="1" si="8"/>
        <v>34 ans</v>
      </c>
      <c r="K484" s="2" t="s">
        <v>36</v>
      </c>
      <c r="L484" s="2" t="str">
        <f t="shared" si="9"/>
        <v>25</v>
      </c>
      <c r="M484" s="2"/>
      <c r="N484" s="2" t="str">
        <f>"7E RUE"</f>
        <v>7E RUE</v>
      </c>
      <c r="O484" s="2" t="s">
        <v>2997</v>
      </c>
      <c r="P484" s="9" t="str">
        <f>VLOOKUP($O484,'Liste des Villes'!$B$2:$B$1128,1,FALSE)</f>
        <v>Saint-Roch-de-l'Achigan</v>
      </c>
      <c r="Q484" s="9" t="str">
        <f>IFERROR($P484,PROPER(VLOOKUP($O484,'Villes en erreur'!$A$2:$B$72,2,FALSE)))</f>
        <v>Saint-Roch-de-l'Achigan</v>
      </c>
      <c r="R484" s="9" t="s">
        <v>2998</v>
      </c>
      <c r="S484" s="9" t="str">
        <f>IF(ISBLANK($R484),"",VLOOKUP($R484,'Liste des Villes'!$B$2:$H$1128,4,FALSE))</f>
        <v>Lanaudière</v>
      </c>
      <c r="T484" s="2" t="s">
        <v>383</v>
      </c>
      <c r="U484" s="2" t="s">
        <v>39</v>
      </c>
      <c r="V484" s="2" t="s">
        <v>40</v>
      </c>
      <c r="W484" s="2" t="s">
        <v>3005</v>
      </c>
      <c r="X484" s="2"/>
      <c r="Y484" s="2"/>
      <c r="Z484" s="2"/>
      <c r="AA484" s="2" t="s">
        <v>385</v>
      </c>
      <c r="AB484" s="2" t="s">
        <v>282</v>
      </c>
      <c r="AC484" s="4" t="s">
        <v>44</v>
      </c>
    </row>
    <row r="485" spans="1:29" x14ac:dyDescent="0.25">
      <c r="A485" s="1">
        <v>2550</v>
      </c>
      <c r="B485" s="17" t="s">
        <v>3006</v>
      </c>
      <c r="C485" s="2" t="s">
        <v>3007</v>
      </c>
      <c r="D485" s="15" t="s">
        <v>825</v>
      </c>
      <c r="E485" s="9" t="s">
        <v>3008</v>
      </c>
      <c r="F485" s="9" t="s">
        <v>827</v>
      </c>
      <c r="G485" s="9" t="s">
        <v>3009</v>
      </c>
      <c r="H485" s="2" t="s">
        <v>60</v>
      </c>
      <c r="I485" s="3">
        <v>32730</v>
      </c>
      <c r="J485" s="9" t="str">
        <f t="shared" ca="1" si="8"/>
        <v>34 ans</v>
      </c>
      <c r="K485" s="2" t="s">
        <v>36</v>
      </c>
      <c r="L485" s="2" t="str">
        <f t="shared" si="9"/>
        <v>25</v>
      </c>
      <c r="M485" s="2"/>
      <c r="N485" s="2" t="str">
        <f>"7E RUE"</f>
        <v>7E RUE</v>
      </c>
      <c r="O485" s="2" t="s">
        <v>2997</v>
      </c>
      <c r="P485" s="9" t="str">
        <f>VLOOKUP($O485,'Liste des Villes'!$B$2:$B$1128,1,FALSE)</f>
        <v>Saint-Roch-de-l'Achigan</v>
      </c>
      <c r="Q485" s="9" t="str">
        <f>IFERROR($P485,PROPER(VLOOKUP($O485,'Villes en erreur'!$A$2:$B$72,2,FALSE)))</f>
        <v>Saint-Roch-de-l'Achigan</v>
      </c>
      <c r="R485" s="9" t="s">
        <v>2998</v>
      </c>
      <c r="S485" s="9" t="str">
        <f>IF(ISBLANK($R485),"",VLOOKUP($R485,'Liste des Villes'!$B$2:$H$1128,4,FALSE))</f>
        <v>Lanaudière</v>
      </c>
      <c r="T485" s="2" t="s">
        <v>383</v>
      </c>
      <c r="U485" s="2" t="s">
        <v>39</v>
      </c>
      <c r="V485" s="2" t="s">
        <v>40</v>
      </c>
      <c r="W485" s="2" t="s">
        <v>3010</v>
      </c>
      <c r="X485" s="2"/>
      <c r="Y485" s="2"/>
      <c r="Z485" s="2"/>
      <c r="AA485" s="2" t="s">
        <v>385</v>
      </c>
      <c r="AB485" s="2" t="s">
        <v>282</v>
      </c>
      <c r="AC485" s="4" t="s">
        <v>44</v>
      </c>
    </row>
    <row r="486" spans="1:29" x14ac:dyDescent="0.25">
      <c r="A486" s="1">
        <v>739</v>
      </c>
      <c r="B486" s="17" t="s">
        <v>3011</v>
      </c>
      <c r="C486" s="2" t="s">
        <v>3012</v>
      </c>
      <c r="D486" s="15" t="s">
        <v>438</v>
      </c>
      <c r="E486" s="9" t="s">
        <v>3013</v>
      </c>
      <c r="F486" s="9" t="s">
        <v>3014</v>
      </c>
      <c r="G486" s="9" t="s">
        <v>381</v>
      </c>
      <c r="H486" s="2" t="s">
        <v>35</v>
      </c>
      <c r="I486" s="3">
        <v>32789</v>
      </c>
      <c r="J486" s="9" t="str">
        <f t="shared" ca="1" si="8"/>
        <v>33 ans</v>
      </c>
      <c r="K486" s="2" t="s">
        <v>36</v>
      </c>
      <c r="L486" s="2" t="str">
        <f t="shared" si="9"/>
        <v>25</v>
      </c>
      <c r="M486" s="2"/>
      <c r="N486" s="2" t="str">
        <f>"7E RUE"</f>
        <v>7E RUE</v>
      </c>
      <c r="O486" s="2" t="s">
        <v>2997</v>
      </c>
      <c r="P486" s="9" t="str">
        <f>VLOOKUP($O486,'Liste des Villes'!$B$2:$B$1128,1,FALSE)</f>
        <v>Saint-Roch-de-l'Achigan</v>
      </c>
      <c r="Q486" s="9" t="str">
        <f>IFERROR($P486,PROPER(VLOOKUP($O486,'Villes en erreur'!$A$2:$B$72,2,FALSE)))</f>
        <v>Saint-Roch-de-l'Achigan</v>
      </c>
      <c r="R486" s="9" t="s">
        <v>2998</v>
      </c>
      <c r="S486" s="9" t="str">
        <f>IF(ISBLANK($R486),"",VLOOKUP($R486,'Liste des Villes'!$B$2:$H$1128,4,FALSE))</f>
        <v>Lanaudière</v>
      </c>
      <c r="T486" s="2" t="s">
        <v>383</v>
      </c>
      <c r="U486" s="2" t="s">
        <v>39</v>
      </c>
      <c r="V486" s="2" t="s">
        <v>40</v>
      </c>
      <c r="W486" s="2" t="s">
        <v>3015</v>
      </c>
      <c r="X486" s="2"/>
      <c r="Y486" s="2"/>
      <c r="Z486" s="2"/>
      <c r="AA486" s="2" t="s">
        <v>385</v>
      </c>
      <c r="AB486" s="2" t="s">
        <v>282</v>
      </c>
      <c r="AC486" s="4" t="s">
        <v>44</v>
      </c>
    </row>
    <row r="487" spans="1:29" x14ac:dyDescent="0.25">
      <c r="A487" s="1">
        <v>690</v>
      </c>
      <c r="B487" s="17" t="s">
        <v>3016</v>
      </c>
      <c r="C487" s="2" t="s">
        <v>3017</v>
      </c>
      <c r="D487" s="15" t="s">
        <v>3018</v>
      </c>
      <c r="E487" s="9" t="s">
        <v>3019</v>
      </c>
      <c r="F487" s="9" t="s">
        <v>3020</v>
      </c>
      <c r="G487" s="9" t="s">
        <v>3021</v>
      </c>
      <c r="H487" s="2" t="s">
        <v>60</v>
      </c>
      <c r="I487" s="3">
        <v>32721</v>
      </c>
      <c r="J487" s="9" t="str">
        <f t="shared" ca="1" si="8"/>
        <v>34 ans</v>
      </c>
      <c r="K487" s="2" t="s">
        <v>36</v>
      </c>
      <c r="L487" s="2" t="str">
        <f t="shared" si="9"/>
        <v>25</v>
      </c>
      <c r="M487" s="2"/>
      <c r="N487" s="2" t="str">
        <f>"7E RANG"</f>
        <v>7E RANG</v>
      </c>
      <c r="O487" s="2" t="s">
        <v>2997</v>
      </c>
      <c r="P487" s="9" t="str">
        <f>VLOOKUP($O487,'Liste des Villes'!$B$2:$B$1128,1,FALSE)</f>
        <v>Saint-Roch-de-l'Achigan</v>
      </c>
      <c r="Q487" s="9" t="str">
        <f>IFERROR($P487,PROPER(VLOOKUP($O487,'Villes en erreur'!$A$2:$B$72,2,FALSE)))</f>
        <v>Saint-Roch-de-l'Achigan</v>
      </c>
      <c r="R487" s="9" t="s">
        <v>2998</v>
      </c>
      <c r="S487" s="9" t="str">
        <f>IF(ISBLANK($R487),"",VLOOKUP($R487,'Liste des Villes'!$B$2:$H$1128,4,FALSE))</f>
        <v>Lanaudière</v>
      </c>
      <c r="T487" s="2" t="s">
        <v>383</v>
      </c>
      <c r="U487" s="2" t="s">
        <v>39</v>
      </c>
      <c r="V487" s="2" t="s">
        <v>40</v>
      </c>
      <c r="W487" s="2" t="s">
        <v>3022</v>
      </c>
      <c r="X487" s="2"/>
      <c r="Y487" s="2"/>
      <c r="Z487" s="2"/>
      <c r="AA487" s="2" t="s">
        <v>385</v>
      </c>
      <c r="AB487" s="2" t="s">
        <v>282</v>
      </c>
      <c r="AC487" s="4" t="s">
        <v>44</v>
      </c>
    </row>
    <row r="488" spans="1:29" x14ac:dyDescent="0.25">
      <c r="A488" s="1">
        <v>753</v>
      </c>
      <c r="B488" s="17" t="s">
        <v>3023</v>
      </c>
      <c r="C488" s="2" t="s">
        <v>3024</v>
      </c>
      <c r="D488" s="15" t="s">
        <v>3025</v>
      </c>
      <c r="E488" s="9" t="s">
        <v>1816</v>
      </c>
      <c r="F488" s="9" t="s">
        <v>3026</v>
      </c>
      <c r="G488" s="9" t="s">
        <v>3027</v>
      </c>
      <c r="H488" s="2" t="s">
        <v>60</v>
      </c>
      <c r="I488" s="3">
        <v>32721</v>
      </c>
      <c r="J488" s="9" t="str">
        <f t="shared" ca="1" si="8"/>
        <v>34 ans</v>
      </c>
      <c r="K488" s="2" t="s">
        <v>36</v>
      </c>
      <c r="L488" s="2" t="str">
        <f t="shared" si="9"/>
        <v>25</v>
      </c>
      <c r="M488" s="2"/>
      <c r="N488" s="2" t="str">
        <f>"7E RANG"</f>
        <v>7E RANG</v>
      </c>
      <c r="O488" s="2" t="s">
        <v>2997</v>
      </c>
      <c r="P488" s="9" t="str">
        <f>VLOOKUP($O488,'Liste des Villes'!$B$2:$B$1128,1,FALSE)</f>
        <v>Saint-Roch-de-l'Achigan</v>
      </c>
      <c r="Q488" s="9" t="str">
        <f>IFERROR($P488,PROPER(VLOOKUP($O488,'Villes en erreur'!$A$2:$B$72,2,FALSE)))</f>
        <v>Saint-Roch-de-l'Achigan</v>
      </c>
      <c r="R488" s="9" t="s">
        <v>2998</v>
      </c>
      <c r="S488" s="9" t="str">
        <f>IF(ISBLANK($R488),"",VLOOKUP($R488,'Liste des Villes'!$B$2:$H$1128,4,FALSE))</f>
        <v>Lanaudière</v>
      </c>
      <c r="T488" s="2" t="s">
        <v>3028</v>
      </c>
      <c r="U488" s="2" t="s">
        <v>39</v>
      </c>
      <c r="V488" s="2" t="s">
        <v>40</v>
      </c>
      <c r="W488" s="2" t="s">
        <v>3029</v>
      </c>
      <c r="X488" s="2"/>
      <c r="Y488" s="2"/>
      <c r="Z488" s="2"/>
      <c r="AA488" s="2" t="s">
        <v>385</v>
      </c>
      <c r="AB488" s="2" t="s">
        <v>282</v>
      </c>
      <c r="AC488" s="4" t="s">
        <v>44</v>
      </c>
    </row>
    <row r="489" spans="1:29" x14ac:dyDescent="0.25">
      <c r="A489" s="1">
        <v>835</v>
      </c>
      <c r="B489" s="17" t="s">
        <v>3030</v>
      </c>
      <c r="C489" s="2" t="s">
        <v>1842</v>
      </c>
      <c r="D489" s="15" t="s">
        <v>1843</v>
      </c>
      <c r="E489" s="9" t="s">
        <v>1844</v>
      </c>
      <c r="F489" s="9" t="s">
        <v>1845</v>
      </c>
      <c r="G489" s="9" t="s">
        <v>3031</v>
      </c>
      <c r="H489" s="2" t="s">
        <v>35</v>
      </c>
      <c r="I489" s="3">
        <v>32764</v>
      </c>
      <c r="J489" s="9" t="str">
        <f t="shared" ca="1" si="8"/>
        <v>33 ans</v>
      </c>
      <c r="K489" s="2" t="s">
        <v>36</v>
      </c>
      <c r="L489" s="2" t="str">
        <f t="shared" si="9"/>
        <v>25</v>
      </c>
      <c r="M489" s="2"/>
      <c r="N489" s="2" t="str">
        <f>"7E RUE"</f>
        <v>7E RUE</v>
      </c>
      <c r="O489" s="2" t="s">
        <v>2997</v>
      </c>
      <c r="P489" s="9" t="str">
        <f>VLOOKUP($O489,'Liste des Villes'!$B$2:$B$1128,1,FALSE)</f>
        <v>Saint-Roch-de-l'Achigan</v>
      </c>
      <c r="Q489" s="9" t="str">
        <f>IFERROR($P489,PROPER(VLOOKUP($O489,'Villes en erreur'!$A$2:$B$72,2,FALSE)))</f>
        <v>Saint-Roch-de-l'Achigan</v>
      </c>
      <c r="R489" s="9" t="s">
        <v>2998</v>
      </c>
      <c r="S489" s="9" t="str">
        <f>IF(ISBLANK($R489),"",VLOOKUP($R489,'Liste des Villes'!$B$2:$H$1128,4,FALSE))</f>
        <v>Lanaudière</v>
      </c>
      <c r="T489" s="2" t="s">
        <v>383</v>
      </c>
      <c r="U489" s="2" t="s">
        <v>39</v>
      </c>
      <c r="V489" s="2" t="s">
        <v>40</v>
      </c>
      <c r="W489" s="2" t="s">
        <v>3032</v>
      </c>
      <c r="X489" s="2"/>
      <c r="Y489" s="2"/>
      <c r="Z489" s="2"/>
      <c r="AA489" s="2" t="s">
        <v>385</v>
      </c>
      <c r="AB489" s="2" t="s">
        <v>282</v>
      </c>
      <c r="AC489" s="4" t="s">
        <v>44</v>
      </c>
    </row>
    <row r="490" spans="1:29" x14ac:dyDescent="0.25">
      <c r="A490" s="1">
        <v>4456</v>
      </c>
      <c r="B490" s="17" t="s">
        <v>3033</v>
      </c>
      <c r="C490" s="2" t="s">
        <v>3034</v>
      </c>
      <c r="D490" s="15" t="s">
        <v>3035</v>
      </c>
      <c r="E490" s="9" t="s">
        <v>50</v>
      </c>
      <c r="F490" s="9" t="s">
        <v>657</v>
      </c>
      <c r="G490" s="9" t="s">
        <v>381</v>
      </c>
      <c r="H490" s="2" t="s">
        <v>35</v>
      </c>
      <c r="I490" s="3">
        <v>32857</v>
      </c>
      <c r="J490" s="9" t="str">
        <f t="shared" ca="1" si="8"/>
        <v>33 ans</v>
      </c>
      <c r="K490" s="2" t="s">
        <v>36</v>
      </c>
      <c r="L490" s="2" t="str">
        <f t="shared" si="9"/>
        <v>25</v>
      </c>
      <c r="M490" s="2"/>
      <c r="N490" s="2" t="str">
        <f>"8E AV"</f>
        <v>8E AV</v>
      </c>
      <c r="O490" s="2" t="s">
        <v>3036</v>
      </c>
      <c r="P490" s="9" t="str">
        <f>VLOOKUP($O490,'Liste des Villes'!$B$2:$B$1128,1,FALSE)</f>
        <v>Saint-Placide</v>
      </c>
      <c r="Q490" s="9" t="str">
        <f>IFERROR($P490,PROPER(VLOOKUP($O490,'Villes en erreur'!$A$2:$B$72,2,FALSE)))</f>
        <v>Saint-Placide</v>
      </c>
      <c r="R490" s="9" t="s">
        <v>3037</v>
      </c>
      <c r="S490" s="9" t="str">
        <f>IF(ISBLANK($R490),"",VLOOKUP($R490,'Liste des Villes'!$B$2:$H$1128,4,FALSE))</f>
        <v>Laurentides</v>
      </c>
      <c r="T490" s="2" t="s">
        <v>383</v>
      </c>
      <c r="U490" s="2" t="s">
        <v>39</v>
      </c>
      <c r="V490" s="2" t="s">
        <v>40</v>
      </c>
      <c r="W490" s="2" t="s">
        <v>3038</v>
      </c>
      <c r="X490" s="2"/>
      <c r="Y490" s="2"/>
      <c r="Z490" s="2"/>
      <c r="AA490" s="2" t="s">
        <v>42</v>
      </c>
      <c r="AB490" s="2" t="s">
        <v>282</v>
      </c>
      <c r="AC490" s="4" t="s">
        <v>44</v>
      </c>
    </row>
    <row r="491" spans="1:29" x14ac:dyDescent="0.25">
      <c r="A491" s="1">
        <v>1491</v>
      </c>
      <c r="B491" s="17" t="s">
        <v>3039</v>
      </c>
      <c r="C491" s="2" t="s">
        <v>3040</v>
      </c>
      <c r="D491" s="15" t="s">
        <v>3041</v>
      </c>
      <c r="E491" s="9" t="s">
        <v>698</v>
      </c>
      <c r="F491" s="9" t="s">
        <v>3042</v>
      </c>
      <c r="G491" s="9" t="s">
        <v>381</v>
      </c>
      <c r="H491" s="2" t="s">
        <v>35</v>
      </c>
      <c r="I491" s="3">
        <v>32845</v>
      </c>
      <c r="J491" s="9" t="str">
        <f t="shared" ca="1" si="8"/>
        <v>33 ans</v>
      </c>
      <c r="K491" s="2" t="s">
        <v>36</v>
      </c>
      <c r="L491" s="2" t="str">
        <f t="shared" si="9"/>
        <v>25</v>
      </c>
      <c r="M491" s="2"/>
      <c r="N491" s="2" t="str">
        <f>"84E AVENUE O."</f>
        <v>84E AVENUE O.</v>
      </c>
      <c r="O491" s="2" t="s">
        <v>3036</v>
      </c>
      <c r="P491" s="9" t="str">
        <f>VLOOKUP($O491,'Liste des Villes'!$B$2:$B$1128,1,FALSE)</f>
        <v>Saint-Placide</v>
      </c>
      <c r="Q491" s="9" t="str">
        <f>IFERROR($P491,PROPER(VLOOKUP($O491,'Villes en erreur'!$A$2:$B$72,2,FALSE)))</f>
        <v>Saint-Placide</v>
      </c>
      <c r="R491" s="9" t="s">
        <v>3037</v>
      </c>
      <c r="S491" s="9" t="str">
        <f>IF(ISBLANK($R491),"",VLOOKUP($R491,'Liste des Villes'!$B$2:$H$1128,4,FALSE))</f>
        <v>Laurentides</v>
      </c>
      <c r="T491" s="2" t="s">
        <v>383</v>
      </c>
      <c r="U491" s="2" t="s">
        <v>39</v>
      </c>
      <c r="V491" s="2" t="s">
        <v>40</v>
      </c>
      <c r="W491" s="2" t="s">
        <v>3043</v>
      </c>
      <c r="X491" s="2"/>
      <c r="Y491" s="2"/>
      <c r="Z491" s="2"/>
      <c r="AA491" s="2" t="s">
        <v>42</v>
      </c>
      <c r="AB491" s="2" t="s">
        <v>282</v>
      </c>
      <c r="AC491" s="4" t="s">
        <v>44</v>
      </c>
    </row>
    <row r="492" spans="1:29" x14ac:dyDescent="0.25">
      <c r="A492" s="1">
        <v>3542</v>
      </c>
      <c r="B492" s="17" t="s">
        <v>3044</v>
      </c>
      <c r="C492" s="2" t="s">
        <v>30</v>
      </c>
      <c r="D492" s="15" t="s">
        <v>31</v>
      </c>
      <c r="E492" s="9" t="s">
        <v>32</v>
      </c>
      <c r="F492" s="9" t="s">
        <v>3045</v>
      </c>
      <c r="G492" s="9" t="s">
        <v>381</v>
      </c>
      <c r="H492" s="2" t="s">
        <v>35</v>
      </c>
      <c r="I492" s="3">
        <v>32804</v>
      </c>
      <c r="J492" s="9" t="str">
        <f t="shared" ca="1" si="8"/>
        <v>33 ans</v>
      </c>
      <c r="K492" s="2" t="s">
        <v>36</v>
      </c>
      <c r="L492" s="2" t="str">
        <f t="shared" si="9"/>
        <v>25</v>
      </c>
      <c r="M492" s="2"/>
      <c r="N492" s="2" t="str">
        <f>"81E AVENUE EST"</f>
        <v>81E AVENUE EST</v>
      </c>
      <c r="O492" s="2" t="s">
        <v>3036</v>
      </c>
      <c r="P492" s="9" t="str">
        <f>VLOOKUP($O492,'Liste des Villes'!$B$2:$B$1128,1,FALSE)</f>
        <v>Saint-Placide</v>
      </c>
      <c r="Q492" s="9" t="str">
        <f>IFERROR($P492,PROPER(VLOOKUP($O492,'Villes en erreur'!$A$2:$B$72,2,FALSE)))</f>
        <v>Saint-Placide</v>
      </c>
      <c r="R492" s="9" t="s">
        <v>3037</v>
      </c>
      <c r="S492" s="9" t="str">
        <f>IF(ISBLANK($R492),"",VLOOKUP($R492,'Liste des Villes'!$B$2:$H$1128,4,FALSE))</f>
        <v>Laurentides</v>
      </c>
      <c r="T492" s="2" t="s">
        <v>383</v>
      </c>
      <c r="U492" s="2" t="s">
        <v>39</v>
      </c>
      <c r="V492" s="2" t="s">
        <v>40</v>
      </c>
      <c r="W492" s="2" t="s">
        <v>3046</v>
      </c>
      <c r="X492" s="2"/>
      <c r="Y492" s="2"/>
      <c r="Z492" s="2"/>
      <c r="AA492" s="2" t="s">
        <v>385</v>
      </c>
      <c r="AB492" s="2" t="s">
        <v>282</v>
      </c>
      <c r="AC492" s="4" t="s">
        <v>44</v>
      </c>
    </row>
    <row r="493" spans="1:29" x14ac:dyDescent="0.25">
      <c r="A493" s="1">
        <v>2093</v>
      </c>
      <c r="B493" s="17" t="s">
        <v>3047</v>
      </c>
      <c r="C493" s="2" t="s">
        <v>3048</v>
      </c>
      <c r="D493" s="15" t="s">
        <v>738</v>
      </c>
      <c r="E493" s="9" t="s">
        <v>3049</v>
      </c>
      <c r="F493" s="9" t="s">
        <v>3050</v>
      </c>
      <c r="G493" s="9" t="s">
        <v>381</v>
      </c>
      <c r="H493" s="2" t="s">
        <v>35</v>
      </c>
      <c r="I493" s="3">
        <v>32849</v>
      </c>
      <c r="J493" s="9" t="str">
        <f t="shared" ca="1" si="8"/>
        <v>33 ans</v>
      </c>
      <c r="K493" s="2" t="s">
        <v>36</v>
      </c>
      <c r="L493" s="2" t="str">
        <f t="shared" si="9"/>
        <v>25</v>
      </c>
      <c r="M493" s="2"/>
      <c r="N493" s="2" t="str">
        <f>"85E AV"</f>
        <v>85E AV</v>
      </c>
      <c r="O493" s="2" t="s">
        <v>3036</v>
      </c>
      <c r="P493" s="9" t="str">
        <f>VLOOKUP($O493,'Liste des Villes'!$B$2:$B$1128,1,FALSE)</f>
        <v>Saint-Placide</v>
      </c>
      <c r="Q493" s="9" t="str">
        <f>IFERROR($P493,PROPER(VLOOKUP($O493,'Villes en erreur'!$A$2:$B$72,2,FALSE)))</f>
        <v>Saint-Placide</v>
      </c>
      <c r="R493" s="9" t="s">
        <v>3037</v>
      </c>
      <c r="S493" s="9" t="str">
        <f>IF(ISBLANK($R493),"",VLOOKUP($R493,'Liste des Villes'!$B$2:$H$1128,4,FALSE))</f>
        <v>Laurentides</v>
      </c>
      <c r="T493" s="2" t="s">
        <v>383</v>
      </c>
      <c r="U493" s="2" t="s">
        <v>39</v>
      </c>
      <c r="V493" s="2" t="s">
        <v>40</v>
      </c>
      <c r="W493" s="2" t="s">
        <v>3051</v>
      </c>
      <c r="X493" s="2"/>
      <c r="Y493" s="2"/>
      <c r="Z493" s="2"/>
      <c r="AA493" s="2" t="s">
        <v>42</v>
      </c>
      <c r="AB493" s="2" t="s">
        <v>282</v>
      </c>
      <c r="AC493" s="4" t="s">
        <v>44</v>
      </c>
    </row>
    <row r="494" spans="1:29" x14ac:dyDescent="0.25">
      <c r="A494" s="1">
        <v>3906</v>
      </c>
      <c r="B494" s="17" t="s">
        <v>3052</v>
      </c>
      <c r="C494" s="2" t="s">
        <v>3053</v>
      </c>
      <c r="D494" s="15" t="s">
        <v>3054</v>
      </c>
      <c r="E494" s="9" t="s">
        <v>541</v>
      </c>
      <c r="F494" s="9" t="s">
        <v>3055</v>
      </c>
      <c r="G494" s="9" t="s">
        <v>381</v>
      </c>
      <c r="H494" s="2" t="s">
        <v>35</v>
      </c>
      <c r="I494" s="3">
        <v>32862</v>
      </c>
      <c r="J494" s="9" t="str">
        <f t="shared" ca="1" si="8"/>
        <v>33 ans</v>
      </c>
      <c r="K494" s="2" t="s">
        <v>36</v>
      </c>
      <c r="L494" s="2" t="str">
        <f t="shared" si="9"/>
        <v>25</v>
      </c>
      <c r="M494" s="2"/>
      <c r="N494" s="2" t="str">
        <f>"8E AVENUE"</f>
        <v>8E AVENUE</v>
      </c>
      <c r="O494" s="2" t="s">
        <v>3056</v>
      </c>
      <c r="P494" s="9" t="str">
        <f>VLOOKUP($O494,'Liste des Villes'!$B$2:$B$1128,1,FALSE)</f>
        <v>Saint-Philippe</v>
      </c>
      <c r="Q494" s="9" t="str">
        <f>IFERROR($P494,PROPER(VLOOKUP($O494,'Villes en erreur'!$A$2:$B$72,2,FALSE)))</f>
        <v>Saint-Philippe</v>
      </c>
      <c r="R494" s="9" t="s">
        <v>3057</v>
      </c>
      <c r="S494" s="9" t="str">
        <f>IF(ISBLANK($R494),"",VLOOKUP($R494,'Liste des Villes'!$B$2:$H$1128,4,FALSE))</f>
        <v>Montérégie</v>
      </c>
      <c r="T494" s="2" t="s">
        <v>383</v>
      </c>
      <c r="U494" s="2" t="s">
        <v>39</v>
      </c>
      <c r="V494" s="2" t="s">
        <v>40</v>
      </c>
      <c r="W494" s="2" t="s">
        <v>3058</v>
      </c>
      <c r="X494" s="2"/>
      <c r="Y494" s="2"/>
      <c r="Z494" s="2"/>
      <c r="AA494" s="2" t="s">
        <v>42</v>
      </c>
      <c r="AB494" s="2" t="s">
        <v>282</v>
      </c>
      <c r="AC494" s="4" t="s">
        <v>44</v>
      </c>
    </row>
    <row r="495" spans="1:29" x14ac:dyDescent="0.25">
      <c r="A495" s="1">
        <v>1111</v>
      </c>
      <c r="B495" s="17" t="s">
        <v>3059</v>
      </c>
      <c r="C495" s="2" t="s">
        <v>3060</v>
      </c>
      <c r="D495" s="15" t="s">
        <v>1152</v>
      </c>
      <c r="E495" s="9" t="s">
        <v>441</v>
      </c>
      <c r="F495" s="9" t="s">
        <v>1150</v>
      </c>
      <c r="G495" s="9" t="s">
        <v>381</v>
      </c>
      <c r="H495" s="2" t="s">
        <v>35</v>
      </c>
      <c r="I495" s="3">
        <v>32869</v>
      </c>
      <c r="J495" s="9" t="str">
        <f t="shared" ca="1" si="8"/>
        <v>33 ans</v>
      </c>
      <c r="K495" s="2" t="s">
        <v>36</v>
      </c>
      <c r="L495" s="2" t="str">
        <f t="shared" si="9"/>
        <v>25</v>
      </c>
      <c r="M495" s="2"/>
      <c r="N495" s="2" t="str">
        <f>"8E RUE"</f>
        <v>8E RUE</v>
      </c>
      <c r="O495" s="2" t="s">
        <v>3061</v>
      </c>
      <c r="P495" s="9" t="str">
        <f>VLOOKUP($O495,'Liste des Villes'!$B$2:$B$1128,1,FALSE)</f>
        <v>Saint-Marc-de-Figuery</v>
      </c>
      <c r="Q495" s="9" t="str">
        <f>IFERROR($P495,PROPER(VLOOKUP($O495,'Villes en erreur'!$A$2:$B$72,2,FALSE)))</f>
        <v>Saint-Marc-de-Figuery</v>
      </c>
      <c r="R495" s="9" t="s">
        <v>3062</v>
      </c>
      <c r="S495" s="9" t="str">
        <f>IF(ISBLANK($R495),"",VLOOKUP($R495,'Liste des Villes'!$B$2:$H$1128,4,FALSE))</f>
        <v>Abitibi-Témiscamingue</v>
      </c>
      <c r="T495" s="2" t="s">
        <v>383</v>
      </c>
      <c r="U495" s="2" t="s">
        <v>39</v>
      </c>
      <c r="V495" s="2" t="s">
        <v>40</v>
      </c>
      <c r="W495" s="2" t="s">
        <v>3063</v>
      </c>
      <c r="X495" s="2"/>
      <c r="Y495" s="2"/>
      <c r="Z495" s="2"/>
      <c r="AA495" s="2" t="s">
        <v>42</v>
      </c>
      <c r="AB495" s="2" t="s">
        <v>282</v>
      </c>
      <c r="AC495" s="4" t="s">
        <v>44</v>
      </c>
    </row>
    <row r="496" spans="1:29" x14ac:dyDescent="0.25">
      <c r="A496" s="1">
        <v>3514</v>
      </c>
      <c r="B496" s="17" t="s">
        <v>3064</v>
      </c>
      <c r="C496" s="2" t="s">
        <v>3065</v>
      </c>
      <c r="D496" s="15" t="s">
        <v>1477</v>
      </c>
      <c r="E496" s="9" t="s">
        <v>3066</v>
      </c>
      <c r="F496" s="9" t="s">
        <v>1479</v>
      </c>
      <c r="G496" s="9" t="s">
        <v>1582</v>
      </c>
      <c r="H496" s="2" t="s">
        <v>60</v>
      </c>
      <c r="I496" s="3">
        <v>33643</v>
      </c>
      <c r="J496" s="9" t="str">
        <f t="shared" ca="1" si="8"/>
        <v>31 ans</v>
      </c>
      <c r="K496" s="2" t="s">
        <v>36</v>
      </c>
      <c r="L496" s="2" t="str">
        <f>"36"</f>
        <v>36</v>
      </c>
      <c r="M496" s="2"/>
      <c r="N496" s="2" t="str">
        <f>"AVENUE CARTIER"</f>
        <v>AVENUE CARTIER</v>
      </c>
      <c r="O496" s="2" t="s">
        <v>3067</v>
      </c>
      <c r="P496" s="9" t="str">
        <f>VLOOKUP($O496,'Liste des Villes'!$B$2:$B$1128,1,FALSE)</f>
        <v>Saint-Joseph-du-Lac</v>
      </c>
      <c r="Q496" s="9" t="str">
        <f>IFERROR($P496,PROPER(VLOOKUP($O496,'Villes en erreur'!$A$2:$B$72,2,FALSE)))</f>
        <v>Saint-Joseph-du-Lac</v>
      </c>
      <c r="R496" s="9" t="s">
        <v>3068</v>
      </c>
      <c r="S496" s="9" t="str">
        <f>IF(ISBLANK($R496),"",VLOOKUP($R496,'Liste des Villes'!$B$2:$H$1128,4,FALSE))</f>
        <v>Laurentides</v>
      </c>
      <c r="T496" s="2" t="s">
        <v>336</v>
      </c>
      <c r="U496" s="2" t="s">
        <v>39</v>
      </c>
      <c r="V496" s="2" t="s">
        <v>40</v>
      </c>
      <c r="W496" s="2" t="s">
        <v>3069</v>
      </c>
      <c r="X496" s="2"/>
      <c r="Y496" s="2"/>
      <c r="Z496" s="2"/>
      <c r="AA496" s="2" t="s">
        <v>213</v>
      </c>
      <c r="AB496" s="2" t="s">
        <v>53</v>
      </c>
      <c r="AC496" s="4" t="s">
        <v>44</v>
      </c>
    </row>
    <row r="497" spans="1:29" x14ac:dyDescent="0.25">
      <c r="A497" s="1">
        <v>3547</v>
      </c>
      <c r="B497" s="17" t="s">
        <v>3070</v>
      </c>
      <c r="C497" s="2" t="s">
        <v>3071</v>
      </c>
      <c r="D497" s="15" t="s">
        <v>3072</v>
      </c>
      <c r="E497" s="9" t="s">
        <v>610</v>
      </c>
      <c r="F497" s="9" t="s">
        <v>3073</v>
      </c>
      <c r="G497" s="9" t="s">
        <v>3074</v>
      </c>
      <c r="H497" s="2" t="s">
        <v>60</v>
      </c>
      <c r="I497" s="3">
        <v>33704</v>
      </c>
      <c r="J497" s="9" t="str">
        <f t="shared" ca="1" si="8"/>
        <v>31 ans</v>
      </c>
      <c r="K497" s="2" t="s">
        <v>36</v>
      </c>
      <c r="L497" s="2" t="str">
        <f>"37"</f>
        <v>37</v>
      </c>
      <c r="M497" s="2"/>
      <c r="N497" s="2" t="str">
        <f>"AVENUE DE LA RENAISSANCE"</f>
        <v>AVENUE DE LA RENAISSANCE</v>
      </c>
      <c r="O497" s="2" t="s">
        <v>3067</v>
      </c>
      <c r="P497" s="9" t="str">
        <f>VLOOKUP($O497,'Liste des Villes'!$B$2:$B$1128,1,FALSE)</f>
        <v>Saint-Joseph-du-Lac</v>
      </c>
      <c r="Q497" s="9" t="str">
        <f>IFERROR($P497,PROPER(VLOOKUP($O497,'Villes en erreur'!$A$2:$B$72,2,FALSE)))</f>
        <v>Saint-Joseph-du-Lac</v>
      </c>
      <c r="R497" s="9" t="s">
        <v>3068</v>
      </c>
      <c r="S497" s="9" t="str">
        <f>IF(ISBLANK($R497),"",VLOOKUP($R497,'Liste des Villes'!$B$2:$H$1128,4,FALSE))</f>
        <v>Laurentides</v>
      </c>
      <c r="T497" s="2" t="s">
        <v>336</v>
      </c>
      <c r="U497" s="2" t="s">
        <v>39</v>
      </c>
      <c r="V497" s="2" t="s">
        <v>40</v>
      </c>
      <c r="W497" s="2" t="s">
        <v>3075</v>
      </c>
      <c r="X497" s="2"/>
      <c r="Y497" s="2"/>
      <c r="Z497" s="2"/>
      <c r="AA497" s="2" t="s">
        <v>213</v>
      </c>
      <c r="AB497" s="2" t="s">
        <v>53</v>
      </c>
      <c r="AC497" s="4" t="s">
        <v>44</v>
      </c>
    </row>
    <row r="498" spans="1:29" x14ac:dyDescent="0.25">
      <c r="A498" s="1">
        <v>1674</v>
      </c>
      <c r="B498" s="17" t="s">
        <v>3076</v>
      </c>
      <c r="C498" s="2" t="s">
        <v>3077</v>
      </c>
      <c r="D498" s="15" t="s">
        <v>3078</v>
      </c>
      <c r="E498" s="9" t="s">
        <v>3079</v>
      </c>
      <c r="F498" s="9" t="s">
        <v>3080</v>
      </c>
      <c r="G498" s="9" t="s">
        <v>1582</v>
      </c>
      <c r="H498" s="2" t="s">
        <v>60</v>
      </c>
      <c r="I498" s="3">
        <v>33658</v>
      </c>
      <c r="J498" s="9" t="str">
        <f t="shared" ca="1" si="8"/>
        <v>31 ans</v>
      </c>
      <c r="K498" s="2" t="s">
        <v>36</v>
      </c>
      <c r="L498" s="2" t="str">
        <f>"36"</f>
        <v>36</v>
      </c>
      <c r="M498" s="2"/>
      <c r="N498" s="2" t="str">
        <f>"AVENUE D'ARGENTEUIL"</f>
        <v>AVENUE D'ARGENTEUIL</v>
      </c>
      <c r="O498" s="2" t="s">
        <v>3067</v>
      </c>
      <c r="P498" s="9" t="str">
        <f>VLOOKUP($O498,'Liste des Villes'!$B$2:$B$1128,1,FALSE)</f>
        <v>Saint-Joseph-du-Lac</v>
      </c>
      <c r="Q498" s="9" t="str">
        <f>IFERROR($P498,PROPER(VLOOKUP($O498,'Villes en erreur'!$A$2:$B$72,2,FALSE)))</f>
        <v>Saint-Joseph-du-Lac</v>
      </c>
      <c r="R498" s="9" t="s">
        <v>3068</v>
      </c>
      <c r="S498" s="9" t="str">
        <f>IF(ISBLANK($R498),"",VLOOKUP($R498,'Liste des Villes'!$B$2:$H$1128,4,FALSE))</f>
        <v>Laurentides</v>
      </c>
      <c r="T498" s="2" t="s">
        <v>336</v>
      </c>
      <c r="U498" s="2" t="s">
        <v>39</v>
      </c>
      <c r="V498" s="2" t="s">
        <v>40</v>
      </c>
      <c r="W498" s="2" t="s">
        <v>3081</v>
      </c>
      <c r="X498" s="2"/>
      <c r="Y498" s="2"/>
      <c r="Z498" s="2"/>
      <c r="AA498" s="2" t="s">
        <v>213</v>
      </c>
      <c r="AB498" s="2" t="s">
        <v>53</v>
      </c>
      <c r="AC498" s="4" t="s">
        <v>44</v>
      </c>
    </row>
    <row r="499" spans="1:29" x14ac:dyDescent="0.25">
      <c r="A499" s="1">
        <v>3969</v>
      </c>
      <c r="B499" s="17" t="s">
        <v>3082</v>
      </c>
      <c r="C499" s="2" t="s">
        <v>3083</v>
      </c>
      <c r="D499" s="15" t="s">
        <v>3084</v>
      </c>
      <c r="E499" s="9" t="s">
        <v>3085</v>
      </c>
      <c r="F499" s="9" t="s">
        <v>56</v>
      </c>
      <c r="G499" s="9" t="s">
        <v>1582</v>
      </c>
      <c r="H499" s="2" t="s">
        <v>60</v>
      </c>
      <c r="I499" s="3">
        <v>33694</v>
      </c>
      <c r="J499" s="9" t="str">
        <f t="shared" ca="1" si="8"/>
        <v>31 ans</v>
      </c>
      <c r="K499" s="2" t="s">
        <v>36</v>
      </c>
      <c r="L499" s="2" t="str">
        <f>"36"</f>
        <v>36</v>
      </c>
      <c r="M499" s="2"/>
      <c r="N499" s="2" t="str">
        <f>"AVENUE DE BRUXELLES"</f>
        <v>AVENUE DE BRUXELLES</v>
      </c>
      <c r="O499" s="2" t="s">
        <v>3067</v>
      </c>
      <c r="P499" s="9" t="str">
        <f>VLOOKUP($O499,'Liste des Villes'!$B$2:$B$1128,1,FALSE)</f>
        <v>Saint-Joseph-du-Lac</v>
      </c>
      <c r="Q499" s="9" t="str">
        <f>IFERROR($P499,PROPER(VLOOKUP($O499,'Villes en erreur'!$A$2:$B$72,2,FALSE)))</f>
        <v>Saint-Joseph-du-Lac</v>
      </c>
      <c r="R499" s="9" t="s">
        <v>3068</v>
      </c>
      <c r="S499" s="9" t="str">
        <f>IF(ISBLANK($R499),"",VLOOKUP($R499,'Liste des Villes'!$B$2:$H$1128,4,FALSE))</f>
        <v>Laurentides</v>
      </c>
      <c r="T499" s="2" t="s">
        <v>336</v>
      </c>
      <c r="U499" s="2" t="s">
        <v>39</v>
      </c>
      <c r="V499" s="2" t="s">
        <v>40</v>
      </c>
      <c r="W499" s="2" t="s">
        <v>3086</v>
      </c>
      <c r="X499" s="2"/>
      <c r="Y499" s="2"/>
      <c r="Z499" s="2"/>
      <c r="AA499" s="2" t="s">
        <v>213</v>
      </c>
      <c r="AB499" s="2" t="s">
        <v>53</v>
      </c>
      <c r="AC499" s="4" t="s">
        <v>44</v>
      </c>
    </row>
    <row r="500" spans="1:29" x14ac:dyDescent="0.25">
      <c r="A500" s="1">
        <v>3739</v>
      </c>
      <c r="B500" s="17" t="s">
        <v>3087</v>
      </c>
      <c r="C500" s="2" t="s">
        <v>3088</v>
      </c>
      <c r="D500" s="15" t="s">
        <v>3089</v>
      </c>
      <c r="E500" s="9" t="s">
        <v>2381</v>
      </c>
      <c r="F500" s="9" t="s">
        <v>1807</v>
      </c>
      <c r="G500" s="9" t="s">
        <v>1582</v>
      </c>
      <c r="H500" s="2" t="s">
        <v>60</v>
      </c>
      <c r="I500" s="3">
        <v>33611</v>
      </c>
      <c r="J500" s="9" t="str">
        <f t="shared" ca="1" si="8"/>
        <v>31 ans</v>
      </c>
      <c r="K500" s="2" t="s">
        <v>36</v>
      </c>
      <c r="L500" s="2" t="str">
        <f>"36"</f>
        <v>36</v>
      </c>
      <c r="M500" s="2"/>
      <c r="N500" s="2" t="str">
        <f>"AVENUE BACCARAT"</f>
        <v>AVENUE BACCARAT</v>
      </c>
      <c r="O500" s="2" t="s">
        <v>3067</v>
      </c>
      <c r="P500" s="9" t="str">
        <f>VLOOKUP($O500,'Liste des Villes'!$B$2:$B$1128,1,FALSE)</f>
        <v>Saint-Joseph-du-Lac</v>
      </c>
      <c r="Q500" s="9" t="str">
        <f>IFERROR($P500,PROPER(VLOOKUP($O500,'Villes en erreur'!$A$2:$B$72,2,FALSE)))</f>
        <v>Saint-Joseph-du-Lac</v>
      </c>
      <c r="R500" s="9" t="s">
        <v>3068</v>
      </c>
      <c r="S500" s="9" t="str">
        <f>IF(ISBLANK($R500),"",VLOOKUP($R500,'Liste des Villes'!$B$2:$H$1128,4,FALSE))</f>
        <v>Laurentides</v>
      </c>
      <c r="T500" s="2" t="s">
        <v>336</v>
      </c>
      <c r="U500" s="2" t="s">
        <v>39</v>
      </c>
      <c r="V500" s="2" t="s">
        <v>40</v>
      </c>
      <c r="W500" s="2" t="s">
        <v>3090</v>
      </c>
      <c r="X500" s="2"/>
      <c r="Y500" s="2"/>
      <c r="Z500" s="2"/>
      <c r="AA500" s="2" t="s">
        <v>213</v>
      </c>
      <c r="AB500" s="2" t="s">
        <v>53</v>
      </c>
      <c r="AC500" s="4" t="s">
        <v>44</v>
      </c>
    </row>
    <row r="501" spans="1:29" x14ac:dyDescent="0.25">
      <c r="A501" s="1">
        <v>2227</v>
      </c>
      <c r="B501" s="17" t="s">
        <v>3091</v>
      </c>
      <c r="C501" s="2" t="s">
        <v>988</v>
      </c>
      <c r="D501" s="15" t="s">
        <v>121</v>
      </c>
      <c r="E501" s="9" t="s">
        <v>989</v>
      </c>
      <c r="F501" s="9" t="s">
        <v>750</v>
      </c>
      <c r="G501" s="9" t="s">
        <v>3092</v>
      </c>
      <c r="H501" s="2" t="s">
        <v>60</v>
      </c>
      <c r="I501" s="3">
        <v>33727</v>
      </c>
      <c r="J501" s="9" t="str">
        <f t="shared" ca="1" si="8"/>
        <v>31 ans</v>
      </c>
      <c r="K501" s="2" t="s">
        <v>36</v>
      </c>
      <c r="L501" s="2" t="str">
        <f>"38"</f>
        <v>38</v>
      </c>
      <c r="M501" s="2"/>
      <c r="N501" s="2" t="str">
        <f>"AVENUE DE L'ÉGLISE"</f>
        <v>AVENUE DE L'ÉGLISE</v>
      </c>
      <c r="O501" s="2" t="s">
        <v>3067</v>
      </c>
      <c r="P501" s="9" t="str">
        <f>VLOOKUP($O501,'Liste des Villes'!$B$2:$B$1128,1,FALSE)</f>
        <v>Saint-Joseph-du-Lac</v>
      </c>
      <c r="Q501" s="9" t="str">
        <f>IFERROR($P501,PROPER(VLOOKUP($O501,'Villes en erreur'!$A$2:$B$72,2,FALSE)))</f>
        <v>Saint-Joseph-du-Lac</v>
      </c>
      <c r="R501" s="9" t="s">
        <v>3068</v>
      </c>
      <c r="S501" s="9" t="str">
        <f>IF(ISBLANK($R501),"",VLOOKUP($R501,'Liste des Villes'!$B$2:$H$1128,4,FALSE))</f>
        <v>Laurentides</v>
      </c>
      <c r="T501" s="2" t="s">
        <v>3093</v>
      </c>
      <c r="U501" s="2" t="s">
        <v>39</v>
      </c>
      <c r="V501" s="2" t="s">
        <v>40</v>
      </c>
      <c r="W501" s="2" t="s">
        <v>3094</v>
      </c>
      <c r="X501" s="2"/>
      <c r="Y501" s="2"/>
      <c r="Z501" s="2"/>
      <c r="AA501" s="2" t="s">
        <v>213</v>
      </c>
      <c r="AB501" s="2" t="s">
        <v>53</v>
      </c>
      <c r="AC501" s="4" t="s">
        <v>44</v>
      </c>
    </row>
    <row r="502" spans="1:29" x14ac:dyDescent="0.25">
      <c r="A502" s="1">
        <v>1082</v>
      </c>
      <c r="B502" s="17" t="s">
        <v>3095</v>
      </c>
      <c r="C502" s="2" t="s">
        <v>3096</v>
      </c>
      <c r="D502" s="15" t="s">
        <v>3097</v>
      </c>
      <c r="E502" s="9" t="s">
        <v>3098</v>
      </c>
      <c r="F502" s="9" t="s">
        <v>2139</v>
      </c>
      <c r="G502" s="9" t="s">
        <v>3099</v>
      </c>
      <c r="H502" s="2" t="s">
        <v>60</v>
      </c>
      <c r="I502" s="3">
        <v>33583</v>
      </c>
      <c r="J502" s="9" t="str">
        <f t="shared" ca="1" si="8"/>
        <v>31 ans</v>
      </c>
      <c r="K502" s="2" t="s">
        <v>36</v>
      </c>
      <c r="L502" s="2" t="str">
        <f>"36"</f>
        <v>36</v>
      </c>
      <c r="M502" s="2"/>
      <c r="N502" s="2" t="str">
        <f>"AVENUE 84 OUEST"</f>
        <v>AVENUE 84 OUEST</v>
      </c>
      <c r="O502" s="2" t="s">
        <v>3067</v>
      </c>
      <c r="P502" s="9" t="str">
        <f>VLOOKUP($O502,'Liste des Villes'!$B$2:$B$1128,1,FALSE)</f>
        <v>Saint-Joseph-du-Lac</v>
      </c>
      <c r="Q502" s="9" t="str">
        <f>IFERROR($P502,PROPER(VLOOKUP($O502,'Villes en erreur'!$A$2:$B$72,2,FALSE)))</f>
        <v>Saint-Joseph-du-Lac</v>
      </c>
      <c r="R502" s="9" t="s">
        <v>3068</v>
      </c>
      <c r="S502" s="9" t="str">
        <f>IF(ISBLANK($R502),"",VLOOKUP($R502,'Liste des Villes'!$B$2:$H$1128,4,FALSE))</f>
        <v>Laurentides</v>
      </c>
      <c r="T502" s="2" t="s">
        <v>336</v>
      </c>
      <c r="U502" s="2" t="s">
        <v>39</v>
      </c>
      <c r="V502" s="2" t="s">
        <v>40</v>
      </c>
      <c r="W502" s="2" t="s">
        <v>3100</v>
      </c>
      <c r="X502" s="2"/>
      <c r="Y502" s="2"/>
      <c r="Z502" s="2"/>
      <c r="AA502" s="2" t="s">
        <v>213</v>
      </c>
      <c r="AB502" s="2" t="s">
        <v>53</v>
      </c>
      <c r="AC502" s="4" t="s">
        <v>44</v>
      </c>
    </row>
    <row r="503" spans="1:29" x14ac:dyDescent="0.25">
      <c r="A503" s="1">
        <v>1527</v>
      </c>
      <c r="B503" s="17" t="s">
        <v>3101</v>
      </c>
      <c r="C503" s="2" t="s">
        <v>3102</v>
      </c>
      <c r="D503" s="15" t="s">
        <v>657</v>
      </c>
      <c r="E503" s="9" t="s">
        <v>452</v>
      </c>
      <c r="F503" s="9" t="s">
        <v>3103</v>
      </c>
      <c r="G503" s="9" t="s">
        <v>3104</v>
      </c>
      <c r="H503" s="2" t="s">
        <v>60</v>
      </c>
      <c r="I503" s="3">
        <v>33725</v>
      </c>
      <c r="J503" s="9" t="str">
        <f t="shared" ca="1" si="8"/>
        <v>31 ans</v>
      </c>
      <c r="K503" s="2" t="s">
        <v>36</v>
      </c>
      <c r="L503" s="2" t="str">
        <f>"38"</f>
        <v>38</v>
      </c>
      <c r="M503" s="2"/>
      <c r="N503" s="2" t="str">
        <f>"AVENUE DE L'ÉGLISE"</f>
        <v>AVENUE DE L'ÉGLISE</v>
      </c>
      <c r="O503" s="2" t="s">
        <v>3067</v>
      </c>
      <c r="P503" s="9" t="str">
        <f>VLOOKUP($O503,'Liste des Villes'!$B$2:$B$1128,1,FALSE)</f>
        <v>Saint-Joseph-du-Lac</v>
      </c>
      <c r="Q503" s="9" t="str">
        <f>IFERROR($P503,PROPER(VLOOKUP($O503,'Villes en erreur'!$A$2:$B$72,2,FALSE)))</f>
        <v>Saint-Joseph-du-Lac</v>
      </c>
      <c r="R503" s="9" t="s">
        <v>3068</v>
      </c>
      <c r="S503" s="9" t="str">
        <f>IF(ISBLANK($R503),"",VLOOKUP($R503,'Liste des Villes'!$B$2:$H$1128,4,FALSE))</f>
        <v>Laurentides</v>
      </c>
      <c r="T503" s="2" t="s">
        <v>336</v>
      </c>
      <c r="U503" s="2" t="s">
        <v>39</v>
      </c>
      <c r="V503" s="2" t="s">
        <v>40</v>
      </c>
      <c r="W503" s="2" t="s">
        <v>3105</v>
      </c>
      <c r="X503" s="2"/>
      <c r="Y503" s="2"/>
      <c r="Z503" s="2"/>
      <c r="AA503" s="2" t="s">
        <v>213</v>
      </c>
      <c r="AB503" s="2" t="s">
        <v>53</v>
      </c>
      <c r="AC503" s="4" t="s">
        <v>44</v>
      </c>
    </row>
    <row r="504" spans="1:29" x14ac:dyDescent="0.25">
      <c r="A504" s="1">
        <v>3683</v>
      </c>
      <c r="B504" s="17" t="s">
        <v>3106</v>
      </c>
      <c r="C504" s="2" t="s">
        <v>3107</v>
      </c>
      <c r="D504" s="15" t="s">
        <v>496</v>
      </c>
      <c r="E504" s="9" t="s">
        <v>3108</v>
      </c>
      <c r="F504" s="9" t="s">
        <v>494</v>
      </c>
      <c r="G504" s="9" t="s">
        <v>1582</v>
      </c>
      <c r="H504" s="2" t="s">
        <v>60</v>
      </c>
      <c r="I504" s="3">
        <v>33597</v>
      </c>
      <c r="J504" s="9" t="str">
        <f t="shared" ca="1" si="8"/>
        <v>31 ans</v>
      </c>
      <c r="K504" s="2" t="s">
        <v>36</v>
      </c>
      <c r="L504" s="2" t="str">
        <f>"36"</f>
        <v>36</v>
      </c>
      <c r="M504" s="2"/>
      <c r="N504" s="2" t="str">
        <f>"AVENUE 92 OUEST"</f>
        <v>AVENUE 92 OUEST</v>
      </c>
      <c r="O504" s="2" t="s">
        <v>3067</v>
      </c>
      <c r="P504" s="9" t="str">
        <f>VLOOKUP($O504,'Liste des Villes'!$B$2:$B$1128,1,FALSE)</f>
        <v>Saint-Joseph-du-Lac</v>
      </c>
      <c r="Q504" s="9" t="str">
        <f>IFERROR($P504,PROPER(VLOOKUP($O504,'Villes en erreur'!$A$2:$B$72,2,FALSE)))</f>
        <v>Saint-Joseph-du-Lac</v>
      </c>
      <c r="R504" s="9" t="s">
        <v>3068</v>
      </c>
      <c r="S504" s="9" t="str">
        <f>IF(ISBLANK($R504),"",VLOOKUP($R504,'Liste des Villes'!$B$2:$H$1128,4,FALSE))</f>
        <v>Laurentides</v>
      </c>
      <c r="T504" s="2" t="s">
        <v>336</v>
      </c>
      <c r="U504" s="2" t="s">
        <v>39</v>
      </c>
      <c r="V504" s="2" t="s">
        <v>40</v>
      </c>
      <c r="W504" s="2" t="s">
        <v>3109</v>
      </c>
      <c r="X504" s="2"/>
      <c r="Y504" s="2"/>
      <c r="Z504" s="2"/>
      <c r="AA504" s="2" t="s">
        <v>213</v>
      </c>
      <c r="AB504" s="2" t="s">
        <v>53</v>
      </c>
      <c r="AC504" s="4" t="s">
        <v>44</v>
      </c>
    </row>
    <row r="505" spans="1:29" x14ac:dyDescent="0.25">
      <c r="A505" s="1">
        <v>2480</v>
      </c>
      <c r="B505" s="17" t="s">
        <v>3110</v>
      </c>
      <c r="C505" s="2" t="s">
        <v>3111</v>
      </c>
      <c r="D505" s="15" t="s">
        <v>3112</v>
      </c>
      <c r="E505" s="9" t="s">
        <v>1190</v>
      </c>
      <c r="F505" s="9" t="s">
        <v>3113</v>
      </c>
      <c r="G505" s="9" t="s">
        <v>3114</v>
      </c>
      <c r="H505" s="2" t="s">
        <v>60</v>
      </c>
      <c r="I505" s="3">
        <v>33582</v>
      </c>
      <c r="J505" s="9" t="str">
        <f t="shared" ca="1" si="8"/>
        <v>31 ans</v>
      </c>
      <c r="K505" s="2" t="s">
        <v>36</v>
      </c>
      <c r="L505" s="2" t="str">
        <f>"36"</f>
        <v>36</v>
      </c>
      <c r="M505" s="2"/>
      <c r="N505" s="2" t="str">
        <f>"AVENUE 84 EST"</f>
        <v>AVENUE 84 EST</v>
      </c>
      <c r="O505" s="2" t="s">
        <v>3067</v>
      </c>
      <c r="P505" s="9" t="str">
        <f>VLOOKUP($O505,'Liste des Villes'!$B$2:$B$1128,1,FALSE)</f>
        <v>Saint-Joseph-du-Lac</v>
      </c>
      <c r="Q505" s="9" t="str">
        <f>IFERROR($P505,PROPER(VLOOKUP($O505,'Villes en erreur'!$A$2:$B$72,2,FALSE)))</f>
        <v>Saint-Joseph-du-Lac</v>
      </c>
      <c r="R505" s="9" t="s">
        <v>3068</v>
      </c>
      <c r="S505" s="9" t="str">
        <f>IF(ISBLANK($R505),"",VLOOKUP($R505,'Liste des Villes'!$B$2:$H$1128,4,FALSE))</f>
        <v>Laurentides</v>
      </c>
      <c r="T505" s="2" t="s">
        <v>336</v>
      </c>
      <c r="U505" s="2" t="s">
        <v>39</v>
      </c>
      <c r="V505" s="2" t="s">
        <v>40</v>
      </c>
      <c r="W505" s="2" t="s">
        <v>3115</v>
      </c>
      <c r="X505" s="2"/>
      <c r="Y505" s="2"/>
      <c r="Z505" s="2"/>
      <c r="AA505" s="2" t="s">
        <v>213</v>
      </c>
      <c r="AB505" s="2" t="s">
        <v>53</v>
      </c>
      <c r="AC505" s="4" t="s">
        <v>44</v>
      </c>
    </row>
    <row r="506" spans="1:29" x14ac:dyDescent="0.25">
      <c r="A506" s="1">
        <v>1807</v>
      </c>
      <c r="B506" s="17" t="s">
        <v>3116</v>
      </c>
      <c r="C506" s="2" t="s">
        <v>3117</v>
      </c>
      <c r="D506" s="15" t="s">
        <v>1641</v>
      </c>
      <c r="E506" s="9" t="s">
        <v>1560</v>
      </c>
      <c r="F506" s="9" t="s">
        <v>1640</v>
      </c>
      <c r="G506" s="9" t="s">
        <v>1582</v>
      </c>
      <c r="H506" s="2" t="s">
        <v>60</v>
      </c>
      <c r="I506" s="3">
        <v>33644</v>
      </c>
      <c r="J506" s="9" t="str">
        <f t="shared" ca="1" si="8"/>
        <v>31 ans</v>
      </c>
      <c r="K506" s="2" t="s">
        <v>36</v>
      </c>
      <c r="L506" s="2" t="str">
        <f>"36"</f>
        <v>36</v>
      </c>
      <c r="M506" s="2"/>
      <c r="N506" s="2" t="str">
        <f>"AVENUE CHAMPAGNAT"</f>
        <v>AVENUE CHAMPAGNAT</v>
      </c>
      <c r="O506" s="2" t="s">
        <v>3067</v>
      </c>
      <c r="P506" s="9" t="str">
        <f>VLOOKUP($O506,'Liste des Villes'!$B$2:$B$1128,1,FALSE)</f>
        <v>Saint-Joseph-du-Lac</v>
      </c>
      <c r="Q506" s="9" t="str">
        <f>IFERROR($P506,PROPER(VLOOKUP($O506,'Villes en erreur'!$A$2:$B$72,2,FALSE)))</f>
        <v>Saint-Joseph-du-Lac</v>
      </c>
      <c r="R506" s="9" t="s">
        <v>3068</v>
      </c>
      <c r="S506" s="9" t="str">
        <f>IF(ISBLANK($R506),"",VLOOKUP($R506,'Liste des Villes'!$B$2:$H$1128,4,FALSE))</f>
        <v>Laurentides</v>
      </c>
      <c r="T506" s="2" t="s">
        <v>336</v>
      </c>
      <c r="U506" s="2" t="s">
        <v>39</v>
      </c>
      <c r="V506" s="2" t="s">
        <v>40</v>
      </c>
      <c r="W506" s="2" t="s">
        <v>3118</v>
      </c>
      <c r="X506" s="2"/>
      <c r="Y506" s="2"/>
      <c r="Z506" s="2"/>
      <c r="AA506" s="2" t="s">
        <v>213</v>
      </c>
      <c r="AB506" s="2" t="s">
        <v>53</v>
      </c>
      <c r="AC506" s="4" t="s">
        <v>44</v>
      </c>
    </row>
    <row r="507" spans="1:29" x14ac:dyDescent="0.25">
      <c r="A507" s="1">
        <v>72</v>
      </c>
      <c r="B507" s="17" t="s">
        <v>3119</v>
      </c>
      <c r="C507" s="2" t="s">
        <v>3120</v>
      </c>
      <c r="D507" s="15" t="s">
        <v>3121</v>
      </c>
      <c r="E507" s="9" t="s">
        <v>107</v>
      </c>
      <c r="F507" s="9" t="s">
        <v>3122</v>
      </c>
      <c r="G507" s="9" t="s">
        <v>3104</v>
      </c>
      <c r="H507" s="2" t="s">
        <v>60</v>
      </c>
      <c r="I507" s="3">
        <v>33725</v>
      </c>
      <c r="J507" s="9" t="str">
        <f t="shared" ca="1" si="8"/>
        <v>31 ans</v>
      </c>
      <c r="K507" s="2" t="s">
        <v>36</v>
      </c>
      <c r="L507" s="2" t="str">
        <f>"38"</f>
        <v>38</v>
      </c>
      <c r="M507" s="2"/>
      <c r="N507" s="2" t="str">
        <f>"AVENUE DE L'ÉGLISE"</f>
        <v>AVENUE DE L'ÉGLISE</v>
      </c>
      <c r="O507" s="2" t="s">
        <v>3067</v>
      </c>
      <c r="P507" s="9" t="str">
        <f>VLOOKUP($O507,'Liste des Villes'!$B$2:$B$1128,1,FALSE)</f>
        <v>Saint-Joseph-du-Lac</v>
      </c>
      <c r="Q507" s="9" t="str">
        <f>IFERROR($P507,PROPER(VLOOKUP($O507,'Villes en erreur'!$A$2:$B$72,2,FALSE)))</f>
        <v>Saint-Joseph-du-Lac</v>
      </c>
      <c r="R507" s="9" t="s">
        <v>3068</v>
      </c>
      <c r="S507" s="9" t="str">
        <f>IF(ISBLANK($R507),"",VLOOKUP($R507,'Liste des Villes'!$B$2:$H$1128,4,FALSE))</f>
        <v>Laurentides</v>
      </c>
      <c r="T507" s="2" t="s">
        <v>336</v>
      </c>
      <c r="U507" s="2" t="s">
        <v>39</v>
      </c>
      <c r="V507" s="2" t="s">
        <v>40</v>
      </c>
      <c r="W507" s="2" t="s">
        <v>3123</v>
      </c>
      <c r="X507" s="2"/>
      <c r="Y507" s="2"/>
      <c r="Z507" s="2"/>
      <c r="AA507" s="2" t="s">
        <v>213</v>
      </c>
      <c r="AB507" s="2" t="s">
        <v>53</v>
      </c>
      <c r="AC507" s="4" t="s">
        <v>44</v>
      </c>
    </row>
    <row r="508" spans="1:29" x14ac:dyDescent="0.25">
      <c r="A508" s="1">
        <v>3108</v>
      </c>
      <c r="B508" s="17" t="s">
        <v>3124</v>
      </c>
      <c r="C508" s="2" t="s">
        <v>3125</v>
      </c>
      <c r="D508" s="15" t="s">
        <v>3122</v>
      </c>
      <c r="E508" s="9" t="s">
        <v>3126</v>
      </c>
      <c r="F508" s="9" t="s">
        <v>106</v>
      </c>
      <c r="G508" s="9" t="s">
        <v>3127</v>
      </c>
      <c r="H508" s="2" t="s">
        <v>60</v>
      </c>
      <c r="I508" s="3">
        <v>33728</v>
      </c>
      <c r="J508" s="9" t="str">
        <f t="shared" ca="1" si="8"/>
        <v>31 ans</v>
      </c>
      <c r="K508" s="2" t="s">
        <v>36</v>
      </c>
      <c r="L508" s="2" t="str">
        <f>"38"</f>
        <v>38</v>
      </c>
      <c r="M508" s="2"/>
      <c r="N508" s="2" t="str">
        <f>"AVENUE DE LORRAINE"</f>
        <v>AVENUE DE LORRAINE</v>
      </c>
      <c r="O508" s="2" t="s">
        <v>3067</v>
      </c>
      <c r="P508" s="9" t="str">
        <f>VLOOKUP($O508,'Liste des Villes'!$B$2:$B$1128,1,FALSE)</f>
        <v>Saint-Joseph-du-Lac</v>
      </c>
      <c r="Q508" s="9" t="str">
        <f>IFERROR($P508,PROPER(VLOOKUP($O508,'Villes en erreur'!$A$2:$B$72,2,FALSE)))</f>
        <v>Saint-Joseph-du-Lac</v>
      </c>
      <c r="R508" s="9" t="s">
        <v>3068</v>
      </c>
      <c r="S508" s="9" t="str">
        <f>IF(ISBLANK($R508),"",VLOOKUP($R508,'Liste des Villes'!$B$2:$H$1128,4,FALSE))</f>
        <v>Laurentides</v>
      </c>
      <c r="T508" s="2" t="s">
        <v>3093</v>
      </c>
      <c r="U508" s="2" t="s">
        <v>39</v>
      </c>
      <c r="V508" s="2" t="s">
        <v>40</v>
      </c>
      <c r="W508" s="2" t="s">
        <v>3128</v>
      </c>
      <c r="X508" s="2"/>
      <c r="Y508" s="2"/>
      <c r="Z508" s="2"/>
      <c r="AA508" s="2" t="s">
        <v>213</v>
      </c>
      <c r="AB508" s="2" t="s">
        <v>53</v>
      </c>
      <c r="AC508" s="4" t="s">
        <v>44</v>
      </c>
    </row>
    <row r="509" spans="1:29" x14ac:dyDescent="0.25">
      <c r="A509" s="1">
        <v>3132</v>
      </c>
      <c r="B509" s="17" t="s">
        <v>3129</v>
      </c>
      <c r="C509" s="2" t="s">
        <v>1793</v>
      </c>
      <c r="D509" s="15" t="s">
        <v>349</v>
      </c>
      <c r="E509" s="9" t="s">
        <v>622</v>
      </c>
      <c r="F509" s="9" t="s">
        <v>1794</v>
      </c>
      <c r="G509" s="9" t="s">
        <v>3104</v>
      </c>
      <c r="H509" s="2" t="s">
        <v>60</v>
      </c>
      <c r="I509" s="3">
        <v>33717</v>
      </c>
      <c r="J509" s="9" t="str">
        <f t="shared" ca="1" si="8"/>
        <v>31 ans</v>
      </c>
      <c r="K509" s="2" t="s">
        <v>36</v>
      </c>
      <c r="L509" s="2" t="str">
        <f>"38"</f>
        <v>38</v>
      </c>
      <c r="M509" s="2"/>
      <c r="N509" s="2" t="str">
        <f>"AVENUE DE LA RENAISSANCE"</f>
        <v>AVENUE DE LA RENAISSANCE</v>
      </c>
      <c r="O509" s="2" t="s">
        <v>3067</v>
      </c>
      <c r="P509" s="9" t="str">
        <f>VLOOKUP($O509,'Liste des Villes'!$B$2:$B$1128,1,FALSE)</f>
        <v>Saint-Joseph-du-Lac</v>
      </c>
      <c r="Q509" s="9" t="str">
        <f>IFERROR($P509,PROPER(VLOOKUP($O509,'Villes en erreur'!$A$2:$B$72,2,FALSE)))</f>
        <v>Saint-Joseph-du-Lac</v>
      </c>
      <c r="R509" s="9" t="s">
        <v>3068</v>
      </c>
      <c r="S509" s="9" t="str">
        <f>IF(ISBLANK($R509),"",VLOOKUP($R509,'Liste des Villes'!$B$2:$H$1128,4,FALSE))</f>
        <v>Laurentides</v>
      </c>
      <c r="T509" s="2" t="s">
        <v>336</v>
      </c>
      <c r="U509" s="2" t="s">
        <v>39</v>
      </c>
      <c r="V509" s="2" t="s">
        <v>40</v>
      </c>
      <c r="W509" s="2" t="s">
        <v>3130</v>
      </c>
      <c r="X509" s="2"/>
      <c r="Y509" s="2"/>
      <c r="Z509" s="2"/>
      <c r="AA509" s="2" t="s">
        <v>213</v>
      </c>
      <c r="AB509" s="2" t="s">
        <v>53</v>
      </c>
      <c r="AC509" s="4" t="s">
        <v>44</v>
      </c>
    </row>
    <row r="510" spans="1:29" x14ac:dyDescent="0.25">
      <c r="A510" s="1">
        <v>2992</v>
      </c>
      <c r="B510" s="17" t="s">
        <v>3131</v>
      </c>
      <c r="C510" s="2" t="s">
        <v>3132</v>
      </c>
      <c r="D510" s="15" t="s">
        <v>355</v>
      </c>
      <c r="E510" s="9" t="s">
        <v>1582</v>
      </c>
      <c r="F510" s="9" t="s">
        <v>3133</v>
      </c>
      <c r="G510" s="9" t="s">
        <v>1582</v>
      </c>
      <c r="H510" s="2" t="s">
        <v>60</v>
      </c>
      <c r="I510" s="3">
        <v>33601</v>
      </c>
      <c r="J510" s="9" t="str">
        <f t="shared" ca="1" si="8"/>
        <v>31 ans</v>
      </c>
      <c r="K510" s="2" t="s">
        <v>36</v>
      </c>
      <c r="L510" s="2" t="str">
        <f>"36"</f>
        <v>36</v>
      </c>
      <c r="M510" s="2"/>
      <c r="N510" s="2" t="str">
        <f>"AVENUE ALARY"</f>
        <v>AVENUE ALARY</v>
      </c>
      <c r="O510" s="2" t="s">
        <v>3067</v>
      </c>
      <c r="P510" s="9" t="str">
        <f>VLOOKUP($O510,'Liste des Villes'!$B$2:$B$1128,1,FALSE)</f>
        <v>Saint-Joseph-du-Lac</v>
      </c>
      <c r="Q510" s="9" t="str">
        <f>IFERROR($P510,PROPER(VLOOKUP($O510,'Villes en erreur'!$A$2:$B$72,2,FALSE)))</f>
        <v>Saint-Joseph-du-Lac</v>
      </c>
      <c r="R510" s="9" t="s">
        <v>3068</v>
      </c>
      <c r="S510" s="9" t="str">
        <f>IF(ISBLANK($R510),"",VLOOKUP($R510,'Liste des Villes'!$B$2:$H$1128,4,FALSE))</f>
        <v>Laurentides</v>
      </c>
      <c r="T510" s="2" t="s">
        <v>336</v>
      </c>
      <c r="U510" s="2" t="s">
        <v>39</v>
      </c>
      <c r="V510" s="2" t="s">
        <v>40</v>
      </c>
      <c r="W510" s="2" t="s">
        <v>3134</v>
      </c>
      <c r="X510" s="2"/>
      <c r="Y510" s="2"/>
      <c r="Z510" s="2"/>
      <c r="AA510" s="2" t="s">
        <v>213</v>
      </c>
      <c r="AB510" s="2" t="s">
        <v>53</v>
      </c>
      <c r="AC510" s="4" t="s">
        <v>44</v>
      </c>
    </row>
    <row r="511" spans="1:29" x14ac:dyDescent="0.25">
      <c r="A511" s="1">
        <v>4262</v>
      </c>
      <c r="B511" s="17" t="s">
        <v>3135</v>
      </c>
      <c r="C511" s="2" t="s">
        <v>3136</v>
      </c>
      <c r="D511" s="15" t="s">
        <v>944</v>
      </c>
      <c r="E511" s="9" t="s">
        <v>233</v>
      </c>
      <c r="F511" s="9" t="s">
        <v>3137</v>
      </c>
      <c r="G511" s="9" t="s">
        <v>1582</v>
      </c>
      <c r="H511" s="2" t="s">
        <v>60</v>
      </c>
      <c r="I511" s="3">
        <v>33671</v>
      </c>
      <c r="J511" s="9" t="str">
        <f t="shared" ca="1" si="8"/>
        <v>31 ans</v>
      </c>
      <c r="K511" s="2" t="s">
        <v>36</v>
      </c>
      <c r="L511" s="2" t="str">
        <f>"36"</f>
        <v>36</v>
      </c>
      <c r="M511" s="2"/>
      <c r="N511" s="2" t="str">
        <f>"AVENUE D'ARGENTEUIL"</f>
        <v>AVENUE D'ARGENTEUIL</v>
      </c>
      <c r="O511" s="2" t="s">
        <v>3067</v>
      </c>
      <c r="P511" s="9" t="str">
        <f>VLOOKUP($O511,'Liste des Villes'!$B$2:$B$1128,1,FALSE)</f>
        <v>Saint-Joseph-du-Lac</v>
      </c>
      <c r="Q511" s="9" t="str">
        <f>IFERROR($P511,PROPER(VLOOKUP($O511,'Villes en erreur'!$A$2:$B$72,2,FALSE)))</f>
        <v>Saint-Joseph-du-Lac</v>
      </c>
      <c r="R511" s="9" t="s">
        <v>3068</v>
      </c>
      <c r="S511" s="9" t="str">
        <f>IF(ISBLANK($R511),"",VLOOKUP($R511,'Liste des Villes'!$B$2:$H$1128,4,FALSE))</f>
        <v>Laurentides</v>
      </c>
      <c r="T511" s="2" t="s">
        <v>336</v>
      </c>
      <c r="U511" s="2" t="s">
        <v>39</v>
      </c>
      <c r="V511" s="2" t="s">
        <v>40</v>
      </c>
      <c r="W511" s="2" t="s">
        <v>3138</v>
      </c>
      <c r="X511" s="2"/>
      <c r="Y511" s="2"/>
      <c r="Z511" s="2"/>
      <c r="AA511" s="2" t="s">
        <v>213</v>
      </c>
      <c r="AB511" s="2" t="s">
        <v>53</v>
      </c>
      <c r="AC511" s="4" t="s">
        <v>44</v>
      </c>
    </row>
    <row r="512" spans="1:29" x14ac:dyDescent="0.25">
      <c r="A512" s="1">
        <v>199</v>
      </c>
      <c r="B512" s="17" t="s">
        <v>3139</v>
      </c>
      <c r="C512" s="2" t="s">
        <v>3140</v>
      </c>
      <c r="D512" s="15" t="s">
        <v>3141</v>
      </c>
      <c r="E512" s="9" t="s">
        <v>101</v>
      </c>
      <c r="F512" s="9" t="s">
        <v>3142</v>
      </c>
      <c r="G512" s="9" t="s">
        <v>3143</v>
      </c>
      <c r="H512" s="2" t="s">
        <v>35</v>
      </c>
      <c r="I512" s="3">
        <v>33756</v>
      </c>
      <c r="J512" s="9" t="str">
        <f t="shared" ca="1" si="8"/>
        <v>31 ans</v>
      </c>
      <c r="K512" s="2" t="s">
        <v>36</v>
      </c>
      <c r="L512" s="2" t="str">
        <f>"38"</f>
        <v>38</v>
      </c>
      <c r="M512" s="2"/>
      <c r="N512" s="2" t="str">
        <f>"AVENUE DES CÈDRES"</f>
        <v>AVENUE DES CÈDRES</v>
      </c>
      <c r="O512" s="2" t="s">
        <v>3067</v>
      </c>
      <c r="P512" s="9" t="str">
        <f>VLOOKUP($O512,'Liste des Villes'!$B$2:$B$1128,1,FALSE)</f>
        <v>Saint-Joseph-du-Lac</v>
      </c>
      <c r="Q512" s="9" t="str">
        <f>IFERROR($P512,PROPER(VLOOKUP($O512,'Villes en erreur'!$A$2:$B$72,2,FALSE)))</f>
        <v>Saint-Joseph-du-Lac</v>
      </c>
      <c r="R512" s="9" t="s">
        <v>3068</v>
      </c>
      <c r="S512" s="9" t="str">
        <f>IF(ISBLANK($R512),"",VLOOKUP($R512,'Liste des Villes'!$B$2:$H$1128,4,FALSE))</f>
        <v>Laurentides</v>
      </c>
      <c r="T512" s="2" t="s">
        <v>3093</v>
      </c>
      <c r="U512" s="2" t="s">
        <v>39</v>
      </c>
      <c r="V512" s="2" t="s">
        <v>40</v>
      </c>
      <c r="W512" s="2" t="s">
        <v>3144</v>
      </c>
      <c r="X512" s="2"/>
      <c r="Y512" s="2"/>
      <c r="Z512" s="2"/>
      <c r="AA512" s="2" t="s">
        <v>213</v>
      </c>
      <c r="AB512" s="2" t="s">
        <v>53</v>
      </c>
      <c r="AC512" s="4" t="s">
        <v>44</v>
      </c>
    </row>
    <row r="513" spans="1:29" x14ac:dyDescent="0.25">
      <c r="A513" s="1">
        <v>2252</v>
      </c>
      <c r="B513" s="17" t="s">
        <v>3145</v>
      </c>
      <c r="C513" s="2" t="s">
        <v>3146</v>
      </c>
      <c r="D513" s="15" t="s">
        <v>3147</v>
      </c>
      <c r="E513" s="9" t="s">
        <v>3148</v>
      </c>
      <c r="F513" s="9" t="s">
        <v>3149</v>
      </c>
      <c r="G513" s="9" t="s">
        <v>3074</v>
      </c>
      <c r="H513" s="2" t="s">
        <v>60</v>
      </c>
      <c r="I513" s="3">
        <v>33703</v>
      </c>
      <c r="J513" s="9" t="str">
        <f t="shared" ca="1" si="8"/>
        <v>31 ans</v>
      </c>
      <c r="K513" s="2" t="s">
        <v>36</v>
      </c>
      <c r="L513" s="2" t="str">
        <f>"37"</f>
        <v>37</v>
      </c>
      <c r="M513" s="2"/>
      <c r="N513" s="2" t="str">
        <f>"AVENUE DE LA PROVIDENCE"</f>
        <v>AVENUE DE LA PROVIDENCE</v>
      </c>
      <c r="O513" s="2" t="s">
        <v>3067</v>
      </c>
      <c r="P513" s="9" t="str">
        <f>VLOOKUP($O513,'Liste des Villes'!$B$2:$B$1128,1,FALSE)</f>
        <v>Saint-Joseph-du-Lac</v>
      </c>
      <c r="Q513" s="9" t="str">
        <f>IFERROR($P513,PROPER(VLOOKUP($O513,'Villes en erreur'!$A$2:$B$72,2,FALSE)))</f>
        <v>Saint-Joseph-du-Lac</v>
      </c>
      <c r="R513" s="9" t="s">
        <v>3068</v>
      </c>
      <c r="S513" s="9" t="str">
        <f>IF(ISBLANK($R513),"",VLOOKUP($R513,'Liste des Villes'!$B$2:$H$1128,4,FALSE))</f>
        <v>Laurentides</v>
      </c>
      <c r="T513" s="2" t="s">
        <v>336</v>
      </c>
      <c r="U513" s="2" t="s">
        <v>39</v>
      </c>
      <c r="V513" s="2" t="s">
        <v>40</v>
      </c>
      <c r="W513" s="2" t="s">
        <v>3150</v>
      </c>
      <c r="X513" s="2"/>
      <c r="Y513" s="2"/>
      <c r="Z513" s="2"/>
      <c r="AA513" s="2" t="s">
        <v>213</v>
      </c>
      <c r="AB513" s="2" t="s">
        <v>53</v>
      </c>
      <c r="AC513" s="4" t="s">
        <v>44</v>
      </c>
    </row>
    <row r="514" spans="1:29" x14ac:dyDescent="0.25">
      <c r="A514" s="1">
        <v>813</v>
      </c>
      <c r="B514" s="17" t="s">
        <v>3151</v>
      </c>
      <c r="C514" s="2" t="s">
        <v>3152</v>
      </c>
      <c r="D514" s="15" t="s">
        <v>1720</v>
      </c>
      <c r="E514" s="9" t="s">
        <v>622</v>
      </c>
      <c r="F514" s="9" t="s">
        <v>347</v>
      </c>
      <c r="G514" s="9" t="s">
        <v>3143</v>
      </c>
      <c r="H514" s="2" t="s">
        <v>35</v>
      </c>
      <c r="I514" s="3">
        <v>33756</v>
      </c>
      <c r="J514" s="9" t="str">
        <f t="shared" ref="J514:J577" ca="1" si="10">_xlfn.CONCAT(INT((TODAY()-$I514)/365.25)," ans")</f>
        <v>31 ans</v>
      </c>
      <c r="K514" s="2" t="s">
        <v>36</v>
      </c>
      <c r="L514" s="2" t="str">
        <f>"38"</f>
        <v>38</v>
      </c>
      <c r="M514" s="2"/>
      <c r="N514" s="2" t="str">
        <f>"Avenue Des Capucines"</f>
        <v>Avenue Des Capucines</v>
      </c>
      <c r="O514" s="2" t="s">
        <v>3067</v>
      </c>
      <c r="P514" s="9" t="str">
        <f>VLOOKUP($O514,'Liste des Villes'!$B$2:$B$1128,1,FALSE)</f>
        <v>Saint-Joseph-du-Lac</v>
      </c>
      <c r="Q514" s="9" t="str">
        <f>IFERROR($P514,PROPER(VLOOKUP($O514,'Villes en erreur'!$A$2:$B$72,2,FALSE)))</f>
        <v>Saint-Joseph-du-Lac</v>
      </c>
      <c r="R514" s="9" t="s">
        <v>3068</v>
      </c>
      <c r="S514" s="9" t="str">
        <f>IF(ISBLANK($R514),"",VLOOKUP($R514,'Liste des Villes'!$B$2:$H$1128,4,FALSE))</f>
        <v>Laurentides</v>
      </c>
      <c r="T514" s="2" t="s">
        <v>3093</v>
      </c>
      <c r="U514" s="2" t="s">
        <v>39</v>
      </c>
      <c r="V514" s="2" t="s">
        <v>40</v>
      </c>
      <c r="W514" s="2" t="s">
        <v>3153</v>
      </c>
      <c r="X514" s="2"/>
      <c r="Y514" s="2"/>
      <c r="Z514" s="2"/>
      <c r="AA514" s="2" t="s">
        <v>213</v>
      </c>
      <c r="AB514" s="2" t="s">
        <v>53</v>
      </c>
      <c r="AC514" s="4" t="s">
        <v>44</v>
      </c>
    </row>
    <row r="515" spans="1:29" x14ac:dyDescent="0.25">
      <c r="A515" s="1">
        <v>3113</v>
      </c>
      <c r="B515" s="17" t="s">
        <v>3154</v>
      </c>
      <c r="C515" s="2" t="s">
        <v>3155</v>
      </c>
      <c r="D515" s="15" t="s">
        <v>2233</v>
      </c>
      <c r="E515" s="9" t="s">
        <v>3156</v>
      </c>
      <c r="F515" s="9" t="s">
        <v>2232</v>
      </c>
      <c r="G515" s="9" t="s">
        <v>3157</v>
      </c>
      <c r="H515" s="2" t="s">
        <v>60</v>
      </c>
      <c r="I515" s="3">
        <v>33701</v>
      </c>
      <c r="J515" s="9" t="str">
        <f t="shared" ca="1" si="10"/>
        <v>31 ans</v>
      </c>
      <c r="K515" s="2" t="s">
        <v>36</v>
      </c>
      <c r="L515" s="2" t="str">
        <f>"36"</f>
        <v>36</v>
      </c>
      <c r="M515" s="2"/>
      <c r="N515" s="2" t="str">
        <f>"AVENUE DE FONTENAY"</f>
        <v>AVENUE DE FONTENAY</v>
      </c>
      <c r="O515" s="2" t="s">
        <v>3067</v>
      </c>
      <c r="P515" s="9" t="str">
        <f>VLOOKUP($O515,'Liste des Villes'!$B$2:$B$1128,1,FALSE)</f>
        <v>Saint-Joseph-du-Lac</v>
      </c>
      <c r="Q515" s="9" t="str">
        <f>IFERROR($P515,PROPER(VLOOKUP($O515,'Villes en erreur'!$A$2:$B$72,2,FALSE)))</f>
        <v>Saint-Joseph-du-Lac</v>
      </c>
      <c r="R515" s="9" t="s">
        <v>3068</v>
      </c>
      <c r="S515" s="9" t="str">
        <f>IF(ISBLANK($R515),"",VLOOKUP($R515,'Liste des Villes'!$B$2:$H$1128,4,FALSE))</f>
        <v>Laurentides</v>
      </c>
      <c r="T515" s="2" t="s">
        <v>336</v>
      </c>
      <c r="U515" s="2" t="s">
        <v>39</v>
      </c>
      <c r="V515" s="2" t="s">
        <v>40</v>
      </c>
      <c r="W515" s="2" t="s">
        <v>3158</v>
      </c>
      <c r="X515" s="2"/>
      <c r="Y515" s="2"/>
      <c r="Z515" s="2"/>
      <c r="AA515" s="2" t="s">
        <v>213</v>
      </c>
      <c r="AB515" s="2" t="s">
        <v>53</v>
      </c>
      <c r="AC515" s="4" t="s">
        <v>44</v>
      </c>
    </row>
    <row r="516" spans="1:29" x14ac:dyDescent="0.25">
      <c r="A516" s="1">
        <v>3836</v>
      </c>
      <c r="B516" s="17" t="s">
        <v>3159</v>
      </c>
      <c r="C516" s="2" t="s">
        <v>3160</v>
      </c>
      <c r="D516" s="15" t="s">
        <v>3161</v>
      </c>
      <c r="E516" s="9" t="s">
        <v>3162</v>
      </c>
      <c r="F516" s="9" t="s">
        <v>2474</v>
      </c>
      <c r="G516" s="9" t="s">
        <v>3163</v>
      </c>
      <c r="H516" s="2" t="s">
        <v>60</v>
      </c>
      <c r="I516" s="3">
        <v>33744</v>
      </c>
      <c r="J516" s="9" t="str">
        <f t="shared" ca="1" si="10"/>
        <v>31 ans</v>
      </c>
      <c r="K516" s="2" t="s">
        <v>36</v>
      </c>
      <c r="L516" s="2" t="str">
        <f>"38"</f>
        <v>38</v>
      </c>
      <c r="M516" s="2"/>
      <c r="N516" s="2" t="str">
        <f>"AVENUE DES CAPUCINES"</f>
        <v>AVENUE DES CAPUCINES</v>
      </c>
      <c r="O516" s="2" t="s">
        <v>3067</v>
      </c>
      <c r="P516" s="9" t="str">
        <f>VLOOKUP($O516,'Liste des Villes'!$B$2:$B$1128,1,FALSE)</f>
        <v>Saint-Joseph-du-Lac</v>
      </c>
      <c r="Q516" s="9" t="str">
        <f>IFERROR($P516,PROPER(VLOOKUP($O516,'Villes en erreur'!$A$2:$B$72,2,FALSE)))</f>
        <v>Saint-Joseph-du-Lac</v>
      </c>
      <c r="R516" s="9" t="s">
        <v>3068</v>
      </c>
      <c r="S516" s="9" t="str">
        <f>IF(ISBLANK($R516),"",VLOOKUP($R516,'Liste des Villes'!$B$2:$H$1128,4,FALSE))</f>
        <v>Laurentides</v>
      </c>
      <c r="T516" s="2" t="s">
        <v>3093</v>
      </c>
      <c r="U516" s="2" t="s">
        <v>39</v>
      </c>
      <c r="V516" s="2" t="s">
        <v>40</v>
      </c>
      <c r="W516" s="2" t="s">
        <v>3153</v>
      </c>
      <c r="X516" s="2"/>
      <c r="Y516" s="2"/>
      <c r="Z516" s="2"/>
      <c r="AA516" s="2" t="s">
        <v>213</v>
      </c>
      <c r="AB516" s="2" t="s">
        <v>53</v>
      </c>
      <c r="AC516" s="4" t="s">
        <v>44</v>
      </c>
    </row>
    <row r="517" spans="1:29" x14ac:dyDescent="0.25">
      <c r="A517" s="1">
        <v>335</v>
      </c>
      <c r="B517" s="17" t="s">
        <v>3164</v>
      </c>
      <c r="C517" s="2" t="s">
        <v>3165</v>
      </c>
      <c r="D517" s="15" t="s">
        <v>977</v>
      </c>
      <c r="E517" s="9" t="s">
        <v>3166</v>
      </c>
      <c r="F517" s="9" t="s">
        <v>975</v>
      </c>
      <c r="G517" s="9" t="s">
        <v>1582</v>
      </c>
      <c r="H517" s="2" t="s">
        <v>60</v>
      </c>
      <c r="I517" s="3">
        <v>33610</v>
      </c>
      <c r="J517" s="9" t="str">
        <f t="shared" ca="1" si="10"/>
        <v>31 ans</v>
      </c>
      <c r="K517" s="2" t="s">
        <v>36</v>
      </c>
      <c r="L517" s="2" t="str">
        <f>"36"</f>
        <v>36</v>
      </c>
      <c r="M517" s="2"/>
      <c r="N517" s="2" t="str">
        <f>"AVENUE AMPÈRE"</f>
        <v>AVENUE AMPÈRE</v>
      </c>
      <c r="O517" s="2" t="s">
        <v>3067</v>
      </c>
      <c r="P517" s="9" t="str">
        <f>VLOOKUP($O517,'Liste des Villes'!$B$2:$B$1128,1,FALSE)</f>
        <v>Saint-Joseph-du-Lac</v>
      </c>
      <c r="Q517" s="9" t="str">
        <f>IFERROR($P517,PROPER(VLOOKUP($O517,'Villes en erreur'!$A$2:$B$72,2,FALSE)))</f>
        <v>Saint-Joseph-du-Lac</v>
      </c>
      <c r="R517" s="9" t="s">
        <v>3068</v>
      </c>
      <c r="S517" s="9" t="str">
        <f>IF(ISBLANK($R517),"",VLOOKUP($R517,'Liste des Villes'!$B$2:$H$1128,4,FALSE))</f>
        <v>Laurentides</v>
      </c>
      <c r="T517" s="2" t="s">
        <v>336</v>
      </c>
      <c r="U517" s="2" t="s">
        <v>39</v>
      </c>
      <c r="V517" s="2" t="s">
        <v>40</v>
      </c>
      <c r="W517" s="2" t="s">
        <v>3167</v>
      </c>
      <c r="X517" s="2"/>
      <c r="Y517" s="2"/>
      <c r="Z517" s="2"/>
      <c r="AA517" s="2" t="s">
        <v>213</v>
      </c>
      <c r="AB517" s="2" t="s">
        <v>53</v>
      </c>
      <c r="AC517" s="4" t="s">
        <v>44</v>
      </c>
    </row>
    <row r="518" spans="1:29" x14ac:dyDescent="0.25">
      <c r="A518" s="1">
        <v>2620</v>
      </c>
      <c r="B518" s="17" t="s">
        <v>3168</v>
      </c>
      <c r="C518" s="2" t="s">
        <v>3169</v>
      </c>
      <c r="D518" s="15" t="s">
        <v>3170</v>
      </c>
      <c r="E518" s="9" t="s">
        <v>3171</v>
      </c>
      <c r="F518" s="9" t="s">
        <v>3172</v>
      </c>
      <c r="G518" s="9" t="s">
        <v>1582</v>
      </c>
      <c r="H518" s="2" t="s">
        <v>60</v>
      </c>
      <c r="I518" s="3">
        <v>33629</v>
      </c>
      <c r="J518" s="9" t="str">
        <f t="shared" ca="1" si="10"/>
        <v>31 ans</v>
      </c>
      <c r="K518" s="2" t="s">
        <v>36</v>
      </c>
      <c r="L518" s="2" t="str">
        <f>"36"</f>
        <v>36</v>
      </c>
      <c r="M518" s="2"/>
      <c r="N518" s="2" t="str">
        <f>"AVENUE CARPENTIER"</f>
        <v>AVENUE CARPENTIER</v>
      </c>
      <c r="O518" s="2" t="s">
        <v>3067</v>
      </c>
      <c r="P518" s="9" t="str">
        <f>VLOOKUP($O518,'Liste des Villes'!$B$2:$B$1128,1,FALSE)</f>
        <v>Saint-Joseph-du-Lac</v>
      </c>
      <c r="Q518" s="9" t="str">
        <f>IFERROR($P518,PROPER(VLOOKUP($O518,'Villes en erreur'!$A$2:$B$72,2,FALSE)))</f>
        <v>Saint-Joseph-du-Lac</v>
      </c>
      <c r="R518" s="9" t="s">
        <v>3068</v>
      </c>
      <c r="S518" s="9" t="str">
        <f>IF(ISBLANK($R518),"",VLOOKUP($R518,'Liste des Villes'!$B$2:$H$1128,4,FALSE))</f>
        <v>Laurentides</v>
      </c>
      <c r="T518" s="2" t="s">
        <v>336</v>
      </c>
      <c r="U518" s="2" t="s">
        <v>39</v>
      </c>
      <c r="V518" s="2" t="s">
        <v>40</v>
      </c>
      <c r="W518" s="2" t="s">
        <v>3173</v>
      </c>
      <c r="X518" s="2"/>
      <c r="Y518" s="2"/>
      <c r="Z518" s="2"/>
      <c r="AA518" s="2" t="s">
        <v>213</v>
      </c>
      <c r="AB518" s="2" t="s">
        <v>53</v>
      </c>
      <c r="AC518" s="4" t="s">
        <v>44</v>
      </c>
    </row>
    <row r="519" spans="1:29" x14ac:dyDescent="0.25">
      <c r="A519" s="1">
        <v>1686</v>
      </c>
      <c r="B519" s="17" t="s">
        <v>3174</v>
      </c>
      <c r="C519" s="2" t="s">
        <v>3175</v>
      </c>
      <c r="D519" s="15" t="s">
        <v>3176</v>
      </c>
      <c r="E519" s="9" t="s">
        <v>137</v>
      </c>
      <c r="F519" s="9" t="s">
        <v>3177</v>
      </c>
      <c r="G519" s="9" t="s">
        <v>3143</v>
      </c>
      <c r="H519" s="2" t="s">
        <v>35</v>
      </c>
      <c r="I519" s="3">
        <v>33774</v>
      </c>
      <c r="J519" s="9" t="str">
        <f t="shared" ca="1" si="10"/>
        <v>31 ans</v>
      </c>
      <c r="K519" s="2" t="s">
        <v>36</v>
      </c>
      <c r="L519" s="2" t="str">
        <f>"38"</f>
        <v>38</v>
      </c>
      <c r="M519" s="2"/>
      <c r="N519" s="2" t="str">
        <f>"AVENUE DES CHAMPS ÉLYSÉES"</f>
        <v>AVENUE DES CHAMPS ÉLYSÉES</v>
      </c>
      <c r="O519" s="2" t="s">
        <v>3178</v>
      </c>
      <c r="P519" s="9" t="str">
        <f>VLOOKUP($O519,'Liste des Villes'!$B$2:$B$1128,1,FALSE)</f>
        <v>Saint-Joseph-de-Beauce</v>
      </c>
      <c r="Q519" s="9" t="str">
        <f>IFERROR($P519,PROPER(VLOOKUP($O519,'Villes en erreur'!$A$2:$B$72,2,FALSE)))</f>
        <v>Saint-Joseph-de-Beauce</v>
      </c>
      <c r="R519" s="9" t="s">
        <v>3179</v>
      </c>
      <c r="S519" s="9" t="str">
        <f>IF(ISBLANK($R519),"",VLOOKUP($R519,'Liste des Villes'!$B$2:$H$1128,4,FALSE))</f>
        <v>Chaudière-Appalaches</v>
      </c>
      <c r="T519" s="2" t="s">
        <v>3093</v>
      </c>
      <c r="U519" s="2" t="s">
        <v>39</v>
      </c>
      <c r="V519" s="2" t="s">
        <v>40</v>
      </c>
      <c r="W519" s="2" t="s">
        <v>3180</v>
      </c>
      <c r="X519" s="2"/>
      <c r="Y519" s="2"/>
      <c r="Z519" s="2"/>
      <c r="AA519" s="2" t="s">
        <v>213</v>
      </c>
      <c r="AB519" s="2" t="s">
        <v>53</v>
      </c>
      <c r="AC519" s="4" t="s">
        <v>44</v>
      </c>
    </row>
    <row r="520" spans="1:29" x14ac:dyDescent="0.25">
      <c r="A520" s="1">
        <v>172</v>
      </c>
      <c r="B520" s="17" t="s">
        <v>3181</v>
      </c>
      <c r="C520" s="2" t="s">
        <v>3182</v>
      </c>
      <c r="D520" s="15" t="s">
        <v>3183</v>
      </c>
      <c r="E520" s="9" t="s">
        <v>956</v>
      </c>
      <c r="F520" s="9" t="s">
        <v>1959</v>
      </c>
      <c r="G520" s="9" t="s">
        <v>3184</v>
      </c>
      <c r="H520" s="2" t="s">
        <v>35</v>
      </c>
      <c r="I520" s="3">
        <v>35226</v>
      </c>
      <c r="J520" s="9" t="str">
        <f t="shared" ca="1" si="10"/>
        <v>27 ans</v>
      </c>
      <c r="K520" s="2" t="s">
        <v>36</v>
      </c>
      <c r="L520" s="2" t="str">
        <f>"105"</f>
        <v>105</v>
      </c>
      <c r="M520" s="2"/>
      <c r="N520" s="2" t="str">
        <f>"CHEMIN ABERCROMBIE"</f>
        <v>CHEMIN ABERCROMBIE</v>
      </c>
      <c r="O520" s="2" t="s">
        <v>3185</v>
      </c>
      <c r="P520" s="9" t="str">
        <f>VLOOKUP($O520,'Liste des Villes'!$B$2:$B$1128,1,FALSE)</f>
        <v>Saint-Jérôme</v>
      </c>
      <c r="Q520" s="9" t="str">
        <f>IFERROR($P520,PROPER(VLOOKUP($O520,'Villes en erreur'!$A$2:$B$72,2,FALSE)))</f>
        <v>Saint-Jérôme</v>
      </c>
      <c r="R520" s="9" t="s">
        <v>3186</v>
      </c>
      <c r="S520" s="9" t="str">
        <f>IF(ISBLANK($R520),"",VLOOKUP($R520,'Liste des Villes'!$B$2:$H$1128,4,FALSE))</f>
        <v>Laurentides</v>
      </c>
      <c r="T520" s="2" t="s">
        <v>3187</v>
      </c>
      <c r="U520" s="2" t="s">
        <v>39</v>
      </c>
      <c r="V520" s="2" t="s">
        <v>40</v>
      </c>
      <c r="W520" s="2" t="s">
        <v>3188</v>
      </c>
      <c r="X520" s="2"/>
      <c r="Y520" s="2"/>
      <c r="Z520" s="2"/>
      <c r="AA520" s="2" t="s">
        <v>3189</v>
      </c>
      <c r="AB520" s="2" t="s">
        <v>3190</v>
      </c>
      <c r="AC520" s="4" t="s">
        <v>44</v>
      </c>
    </row>
    <row r="521" spans="1:29" x14ac:dyDescent="0.25">
      <c r="A521" s="1">
        <v>3611</v>
      </c>
      <c r="B521" s="17" t="s">
        <v>3191</v>
      </c>
      <c r="C521" s="2" t="s">
        <v>3192</v>
      </c>
      <c r="D521" s="15" t="s">
        <v>3193</v>
      </c>
      <c r="E521" s="9" t="s">
        <v>3194</v>
      </c>
      <c r="F521" s="9" t="s">
        <v>3195</v>
      </c>
      <c r="G521" s="9" t="s">
        <v>3196</v>
      </c>
      <c r="H521" s="2" t="s">
        <v>60</v>
      </c>
      <c r="I521" s="3">
        <v>35472</v>
      </c>
      <c r="J521" s="9" t="str">
        <f t="shared" ca="1" si="10"/>
        <v>26 ans</v>
      </c>
      <c r="K521" s="2" t="s">
        <v>36</v>
      </c>
      <c r="L521" s="2" t="str">
        <f>"117"</f>
        <v>117</v>
      </c>
      <c r="M521" s="2"/>
      <c r="N521" s="2" t="str">
        <f>"CHEMIN INDIAN"</f>
        <v>CHEMIN INDIAN</v>
      </c>
      <c r="O521" s="2" t="s">
        <v>3185</v>
      </c>
      <c r="P521" s="9" t="str">
        <f>VLOOKUP($O521,'Liste des Villes'!$B$2:$B$1128,1,FALSE)</f>
        <v>Saint-Jérôme</v>
      </c>
      <c r="Q521" s="9" t="str">
        <f>IFERROR($P521,PROPER(VLOOKUP($O521,'Villes en erreur'!$A$2:$B$72,2,FALSE)))</f>
        <v>Saint-Jérôme</v>
      </c>
      <c r="R521" s="9" t="s">
        <v>3186</v>
      </c>
      <c r="S521" s="9" t="str">
        <f>IF(ISBLANK($R521),"",VLOOKUP($R521,'Liste des Villes'!$B$2:$H$1128,4,FALSE))</f>
        <v>Laurentides</v>
      </c>
      <c r="T521" s="2" t="s">
        <v>3197</v>
      </c>
      <c r="U521" s="2" t="s">
        <v>39</v>
      </c>
      <c r="V521" s="2" t="s">
        <v>40</v>
      </c>
      <c r="W521" s="2" t="s">
        <v>3198</v>
      </c>
      <c r="X521" s="2"/>
      <c r="Y521" s="2"/>
      <c r="Z521" s="2"/>
      <c r="AA521" s="2" t="s">
        <v>3199</v>
      </c>
      <c r="AB521" s="2" t="s">
        <v>3200</v>
      </c>
      <c r="AC521" s="4" t="s">
        <v>44</v>
      </c>
    </row>
    <row r="522" spans="1:29" x14ac:dyDescent="0.25">
      <c r="A522" s="1">
        <v>853</v>
      </c>
      <c r="B522" s="17" t="s">
        <v>3201</v>
      </c>
      <c r="C522" s="2" t="s">
        <v>3202</v>
      </c>
      <c r="D522" s="15" t="s">
        <v>3203</v>
      </c>
      <c r="E522" s="9" t="s">
        <v>2217</v>
      </c>
      <c r="F522" s="9" t="s">
        <v>3204</v>
      </c>
      <c r="G522" s="9" t="s">
        <v>3049</v>
      </c>
      <c r="H522" s="2" t="s">
        <v>60</v>
      </c>
      <c r="I522" s="3">
        <v>34018</v>
      </c>
      <c r="J522" s="9" t="str">
        <f t="shared" ca="1" si="10"/>
        <v>30 ans</v>
      </c>
      <c r="K522" s="2" t="s">
        <v>36</v>
      </c>
      <c r="L522" s="2" t="str">
        <f>"44"</f>
        <v>44</v>
      </c>
      <c r="M522" s="2"/>
      <c r="N522" s="2" t="str">
        <f>"BOUL LAFONTAINE"</f>
        <v>BOUL LAFONTAINE</v>
      </c>
      <c r="O522" s="2" t="s">
        <v>3185</v>
      </c>
      <c r="P522" s="9" t="str">
        <f>VLOOKUP($O522,'Liste des Villes'!$B$2:$B$1128,1,FALSE)</f>
        <v>Saint-Jérôme</v>
      </c>
      <c r="Q522" s="9" t="str">
        <f>IFERROR($P522,PROPER(VLOOKUP($O522,'Villes en erreur'!$A$2:$B$72,2,FALSE)))</f>
        <v>Saint-Jérôme</v>
      </c>
      <c r="R522" s="9" t="s">
        <v>3186</v>
      </c>
      <c r="S522" s="9" t="str">
        <f>IF(ISBLANK($R522),"",VLOOKUP($R522,'Liste des Villes'!$B$2:$H$1128,4,FALSE))</f>
        <v>Laurentides</v>
      </c>
      <c r="T522" s="2" t="s">
        <v>3205</v>
      </c>
      <c r="U522" s="2" t="s">
        <v>39</v>
      </c>
      <c r="V522" s="2" t="s">
        <v>40</v>
      </c>
      <c r="W522" s="2" t="s">
        <v>3206</v>
      </c>
      <c r="X522" s="2"/>
      <c r="Y522" s="2"/>
      <c r="Z522" s="2"/>
      <c r="AA522" s="2" t="s">
        <v>3207</v>
      </c>
      <c r="AB522" s="2" t="s">
        <v>53</v>
      </c>
      <c r="AC522" s="4" t="s">
        <v>44</v>
      </c>
    </row>
    <row r="523" spans="1:29" x14ac:dyDescent="0.25">
      <c r="A523" s="1">
        <v>241</v>
      </c>
      <c r="B523" s="17" t="s">
        <v>3208</v>
      </c>
      <c r="C523" s="2" t="s">
        <v>3209</v>
      </c>
      <c r="D523" s="15" t="s">
        <v>3210</v>
      </c>
      <c r="E523" s="9" t="s">
        <v>3211</v>
      </c>
      <c r="F523" s="9" t="s">
        <v>3212</v>
      </c>
      <c r="G523" s="9" t="s">
        <v>2796</v>
      </c>
      <c r="H523" s="2" t="s">
        <v>35</v>
      </c>
      <c r="I523" s="3">
        <v>35278</v>
      </c>
      <c r="J523" s="9" t="str">
        <f t="shared" ca="1" si="10"/>
        <v>27 ans</v>
      </c>
      <c r="K523" s="2" t="s">
        <v>36</v>
      </c>
      <c r="L523" s="2" t="str">
        <f>"108"</f>
        <v>108</v>
      </c>
      <c r="M523" s="2"/>
      <c r="N523" s="2" t="str">
        <f>"CHEMIN DE LA RIVIÈRE SUD"</f>
        <v>CHEMIN DE LA RIVIÈRE SUD</v>
      </c>
      <c r="O523" s="2" t="s">
        <v>3185</v>
      </c>
      <c r="P523" s="9" t="str">
        <f>VLOOKUP($O523,'Liste des Villes'!$B$2:$B$1128,1,FALSE)</f>
        <v>Saint-Jérôme</v>
      </c>
      <c r="Q523" s="9" t="str">
        <f>IFERROR($P523,PROPER(VLOOKUP($O523,'Villes en erreur'!$A$2:$B$72,2,FALSE)))</f>
        <v>Saint-Jérôme</v>
      </c>
      <c r="R523" s="9" t="s">
        <v>3186</v>
      </c>
      <c r="S523" s="9" t="str">
        <f>IF(ISBLANK($R523),"",VLOOKUP($R523,'Liste des Villes'!$B$2:$H$1128,4,FALSE))</f>
        <v>Laurentides</v>
      </c>
      <c r="T523" s="2" t="s">
        <v>3213</v>
      </c>
      <c r="U523" s="2" t="s">
        <v>39</v>
      </c>
      <c r="V523" s="2" t="s">
        <v>40</v>
      </c>
      <c r="W523" s="2" t="s">
        <v>3214</v>
      </c>
      <c r="X523" s="2"/>
      <c r="Y523" s="2"/>
      <c r="Z523" s="2"/>
      <c r="AA523" s="2" t="s">
        <v>3189</v>
      </c>
      <c r="AB523" s="2" t="s">
        <v>3190</v>
      </c>
      <c r="AC523" s="4" t="s">
        <v>44</v>
      </c>
    </row>
    <row r="524" spans="1:29" x14ac:dyDescent="0.25">
      <c r="A524" s="1">
        <v>4098</v>
      </c>
      <c r="B524" s="17" t="s">
        <v>3215</v>
      </c>
      <c r="C524" s="2" t="s">
        <v>3216</v>
      </c>
      <c r="D524" s="15" t="s">
        <v>3217</v>
      </c>
      <c r="E524" s="9" t="s">
        <v>3218</v>
      </c>
      <c r="F524" s="9" t="s">
        <v>3072</v>
      </c>
      <c r="G524" s="9" t="s">
        <v>1037</v>
      </c>
      <c r="H524" s="2" t="s">
        <v>35</v>
      </c>
      <c r="I524" s="3">
        <v>36074</v>
      </c>
      <c r="J524" s="9" t="str">
        <f t="shared" ca="1" si="10"/>
        <v>24 ans</v>
      </c>
      <c r="K524" s="2" t="s">
        <v>123</v>
      </c>
      <c r="L524" s="2" t="str">
        <f>"199"</f>
        <v>199</v>
      </c>
      <c r="M524" s="2"/>
      <c r="N524" s="2" t="str">
        <f>"RANG SAINTE MARIE"</f>
        <v>RANG SAINTE MARIE</v>
      </c>
      <c r="O524" s="2" t="s">
        <v>3185</v>
      </c>
      <c r="P524" s="9" t="str">
        <f>VLOOKUP($O524,'Liste des Villes'!$B$2:$B$1128,1,FALSE)</f>
        <v>Saint-Jérôme</v>
      </c>
      <c r="Q524" s="9" t="str">
        <f>IFERROR($P524,PROPER(VLOOKUP($O524,'Villes en erreur'!$A$2:$B$72,2,FALSE)))</f>
        <v>Saint-Jérôme</v>
      </c>
      <c r="R524" s="9" t="s">
        <v>3186</v>
      </c>
      <c r="S524" s="9" t="str">
        <f>IF(ISBLANK($R524),"",VLOOKUP($R524,'Liste des Villes'!$B$2:$H$1128,4,FALSE))</f>
        <v>Laurentides</v>
      </c>
      <c r="T524" s="2" t="s">
        <v>3219</v>
      </c>
      <c r="U524" s="2" t="s">
        <v>39</v>
      </c>
      <c r="V524" s="2" t="s">
        <v>40</v>
      </c>
      <c r="W524" s="2" t="s">
        <v>3220</v>
      </c>
      <c r="X524" s="2"/>
      <c r="Y524" s="2"/>
      <c r="Z524" s="2"/>
      <c r="AA524" s="2" t="s">
        <v>832</v>
      </c>
      <c r="AB524" s="2" t="s">
        <v>3221</v>
      </c>
      <c r="AC524" s="4" t="s">
        <v>44</v>
      </c>
    </row>
    <row r="525" spans="1:29" x14ac:dyDescent="0.25">
      <c r="A525" s="1">
        <v>3703</v>
      </c>
      <c r="B525" s="17" t="s">
        <v>3222</v>
      </c>
      <c r="C525" s="2" t="s">
        <v>1949</v>
      </c>
      <c r="D525" s="15" t="s">
        <v>1950</v>
      </c>
      <c r="E525" s="9" t="s">
        <v>277</v>
      </c>
      <c r="F525" s="9" t="s">
        <v>1951</v>
      </c>
      <c r="G525" s="9" t="s">
        <v>495</v>
      </c>
      <c r="H525" s="2" t="s">
        <v>35</v>
      </c>
      <c r="I525" s="3">
        <v>34598</v>
      </c>
      <c r="J525" s="9" t="str">
        <f t="shared" ca="1" si="10"/>
        <v>28 ans</v>
      </c>
      <c r="K525" s="2" t="s">
        <v>36</v>
      </c>
      <c r="L525" s="2" t="str">
        <f>"67"</f>
        <v>67</v>
      </c>
      <c r="M525" s="2"/>
      <c r="N525" s="2" t="str">
        <f>"CH DE LA MINERVE"</f>
        <v>CH DE LA MINERVE</v>
      </c>
      <c r="O525" s="2" t="s">
        <v>3185</v>
      </c>
      <c r="P525" s="9" t="str">
        <f>VLOOKUP($O525,'Liste des Villes'!$B$2:$B$1128,1,FALSE)</f>
        <v>Saint-Jérôme</v>
      </c>
      <c r="Q525" s="9" t="str">
        <f>IFERROR($P525,PROPER(VLOOKUP($O525,'Villes en erreur'!$A$2:$B$72,2,FALSE)))</f>
        <v>Saint-Jérôme</v>
      </c>
      <c r="R525" s="9" t="s">
        <v>3186</v>
      </c>
      <c r="S525" s="9" t="str">
        <f>IF(ISBLANK($R525),"",VLOOKUP($R525,'Liste des Villes'!$B$2:$H$1128,4,FALSE))</f>
        <v>Laurentides</v>
      </c>
      <c r="T525" s="2" t="s">
        <v>3223</v>
      </c>
      <c r="U525" s="2" t="s">
        <v>39</v>
      </c>
      <c r="V525" s="2" t="s">
        <v>40</v>
      </c>
      <c r="W525" s="2" t="s">
        <v>3224</v>
      </c>
      <c r="X525" s="2"/>
      <c r="Y525" s="2"/>
      <c r="Z525" s="2"/>
      <c r="AA525" s="2" t="s">
        <v>3225</v>
      </c>
      <c r="AB525" s="2" t="s">
        <v>53</v>
      </c>
      <c r="AC525" s="4" t="s">
        <v>44</v>
      </c>
    </row>
    <row r="526" spans="1:29" x14ac:dyDescent="0.25">
      <c r="A526" s="1">
        <v>600</v>
      </c>
      <c r="B526" s="17" t="s">
        <v>3226</v>
      </c>
      <c r="C526" s="2" t="s">
        <v>3227</v>
      </c>
      <c r="D526" s="15" t="s">
        <v>3228</v>
      </c>
      <c r="E526" s="9" t="s">
        <v>2381</v>
      </c>
      <c r="F526" s="9" t="s">
        <v>3229</v>
      </c>
      <c r="G526" s="9" t="s">
        <v>186</v>
      </c>
      <c r="H526" s="2" t="s">
        <v>60</v>
      </c>
      <c r="I526" s="3">
        <v>34884</v>
      </c>
      <c r="J526" s="9" t="str">
        <f t="shared" ca="1" si="10"/>
        <v>28 ans</v>
      </c>
      <c r="K526" s="2" t="s">
        <v>36</v>
      </c>
      <c r="L526" s="2" t="str">
        <f>"82"</f>
        <v>82</v>
      </c>
      <c r="M526" s="2"/>
      <c r="N526" s="2" t="str">
        <f>"CH DES PRÉS"</f>
        <v>CH DES PRÉS</v>
      </c>
      <c r="O526" s="2" t="s">
        <v>3185</v>
      </c>
      <c r="P526" s="9" t="str">
        <f>VLOOKUP($O526,'Liste des Villes'!$B$2:$B$1128,1,FALSE)</f>
        <v>Saint-Jérôme</v>
      </c>
      <c r="Q526" s="9" t="str">
        <f>IFERROR($P526,PROPER(VLOOKUP($O526,'Villes en erreur'!$A$2:$B$72,2,FALSE)))</f>
        <v>Saint-Jérôme</v>
      </c>
      <c r="R526" s="9" t="s">
        <v>3186</v>
      </c>
      <c r="S526" s="9" t="str">
        <f>IF(ISBLANK($R526),"",VLOOKUP($R526,'Liste des Villes'!$B$2:$H$1128,4,FALSE))</f>
        <v>Laurentides</v>
      </c>
      <c r="T526" s="2" t="s">
        <v>3187</v>
      </c>
      <c r="U526" s="2" t="s">
        <v>39</v>
      </c>
      <c r="V526" s="2" t="s">
        <v>40</v>
      </c>
      <c r="W526" s="2" t="s">
        <v>3230</v>
      </c>
      <c r="X526" s="2"/>
      <c r="Y526" s="2"/>
      <c r="Z526" s="2"/>
      <c r="AA526" s="2" t="s">
        <v>3231</v>
      </c>
      <c r="AB526" s="2" t="s">
        <v>53</v>
      </c>
      <c r="AC526" s="4" t="s">
        <v>44</v>
      </c>
    </row>
    <row r="527" spans="1:29" x14ac:dyDescent="0.25">
      <c r="A527" s="1">
        <v>2396</v>
      </c>
      <c r="B527" s="17" t="s">
        <v>3232</v>
      </c>
      <c r="C527" s="2" t="s">
        <v>3233</v>
      </c>
      <c r="D527" s="15" t="s">
        <v>3234</v>
      </c>
      <c r="E527" s="9" t="s">
        <v>3235</v>
      </c>
      <c r="F527" s="9" t="s">
        <v>363</v>
      </c>
      <c r="G527" s="9" t="s">
        <v>92</v>
      </c>
      <c r="H527" s="2" t="s">
        <v>35</v>
      </c>
      <c r="I527" s="3">
        <v>35464</v>
      </c>
      <c r="J527" s="9" t="str">
        <f t="shared" ca="1" si="10"/>
        <v>26 ans</v>
      </c>
      <c r="K527" s="2" t="s">
        <v>36</v>
      </c>
      <c r="L527" s="2" t="str">
        <f>"116"</f>
        <v>116</v>
      </c>
      <c r="M527" s="2"/>
      <c r="N527" s="2" t="str">
        <f>"CHEMIN GUÉNETTE"</f>
        <v>CHEMIN GUÉNETTE</v>
      </c>
      <c r="O527" s="2" t="s">
        <v>3185</v>
      </c>
      <c r="P527" s="9" t="str">
        <f>VLOOKUP($O527,'Liste des Villes'!$B$2:$B$1128,1,FALSE)</f>
        <v>Saint-Jérôme</v>
      </c>
      <c r="Q527" s="9" t="str">
        <f>IFERROR($P527,PROPER(VLOOKUP($O527,'Villes en erreur'!$A$2:$B$72,2,FALSE)))</f>
        <v>Saint-Jérôme</v>
      </c>
      <c r="R527" s="9" t="s">
        <v>3186</v>
      </c>
      <c r="S527" s="9" t="str">
        <f>IF(ISBLANK($R527),"",VLOOKUP($R527,'Liste des Villes'!$B$2:$H$1128,4,FALSE))</f>
        <v>Laurentides</v>
      </c>
      <c r="T527" s="2" t="s">
        <v>3236</v>
      </c>
      <c r="U527" s="2" t="s">
        <v>39</v>
      </c>
      <c r="V527" s="2" t="s">
        <v>40</v>
      </c>
      <c r="W527" s="2" t="s">
        <v>3237</v>
      </c>
      <c r="X527" s="2"/>
      <c r="Y527" s="2"/>
      <c r="Z527" s="2"/>
      <c r="AA527" s="2" t="s">
        <v>3199</v>
      </c>
      <c r="AB527" s="2" t="s">
        <v>3200</v>
      </c>
      <c r="AC527" s="4" t="s">
        <v>44</v>
      </c>
    </row>
    <row r="528" spans="1:29" x14ac:dyDescent="0.25">
      <c r="A528" s="1">
        <v>661</v>
      </c>
      <c r="B528" s="17" t="s">
        <v>3238</v>
      </c>
      <c r="C528" s="2" t="s">
        <v>3239</v>
      </c>
      <c r="D528" s="15" t="s">
        <v>1659</v>
      </c>
      <c r="E528" s="9" t="s">
        <v>3240</v>
      </c>
      <c r="F528" s="9" t="s">
        <v>1657</v>
      </c>
      <c r="G528" s="9" t="s">
        <v>241</v>
      </c>
      <c r="H528" s="2" t="s">
        <v>35</v>
      </c>
      <c r="I528" s="3">
        <v>35675</v>
      </c>
      <c r="J528" s="9" t="str">
        <f t="shared" ca="1" si="10"/>
        <v>25 ans</v>
      </c>
      <c r="K528" s="2" t="s">
        <v>123</v>
      </c>
      <c r="L528" s="2" t="str">
        <f>"134"</f>
        <v>134</v>
      </c>
      <c r="M528" s="2"/>
      <c r="N528" s="2" t="str">
        <f>"DES ÉRABLES"</f>
        <v>DES ÉRABLES</v>
      </c>
      <c r="O528" s="2" t="s">
        <v>3185</v>
      </c>
      <c r="P528" s="9" t="str">
        <f>VLOOKUP($O528,'Liste des Villes'!$B$2:$B$1128,1,FALSE)</f>
        <v>Saint-Jérôme</v>
      </c>
      <c r="Q528" s="9" t="str">
        <f>IFERROR($P528,PROPER(VLOOKUP($O528,'Villes en erreur'!$A$2:$B$72,2,FALSE)))</f>
        <v>Saint-Jérôme</v>
      </c>
      <c r="R528" s="9" t="s">
        <v>3186</v>
      </c>
      <c r="S528" s="9" t="str">
        <f>IF(ISBLANK($R528),"",VLOOKUP($R528,'Liste des Villes'!$B$2:$H$1128,4,FALSE))</f>
        <v>Laurentides</v>
      </c>
      <c r="T528" s="2" t="s">
        <v>3241</v>
      </c>
      <c r="U528" s="2" t="s">
        <v>39</v>
      </c>
      <c r="V528" s="2" t="s">
        <v>40</v>
      </c>
      <c r="W528" s="2" t="s">
        <v>3242</v>
      </c>
      <c r="X528" s="2"/>
      <c r="Y528" s="2"/>
      <c r="Z528" s="2"/>
      <c r="AA528" s="2" t="s">
        <v>3243</v>
      </c>
      <c r="AB528" s="2" t="s">
        <v>3221</v>
      </c>
      <c r="AC528" s="4" t="s">
        <v>44</v>
      </c>
    </row>
    <row r="529" spans="1:29" x14ac:dyDescent="0.25">
      <c r="A529" s="1">
        <v>2092</v>
      </c>
      <c r="B529" s="17" t="s">
        <v>3244</v>
      </c>
      <c r="C529" s="2" t="s">
        <v>3245</v>
      </c>
      <c r="D529" s="15" t="s">
        <v>218</v>
      </c>
      <c r="E529" s="9" t="s">
        <v>3246</v>
      </c>
      <c r="F529" s="9" t="s">
        <v>216</v>
      </c>
      <c r="G529" s="9" t="s">
        <v>2397</v>
      </c>
      <c r="H529" s="2" t="s">
        <v>60</v>
      </c>
      <c r="I529" s="3">
        <v>35096</v>
      </c>
      <c r="J529" s="9" t="str">
        <f t="shared" ca="1" si="10"/>
        <v>27 ans</v>
      </c>
      <c r="K529" s="2" t="s">
        <v>36</v>
      </c>
      <c r="L529" s="2" t="str">
        <f>"100"</f>
        <v>100</v>
      </c>
      <c r="M529" s="2"/>
      <c r="N529" s="2" t="str">
        <f>"CH FILTEAU"</f>
        <v>CH FILTEAU</v>
      </c>
      <c r="O529" s="2" t="s">
        <v>3185</v>
      </c>
      <c r="P529" s="9" t="str">
        <f>VLOOKUP($O529,'Liste des Villes'!$B$2:$B$1128,1,FALSE)</f>
        <v>Saint-Jérôme</v>
      </c>
      <c r="Q529" s="9" t="str">
        <f>IFERROR($P529,PROPER(VLOOKUP($O529,'Villes en erreur'!$A$2:$B$72,2,FALSE)))</f>
        <v>Saint-Jérôme</v>
      </c>
      <c r="R529" s="9" t="s">
        <v>3186</v>
      </c>
      <c r="S529" s="9" t="str">
        <f>IF(ISBLANK($R529),"",VLOOKUP($R529,'Liste des Villes'!$B$2:$H$1128,4,FALSE))</f>
        <v>Laurentides</v>
      </c>
      <c r="T529" s="2" t="s">
        <v>3187</v>
      </c>
      <c r="U529" s="2" t="s">
        <v>39</v>
      </c>
      <c r="V529" s="2" t="s">
        <v>40</v>
      </c>
      <c r="W529" s="2" t="s">
        <v>3247</v>
      </c>
      <c r="X529" s="2"/>
      <c r="Y529" s="2"/>
      <c r="Z529" s="2"/>
      <c r="AA529" s="2" t="s">
        <v>3189</v>
      </c>
      <c r="AB529" s="2" t="s">
        <v>3190</v>
      </c>
      <c r="AC529" s="4" t="s">
        <v>44</v>
      </c>
    </row>
    <row r="530" spans="1:29" x14ac:dyDescent="0.25">
      <c r="A530" s="1">
        <v>1062</v>
      </c>
      <c r="B530" s="17" t="s">
        <v>3248</v>
      </c>
      <c r="C530" s="2" t="s">
        <v>3249</v>
      </c>
      <c r="D530" s="15" t="s">
        <v>3250</v>
      </c>
      <c r="E530" s="9" t="s">
        <v>3251</v>
      </c>
      <c r="F530" s="9" t="s">
        <v>3252</v>
      </c>
      <c r="G530" s="9" t="s">
        <v>3253</v>
      </c>
      <c r="H530" s="2" t="s">
        <v>60</v>
      </c>
      <c r="I530" s="3">
        <v>35766</v>
      </c>
      <c r="J530" s="9" t="str">
        <f t="shared" ca="1" si="10"/>
        <v>25 ans</v>
      </c>
      <c r="K530" s="2" t="s">
        <v>123</v>
      </c>
      <c r="L530" s="2" t="str">
        <f>"140"</f>
        <v>140</v>
      </c>
      <c r="M530" s="2"/>
      <c r="N530" s="2" t="str">
        <f>"ÉLAINE"</f>
        <v>ÉLAINE</v>
      </c>
      <c r="O530" s="2" t="s">
        <v>3185</v>
      </c>
      <c r="P530" s="9" t="str">
        <f>VLOOKUP($O530,'Liste des Villes'!$B$2:$B$1128,1,FALSE)</f>
        <v>Saint-Jérôme</v>
      </c>
      <c r="Q530" s="9" t="str">
        <f>IFERROR($P530,PROPER(VLOOKUP($O530,'Villes en erreur'!$A$2:$B$72,2,FALSE)))</f>
        <v>Saint-Jérôme</v>
      </c>
      <c r="R530" s="9" t="s">
        <v>3186</v>
      </c>
      <c r="S530" s="9" t="str">
        <f>IF(ISBLANK($R530),"",VLOOKUP($R530,'Liste des Villes'!$B$2:$H$1128,4,FALSE))</f>
        <v>Laurentides</v>
      </c>
      <c r="T530" s="2" t="s">
        <v>3254</v>
      </c>
      <c r="U530" s="2" t="s">
        <v>39</v>
      </c>
      <c r="V530" s="2" t="s">
        <v>40</v>
      </c>
      <c r="W530" s="2" t="s">
        <v>3255</v>
      </c>
      <c r="X530" s="2"/>
      <c r="Y530" s="2"/>
      <c r="Z530" s="2"/>
      <c r="AA530" s="2" t="s">
        <v>3243</v>
      </c>
      <c r="AB530" s="2" t="s">
        <v>3221</v>
      </c>
      <c r="AC530" s="4" t="s">
        <v>44</v>
      </c>
    </row>
    <row r="531" spans="1:29" x14ac:dyDescent="0.25">
      <c r="A531" s="1">
        <v>1980</v>
      </c>
      <c r="B531" s="17" t="s">
        <v>3256</v>
      </c>
      <c r="C531" s="2" t="s">
        <v>2186</v>
      </c>
      <c r="D531" s="15" t="s">
        <v>2187</v>
      </c>
      <c r="E531" s="9" t="s">
        <v>610</v>
      </c>
      <c r="F531" s="9" t="s">
        <v>3257</v>
      </c>
      <c r="G531" s="9" t="s">
        <v>3258</v>
      </c>
      <c r="H531" s="2" t="s">
        <v>35</v>
      </c>
      <c r="I531" s="3">
        <v>35103</v>
      </c>
      <c r="J531" s="9" t="str">
        <f t="shared" ca="1" si="10"/>
        <v>27 ans</v>
      </c>
      <c r="K531" s="2" t="s">
        <v>36</v>
      </c>
      <c r="L531" s="2" t="str">
        <f>"101"</f>
        <v>101</v>
      </c>
      <c r="M531" s="2"/>
      <c r="N531" s="2" t="str">
        <f>"CH HUOT"</f>
        <v>CH HUOT</v>
      </c>
      <c r="O531" s="2" t="s">
        <v>3185</v>
      </c>
      <c r="P531" s="9" t="str">
        <f>VLOOKUP($O531,'Liste des Villes'!$B$2:$B$1128,1,FALSE)</f>
        <v>Saint-Jérôme</v>
      </c>
      <c r="Q531" s="9" t="str">
        <f>IFERROR($P531,PROPER(VLOOKUP($O531,'Villes en erreur'!$A$2:$B$72,2,FALSE)))</f>
        <v>Saint-Jérôme</v>
      </c>
      <c r="R531" s="9" t="s">
        <v>3186</v>
      </c>
      <c r="S531" s="9" t="str">
        <f>IF(ISBLANK($R531),"",VLOOKUP($R531,'Liste des Villes'!$B$2:$H$1128,4,FALSE))</f>
        <v>Laurentides</v>
      </c>
      <c r="T531" s="2" t="s">
        <v>3187</v>
      </c>
      <c r="U531" s="2" t="s">
        <v>39</v>
      </c>
      <c r="V531" s="2" t="s">
        <v>40</v>
      </c>
      <c r="W531" s="2" t="s">
        <v>3259</v>
      </c>
      <c r="X531" s="2"/>
      <c r="Y531" s="2"/>
      <c r="Z531" s="2"/>
      <c r="AA531" s="2" t="s">
        <v>3189</v>
      </c>
      <c r="AB531" s="2" t="s">
        <v>3190</v>
      </c>
      <c r="AC531" s="4" t="s">
        <v>44</v>
      </c>
    </row>
    <row r="532" spans="1:29" x14ac:dyDescent="0.25">
      <c r="A532" s="1">
        <v>4479</v>
      </c>
      <c r="B532" s="17" t="s">
        <v>3260</v>
      </c>
      <c r="C532" s="2" t="s">
        <v>3261</v>
      </c>
      <c r="D532" s="15" t="s">
        <v>3262</v>
      </c>
      <c r="E532" s="9" t="s">
        <v>3263</v>
      </c>
      <c r="F532" s="9" t="s">
        <v>3264</v>
      </c>
      <c r="G532" s="9" t="s">
        <v>3265</v>
      </c>
      <c r="H532" s="2" t="s">
        <v>60</v>
      </c>
      <c r="I532" s="3">
        <v>35924</v>
      </c>
      <c r="J532" s="9" t="str">
        <f t="shared" ca="1" si="10"/>
        <v>25 ans</v>
      </c>
      <c r="K532" s="2" t="s">
        <v>123</v>
      </c>
      <c r="L532" s="2" t="str">
        <f>"161"</f>
        <v>161</v>
      </c>
      <c r="M532" s="2"/>
      <c r="N532" s="2" t="str">
        <f>"MONTÉE GAGNON"</f>
        <v>MONTÉE GAGNON</v>
      </c>
      <c r="O532" s="2" t="s">
        <v>3185</v>
      </c>
      <c r="P532" s="9" t="str">
        <f>VLOOKUP($O532,'Liste des Villes'!$B$2:$B$1128,1,FALSE)</f>
        <v>Saint-Jérôme</v>
      </c>
      <c r="Q532" s="9" t="str">
        <f>IFERROR($P532,PROPER(VLOOKUP($O532,'Villes en erreur'!$A$2:$B$72,2,FALSE)))</f>
        <v>Saint-Jérôme</v>
      </c>
      <c r="R532" s="9" t="s">
        <v>3186</v>
      </c>
      <c r="S532" s="9" t="str">
        <f>IF(ISBLANK($R532),"",VLOOKUP($R532,'Liste des Villes'!$B$2:$H$1128,4,FALSE))</f>
        <v>Laurentides</v>
      </c>
      <c r="T532" s="2" t="s">
        <v>3266</v>
      </c>
      <c r="U532" s="2" t="s">
        <v>39</v>
      </c>
      <c r="V532" s="2" t="s">
        <v>40</v>
      </c>
      <c r="W532" s="2" t="s">
        <v>3267</v>
      </c>
      <c r="X532" s="2"/>
      <c r="Y532" s="2"/>
      <c r="Z532" s="2"/>
      <c r="AA532" s="2" t="s">
        <v>832</v>
      </c>
      <c r="AB532" s="2" t="s">
        <v>3221</v>
      </c>
      <c r="AC532" s="4" t="s">
        <v>44</v>
      </c>
    </row>
    <row r="533" spans="1:29" x14ac:dyDescent="0.25">
      <c r="A533" s="1">
        <v>1165</v>
      </c>
      <c r="B533" s="17" t="s">
        <v>3268</v>
      </c>
      <c r="C533" s="2" t="s">
        <v>2209</v>
      </c>
      <c r="D533" s="15" t="s">
        <v>782</v>
      </c>
      <c r="E533" s="9" t="s">
        <v>2210</v>
      </c>
      <c r="F533" s="9" t="s">
        <v>2693</v>
      </c>
      <c r="G533" s="9" t="s">
        <v>3265</v>
      </c>
      <c r="H533" s="2" t="s">
        <v>60</v>
      </c>
      <c r="I533" s="3">
        <v>35936</v>
      </c>
      <c r="J533" s="9" t="str">
        <f t="shared" ca="1" si="10"/>
        <v>25 ans</v>
      </c>
      <c r="K533" s="2" t="s">
        <v>123</v>
      </c>
      <c r="L533" s="2" t="str">
        <f>"164"</f>
        <v>164</v>
      </c>
      <c r="M533" s="2"/>
      <c r="N533" s="2" t="str">
        <f>"MONTÉE MAJOR"</f>
        <v>MONTÉE MAJOR</v>
      </c>
      <c r="O533" s="2" t="s">
        <v>3185</v>
      </c>
      <c r="P533" s="9" t="str">
        <f>VLOOKUP($O533,'Liste des Villes'!$B$2:$B$1128,1,FALSE)</f>
        <v>Saint-Jérôme</v>
      </c>
      <c r="Q533" s="9" t="str">
        <f>IFERROR($P533,PROPER(VLOOKUP($O533,'Villes en erreur'!$A$2:$B$72,2,FALSE)))</f>
        <v>Saint-Jérôme</v>
      </c>
      <c r="R533" s="9" t="s">
        <v>3186</v>
      </c>
      <c r="S533" s="9" t="str">
        <f>IF(ISBLANK($R533),"",VLOOKUP($R533,'Liste des Villes'!$B$2:$H$1128,4,FALSE))</f>
        <v>Laurentides</v>
      </c>
      <c r="T533" s="2" t="s">
        <v>3269</v>
      </c>
      <c r="U533" s="2" t="s">
        <v>39</v>
      </c>
      <c r="V533" s="2" t="s">
        <v>40</v>
      </c>
      <c r="W533" s="2" t="s">
        <v>3270</v>
      </c>
      <c r="X533" s="2"/>
      <c r="Y533" s="2"/>
      <c r="Z533" s="2"/>
      <c r="AA533" s="2" t="s">
        <v>832</v>
      </c>
      <c r="AB533" s="2" t="s">
        <v>3221</v>
      </c>
      <c r="AC533" s="4" t="s">
        <v>44</v>
      </c>
    </row>
    <row r="534" spans="1:29" x14ac:dyDescent="0.25">
      <c r="A534" s="1">
        <v>251</v>
      </c>
      <c r="B534" s="17" t="s">
        <v>3271</v>
      </c>
      <c r="C534" s="2" t="s">
        <v>3272</v>
      </c>
      <c r="D534" s="15" t="s">
        <v>3273</v>
      </c>
      <c r="E534" s="9" t="s">
        <v>3274</v>
      </c>
      <c r="F534" s="9" t="s">
        <v>697</v>
      </c>
      <c r="G534" s="9" t="s">
        <v>1037</v>
      </c>
      <c r="H534" s="2" t="s">
        <v>35</v>
      </c>
      <c r="I534" s="3">
        <v>36056</v>
      </c>
      <c r="J534" s="9" t="str">
        <f t="shared" ca="1" si="10"/>
        <v>24 ans</v>
      </c>
      <c r="K534" s="2" t="s">
        <v>123</v>
      </c>
      <c r="L534" s="2" t="str">
        <f>"191"</f>
        <v>191</v>
      </c>
      <c r="M534" s="2"/>
      <c r="N534" s="2" t="str">
        <f>"RANG 7E"</f>
        <v>RANG 7E</v>
      </c>
      <c r="O534" s="2" t="s">
        <v>3185</v>
      </c>
      <c r="P534" s="9" t="str">
        <f>VLOOKUP($O534,'Liste des Villes'!$B$2:$B$1128,1,FALSE)</f>
        <v>Saint-Jérôme</v>
      </c>
      <c r="Q534" s="9" t="str">
        <f>IFERROR($P534,PROPER(VLOOKUP($O534,'Villes en erreur'!$A$2:$B$72,2,FALSE)))</f>
        <v>Saint-Jérôme</v>
      </c>
      <c r="R534" s="9" t="s">
        <v>3186</v>
      </c>
      <c r="S534" s="9" t="str">
        <f>IF(ISBLANK($R534),"",VLOOKUP($R534,'Liste des Villes'!$B$2:$H$1128,4,FALSE))</f>
        <v>Laurentides</v>
      </c>
      <c r="T534" s="2" t="s">
        <v>3275</v>
      </c>
      <c r="U534" s="2" t="s">
        <v>39</v>
      </c>
      <c r="V534" s="2" t="s">
        <v>40</v>
      </c>
      <c r="W534" s="2" t="s">
        <v>3276</v>
      </c>
      <c r="X534" s="2"/>
      <c r="Y534" s="2"/>
      <c r="Z534" s="2"/>
      <c r="AA534" s="2" t="s">
        <v>832</v>
      </c>
      <c r="AB534" s="2" t="s">
        <v>3221</v>
      </c>
      <c r="AC534" s="4" t="s">
        <v>44</v>
      </c>
    </row>
    <row r="535" spans="1:29" x14ac:dyDescent="0.25">
      <c r="A535" s="1">
        <v>3858</v>
      </c>
      <c r="B535" s="17" t="s">
        <v>3277</v>
      </c>
      <c r="C535" s="2" t="s">
        <v>3278</v>
      </c>
      <c r="D535" s="15" t="s">
        <v>227</v>
      </c>
      <c r="E535" s="9" t="s">
        <v>2134</v>
      </c>
      <c r="F535" s="9" t="s">
        <v>225</v>
      </c>
      <c r="G535" s="9" t="s">
        <v>2086</v>
      </c>
      <c r="H535" s="2" t="s">
        <v>60</v>
      </c>
      <c r="I535" s="3">
        <v>36014</v>
      </c>
      <c r="J535" s="9" t="str">
        <f t="shared" ca="1" si="10"/>
        <v>25 ans</v>
      </c>
      <c r="K535" s="2" t="s">
        <v>123</v>
      </c>
      <c r="L535" s="2" t="str">
        <f>"180"</f>
        <v>180</v>
      </c>
      <c r="M535" s="2"/>
      <c r="N535" s="2" t="str">
        <f>"PLACE DU CERF"</f>
        <v>PLACE DU CERF</v>
      </c>
      <c r="O535" s="2" t="s">
        <v>3185</v>
      </c>
      <c r="P535" s="9" t="str">
        <f>VLOOKUP($O535,'Liste des Villes'!$B$2:$B$1128,1,FALSE)</f>
        <v>Saint-Jérôme</v>
      </c>
      <c r="Q535" s="9" t="str">
        <f>IFERROR($P535,PROPER(VLOOKUP($O535,'Villes en erreur'!$A$2:$B$72,2,FALSE)))</f>
        <v>Saint-Jérôme</v>
      </c>
      <c r="R535" s="9" t="s">
        <v>3186</v>
      </c>
      <c r="S535" s="9" t="str">
        <f>IF(ISBLANK($R535),"",VLOOKUP($R535,'Liste des Villes'!$B$2:$H$1128,4,FALSE))</f>
        <v>Laurentides</v>
      </c>
      <c r="T535" s="2" t="s">
        <v>3279</v>
      </c>
      <c r="U535" s="2" t="s">
        <v>39</v>
      </c>
      <c r="V535" s="2" t="s">
        <v>40</v>
      </c>
      <c r="W535" s="2" t="s">
        <v>3280</v>
      </c>
      <c r="X535" s="2"/>
      <c r="Y535" s="2"/>
      <c r="Z535" s="2"/>
      <c r="AA535" s="2" t="s">
        <v>832</v>
      </c>
      <c r="AB535" s="2" t="s">
        <v>3221</v>
      </c>
      <c r="AC535" s="4" t="s">
        <v>44</v>
      </c>
    </row>
    <row r="536" spans="1:29" x14ac:dyDescent="0.25">
      <c r="A536" s="1">
        <v>4029</v>
      </c>
      <c r="B536" s="17" t="s">
        <v>3281</v>
      </c>
      <c r="C536" s="2" t="s">
        <v>3282</v>
      </c>
      <c r="D536" s="15" t="s">
        <v>3283</v>
      </c>
      <c r="E536" s="9" t="s">
        <v>610</v>
      </c>
      <c r="F536" s="9" t="s">
        <v>3284</v>
      </c>
      <c r="G536" s="9" t="s">
        <v>3285</v>
      </c>
      <c r="H536" s="2" t="s">
        <v>35</v>
      </c>
      <c r="I536" s="3">
        <v>36207</v>
      </c>
      <c r="J536" s="9" t="str">
        <f t="shared" ca="1" si="10"/>
        <v>24 ans</v>
      </c>
      <c r="K536" s="2" t="s">
        <v>123</v>
      </c>
      <c r="L536" s="2" t="str">
        <f>"244"</f>
        <v>244</v>
      </c>
      <c r="M536" s="2"/>
      <c r="N536" s="2" t="str">
        <f>"RUE AUBRY"</f>
        <v>RUE AUBRY</v>
      </c>
      <c r="O536" s="2" t="s">
        <v>3185</v>
      </c>
      <c r="P536" s="9" t="str">
        <f>VLOOKUP($O536,'Liste des Villes'!$B$2:$B$1128,1,FALSE)</f>
        <v>Saint-Jérôme</v>
      </c>
      <c r="Q536" s="9" t="str">
        <f>IFERROR($P536,PROPER(VLOOKUP($O536,'Villes en erreur'!$A$2:$B$72,2,FALSE)))</f>
        <v>Saint-Jérôme</v>
      </c>
      <c r="R536" s="9" t="s">
        <v>3186</v>
      </c>
      <c r="S536" s="9" t="str">
        <f>IF(ISBLANK($R536),"",VLOOKUP($R536,'Liste des Villes'!$B$2:$H$1128,4,FALSE))</f>
        <v>Laurentides</v>
      </c>
      <c r="T536" s="2" t="s">
        <v>3286</v>
      </c>
      <c r="U536" s="2" t="s">
        <v>39</v>
      </c>
      <c r="V536" s="2" t="s">
        <v>40</v>
      </c>
      <c r="W536" s="2" t="s">
        <v>3287</v>
      </c>
      <c r="X536" s="2"/>
      <c r="Y536" s="2"/>
      <c r="Z536" s="2"/>
      <c r="AA536" s="2" t="s">
        <v>832</v>
      </c>
      <c r="AB536" s="2" t="s">
        <v>3288</v>
      </c>
      <c r="AC536" s="4" t="s">
        <v>44</v>
      </c>
    </row>
    <row r="537" spans="1:29" x14ac:dyDescent="0.25">
      <c r="A537" s="1">
        <v>1505</v>
      </c>
      <c r="B537" s="17" t="s">
        <v>3289</v>
      </c>
      <c r="C537" s="2" t="s">
        <v>3290</v>
      </c>
      <c r="D537" s="15" t="s">
        <v>312</v>
      </c>
      <c r="E537" s="9" t="s">
        <v>122</v>
      </c>
      <c r="F537" s="9" t="s">
        <v>835</v>
      </c>
      <c r="G537" s="9" t="s">
        <v>539</v>
      </c>
      <c r="H537" s="2" t="s">
        <v>60</v>
      </c>
      <c r="I537" s="3">
        <v>34374</v>
      </c>
      <c r="J537" s="9" t="str">
        <f t="shared" ca="1" si="10"/>
        <v>29 ans</v>
      </c>
      <c r="K537" s="2" t="s">
        <v>36</v>
      </c>
      <c r="L537" s="2" t="str">
        <f>"54"</f>
        <v>54</v>
      </c>
      <c r="M537" s="2"/>
      <c r="N537" s="2" t="str">
        <f>"BOULEVARD SAINTE ANNE"</f>
        <v>BOULEVARD SAINTE ANNE</v>
      </c>
      <c r="O537" s="2" t="s">
        <v>3185</v>
      </c>
      <c r="P537" s="9" t="str">
        <f>VLOOKUP($O537,'Liste des Villes'!$B$2:$B$1128,1,FALSE)</f>
        <v>Saint-Jérôme</v>
      </c>
      <c r="Q537" s="9" t="str">
        <f>IFERROR($P537,PROPER(VLOOKUP($O537,'Villes en erreur'!$A$2:$B$72,2,FALSE)))</f>
        <v>Saint-Jérôme</v>
      </c>
      <c r="R537" s="9" t="s">
        <v>3186</v>
      </c>
      <c r="S537" s="9" t="str">
        <f>IF(ISBLANK($R537),"",VLOOKUP($R537,'Liste des Villes'!$B$2:$H$1128,4,FALSE))</f>
        <v>Laurentides</v>
      </c>
      <c r="T537" s="2" t="s">
        <v>3291</v>
      </c>
      <c r="U537" s="2" t="s">
        <v>39</v>
      </c>
      <c r="V537" s="2" t="s">
        <v>40</v>
      </c>
      <c r="W537" s="2" t="s">
        <v>3292</v>
      </c>
      <c r="X537" s="2"/>
      <c r="Y537" s="2"/>
      <c r="Z537" s="2"/>
      <c r="AA537" s="2" t="s">
        <v>3293</v>
      </c>
      <c r="AB537" s="2" t="s">
        <v>53</v>
      </c>
      <c r="AC537" s="4" t="s">
        <v>44</v>
      </c>
    </row>
    <row r="538" spans="1:29" x14ac:dyDescent="0.25">
      <c r="A538" s="1">
        <v>489</v>
      </c>
      <c r="B538" s="17" t="s">
        <v>3294</v>
      </c>
      <c r="C538" s="2" t="s">
        <v>681</v>
      </c>
      <c r="D538" s="15" t="s">
        <v>682</v>
      </c>
      <c r="E538" s="9" t="s">
        <v>683</v>
      </c>
      <c r="F538" s="9" t="s">
        <v>684</v>
      </c>
      <c r="G538" s="9" t="s">
        <v>1162</v>
      </c>
      <c r="H538" s="2" t="s">
        <v>35</v>
      </c>
      <c r="I538" s="3">
        <v>35866</v>
      </c>
      <c r="J538" s="9" t="str">
        <f t="shared" ca="1" si="10"/>
        <v>25 ans</v>
      </c>
      <c r="K538" s="2" t="s">
        <v>123</v>
      </c>
      <c r="L538" s="2" t="str">
        <f>"151"</f>
        <v>151</v>
      </c>
      <c r="M538" s="2"/>
      <c r="N538" s="2" t="str">
        <f>"MAISONNEUVE BLVD"</f>
        <v>MAISONNEUVE BLVD</v>
      </c>
      <c r="O538" s="2" t="s">
        <v>3185</v>
      </c>
      <c r="P538" s="9" t="str">
        <f>VLOOKUP($O538,'Liste des Villes'!$B$2:$B$1128,1,FALSE)</f>
        <v>Saint-Jérôme</v>
      </c>
      <c r="Q538" s="9" t="str">
        <f>IFERROR($P538,PROPER(VLOOKUP($O538,'Villes en erreur'!$A$2:$B$72,2,FALSE)))</f>
        <v>Saint-Jérôme</v>
      </c>
      <c r="R538" s="9" t="s">
        <v>3186</v>
      </c>
      <c r="S538" s="9" t="str">
        <f>IF(ISBLANK($R538),"",VLOOKUP($R538,'Liste des Villes'!$B$2:$H$1128,4,FALSE))</f>
        <v>Laurentides</v>
      </c>
      <c r="T538" s="2" t="s">
        <v>3295</v>
      </c>
      <c r="U538" s="2" t="s">
        <v>39</v>
      </c>
      <c r="V538" s="2" t="s">
        <v>40</v>
      </c>
      <c r="W538" s="2" t="s">
        <v>3296</v>
      </c>
      <c r="X538" s="2"/>
      <c r="Y538" s="2"/>
      <c r="Z538" s="2"/>
      <c r="AA538" s="2" t="s">
        <v>3243</v>
      </c>
      <c r="AB538" s="2" t="s">
        <v>3221</v>
      </c>
      <c r="AC538" s="4" t="s">
        <v>44</v>
      </c>
    </row>
    <row r="539" spans="1:29" x14ac:dyDescent="0.25">
      <c r="A539" s="1">
        <v>2661</v>
      </c>
      <c r="B539" s="17" t="s">
        <v>3297</v>
      </c>
      <c r="C539" s="2" t="s">
        <v>3298</v>
      </c>
      <c r="D539" s="15" t="s">
        <v>3299</v>
      </c>
      <c r="E539" s="9" t="s">
        <v>3300</v>
      </c>
      <c r="F539" s="9" t="s">
        <v>3301</v>
      </c>
      <c r="G539" s="9" t="s">
        <v>495</v>
      </c>
      <c r="H539" s="2" t="s">
        <v>35</v>
      </c>
      <c r="I539" s="3">
        <v>34731</v>
      </c>
      <c r="J539" s="9" t="str">
        <f t="shared" ca="1" si="10"/>
        <v>28 ans</v>
      </c>
      <c r="K539" s="2" t="s">
        <v>36</v>
      </c>
      <c r="L539" s="2" t="str">
        <f>"73"</f>
        <v>73</v>
      </c>
      <c r="M539" s="2"/>
      <c r="N539" s="2" t="str">
        <f>"CH DE NOTRE-DAME-DE-LA-ME"</f>
        <v>CH DE NOTRE-DAME-DE-LA-ME</v>
      </c>
      <c r="O539" s="2" t="s">
        <v>3185</v>
      </c>
      <c r="P539" s="9" t="str">
        <f>VLOOKUP($O539,'Liste des Villes'!$B$2:$B$1128,1,FALSE)</f>
        <v>Saint-Jérôme</v>
      </c>
      <c r="Q539" s="9" t="str">
        <f>IFERROR($P539,PROPER(VLOOKUP($O539,'Villes en erreur'!$A$2:$B$72,2,FALSE)))</f>
        <v>Saint-Jérôme</v>
      </c>
      <c r="R539" s="9" t="s">
        <v>3186</v>
      </c>
      <c r="S539" s="9" t="str">
        <f>IF(ISBLANK($R539),"",VLOOKUP($R539,'Liste des Villes'!$B$2:$H$1128,4,FALSE))</f>
        <v>Laurentides</v>
      </c>
      <c r="T539" s="2" t="s">
        <v>3187</v>
      </c>
      <c r="U539" s="2" t="s">
        <v>39</v>
      </c>
      <c r="V539" s="2" t="s">
        <v>40</v>
      </c>
      <c r="W539" s="2" t="s">
        <v>3302</v>
      </c>
      <c r="X539" s="2"/>
      <c r="Y539" s="2"/>
      <c r="Z539" s="2"/>
      <c r="AA539" s="2" t="s">
        <v>3225</v>
      </c>
      <c r="AB539" s="2" t="s">
        <v>53</v>
      </c>
      <c r="AC539" s="4" t="s">
        <v>44</v>
      </c>
    </row>
    <row r="540" spans="1:29" x14ac:dyDescent="0.25">
      <c r="A540" s="1">
        <v>2733</v>
      </c>
      <c r="B540" s="17" t="s">
        <v>3303</v>
      </c>
      <c r="C540" s="2" t="s">
        <v>3304</v>
      </c>
      <c r="D540" s="15" t="s">
        <v>3305</v>
      </c>
      <c r="E540" s="9" t="s">
        <v>3306</v>
      </c>
      <c r="F540" s="9" t="s">
        <v>3307</v>
      </c>
      <c r="G540" s="9" t="s">
        <v>114</v>
      </c>
      <c r="H540" s="2" t="s">
        <v>60</v>
      </c>
      <c r="I540" s="3">
        <v>36247</v>
      </c>
      <c r="J540" s="9" t="str">
        <f t="shared" ca="1" si="10"/>
        <v>24 ans</v>
      </c>
      <c r="K540" s="2" t="s">
        <v>123</v>
      </c>
      <c r="L540" s="2" t="str">
        <f>"266"</f>
        <v>266</v>
      </c>
      <c r="M540" s="2"/>
      <c r="N540" s="2" t="str">
        <f>"RUE BÉLISLE"</f>
        <v>RUE BÉLISLE</v>
      </c>
      <c r="O540" s="2" t="s">
        <v>3185</v>
      </c>
      <c r="P540" s="9" t="str">
        <f>VLOOKUP($O540,'Liste des Villes'!$B$2:$B$1128,1,FALSE)</f>
        <v>Saint-Jérôme</v>
      </c>
      <c r="Q540" s="9" t="str">
        <f>IFERROR($P540,PROPER(VLOOKUP($O540,'Villes en erreur'!$A$2:$B$72,2,FALSE)))</f>
        <v>Saint-Jérôme</v>
      </c>
      <c r="R540" s="9" t="s">
        <v>3186</v>
      </c>
      <c r="S540" s="9" t="str">
        <f>IF(ISBLANK($R540),"",VLOOKUP($R540,'Liste des Villes'!$B$2:$H$1128,4,FALSE))</f>
        <v>Laurentides</v>
      </c>
      <c r="T540" s="2" t="s">
        <v>3308</v>
      </c>
      <c r="U540" s="2" t="s">
        <v>39</v>
      </c>
      <c r="V540" s="2" t="s">
        <v>40</v>
      </c>
      <c r="W540" s="2" t="s">
        <v>3309</v>
      </c>
      <c r="X540" s="2"/>
      <c r="Y540" s="2"/>
      <c r="Z540" s="2"/>
      <c r="AA540" s="2" t="s">
        <v>832</v>
      </c>
      <c r="AB540" s="2" t="s">
        <v>73</v>
      </c>
      <c r="AC540" s="4" t="s">
        <v>44</v>
      </c>
    </row>
    <row r="541" spans="1:29" x14ac:dyDescent="0.25">
      <c r="A541" s="1">
        <v>2508</v>
      </c>
      <c r="B541" s="17" t="s">
        <v>3310</v>
      </c>
      <c r="C541" s="2" t="s">
        <v>3311</v>
      </c>
      <c r="D541" s="15" t="s">
        <v>3312</v>
      </c>
      <c r="E541" s="9" t="s">
        <v>120</v>
      </c>
      <c r="F541" s="9" t="s">
        <v>3313</v>
      </c>
      <c r="G541" s="9" t="s">
        <v>1844</v>
      </c>
      <c r="H541" s="2" t="s">
        <v>60</v>
      </c>
      <c r="I541" s="3">
        <v>36159</v>
      </c>
      <c r="J541" s="9" t="str">
        <f t="shared" ca="1" si="10"/>
        <v>24 ans</v>
      </c>
      <c r="K541" s="2" t="s">
        <v>123</v>
      </c>
      <c r="L541" s="2" t="str">
        <f>"224"</f>
        <v>224</v>
      </c>
      <c r="M541" s="2"/>
      <c r="N541" s="2" t="str">
        <f>"RUE ALFRED-DESROCHERS"</f>
        <v>RUE ALFRED-DESROCHERS</v>
      </c>
      <c r="O541" s="2" t="s">
        <v>3185</v>
      </c>
      <c r="P541" s="9" t="str">
        <f>VLOOKUP($O541,'Liste des Villes'!$B$2:$B$1128,1,FALSE)</f>
        <v>Saint-Jérôme</v>
      </c>
      <c r="Q541" s="9" t="str">
        <f>IFERROR($P541,PROPER(VLOOKUP($O541,'Villes en erreur'!$A$2:$B$72,2,FALSE)))</f>
        <v>Saint-Jérôme</v>
      </c>
      <c r="R541" s="9" t="s">
        <v>3186</v>
      </c>
      <c r="S541" s="9" t="str">
        <f>IF(ISBLANK($R541),"",VLOOKUP($R541,'Liste des Villes'!$B$2:$H$1128,4,FALSE))</f>
        <v>Laurentides</v>
      </c>
      <c r="T541" s="2" t="s">
        <v>3314</v>
      </c>
      <c r="U541" s="2" t="s">
        <v>39</v>
      </c>
      <c r="V541" s="2" t="s">
        <v>40</v>
      </c>
      <c r="W541" s="2" t="s">
        <v>3315</v>
      </c>
      <c r="X541" s="2"/>
      <c r="Y541" s="2"/>
      <c r="Z541" s="2"/>
      <c r="AA541" s="2" t="s">
        <v>832</v>
      </c>
      <c r="AB541" s="2" t="s">
        <v>3221</v>
      </c>
      <c r="AC541" s="4" t="s">
        <v>44</v>
      </c>
    </row>
    <row r="542" spans="1:29" x14ac:dyDescent="0.25">
      <c r="A542" s="1">
        <v>876</v>
      </c>
      <c r="B542" s="17" t="s">
        <v>3316</v>
      </c>
      <c r="C542" s="2" t="s">
        <v>2578</v>
      </c>
      <c r="D542" s="15" t="s">
        <v>34</v>
      </c>
      <c r="E542" s="9" t="s">
        <v>2579</v>
      </c>
      <c r="F542" s="9" t="s">
        <v>2580</v>
      </c>
      <c r="G542" s="9" t="s">
        <v>179</v>
      </c>
      <c r="H542" s="2" t="s">
        <v>60</v>
      </c>
      <c r="I542" s="3">
        <v>36106</v>
      </c>
      <c r="J542" s="9" t="str">
        <f t="shared" ca="1" si="10"/>
        <v>24 ans</v>
      </c>
      <c r="K542" s="2" t="s">
        <v>123</v>
      </c>
      <c r="L542" s="2" t="str">
        <f>"209"</f>
        <v>209</v>
      </c>
      <c r="M542" s="2"/>
      <c r="N542" s="2" t="str">
        <f>"RTE 148"</f>
        <v>RTE 148</v>
      </c>
      <c r="O542" s="2" t="s">
        <v>3185</v>
      </c>
      <c r="P542" s="9" t="str">
        <f>VLOOKUP($O542,'Liste des Villes'!$B$2:$B$1128,1,FALSE)</f>
        <v>Saint-Jérôme</v>
      </c>
      <c r="Q542" s="9" t="str">
        <f>IFERROR($P542,PROPER(VLOOKUP($O542,'Villes en erreur'!$A$2:$B$72,2,FALSE)))</f>
        <v>Saint-Jérôme</v>
      </c>
      <c r="R542" s="9" t="s">
        <v>3186</v>
      </c>
      <c r="S542" s="9" t="str">
        <f>IF(ISBLANK($R542),"",VLOOKUP($R542,'Liste des Villes'!$B$2:$H$1128,4,FALSE))</f>
        <v>Laurentides</v>
      </c>
      <c r="T542" s="2" t="s">
        <v>3317</v>
      </c>
      <c r="U542" s="2" t="s">
        <v>39</v>
      </c>
      <c r="V542" s="2" t="s">
        <v>40</v>
      </c>
      <c r="W542" s="2" t="s">
        <v>3318</v>
      </c>
      <c r="X542" s="2"/>
      <c r="Y542" s="2"/>
      <c r="Z542" s="2"/>
      <c r="AA542" s="2" t="s">
        <v>832</v>
      </c>
      <c r="AB542" s="2" t="s">
        <v>3221</v>
      </c>
      <c r="AC542" s="4" t="s">
        <v>44</v>
      </c>
    </row>
    <row r="543" spans="1:29" x14ac:dyDescent="0.25">
      <c r="A543" s="1">
        <v>3399</v>
      </c>
      <c r="B543" s="17" t="s">
        <v>3319</v>
      </c>
      <c r="C543" s="2" t="s">
        <v>3320</v>
      </c>
      <c r="D543" s="15" t="s">
        <v>1371</v>
      </c>
      <c r="E543" s="9" t="s">
        <v>1091</v>
      </c>
      <c r="F543" s="9" t="s">
        <v>1092</v>
      </c>
      <c r="G543" s="9" t="s">
        <v>3321</v>
      </c>
      <c r="H543" s="2" t="s">
        <v>60</v>
      </c>
      <c r="I543" s="3">
        <v>36213</v>
      </c>
      <c r="J543" s="9" t="str">
        <f t="shared" ca="1" si="10"/>
        <v>24 ans</v>
      </c>
      <c r="K543" s="2" t="s">
        <v>123</v>
      </c>
      <c r="L543" s="2" t="str">
        <f>"250"</f>
        <v>250</v>
      </c>
      <c r="M543" s="2"/>
      <c r="N543" s="2" t="str">
        <f>"RUE BACH"</f>
        <v>RUE BACH</v>
      </c>
      <c r="O543" s="2" t="s">
        <v>3185</v>
      </c>
      <c r="P543" s="9" t="str">
        <f>VLOOKUP($O543,'Liste des Villes'!$B$2:$B$1128,1,FALSE)</f>
        <v>Saint-Jérôme</v>
      </c>
      <c r="Q543" s="9" t="str">
        <f>IFERROR($P543,PROPER(VLOOKUP($O543,'Villes en erreur'!$A$2:$B$72,2,FALSE)))</f>
        <v>Saint-Jérôme</v>
      </c>
      <c r="R543" s="9" t="s">
        <v>3186</v>
      </c>
      <c r="S543" s="9" t="str">
        <f>IF(ISBLANK($R543),"",VLOOKUP($R543,'Liste des Villes'!$B$2:$H$1128,4,FALSE))</f>
        <v>Laurentides</v>
      </c>
      <c r="T543" s="2" t="s">
        <v>3322</v>
      </c>
      <c r="U543" s="2" t="s">
        <v>39</v>
      </c>
      <c r="V543" s="2" t="s">
        <v>40</v>
      </c>
      <c r="W543" s="2" t="s">
        <v>3323</v>
      </c>
      <c r="X543" s="2"/>
      <c r="Y543" s="2"/>
      <c r="Z543" s="2"/>
      <c r="AA543" s="2" t="s">
        <v>832</v>
      </c>
      <c r="AB543" s="2" t="s">
        <v>3288</v>
      </c>
      <c r="AC543" s="4" t="s">
        <v>44</v>
      </c>
    </row>
    <row r="544" spans="1:29" x14ac:dyDescent="0.25">
      <c r="A544" s="1">
        <v>2114</v>
      </c>
      <c r="B544" s="17" t="s">
        <v>3324</v>
      </c>
      <c r="C544" s="2" t="s">
        <v>3325</v>
      </c>
      <c r="D544" s="15" t="s">
        <v>3326</v>
      </c>
      <c r="E544" s="9" t="s">
        <v>487</v>
      </c>
      <c r="F544" s="9" t="s">
        <v>488</v>
      </c>
      <c r="G544" s="9" t="s">
        <v>3327</v>
      </c>
      <c r="H544" s="2" t="s">
        <v>60</v>
      </c>
      <c r="I544" s="3">
        <v>36048</v>
      </c>
      <c r="J544" s="9" t="str">
        <f t="shared" ca="1" si="10"/>
        <v>24 ans</v>
      </c>
      <c r="K544" s="2" t="s">
        <v>123</v>
      </c>
      <c r="L544" s="2" t="str">
        <f>"187"</f>
        <v>187</v>
      </c>
      <c r="M544" s="2"/>
      <c r="N544" s="2" t="str">
        <f>"PLACE TOUSIGNAN"</f>
        <v>PLACE TOUSIGNAN</v>
      </c>
      <c r="O544" s="2" t="s">
        <v>3185</v>
      </c>
      <c r="P544" s="9" t="str">
        <f>VLOOKUP($O544,'Liste des Villes'!$B$2:$B$1128,1,FALSE)</f>
        <v>Saint-Jérôme</v>
      </c>
      <c r="Q544" s="9" t="str">
        <f>IFERROR($P544,PROPER(VLOOKUP($O544,'Villes en erreur'!$A$2:$B$72,2,FALSE)))</f>
        <v>Saint-Jérôme</v>
      </c>
      <c r="R544" s="9" t="s">
        <v>3186</v>
      </c>
      <c r="S544" s="9" t="str">
        <f>IF(ISBLANK($R544),"",VLOOKUP($R544,'Liste des Villes'!$B$2:$H$1128,4,FALSE))</f>
        <v>Laurentides</v>
      </c>
      <c r="T544" s="2" t="s">
        <v>3328</v>
      </c>
      <c r="U544" s="2" t="s">
        <v>39</v>
      </c>
      <c r="V544" s="2" t="s">
        <v>40</v>
      </c>
      <c r="W544" s="2" t="s">
        <v>3329</v>
      </c>
      <c r="X544" s="2"/>
      <c r="Y544" s="2"/>
      <c r="Z544" s="2"/>
      <c r="AA544" s="2" t="s">
        <v>832</v>
      </c>
      <c r="AB544" s="2" t="s">
        <v>3221</v>
      </c>
      <c r="AC544" s="4" t="s">
        <v>44</v>
      </c>
    </row>
    <row r="545" spans="1:29" x14ac:dyDescent="0.25">
      <c r="A545" s="1">
        <v>674</v>
      </c>
      <c r="B545" s="17" t="s">
        <v>3330</v>
      </c>
      <c r="C545" s="2" t="s">
        <v>2836</v>
      </c>
      <c r="D545" s="15" t="s">
        <v>2837</v>
      </c>
      <c r="E545" s="9" t="s">
        <v>509</v>
      </c>
      <c r="F545" s="9" t="s">
        <v>2698</v>
      </c>
      <c r="G545" s="9" t="s">
        <v>2635</v>
      </c>
      <c r="H545" s="2" t="s">
        <v>60</v>
      </c>
      <c r="I545" s="3">
        <v>35767</v>
      </c>
      <c r="J545" s="9" t="str">
        <f t="shared" ca="1" si="10"/>
        <v>25 ans</v>
      </c>
      <c r="K545" s="2" t="s">
        <v>123</v>
      </c>
      <c r="L545" s="2" t="str">
        <f>"140"</f>
        <v>140</v>
      </c>
      <c r="M545" s="2"/>
      <c r="N545" s="2" t="str">
        <f>"FOURNIER"</f>
        <v>FOURNIER</v>
      </c>
      <c r="O545" s="2" t="s">
        <v>3185</v>
      </c>
      <c r="P545" s="9" t="str">
        <f>VLOOKUP($O545,'Liste des Villes'!$B$2:$B$1128,1,FALSE)</f>
        <v>Saint-Jérôme</v>
      </c>
      <c r="Q545" s="9" t="str">
        <f>IFERROR($P545,PROPER(VLOOKUP($O545,'Villes en erreur'!$A$2:$B$72,2,FALSE)))</f>
        <v>Saint-Jérôme</v>
      </c>
      <c r="R545" s="9" t="s">
        <v>3186</v>
      </c>
      <c r="S545" s="9" t="str">
        <f>IF(ISBLANK($R545),"",VLOOKUP($R545,'Liste des Villes'!$B$2:$H$1128,4,FALSE))</f>
        <v>Laurentides</v>
      </c>
      <c r="T545" s="2" t="s">
        <v>3331</v>
      </c>
      <c r="U545" s="2" t="s">
        <v>39</v>
      </c>
      <c r="V545" s="2" t="s">
        <v>40</v>
      </c>
      <c r="W545" s="2" t="s">
        <v>3332</v>
      </c>
      <c r="X545" s="2"/>
      <c r="Y545" s="2"/>
      <c r="Z545" s="2"/>
      <c r="AA545" s="2" t="s">
        <v>3243</v>
      </c>
      <c r="AB545" s="2" t="s">
        <v>3221</v>
      </c>
      <c r="AC545" s="4" t="s">
        <v>44</v>
      </c>
    </row>
    <row r="546" spans="1:29" x14ac:dyDescent="0.25">
      <c r="A546" s="1">
        <v>4247</v>
      </c>
      <c r="B546" s="17" t="s">
        <v>3333</v>
      </c>
      <c r="C546" s="2" t="s">
        <v>3334</v>
      </c>
      <c r="D546" s="15" t="s">
        <v>3335</v>
      </c>
      <c r="E546" s="9" t="s">
        <v>85</v>
      </c>
      <c r="F546" s="9" t="s">
        <v>1852</v>
      </c>
      <c r="G546" s="9" t="s">
        <v>3336</v>
      </c>
      <c r="H546" s="2" t="s">
        <v>35</v>
      </c>
      <c r="I546" s="3">
        <v>35105</v>
      </c>
      <c r="J546" s="9" t="str">
        <f t="shared" ca="1" si="10"/>
        <v>27 ans</v>
      </c>
      <c r="K546" s="2" t="s">
        <v>36</v>
      </c>
      <c r="L546" s="2" t="str">
        <f>"101"</f>
        <v>101</v>
      </c>
      <c r="M546" s="2"/>
      <c r="N546" s="2" t="str">
        <f>"CH LAPOINTE"</f>
        <v>CH LAPOINTE</v>
      </c>
      <c r="O546" s="2" t="s">
        <v>3185</v>
      </c>
      <c r="P546" s="9" t="str">
        <f>VLOOKUP($O546,'Liste des Villes'!$B$2:$B$1128,1,FALSE)</f>
        <v>Saint-Jérôme</v>
      </c>
      <c r="Q546" s="9" t="str">
        <f>IFERROR($P546,PROPER(VLOOKUP($O546,'Villes en erreur'!$A$2:$B$72,2,FALSE)))</f>
        <v>Saint-Jérôme</v>
      </c>
      <c r="R546" s="9" t="s">
        <v>3186</v>
      </c>
      <c r="S546" s="9" t="str">
        <f>IF(ISBLANK($R546),"",VLOOKUP($R546,'Liste des Villes'!$B$2:$H$1128,4,FALSE))</f>
        <v>Laurentides</v>
      </c>
      <c r="T546" s="2" t="s">
        <v>3187</v>
      </c>
      <c r="U546" s="2" t="s">
        <v>39</v>
      </c>
      <c r="V546" s="2" t="s">
        <v>40</v>
      </c>
      <c r="W546" s="2" t="s">
        <v>3337</v>
      </c>
      <c r="X546" s="2"/>
      <c r="Y546" s="2"/>
      <c r="Z546" s="2"/>
      <c r="AA546" s="2" t="s">
        <v>3189</v>
      </c>
      <c r="AB546" s="2" t="s">
        <v>3190</v>
      </c>
      <c r="AC546" s="4" t="s">
        <v>44</v>
      </c>
    </row>
    <row r="547" spans="1:29" x14ac:dyDescent="0.25">
      <c r="A547" s="1">
        <v>3680</v>
      </c>
      <c r="B547" s="17" t="s">
        <v>3338</v>
      </c>
      <c r="C547" s="2" t="s">
        <v>3339</v>
      </c>
      <c r="D547" s="15" t="s">
        <v>3340</v>
      </c>
      <c r="E547" s="9" t="s">
        <v>397</v>
      </c>
      <c r="F547" s="9" t="s">
        <v>3341</v>
      </c>
      <c r="G547" s="9" t="s">
        <v>643</v>
      </c>
      <c r="H547" s="2" t="s">
        <v>60</v>
      </c>
      <c r="I547" s="3">
        <v>34953</v>
      </c>
      <c r="J547" s="9" t="str">
        <f t="shared" ca="1" si="10"/>
        <v>27 ans</v>
      </c>
      <c r="K547" s="2" t="s">
        <v>36</v>
      </c>
      <c r="L547" s="2" t="str">
        <f>"87"</f>
        <v>87</v>
      </c>
      <c r="M547" s="2"/>
      <c r="N547" s="2" t="str">
        <f>"CH DU GOLF"</f>
        <v>CH DU GOLF</v>
      </c>
      <c r="O547" s="2" t="s">
        <v>3185</v>
      </c>
      <c r="P547" s="9" t="str">
        <f>VLOOKUP($O547,'Liste des Villes'!$B$2:$B$1128,1,FALSE)</f>
        <v>Saint-Jérôme</v>
      </c>
      <c r="Q547" s="9" t="str">
        <f>IFERROR($P547,PROPER(VLOOKUP($O547,'Villes en erreur'!$A$2:$B$72,2,FALSE)))</f>
        <v>Saint-Jérôme</v>
      </c>
      <c r="R547" s="9" t="s">
        <v>3186</v>
      </c>
      <c r="S547" s="9" t="str">
        <f>IF(ISBLANK($R547),"",VLOOKUP($R547,'Liste des Villes'!$B$2:$H$1128,4,FALSE))</f>
        <v>Laurentides</v>
      </c>
      <c r="T547" s="2" t="s">
        <v>3187</v>
      </c>
      <c r="U547" s="2" t="s">
        <v>39</v>
      </c>
      <c r="V547" s="2" t="s">
        <v>40</v>
      </c>
      <c r="W547" s="2" t="s">
        <v>3342</v>
      </c>
      <c r="X547" s="2"/>
      <c r="Y547" s="2"/>
      <c r="Z547" s="2"/>
      <c r="AA547" s="2" t="s">
        <v>3231</v>
      </c>
      <c r="AB547" s="2" t="s">
        <v>53</v>
      </c>
      <c r="AC547" s="4" t="s">
        <v>44</v>
      </c>
    </row>
    <row r="548" spans="1:29" x14ac:dyDescent="0.25">
      <c r="A548" s="1">
        <v>3094</v>
      </c>
      <c r="B548" s="17" t="s">
        <v>3343</v>
      </c>
      <c r="C548" s="2" t="s">
        <v>3344</v>
      </c>
      <c r="D548" s="15" t="s">
        <v>1191</v>
      </c>
      <c r="E548" s="9" t="s">
        <v>1037</v>
      </c>
      <c r="F548" s="9" t="s">
        <v>3345</v>
      </c>
      <c r="G548" s="9" t="s">
        <v>3346</v>
      </c>
      <c r="H548" s="2" t="s">
        <v>35</v>
      </c>
      <c r="I548" s="3">
        <v>36141</v>
      </c>
      <c r="J548" s="9" t="str">
        <f t="shared" ca="1" si="10"/>
        <v>24 ans</v>
      </c>
      <c r="K548" s="2" t="s">
        <v>123</v>
      </c>
      <c r="L548" s="2" t="str">
        <f>"219"</f>
        <v>219</v>
      </c>
      <c r="M548" s="2"/>
      <c r="N548" s="2" t="str">
        <f>"RUE ALBANI"</f>
        <v>RUE ALBANI</v>
      </c>
      <c r="O548" s="2" t="s">
        <v>3185</v>
      </c>
      <c r="P548" s="9" t="str">
        <f>VLOOKUP($O548,'Liste des Villes'!$B$2:$B$1128,1,FALSE)</f>
        <v>Saint-Jérôme</v>
      </c>
      <c r="Q548" s="9" t="str">
        <f>IFERROR($P548,PROPER(VLOOKUP($O548,'Villes en erreur'!$A$2:$B$72,2,FALSE)))</f>
        <v>Saint-Jérôme</v>
      </c>
      <c r="R548" s="9" t="s">
        <v>3186</v>
      </c>
      <c r="S548" s="9" t="str">
        <f>IF(ISBLANK($R548),"",VLOOKUP($R548,'Liste des Villes'!$B$2:$H$1128,4,FALSE))</f>
        <v>Laurentides</v>
      </c>
      <c r="T548" s="2" t="s">
        <v>3347</v>
      </c>
      <c r="U548" s="2" t="s">
        <v>39</v>
      </c>
      <c r="V548" s="2" t="s">
        <v>40</v>
      </c>
      <c r="W548" s="2" t="s">
        <v>3348</v>
      </c>
      <c r="X548" s="2"/>
      <c r="Y548" s="2"/>
      <c r="Z548" s="2"/>
      <c r="AA548" s="2" t="s">
        <v>832</v>
      </c>
      <c r="AB548" s="2" t="s">
        <v>3221</v>
      </c>
      <c r="AC548" s="4" t="s">
        <v>44</v>
      </c>
    </row>
    <row r="549" spans="1:29" x14ac:dyDescent="0.25">
      <c r="A549" s="1">
        <v>238</v>
      </c>
      <c r="B549" s="17" t="s">
        <v>3349</v>
      </c>
      <c r="C549" s="2" t="s">
        <v>163</v>
      </c>
      <c r="D549" s="15" t="s">
        <v>164</v>
      </c>
      <c r="E549" s="9" t="s">
        <v>165</v>
      </c>
      <c r="F549" s="9" t="s">
        <v>3350</v>
      </c>
      <c r="G549" s="9" t="s">
        <v>3351</v>
      </c>
      <c r="H549" s="2" t="s">
        <v>35</v>
      </c>
      <c r="I549" s="3">
        <v>35849</v>
      </c>
      <c r="J549" s="9" t="str">
        <f t="shared" ca="1" si="10"/>
        <v>25 ans</v>
      </c>
      <c r="K549" s="2" t="s">
        <v>123</v>
      </c>
      <c r="L549" s="2" t="str">
        <f>"149"</f>
        <v>149</v>
      </c>
      <c r="M549" s="2"/>
      <c r="N549" s="2" t="str">
        <f>"LÉGER BLVD"</f>
        <v>LÉGER BLVD</v>
      </c>
      <c r="O549" s="2" t="s">
        <v>3185</v>
      </c>
      <c r="P549" s="9" t="str">
        <f>VLOOKUP($O549,'Liste des Villes'!$B$2:$B$1128,1,FALSE)</f>
        <v>Saint-Jérôme</v>
      </c>
      <c r="Q549" s="9" t="str">
        <f>IFERROR($P549,PROPER(VLOOKUP($O549,'Villes en erreur'!$A$2:$B$72,2,FALSE)))</f>
        <v>Saint-Jérôme</v>
      </c>
      <c r="R549" s="9" t="s">
        <v>3186</v>
      </c>
      <c r="S549" s="9" t="str">
        <f>IF(ISBLANK($R549),"",VLOOKUP($R549,'Liste des Villes'!$B$2:$H$1128,4,FALSE))</f>
        <v>Laurentides</v>
      </c>
      <c r="T549" s="2" t="s">
        <v>3352</v>
      </c>
      <c r="U549" s="2" t="s">
        <v>39</v>
      </c>
      <c r="V549" s="2" t="s">
        <v>40</v>
      </c>
      <c r="W549" s="2" t="s">
        <v>3353</v>
      </c>
      <c r="X549" s="2"/>
      <c r="Y549" s="2"/>
      <c r="Z549" s="2"/>
      <c r="AA549" s="2" t="s">
        <v>3243</v>
      </c>
      <c r="AB549" s="2" t="s">
        <v>3221</v>
      </c>
      <c r="AC549" s="4" t="s">
        <v>44</v>
      </c>
    </row>
    <row r="550" spans="1:29" x14ac:dyDescent="0.25">
      <c r="A550" s="1">
        <v>2601</v>
      </c>
      <c r="B550" s="17" t="s">
        <v>3354</v>
      </c>
      <c r="C550" s="2" t="s">
        <v>3355</v>
      </c>
      <c r="D550" s="15" t="s">
        <v>3356</v>
      </c>
      <c r="E550" s="9" t="s">
        <v>1642</v>
      </c>
      <c r="F550" s="9" t="s">
        <v>3357</v>
      </c>
      <c r="G550" s="9" t="s">
        <v>1246</v>
      </c>
      <c r="H550" s="2" t="s">
        <v>35</v>
      </c>
      <c r="I550" s="3">
        <v>34145</v>
      </c>
      <c r="J550" s="9" t="str">
        <f t="shared" ca="1" si="10"/>
        <v>30 ans</v>
      </c>
      <c r="K550" s="2" t="s">
        <v>36</v>
      </c>
      <c r="L550" s="2" t="str">
        <f>"47"</f>
        <v>47</v>
      </c>
      <c r="M550" s="2"/>
      <c r="N550" s="2" t="str">
        <f>"BOULEVARD DE FONTAINEBLEAU"</f>
        <v>BOULEVARD DE FONTAINEBLEAU</v>
      </c>
      <c r="O550" s="2" t="s">
        <v>3185</v>
      </c>
      <c r="P550" s="9" t="str">
        <f>VLOOKUP($O550,'Liste des Villes'!$B$2:$B$1128,1,FALSE)</f>
        <v>Saint-Jérôme</v>
      </c>
      <c r="Q550" s="9" t="str">
        <f>IFERROR($P550,PROPER(VLOOKUP($O550,'Villes en erreur'!$A$2:$B$72,2,FALSE)))</f>
        <v>Saint-Jérôme</v>
      </c>
      <c r="R550" s="9" t="s">
        <v>3186</v>
      </c>
      <c r="S550" s="9" t="str">
        <f>IF(ISBLANK($R550),"",VLOOKUP($R550,'Liste des Villes'!$B$2:$H$1128,4,FALSE))</f>
        <v>Laurentides</v>
      </c>
      <c r="T550" s="2" t="s">
        <v>3358</v>
      </c>
      <c r="U550" s="2" t="s">
        <v>39</v>
      </c>
      <c r="V550" s="2" t="s">
        <v>40</v>
      </c>
      <c r="W550" s="2" t="s">
        <v>3359</v>
      </c>
      <c r="X550" s="2"/>
      <c r="Y550" s="2"/>
      <c r="Z550" s="2"/>
      <c r="AA550" s="2" t="s">
        <v>3360</v>
      </c>
      <c r="AB550" s="2" t="s">
        <v>53</v>
      </c>
      <c r="AC550" s="4" t="s">
        <v>44</v>
      </c>
    </row>
    <row r="551" spans="1:29" x14ac:dyDescent="0.25">
      <c r="A551" s="1">
        <v>1766</v>
      </c>
      <c r="B551" s="17" t="s">
        <v>3361</v>
      </c>
      <c r="C551" s="2" t="s">
        <v>3362</v>
      </c>
      <c r="D551" s="15" t="s">
        <v>2108</v>
      </c>
      <c r="E551" s="9" t="s">
        <v>3363</v>
      </c>
      <c r="F551" s="9" t="s">
        <v>2106</v>
      </c>
      <c r="G551" s="9" t="s">
        <v>3364</v>
      </c>
      <c r="H551" s="2" t="s">
        <v>60</v>
      </c>
      <c r="I551" s="3">
        <v>36038</v>
      </c>
      <c r="J551" s="9" t="str">
        <f t="shared" ca="1" si="10"/>
        <v>24 ans</v>
      </c>
      <c r="K551" s="2" t="s">
        <v>123</v>
      </c>
      <c r="L551" s="2" t="str">
        <f>"185"</f>
        <v>185</v>
      </c>
      <c r="M551" s="2"/>
      <c r="N551" s="2" t="str">
        <f>"PLACE PINEAULT"</f>
        <v>PLACE PINEAULT</v>
      </c>
      <c r="O551" s="2" t="s">
        <v>3185</v>
      </c>
      <c r="P551" s="9" t="str">
        <f>VLOOKUP($O551,'Liste des Villes'!$B$2:$B$1128,1,FALSE)</f>
        <v>Saint-Jérôme</v>
      </c>
      <c r="Q551" s="9" t="str">
        <f>IFERROR($P551,PROPER(VLOOKUP($O551,'Villes en erreur'!$A$2:$B$72,2,FALSE)))</f>
        <v>Saint-Jérôme</v>
      </c>
      <c r="R551" s="9" t="s">
        <v>3186</v>
      </c>
      <c r="S551" s="9" t="str">
        <f>IF(ISBLANK($R551),"",VLOOKUP($R551,'Liste des Villes'!$B$2:$H$1128,4,FALSE))</f>
        <v>Laurentides</v>
      </c>
      <c r="T551" s="2" t="s">
        <v>3365</v>
      </c>
      <c r="U551" s="2" t="s">
        <v>39</v>
      </c>
      <c r="V551" s="2" t="s">
        <v>40</v>
      </c>
      <c r="W551" s="2" t="s">
        <v>3366</v>
      </c>
      <c r="X551" s="2"/>
      <c r="Y551" s="2"/>
      <c r="Z551" s="2"/>
      <c r="AA551" s="2" t="s">
        <v>832</v>
      </c>
      <c r="AB551" s="2" t="s">
        <v>3221</v>
      </c>
      <c r="AC551" s="4" t="s">
        <v>44</v>
      </c>
    </row>
    <row r="552" spans="1:29" x14ac:dyDescent="0.25">
      <c r="A552" s="1">
        <v>760</v>
      </c>
      <c r="B552" s="17" t="s">
        <v>3367</v>
      </c>
      <c r="C552" s="2" t="s">
        <v>3368</v>
      </c>
      <c r="D552" s="15" t="s">
        <v>3042</v>
      </c>
      <c r="E552" s="9" t="s">
        <v>3274</v>
      </c>
      <c r="F552" s="9" t="s">
        <v>3041</v>
      </c>
      <c r="G552" s="9" t="s">
        <v>92</v>
      </c>
      <c r="H552" s="2" t="s">
        <v>35</v>
      </c>
      <c r="I552" s="3">
        <v>35434</v>
      </c>
      <c r="J552" s="9" t="str">
        <f t="shared" ca="1" si="10"/>
        <v>26 ans</v>
      </c>
      <c r="K552" s="2" t="s">
        <v>36</v>
      </c>
      <c r="L552" s="2" t="str">
        <f>"115"</f>
        <v>115</v>
      </c>
      <c r="M552" s="2"/>
      <c r="N552" s="2" t="str">
        <f>"CHEMIN DU MONT-JASPER"</f>
        <v>CHEMIN DU MONT-JASPER</v>
      </c>
      <c r="O552" s="2" t="s">
        <v>3185</v>
      </c>
      <c r="P552" s="9" t="str">
        <f>VLOOKUP($O552,'Liste des Villes'!$B$2:$B$1128,1,FALSE)</f>
        <v>Saint-Jérôme</v>
      </c>
      <c r="Q552" s="9" t="str">
        <f>IFERROR($P552,PROPER(VLOOKUP($O552,'Villes en erreur'!$A$2:$B$72,2,FALSE)))</f>
        <v>Saint-Jérôme</v>
      </c>
      <c r="R552" s="9" t="s">
        <v>3186</v>
      </c>
      <c r="S552" s="9" t="str">
        <f>IF(ISBLANK($R552),"",VLOOKUP($R552,'Liste des Villes'!$B$2:$H$1128,4,FALSE))</f>
        <v>Laurentides</v>
      </c>
      <c r="T552" s="2" t="s">
        <v>3369</v>
      </c>
      <c r="U552" s="2" t="s">
        <v>39</v>
      </c>
      <c r="V552" s="2" t="s">
        <v>40</v>
      </c>
      <c r="W552" s="2" t="s">
        <v>3370</v>
      </c>
      <c r="X552" s="2"/>
      <c r="Y552" s="2"/>
      <c r="Z552" s="2"/>
      <c r="AA552" s="2" t="s">
        <v>3199</v>
      </c>
      <c r="AB552" s="2" t="s">
        <v>3200</v>
      </c>
      <c r="AC552" s="4" t="s">
        <v>44</v>
      </c>
    </row>
    <row r="553" spans="1:29" x14ac:dyDescent="0.25">
      <c r="A553" s="1">
        <v>312</v>
      </c>
      <c r="B553" s="17" t="s">
        <v>3371</v>
      </c>
      <c r="C553" s="2" t="s">
        <v>3372</v>
      </c>
      <c r="D553" s="15" t="s">
        <v>562</v>
      </c>
      <c r="E553" s="9" t="s">
        <v>3373</v>
      </c>
      <c r="F553" s="9" t="s">
        <v>3374</v>
      </c>
      <c r="G553" s="9" t="s">
        <v>3375</v>
      </c>
      <c r="H553" s="2" t="s">
        <v>60</v>
      </c>
      <c r="I553" s="3">
        <v>36217</v>
      </c>
      <c r="J553" s="9" t="str">
        <f t="shared" ca="1" si="10"/>
        <v>24 ans</v>
      </c>
      <c r="K553" s="2" t="s">
        <v>123</v>
      </c>
      <c r="L553" s="2" t="str">
        <f>"253"</f>
        <v>253</v>
      </c>
      <c r="M553" s="2"/>
      <c r="N553" s="2" t="str">
        <f>"RUE BEAUCHAMPS"</f>
        <v>RUE BEAUCHAMPS</v>
      </c>
      <c r="O553" s="2" t="s">
        <v>3185</v>
      </c>
      <c r="P553" s="9" t="str">
        <f>VLOOKUP($O553,'Liste des Villes'!$B$2:$B$1128,1,FALSE)</f>
        <v>Saint-Jérôme</v>
      </c>
      <c r="Q553" s="9" t="str">
        <f>IFERROR($P553,PROPER(VLOOKUP($O553,'Villes en erreur'!$A$2:$B$72,2,FALSE)))</f>
        <v>Saint-Jérôme</v>
      </c>
      <c r="R553" s="9" t="s">
        <v>3186</v>
      </c>
      <c r="S553" s="9" t="str">
        <f>IF(ISBLANK($R553),"",VLOOKUP($R553,'Liste des Villes'!$B$2:$H$1128,4,FALSE))</f>
        <v>Laurentides</v>
      </c>
      <c r="T553" s="2" t="s">
        <v>3376</v>
      </c>
      <c r="U553" s="2" t="s">
        <v>39</v>
      </c>
      <c r="V553" s="2" t="s">
        <v>40</v>
      </c>
      <c r="W553" s="2" t="s">
        <v>3377</v>
      </c>
      <c r="X553" s="2"/>
      <c r="Y553" s="2"/>
      <c r="Z553" s="2"/>
      <c r="AA553" s="2" t="s">
        <v>832</v>
      </c>
      <c r="AB553" s="2" t="s">
        <v>3288</v>
      </c>
      <c r="AC553" s="4" t="s">
        <v>44</v>
      </c>
    </row>
    <row r="554" spans="1:29" x14ac:dyDescent="0.25">
      <c r="A554" s="1">
        <v>3355</v>
      </c>
      <c r="B554" s="17" t="s">
        <v>3378</v>
      </c>
      <c r="C554" s="2" t="s">
        <v>3379</v>
      </c>
      <c r="D554" s="15" t="s">
        <v>3380</v>
      </c>
      <c r="E554" s="9" t="s">
        <v>775</v>
      </c>
      <c r="F554" s="9" t="s">
        <v>3381</v>
      </c>
      <c r="G554" s="9" t="s">
        <v>2978</v>
      </c>
      <c r="H554" s="2" t="s">
        <v>60</v>
      </c>
      <c r="I554" s="3">
        <v>35663</v>
      </c>
      <c r="J554" s="9" t="str">
        <f t="shared" ca="1" si="10"/>
        <v>26 ans</v>
      </c>
      <c r="K554" s="2" t="s">
        <v>36</v>
      </c>
      <c r="L554" s="2" t="str">
        <f>"132"</f>
        <v>132</v>
      </c>
      <c r="M554" s="2"/>
      <c r="N554" s="2" t="str">
        <f>"DE SAINTE-MARCELLE BLVD"</f>
        <v>DE SAINTE-MARCELLE BLVD</v>
      </c>
      <c r="O554" s="2" t="s">
        <v>3185</v>
      </c>
      <c r="P554" s="9" t="str">
        <f>VLOOKUP($O554,'Liste des Villes'!$B$2:$B$1128,1,FALSE)</f>
        <v>Saint-Jérôme</v>
      </c>
      <c r="Q554" s="9" t="str">
        <f>IFERROR($P554,PROPER(VLOOKUP($O554,'Villes en erreur'!$A$2:$B$72,2,FALSE)))</f>
        <v>Saint-Jérôme</v>
      </c>
      <c r="R554" s="9" t="s">
        <v>3186</v>
      </c>
      <c r="S554" s="9" t="str">
        <f>IF(ISBLANK($R554),"",VLOOKUP($R554,'Liste des Villes'!$B$2:$H$1128,4,FALSE))</f>
        <v>Laurentides</v>
      </c>
      <c r="T554" s="2" t="s">
        <v>3382</v>
      </c>
      <c r="U554" s="2" t="s">
        <v>39</v>
      </c>
      <c r="V554" s="2" t="s">
        <v>40</v>
      </c>
      <c r="W554" s="2" t="s">
        <v>3383</v>
      </c>
      <c r="X554" s="2"/>
      <c r="Y554" s="2"/>
      <c r="Z554" s="2"/>
      <c r="AA554" s="2" t="s">
        <v>3243</v>
      </c>
      <c r="AB554" s="2" t="s">
        <v>3221</v>
      </c>
      <c r="AC554" s="4" t="s">
        <v>44</v>
      </c>
    </row>
    <row r="555" spans="1:29" x14ac:dyDescent="0.25">
      <c r="A555" s="1">
        <v>3007</v>
      </c>
      <c r="B555" s="17" t="s">
        <v>3384</v>
      </c>
      <c r="C555" s="2" t="s">
        <v>2851</v>
      </c>
      <c r="D555" s="15" t="s">
        <v>825</v>
      </c>
      <c r="E555" s="9" t="s">
        <v>271</v>
      </c>
      <c r="F555" s="9" t="s">
        <v>3385</v>
      </c>
      <c r="G555" s="9" t="s">
        <v>3386</v>
      </c>
      <c r="H555" s="2" t="s">
        <v>60</v>
      </c>
      <c r="I555" s="3">
        <v>35959</v>
      </c>
      <c r="J555" s="9" t="str">
        <f t="shared" ca="1" si="10"/>
        <v>25 ans</v>
      </c>
      <c r="K555" s="2" t="s">
        <v>123</v>
      </c>
      <c r="L555" s="2" t="str">
        <f>"170"</f>
        <v>170</v>
      </c>
      <c r="M555" s="2"/>
      <c r="N555" s="2" t="str">
        <f>"Parent"</f>
        <v>Parent</v>
      </c>
      <c r="O555" s="2" t="s">
        <v>3185</v>
      </c>
      <c r="P555" s="9" t="str">
        <f>VLOOKUP($O555,'Liste des Villes'!$B$2:$B$1128,1,FALSE)</f>
        <v>Saint-Jérôme</v>
      </c>
      <c r="Q555" s="9" t="str">
        <f>IFERROR($P555,PROPER(VLOOKUP($O555,'Villes en erreur'!$A$2:$B$72,2,FALSE)))</f>
        <v>Saint-Jérôme</v>
      </c>
      <c r="R555" s="9" t="s">
        <v>3186</v>
      </c>
      <c r="S555" s="9" t="str">
        <f>IF(ISBLANK($R555),"",VLOOKUP($R555,'Liste des Villes'!$B$2:$H$1128,4,FALSE))</f>
        <v>Laurentides</v>
      </c>
      <c r="T555" s="2" t="s">
        <v>3387</v>
      </c>
      <c r="U555" s="2" t="s">
        <v>39</v>
      </c>
      <c r="V555" s="2" t="s">
        <v>40</v>
      </c>
      <c r="W555" s="2" t="s">
        <v>3388</v>
      </c>
      <c r="X555" s="2"/>
      <c r="Y555" s="2"/>
      <c r="Z555" s="2"/>
      <c r="AA555" s="2" t="s">
        <v>832</v>
      </c>
      <c r="AB555" s="2" t="s">
        <v>3221</v>
      </c>
      <c r="AC555" s="4" t="s">
        <v>44</v>
      </c>
    </row>
    <row r="556" spans="1:29" x14ac:dyDescent="0.25">
      <c r="A556" s="1">
        <v>1581</v>
      </c>
      <c r="B556" s="17" t="s">
        <v>3389</v>
      </c>
      <c r="C556" s="2" t="s">
        <v>3390</v>
      </c>
      <c r="D556" s="15" t="s">
        <v>326</v>
      </c>
      <c r="E556" s="9" t="s">
        <v>469</v>
      </c>
      <c r="F556" s="9" t="s">
        <v>324</v>
      </c>
      <c r="G556" s="9" t="s">
        <v>495</v>
      </c>
      <c r="H556" s="2" t="s">
        <v>35</v>
      </c>
      <c r="I556" s="3">
        <v>34509</v>
      </c>
      <c r="J556" s="9" t="str">
        <f t="shared" ca="1" si="10"/>
        <v>29 ans</v>
      </c>
      <c r="K556" s="2" t="s">
        <v>36</v>
      </c>
      <c r="L556" s="2" t="str">
        <f>"62"</f>
        <v>62</v>
      </c>
      <c r="M556" s="2"/>
      <c r="N556" s="2" t="str">
        <f>"CH CAMBRIA"</f>
        <v>CH CAMBRIA</v>
      </c>
      <c r="O556" s="2" t="s">
        <v>3185</v>
      </c>
      <c r="P556" s="9" t="str">
        <f>VLOOKUP($O556,'Liste des Villes'!$B$2:$B$1128,1,FALSE)</f>
        <v>Saint-Jérôme</v>
      </c>
      <c r="Q556" s="9" t="str">
        <f>IFERROR($P556,PROPER(VLOOKUP($O556,'Villes en erreur'!$A$2:$B$72,2,FALSE)))</f>
        <v>Saint-Jérôme</v>
      </c>
      <c r="R556" s="9" t="s">
        <v>3186</v>
      </c>
      <c r="S556" s="9" t="str">
        <f>IF(ISBLANK($R556),"",VLOOKUP($R556,'Liste des Villes'!$B$2:$H$1128,4,FALSE))</f>
        <v>Laurentides</v>
      </c>
      <c r="T556" s="2" t="s">
        <v>3391</v>
      </c>
      <c r="U556" s="2" t="s">
        <v>39</v>
      </c>
      <c r="V556" s="2" t="s">
        <v>40</v>
      </c>
      <c r="W556" s="2" t="s">
        <v>3392</v>
      </c>
      <c r="X556" s="2"/>
      <c r="Y556" s="2"/>
      <c r="Z556" s="2"/>
      <c r="AA556" s="2" t="s">
        <v>3293</v>
      </c>
      <c r="AB556" s="2" t="s">
        <v>53</v>
      </c>
      <c r="AC556" s="4" t="s">
        <v>44</v>
      </c>
    </row>
    <row r="557" spans="1:29" x14ac:dyDescent="0.25">
      <c r="A557" s="1">
        <v>2527</v>
      </c>
      <c r="B557" s="17" t="s">
        <v>3393</v>
      </c>
      <c r="C557" s="2" t="s">
        <v>3394</v>
      </c>
      <c r="D557" s="15" t="s">
        <v>3395</v>
      </c>
      <c r="E557" s="9" t="s">
        <v>664</v>
      </c>
      <c r="F557" s="9" t="s">
        <v>3396</v>
      </c>
      <c r="G557" s="9" t="s">
        <v>3397</v>
      </c>
      <c r="H557" s="2" t="s">
        <v>60</v>
      </c>
      <c r="I557" s="3">
        <v>35304</v>
      </c>
      <c r="J557" s="9" t="str">
        <f t="shared" ca="1" si="10"/>
        <v>26 ans</v>
      </c>
      <c r="K557" s="2" t="s">
        <v>36</v>
      </c>
      <c r="L557" s="2" t="str">
        <f>"108"</f>
        <v>108</v>
      </c>
      <c r="M557" s="2"/>
      <c r="N557" s="2" t="str">
        <f>"CHEMIN DES BOIS BLANCS"</f>
        <v>CHEMIN DES BOIS BLANCS</v>
      </c>
      <c r="O557" s="2" t="s">
        <v>3185</v>
      </c>
      <c r="P557" s="9" t="str">
        <f>VLOOKUP($O557,'Liste des Villes'!$B$2:$B$1128,1,FALSE)</f>
        <v>Saint-Jérôme</v>
      </c>
      <c r="Q557" s="9" t="str">
        <f>IFERROR($P557,PROPER(VLOOKUP($O557,'Villes en erreur'!$A$2:$B$72,2,FALSE)))</f>
        <v>Saint-Jérôme</v>
      </c>
      <c r="R557" s="9" t="s">
        <v>3186</v>
      </c>
      <c r="S557" s="9" t="str">
        <f>IF(ISBLANK($R557),"",VLOOKUP($R557,'Liste des Villes'!$B$2:$H$1128,4,FALSE))</f>
        <v>Laurentides</v>
      </c>
      <c r="T557" s="2" t="s">
        <v>3398</v>
      </c>
      <c r="U557" s="2" t="s">
        <v>39</v>
      </c>
      <c r="V557" s="2" t="s">
        <v>40</v>
      </c>
      <c r="W557" s="2" t="s">
        <v>3399</v>
      </c>
      <c r="X557" s="2"/>
      <c r="Y557" s="2"/>
      <c r="Z557" s="2"/>
      <c r="AA557" s="2" t="s">
        <v>3189</v>
      </c>
      <c r="AB557" s="2" t="s">
        <v>3200</v>
      </c>
      <c r="AC557" s="4" t="s">
        <v>44</v>
      </c>
    </row>
    <row r="558" spans="1:29" x14ac:dyDescent="0.25">
      <c r="A558" s="1">
        <v>1992</v>
      </c>
      <c r="B558" s="17" t="s">
        <v>3400</v>
      </c>
      <c r="C558" s="2" t="s">
        <v>3401</v>
      </c>
      <c r="D558" s="15" t="s">
        <v>3402</v>
      </c>
      <c r="E558" s="9" t="s">
        <v>277</v>
      </c>
      <c r="F558" s="9" t="s">
        <v>3403</v>
      </c>
      <c r="G558" s="9" t="s">
        <v>3404</v>
      </c>
      <c r="H558" s="2" t="s">
        <v>35</v>
      </c>
      <c r="I558" s="3">
        <v>35687</v>
      </c>
      <c r="J558" s="9" t="str">
        <f t="shared" ca="1" si="10"/>
        <v>25 ans</v>
      </c>
      <c r="K558" s="2" t="s">
        <v>123</v>
      </c>
      <c r="L558" s="2" t="str">
        <f>"135"</f>
        <v>135</v>
      </c>
      <c r="M558" s="2"/>
      <c r="N558" s="2" t="str">
        <f>"DES MÉLÈZES"</f>
        <v>DES MÉLÈZES</v>
      </c>
      <c r="O558" s="2" t="s">
        <v>3185</v>
      </c>
      <c r="P558" s="9" t="str">
        <f>VLOOKUP($O558,'Liste des Villes'!$B$2:$B$1128,1,FALSE)</f>
        <v>Saint-Jérôme</v>
      </c>
      <c r="Q558" s="9" t="str">
        <f>IFERROR($P558,PROPER(VLOOKUP($O558,'Villes en erreur'!$A$2:$B$72,2,FALSE)))</f>
        <v>Saint-Jérôme</v>
      </c>
      <c r="R558" s="9" t="s">
        <v>3186</v>
      </c>
      <c r="S558" s="9" t="str">
        <f>IF(ISBLANK($R558),"",VLOOKUP($R558,'Liste des Villes'!$B$2:$H$1128,4,FALSE))</f>
        <v>Laurentides</v>
      </c>
      <c r="T558" s="2" t="s">
        <v>3405</v>
      </c>
      <c r="U558" s="2" t="s">
        <v>39</v>
      </c>
      <c r="V558" s="2" t="s">
        <v>40</v>
      </c>
      <c r="W558" s="2" t="s">
        <v>3406</v>
      </c>
      <c r="X558" s="2"/>
      <c r="Y558" s="2"/>
      <c r="Z558" s="2"/>
      <c r="AA558" s="2" t="s">
        <v>3243</v>
      </c>
      <c r="AB558" s="2" t="s">
        <v>3221</v>
      </c>
      <c r="AC558" s="4" t="s">
        <v>44</v>
      </c>
    </row>
    <row r="559" spans="1:29" x14ac:dyDescent="0.25">
      <c r="A559" s="1">
        <v>1870</v>
      </c>
      <c r="B559" s="17" t="s">
        <v>3407</v>
      </c>
      <c r="C559" s="2" t="s">
        <v>3408</v>
      </c>
      <c r="D559" s="15" t="s">
        <v>518</v>
      </c>
      <c r="E559" s="9" t="s">
        <v>3409</v>
      </c>
      <c r="F559" s="9" t="s">
        <v>520</v>
      </c>
      <c r="G559" s="9" t="s">
        <v>431</v>
      </c>
      <c r="H559" s="2" t="s">
        <v>60</v>
      </c>
      <c r="I559" s="3">
        <v>35900</v>
      </c>
      <c r="J559" s="9" t="str">
        <f t="shared" ca="1" si="10"/>
        <v>25 ans</v>
      </c>
      <c r="K559" s="2" t="s">
        <v>123</v>
      </c>
      <c r="L559" s="2" t="str">
        <f>"156"</f>
        <v>156</v>
      </c>
      <c r="M559" s="2"/>
      <c r="N559" s="2" t="str">
        <f>"MONTEE DE L'ÉGLISE"</f>
        <v>MONTEE DE L'ÉGLISE</v>
      </c>
      <c r="O559" s="2" t="s">
        <v>3185</v>
      </c>
      <c r="P559" s="9" t="str">
        <f>VLOOKUP($O559,'Liste des Villes'!$B$2:$B$1128,1,FALSE)</f>
        <v>Saint-Jérôme</v>
      </c>
      <c r="Q559" s="9" t="str">
        <f>IFERROR($P559,PROPER(VLOOKUP($O559,'Villes en erreur'!$A$2:$B$72,2,FALSE)))</f>
        <v>Saint-Jérôme</v>
      </c>
      <c r="R559" s="9" t="s">
        <v>3186</v>
      </c>
      <c r="S559" s="9" t="str">
        <f>IF(ISBLANK($R559),"",VLOOKUP($R559,'Liste des Villes'!$B$2:$H$1128,4,FALSE))</f>
        <v>Laurentides</v>
      </c>
      <c r="T559" s="2" t="s">
        <v>3410</v>
      </c>
      <c r="U559" s="2" t="s">
        <v>39</v>
      </c>
      <c r="V559" s="2" t="s">
        <v>40</v>
      </c>
      <c r="W559" s="2" t="s">
        <v>3411</v>
      </c>
      <c r="X559" s="2"/>
      <c r="Y559" s="2"/>
      <c r="Z559" s="2"/>
      <c r="AA559" s="2" t="s">
        <v>3243</v>
      </c>
      <c r="AB559" s="2" t="s">
        <v>3221</v>
      </c>
      <c r="AC559" s="4" t="s">
        <v>44</v>
      </c>
    </row>
    <row r="560" spans="1:29" x14ac:dyDescent="0.25">
      <c r="A560" s="1">
        <v>1485</v>
      </c>
      <c r="B560" s="17" t="s">
        <v>3412</v>
      </c>
      <c r="C560" s="2" t="s">
        <v>3413</v>
      </c>
      <c r="D560" s="15" t="s">
        <v>1016</v>
      </c>
      <c r="E560" s="9" t="s">
        <v>131</v>
      </c>
      <c r="F560" s="9" t="s">
        <v>3414</v>
      </c>
      <c r="G560" s="9" t="s">
        <v>186</v>
      </c>
      <c r="H560" s="2" t="s">
        <v>60</v>
      </c>
      <c r="I560" s="3">
        <v>34865</v>
      </c>
      <c r="J560" s="9" t="str">
        <f t="shared" ca="1" si="10"/>
        <v>28 ans</v>
      </c>
      <c r="K560" s="2" t="s">
        <v>36</v>
      </c>
      <c r="L560" s="2" t="str">
        <f>"81"</f>
        <v>81</v>
      </c>
      <c r="M560" s="2"/>
      <c r="N560" s="2" t="str">
        <f>"CH DES PETITS-SOLEILS"</f>
        <v>CH DES PETITS-SOLEILS</v>
      </c>
      <c r="O560" s="2" t="s">
        <v>3185</v>
      </c>
      <c r="P560" s="9" t="str">
        <f>VLOOKUP($O560,'Liste des Villes'!$B$2:$B$1128,1,FALSE)</f>
        <v>Saint-Jérôme</v>
      </c>
      <c r="Q560" s="9" t="str">
        <f>IFERROR($P560,PROPER(VLOOKUP($O560,'Villes en erreur'!$A$2:$B$72,2,FALSE)))</f>
        <v>Saint-Jérôme</v>
      </c>
      <c r="R560" s="9" t="s">
        <v>3186</v>
      </c>
      <c r="S560" s="9" t="str">
        <f>IF(ISBLANK($R560),"",VLOOKUP($R560,'Liste des Villes'!$B$2:$H$1128,4,FALSE))</f>
        <v>Laurentides</v>
      </c>
      <c r="T560" s="2" t="s">
        <v>3187</v>
      </c>
      <c r="U560" s="2" t="s">
        <v>39</v>
      </c>
      <c r="V560" s="2" t="s">
        <v>40</v>
      </c>
      <c r="W560" s="2" t="s">
        <v>3415</v>
      </c>
      <c r="X560" s="2"/>
      <c r="Y560" s="2"/>
      <c r="Z560" s="2"/>
      <c r="AA560" s="2" t="s">
        <v>3231</v>
      </c>
      <c r="AB560" s="2" t="s">
        <v>53</v>
      </c>
      <c r="AC560" s="4" t="s">
        <v>44</v>
      </c>
    </row>
    <row r="561" spans="1:29" x14ac:dyDescent="0.25">
      <c r="A561" s="1">
        <v>1616</v>
      </c>
      <c r="B561" s="17" t="s">
        <v>3416</v>
      </c>
      <c r="C561" s="2" t="s">
        <v>3417</v>
      </c>
      <c r="D561" s="15" t="s">
        <v>3418</v>
      </c>
      <c r="E561" s="9" t="s">
        <v>3274</v>
      </c>
      <c r="F561" s="9" t="s">
        <v>3419</v>
      </c>
      <c r="G561" s="9" t="s">
        <v>380</v>
      </c>
      <c r="H561" s="2" t="s">
        <v>60</v>
      </c>
      <c r="I561" s="3">
        <v>34384</v>
      </c>
      <c r="J561" s="9" t="str">
        <f t="shared" ca="1" si="10"/>
        <v>29 ans</v>
      </c>
      <c r="K561" s="2" t="s">
        <v>36</v>
      </c>
      <c r="L561" s="2" t="str">
        <f>"56"</f>
        <v>56</v>
      </c>
      <c r="M561" s="2"/>
      <c r="N561" s="2" t="str">
        <f>"BROSSEAU"</f>
        <v>BROSSEAU</v>
      </c>
      <c r="O561" s="2" t="s">
        <v>3185</v>
      </c>
      <c r="P561" s="9" t="str">
        <f>VLOOKUP($O561,'Liste des Villes'!$B$2:$B$1128,1,FALSE)</f>
        <v>Saint-Jérôme</v>
      </c>
      <c r="Q561" s="9" t="str">
        <f>IFERROR($P561,PROPER(VLOOKUP($O561,'Villes en erreur'!$A$2:$B$72,2,FALSE)))</f>
        <v>Saint-Jérôme</v>
      </c>
      <c r="R561" s="9" t="s">
        <v>3186</v>
      </c>
      <c r="S561" s="9" t="str">
        <f>IF(ISBLANK($R561),"",VLOOKUP($R561,'Liste des Villes'!$B$2:$H$1128,4,FALSE))</f>
        <v>Laurentides</v>
      </c>
      <c r="T561" s="2" t="s">
        <v>3291</v>
      </c>
      <c r="U561" s="2" t="s">
        <v>39</v>
      </c>
      <c r="V561" s="2" t="s">
        <v>40</v>
      </c>
      <c r="W561" s="2" t="s">
        <v>3420</v>
      </c>
      <c r="X561" s="2"/>
      <c r="Y561" s="2"/>
      <c r="Z561" s="2"/>
      <c r="AA561" s="2" t="s">
        <v>3293</v>
      </c>
      <c r="AB561" s="2" t="s">
        <v>53</v>
      </c>
      <c r="AC561" s="4" t="s">
        <v>44</v>
      </c>
    </row>
    <row r="562" spans="1:29" x14ac:dyDescent="0.25">
      <c r="A562" s="1">
        <v>2905</v>
      </c>
      <c r="B562" s="17" t="s">
        <v>3421</v>
      </c>
      <c r="C562" s="2" t="s">
        <v>3422</v>
      </c>
      <c r="D562" s="15" t="s">
        <v>1098</v>
      </c>
      <c r="E562" s="9" t="s">
        <v>3423</v>
      </c>
      <c r="F562" s="9" t="s">
        <v>3424</v>
      </c>
      <c r="G562" s="9" t="s">
        <v>186</v>
      </c>
      <c r="H562" s="2" t="s">
        <v>60</v>
      </c>
      <c r="I562" s="3">
        <v>34916</v>
      </c>
      <c r="J562" s="9" t="str">
        <f t="shared" ca="1" si="10"/>
        <v>28 ans</v>
      </c>
      <c r="K562" s="2" t="s">
        <v>36</v>
      </c>
      <c r="L562" s="2" t="str">
        <f>"83"</f>
        <v>83</v>
      </c>
      <c r="M562" s="2"/>
      <c r="N562" s="2" t="str">
        <f>"CH D'OKA"</f>
        <v>CH D'OKA</v>
      </c>
      <c r="O562" s="2" t="s">
        <v>3185</v>
      </c>
      <c r="P562" s="9" t="str">
        <f>VLOOKUP($O562,'Liste des Villes'!$B$2:$B$1128,1,FALSE)</f>
        <v>Saint-Jérôme</v>
      </c>
      <c r="Q562" s="9" t="str">
        <f>IFERROR($P562,PROPER(VLOOKUP($O562,'Villes en erreur'!$A$2:$B$72,2,FALSE)))</f>
        <v>Saint-Jérôme</v>
      </c>
      <c r="R562" s="9" t="s">
        <v>3186</v>
      </c>
      <c r="S562" s="9" t="str">
        <f>IF(ISBLANK($R562),"",VLOOKUP($R562,'Liste des Villes'!$B$2:$H$1128,4,FALSE))</f>
        <v>Laurentides</v>
      </c>
      <c r="T562" s="2" t="s">
        <v>3187</v>
      </c>
      <c r="U562" s="2" t="s">
        <v>39</v>
      </c>
      <c r="V562" s="2" t="s">
        <v>40</v>
      </c>
      <c r="W562" s="2" t="s">
        <v>3425</v>
      </c>
      <c r="X562" s="2"/>
      <c r="Y562" s="2"/>
      <c r="Z562" s="2"/>
      <c r="AA562" s="2" t="s">
        <v>3231</v>
      </c>
      <c r="AB562" s="2" t="s">
        <v>53</v>
      </c>
      <c r="AC562" s="4" t="s">
        <v>44</v>
      </c>
    </row>
    <row r="563" spans="1:29" x14ac:dyDescent="0.25">
      <c r="A563" s="1">
        <v>3299</v>
      </c>
      <c r="B563" s="17" t="s">
        <v>3426</v>
      </c>
      <c r="C563" s="2" t="s">
        <v>2354</v>
      </c>
      <c r="D563" s="15" t="s">
        <v>582</v>
      </c>
      <c r="E563" s="9" t="s">
        <v>2355</v>
      </c>
      <c r="F563" s="9" t="s">
        <v>2001</v>
      </c>
      <c r="G563" s="9" t="s">
        <v>664</v>
      </c>
      <c r="H563" s="2" t="s">
        <v>60</v>
      </c>
      <c r="I563" s="3">
        <v>36005</v>
      </c>
      <c r="J563" s="9" t="str">
        <f t="shared" ca="1" si="10"/>
        <v>25 ans</v>
      </c>
      <c r="K563" s="2" t="s">
        <v>123</v>
      </c>
      <c r="L563" s="2" t="str">
        <f>"178"</f>
        <v>178</v>
      </c>
      <c r="M563" s="2"/>
      <c r="N563" s="2" t="str">
        <f>"PLACE DES TILLEULS"</f>
        <v>PLACE DES TILLEULS</v>
      </c>
      <c r="O563" s="2" t="s">
        <v>3185</v>
      </c>
      <c r="P563" s="9" t="str">
        <f>VLOOKUP($O563,'Liste des Villes'!$B$2:$B$1128,1,FALSE)</f>
        <v>Saint-Jérôme</v>
      </c>
      <c r="Q563" s="9" t="str">
        <f>IFERROR($P563,PROPER(VLOOKUP($O563,'Villes en erreur'!$A$2:$B$72,2,FALSE)))</f>
        <v>Saint-Jérôme</v>
      </c>
      <c r="R563" s="9" t="s">
        <v>3186</v>
      </c>
      <c r="S563" s="9" t="str">
        <f>IF(ISBLANK($R563),"",VLOOKUP($R563,'Liste des Villes'!$B$2:$H$1128,4,FALSE))</f>
        <v>Laurentides</v>
      </c>
      <c r="T563" s="2" t="s">
        <v>3427</v>
      </c>
      <c r="U563" s="2" t="s">
        <v>39</v>
      </c>
      <c r="V563" s="2" t="s">
        <v>40</v>
      </c>
      <c r="W563" s="2" t="s">
        <v>3428</v>
      </c>
      <c r="X563" s="2"/>
      <c r="Y563" s="2"/>
      <c r="Z563" s="2"/>
      <c r="AA563" s="2" t="s">
        <v>832</v>
      </c>
      <c r="AB563" s="2" t="s">
        <v>3221</v>
      </c>
      <c r="AC563" s="4" t="s">
        <v>44</v>
      </c>
    </row>
    <row r="564" spans="1:29" x14ac:dyDescent="0.25">
      <c r="A564" s="1">
        <v>3665</v>
      </c>
      <c r="B564" s="17" t="s">
        <v>3429</v>
      </c>
      <c r="C564" s="2" t="s">
        <v>3430</v>
      </c>
      <c r="D564" s="15" t="s">
        <v>3431</v>
      </c>
      <c r="E564" s="9" t="s">
        <v>3432</v>
      </c>
      <c r="F564" s="9" t="s">
        <v>3433</v>
      </c>
      <c r="G564" s="9" t="s">
        <v>600</v>
      </c>
      <c r="H564" s="2" t="s">
        <v>60</v>
      </c>
      <c r="I564" s="3">
        <v>35980</v>
      </c>
      <c r="J564" s="9" t="str">
        <f t="shared" ca="1" si="10"/>
        <v>25 ans</v>
      </c>
      <c r="K564" s="2" t="s">
        <v>123</v>
      </c>
      <c r="L564" s="2" t="str">
        <f>"172"</f>
        <v>172</v>
      </c>
      <c r="M564" s="2"/>
      <c r="N564" s="2" t="str">
        <f>"PLACE BELHUMEUR"</f>
        <v>PLACE BELHUMEUR</v>
      </c>
      <c r="O564" s="2" t="s">
        <v>3185</v>
      </c>
      <c r="P564" s="9" t="str">
        <f>VLOOKUP($O564,'Liste des Villes'!$B$2:$B$1128,1,FALSE)</f>
        <v>Saint-Jérôme</v>
      </c>
      <c r="Q564" s="9" t="str">
        <f>IFERROR($P564,PROPER(VLOOKUP($O564,'Villes en erreur'!$A$2:$B$72,2,FALSE)))</f>
        <v>Saint-Jérôme</v>
      </c>
      <c r="R564" s="9" t="s">
        <v>3186</v>
      </c>
      <c r="S564" s="9" t="str">
        <f>IF(ISBLANK($R564),"",VLOOKUP($R564,'Liste des Villes'!$B$2:$H$1128,4,FALSE))</f>
        <v>Laurentides</v>
      </c>
      <c r="T564" s="2" t="s">
        <v>3434</v>
      </c>
      <c r="U564" s="2" t="s">
        <v>39</v>
      </c>
      <c r="V564" s="2" t="s">
        <v>40</v>
      </c>
      <c r="W564" s="2" t="s">
        <v>3435</v>
      </c>
      <c r="X564" s="2"/>
      <c r="Y564" s="2"/>
      <c r="Z564" s="2"/>
      <c r="AA564" s="2" t="s">
        <v>832</v>
      </c>
      <c r="AB564" s="2" t="s">
        <v>3221</v>
      </c>
      <c r="AC564" s="4" t="s">
        <v>44</v>
      </c>
    </row>
    <row r="565" spans="1:29" x14ac:dyDescent="0.25">
      <c r="A565" s="1">
        <v>3782</v>
      </c>
      <c r="B565" s="17" t="s">
        <v>3436</v>
      </c>
      <c r="C565" s="2" t="s">
        <v>2009</v>
      </c>
      <c r="D565" s="15" t="s">
        <v>1076</v>
      </c>
      <c r="E565" s="9" t="s">
        <v>332</v>
      </c>
      <c r="F565" s="9" t="s">
        <v>2010</v>
      </c>
      <c r="G565" s="9" t="s">
        <v>851</v>
      </c>
      <c r="H565" s="2" t="s">
        <v>35</v>
      </c>
      <c r="I565" s="3">
        <v>36154</v>
      </c>
      <c r="J565" s="9" t="str">
        <f t="shared" ca="1" si="10"/>
        <v>24 ans</v>
      </c>
      <c r="K565" s="2" t="s">
        <v>123</v>
      </c>
      <c r="L565" s="2" t="str">
        <f>"223"</f>
        <v>223</v>
      </c>
      <c r="M565" s="2"/>
      <c r="N565" s="2" t="str">
        <f>"RUE ALDÈGE BÉLISLE"</f>
        <v>RUE ALDÈGE BÉLISLE</v>
      </c>
      <c r="O565" s="2" t="s">
        <v>3185</v>
      </c>
      <c r="P565" s="9" t="str">
        <f>VLOOKUP($O565,'Liste des Villes'!$B$2:$B$1128,1,FALSE)</f>
        <v>Saint-Jérôme</v>
      </c>
      <c r="Q565" s="9" t="str">
        <f>IFERROR($P565,PROPER(VLOOKUP($O565,'Villes en erreur'!$A$2:$B$72,2,FALSE)))</f>
        <v>Saint-Jérôme</v>
      </c>
      <c r="R565" s="9" t="s">
        <v>3186</v>
      </c>
      <c r="S565" s="9" t="str">
        <f>IF(ISBLANK($R565),"",VLOOKUP($R565,'Liste des Villes'!$B$2:$H$1128,4,FALSE))</f>
        <v>Laurentides</v>
      </c>
      <c r="T565" s="2" t="s">
        <v>3314</v>
      </c>
      <c r="U565" s="2" t="s">
        <v>39</v>
      </c>
      <c r="V565" s="2" t="s">
        <v>40</v>
      </c>
      <c r="W565" s="2" t="s">
        <v>3437</v>
      </c>
      <c r="X565" s="2"/>
      <c r="Y565" s="2"/>
      <c r="Z565" s="2"/>
      <c r="AA565" s="2" t="s">
        <v>832</v>
      </c>
      <c r="AB565" s="2" t="s">
        <v>3221</v>
      </c>
      <c r="AC565" s="4" t="s">
        <v>44</v>
      </c>
    </row>
    <row r="566" spans="1:29" x14ac:dyDescent="0.25">
      <c r="A566" s="1">
        <v>3885</v>
      </c>
      <c r="B566" s="17" t="s">
        <v>3438</v>
      </c>
      <c r="C566" s="2" t="s">
        <v>3439</v>
      </c>
      <c r="D566" s="15" t="s">
        <v>451</v>
      </c>
      <c r="E566" s="9" t="s">
        <v>3440</v>
      </c>
      <c r="F566" s="9" t="s">
        <v>1477</v>
      </c>
      <c r="G566" s="9" t="s">
        <v>3441</v>
      </c>
      <c r="H566" s="2" t="s">
        <v>35</v>
      </c>
      <c r="I566" s="3">
        <v>35040</v>
      </c>
      <c r="J566" s="9" t="str">
        <f t="shared" ca="1" si="10"/>
        <v>27 ans</v>
      </c>
      <c r="K566" s="2" t="s">
        <v>36</v>
      </c>
      <c r="L566" s="2" t="str">
        <f>"99"</f>
        <v>99</v>
      </c>
      <c r="M566" s="2"/>
      <c r="N566" s="2" t="str">
        <f>"CH DU POÈTE"</f>
        <v>CH DU POÈTE</v>
      </c>
      <c r="O566" s="2" t="s">
        <v>3185</v>
      </c>
      <c r="P566" s="9" t="str">
        <f>VLOOKUP($O566,'Liste des Villes'!$B$2:$B$1128,1,FALSE)</f>
        <v>Saint-Jérôme</v>
      </c>
      <c r="Q566" s="9" t="str">
        <f>IFERROR($P566,PROPER(VLOOKUP($O566,'Villes en erreur'!$A$2:$B$72,2,FALSE)))</f>
        <v>Saint-Jérôme</v>
      </c>
      <c r="R566" s="9" t="s">
        <v>3186</v>
      </c>
      <c r="S566" s="9" t="str">
        <f>IF(ISBLANK($R566),"",VLOOKUP($R566,'Liste des Villes'!$B$2:$H$1128,4,FALSE))</f>
        <v>Laurentides</v>
      </c>
      <c r="T566" s="2" t="s">
        <v>3187</v>
      </c>
      <c r="U566" s="2" t="s">
        <v>39</v>
      </c>
      <c r="V566" s="2" t="s">
        <v>40</v>
      </c>
      <c r="W566" s="2" t="s">
        <v>3442</v>
      </c>
      <c r="X566" s="2"/>
      <c r="Y566" s="2"/>
      <c r="Z566" s="2"/>
      <c r="AA566" s="2" t="s">
        <v>3189</v>
      </c>
      <c r="AB566" s="2" t="s">
        <v>3443</v>
      </c>
      <c r="AC566" s="4" t="s">
        <v>44</v>
      </c>
    </row>
    <row r="567" spans="1:29" x14ac:dyDescent="0.25">
      <c r="A567" s="1">
        <v>2391</v>
      </c>
      <c r="B567" s="17" t="s">
        <v>3444</v>
      </c>
      <c r="C567" s="2" t="s">
        <v>46</v>
      </c>
      <c r="D567" s="15" t="s">
        <v>47</v>
      </c>
      <c r="E567" s="9" t="s">
        <v>48</v>
      </c>
      <c r="F567" s="9" t="s">
        <v>3445</v>
      </c>
      <c r="G567" s="9" t="s">
        <v>1560</v>
      </c>
      <c r="H567" s="2" t="s">
        <v>35</v>
      </c>
      <c r="I567" s="3">
        <v>35608</v>
      </c>
      <c r="J567" s="9" t="str">
        <f t="shared" ca="1" si="10"/>
        <v>26 ans</v>
      </c>
      <c r="K567" s="2" t="s">
        <v>36</v>
      </c>
      <c r="L567" s="2" t="str">
        <f>"129"</f>
        <v>129</v>
      </c>
      <c r="M567" s="2"/>
      <c r="N567" s="2" t="str">
        <f>"DE LA SALETTE BLVD"</f>
        <v>DE LA SALETTE BLVD</v>
      </c>
      <c r="O567" s="2" t="s">
        <v>3185</v>
      </c>
      <c r="P567" s="9" t="str">
        <f>VLOOKUP($O567,'Liste des Villes'!$B$2:$B$1128,1,FALSE)</f>
        <v>Saint-Jérôme</v>
      </c>
      <c r="Q567" s="9" t="str">
        <f>IFERROR($P567,PROPER(VLOOKUP($O567,'Villes en erreur'!$A$2:$B$72,2,FALSE)))</f>
        <v>Saint-Jérôme</v>
      </c>
      <c r="R567" s="9" t="s">
        <v>3186</v>
      </c>
      <c r="S567" s="9" t="str">
        <f>IF(ISBLANK($R567),"",VLOOKUP($R567,'Liste des Villes'!$B$2:$H$1128,4,FALSE))</f>
        <v>Laurentides</v>
      </c>
      <c r="T567" s="2" t="s">
        <v>3446</v>
      </c>
      <c r="U567" s="2" t="s">
        <v>39</v>
      </c>
      <c r="V567" s="2" t="s">
        <v>40</v>
      </c>
      <c r="W567" s="2" t="s">
        <v>3447</v>
      </c>
      <c r="X567" s="2"/>
      <c r="Y567" s="2"/>
      <c r="Z567" s="2"/>
      <c r="AA567" s="2" t="s">
        <v>3243</v>
      </c>
      <c r="AB567" s="2" t="s">
        <v>3221</v>
      </c>
      <c r="AC567" s="4" t="s">
        <v>44</v>
      </c>
    </row>
    <row r="568" spans="1:29" x14ac:dyDescent="0.25">
      <c r="A568" s="1">
        <v>1207</v>
      </c>
      <c r="B568" s="17" t="s">
        <v>3448</v>
      </c>
      <c r="C568" s="2" t="s">
        <v>3449</v>
      </c>
      <c r="D568" s="15" t="s">
        <v>3450</v>
      </c>
      <c r="E568" s="9" t="s">
        <v>3451</v>
      </c>
      <c r="F568" s="9" t="s">
        <v>961</v>
      </c>
      <c r="G568" s="9" t="s">
        <v>241</v>
      </c>
      <c r="H568" s="2" t="s">
        <v>35</v>
      </c>
      <c r="I568" s="3">
        <v>35675</v>
      </c>
      <c r="J568" s="9" t="str">
        <f t="shared" ca="1" si="10"/>
        <v>25 ans</v>
      </c>
      <c r="K568" s="2" t="s">
        <v>123</v>
      </c>
      <c r="L568" s="2" t="str">
        <f>"133"</f>
        <v>133</v>
      </c>
      <c r="M568" s="2"/>
      <c r="N568" s="2" t="str">
        <f>"DES COLLINES"</f>
        <v>DES COLLINES</v>
      </c>
      <c r="O568" s="2" t="s">
        <v>3185</v>
      </c>
      <c r="P568" s="9" t="str">
        <f>VLOOKUP($O568,'Liste des Villes'!$B$2:$B$1128,1,FALSE)</f>
        <v>Saint-Jérôme</v>
      </c>
      <c r="Q568" s="9" t="str">
        <f>IFERROR($P568,PROPER(VLOOKUP($O568,'Villes en erreur'!$A$2:$B$72,2,FALSE)))</f>
        <v>Saint-Jérôme</v>
      </c>
      <c r="R568" s="9" t="s">
        <v>3186</v>
      </c>
      <c r="S568" s="9" t="str">
        <f>IF(ISBLANK($R568),"",VLOOKUP($R568,'Liste des Villes'!$B$2:$H$1128,4,FALSE))</f>
        <v>Laurentides</v>
      </c>
      <c r="T568" s="2" t="s">
        <v>3452</v>
      </c>
      <c r="U568" s="2" t="s">
        <v>39</v>
      </c>
      <c r="V568" s="2" t="s">
        <v>40</v>
      </c>
      <c r="W568" s="2" t="s">
        <v>3453</v>
      </c>
      <c r="X568" s="2"/>
      <c r="Y568" s="2"/>
      <c r="Z568" s="2"/>
      <c r="AA568" s="2" t="s">
        <v>3243</v>
      </c>
      <c r="AB568" s="2" t="s">
        <v>3221</v>
      </c>
      <c r="AC568" s="4" t="s">
        <v>44</v>
      </c>
    </row>
    <row r="569" spans="1:29" x14ac:dyDescent="0.25">
      <c r="A569" s="1">
        <v>3260</v>
      </c>
      <c r="B569" s="17" t="s">
        <v>3454</v>
      </c>
      <c r="C569" s="2" t="s">
        <v>3455</v>
      </c>
      <c r="D569" s="15" t="s">
        <v>584</v>
      </c>
      <c r="E569" s="9" t="s">
        <v>405</v>
      </c>
      <c r="F569" s="9" t="s">
        <v>3456</v>
      </c>
      <c r="G569" s="9" t="s">
        <v>3457</v>
      </c>
      <c r="H569" s="2" t="s">
        <v>60</v>
      </c>
      <c r="I569" s="3">
        <v>35998</v>
      </c>
      <c r="J569" s="9" t="str">
        <f t="shared" ca="1" si="10"/>
        <v>25 ans</v>
      </c>
      <c r="K569" s="2" t="s">
        <v>123</v>
      </c>
      <c r="L569" s="2" t="str">
        <f>"175"</f>
        <v>175</v>
      </c>
      <c r="M569" s="2"/>
      <c r="N569" s="2" t="str">
        <f>"PLACE DE L'ÉTOURNEAU"</f>
        <v>PLACE DE L'ÉTOURNEAU</v>
      </c>
      <c r="O569" s="2" t="s">
        <v>3185</v>
      </c>
      <c r="P569" s="9" t="str">
        <f>VLOOKUP($O569,'Liste des Villes'!$B$2:$B$1128,1,FALSE)</f>
        <v>Saint-Jérôme</v>
      </c>
      <c r="Q569" s="9" t="str">
        <f>IFERROR($P569,PROPER(VLOOKUP($O569,'Villes en erreur'!$A$2:$B$72,2,FALSE)))</f>
        <v>Saint-Jérôme</v>
      </c>
      <c r="R569" s="9" t="s">
        <v>3186</v>
      </c>
      <c r="S569" s="9" t="str">
        <f>IF(ISBLANK($R569),"",VLOOKUP($R569,'Liste des Villes'!$B$2:$H$1128,4,FALSE))</f>
        <v>Laurentides</v>
      </c>
      <c r="T569" s="2" t="s">
        <v>3458</v>
      </c>
      <c r="U569" s="2" t="s">
        <v>39</v>
      </c>
      <c r="V569" s="2" t="s">
        <v>40</v>
      </c>
      <c r="W569" s="2" t="s">
        <v>3459</v>
      </c>
      <c r="X569" s="2"/>
      <c r="Y569" s="2"/>
      <c r="Z569" s="2"/>
      <c r="AA569" s="2" t="s">
        <v>832</v>
      </c>
      <c r="AB569" s="2" t="s">
        <v>3221</v>
      </c>
      <c r="AC569" s="4" t="s">
        <v>44</v>
      </c>
    </row>
    <row r="570" spans="1:29" x14ac:dyDescent="0.25">
      <c r="A570" s="1">
        <v>3748</v>
      </c>
      <c r="B570" s="17" t="s">
        <v>3460</v>
      </c>
      <c r="C570" s="2" t="s">
        <v>3461</v>
      </c>
      <c r="D570" s="15" t="s">
        <v>882</v>
      </c>
      <c r="E570" s="9" t="s">
        <v>3462</v>
      </c>
      <c r="F570" s="9" t="s">
        <v>884</v>
      </c>
      <c r="G570" s="9" t="s">
        <v>3463</v>
      </c>
      <c r="H570" s="2" t="s">
        <v>60</v>
      </c>
      <c r="I570" s="3">
        <v>36200</v>
      </c>
      <c r="J570" s="9" t="str">
        <f t="shared" ca="1" si="10"/>
        <v>24 ans</v>
      </c>
      <c r="K570" s="2" t="s">
        <v>123</v>
      </c>
      <c r="L570" s="2" t="str">
        <f>"242"</f>
        <v>242</v>
      </c>
      <c r="M570" s="2"/>
      <c r="N570" s="2" t="str">
        <f>"RUE ARMAND-DESFORGES"</f>
        <v>RUE ARMAND-DESFORGES</v>
      </c>
      <c r="O570" s="2" t="s">
        <v>3185</v>
      </c>
      <c r="P570" s="9" t="str">
        <f>VLOOKUP($O570,'Liste des Villes'!$B$2:$B$1128,1,FALSE)</f>
        <v>Saint-Jérôme</v>
      </c>
      <c r="Q570" s="9" t="str">
        <f>IFERROR($P570,PROPER(VLOOKUP($O570,'Villes en erreur'!$A$2:$B$72,2,FALSE)))</f>
        <v>Saint-Jérôme</v>
      </c>
      <c r="R570" s="9" t="s">
        <v>3186</v>
      </c>
      <c r="S570" s="9" t="str">
        <f>IF(ISBLANK($R570),"",VLOOKUP($R570,'Liste des Villes'!$B$2:$H$1128,4,FALSE))</f>
        <v>Laurentides</v>
      </c>
      <c r="T570" s="2" t="s">
        <v>3464</v>
      </c>
      <c r="U570" s="2" t="s">
        <v>39</v>
      </c>
      <c r="V570" s="2" t="s">
        <v>40</v>
      </c>
      <c r="W570" s="2" t="s">
        <v>3465</v>
      </c>
      <c r="X570" s="2"/>
      <c r="Y570" s="2"/>
      <c r="Z570" s="2"/>
      <c r="AA570" s="2" t="s">
        <v>832</v>
      </c>
      <c r="AB570" s="2" t="s">
        <v>3288</v>
      </c>
      <c r="AC570" s="4" t="s">
        <v>44</v>
      </c>
    </row>
    <row r="571" spans="1:29" x14ac:dyDescent="0.25">
      <c r="A571" s="1">
        <v>4264</v>
      </c>
      <c r="B571" s="17" t="s">
        <v>3466</v>
      </c>
      <c r="C571" s="2" t="s">
        <v>3467</v>
      </c>
      <c r="D571" s="15" t="s">
        <v>3468</v>
      </c>
      <c r="E571" s="9" t="s">
        <v>751</v>
      </c>
      <c r="F571" s="9" t="s">
        <v>3469</v>
      </c>
      <c r="G571" s="9" t="s">
        <v>495</v>
      </c>
      <c r="H571" s="2" t="s">
        <v>35</v>
      </c>
      <c r="I571" s="3">
        <v>34667</v>
      </c>
      <c r="J571" s="9" t="str">
        <f t="shared" ca="1" si="10"/>
        <v>28 ans</v>
      </c>
      <c r="K571" s="2" t="s">
        <v>36</v>
      </c>
      <c r="L571" s="2" t="str">
        <f>"69"</f>
        <v>69</v>
      </c>
      <c r="M571" s="2"/>
      <c r="N571" s="2" t="str">
        <f>"CH DE LA RIVIÈRE-DU-NORD"</f>
        <v>CH DE LA RIVIÈRE-DU-NORD</v>
      </c>
      <c r="O571" s="2" t="s">
        <v>3185</v>
      </c>
      <c r="P571" s="9" t="str">
        <f>VLOOKUP($O571,'Liste des Villes'!$B$2:$B$1128,1,FALSE)</f>
        <v>Saint-Jérôme</v>
      </c>
      <c r="Q571" s="9" t="str">
        <f>IFERROR($P571,PROPER(VLOOKUP($O571,'Villes en erreur'!$A$2:$B$72,2,FALSE)))</f>
        <v>Saint-Jérôme</v>
      </c>
      <c r="R571" s="9" t="s">
        <v>3186</v>
      </c>
      <c r="S571" s="9" t="str">
        <f>IF(ISBLANK($R571),"",VLOOKUP($R571,'Liste des Villes'!$B$2:$H$1128,4,FALSE))</f>
        <v>Laurentides</v>
      </c>
      <c r="T571" s="2" t="s">
        <v>3470</v>
      </c>
      <c r="U571" s="2" t="s">
        <v>39</v>
      </c>
      <c r="V571" s="2" t="s">
        <v>40</v>
      </c>
      <c r="W571" s="2" t="s">
        <v>3471</v>
      </c>
      <c r="X571" s="2"/>
      <c r="Y571" s="2"/>
      <c r="Z571" s="2"/>
      <c r="AA571" s="2" t="s">
        <v>3225</v>
      </c>
      <c r="AB571" s="2" t="s">
        <v>53</v>
      </c>
      <c r="AC571" s="4" t="s">
        <v>44</v>
      </c>
    </row>
    <row r="572" spans="1:29" x14ac:dyDescent="0.25">
      <c r="A572" s="1">
        <v>544</v>
      </c>
      <c r="B572" s="17" t="s">
        <v>3472</v>
      </c>
      <c r="C572" s="2" t="s">
        <v>2584</v>
      </c>
      <c r="D572" s="15" t="s">
        <v>2161</v>
      </c>
      <c r="E572" s="9" t="s">
        <v>775</v>
      </c>
      <c r="F572" s="9" t="s">
        <v>3473</v>
      </c>
      <c r="G572" s="9" t="s">
        <v>539</v>
      </c>
      <c r="H572" s="2" t="s">
        <v>60</v>
      </c>
      <c r="I572" s="3">
        <v>34371</v>
      </c>
      <c r="J572" s="9" t="str">
        <f t="shared" ca="1" si="10"/>
        <v>29 ans</v>
      </c>
      <c r="K572" s="2" t="s">
        <v>36</v>
      </c>
      <c r="L572" s="2" t="str">
        <f>"54"</f>
        <v>54</v>
      </c>
      <c r="M572" s="2"/>
      <c r="N572" s="2" t="str">
        <f>"BOULEVARD SAINT ANTOINE"</f>
        <v>BOULEVARD SAINT ANTOINE</v>
      </c>
      <c r="O572" s="2" t="s">
        <v>3185</v>
      </c>
      <c r="P572" s="9" t="str">
        <f>VLOOKUP($O572,'Liste des Villes'!$B$2:$B$1128,1,FALSE)</f>
        <v>Saint-Jérôme</v>
      </c>
      <c r="Q572" s="9" t="str">
        <f>IFERROR($P572,PROPER(VLOOKUP($O572,'Villes en erreur'!$A$2:$B$72,2,FALSE)))</f>
        <v>Saint-Jérôme</v>
      </c>
      <c r="R572" s="9" t="s">
        <v>3186</v>
      </c>
      <c r="S572" s="9" t="str">
        <f>IF(ISBLANK($R572),"",VLOOKUP($R572,'Liste des Villes'!$B$2:$H$1128,4,FALSE))</f>
        <v>Laurentides</v>
      </c>
      <c r="T572" s="2" t="s">
        <v>3291</v>
      </c>
      <c r="U572" s="2" t="s">
        <v>39</v>
      </c>
      <c r="V572" s="2" t="s">
        <v>40</v>
      </c>
      <c r="W572" s="2" t="s">
        <v>3474</v>
      </c>
      <c r="X572" s="2"/>
      <c r="Y572" s="2"/>
      <c r="Z572" s="2"/>
      <c r="AA572" s="2" t="s">
        <v>3293</v>
      </c>
      <c r="AB572" s="2" t="s">
        <v>53</v>
      </c>
      <c r="AC572" s="4" t="s">
        <v>44</v>
      </c>
    </row>
    <row r="573" spans="1:29" x14ac:dyDescent="0.25">
      <c r="A573" s="1">
        <v>1772</v>
      </c>
      <c r="B573" s="17" t="s">
        <v>3475</v>
      </c>
      <c r="C573" s="2" t="s">
        <v>3476</v>
      </c>
      <c r="D573" s="15" t="s">
        <v>3477</v>
      </c>
      <c r="E573" s="9" t="s">
        <v>3478</v>
      </c>
      <c r="F573" s="9" t="s">
        <v>3479</v>
      </c>
      <c r="G573" s="9" t="s">
        <v>1037</v>
      </c>
      <c r="H573" s="2" t="s">
        <v>35</v>
      </c>
      <c r="I573" s="3">
        <v>36072</v>
      </c>
      <c r="J573" s="9" t="str">
        <f t="shared" ca="1" si="10"/>
        <v>24 ans</v>
      </c>
      <c r="K573" s="2" t="s">
        <v>123</v>
      </c>
      <c r="L573" s="2" t="str">
        <f>"197"</f>
        <v>197</v>
      </c>
      <c r="M573" s="2"/>
      <c r="N573" s="2" t="str">
        <f>"RANG SAINTE MARGUERITE"</f>
        <v>RANG SAINTE MARGUERITE</v>
      </c>
      <c r="O573" s="2" t="s">
        <v>3185</v>
      </c>
      <c r="P573" s="9" t="str">
        <f>VLOOKUP($O573,'Liste des Villes'!$B$2:$B$1128,1,FALSE)</f>
        <v>Saint-Jérôme</v>
      </c>
      <c r="Q573" s="9" t="str">
        <f>IFERROR($P573,PROPER(VLOOKUP($O573,'Villes en erreur'!$A$2:$B$72,2,FALSE)))</f>
        <v>Saint-Jérôme</v>
      </c>
      <c r="R573" s="9" t="s">
        <v>3186</v>
      </c>
      <c r="S573" s="9" t="str">
        <f>IF(ISBLANK($R573),"",VLOOKUP($R573,'Liste des Villes'!$B$2:$H$1128,4,FALSE))</f>
        <v>Laurentides</v>
      </c>
      <c r="T573" s="2" t="s">
        <v>3480</v>
      </c>
      <c r="U573" s="2" t="s">
        <v>39</v>
      </c>
      <c r="V573" s="2" t="s">
        <v>40</v>
      </c>
      <c r="W573" s="2" t="s">
        <v>3481</v>
      </c>
      <c r="X573" s="2"/>
      <c r="Y573" s="2"/>
      <c r="Z573" s="2"/>
      <c r="AA573" s="2" t="s">
        <v>832</v>
      </c>
      <c r="AB573" s="2" t="s">
        <v>3221</v>
      </c>
      <c r="AC573" s="4" t="s">
        <v>44</v>
      </c>
    </row>
    <row r="574" spans="1:29" x14ac:dyDescent="0.25">
      <c r="A574" s="1">
        <v>374</v>
      </c>
      <c r="B574" s="17" t="s">
        <v>3482</v>
      </c>
      <c r="C574" s="2" t="s">
        <v>3483</v>
      </c>
      <c r="D574" s="15" t="s">
        <v>3484</v>
      </c>
      <c r="E574" s="9" t="s">
        <v>3485</v>
      </c>
      <c r="F574" s="9" t="s">
        <v>2106</v>
      </c>
      <c r="G574" s="9" t="s">
        <v>3486</v>
      </c>
      <c r="H574" s="2" t="s">
        <v>60</v>
      </c>
      <c r="I574" s="3">
        <v>36201</v>
      </c>
      <c r="J574" s="9" t="str">
        <f t="shared" ca="1" si="10"/>
        <v>24 ans</v>
      </c>
      <c r="K574" s="2" t="s">
        <v>123</v>
      </c>
      <c r="L574" s="2" t="str">
        <f>"243"</f>
        <v>243</v>
      </c>
      <c r="M574" s="2"/>
      <c r="N574" s="2" t="str">
        <f>"RUE ARNOLD"</f>
        <v>RUE ARNOLD</v>
      </c>
      <c r="O574" s="2" t="s">
        <v>3185</v>
      </c>
      <c r="P574" s="9" t="str">
        <f>VLOOKUP($O574,'Liste des Villes'!$B$2:$B$1128,1,FALSE)</f>
        <v>Saint-Jérôme</v>
      </c>
      <c r="Q574" s="9" t="str">
        <f>IFERROR($P574,PROPER(VLOOKUP($O574,'Villes en erreur'!$A$2:$B$72,2,FALSE)))</f>
        <v>Saint-Jérôme</v>
      </c>
      <c r="R574" s="9" t="s">
        <v>3186</v>
      </c>
      <c r="S574" s="9" t="str">
        <f>IF(ISBLANK($R574),"",VLOOKUP($R574,'Liste des Villes'!$B$2:$H$1128,4,FALSE))</f>
        <v>Laurentides</v>
      </c>
      <c r="T574" s="2" t="s">
        <v>3487</v>
      </c>
      <c r="U574" s="2" t="s">
        <v>39</v>
      </c>
      <c r="V574" s="2" t="s">
        <v>40</v>
      </c>
      <c r="W574" s="2" t="s">
        <v>3488</v>
      </c>
      <c r="X574" s="2"/>
      <c r="Y574" s="2"/>
      <c r="Z574" s="2"/>
      <c r="AA574" s="2" t="s">
        <v>832</v>
      </c>
      <c r="AB574" s="2" t="s">
        <v>3288</v>
      </c>
      <c r="AC574" s="4" t="s">
        <v>44</v>
      </c>
    </row>
    <row r="575" spans="1:29" x14ac:dyDescent="0.25">
      <c r="A575" s="1">
        <v>515</v>
      </c>
      <c r="B575" s="17" t="s">
        <v>3489</v>
      </c>
      <c r="C575" s="2" t="s">
        <v>3490</v>
      </c>
      <c r="D575" s="15" t="s">
        <v>1366</v>
      </c>
      <c r="E575" s="9" t="s">
        <v>3491</v>
      </c>
      <c r="F575" s="9" t="s">
        <v>1367</v>
      </c>
      <c r="G575" s="9" t="s">
        <v>1246</v>
      </c>
      <c r="H575" s="2" t="s">
        <v>35</v>
      </c>
      <c r="I575" s="3">
        <v>34087</v>
      </c>
      <c r="J575" s="9" t="str">
        <f t="shared" ca="1" si="10"/>
        <v>30 ans</v>
      </c>
      <c r="K575" s="2" t="s">
        <v>36</v>
      </c>
      <c r="L575" s="2" t="str">
        <f>"45"</f>
        <v>45</v>
      </c>
      <c r="M575" s="2"/>
      <c r="N575" s="2" t="str">
        <f>"BOUL.SAINT-LAURENT"</f>
        <v>BOUL.SAINT-LAURENT</v>
      </c>
      <c r="O575" s="2" t="s">
        <v>3185</v>
      </c>
      <c r="P575" s="9" t="str">
        <f>VLOOKUP($O575,'Liste des Villes'!$B$2:$B$1128,1,FALSE)</f>
        <v>Saint-Jérôme</v>
      </c>
      <c r="Q575" s="9" t="str">
        <f>IFERROR($P575,PROPER(VLOOKUP($O575,'Villes en erreur'!$A$2:$B$72,2,FALSE)))</f>
        <v>Saint-Jérôme</v>
      </c>
      <c r="R575" s="9" t="s">
        <v>3186</v>
      </c>
      <c r="S575" s="9" t="str">
        <f>IF(ISBLANK($R575),"",VLOOKUP($R575,'Liste des Villes'!$B$2:$H$1128,4,FALSE))</f>
        <v>Laurentides</v>
      </c>
      <c r="T575" s="2" t="s">
        <v>3358</v>
      </c>
      <c r="U575" s="2" t="s">
        <v>39</v>
      </c>
      <c r="V575" s="2" t="s">
        <v>40</v>
      </c>
      <c r="W575" s="2" t="s">
        <v>3492</v>
      </c>
      <c r="X575" s="2"/>
      <c r="Y575" s="2"/>
      <c r="Z575" s="2"/>
      <c r="AA575" s="2" t="s">
        <v>3360</v>
      </c>
      <c r="AB575" s="2" t="s">
        <v>53</v>
      </c>
      <c r="AC575" s="4" t="s">
        <v>44</v>
      </c>
    </row>
    <row r="576" spans="1:29" x14ac:dyDescent="0.25">
      <c r="A576" s="1">
        <v>1697</v>
      </c>
      <c r="B576" s="17" t="s">
        <v>3493</v>
      </c>
      <c r="C576" s="2" t="s">
        <v>3494</v>
      </c>
      <c r="D576" s="15" t="s">
        <v>3495</v>
      </c>
      <c r="E576" s="9" t="s">
        <v>253</v>
      </c>
      <c r="F576" s="9" t="s">
        <v>3496</v>
      </c>
      <c r="G576" s="9" t="s">
        <v>3497</v>
      </c>
      <c r="H576" s="2" t="s">
        <v>60</v>
      </c>
      <c r="I576" s="3">
        <v>35792</v>
      </c>
      <c r="J576" s="9" t="str">
        <f t="shared" ca="1" si="10"/>
        <v>25 ans</v>
      </c>
      <c r="K576" s="2" t="s">
        <v>123</v>
      </c>
      <c r="L576" s="2" t="str">
        <f>"143"</f>
        <v>143</v>
      </c>
      <c r="M576" s="2"/>
      <c r="N576" s="2" t="str">
        <f>"GRIGNON BLVD"</f>
        <v>GRIGNON BLVD</v>
      </c>
      <c r="O576" s="2" t="s">
        <v>3185</v>
      </c>
      <c r="P576" s="9" t="str">
        <f>VLOOKUP($O576,'Liste des Villes'!$B$2:$B$1128,1,FALSE)</f>
        <v>Saint-Jérôme</v>
      </c>
      <c r="Q576" s="9" t="str">
        <f>IFERROR($P576,PROPER(VLOOKUP($O576,'Villes en erreur'!$A$2:$B$72,2,FALSE)))</f>
        <v>Saint-Jérôme</v>
      </c>
      <c r="R576" s="9" t="s">
        <v>3186</v>
      </c>
      <c r="S576" s="9" t="str">
        <f>IF(ISBLANK($R576),"",VLOOKUP($R576,'Liste des Villes'!$B$2:$H$1128,4,FALSE))</f>
        <v>Laurentides</v>
      </c>
      <c r="T576" s="2" t="s">
        <v>3498</v>
      </c>
      <c r="U576" s="2" t="s">
        <v>39</v>
      </c>
      <c r="V576" s="2" t="s">
        <v>40</v>
      </c>
      <c r="W576" s="2" t="s">
        <v>3499</v>
      </c>
      <c r="X576" s="2"/>
      <c r="Y576" s="2"/>
      <c r="Z576" s="2"/>
      <c r="AA576" s="2" t="s">
        <v>3243</v>
      </c>
      <c r="AB576" s="2" t="s">
        <v>3221</v>
      </c>
      <c r="AC576" s="4" t="s">
        <v>44</v>
      </c>
    </row>
    <row r="577" spans="1:29" x14ac:dyDescent="0.25">
      <c r="A577" s="1">
        <v>3485</v>
      </c>
      <c r="B577" s="17" t="s">
        <v>3500</v>
      </c>
      <c r="C577" s="2" t="s">
        <v>3501</v>
      </c>
      <c r="D577" s="15" t="s">
        <v>3502</v>
      </c>
      <c r="E577" s="9" t="s">
        <v>3503</v>
      </c>
      <c r="F577" s="9" t="s">
        <v>47</v>
      </c>
      <c r="G577" s="9" t="s">
        <v>1037</v>
      </c>
      <c r="H577" s="2" t="s">
        <v>35</v>
      </c>
      <c r="I577" s="3">
        <v>36066</v>
      </c>
      <c r="J577" s="9" t="str">
        <f t="shared" ca="1" si="10"/>
        <v>24 ans</v>
      </c>
      <c r="K577" s="2" t="s">
        <v>123</v>
      </c>
      <c r="L577" s="2" t="str">
        <f>"194"</f>
        <v>194</v>
      </c>
      <c r="M577" s="2"/>
      <c r="N577" s="2" t="str">
        <f>"RANG LECOMPTE"</f>
        <v>RANG LECOMPTE</v>
      </c>
      <c r="O577" s="2" t="s">
        <v>3185</v>
      </c>
      <c r="P577" s="9" t="str">
        <f>VLOOKUP($O577,'Liste des Villes'!$B$2:$B$1128,1,FALSE)</f>
        <v>Saint-Jérôme</v>
      </c>
      <c r="Q577" s="9" t="str">
        <f>IFERROR($P577,PROPER(VLOOKUP($O577,'Villes en erreur'!$A$2:$B$72,2,FALSE)))</f>
        <v>Saint-Jérôme</v>
      </c>
      <c r="R577" s="9" t="s">
        <v>3186</v>
      </c>
      <c r="S577" s="9" t="str">
        <f>IF(ISBLANK($R577),"",VLOOKUP($R577,'Liste des Villes'!$B$2:$H$1128,4,FALSE))</f>
        <v>Laurentides</v>
      </c>
      <c r="T577" s="2" t="s">
        <v>3504</v>
      </c>
      <c r="U577" s="2" t="s">
        <v>39</v>
      </c>
      <c r="V577" s="2" t="s">
        <v>40</v>
      </c>
      <c r="W577" s="2" t="s">
        <v>3505</v>
      </c>
      <c r="X577" s="2"/>
      <c r="Y577" s="2"/>
      <c r="Z577" s="2"/>
      <c r="AA577" s="2" t="s">
        <v>832</v>
      </c>
      <c r="AB577" s="2" t="s">
        <v>3221</v>
      </c>
      <c r="AC577" s="4" t="s">
        <v>44</v>
      </c>
    </row>
    <row r="578" spans="1:29" x14ac:dyDescent="0.25">
      <c r="A578" s="1">
        <v>2049</v>
      </c>
      <c r="B578" s="17" t="s">
        <v>3506</v>
      </c>
      <c r="C578" s="2" t="s">
        <v>988</v>
      </c>
      <c r="D578" s="15" t="s">
        <v>121</v>
      </c>
      <c r="E578" s="9" t="s">
        <v>989</v>
      </c>
      <c r="F578" s="9" t="s">
        <v>119</v>
      </c>
      <c r="G578" s="9" t="s">
        <v>495</v>
      </c>
      <c r="H578" s="2" t="s">
        <v>35</v>
      </c>
      <c r="I578" s="3">
        <v>34508</v>
      </c>
      <c r="J578" s="9" t="str">
        <f t="shared" ref="J578:J641" ca="1" si="11">_xlfn.CONCAT(INT((TODAY()-$I578)/365.25)," ans")</f>
        <v>29 ans</v>
      </c>
      <c r="K578" s="2" t="s">
        <v>36</v>
      </c>
      <c r="L578" s="2" t="str">
        <f>"61"</f>
        <v>61</v>
      </c>
      <c r="M578" s="2"/>
      <c r="N578" s="2" t="str">
        <f>"CH BELLEVUE"</f>
        <v>CH BELLEVUE</v>
      </c>
      <c r="O578" s="2" t="s">
        <v>3185</v>
      </c>
      <c r="P578" s="9" t="str">
        <f>VLOOKUP($O578,'Liste des Villes'!$B$2:$B$1128,1,FALSE)</f>
        <v>Saint-Jérôme</v>
      </c>
      <c r="Q578" s="9" t="str">
        <f>IFERROR($P578,PROPER(VLOOKUP($O578,'Villes en erreur'!$A$2:$B$72,2,FALSE)))</f>
        <v>Saint-Jérôme</v>
      </c>
      <c r="R578" s="9" t="s">
        <v>3186</v>
      </c>
      <c r="S578" s="9" t="str">
        <f>IF(ISBLANK($R578),"",VLOOKUP($R578,'Liste des Villes'!$B$2:$H$1128,4,FALSE))</f>
        <v>Laurentides</v>
      </c>
      <c r="T578" s="2" t="s">
        <v>3507</v>
      </c>
      <c r="U578" s="2" t="s">
        <v>39</v>
      </c>
      <c r="V578" s="2" t="s">
        <v>40</v>
      </c>
      <c r="W578" s="2" t="s">
        <v>3508</v>
      </c>
      <c r="X578" s="2"/>
      <c r="Y578" s="2"/>
      <c r="Z578" s="2"/>
      <c r="AA578" s="2" t="s">
        <v>3293</v>
      </c>
      <c r="AB578" s="2" t="s">
        <v>53</v>
      </c>
      <c r="AC578" s="4" t="s">
        <v>44</v>
      </c>
    </row>
    <row r="579" spans="1:29" x14ac:dyDescent="0.25">
      <c r="A579" s="1">
        <v>3441</v>
      </c>
      <c r="B579" s="17" t="s">
        <v>3509</v>
      </c>
      <c r="C579" s="2" t="s">
        <v>3510</v>
      </c>
      <c r="D579" s="15" t="s">
        <v>846</v>
      </c>
      <c r="E579" s="9" t="s">
        <v>3511</v>
      </c>
      <c r="F579" s="9" t="s">
        <v>845</v>
      </c>
      <c r="G579" s="9" t="s">
        <v>303</v>
      </c>
      <c r="H579" s="2" t="s">
        <v>60</v>
      </c>
      <c r="I579" s="3">
        <v>34474</v>
      </c>
      <c r="J579" s="9" t="str">
        <f t="shared" ca="1" si="11"/>
        <v>29 ans</v>
      </c>
      <c r="K579" s="2" t="s">
        <v>36</v>
      </c>
      <c r="L579" s="2" t="str">
        <f>"60"</f>
        <v>60</v>
      </c>
      <c r="M579" s="2"/>
      <c r="N579" s="2" t="str">
        <f>"CH ABERCROMBIE"</f>
        <v>CH ABERCROMBIE</v>
      </c>
      <c r="O579" s="2" t="s">
        <v>3185</v>
      </c>
      <c r="P579" s="9" t="str">
        <f>VLOOKUP($O579,'Liste des Villes'!$B$2:$B$1128,1,FALSE)</f>
        <v>Saint-Jérôme</v>
      </c>
      <c r="Q579" s="9" t="str">
        <f>IFERROR($P579,PROPER(VLOOKUP($O579,'Villes en erreur'!$A$2:$B$72,2,FALSE)))</f>
        <v>Saint-Jérôme</v>
      </c>
      <c r="R579" s="9" t="s">
        <v>3186</v>
      </c>
      <c r="S579" s="9" t="str">
        <f>IF(ISBLANK($R579),"",VLOOKUP($R579,'Liste des Villes'!$B$2:$H$1128,4,FALSE))</f>
        <v>Laurentides</v>
      </c>
      <c r="T579" s="2" t="s">
        <v>3507</v>
      </c>
      <c r="U579" s="2" t="s">
        <v>39</v>
      </c>
      <c r="V579" s="2" t="s">
        <v>40</v>
      </c>
      <c r="W579" s="2" t="s">
        <v>3512</v>
      </c>
      <c r="X579" s="2"/>
      <c r="Y579" s="2"/>
      <c r="Z579" s="2"/>
      <c r="AA579" s="2" t="s">
        <v>3293</v>
      </c>
      <c r="AB579" s="2" t="s">
        <v>53</v>
      </c>
      <c r="AC579" s="4" t="s">
        <v>44</v>
      </c>
    </row>
    <row r="580" spans="1:29" x14ac:dyDescent="0.25">
      <c r="A580" s="1">
        <v>4591</v>
      </c>
      <c r="B580" s="17" t="s">
        <v>3513</v>
      </c>
      <c r="C580" s="2" t="s">
        <v>3514</v>
      </c>
      <c r="D580" s="15" t="s">
        <v>3515</v>
      </c>
      <c r="E580" s="9" t="s">
        <v>341</v>
      </c>
      <c r="F580" s="9" t="s">
        <v>3516</v>
      </c>
      <c r="G580" s="9" t="s">
        <v>1037</v>
      </c>
      <c r="H580" s="2" t="s">
        <v>35</v>
      </c>
      <c r="I580" s="3">
        <v>36068</v>
      </c>
      <c r="J580" s="9" t="str">
        <f t="shared" ca="1" si="11"/>
        <v>24 ans</v>
      </c>
      <c r="K580" s="2" t="s">
        <v>123</v>
      </c>
      <c r="L580" s="2" t="str">
        <f>"196"</f>
        <v>196</v>
      </c>
      <c r="M580" s="2"/>
      <c r="N580" s="2" t="str">
        <f>"RANG SAINT VINCENT"</f>
        <v>RANG SAINT VINCENT</v>
      </c>
      <c r="O580" s="2" t="s">
        <v>3185</v>
      </c>
      <c r="P580" s="9" t="str">
        <f>VLOOKUP($O580,'Liste des Villes'!$B$2:$B$1128,1,FALSE)</f>
        <v>Saint-Jérôme</v>
      </c>
      <c r="Q580" s="9" t="str">
        <f>IFERROR($P580,PROPER(VLOOKUP($O580,'Villes en erreur'!$A$2:$B$72,2,FALSE)))</f>
        <v>Saint-Jérôme</v>
      </c>
      <c r="R580" s="9" t="s">
        <v>3186</v>
      </c>
      <c r="S580" s="9" t="str">
        <f>IF(ISBLANK($R580),"",VLOOKUP($R580,'Liste des Villes'!$B$2:$H$1128,4,FALSE))</f>
        <v>Laurentides</v>
      </c>
      <c r="T580" s="2" t="s">
        <v>3517</v>
      </c>
      <c r="U580" s="2" t="s">
        <v>39</v>
      </c>
      <c r="V580" s="2" t="s">
        <v>40</v>
      </c>
      <c r="W580" s="2" t="s">
        <v>3518</v>
      </c>
      <c r="X580" s="2"/>
      <c r="Y580" s="2"/>
      <c r="Z580" s="2"/>
      <c r="AA580" s="2" t="s">
        <v>832</v>
      </c>
      <c r="AB580" s="2" t="s">
        <v>3221</v>
      </c>
      <c r="AC580" s="4" t="s">
        <v>44</v>
      </c>
    </row>
    <row r="581" spans="1:29" x14ac:dyDescent="0.25">
      <c r="A581" s="1">
        <v>4323</v>
      </c>
      <c r="B581" s="17" t="s">
        <v>3519</v>
      </c>
      <c r="C581" s="2" t="s">
        <v>2119</v>
      </c>
      <c r="D581" s="15" t="s">
        <v>684</v>
      </c>
      <c r="E581" s="9" t="s">
        <v>348</v>
      </c>
      <c r="F581" s="9" t="s">
        <v>682</v>
      </c>
      <c r="G581" s="9" t="s">
        <v>3218</v>
      </c>
      <c r="H581" s="2" t="s">
        <v>60</v>
      </c>
      <c r="I581" s="3">
        <v>34323</v>
      </c>
      <c r="J581" s="9" t="str">
        <f t="shared" ca="1" si="11"/>
        <v>29 ans</v>
      </c>
      <c r="K581" s="2" t="s">
        <v>36</v>
      </c>
      <c r="L581" s="2" t="str">
        <f>"52"</f>
        <v>52</v>
      </c>
      <c r="M581" s="2"/>
      <c r="N581" s="2" t="str">
        <f>"BOULEVARD LE CORBUSIER"</f>
        <v>BOULEVARD LE CORBUSIER</v>
      </c>
      <c r="O581" s="2" t="s">
        <v>3185</v>
      </c>
      <c r="P581" s="9" t="str">
        <f>VLOOKUP($O581,'Liste des Villes'!$B$2:$B$1128,1,FALSE)</f>
        <v>Saint-Jérôme</v>
      </c>
      <c r="Q581" s="9" t="str">
        <f>IFERROR($P581,PROPER(VLOOKUP($O581,'Villes en erreur'!$A$2:$B$72,2,FALSE)))</f>
        <v>Saint-Jérôme</v>
      </c>
      <c r="R581" s="9" t="s">
        <v>3186</v>
      </c>
      <c r="S581" s="9" t="str">
        <f>IF(ISBLANK($R581),"",VLOOKUP($R581,'Liste des Villes'!$B$2:$H$1128,4,FALSE))</f>
        <v>Laurentides</v>
      </c>
      <c r="T581" s="2" t="s">
        <v>3520</v>
      </c>
      <c r="U581" s="2" t="s">
        <v>39</v>
      </c>
      <c r="V581" s="2" t="s">
        <v>40</v>
      </c>
      <c r="W581" s="2" t="s">
        <v>3521</v>
      </c>
      <c r="X581" s="2"/>
      <c r="Y581" s="2"/>
      <c r="Z581" s="2"/>
      <c r="AA581" s="2" t="s">
        <v>3360</v>
      </c>
      <c r="AB581" s="2" t="s">
        <v>53</v>
      </c>
      <c r="AC581" s="4" t="s">
        <v>44</v>
      </c>
    </row>
    <row r="582" spans="1:29" x14ac:dyDescent="0.25">
      <c r="A582" s="1">
        <v>1018</v>
      </c>
      <c r="B582" s="17" t="s">
        <v>3522</v>
      </c>
      <c r="C582" s="2" t="s">
        <v>2945</v>
      </c>
      <c r="D582" s="15" t="s">
        <v>2946</v>
      </c>
      <c r="E582" s="9" t="s">
        <v>509</v>
      </c>
      <c r="F582" s="9" t="s">
        <v>2698</v>
      </c>
      <c r="G582" s="9" t="s">
        <v>3523</v>
      </c>
      <c r="H582" s="2" t="s">
        <v>60</v>
      </c>
      <c r="I582" s="3">
        <v>35363</v>
      </c>
      <c r="J582" s="9" t="str">
        <f t="shared" ca="1" si="11"/>
        <v>26 ans</v>
      </c>
      <c r="K582" s="2" t="s">
        <v>36</v>
      </c>
      <c r="L582" s="2" t="str">
        <f>"112"</f>
        <v>112</v>
      </c>
      <c r="M582" s="2"/>
      <c r="N582" s="2" t="str">
        <f>"CHEMIN DES PINSONS"</f>
        <v>CHEMIN DES PINSONS</v>
      </c>
      <c r="O582" s="2" t="s">
        <v>3185</v>
      </c>
      <c r="P582" s="9" t="str">
        <f>VLOOKUP($O582,'Liste des Villes'!$B$2:$B$1128,1,FALSE)</f>
        <v>Saint-Jérôme</v>
      </c>
      <c r="Q582" s="9" t="str">
        <f>IFERROR($P582,PROPER(VLOOKUP($O582,'Villes en erreur'!$A$2:$B$72,2,FALSE)))</f>
        <v>Saint-Jérôme</v>
      </c>
      <c r="R582" s="9" t="s">
        <v>3186</v>
      </c>
      <c r="S582" s="9" t="str">
        <f>IF(ISBLANK($R582),"",VLOOKUP($R582,'Liste des Villes'!$B$2:$H$1128,4,FALSE))</f>
        <v>Laurentides</v>
      </c>
      <c r="T582" s="2" t="s">
        <v>3524</v>
      </c>
      <c r="U582" s="2" t="s">
        <v>39</v>
      </c>
      <c r="V582" s="2" t="s">
        <v>40</v>
      </c>
      <c r="W582" s="2" t="s">
        <v>3525</v>
      </c>
      <c r="X582" s="2"/>
      <c r="Y582" s="2"/>
      <c r="Z582" s="2"/>
      <c r="AA582" s="2" t="s">
        <v>3189</v>
      </c>
      <c r="AB582" s="2" t="s">
        <v>3200</v>
      </c>
      <c r="AC582" s="4" t="s">
        <v>44</v>
      </c>
    </row>
    <row r="583" spans="1:29" x14ac:dyDescent="0.25">
      <c r="A583" s="1">
        <v>1736</v>
      </c>
      <c r="B583" s="17" t="s">
        <v>3526</v>
      </c>
      <c r="C583" s="2" t="s">
        <v>3527</v>
      </c>
      <c r="D583" s="15" t="s">
        <v>3528</v>
      </c>
      <c r="E583" s="9" t="s">
        <v>3529</v>
      </c>
      <c r="F583" s="9" t="s">
        <v>3530</v>
      </c>
      <c r="G583" s="9" t="s">
        <v>3531</v>
      </c>
      <c r="H583" s="2" t="s">
        <v>60</v>
      </c>
      <c r="I583" s="3">
        <v>35521</v>
      </c>
      <c r="J583" s="9" t="str">
        <f t="shared" ca="1" si="11"/>
        <v>26 ans</v>
      </c>
      <c r="K583" s="2" t="s">
        <v>36</v>
      </c>
      <c r="L583" s="2" t="str">
        <f>"120"</f>
        <v>120</v>
      </c>
      <c r="M583" s="2"/>
      <c r="N583" s="2" t="str">
        <f>"COTE DE TERREBONNE"</f>
        <v>COTE DE TERREBONNE</v>
      </c>
      <c r="O583" s="2" t="s">
        <v>3185</v>
      </c>
      <c r="P583" s="9" t="str">
        <f>VLOOKUP($O583,'Liste des Villes'!$B$2:$B$1128,1,FALSE)</f>
        <v>Saint-Jérôme</v>
      </c>
      <c r="Q583" s="9" t="str">
        <f>IFERROR($P583,PROPER(VLOOKUP($O583,'Villes en erreur'!$A$2:$B$72,2,FALSE)))</f>
        <v>Saint-Jérôme</v>
      </c>
      <c r="R583" s="9" t="s">
        <v>3186</v>
      </c>
      <c r="S583" s="9" t="str">
        <f>IF(ISBLANK($R583),"",VLOOKUP($R583,'Liste des Villes'!$B$2:$H$1128,4,FALSE))</f>
        <v>Laurentides</v>
      </c>
      <c r="T583" s="2" t="s">
        <v>3532</v>
      </c>
      <c r="U583" s="2" t="s">
        <v>39</v>
      </c>
      <c r="V583" s="2" t="s">
        <v>40</v>
      </c>
      <c r="W583" s="2" t="s">
        <v>3533</v>
      </c>
      <c r="X583" s="2"/>
      <c r="Y583" s="2"/>
      <c r="Z583" s="2"/>
      <c r="AA583" s="2" t="s">
        <v>3199</v>
      </c>
      <c r="AB583" s="2" t="s">
        <v>3200</v>
      </c>
      <c r="AC583" s="4" t="s">
        <v>44</v>
      </c>
    </row>
    <row r="584" spans="1:29" x14ac:dyDescent="0.25">
      <c r="A584" s="1">
        <v>987</v>
      </c>
      <c r="B584" s="17" t="s">
        <v>3534</v>
      </c>
      <c r="C584" s="2" t="s">
        <v>3535</v>
      </c>
      <c r="D584" s="15" t="s">
        <v>3536</v>
      </c>
      <c r="E584" s="9" t="s">
        <v>1037</v>
      </c>
      <c r="F584" s="9" t="s">
        <v>898</v>
      </c>
      <c r="G584" s="9" t="s">
        <v>179</v>
      </c>
      <c r="H584" s="2" t="s">
        <v>60</v>
      </c>
      <c r="I584" s="3">
        <v>36129</v>
      </c>
      <c r="J584" s="9" t="str">
        <f t="shared" ca="1" si="11"/>
        <v>24 ans</v>
      </c>
      <c r="K584" s="2" t="s">
        <v>123</v>
      </c>
      <c r="L584" s="2" t="str">
        <f>"216"</f>
        <v>216</v>
      </c>
      <c r="M584" s="2"/>
      <c r="N584" s="2" t="str">
        <f>"RUE AGNES-MARTIN"</f>
        <v>RUE AGNES-MARTIN</v>
      </c>
      <c r="O584" s="2" t="s">
        <v>3185</v>
      </c>
      <c r="P584" s="9" t="str">
        <f>VLOOKUP($O584,'Liste des Villes'!$B$2:$B$1128,1,FALSE)</f>
        <v>Saint-Jérôme</v>
      </c>
      <c r="Q584" s="9" t="str">
        <f>IFERROR($P584,PROPER(VLOOKUP($O584,'Villes en erreur'!$A$2:$B$72,2,FALSE)))</f>
        <v>Saint-Jérôme</v>
      </c>
      <c r="R584" s="9" t="s">
        <v>3186</v>
      </c>
      <c r="S584" s="9" t="str">
        <f>IF(ISBLANK($R584),"",VLOOKUP($R584,'Liste des Villes'!$B$2:$H$1128,4,FALSE))</f>
        <v>Laurentides</v>
      </c>
      <c r="T584" s="2" t="s">
        <v>3537</v>
      </c>
      <c r="U584" s="2" t="s">
        <v>39</v>
      </c>
      <c r="V584" s="2" t="s">
        <v>40</v>
      </c>
      <c r="W584" s="2" t="s">
        <v>3538</v>
      </c>
      <c r="X584" s="2"/>
      <c r="Y584" s="2"/>
      <c r="Z584" s="2"/>
      <c r="AA584" s="2" t="s">
        <v>832</v>
      </c>
      <c r="AB584" s="2" t="s">
        <v>3221</v>
      </c>
      <c r="AC584" s="4" t="s">
        <v>44</v>
      </c>
    </row>
    <row r="585" spans="1:29" x14ac:dyDescent="0.25">
      <c r="A585" s="1">
        <v>106</v>
      </c>
      <c r="B585" s="17" t="s">
        <v>3539</v>
      </c>
      <c r="C585" s="2" t="s">
        <v>3540</v>
      </c>
      <c r="D585" s="15" t="s">
        <v>3541</v>
      </c>
      <c r="E585" s="9" t="s">
        <v>1447</v>
      </c>
      <c r="F585" s="9" t="s">
        <v>417</v>
      </c>
      <c r="G585" s="9" t="s">
        <v>2574</v>
      </c>
      <c r="H585" s="2" t="s">
        <v>60</v>
      </c>
      <c r="I585" s="3">
        <v>35832</v>
      </c>
      <c r="J585" s="9" t="str">
        <f t="shared" ca="1" si="11"/>
        <v>25 ans</v>
      </c>
      <c r="K585" s="2" t="s">
        <v>123</v>
      </c>
      <c r="L585" s="2" t="str">
        <f>"146"</f>
        <v>146</v>
      </c>
      <c r="M585" s="2"/>
      <c r="N585" s="2" t="str">
        <f>"LAFLAMME"</f>
        <v>LAFLAMME</v>
      </c>
      <c r="O585" s="2" t="s">
        <v>3185</v>
      </c>
      <c r="P585" s="9" t="str">
        <f>VLOOKUP($O585,'Liste des Villes'!$B$2:$B$1128,1,FALSE)</f>
        <v>Saint-Jérôme</v>
      </c>
      <c r="Q585" s="9" t="str">
        <f>IFERROR($P585,PROPER(VLOOKUP($O585,'Villes en erreur'!$A$2:$B$72,2,FALSE)))</f>
        <v>Saint-Jérôme</v>
      </c>
      <c r="R585" s="9" t="s">
        <v>3186</v>
      </c>
      <c r="S585" s="9" t="str">
        <f>IF(ISBLANK($R585),"",VLOOKUP($R585,'Liste des Villes'!$B$2:$H$1128,4,FALSE))</f>
        <v>Laurentides</v>
      </c>
      <c r="T585" s="2" t="s">
        <v>3542</v>
      </c>
      <c r="U585" s="2" t="s">
        <v>39</v>
      </c>
      <c r="V585" s="2" t="s">
        <v>40</v>
      </c>
      <c r="W585" s="2" t="s">
        <v>3543</v>
      </c>
      <c r="X585" s="2"/>
      <c r="Y585" s="2"/>
      <c r="Z585" s="2"/>
      <c r="AA585" s="2" t="s">
        <v>3243</v>
      </c>
      <c r="AB585" s="2" t="s">
        <v>3221</v>
      </c>
      <c r="AC585" s="4" t="s">
        <v>44</v>
      </c>
    </row>
    <row r="586" spans="1:29" x14ac:dyDescent="0.25">
      <c r="A586" s="1">
        <v>2344</v>
      </c>
      <c r="B586" s="17" t="s">
        <v>3544</v>
      </c>
      <c r="C586" s="2" t="s">
        <v>3545</v>
      </c>
      <c r="D586" s="15" t="s">
        <v>3546</v>
      </c>
      <c r="E586" s="9" t="s">
        <v>348</v>
      </c>
      <c r="F586" s="9" t="s">
        <v>349</v>
      </c>
      <c r="G586" s="9" t="s">
        <v>3547</v>
      </c>
      <c r="H586" s="2" t="s">
        <v>60</v>
      </c>
      <c r="I586" s="3">
        <v>35958</v>
      </c>
      <c r="J586" s="9" t="str">
        <f t="shared" ca="1" si="11"/>
        <v>25 ans</v>
      </c>
      <c r="K586" s="2" t="s">
        <v>123</v>
      </c>
      <c r="L586" s="2" t="str">
        <f>"169"</f>
        <v>169</v>
      </c>
      <c r="M586" s="2"/>
      <c r="N586" s="2" t="str">
        <f>"OVILA FORGET"</f>
        <v>OVILA FORGET</v>
      </c>
      <c r="O586" s="2" t="s">
        <v>3185</v>
      </c>
      <c r="P586" s="9" t="str">
        <f>VLOOKUP($O586,'Liste des Villes'!$B$2:$B$1128,1,FALSE)</f>
        <v>Saint-Jérôme</v>
      </c>
      <c r="Q586" s="9" t="str">
        <f>IFERROR($P586,PROPER(VLOOKUP($O586,'Villes en erreur'!$A$2:$B$72,2,FALSE)))</f>
        <v>Saint-Jérôme</v>
      </c>
      <c r="R586" s="9" t="s">
        <v>3186</v>
      </c>
      <c r="S586" s="9" t="str">
        <f>IF(ISBLANK($R586),"",VLOOKUP($R586,'Liste des Villes'!$B$2:$H$1128,4,FALSE))</f>
        <v>Laurentides</v>
      </c>
      <c r="T586" s="2" t="s">
        <v>3387</v>
      </c>
      <c r="U586" s="2" t="s">
        <v>39</v>
      </c>
      <c r="V586" s="2" t="s">
        <v>40</v>
      </c>
      <c r="W586" s="2" t="s">
        <v>3548</v>
      </c>
      <c r="X586" s="2"/>
      <c r="Y586" s="2"/>
      <c r="Z586" s="2"/>
      <c r="AA586" s="2" t="s">
        <v>832</v>
      </c>
      <c r="AB586" s="2" t="s">
        <v>3221</v>
      </c>
      <c r="AC586" s="4" t="s">
        <v>44</v>
      </c>
    </row>
    <row r="587" spans="1:29" x14ac:dyDescent="0.25">
      <c r="A587" s="1">
        <v>2041</v>
      </c>
      <c r="B587" s="17" t="s">
        <v>3549</v>
      </c>
      <c r="C587" s="2" t="s">
        <v>3550</v>
      </c>
      <c r="D587" s="15" t="s">
        <v>3551</v>
      </c>
      <c r="E587" s="9" t="s">
        <v>3552</v>
      </c>
      <c r="F587" s="9" t="s">
        <v>3553</v>
      </c>
      <c r="G587" s="9" t="s">
        <v>495</v>
      </c>
      <c r="H587" s="2" t="s">
        <v>35</v>
      </c>
      <c r="I587" s="3">
        <v>34733</v>
      </c>
      <c r="J587" s="9" t="str">
        <f t="shared" ca="1" si="11"/>
        <v>28 ans</v>
      </c>
      <c r="K587" s="2" t="s">
        <v>36</v>
      </c>
      <c r="L587" s="2" t="str">
        <f>"73"</f>
        <v>73</v>
      </c>
      <c r="M587" s="2"/>
      <c r="N587" s="2" t="str">
        <f>"CH DE SAINT-MORITZ"</f>
        <v>CH DE SAINT-MORITZ</v>
      </c>
      <c r="O587" s="2" t="s">
        <v>3185</v>
      </c>
      <c r="P587" s="9" t="str">
        <f>VLOOKUP($O587,'Liste des Villes'!$B$2:$B$1128,1,FALSE)</f>
        <v>Saint-Jérôme</v>
      </c>
      <c r="Q587" s="9" t="str">
        <f>IFERROR($P587,PROPER(VLOOKUP($O587,'Villes en erreur'!$A$2:$B$72,2,FALSE)))</f>
        <v>Saint-Jérôme</v>
      </c>
      <c r="R587" s="9" t="s">
        <v>3186</v>
      </c>
      <c r="S587" s="9" t="str">
        <f>IF(ISBLANK($R587),"",VLOOKUP($R587,'Liste des Villes'!$B$2:$H$1128,4,FALSE))</f>
        <v>Laurentides</v>
      </c>
      <c r="T587" s="2" t="s">
        <v>3187</v>
      </c>
      <c r="U587" s="2" t="s">
        <v>39</v>
      </c>
      <c r="V587" s="2" t="s">
        <v>40</v>
      </c>
      <c r="W587" s="2" t="s">
        <v>3554</v>
      </c>
      <c r="X587" s="2"/>
      <c r="Y587" s="2"/>
      <c r="Z587" s="2"/>
      <c r="AA587" s="2" t="s">
        <v>3225</v>
      </c>
      <c r="AB587" s="2" t="s">
        <v>53</v>
      </c>
      <c r="AC587" s="4" t="s">
        <v>44</v>
      </c>
    </row>
    <row r="588" spans="1:29" x14ac:dyDescent="0.25">
      <c r="A588" s="1">
        <v>908</v>
      </c>
      <c r="B588" s="17" t="s">
        <v>3555</v>
      </c>
      <c r="C588" s="2" t="s">
        <v>2354</v>
      </c>
      <c r="D588" s="15" t="s">
        <v>582</v>
      </c>
      <c r="E588" s="9" t="s">
        <v>2355</v>
      </c>
      <c r="F588" s="9" t="s">
        <v>2001</v>
      </c>
      <c r="G588" s="9" t="s">
        <v>3218</v>
      </c>
      <c r="H588" s="2" t="s">
        <v>60</v>
      </c>
      <c r="I588" s="3">
        <v>34348</v>
      </c>
      <c r="J588" s="9" t="str">
        <f t="shared" ca="1" si="11"/>
        <v>29 ans</v>
      </c>
      <c r="K588" s="2" t="s">
        <v>36</v>
      </c>
      <c r="L588" s="2" t="str">
        <f>"53"</f>
        <v>53</v>
      </c>
      <c r="M588" s="2"/>
      <c r="N588" s="2" t="str">
        <f>"BOULEVARD RENÉ-LÉVESQUE"</f>
        <v>BOULEVARD RENÉ-LÉVESQUE</v>
      </c>
      <c r="O588" s="2" t="s">
        <v>3185</v>
      </c>
      <c r="P588" s="9" t="str">
        <f>VLOOKUP($O588,'Liste des Villes'!$B$2:$B$1128,1,FALSE)</f>
        <v>Saint-Jérôme</v>
      </c>
      <c r="Q588" s="9" t="str">
        <f>IFERROR($P588,PROPER(VLOOKUP($O588,'Villes en erreur'!$A$2:$B$72,2,FALSE)))</f>
        <v>Saint-Jérôme</v>
      </c>
      <c r="R588" s="9" t="s">
        <v>3186</v>
      </c>
      <c r="S588" s="9" t="str">
        <f>IF(ISBLANK($R588),"",VLOOKUP($R588,'Liste des Villes'!$B$2:$H$1128,4,FALSE))</f>
        <v>Laurentides</v>
      </c>
      <c r="T588" s="2" t="s">
        <v>3291</v>
      </c>
      <c r="U588" s="2" t="s">
        <v>39</v>
      </c>
      <c r="V588" s="2" t="s">
        <v>40</v>
      </c>
      <c r="W588" s="2" t="s">
        <v>3556</v>
      </c>
      <c r="X588" s="2"/>
      <c r="Y588" s="2"/>
      <c r="Z588" s="2"/>
      <c r="AA588" s="2" t="s">
        <v>3360</v>
      </c>
      <c r="AB588" s="2" t="s">
        <v>53</v>
      </c>
      <c r="AC588" s="4" t="s">
        <v>44</v>
      </c>
    </row>
    <row r="589" spans="1:29" x14ac:dyDescent="0.25">
      <c r="A589" s="1">
        <v>1690</v>
      </c>
      <c r="B589" s="17" t="s">
        <v>3557</v>
      </c>
      <c r="C589" s="2" t="s">
        <v>3558</v>
      </c>
      <c r="D589" s="15" t="s">
        <v>1076</v>
      </c>
      <c r="E589" s="9" t="s">
        <v>3559</v>
      </c>
      <c r="F589" s="9" t="s">
        <v>839</v>
      </c>
      <c r="G589" s="9" t="s">
        <v>1845</v>
      </c>
      <c r="H589" s="2" t="s">
        <v>35</v>
      </c>
      <c r="I589" s="3">
        <v>36209</v>
      </c>
      <c r="J589" s="9" t="str">
        <f t="shared" ca="1" si="11"/>
        <v>24 ans</v>
      </c>
      <c r="K589" s="2" t="s">
        <v>123</v>
      </c>
      <c r="L589" s="2" t="str">
        <f>"245"</f>
        <v>245</v>
      </c>
      <c r="M589" s="2"/>
      <c r="N589" s="2" t="str">
        <f>"RUE AUGUSTA"</f>
        <v>RUE AUGUSTA</v>
      </c>
      <c r="O589" s="2" t="s">
        <v>3185</v>
      </c>
      <c r="P589" s="9" t="str">
        <f>VLOOKUP($O589,'Liste des Villes'!$B$2:$B$1128,1,FALSE)</f>
        <v>Saint-Jérôme</v>
      </c>
      <c r="Q589" s="9" t="str">
        <f>IFERROR($P589,PROPER(VLOOKUP($O589,'Villes en erreur'!$A$2:$B$72,2,FALSE)))</f>
        <v>Saint-Jérôme</v>
      </c>
      <c r="R589" s="9" t="s">
        <v>3186</v>
      </c>
      <c r="S589" s="9" t="str">
        <f>IF(ISBLANK($R589),"",VLOOKUP($R589,'Liste des Villes'!$B$2:$H$1128,4,FALSE))</f>
        <v>Laurentides</v>
      </c>
      <c r="T589" s="2" t="s">
        <v>3560</v>
      </c>
      <c r="U589" s="2" t="s">
        <v>39</v>
      </c>
      <c r="V589" s="2" t="s">
        <v>40</v>
      </c>
      <c r="W589" s="2" t="s">
        <v>3561</v>
      </c>
      <c r="X589" s="2"/>
      <c r="Y589" s="2"/>
      <c r="Z589" s="2"/>
      <c r="AA589" s="2" t="s">
        <v>832</v>
      </c>
      <c r="AB589" s="2" t="s">
        <v>3288</v>
      </c>
      <c r="AC589" s="4" t="s">
        <v>44</v>
      </c>
    </row>
    <row r="590" spans="1:29" x14ac:dyDescent="0.25">
      <c r="A590" s="1">
        <v>2616</v>
      </c>
      <c r="B590" s="17" t="s">
        <v>3562</v>
      </c>
      <c r="C590" s="2" t="s">
        <v>2009</v>
      </c>
      <c r="D590" s="15" t="s">
        <v>1076</v>
      </c>
      <c r="E590" s="9" t="s">
        <v>332</v>
      </c>
      <c r="F590" s="9" t="s">
        <v>2010</v>
      </c>
      <c r="G590" s="9" t="s">
        <v>3397</v>
      </c>
      <c r="H590" s="2" t="s">
        <v>60</v>
      </c>
      <c r="I590" s="3">
        <v>35298</v>
      </c>
      <c r="J590" s="9" t="str">
        <f t="shared" ca="1" si="11"/>
        <v>27 ans</v>
      </c>
      <c r="K590" s="2" t="s">
        <v>36</v>
      </c>
      <c r="L590" s="2" t="str">
        <f>"108"</f>
        <v>108</v>
      </c>
      <c r="M590" s="2"/>
      <c r="N590" s="2" t="str">
        <f>"CHEMIN DE VAL-ROYAL"</f>
        <v>CHEMIN DE VAL-ROYAL</v>
      </c>
      <c r="O590" s="2" t="s">
        <v>3185</v>
      </c>
      <c r="P590" s="9" t="str">
        <f>VLOOKUP($O590,'Liste des Villes'!$B$2:$B$1128,1,FALSE)</f>
        <v>Saint-Jérôme</v>
      </c>
      <c r="Q590" s="9" t="str">
        <f>IFERROR($P590,PROPER(VLOOKUP($O590,'Villes en erreur'!$A$2:$B$72,2,FALSE)))</f>
        <v>Saint-Jérôme</v>
      </c>
      <c r="R590" s="9" t="s">
        <v>3186</v>
      </c>
      <c r="S590" s="9" t="str">
        <f>IF(ISBLANK($R590),"",VLOOKUP($R590,'Liste des Villes'!$B$2:$H$1128,4,FALSE))</f>
        <v>Laurentides</v>
      </c>
      <c r="T590" s="2" t="s">
        <v>3563</v>
      </c>
      <c r="U590" s="2" t="s">
        <v>39</v>
      </c>
      <c r="V590" s="2" t="s">
        <v>40</v>
      </c>
      <c r="W590" s="2" t="s">
        <v>3564</v>
      </c>
      <c r="X590" s="2"/>
      <c r="Y590" s="2"/>
      <c r="Z590" s="2"/>
      <c r="AA590" s="2" t="s">
        <v>3189</v>
      </c>
      <c r="AB590" s="2" t="s">
        <v>3200</v>
      </c>
      <c r="AC590" s="4" t="s">
        <v>44</v>
      </c>
    </row>
    <row r="591" spans="1:29" x14ac:dyDescent="0.25">
      <c r="A591" s="1">
        <v>4167</v>
      </c>
      <c r="B591" s="17" t="s">
        <v>3565</v>
      </c>
      <c r="C591" s="2" t="s">
        <v>3566</v>
      </c>
      <c r="D591" s="15" t="s">
        <v>3567</v>
      </c>
      <c r="E591" s="9" t="s">
        <v>3568</v>
      </c>
      <c r="F591" s="9" t="s">
        <v>3569</v>
      </c>
      <c r="G591" s="9" t="s">
        <v>600</v>
      </c>
      <c r="H591" s="2" t="s">
        <v>60</v>
      </c>
      <c r="I591" s="3">
        <v>35976</v>
      </c>
      <c r="J591" s="9" t="str">
        <f t="shared" ca="1" si="11"/>
        <v>25 ans</v>
      </c>
      <c r="K591" s="2" t="s">
        <v>123</v>
      </c>
      <c r="L591" s="2" t="str">
        <f>"171"</f>
        <v>171</v>
      </c>
      <c r="M591" s="2"/>
      <c r="N591" s="2" t="str">
        <f>"PLACE ALARY"</f>
        <v>PLACE ALARY</v>
      </c>
      <c r="O591" s="2" t="s">
        <v>3185</v>
      </c>
      <c r="P591" s="9" t="str">
        <f>VLOOKUP($O591,'Liste des Villes'!$B$2:$B$1128,1,FALSE)</f>
        <v>Saint-Jérôme</v>
      </c>
      <c r="Q591" s="9" t="str">
        <f>IFERROR($P591,PROPER(VLOOKUP($O591,'Villes en erreur'!$A$2:$B$72,2,FALSE)))</f>
        <v>Saint-Jérôme</v>
      </c>
      <c r="R591" s="9" t="s">
        <v>3186</v>
      </c>
      <c r="S591" s="9" t="str">
        <f>IF(ISBLANK($R591),"",VLOOKUP($R591,'Liste des Villes'!$B$2:$H$1128,4,FALSE))</f>
        <v>Laurentides</v>
      </c>
      <c r="T591" s="2" t="s">
        <v>3570</v>
      </c>
      <c r="U591" s="2" t="s">
        <v>39</v>
      </c>
      <c r="V591" s="2" t="s">
        <v>40</v>
      </c>
      <c r="W591" s="2" t="s">
        <v>3571</v>
      </c>
      <c r="X591" s="2"/>
      <c r="Y591" s="2"/>
      <c r="Z591" s="2"/>
      <c r="AA591" s="2" t="s">
        <v>832</v>
      </c>
      <c r="AB591" s="2" t="s">
        <v>3221</v>
      </c>
      <c r="AC591" s="4" t="s">
        <v>44</v>
      </c>
    </row>
    <row r="592" spans="1:29" x14ac:dyDescent="0.25">
      <c r="A592" s="1">
        <v>3494</v>
      </c>
      <c r="B592" s="17" t="s">
        <v>3572</v>
      </c>
      <c r="C592" s="2" t="s">
        <v>3573</v>
      </c>
      <c r="D592" s="15" t="s">
        <v>3574</v>
      </c>
      <c r="E592" s="9" t="s">
        <v>1025</v>
      </c>
      <c r="F592" s="9" t="s">
        <v>3575</v>
      </c>
      <c r="G592" s="9" t="s">
        <v>3559</v>
      </c>
      <c r="H592" s="2" t="s">
        <v>35</v>
      </c>
      <c r="I592" s="3">
        <v>35585</v>
      </c>
      <c r="J592" s="9" t="str">
        <f t="shared" ca="1" si="11"/>
        <v>26 ans</v>
      </c>
      <c r="K592" s="2" t="s">
        <v>36</v>
      </c>
      <c r="L592" s="2" t="str">
        <f>"126"</f>
        <v>126</v>
      </c>
      <c r="M592" s="2"/>
      <c r="N592" s="2" t="str">
        <f>"CROISSANT DU LAC"</f>
        <v>CROISSANT DU LAC</v>
      </c>
      <c r="O592" s="2" t="s">
        <v>3185</v>
      </c>
      <c r="P592" s="9" t="str">
        <f>VLOOKUP($O592,'Liste des Villes'!$B$2:$B$1128,1,FALSE)</f>
        <v>Saint-Jérôme</v>
      </c>
      <c r="Q592" s="9" t="str">
        <f>IFERROR($P592,PROPER(VLOOKUP($O592,'Villes en erreur'!$A$2:$B$72,2,FALSE)))</f>
        <v>Saint-Jérôme</v>
      </c>
      <c r="R592" s="9" t="s">
        <v>3186</v>
      </c>
      <c r="S592" s="9" t="str">
        <f>IF(ISBLANK($R592),"",VLOOKUP($R592,'Liste des Villes'!$B$2:$H$1128,4,FALSE))</f>
        <v>Laurentides</v>
      </c>
      <c r="T592" s="2" t="s">
        <v>3576</v>
      </c>
      <c r="U592" s="2" t="s">
        <v>39</v>
      </c>
      <c r="V592" s="2" t="s">
        <v>40</v>
      </c>
      <c r="W592" s="2" t="s">
        <v>3577</v>
      </c>
      <c r="X592" s="2"/>
      <c r="Y592" s="2"/>
      <c r="Z592" s="2"/>
      <c r="AA592" s="2" t="s">
        <v>3243</v>
      </c>
      <c r="AB592" s="2" t="s">
        <v>3221</v>
      </c>
      <c r="AC592" s="4" t="s">
        <v>44</v>
      </c>
    </row>
    <row r="593" spans="1:29" x14ac:dyDescent="0.25">
      <c r="A593" s="1">
        <v>2002</v>
      </c>
      <c r="B593" s="17" t="s">
        <v>3578</v>
      </c>
      <c r="C593" s="2" t="s">
        <v>3579</v>
      </c>
      <c r="D593" s="15" t="s">
        <v>2698</v>
      </c>
      <c r="E593" s="9" t="s">
        <v>3580</v>
      </c>
      <c r="F593" s="9" t="s">
        <v>3581</v>
      </c>
      <c r="G593" s="9" t="s">
        <v>32</v>
      </c>
      <c r="H593" s="2" t="s">
        <v>60</v>
      </c>
      <c r="I593" s="3">
        <v>35756</v>
      </c>
      <c r="J593" s="9" t="str">
        <f t="shared" ca="1" si="11"/>
        <v>25 ans</v>
      </c>
      <c r="K593" s="2" t="s">
        <v>123</v>
      </c>
      <c r="L593" s="2" t="str">
        <f>"140"</f>
        <v>140</v>
      </c>
      <c r="M593" s="2"/>
      <c r="N593" s="2" t="str">
        <f>"DU ROI-CHARLES BLVD"</f>
        <v>DU ROI-CHARLES BLVD</v>
      </c>
      <c r="O593" s="2" t="s">
        <v>3185</v>
      </c>
      <c r="P593" s="9" t="str">
        <f>VLOOKUP($O593,'Liste des Villes'!$B$2:$B$1128,1,FALSE)</f>
        <v>Saint-Jérôme</v>
      </c>
      <c r="Q593" s="9" t="str">
        <f>IFERROR($P593,PROPER(VLOOKUP($O593,'Villes en erreur'!$A$2:$B$72,2,FALSE)))</f>
        <v>Saint-Jérôme</v>
      </c>
      <c r="R593" s="9" t="s">
        <v>3186</v>
      </c>
      <c r="S593" s="9" t="str">
        <f>IF(ISBLANK($R593),"",VLOOKUP($R593,'Liste des Villes'!$B$2:$H$1128,4,FALSE))</f>
        <v>Laurentides</v>
      </c>
      <c r="T593" s="2" t="s">
        <v>3582</v>
      </c>
      <c r="U593" s="2" t="s">
        <v>39</v>
      </c>
      <c r="V593" s="2" t="s">
        <v>40</v>
      </c>
      <c r="W593" s="2" t="s">
        <v>3583</v>
      </c>
      <c r="X593" s="2"/>
      <c r="Y593" s="2"/>
      <c r="Z593" s="2"/>
      <c r="AA593" s="2" t="s">
        <v>3243</v>
      </c>
      <c r="AB593" s="2" t="s">
        <v>3221</v>
      </c>
      <c r="AC593" s="4" t="s">
        <v>44</v>
      </c>
    </row>
    <row r="594" spans="1:29" x14ac:dyDescent="0.25">
      <c r="A594" s="1">
        <v>968</v>
      </c>
      <c r="B594" s="17" t="s">
        <v>3584</v>
      </c>
      <c r="C594" s="2" t="s">
        <v>3585</v>
      </c>
      <c r="D594" s="15" t="s">
        <v>3586</v>
      </c>
      <c r="E594" s="9" t="s">
        <v>3587</v>
      </c>
      <c r="F594" s="9" t="s">
        <v>3588</v>
      </c>
      <c r="G594" s="9" t="s">
        <v>3589</v>
      </c>
      <c r="H594" s="2" t="s">
        <v>60</v>
      </c>
      <c r="I594" s="3">
        <v>35915</v>
      </c>
      <c r="J594" s="9" t="str">
        <f t="shared" ca="1" si="11"/>
        <v>25 ans</v>
      </c>
      <c r="K594" s="2" t="s">
        <v>123</v>
      </c>
      <c r="L594" s="2" t="str">
        <f>"160"</f>
        <v>160</v>
      </c>
      <c r="M594" s="2"/>
      <c r="N594" s="2" t="str">
        <f>"MONTEE DU VILLAGE"</f>
        <v>MONTEE DU VILLAGE</v>
      </c>
      <c r="O594" s="2" t="s">
        <v>3185</v>
      </c>
      <c r="P594" s="9" t="str">
        <f>VLOOKUP($O594,'Liste des Villes'!$B$2:$B$1128,1,FALSE)</f>
        <v>Saint-Jérôme</v>
      </c>
      <c r="Q594" s="9" t="str">
        <f>IFERROR($P594,PROPER(VLOOKUP($O594,'Villes en erreur'!$A$2:$B$72,2,FALSE)))</f>
        <v>Saint-Jérôme</v>
      </c>
      <c r="R594" s="9" t="s">
        <v>3186</v>
      </c>
      <c r="S594" s="9" t="str">
        <f>IF(ISBLANK($R594),"",VLOOKUP($R594,'Liste des Villes'!$B$2:$H$1128,4,FALSE))</f>
        <v>Laurentides</v>
      </c>
      <c r="T594" s="2" t="s">
        <v>3590</v>
      </c>
      <c r="U594" s="2" t="s">
        <v>39</v>
      </c>
      <c r="V594" s="2" t="s">
        <v>40</v>
      </c>
      <c r="W594" s="2" t="s">
        <v>3591</v>
      </c>
      <c r="X594" s="2"/>
      <c r="Y594" s="2"/>
      <c r="Z594" s="2"/>
      <c r="AA594" s="2" t="s">
        <v>3243</v>
      </c>
      <c r="AB594" s="2" t="s">
        <v>3221</v>
      </c>
      <c r="AC594" s="4" t="s">
        <v>44</v>
      </c>
    </row>
    <row r="595" spans="1:29" x14ac:dyDescent="0.25">
      <c r="A595" s="1">
        <v>4475</v>
      </c>
      <c r="B595" s="17" t="s">
        <v>3592</v>
      </c>
      <c r="C595" s="2" t="s">
        <v>3593</v>
      </c>
      <c r="D595" s="15" t="s">
        <v>3594</v>
      </c>
      <c r="E595" s="9" t="s">
        <v>3595</v>
      </c>
      <c r="F595" s="9" t="s">
        <v>3596</v>
      </c>
      <c r="G595" s="9" t="s">
        <v>3597</v>
      </c>
      <c r="H595" s="2" t="s">
        <v>60</v>
      </c>
      <c r="I595" s="3">
        <v>36237</v>
      </c>
      <c r="J595" s="9" t="str">
        <f t="shared" ca="1" si="11"/>
        <v>24 ans</v>
      </c>
      <c r="K595" s="2" t="s">
        <v>123</v>
      </c>
      <c r="L595" s="2" t="str">
        <f>"261"</f>
        <v>261</v>
      </c>
      <c r="M595" s="2"/>
      <c r="N595" s="2" t="str">
        <f>"RUE BEL-AIR"</f>
        <v>RUE BEL-AIR</v>
      </c>
      <c r="O595" s="2" t="s">
        <v>3185</v>
      </c>
      <c r="P595" s="9" t="str">
        <f>VLOOKUP($O595,'Liste des Villes'!$B$2:$B$1128,1,FALSE)</f>
        <v>Saint-Jérôme</v>
      </c>
      <c r="Q595" s="9" t="str">
        <f>IFERROR($P595,PROPER(VLOOKUP($O595,'Villes en erreur'!$A$2:$B$72,2,FALSE)))</f>
        <v>Saint-Jérôme</v>
      </c>
      <c r="R595" s="9" t="s">
        <v>3186</v>
      </c>
      <c r="S595" s="9" t="str">
        <f>IF(ISBLANK($R595),"",VLOOKUP($R595,'Liste des Villes'!$B$2:$H$1128,4,FALSE))</f>
        <v>Laurentides</v>
      </c>
      <c r="T595" s="2" t="s">
        <v>3598</v>
      </c>
      <c r="U595" s="2" t="s">
        <v>39</v>
      </c>
      <c r="V595" s="2" t="s">
        <v>40</v>
      </c>
      <c r="W595" s="2" t="s">
        <v>3599</v>
      </c>
      <c r="X595" s="2"/>
      <c r="Y595" s="2"/>
      <c r="Z595" s="2"/>
      <c r="AA595" s="2" t="s">
        <v>832</v>
      </c>
      <c r="AB595" s="2" t="s">
        <v>73</v>
      </c>
      <c r="AC595" s="4" t="s">
        <v>44</v>
      </c>
    </row>
    <row r="596" spans="1:29" x14ac:dyDescent="0.25">
      <c r="A596" s="1">
        <v>4088</v>
      </c>
      <c r="B596" s="17" t="s">
        <v>3600</v>
      </c>
      <c r="C596" s="2" t="s">
        <v>3601</v>
      </c>
      <c r="D596" s="15" t="s">
        <v>1167</v>
      </c>
      <c r="E596" s="9" t="s">
        <v>3397</v>
      </c>
      <c r="F596" s="9" t="s">
        <v>3602</v>
      </c>
      <c r="G596" s="9" t="s">
        <v>179</v>
      </c>
      <c r="H596" s="2" t="s">
        <v>60</v>
      </c>
      <c r="I596" s="3">
        <v>36108</v>
      </c>
      <c r="J596" s="9" t="str">
        <f t="shared" ca="1" si="11"/>
        <v>24 ans</v>
      </c>
      <c r="K596" s="2" t="s">
        <v>123</v>
      </c>
      <c r="L596" s="2" t="str">
        <f>"210"</f>
        <v>210</v>
      </c>
      <c r="M596" s="2"/>
      <c r="N596" s="2" t="str">
        <f>"RTE 329"</f>
        <v>RTE 329</v>
      </c>
      <c r="O596" s="2" t="s">
        <v>3185</v>
      </c>
      <c r="P596" s="9" t="str">
        <f>VLOOKUP($O596,'Liste des Villes'!$B$2:$B$1128,1,FALSE)</f>
        <v>Saint-Jérôme</v>
      </c>
      <c r="Q596" s="9" t="str">
        <f>IFERROR($P596,PROPER(VLOOKUP($O596,'Villes en erreur'!$A$2:$B$72,2,FALSE)))</f>
        <v>Saint-Jérôme</v>
      </c>
      <c r="R596" s="9" t="s">
        <v>3186</v>
      </c>
      <c r="S596" s="9" t="str">
        <f>IF(ISBLANK($R596),"",VLOOKUP($R596,'Liste des Villes'!$B$2:$H$1128,4,FALSE))</f>
        <v>Laurentides</v>
      </c>
      <c r="T596" s="2" t="s">
        <v>3603</v>
      </c>
      <c r="U596" s="2" t="s">
        <v>39</v>
      </c>
      <c r="V596" s="2" t="s">
        <v>40</v>
      </c>
      <c r="W596" s="2" t="s">
        <v>3604</v>
      </c>
      <c r="X596" s="2"/>
      <c r="Y596" s="2"/>
      <c r="Z596" s="2"/>
      <c r="AA596" s="2" t="s">
        <v>832</v>
      </c>
      <c r="AB596" s="2" t="s">
        <v>3221</v>
      </c>
      <c r="AC596" s="4" t="s">
        <v>44</v>
      </c>
    </row>
    <row r="597" spans="1:29" x14ac:dyDescent="0.25">
      <c r="A597" s="1">
        <v>4142</v>
      </c>
      <c r="B597" s="17" t="s">
        <v>3605</v>
      </c>
      <c r="C597" s="2" t="s">
        <v>3606</v>
      </c>
      <c r="D597" s="15" t="s">
        <v>254</v>
      </c>
      <c r="E597" s="9" t="s">
        <v>114</v>
      </c>
      <c r="F597" s="9" t="s">
        <v>252</v>
      </c>
      <c r="G597" s="9" t="s">
        <v>2339</v>
      </c>
      <c r="H597" s="2" t="s">
        <v>35</v>
      </c>
      <c r="I597" s="3">
        <v>35848</v>
      </c>
      <c r="J597" s="9" t="str">
        <f t="shared" ca="1" si="11"/>
        <v>25 ans</v>
      </c>
      <c r="K597" s="2" t="s">
        <v>123</v>
      </c>
      <c r="L597" s="2" t="str">
        <f>"148"</f>
        <v>148</v>
      </c>
      <c r="M597" s="2"/>
      <c r="N597" s="2" t="str">
        <f>"Laviolette"</f>
        <v>Laviolette</v>
      </c>
      <c r="O597" s="2" t="s">
        <v>3185</v>
      </c>
      <c r="P597" s="9" t="str">
        <f>VLOOKUP($O597,'Liste des Villes'!$B$2:$B$1128,1,FALSE)</f>
        <v>Saint-Jérôme</v>
      </c>
      <c r="Q597" s="9" t="str">
        <f>IFERROR($P597,PROPER(VLOOKUP($O597,'Villes en erreur'!$A$2:$B$72,2,FALSE)))</f>
        <v>Saint-Jérôme</v>
      </c>
      <c r="R597" s="9" t="s">
        <v>3186</v>
      </c>
      <c r="S597" s="9" t="str">
        <f>IF(ISBLANK($R597),"",VLOOKUP($R597,'Liste des Villes'!$B$2:$H$1128,4,FALSE))</f>
        <v>Laurentides</v>
      </c>
      <c r="T597" s="2" t="s">
        <v>3607</v>
      </c>
      <c r="U597" s="2" t="s">
        <v>39</v>
      </c>
      <c r="V597" s="2" t="s">
        <v>40</v>
      </c>
      <c r="W597" s="2" t="s">
        <v>3608</v>
      </c>
      <c r="X597" s="2"/>
      <c r="Y597" s="2"/>
      <c r="Z597" s="2"/>
      <c r="AA597" s="2" t="s">
        <v>3243</v>
      </c>
      <c r="AB597" s="2" t="s">
        <v>3221</v>
      </c>
      <c r="AC597" s="4" t="s">
        <v>44</v>
      </c>
    </row>
    <row r="598" spans="1:29" x14ac:dyDescent="0.25">
      <c r="A598" s="1">
        <v>1371</v>
      </c>
      <c r="B598" s="17" t="s">
        <v>3609</v>
      </c>
      <c r="C598" s="2" t="s">
        <v>3610</v>
      </c>
      <c r="D598" s="15" t="s">
        <v>569</v>
      </c>
      <c r="E598" s="9" t="s">
        <v>1295</v>
      </c>
      <c r="F598" s="9" t="s">
        <v>3611</v>
      </c>
      <c r="G598" s="9" t="s">
        <v>3612</v>
      </c>
      <c r="H598" s="2" t="s">
        <v>35</v>
      </c>
      <c r="I598" s="3">
        <v>35228</v>
      </c>
      <c r="J598" s="9" t="str">
        <f t="shared" ca="1" si="11"/>
        <v>27 ans</v>
      </c>
      <c r="K598" s="2" t="s">
        <v>36</v>
      </c>
      <c r="L598" s="2" t="str">
        <f>"105"</f>
        <v>105</v>
      </c>
      <c r="M598" s="2"/>
      <c r="N598" s="2" t="str">
        <f>"CHEMIN BELLEVUE"</f>
        <v>CHEMIN BELLEVUE</v>
      </c>
      <c r="O598" s="2" t="s">
        <v>3185</v>
      </c>
      <c r="P598" s="9" t="str">
        <f>VLOOKUP($O598,'Liste des Villes'!$B$2:$B$1128,1,FALSE)</f>
        <v>Saint-Jérôme</v>
      </c>
      <c r="Q598" s="9" t="str">
        <f>IFERROR($P598,PROPER(VLOOKUP($O598,'Villes en erreur'!$A$2:$B$72,2,FALSE)))</f>
        <v>Saint-Jérôme</v>
      </c>
      <c r="R598" s="9" t="s">
        <v>3186</v>
      </c>
      <c r="S598" s="9" t="str">
        <f>IF(ISBLANK($R598),"",VLOOKUP($R598,'Liste des Villes'!$B$2:$H$1128,4,FALSE))</f>
        <v>Laurentides</v>
      </c>
      <c r="T598" s="2" t="s">
        <v>3187</v>
      </c>
      <c r="U598" s="2" t="s">
        <v>39</v>
      </c>
      <c r="V598" s="2" t="s">
        <v>40</v>
      </c>
      <c r="W598" s="2" t="s">
        <v>3613</v>
      </c>
      <c r="X598" s="2"/>
      <c r="Y598" s="2"/>
      <c r="Z598" s="2"/>
      <c r="AA598" s="2" t="s">
        <v>3189</v>
      </c>
      <c r="AB598" s="2" t="s">
        <v>3190</v>
      </c>
      <c r="AC598" s="4" t="s">
        <v>44</v>
      </c>
    </row>
    <row r="599" spans="1:29" x14ac:dyDescent="0.25">
      <c r="A599" s="1">
        <v>4439</v>
      </c>
      <c r="B599" s="17" t="s">
        <v>3614</v>
      </c>
      <c r="C599" s="2" t="s">
        <v>3615</v>
      </c>
      <c r="D599" s="15" t="s">
        <v>363</v>
      </c>
      <c r="E599" s="9" t="s">
        <v>3616</v>
      </c>
      <c r="F599" s="9" t="s">
        <v>3617</v>
      </c>
      <c r="G599" s="9" t="s">
        <v>3618</v>
      </c>
      <c r="H599" s="2" t="s">
        <v>60</v>
      </c>
      <c r="I599" s="3">
        <v>36199</v>
      </c>
      <c r="J599" s="9" t="str">
        <f t="shared" ca="1" si="11"/>
        <v>24 ans</v>
      </c>
      <c r="K599" s="2" t="s">
        <v>123</v>
      </c>
      <c r="L599" s="2" t="str">
        <f>"241"</f>
        <v>241</v>
      </c>
      <c r="M599" s="2"/>
      <c r="N599" s="2" t="str">
        <f>"RUE ARMAND BERTRAND"</f>
        <v>RUE ARMAND BERTRAND</v>
      </c>
      <c r="O599" s="2" t="s">
        <v>3185</v>
      </c>
      <c r="P599" s="9" t="str">
        <f>VLOOKUP($O599,'Liste des Villes'!$B$2:$B$1128,1,FALSE)</f>
        <v>Saint-Jérôme</v>
      </c>
      <c r="Q599" s="9" t="str">
        <f>IFERROR($P599,PROPER(VLOOKUP($O599,'Villes en erreur'!$A$2:$B$72,2,FALSE)))</f>
        <v>Saint-Jérôme</v>
      </c>
      <c r="R599" s="9" t="s">
        <v>3186</v>
      </c>
      <c r="S599" s="9" t="str">
        <f>IF(ISBLANK($R599),"",VLOOKUP($R599,'Liste des Villes'!$B$2:$H$1128,4,FALSE))</f>
        <v>Laurentides</v>
      </c>
      <c r="T599" s="2" t="s">
        <v>3619</v>
      </c>
      <c r="U599" s="2" t="s">
        <v>39</v>
      </c>
      <c r="V599" s="2" t="s">
        <v>40</v>
      </c>
      <c r="W599" s="2" t="s">
        <v>3620</v>
      </c>
      <c r="X599" s="2"/>
      <c r="Y599" s="2"/>
      <c r="Z599" s="2"/>
      <c r="AA599" s="2" t="s">
        <v>832</v>
      </c>
      <c r="AB599" s="2" t="s">
        <v>3288</v>
      </c>
      <c r="AC599" s="4" t="s">
        <v>44</v>
      </c>
    </row>
    <row r="600" spans="1:29" x14ac:dyDescent="0.25">
      <c r="A600" s="1">
        <v>662</v>
      </c>
      <c r="B600" s="17" t="s">
        <v>3621</v>
      </c>
      <c r="C600" s="2" t="s">
        <v>177</v>
      </c>
      <c r="D600" s="15" t="s">
        <v>178</v>
      </c>
      <c r="E600" s="9" t="s">
        <v>179</v>
      </c>
      <c r="F600" s="9" t="s">
        <v>180</v>
      </c>
      <c r="G600" s="9" t="s">
        <v>1447</v>
      </c>
      <c r="H600" s="2" t="s">
        <v>60</v>
      </c>
      <c r="I600" s="3">
        <v>35482</v>
      </c>
      <c r="J600" s="9" t="str">
        <f t="shared" ca="1" si="11"/>
        <v>26 ans</v>
      </c>
      <c r="K600" s="2" t="s">
        <v>36</v>
      </c>
      <c r="L600" s="2" t="str">
        <f>"118"</f>
        <v>118</v>
      </c>
      <c r="M600" s="2"/>
      <c r="N600" s="2" t="str">
        <f>"CHEMIN PINK"</f>
        <v>CHEMIN PINK</v>
      </c>
      <c r="O600" s="2" t="s">
        <v>3185</v>
      </c>
      <c r="P600" s="9" t="str">
        <f>VLOOKUP($O600,'Liste des Villes'!$B$2:$B$1128,1,FALSE)</f>
        <v>Saint-Jérôme</v>
      </c>
      <c r="Q600" s="9" t="str">
        <f>IFERROR($P600,PROPER(VLOOKUP($O600,'Villes en erreur'!$A$2:$B$72,2,FALSE)))</f>
        <v>Saint-Jérôme</v>
      </c>
      <c r="R600" s="9" t="s">
        <v>3186</v>
      </c>
      <c r="S600" s="9" t="str">
        <f>IF(ISBLANK($R600),"",VLOOKUP($R600,'Liste des Villes'!$B$2:$H$1128,4,FALSE))</f>
        <v>Laurentides</v>
      </c>
      <c r="T600" s="2" t="s">
        <v>3532</v>
      </c>
      <c r="U600" s="2" t="s">
        <v>39</v>
      </c>
      <c r="V600" s="2" t="s">
        <v>40</v>
      </c>
      <c r="W600" s="2" t="s">
        <v>3622</v>
      </c>
      <c r="X600" s="2"/>
      <c r="Y600" s="2"/>
      <c r="Z600" s="2"/>
      <c r="AA600" s="2" t="s">
        <v>3199</v>
      </c>
      <c r="AB600" s="2" t="s">
        <v>3200</v>
      </c>
      <c r="AC600" s="4" t="s">
        <v>44</v>
      </c>
    </row>
    <row r="601" spans="1:29" x14ac:dyDescent="0.25">
      <c r="A601" s="1">
        <v>2653</v>
      </c>
      <c r="B601" s="17" t="s">
        <v>3623</v>
      </c>
      <c r="C601" s="2" t="s">
        <v>3624</v>
      </c>
      <c r="D601" s="15" t="s">
        <v>3625</v>
      </c>
      <c r="E601" s="9" t="s">
        <v>3626</v>
      </c>
      <c r="F601" s="9" t="s">
        <v>178</v>
      </c>
      <c r="G601" s="9" t="s">
        <v>3627</v>
      </c>
      <c r="H601" s="2" t="s">
        <v>60</v>
      </c>
      <c r="I601" s="3">
        <v>34051</v>
      </c>
      <c r="J601" s="9" t="str">
        <f t="shared" ca="1" si="11"/>
        <v>30 ans</v>
      </c>
      <c r="K601" s="2" t="s">
        <v>36</v>
      </c>
      <c r="L601" s="2" t="str">
        <f>"44"</f>
        <v>44</v>
      </c>
      <c r="M601" s="2"/>
      <c r="N601" s="2" t="str">
        <f>"boul Saint-Antoine"</f>
        <v>boul Saint-Antoine</v>
      </c>
      <c r="O601" s="2" t="s">
        <v>3185</v>
      </c>
      <c r="P601" s="9" t="str">
        <f>VLOOKUP($O601,'Liste des Villes'!$B$2:$B$1128,1,FALSE)</f>
        <v>Saint-Jérôme</v>
      </c>
      <c r="Q601" s="9" t="str">
        <f>IFERROR($P601,PROPER(VLOOKUP($O601,'Villes en erreur'!$A$2:$B$72,2,FALSE)))</f>
        <v>Saint-Jérôme</v>
      </c>
      <c r="R601" s="9" t="s">
        <v>3186</v>
      </c>
      <c r="S601" s="9" t="str">
        <f>IF(ISBLANK($R601),"",VLOOKUP($R601,'Liste des Villes'!$B$2:$H$1128,4,FALSE))</f>
        <v>Laurentides</v>
      </c>
      <c r="T601" s="2" t="s">
        <v>3205</v>
      </c>
      <c r="U601" s="2" t="s">
        <v>39</v>
      </c>
      <c r="V601" s="2" t="s">
        <v>40</v>
      </c>
      <c r="W601" s="2" t="s">
        <v>3628</v>
      </c>
      <c r="X601" s="2"/>
      <c r="Y601" s="2"/>
      <c r="Z601" s="2"/>
      <c r="AA601" s="2" t="s">
        <v>3207</v>
      </c>
      <c r="AB601" s="2" t="s">
        <v>53</v>
      </c>
      <c r="AC601" s="4" t="s">
        <v>44</v>
      </c>
    </row>
    <row r="602" spans="1:29" x14ac:dyDescent="0.25">
      <c r="A602" s="1">
        <v>3778</v>
      </c>
      <c r="B602" s="17" t="s">
        <v>3629</v>
      </c>
      <c r="C602" s="2" t="s">
        <v>3630</v>
      </c>
      <c r="D602" s="15" t="s">
        <v>138</v>
      </c>
      <c r="E602" s="9" t="s">
        <v>3631</v>
      </c>
      <c r="F602" s="9" t="s">
        <v>136</v>
      </c>
      <c r="G602" s="9" t="s">
        <v>3265</v>
      </c>
      <c r="H602" s="2" t="s">
        <v>60</v>
      </c>
      <c r="I602" s="3">
        <v>35937</v>
      </c>
      <c r="J602" s="9" t="str">
        <f t="shared" ca="1" si="11"/>
        <v>25 ans</v>
      </c>
      <c r="K602" s="2" t="s">
        <v>123</v>
      </c>
      <c r="L602" s="2" t="str">
        <f>"164"</f>
        <v>164</v>
      </c>
      <c r="M602" s="2"/>
      <c r="N602" s="2" t="str">
        <f>"MONTEE MASSON"</f>
        <v>MONTEE MASSON</v>
      </c>
      <c r="O602" s="2" t="s">
        <v>3185</v>
      </c>
      <c r="P602" s="9" t="str">
        <f>VLOOKUP($O602,'Liste des Villes'!$B$2:$B$1128,1,FALSE)</f>
        <v>Saint-Jérôme</v>
      </c>
      <c r="Q602" s="9" t="str">
        <f>IFERROR($P602,PROPER(VLOOKUP($O602,'Villes en erreur'!$A$2:$B$72,2,FALSE)))</f>
        <v>Saint-Jérôme</v>
      </c>
      <c r="R602" s="9" t="s">
        <v>3186</v>
      </c>
      <c r="S602" s="9" t="str">
        <f>IF(ISBLANK($R602),"",VLOOKUP($R602,'Liste des Villes'!$B$2:$H$1128,4,FALSE))</f>
        <v>Laurentides</v>
      </c>
      <c r="T602" s="2" t="s">
        <v>3632</v>
      </c>
      <c r="U602" s="2" t="s">
        <v>39</v>
      </c>
      <c r="V602" s="2" t="s">
        <v>40</v>
      </c>
      <c r="W602" s="2" t="s">
        <v>3633</v>
      </c>
      <c r="X602" s="2"/>
      <c r="Y602" s="2"/>
      <c r="Z602" s="2"/>
      <c r="AA602" s="2" t="s">
        <v>832</v>
      </c>
      <c r="AB602" s="2" t="s">
        <v>3221</v>
      </c>
      <c r="AC602" s="4" t="s">
        <v>44</v>
      </c>
    </row>
    <row r="603" spans="1:29" x14ac:dyDescent="0.25">
      <c r="A603" s="1">
        <v>577</v>
      </c>
      <c r="B603" s="17" t="s">
        <v>3634</v>
      </c>
      <c r="C603" s="2" t="s">
        <v>3635</v>
      </c>
      <c r="D603" s="15" t="s">
        <v>3636</v>
      </c>
      <c r="E603" s="9" t="s">
        <v>3637</v>
      </c>
      <c r="F603" s="9" t="s">
        <v>100</v>
      </c>
      <c r="G603" s="9" t="s">
        <v>332</v>
      </c>
      <c r="H603" s="2" t="s">
        <v>60</v>
      </c>
      <c r="I603" s="3">
        <v>35537</v>
      </c>
      <c r="J603" s="9" t="str">
        <f t="shared" ca="1" si="11"/>
        <v>26 ans</v>
      </c>
      <c r="K603" s="2" t="s">
        <v>36</v>
      </c>
      <c r="L603" s="2" t="str">
        <f>"121"</f>
        <v>121</v>
      </c>
      <c r="M603" s="2"/>
      <c r="N603" s="2" t="str">
        <f>"COTE SAINT-GABRIEL E"</f>
        <v>COTE SAINT-GABRIEL E</v>
      </c>
      <c r="O603" s="2" t="s">
        <v>3185</v>
      </c>
      <c r="P603" s="9" t="str">
        <f>VLOOKUP($O603,'Liste des Villes'!$B$2:$B$1128,1,FALSE)</f>
        <v>Saint-Jérôme</v>
      </c>
      <c r="Q603" s="9" t="str">
        <f>IFERROR($P603,PROPER(VLOOKUP($O603,'Villes en erreur'!$A$2:$B$72,2,FALSE)))</f>
        <v>Saint-Jérôme</v>
      </c>
      <c r="R603" s="9" t="s">
        <v>3186</v>
      </c>
      <c r="S603" s="9" t="str">
        <f>IF(ISBLANK($R603),"",VLOOKUP($R603,'Liste des Villes'!$B$2:$H$1128,4,FALSE))</f>
        <v>Laurentides</v>
      </c>
      <c r="T603" s="2" t="s">
        <v>3532</v>
      </c>
      <c r="U603" s="2" t="s">
        <v>39</v>
      </c>
      <c r="V603" s="2" t="s">
        <v>40</v>
      </c>
      <c r="W603" s="2" t="s">
        <v>3638</v>
      </c>
      <c r="X603" s="2"/>
      <c r="Y603" s="2"/>
      <c r="Z603" s="2"/>
      <c r="AA603" s="2" t="s">
        <v>3199</v>
      </c>
      <c r="AB603" s="2" t="s">
        <v>3200</v>
      </c>
      <c r="AC603" s="4" t="s">
        <v>44</v>
      </c>
    </row>
    <row r="604" spans="1:29" x14ac:dyDescent="0.25">
      <c r="A604" s="1">
        <v>1100</v>
      </c>
      <c r="B604" s="17" t="s">
        <v>3639</v>
      </c>
      <c r="C604" s="2" t="s">
        <v>3640</v>
      </c>
      <c r="D604" s="15" t="s">
        <v>3641</v>
      </c>
      <c r="E604" s="9" t="s">
        <v>2086</v>
      </c>
      <c r="F604" s="9" t="s">
        <v>3642</v>
      </c>
      <c r="G604" s="9" t="s">
        <v>186</v>
      </c>
      <c r="H604" s="2" t="s">
        <v>60</v>
      </c>
      <c r="I604" s="3">
        <v>34875</v>
      </c>
      <c r="J604" s="9" t="str">
        <f t="shared" ca="1" si="11"/>
        <v>28 ans</v>
      </c>
      <c r="K604" s="2" t="s">
        <v>36</v>
      </c>
      <c r="L604" s="2" t="str">
        <f>"82"</f>
        <v>82</v>
      </c>
      <c r="M604" s="2"/>
      <c r="N604" s="2" t="str">
        <f>"CH DES PINS"</f>
        <v>CH DES PINS</v>
      </c>
      <c r="O604" s="2" t="s">
        <v>3185</v>
      </c>
      <c r="P604" s="9" t="str">
        <f>VLOOKUP($O604,'Liste des Villes'!$B$2:$B$1128,1,FALSE)</f>
        <v>Saint-Jérôme</v>
      </c>
      <c r="Q604" s="9" t="str">
        <f>IFERROR($P604,PROPER(VLOOKUP($O604,'Villes en erreur'!$A$2:$B$72,2,FALSE)))</f>
        <v>Saint-Jérôme</v>
      </c>
      <c r="R604" s="9" t="s">
        <v>3186</v>
      </c>
      <c r="S604" s="9" t="str">
        <f>IF(ISBLANK($R604),"",VLOOKUP($R604,'Liste des Villes'!$B$2:$H$1128,4,FALSE))</f>
        <v>Laurentides</v>
      </c>
      <c r="T604" s="2" t="s">
        <v>3187</v>
      </c>
      <c r="U604" s="2" t="s">
        <v>39</v>
      </c>
      <c r="V604" s="2" t="s">
        <v>40</v>
      </c>
      <c r="W604" s="2" t="s">
        <v>3643</v>
      </c>
      <c r="X604" s="2"/>
      <c r="Y604" s="2"/>
      <c r="Z604" s="2"/>
      <c r="AA604" s="2" t="s">
        <v>3231</v>
      </c>
      <c r="AB604" s="2" t="s">
        <v>53</v>
      </c>
      <c r="AC604" s="4" t="s">
        <v>44</v>
      </c>
    </row>
    <row r="605" spans="1:29" x14ac:dyDescent="0.25">
      <c r="A605" s="1">
        <v>4032</v>
      </c>
      <c r="B605" s="17" t="s">
        <v>3644</v>
      </c>
      <c r="C605" s="2" t="s">
        <v>3645</v>
      </c>
      <c r="D605" s="15" t="s">
        <v>3646</v>
      </c>
      <c r="E605" s="9" t="s">
        <v>3647</v>
      </c>
      <c r="F605" s="9" t="s">
        <v>3648</v>
      </c>
      <c r="G605" s="9" t="s">
        <v>3649</v>
      </c>
      <c r="H605" s="2" t="s">
        <v>60</v>
      </c>
      <c r="I605" s="3">
        <v>35787</v>
      </c>
      <c r="J605" s="9" t="str">
        <f t="shared" ca="1" si="11"/>
        <v>25 ans</v>
      </c>
      <c r="K605" s="2" t="s">
        <v>123</v>
      </c>
      <c r="L605" s="2" t="str">
        <f>"142"</f>
        <v>142</v>
      </c>
      <c r="M605" s="2"/>
      <c r="N605" s="2" t="str">
        <f>"GRANDE ALLÉE"</f>
        <v>GRANDE ALLÉE</v>
      </c>
      <c r="O605" s="2" t="s">
        <v>3185</v>
      </c>
      <c r="P605" s="9" t="str">
        <f>VLOOKUP($O605,'Liste des Villes'!$B$2:$B$1128,1,FALSE)</f>
        <v>Saint-Jérôme</v>
      </c>
      <c r="Q605" s="9" t="str">
        <f>IFERROR($P605,PROPER(VLOOKUP($O605,'Villes en erreur'!$A$2:$B$72,2,FALSE)))</f>
        <v>Saint-Jérôme</v>
      </c>
      <c r="R605" s="9" t="s">
        <v>3186</v>
      </c>
      <c r="S605" s="9" t="str">
        <f>IF(ISBLANK($R605),"",VLOOKUP($R605,'Liste des Villes'!$B$2:$H$1128,4,FALSE))</f>
        <v>Laurentides</v>
      </c>
      <c r="T605" s="2" t="s">
        <v>3650</v>
      </c>
      <c r="U605" s="2" t="s">
        <v>39</v>
      </c>
      <c r="V605" s="2" t="s">
        <v>40</v>
      </c>
      <c r="W605" s="2" t="s">
        <v>3651</v>
      </c>
      <c r="X605" s="2"/>
      <c r="Y605" s="2"/>
      <c r="Z605" s="2"/>
      <c r="AA605" s="2" t="s">
        <v>3243</v>
      </c>
      <c r="AB605" s="2" t="s">
        <v>3221</v>
      </c>
      <c r="AC605" s="4" t="s">
        <v>44</v>
      </c>
    </row>
    <row r="606" spans="1:29" x14ac:dyDescent="0.25">
      <c r="A606" s="1">
        <v>1840</v>
      </c>
      <c r="B606" s="17" t="s">
        <v>3652</v>
      </c>
      <c r="C606" s="2" t="s">
        <v>3653</v>
      </c>
      <c r="D606" s="15" t="s">
        <v>3654</v>
      </c>
      <c r="E606" s="9" t="s">
        <v>1330</v>
      </c>
      <c r="F606" s="9" t="s">
        <v>3655</v>
      </c>
      <c r="G606" s="9" t="s">
        <v>671</v>
      </c>
      <c r="H606" s="2" t="s">
        <v>60</v>
      </c>
      <c r="I606" s="3">
        <v>35962</v>
      </c>
      <c r="J606" s="9" t="str">
        <f t="shared" ca="1" si="11"/>
        <v>25 ans</v>
      </c>
      <c r="K606" s="2" t="s">
        <v>123</v>
      </c>
      <c r="L606" s="2" t="str">
        <f>"170"</f>
        <v>170</v>
      </c>
      <c r="M606" s="2"/>
      <c r="N606" s="2" t="str">
        <f>"PATON PROM"</f>
        <v>PATON PROM</v>
      </c>
      <c r="O606" s="2" t="s">
        <v>3186</v>
      </c>
      <c r="P606" s="9" t="str">
        <f>VLOOKUP($O606,'Liste des Villes'!$B$2:$B$1128,1,FALSE)</f>
        <v>Saint-Jérôme</v>
      </c>
      <c r="Q606" s="9" t="str">
        <f>IFERROR($P606,PROPER(VLOOKUP($O606,'Villes en erreur'!$A$2:$B$72,2,FALSE)))</f>
        <v>Saint-Jérôme</v>
      </c>
      <c r="R606" s="9" t="s">
        <v>3186</v>
      </c>
      <c r="S606" s="9" t="str">
        <f>IF(ISBLANK($R606),"",VLOOKUP($R606,'Liste des Villes'!$B$2:$H$1128,4,FALSE))</f>
        <v>Laurentides</v>
      </c>
      <c r="T606" s="2" t="s">
        <v>3656</v>
      </c>
      <c r="U606" s="2" t="s">
        <v>39</v>
      </c>
      <c r="V606" s="2" t="s">
        <v>40</v>
      </c>
      <c r="W606" s="2" t="s">
        <v>3657</v>
      </c>
      <c r="X606" s="2"/>
      <c r="Y606" s="2"/>
      <c r="Z606" s="2"/>
      <c r="AA606" s="2" t="s">
        <v>832</v>
      </c>
      <c r="AB606" s="2" t="s">
        <v>3221</v>
      </c>
      <c r="AC606" s="4" t="s">
        <v>44</v>
      </c>
    </row>
    <row r="607" spans="1:29" x14ac:dyDescent="0.25">
      <c r="A607" s="1">
        <v>61</v>
      </c>
      <c r="B607" s="17" t="s">
        <v>3658</v>
      </c>
      <c r="C607" s="2" t="s">
        <v>1869</v>
      </c>
      <c r="D607" s="15" t="s">
        <v>1870</v>
      </c>
      <c r="E607" s="9" t="s">
        <v>1560</v>
      </c>
      <c r="F607" s="9" t="s">
        <v>3659</v>
      </c>
      <c r="G607" s="9" t="s">
        <v>3306</v>
      </c>
      <c r="H607" s="2" t="s">
        <v>35</v>
      </c>
      <c r="I607" s="3">
        <v>35855</v>
      </c>
      <c r="J607" s="9" t="str">
        <f t="shared" ca="1" si="11"/>
        <v>25 ans</v>
      </c>
      <c r="K607" s="2" t="s">
        <v>123</v>
      </c>
      <c r="L607" s="2" t="str">
        <f>"150"</f>
        <v>150</v>
      </c>
      <c r="M607" s="2"/>
      <c r="N607" s="2" t="str">
        <f>"LOUIS-JOSEPH-RODRIGUE BLV"</f>
        <v>LOUIS-JOSEPH-RODRIGUE BLV</v>
      </c>
      <c r="O607" s="2" t="s">
        <v>3185</v>
      </c>
      <c r="P607" s="9" t="str">
        <f>VLOOKUP($O607,'Liste des Villes'!$B$2:$B$1128,1,FALSE)</f>
        <v>Saint-Jérôme</v>
      </c>
      <c r="Q607" s="9" t="str">
        <f>IFERROR($P607,PROPER(VLOOKUP($O607,'Villes en erreur'!$A$2:$B$72,2,FALSE)))</f>
        <v>Saint-Jérôme</v>
      </c>
      <c r="R607" s="9" t="s">
        <v>3186</v>
      </c>
      <c r="S607" s="9" t="str">
        <f>IF(ISBLANK($R607),"",VLOOKUP($R607,'Liste des Villes'!$B$2:$H$1128,4,FALSE))</f>
        <v>Laurentides</v>
      </c>
      <c r="T607" s="2" t="s">
        <v>3660</v>
      </c>
      <c r="U607" s="2" t="s">
        <v>39</v>
      </c>
      <c r="V607" s="2" t="s">
        <v>40</v>
      </c>
      <c r="W607" s="2" t="s">
        <v>3661</v>
      </c>
      <c r="X607" s="2"/>
      <c r="Y607" s="2"/>
      <c r="Z607" s="2"/>
      <c r="AA607" s="2" t="s">
        <v>3243</v>
      </c>
      <c r="AB607" s="2" t="s">
        <v>3221</v>
      </c>
      <c r="AC607" s="4" t="s">
        <v>44</v>
      </c>
    </row>
    <row r="608" spans="1:29" x14ac:dyDescent="0.25">
      <c r="A608" s="1">
        <v>2189</v>
      </c>
      <c r="B608" s="17" t="s">
        <v>3662</v>
      </c>
      <c r="C608" s="2" t="s">
        <v>3102</v>
      </c>
      <c r="D608" s="15" t="s">
        <v>657</v>
      </c>
      <c r="E608" s="9" t="s">
        <v>452</v>
      </c>
      <c r="F608" s="9" t="s">
        <v>3663</v>
      </c>
      <c r="G608" s="9" t="s">
        <v>1560</v>
      </c>
      <c r="H608" s="2" t="s">
        <v>35</v>
      </c>
      <c r="I608" s="3">
        <v>35621</v>
      </c>
      <c r="J608" s="9" t="str">
        <f t="shared" ca="1" si="11"/>
        <v>26 ans</v>
      </c>
      <c r="K608" s="2" t="s">
        <v>36</v>
      </c>
      <c r="L608" s="2" t="str">
        <f>"129"</f>
        <v>129</v>
      </c>
      <c r="M608" s="2"/>
      <c r="N608" s="2" t="str">
        <f>"DE LA SALETTE BLVD"</f>
        <v>DE LA SALETTE BLVD</v>
      </c>
      <c r="O608" s="2" t="s">
        <v>3185</v>
      </c>
      <c r="P608" s="9" t="str">
        <f>VLOOKUP($O608,'Liste des Villes'!$B$2:$B$1128,1,FALSE)</f>
        <v>Saint-Jérôme</v>
      </c>
      <c r="Q608" s="9" t="str">
        <f>IFERROR($P608,PROPER(VLOOKUP($O608,'Villes en erreur'!$A$2:$B$72,2,FALSE)))</f>
        <v>Saint-Jérôme</v>
      </c>
      <c r="R608" s="9" t="s">
        <v>3186</v>
      </c>
      <c r="S608" s="9" t="str">
        <f>IF(ISBLANK($R608),"",VLOOKUP($R608,'Liste des Villes'!$B$2:$H$1128,4,FALSE))</f>
        <v>Laurentides</v>
      </c>
      <c r="T608" s="2" t="s">
        <v>3446</v>
      </c>
      <c r="U608" s="2" t="s">
        <v>39</v>
      </c>
      <c r="V608" s="2" t="s">
        <v>40</v>
      </c>
      <c r="W608" s="2" t="s">
        <v>3664</v>
      </c>
      <c r="X608" s="2"/>
      <c r="Y608" s="2"/>
      <c r="Z608" s="2"/>
      <c r="AA608" s="2" t="s">
        <v>3243</v>
      </c>
      <c r="AB608" s="2" t="s">
        <v>3221</v>
      </c>
      <c r="AC608" s="4" t="s">
        <v>44</v>
      </c>
    </row>
    <row r="609" spans="1:29" x14ac:dyDescent="0.25">
      <c r="A609" s="1">
        <v>170</v>
      </c>
      <c r="B609" s="17" t="s">
        <v>3665</v>
      </c>
      <c r="C609" s="2" t="s">
        <v>3666</v>
      </c>
      <c r="D609" s="15" t="s">
        <v>3667</v>
      </c>
      <c r="E609" s="9" t="s">
        <v>3668</v>
      </c>
      <c r="F609" s="9" t="s">
        <v>3669</v>
      </c>
      <c r="G609" s="9" t="s">
        <v>2635</v>
      </c>
      <c r="H609" s="2" t="s">
        <v>60</v>
      </c>
      <c r="I609" s="3">
        <v>35779</v>
      </c>
      <c r="J609" s="9" t="str">
        <f t="shared" ca="1" si="11"/>
        <v>25 ans</v>
      </c>
      <c r="K609" s="2" t="s">
        <v>123</v>
      </c>
      <c r="L609" s="2" t="str">
        <f>"141"</f>
        <v>141</v>
      </c>
      <c r="M609" s="2"/>
      <c r="N609" s="2" t="str">
        <f>"GRANDE ALLEE"</f>
        <v>GRANDE ALLEE</v>
      </c>
      <c r="O609" s="2" t="s">
        <v>3185</v>
      </c>
      <c r="P609" s="9" t="str">
        <f>VLOOKUP($O609,'Liste des Villes'!$B$2:$B$1128,1,FALSE)</f>
        <v>Saint-Jérôme</v>
      </c>
      <c r="Q609" s="9" t="str">
        <f>IFERROR($P609,PROPER(VLOOKUP($O609,'Villes en erreur'!$A$2:$B$72,2,FALSE)))</f>
        <v>Saint-Jérôme</v>
      </c>
      <c r="R609" s="9" t="s">
        <v>3186</v>
      </c>
      <c r="S609" s="9" t="str">
        <f>IF(ISBLANK($R609),"",VLOOKUP($R609,'Liste des Villes'!$B$2:$H$1128,4,FALSE))</f>
        <v>Laurentides</v>
      </c>
      <c r="T609" s="2" t="s">
        <v>3670</v>
      </c>
      <c r="U609" s="2" t="s">
        <v>39</v>
      </c>
      <c r="V609" s="2" t="s">
        <v>40</v>
      </c>
      <c r="W609" s="2" t="s">
        <v>3671</v>
      </c>
      <c r="X609" s="2"/>
      <c r="Y609" s="2"/>
      <c r="Z609" s="2"/>
      <c r="AA609" s="2" t="s">
        <v>3243</v>
      </c>
      <c r="AB609" s="2" t="s">
        <v>3221</v>
      </c>
      <c r="AC609" s="4" t="s">
        <v>44</v>
      </c>
    </row>
    <row r="610" spans="1:29" x14ac:dyDescent="0.25">
      <c r="A610" s="1">
        <v>3774</v>
      </c>
      <c r="B610" s="17" t="s">
        <v>3672</v>
      </c>
      <c r="C610" s="2" t="s">
        <v>3673</v>
      </c>
      <c r="D610" s="15" t="s">
        <v>3674</v>
      </c>
      <c r="E610" s="9" t="s">
        <v>405</v>
      </c>
      <c r="F610" s="9" t="s">
        <v>582</v>
      </c>
      <c r="G610" s="9" t="s">
        <v>635</v>
      </c>
      <c r="H610" s="2" t="s">
        <v>35</v>
      </c>
      <c r="I610" s="3">
        <v>33915</v>
      </c>
      <c r="J610" s="9" t="str">
        <f t="shared" ca="1" si="11"/>
        <v>30 ans</v>
      </c>
      <c r="K610" s="2" t="s">
        <v>36</v>
      </c>
      <c r="L610" s="2" t="str">
        <f>"40"</f>
        <v>40</v>
      </c>
      <c r="M610" s="2"/>
      <c r="N610" s="2" t="str">
        <f>"AVENUE PAGÉ"</f>
        <v>AVENUE PAGÉ</v>
      </c>
      <c r="O610" s="2" t="s">
        <v>3185</v>
      </c>
      <c r="P610" s="9" t="str">
        <f>VLOOKUP($O610,'Liste des Villes'!$B$2:$B$1128,1,FALSE)</f>
        <v>Saint-Jérôme</v>
      </c>
      <c r="Q610" s="9" t="str">
        <f>IFERROR($P610,PROPER(VLOOKUP($O610,'Villes en erreur'!$A$2:$B$72,2,FALSE)))</f>
        <v>Saint-Jérôme</v>
      </c>
      <c r="R610" s="9" t="s">
        <v>3186</v>
      </c>
      <c r="S610" s="9" t="str">
        <f>IF(ISBLANK($R610),"",VLOOKUP($R610,'Liste des Villes'!$B$2:$H$1128,4,FALSE))</f>
        <v>Laurentides</v>
      </c>
      <c r="T610" s="2" t="s">
        <v>3093</v>
      </c>
      <c r="U610" s="2" t="s">
        <v>39</v>
      </c>
      <c r="V610" s="2" t="s">
        <v>40</v>
      </c>
      <c r="W610" s="2" t="s">
        <v>3675</v>
      </c>
      <c r="X610" s="2"/>
      <c r="Y610" s="2"/>
      <c r="Z610" s="2"/>
      <c r="AA610" s="2" t="s">
        <v>3207</v>
      </c>
      <c r="AB610" s="2" t="s">
        <v>53</v>
      </c>
      <c r="AC610" s="4" t="s">
        <v>44</v>
      </c>
    </row>
    <row r="611" spans="1:29" x14ac:dyDescent="0.25">
      <c r="A611" s="1">
        <v>4549</v>
      </c>
      <c r="B611" s="17" t="s">
        <v>3676</v>
      </c>
      <c r="C611" s="2" t="s">
        <v>1575</v>
      </c>
      <c r="D611" s="15" t="s">
        <v>1576</v>
      </c>
      <c r="E611" s="9" t="s">
        <v>635</v>
      </c>
      <c r="F611" s="9" t="s">
        <v>3677</v>
      </c>
      <c r="G611" s="9" t="s">
        <v>1037</v>
      </c>
      <c r="H611" s="2" t="s">
        <v>60</v>
      </c>
      <c r="I611" s="3">
        <v>36072</v>
      </c>
      <c r="J611" s="9" t="str">
        <f t="shared" ca="1" si="11"/>
        <v>24 ans</v>
      </c>
      <c r="K611" s="2" t="s">
        <v>123</v>
      </c>
      <c r="L611" s="2" t="str">
        <f>"197"</f>
        <v>197</v>
      </c>
      <c r="M611" s="2"/>
      <c r="N611" s="2" t="str">
        <f>"RANG SAINTE HENRIETTE"</f>
        <v>RANG SAINTE HENRIETTE</v>
      </c>
      <c r="O611" s="2" t="s">
        <v>3185</v>
      </c>
      <c r="P611" s="9" t="str">
        <f>VLOOKUP($O611,'Liste des Villes'!$B$2:$B$1128,1,FALSE)</f>
        <v>Saint-Jérôme</v>
      </c>
      <c r="Q611" s="9" t="str">
        <f>IFERROR($P611,PROPER(VLOOKUP($O611,'Villes en erreur'!$A$2:$B$72,2,FALSE)))</f>
        <v>Saint-Jérôme</v>
      </c>
      <c r="R611" s="9" t="s">
        <v>3186</v>
      </c>
      <c r="S611" s="9" t="str">
        <f>IF(ISBLANK($R611),"",VLOOKUP($R611,'Liste des Villes'!$B$2:$H$1128,4,FALSE))</f>
        <v>Laurentides</v>
      </c>
      <c r="T611" s="2" t="s">
        <v>3678</v>
      </c>
      <c r="U611" s="2" t="s">
        <v>39</v>
      </c>
      <c r="V611" s="2" t="s">
        <v>40</v>
      </c>
      <c r="W611" s="2" t="s">
        <v>3679</v>
      </c>
      <c r="X611" s="2"/>
      <c r="Y611" s="2"/>
      <c r="Z611" s="2"/>
      <c r="AA611" s="2" t="s">
        <v>832</v>
      </c>
      <c r="AB611" s="2" t="s">
        <v>3221</v>
      </c>
      <c r="AC611" s="4" t="s">
        <v>44</v>
      </c>
    </row>
    <row r="612" spans="1:29" x14ac:dyDescent="0.25">
      <c r="A612" s="1">
        <v>1855</v>
      </c>
      <c r="B612" s="17" t="s">
        <v>3680</v>
      </c>
      <c r="C612" s="2" t="s">
        <v>3681</v>
      </c>
      <c r="D612" s="15" t="s">
        <v>540</v>
      </c>
      <c r="E612" s="9" t="s">
        <v>3682</v>
      </c>
      <c r="F612" s="9" t="s">
        <v>3683</v>
      </c>
      <c r="G612" s="9" t="s">
        <v>3397</v>
      </c>
      <c r="H612" s="2" t="s">
        <v>60</v>
      </c>
      <c r="I612" s="3">
        <v>35297</v>
      </c>
      <c r="J612" s="9" t="str">
        <f t="shared" ca="1" si="11"/>
        <v>27 ans</v>
      </c>
      <c r="K612" s="2" t="s">
        <v>36</v>
      </c>
      <c r="L612" s="2" t="str">
        <f>"108"</f>
        <v>108</v>
      </c>
      <c r="M612" s="2"/>
      <c r="N612" s="2" t="str">
        <f>"CHEMIN DE SAINTE LUCIE"</f>
        <v>CHEMIN DE SAINTE LUCIE</v>
      </c>
      <c r="O612" s="2" t="s">
        <v>3185</v>
      </c>
      <c r="P612" s="9" t="str">
        <f>VLOOKUP($O612,'Liste des Villes'!$B$2:$B$1128,1,FALSE)</f>
        <v>Saint-Jérôme</v>
      </c>
      <c r="Q612" s="9" t="str">
        <f>IFERROR($P612,PROPER(VLOOKUP($O612,'Villes en erreur'!$A$2:$B$72,2,FALSE)))</f>
        <v>Saint-Jérôme</v>
      </c>
      <c r="R612" s="9" t="s">
        <v>3186</v>
      </c>
      <c r="S612" s="9" t="str">
        <f>IF(ISBLANK($R612),"",VLOOKUP($R612,'Liste des Villes'!$B$2:$H$1128,4,FALSE))</f>
        <v>Laurentides</v>
      </c>
      <c r="T612" s="2" t="s">
        <v>3684</v>
      </c>
      <c r="U612" s="2" t="s">
        <v>39</v>
      </c>
      <c r="V612" s="2" t="s">
        <v>40</v>
      </c>
      <c r="W612" s="2" t="s">
        <v>3685</v>
      </c>
      <c r="X612" s="2"/>
      <c r="Y612" s="2"/>
      <c r="Z612" s="2"/>
      <c r="AA612" s="2" t="s">
        <v>3189</v>
      </c>
      <c r="AB612" s="2" t="s">
        <v>3200</v>
      </c>
      <c r="AC612" s="4" t="s">
        <v>44</v>
      </c>
    </row>
    <row r="613" spans="1:29" x14ac:dyDescent="0.25">
      <c r="A613" s="1">
        <v>4251</v>
      </c>
      <c r="B613" s="17" t="s">
        <v>3686</v>
      </c>
      <c r="C613" s="2" t="s">
        <v>2209</v>
      </c>
      <c r="D613" s="15" t="s">
        <v>782</v>
      </c>
      <c r="E613" s="9" t="s">
        <v>2210</v>
      </c>
      <c r="F613" s="9" t="s">
        <v>2590</v>
      </c>
      <c r="G613" s="9" t="s">
        <v>3616</v>
      </c>
      <c r="H613" s="2" t="s">
        <v>60</v>
      </c>
      <c r="I613" s="3">
        <v>35713</v>
      </c>
      <c r="J613" s="9" t="str">
        <f t="shared" ca="1" si="11"/>
        <v>25 ans</v>
      </c>
      <c r="K613" s="2" t="s">
        <v>123</v>
      </c>
      <c r="L613" s="2" t="str">
        <f>"137"</f>
        <v>137</v>
      </c>
      <c r="M613" s="2"/>
      <c r="N613" s="2" t="str">
        <f>"DOMAINE ROUSSEL"</f>
        <v>DOMAINE ROUSSEL</v>
      </c>
      <c r="O613" s="2" t="s">
        <v>3185</v>
      </c>
      <c r="P613" s="9" t="str">
        <f>VLOOKUP($O613,'Liste des Villes'!$B$2:$B$1128,1,FALSE)</f>
        <v>Saint-Jérôme</v>
      </c>
      <c r="Q613" s="9" t="str">
        <f>IFERROR($P613,PROPER(VLOOKUP($O613,'Villes en erreur'!$A$2:$B$72,2,FALSE)))</f>
        <v>Saint-Jérôme</v>
      </c>
      <c r="R613" s="9" t="s">
        <v>3186</v>
      </c>
      <c r="S613" s="9" t="str">
        <f>IF(ISBLANK($R613),"",VLOOKUP($R613,'Liste des Villes'!$B$2:$H$1128,4,FALSE))</f>
        <v>Laurentides</v>
      </c>
      <c r="T613" s="2" t="s">
        <v>3687</v>
      </c>
      <c r="U613" s="2" t="s">
        <v>39</v>
      </c>
      <c r="V613" s="2" t="s">
        <v>40</v>
      </c>
      <c r="W613" s="2" t="s">
        <v>3688</v>
      </c>
      <c r="X613" s="2"/>
      <c r="Y613" s="2"/>
      <c r="Z613" s="2"/>
      <c r="AA613" s="2" t="s">
        <v>3243</v>
      </c>
      <c r="AB613" s="2" t="s">
        <v>3221</v>
      </c>
      <c r="AC613" s="4" t="s">
        <v>44</v>
      </c>
    </row>
    <row r="614" spans="1:29" x14ac:dyDescent="0.25">
      <c r="A614" s="1">
        <v>3018</v>
      </c>
      <c r="B614" s="17" t="s">
        <v>3689</v>
      </c>
      <c r="C614" s="2" t="s">
        <v>3690</v>
      </c>
      <c r="D614" s="15" t="s">
        <v>2154</v>
      </c>
      <c r="E614" s="9" t="s">
        <v>2217</v>
      </c>
      <c r="F614" s="9" t="s">
        <v>2153</v>
      </c>
      <c r="G614" s="9" t="s">
        <v>996</v>
      </c>
      <c r="H614" s="2" t="s">
        <v>60</v>
      </c>
      <c r="I614" s="3">
        <v>35037</v>
      </c>
      <c r="J614" s="9" t="str">
        <f t="shared" ca="1" si="11"/>
        <v>27 ans</v>
      </c>
      <c r="K614" s="2" t="s">
        <v>36</v>
      </c>
      <c r="L614" s="2" t="str">
        <f>"98"</f>
        <v>98</v>
      </c>
      <c r="M614" s="2"/>
      <c r="N614" s="2" t="str">
        <f>"CH DU PETIT-LAC-DE-L'ORIG"</f>
        <v>CH DU PETIT-LAC-DE-L'ORIG</v>
      </c>
      <c r="O614" s="2" t="s">
        <v>3185</v>
      </c>
      <c r="P614" s="9" t="str">
        <f>VLOOKUP($O614,'Liste des Villes'!$B$2:$B$1128,1,FALSE)</f>
        <v>Saint-Jérôme</v>
      </c>
      <c r="Q614" s="9" t="str">
        <f>IFERROR($P614,PROPER(VLOOKUP($O614,'Villes en erreur'!$A$2:$B$72,2,FALSE)))</f>
        <v>Saint-Jérôme</v>
      </c>
      <c r="R614" s="9" t="s">
        <v>3186</v>
      </c>
      <c r="S614" s="9" t="str">
        <f>IF(ISBLANK($R614),"",VLOOKUP($R614,'Liste des Villes'!$B$2:$H$1128,4,FALSE))</f>
        <v>Laurentides</v>
      </c>
      <c r="T614" s="2" t="s">
        <v>3187</v>
      </c>
      <c r="U614" s="2" t="s">
        <v>39</v>
      </c>
      <c r="V614" s="2" t="s">
        <v>40</v>
      </c>
      <c r="W614" s="2" t="s">
        <v>3691</v>
      </c>
      <c r="X614" s="2"/>
      <c r="Y614" s="2"/>
      <c r="Z614" s="2"/>
      <c r="AA614" s="2" t="s">
        <v>3189</v>
      </c>
      <c r="AB614" s="2" t="s">
        <v>53</v>
      </c>
      <c r="AC614" s="4" t="s">
        <v>44</v>
      </c>
    </row>
    <row r="615" spans="1:29" x14ac:dyDescent="0.25">
      <c r="A615" s="1">
        <v>2195</v>
      </c>
      <c r="B615" s="17" t="s">
        <v>3692</v>
      </c>
      <c r="C615" s="2" t="s">
        <v>3693</v>
      </c>
      <c r="D615" s="15" t="s">
        <v>3694</v>
      </c>
      <c r="E615" s="9" t="s">
        <v>341</v>
      </c>
      <c r="F615" s="9" t="s">
        <v>2580</v>
      </c>
      <c r="G615" s="9" t="s">
        <v>3695</v>
      </c>
      <c r="H615" s="2" t="s">
        <v>60</v>
      </c>
      <c r="I615" s="3">
        <v>35728</v>
      </c>
      <c r="J615" s="9" t="str">
        <f t="shared" ca="1" si="11"/>
        <v>25 ans</v>
      </c>
      <c r="K615" s="2" t="s">
        <v>123</v>
      </c>
      <c r="L615" s="2" t="str">
        <f>"138"</f>
        <v>138</v>
      </c>
      <c r="M615" s="2"/>
      <c r="N615" s="2" t="str">
        <f>"DU CHINOOK"</f>
        <v>DU CHINOOK</v>
      </c>
      <c r="O615" s="2" t="s">
        <v>3185</v>
      </c>
      <c r="P615" s="9" t="str">
        <f>VLOOKUP($O615,'Liste des Villes'!$B$2:$B$1128,1,FALSE)</f>
        <v>Saint-Jérôme</v>
      </c>
      <c r="Q615" s="9" t="str">
        <f>IFERROR($P615,PROPER(VLOOKUP($O615,'Villes en erreur'!$A$2:$B$72,2,FALSE)))</f>
        <v>Saint-Jérôme</v>
      </c>
      <c r="R615" s="9" t="s">
        <v>3186</v>
      </c>
      <c r="S615" s="9" t="str">
        <f>IF(ISBLANK($R615),"",VLOOKUP($R615,'Liste des Villes'!$B$2:$H$1128,4,FALSE))</f>
        <v>Laurentides</v>
      </c>
      <c r="T615" s="2" t="s">
        <v>3696</v>
      </c>
      <c r="U615" s="2" t="s">
        <v>39</v>
      </c>
      <c r="V615" s="2" t="s">
        <v>40</v>
      </c>
      <c r="W615" s="2" t="s">
        <v>3697</v>
      </c>
      <c r="X615" s="2"/>
      <c r="Y615" s="2"/>
      <c r="Z615" s="2"/>
      <c r="AA615" s="2" t="s">
        <v>3243</v>
      </c>
      <c r="AB615" s="2" t="s">
        <v>3221</v>
      </c>
      <c r="AC615" s="4" t="s">
        <v>44</v>
      </c>
    </row>
    <row r="616" spans="1:29" x14ac:dyDescent="0.25">
      <c r="A616" s="1">
        <v>2325</v>
      </c>
      <c r="B616" s="17" t="s">
        <v>3698</v>
      </c>
      <c r="C616" s="2" t="s">
        <v>3699</v>
      </c>
      <c r="D616" s="15" t="s">
        <v>1716</v>
      </c>
      <c r="E616" s="9" t="s">
        <v>3700</v>
      </c>
      <c r="F616" s="9" t="s">
        <v>3701</v>
      </c>
      <c r="G616" s="9" t="s">
        <v>2796</v>
      </c>
      <c r="H616" s="2" t="s">
        <v>35</v>
      </c>
      <c r="I616" s="3">
        <v>35271</v>
      </c>
      <c r="J616" s="9" t="str">
        <f t="shared" ca="1" si="11"/>
        <v>27 ans</v>
      </c>
      <c r="K616" s="2" t="s">
        <v>36</v>
      </c>
      <c r="L616" s="2" t="str">
        <f>"107"</f>
        <v>107</v>
      </c>
      <c r="M616" s="2"/>
      <c r="N616" s="2" t="str">
        <f>"CHEMIN DE LA GRANDE-CÔTE"</f>
        <v>CHEMIN DE LA GRANDE-CÔTE</v>
      </c>
      <c r="O616" s="2" t="s">
        <v>3185</v>
      </c>
      <c r="P616" s="9" t="str">
        <f>VLOOKUP($O616,'Liste des Villes'!$B$2:$B$1128,1,FALSE)</f>
        <v>Saint-Jérôme</v>
      </c>
      <c r="Q616" s="9" t="str">
        <f>IFERROR($P616,PROPER(VLOOKUP($O616,'Villes en erreur'!$A$2:$B$72,2,FALSE)))</f>
        <v>Saint-Jérôme</v>
      </c>
      <c r="R616" s="9" t="s">
        <v>3186</v>
      </c>
      <c r="S616" s="9" t="str">
        <f>IF(ISBLANK($R616),"",VLOOKUP($R616,'Liste des Villes'!$B$2:$H$1128,4,FALSE))</f>
        <v>Laurentides</v>
      </c>
      <c r="T616" s="2" t="s">
        <v>3187</v>
      </c>
      <c r="U616" s="2" t="s">
        <v>39</v>
      </c>
      <c r="V616" s="2" t="s">
        <v>40</v>
      </c>
      <c r="W616" s="2" t="s">
        <v>3702</v>
      </c>
      <c r="X616" s="2"/>
      <c r="Y616" s="2"/>
      <c r="Z616" s="2"/>
      <c r="AA616" s="2" t="s">
        <v>3189</v>
      </c>
      <c r="AB616" s="2" t="s">
        <v>3190</v>
      </c>
      <c r="AC616" s="4" t="s">
        <v>44</v>
      </c>
    </row>
    <row r="617" spans="1:29" x14ac:dyDescent="0.25">
      <c r="A617" s="1">
        <v>553</v>
      </c>
      <c r="B617" s="17" t="s">
        <v>3703</v>
      </c>
      <c r="C617" s="2" t="s">
        <v>3704</v>
      </c>
      <c r="D617" s="15" t="s">
        <v>3705</v>
      </c>
      <c r="E617" s="9" t="s">
        <v>3706</v>
      </c>
      <c r="F617" s="9" t="s">
        <v>3707</v>
      </c>
      <c r="G617" s="9" t="s">
        <v>3708</v>
      </c>
      <c r="H617" s="2" t="s">
        <v>60</v>
      </c>
      <c r="I617" s="3">
        <v>36235</v>
      </c>
      <c r="J617" s="9" t="str">
        <f t="shared" ca="1" si="11"/>
        <v>24 ans</v>
      </c>
      <c r="K617" s="2" t="s">
        <v>123</v>
      </c>
      <c r="L617" s="2" t="str">
        <f>"260"</f>
        <v>260</v>
      </c>
      <c r="M617" s="2"/>
      <c r="N617" s="2" t="str">
        <f>"RUE BÉDARD"</f>
        <v>RUE BÉDARD</v>
      </c>
      <c r="O617" s="2" t="s">
        <v>3185</v>
      </c>
      <c r="P617" s="9" t="str">
        <f>VLOOKUP($O617,'Liste des Villes'!$B$2:$B$1128,1,FALSE)</f>
        <v>Saint-Jérôme</v>
      </c>
      <c r="Q617" s="9" t="str">
        <f>IFERROR($P617,PROPER(VLOOKUP($O617,'Villes en erreur'!$A$2:$B$72,2,FALSE)))</f>
        <v>Saint-Jérôme</v>
      </c>
      <c r="R617" s="9" t="s">
        <v>3186</v>
      </c>
      <c r="S617" s="9" t="str">
        <f>IF(ISBLANK($R617),"",VLOOKUP($R617,'Liste des Villes'!$B$2:$H$1128,4,FALSE))</f>
        <v>Laurentides</v>
      </c>
      <c r="T617" s="2" t="s">
        <v>3709</v>
      </c>
      <c r="U617" s="2" t="s">
        <v>39</v>
      </c>
      <c r="V617" s="2" t="s">
        <v>40</v>
      </c>
      <c r="W617" s="2" t="s">
        <v>3710</v>
      </c>
      <c r="X617" s="2"/>
      <c r="Y617" s="2"/>
      <c r="Z617" s="2"/>
      <c r="AA617" s="2" t="s">
        <v>832</v>
      </c>
      <c r="AB617" s="2" t="s">
        <v>73</v>
      </c>
      <c r="AC617" s="4" t="s">
        <v>44</v>
      </c>
    </row>
    <row r="618" spans="1:29" x14ac:dyDescent="0.25">
      <c r="A618" s="1">
        <v>2700</v>
      </c>
      <c r="B618" s="17" t="s">
        <v>3711</v>
      </c>
      <c r="C618" s="2" t="s">
        <v>3712</v>
      </c>
      <c r="D618" s="15" t="s">
        <v>3713</v>
      </c>
      <c r="E618" s="9" t="s">
        <v>1004</v>
      </c>
      <c r="F618" s="9" t="s">
        <v>3714</v>
      </c>
      <c r="G618" s="9" t="s">
        <v>3715</v>
      </c>
      <c r="H618" s="2" t="s">
        <v>60</v>
      </c>
      <c r="I618" s="3">
        <v>35588</v>
      </c>
      <c r="J618" s="9" t="str">
        <f t="shared" ca="1" si="11"/>
        <v>26 ans</v>
      </c>
      <c r="K618" s="2" t="s">
        <v>36</v>
      </c>
      <c r="L618" s="2" t="str">
        <f>"127"</f>
        <v>127</v>
      </c>
      <c r="M618" s="2"/>
      <c r="N618" s="2" t="str">
        <f>"DE LA BRETAGNE BLVD"</f>
        <v>DE LA BRETAGNE BLVD</v>
      </c>
      <c r="O618" s="2" t="s">
        <v>3185</v>
      </c>
      <c r="P618" s="9" t="str">
        <f>VLOOKUP($O618,'Liste des Villes'!$B$2:$B$1128,1,FALSE)</f>
        <v>Saint-Jérôme</v>
      </c>
      <c r="Q618" s="9" t="str">
        <f>IFERROR($P618,PROPER(VLOOKUP($O618,'Villes en erreur'!$A$2:$B$72,2,FALSE)))</f>
        <v>Saint-Jérôme</v>
      </c>
      <c r="R618" s="9" t="s">
        <v>3186</v>
      </c>
      <c r="S618" s="9" t="str">
        <f>IF(ISBLANK($R618),"",VLOOKUP($R618,'Liste des Villes'!$B$2:$H$1128,4,FALSE))</f>
        <v>Laurentides</v>
      </c>
      <c r="T618" s="2" t="s">
        <v>3576</v>
      </c>
      <c r="U618" s="2" t="s">
        <v>39</v>
      </c>
      <c r="V618" s="2" t="s">
        <v>40</v>
      </c>
      <c r="W618" s="2" t="s">
        <v>3716</v>
      </c>
      <c r="X618" s="2"/>
      <c r="Y618" s="2"/>
      <c r="Z618" s="2"/>
      <c r="AA618" s="2" t="s">
        <v>3243</v>
      </c>
      <c r="AB618" s="2" t="s">
        <v>3221</v>
      </c>
      <c r="AC618" s="4" t="s">
        <v>44</v>
      </c>
    </row>
    <row r="619" spans="1:29" x14ac:dyDescent="0.25">
      <c r="A619" s="1">
        <v>4508</v>
      </c>
      <c r="B619" s="17" t="s">
        <v>3717</v>
      </c>
      <c r="C619" s="2" t="s">
        <v>3718</v>
      </c>
      <c r="D619" s="15" t="s">
        <v>3719</v>
      </c>
      <c r="E619" s="9" t="s">
        <v>3720</v>
      </c>
      <c r="F619" s="9" t="s">
        <v>2474</v>
      </c>
      <c r="G619" s="9" t="s">
        <v>3721</v>
      </c>
      <c r="H619" s="2" t="s">
        <v>60</v>
      </c>
      <c r="I619" s="3">
        <v>35716</v>
      </c>
      <c r="J619" s="9" t="str">
        <f t="shared" ca="1" si="11"/>
        <v>25 ans</v>
      </c>
      <c r="K619" s="2" t="s">
        <v>123</v>
      </c>
      <c r="L619" s="2" t="str">
        <f>"137"</f>
        <v>137</v>
      </c>
      <c r="M619" s="2"/>
      <c r="N619" s="2" t="str">
        <f>"DOMAINE ROUSSEL"</f>
        <v>DOMAINE ROUSSEL</v>
      </c>
      <c r="O619" s="2" t="s">
        <v>3185</v>
      </c>
      <c r="P619" s="9" t="str">
        <f>VLOOKUP($O619,'Liste des Villes'!$B$2:$B$1128,1,FALSE)</f>
        <v>Saint-Jérôme</v>
      </c>
      <c r="Q619" s="9" t="str">
        <f>IFERROR($P619,PROPER(VLOOKUP($O619,'Villes en erreur'!$A$2:$B$72,2,FALSE)))</f>
        <v>Saint-Jérôme</v>
      </c>
      <c r="R619" s="9" t="s">
        <v>3186</v>
      </c>
      <c r="S619" s="9" t="str">
        <f>IF(ISBLANK($R619),"",VLOOKUP($R619,'Liste des Villes'!$B$2:$H$1128,4,FALSE))</f>
        <v>Laurentides</v>
      </c>
      <c r="T619" s="2" t="s">
        <v>3687</v>
      </c>
      <c r="U619" s="2" t="s">
        <v>39</v>
      </c>
      <c r="V619" s="2" t="s">
        <v>40</v>
      </c>
      <c r="W619" s="2" t="s">
        <v>3722</v>
      </c>
      <c r="X619" s="2"/>
      <c r="Y619" s="2"/>
      <c r="Z619" s="2"/>
      <c r="AA619" s="2" t="s">
        <v>3243</v>
      </c>
      <c r="AB619" s="2" t="s">
        <v>3221</v>
      </c>
      <c r="AC619" s="4" t="s">
        <v>44</v>
      </c>
    </row>
    <row r="620" spans="1:29" x14ac:dyDescent="0.25">
      <c r="A620" s="1">
        <v>376</v>
      </c>
      <c r="B620" s="17" t="s">
        <v>3723</v>
      </c>
      <c r="C620" s="2" t="s">
        <v>3724</v>
      </c>
      <c r="D620" s="15" t="s">
        <v>2481</v>
      </c>
      <c r="E620" s="9" t="s">
        <v>610</v>
      </c>
      <c r="F620" s="9" t="s">
        <v>2480</v>
      </c>
      <c r="G620" s="9" t="s">
        <v>3265</v>
      </c>
      <c r="H620" s="2" t="s">
        <v>60</v>
      </c>
      <c r="I620" s="3">
        <v>35926</v>
      </c>
      <c r="J620" s="9" t="str">
        <f t="shared" ca="1" si="11"/>
        <v>25 ans</v>
      </c>
      <c r="K620" s="2" t="s">
        <v>123</v>
      </c>
      <c r="L620" s="2" t="str">
        <f>"162"</f>
        <v>162</v>
      </c>
      <c r="M620" s="2"/>
      <c r="N620" s="2" t="str">
        <f>"MONTÉE GAGNON"</f>
        <v>MONTÉE GAGNON</v>
      </c>
      <c r="O620" s="2" t="s">
        <v>3185</v>
      </c>
      <c r="P620" s="9" t="str">
        <f>VLOOKUP($O620,'Liste des Villes'!$B$2:$B$1128,1,FALSE)</f>
        <v>Saint-Jérôme</v>
      </c>
      <c r="Q620" s="9" t="str">
        <f>IFERROR($P620,PROPER(VLOOKUP($O620,'Villes en erreur'!$A$2:$B$72,2,FALSE)))</f>
        <v>Saint-Jérôme</v>
      </c>
      <c r="R620" s="9" t="s">
        <v>3186</v>
      </c>
      <c r="S620" s="9" t="str">
        <f>IF(ISBLANK($R620),"",VLOOKUP($R620,'Liste des Villes'!$B$2:$H$1128,4,FALSE))</f>
        <v>Laurentides</v>
      </c>
      <c r="T620" s="2" t="s">
        <v>3725</v>
      </c>
      <c r="U620" s="2" t="s">
        <v>39</v>
      </c>
      <c r="V620" s="2" t="s">
        <v>40</v>
      </c>
      <c r="W620" s="2" t="s">
        <v>3726</v>
      </c>
      <c r="X620" s="2"/>
      <c r="Y620" s="2"/>
      <c r="Z620" s="2"/>
      <c r="AA620" s="2" t="s">
        <v>832</v>
      </c>
      <c r="AB620" s="2" t="s">
        <v>3221</v>
      </c>
      <c r="AC620" s="4" t="s">
        <v>44</v>
      </c>
    </row>
    <row r="621" spans="1:29" x14ac:dyDescent="0.25">
      <c r="A621" s="1">
        <v>2283</v>
      </c>
      <c r="B621" s="17" t="s">
        <v>3727</v>
      </c>
      <c r="C621" s="2" t="s">
        <v>3728</v>
      </c>
      <c r="D621" s="15" t="s">
        <v>3729</v>
      </c>
      <c r="E621" s="9" t="s">
        <v>3730</v>
      </c>
      <c r="F621" s="9" t="s">
        <v>47</v>
      </c>
      <c r="G621" s="9" t="s">
        <v>3731</v>
      </c>
      <c r="H621" s="2" t="s">
        <v>60</v>
      </c>
      <c r="I621" s="3">
        <v>35893</v>
      </c>
      <c r="J621" s="9" t="str">
        <f t="shared" ca="1" si="11"/>
        <v>25 ans</v>
      </c>
      <c r="K621" s="2" t="s">
        <v>123</v>
      </c>
      <c r="L621" s="2" t="str">
        <f>"155"</f>
        <v>155</v>
      </c>
      <c r="M621" s="2"/>
      <c r="N621" s="2" t="str">
        <f>"MONTEE CROOKS"</f>
        <v>MONTEE CROOKS</v>
      </c>
      <c r="O621" s="2" t="s">
        <v>3185</v>
      </c>
      <c r="P621" s="9" t="str">
        <f>VLOOKUP($O621,'Liste des Villes'!$B$2:$B$1128,1,FALSE)</f>
        <v>Saint-Jérôme</v>
      </c>
      <c r="Q621" s="9" t="str">
        <f>IFERROR($P621,PROPER(VLOOKUP($O621,'Villes en erreur'!$A$2:$B$72,2,FALSE)))</f>
        <v>Saint-Jérôme</v>
      </c>
      <c r="R621" s="9" t="s">
        <v>3186</v>
      </c>
      <c r="S621" s="9" t="str">
        <f>IF(ISBLANK($R621),"",VLOOKUP($R621,'Liste des Villes'!$B$2:$H$1128,4,FALSE))</f>
        <v>Laurentides</v>
      </c>
      <c r="T621" s="2" t="s">
        <v>3732</v>
      </c>
      <c r="U621" s="2" t="s">
        <v>39</v>
      </c>
      <c r="V621" s="2" t="s">
        <v>40</v>
      </c>
      <c r="W621" s="2" t="s">
        <v>3733</v>
      </c>
      <c r="X621" s="2"/>
      <c r="Y621" s="2"/>
      <c r="Z621" s="2"/>
      <c r="AA621" s="2" t="s">
        <v>3243</v>
      </c>
      <c r="AB621" s="2" t="s">
        <v>3221</v>
      </c>
      <c r="AC621" s="4" t="s">
        <v>44</v>
      </c>
    </row>
    <row r="622" spans="1:29" x14ac:dyDescent="0.25">
      <c r="A622" s="1">
        <v>1982</v>
      </c>
      <c r="B622" s="17" t="s">
        <v>3734</v>
      </c>
      <c r="C622" s="2" t="s">
        <v>2542</v>
      </c>
      <c r="D622" s="15" t="s">
        <v>34</v>
      </c>
      <c r="E622" s="9" t="s">
        <v>341</v>
      </c>
      <c r="F622" s="9" t="s">
        <v>782</v>
      </c>
      <c r="G622" s="9" t="s">
        <v>1844</v>
      </c>
      <c r="H622" s="2" t="s">
        <v>60</v>
      </c>
      <c r="I622" s="3">
        <v>36160</v>
      </c>
      <c r="J622" s="9" t="str">
        <f t="shared" ca="1" si="11"/>
        <v>24 ans</v>
      </c>
      <c r="K622" s="2" t="s">
        <v>123</v>
      </c>
      <c r="L622" s="2" t="str">
        <f>"225"</f>
        <v>225</v>
      </c>
      <c r="M622" s="2"/>
      <c r="N622" s="2" t="str">
        <f>"RUE ALFRED-PELLAN"</f>
        <v>RUE ALFRED-PELLAN</v>
      </c>
      <c r="O622" s="2" t="s">
        <v>3185</v>
      </c>
      <c r="P622" s="9" t="str">
        <f>VLOOKUP($O622,'Liste des Villes'!$B$2:$B$1128,1,FALSE)</f>
        <v>Saint-Jérôme</v>
      </c>
      <c r="Q622" s="9" t="str">
        <f>IFERROR($P622,PROPER(VLOOKUP($O622,'Villes en erreur'!$A$2:$B$72,2,FALSE)))</f>
        <v>Saint-Jérôme</v>
      </c>
      <c r="R622" s="9" t="s">
        <v>3186</v>
      </c>
      <c r="S622" s="9" t="str">
        <f>IF(ISBLANK($R622),"",VLOOKUP($R622,'Liste des Villes'!$B$2:$H$1128,4,FALSE))</f>
        <v>Laurentides</v>
      </c>
      <c r="T622" s="2" t="s">
        <v>3735</v>
      </c>
      <c r="U622" s="2" t="s">
        <v>39</v>
      </c>
      <c r="V622" s="2" t="s">
        <v>40</v>
      </c>
      <c r="W622" s="2" t="s">
        <v>3736</v>
      </c>
      <c r="X622" s="2"/>
      <c r="Y622" s="2"/>
      <c r="Z622" s="2"/>
      <c r="AA622" s="2" t="s">
        <v>832</v>
      </c>
      <c r="AB622" s="2" t="s">
        <v>3221</v>
      </c>
      <c r="AC622" s="4" t="s">
        <v>44</v>
      </c>
    </row>
    <row r="623" spans="1:29" x14ac:dyDescent="0.25">
      <c r="A623" s="1">
        <v>3839</v>
      </c>
      <c r="B623" s="17" t="s">
        <v>3737</v>
      </c>
      <c r="C623" s="2" t="s">
        <v>3738</v>
      </c>
      <c r="D623" s="15" t="s">
        <v>3617</v>
      </c>
      <c r="E623" s="9" t="s">
        <v>3739</v>
      </c>
      <c r="F623" s="9" t="s">
        <v>363</v>
      </c>
      <c r="G623" s="9" t="s">
        <v>332</v>
      </c>
      <c r="H623" s="2" t="s">
        <v>60</v>
      </c>
      <c r="I623" s="3">
        <v>35543</v>
      </c>
      <c r="J623" s="9" t="str">
        <f t="shared" ca="1" si="11"/>
        <v>26 ans</v>
      </c>
      <c r="K623" s="2" t="s">
        <v>36</v>
      </c>
      <c r="L623" s="2" t="str">
        <f>"122"</f>
        <v>122</v>
      </c>
      <c r="M623" s="2"/>
      <c r="N623" s="2" t="str">
        <f>"COTE SAINT-PAUL"</f>
        <v>COTE SAINT-PAUL</v>
      </c>
      <c r="O623" s="2" t="s">
        <v>3185</v>
      </c>
      <c r="P623" s="9" t="str">
        <f>VLOOKUP($O623,'Liste des Villes'!$B$2:$B$1128,1,FALSE)</f>
        <v>Saint-Jérôme</v>
      </c>
      <c r="Q623" s="9" t="str">
        <f>IFERROR($P623,PROPER(VLOOKUP($O623,'Villes en erreur'!$A$2:$B$72,2,FALSE)))</f>
        <v>Saint-Jérôme</v>
      </c>
      <c r="R623" s="9" t="s">
        <v>3186</v>
      </c>
      <c r="S623" s="9" t="str">
        <f>IF(ISBLANK($R623),"",VLOOKUP($R623,'Liste des Villes'!$B$2:$H$1128,4,FALSE))</f>
        <v>Laurentides</v>
      </c>
      <c r="T623" s="2" t="s">
        <v>3740</v>
      </c>
      <c r="U623" s="2" t="s">
        <v>39</v>
      </c>
      <c r="V623" s="2" t="s">
        <v>40</v>
      </c>
      <c r="W623" s="2" t="s">
        <v>3741</v>
      </c>
      <c r="X623" s="2"/>
      <c r="Y623" s="2"/>
      <c r="Z623" s="2"/>
      <c r="AA623" s="2" t="s">
        <v>3199</v>
      </c>
      <c r="AB623" s="2" t="s">
        <v>3221</v>
      </c>
      <c r="AC623" s="4" t="s">
        <v>44</v>
      </c>
    </row>
    <row r="624" spans="1:29" x14ac:dyDescent="0.25">
      <c r="A624" s="1">
        <v>914</v>
      </c>
      <c r="B624" s="17" t="s">
        <v>3742</v>
      </c>
      <c r="C624" s="2" t="s">
        <v>3743</v>
      </c>
      <c r="D624" s="15" t="s">
        <v>3744</v>
      </c>
      <c r="E624" s="9" t="s">
        <v>186</v>
      </c>
      <c r="F624" s="9" t="s">
        <v>1104</v>
      </c>
      <c r="G624" s="9" t="s">
        <v>1715</v>
      </c>
      <c r="H624" s="2" t="s">
        <v>60</v>
      </c>
      <c r="I624" s="3">
        <v>35702</v>
      </c>
      <c r="J624" s="9" t="str">
        <f t="shared" ca="1" si="11"/>
        <v>25 ans</v>
      </c>
      <c r="K624" s="2" t="s">
        <v>123</v>
      </c>
      <c r="L624" s="2" t="str">
        <f>"136"</f>
        <v>136</v>
      </c>
      <c r="M624" s="2"/>
      <c r="N624" s="2" t="str">
        <f>"DES PERDRIX"</f>
        <v>DES PERDRIX</v>
      </c>
      <c r="O624" s="2" t="s">
        <v>3185</v>
      </c>
      <c r="P624" s="9" t="str">
        <f>VLOOKUP($O624,'Liste des Villes'!$B$2:$B$1128,1,FALSE)</f>
        <v>Saint-Jérôme</v>
      </c>
      <c r="Q624" s="9" t="str">
        <f>IFERROR($P624,PROPER(VLOOKUP($O624,'Villes en erreur'!$A$2:$B$72,2,FALSE)))</f>
        <v>Saint-Jérôme</v>
      </c>
      <c r="R624" s="9" t="s">
        <v>3186</v>
      </c>
      <c r="S624" s="9" t="str">
        <f>IF(ISBLANK($R624),"",VLOOKUP($R624,'Liste des Villes'!$B$2:$H$1128,4,FALSE))</f>
        <v>Laurentides</v>
      </c>
      <c r="T624" s="2" t="s">
        <v>3745</v>
      </c>
      <c r="U624" s="2" t="s">
        <v>39</v>
      </c>
      <c r="V624" s="2" t="s">
        <v>40</v>
      </c>
      <c r="W624" s="2" t="s">
        <v>3746</v>
      </c>
      <c r="X624" s="2"/>
      <c r="Y624" s="2"/>
      <c r="Z624" s="2"/>
      <c r="AA624" s="2" t="s">
        <v>3243</v>
      </c>
      <c r="AB624" s="2" t="s">
        <v>3221</v>
      </c>
      <c r="AC624" s="4" t="s">
        <v>44</v>
      </c>
    </row>
    <row r="625" spans="1:29" x14ac:dyDescent="0.25">
      <c r="A625" s="1">
        <v>4253</v>
      </c>
      <c r="B625" s="17" t="s">
        <v>3747</v>
      </c>
      <c r="C625" s="2" t="s">
        <v>3748</v>
      </c>
      <c r="D625" s="15" t="s">
        <v>3749</v>
      </c>
      <c r="E625" s="9" t="s">
        <v>743</v>
      </c>
      <c r="F625" s="9" t="s">
        <v>1076</v>
      </c>
      <c r="G625" s="9" t="s">
        <v>1283</v>
      </c>
      <c r="H625" s="2" t="s">
        <v>60</v>
      </c>
      <c r="I625" s="3">
        <v>35812</v>
      </c>
      <c r="J625" s="9" t="str">
        <f t="shared" ca="1" si="11"/>
        <v>25 ans</v>
      </c>
      <c r="K625" s="2" t="s">
        <v>123</v>
      </c>
      <c r="L625" s="2" t="str">
        <f>"145"</f>
        <v>145</v>
      </c>
      <c r="M625" s="2"/>
      <c r="N625" s="2" t="str">
        <f>"J.C. Wilson"</f>
        <v>J.C. Wilson</v>
      </c>
      <c r="O625" s="2" t="s">
        <v>3185</v>
      </c>
      <c r="P625" s="9" t="str">
        <f>VLOOKUP($O625,'Liste des Villes'!$B$2:$B$1128,1,FALSE)</f>
        <v>Saint-Jérôme</v>
      </c>
      <c r="Q625" s="9" t="str">
        <f>IFERROR($P625,PROPER(VLOOKUP($O625,'Villes en erreur'!$A$2:$B$72,2,FALSE)))</f>
        <v>Saint-Jérôme</v>
      </c>
      <c r="R625" s="9" t="s">
        <v>3186</v>
      </c>
      <c r="S625" s="9" t="str">
        <f>IF(ISBLANK($R625),"",VLOOKUP($R625,'Liste des Villes'!$B$2:$H$1128,4,FALSE))</f>
        <v>Laurentides</v>
      </c>
      <c r="T625" s="2" t="s">
        <v>3750</v>
      </c>
      <c r="U625" s="2" t="s">
        <v>39</v>
      </c>
      <c r="V625" s="2" t="s">
        <v>40</v>
      </c>
      <c r="W625" s="2" t="s">
        <v>3751</v>
      </c>
      <c r="X625" s="2"/>
      <c r="Y625" s="2"/>
      <c r="Z625" s="2"/>
      <c r="AA625" s="2" t="s">
        <v>3243</v>
      </c>
      <c r="AB625" s="2" t="s">
        <v>3221</v>
      </c>
      <c r="AC625" s="4" t="s">
        <v>44</v>
      </c>
    </row>
    <row r="626" spans="1:29" x14ac:dyDescent="0.25">
      <c r="A626" s="1">
        <v>3343</v>
      </c>
      <c r="B626" s="17" t="s">
        <v>3752</v>
      </c>
      <c r="C626" s="2" t="s">
        <v>3753</v>
      </c>
      <c r="D626" s="15" t="s">
        <v>3754</v>
      </c>
      <c r="E626" s="9" t="s">
        <v>3755</v>
      </c>
      <c r="F626" s="9" t="s">
        <v>2910</v>
      </c>
      <c r="G626" s="9" t="s">
        <v>186</v>
      </c>
      <c r="H626" s="2" t="s">
        <v>60</v>
      </c>
      <c r="I626" s="3">
        <v>34853</v>
      </c>
      <c r="J626" s="9" t="str">
        <f t="shared" ca="1" si="11"/>
        <v>28 ans</v>
      </c>
      <c r="K626" s="2" t="s">
        <v>36</v>
      </c>
      <c r="L626" s="2" t="str">
        <f>"81"</f>
        <v>81</v>
      </c>
      <c r="M626" s="2"/>
      <c r="N626" s="2" t="str">
        <f>"CH DES PAPINEAU"</f>
        <v>CH DES PAPINEAU</v>
      </c>
      <c r="O626" s="2" t="s">
        <v>3185</v>
      </c>
      <c r="P626" s="9" t="str">
        <f>VLOOKUP($O626,'Liste des Villes'!$B$2:$B$1128,1,FALSE)</f>
        <v>Saint-Jérôme</v>
      </c>
      <c r="Q626" s="9" t="str">
        <f>IFERROR($P626,PROPER(VLOOKUP($O626,'Villes en erreur'!$A$2:$B$72,2,FALSE)))</f>
        <v>Saint-Jérôme</v>
      </c>
      <c r="R626" s="9" t="s">
        <v>3186</v>
      </c>
      <c r="S626" s="9" t="str">
        <f>IF(ISBLANK($R626),"",VLOOKUP($R626,'Liste des Villes'!$B$2:$H$1128,4,FALSE))</f>
        <v>Laurentides</v>
      </c>
      <c r="T626" s="2" t="s">
        <v>3187</v>
      </c>
      <c r="U626" s="2" t="s">
        <v>39</v>
      </c>
      <c r="V626" s="2" t="s">
        <v>40</v>
      </c>
      <c r="W626" s="2" t="s">
        <v>3756</v>
      </c>
      <c r="X626" s="2"/>
      <c r="Y626" s="2"/>
      <c r="Z626" s="2"/>
      <c r="AA626" s="2" t="s">
        <v>3231</v>
      </c>
      <c r="AB626" s="2" t="s">
        <v>53</v>
      </c>
      <c r="AC626" s="4" t="s">
        <v>44</v>
      </c>
    </row>
    <row r="627" spans="1:29" x14ac:dyDescent="0.25">
      <c r="A627" s="1">
        <v>2295</v>
      </c>
      <c r="B627" s="17" t="s">
        <v>3757</v>
      </c>
      <c r="C627" s="2" t="s">
        <v>3758</v>
      </c>
      <c r="D627" s="15" t="s">
        <v>867</v>
      </c>
      <c r="E627" s="9" t="s">
        <v>3759</v>
      </c>
      <c r="F627" s="9" t="s">
        <v>3760</v>
      </c>
      <c r="G627" s="9" t="s">
        <v>1671</v>
      </c>
      <c r="H627" s="2" t="s">
        <v>35</v>
      </c>
      <c r="I627" s="3">
        <v>35646</v>
      </c>
      <c r="J627" s="9" t="str">
        <f t="shared" ca="1" si="11"/>
        <v>26 ans</v>
      </c>
      <c r="K627" s="2" t="s">
        <v>36</v>
      </c>
      <c r="L627" s="2" t="str">
        <f>"131"</f>
        <v>131</v>
      </c>
      <c r="M627" s="2"/>
      <c r="N627" s="2" t="str">
        <f>"DE SAINT-CANUT BLVD"</f>
        <v>DE SAINT-CANUT BLVD</v>
      </c>
      <c r="O627" s="2" t="s">
        <v>3185</v>
      </c>
      <c r="P627" s="9" t="str">
        <f>VLOOKUP($O627,'Liste des Villes'!$B$2:$B$1128,1,FALSE)</f>
        <v>Saint-Jérôme</v>
      </c>
      <c r="Q627" s="9" t="str">
        <f>IFERROR($P627,PROPER(VLOOKUP($O627,'Villes en erreur'!$A$2:$B$72,2,FALSE)))</f>
        <v>Saint-Jérôme</v>
      </c>
      <c r="R627" s="9" t="s">
        <v>3186</v>
      </c>
      <c r="S627" s="9" t="str">
        <f>IF(ISBLANK($R627),"",VLOOKUP($R627,'Liste des Villes'!$B$2:$H$1128,4,FALSE))</f>
        <v>Laurentides</v>
      </c>
      <c r="T627" s="2" t="s">
        <v>3761</v>
      </c>
      <c r="U627" s="2" t="s">
        <v>39</v>
      </c>
      <c r="V627" s="2" t="s">
        <v>40</v>
      </c>
      <c r="W627" s="2" t="s">
        <v>3762</v>
      </c>
      <c r="X627" s="2"/>
      <c r="Y627" s="2"/>
      <c r="Z627" s="2"/>
      <c r="AA627" s="2" t="s">
        <v>3243</v>
      </c>
      <c r="AB627" s="2" t="s">
        <v>3221</v>
      </c>
      <c r="AC627" s="4" t="s">
        <v>44</v>
      </c>
    </row>
    <row r="628" spans="1:29" x14ac:dyDescent="0.25">
      <c r="A628" s="1">
        <v>4301</v>
      </c>
      <c r="B628" s="17" t="s">
        <v>3763</v>
      </c>
      <c r="C628" s="2" t="s">
        <v>3764</v>
      </c>
      <c r="D628" s="15" t="s">
        <v>3765</v>
      </c>
      <c r="E628" s="9" t="s">
        <v>3766</v>
      </c>
      <c r="F628" s="9" t="s">
        <v>3767</v>
      </c>
      <c r="G628" s="9" t="s">
        <v>3731</v>
      </c>
      <c r="H628" s="2" t="s">
        <v>60</v>
      </c>
      <c r="I628" s="3">
        <v>35890</v>
      </c>
      <c r="J628" s="9" t="str">
        <f t="shared" ca="1" si="11"/>
        <v>25 ans</v>
      </c>
      <c r="K628" s="2" t="s">
        <v>123</v>
      </c>
      <c r="L628" s="2" t="str">
        <f>"155"</f>
        <v>155</v>
      </c>
      <c r="M628" s="2"/>
      <c r="N628" s="2" t="str">
        <f>"MONTÉE CRÉPEAU"</f>
        <v>MONTÉE CRÉPEAU</v>
      </c>
      <c r="O628" s="2" t="s">
        <v>3185</v>
      </c>
      <c r="P628" s="9" t="str">
        <f>VLOOKUP($O628,'Liste des Villes'!$B$2:$B$1128,1,FALSE)</f>
        <v>Saint-Jérôme</v>
      </c>
      <c r="Q628" s="9" t="str">
        <f>IFERROR($P628,PROPER(VLOOKUP($O628,'Villes en erreur'!$A$2:$B$72,2,FALSE)))</f>
        <v>Saint-Jérôme</v>
      </c>
      <c r="R628" s="9" t="s">
        <v>3186</v>
      </c>
      <c r="S628" s="9" t="str">
        <f>IF(ISBLANK($R628),"",VLOOKUP($R628,'Liste des Villes'!$B$2:$H$1128,4,FALSE))</f>
        <v>Laurentides</v>
      </c>
      <c r="T628" s="2" t="s">
        <v>3768</v>
      </c>
      <c r="U628" s="2" t="s">
        <v>39</v>
      </c>
      <c r="V628" s="2" t="s">
        <v>40</v>
      </c>
      <c r="W628" s="2" t="s">
        <v>3769</v>
      </c>
      <c r="X628" s="2"/>
      <c r="Y628" s="2"/>
      <c r="Z628" s="2"/>
      <c r="AA628" s="2" t="s">
        <v>3243</v>
      </c>
      <c r="AB628" s="2" t="s">
        <v>3221</v>
      </c>
      <c r="AC628" s="4" t="s">
        <v>44</v>
      </c>
    </row>
    <row r="629" spans="1:29" x14ac:dyDescent="0.25">
      <c r="A629" s="1">
        <v>818</v>
      </c>
      <c r="B629" s="17" t="s">
        <v>3770</v>
      </c>
      <c r="C629" s="2" t="s">
        <v>3771</v>
      </c>
      <c r="D629" s="15" t="s">
        <v>3772</v>
      </c>
      <c r="E629" s="9" t="s">
        <v>1037</v>
      </c>
      <c r="F629" s="9" t="s">
        <v>3773</v>
      </c>
      <c r="G629" s="9" t="s">
        <v>2978</v>
      </c>
      <c r="H629" s="2" t="s">
        <v>60</v>
      </c>
      <c r="I629" s="3">
        <v>35665</v>
      </c>
      <c r="J629" s="9" t="str">
        <f t="shared" ca="1" si="11"/>
        <v>26 ans</v>
      </c>
      <c r="K629" s="2" t="s">
        <v>36</v>
      </c>
      <c r="L629" s="2" t="str">
        <f>"133"</f>
        <v>133</v>
      </c>
      <c r="M629" s="2"/>
      <c r="N629" s="2" t="str">
        <f>"DE TERREBONNE BLVD"</f>
        <v>DE TERREBONNE BLVD</v>
      </c>
      <c r="O629" s="2" t="s">
        <v>3185</v>
      </c>
      <c r="P629" s="9" t="str">
        <f>VLOOKUP($O629,'Liste des Villes'!$B$2:$B$1128,1,FALSE)</f>
        <v>Saint-Jérôme</v>
      </c>
      <c r="Q629" s="9" t="str">
        <f>IFERROR($P629,PROPER(VLOOKUP($O629,'Villes en erreur'!$A$2:$B$72,2,FALSE)))</f>
        <v>Saint-Jérôme</v>
      </c>
      <c r="R629" s="9" t="s">
        <v>3186</v>
      </c>
      <c r="S629" s="9" t="str">
        <f>IF(ISBLANK($R629),"",VLOOKUP($R629,'Liste des Villes'!$B$2:$H$1128,4,FALSE))</f>
        <v>Laurentides</v>
      </c>
      <c r="T629" s="2" t="s">
        <v>3774</v>
      </c>
      <c r="U629" s="2" t="s">
        <v>39</v>
      </c>
      <c r="V629" s="2" t="s">
        <v>40</v>
      </c>
      <c r="W629" s="2" t="s">
        <v>3775</v>
      </c>
      <c r="X629" s="2"/>
      <c r="Y629" s="2"/>
      <c r="Z629" s="2"/>
      <c r="AA629" s="2" t="s">
        <v>3243</v>
      </c>
      <c r="AB629" s="2" t="s">
        <v>3221</v>
      </c>
      <c r="AC629" s="4" t="s">
        <v>44</v>
      </c>
    </row>
    <row r="630" spans="1:29" x14ac:dyDescent="0.25">
      <c r="A630" s="1">
        <v>1385</v>
      </c>
      <c r="B630" s="17" t="s">
        <v>3776</v>
      </c>
      <c r="C630" s="2" t="s">
        <v>3777</v>
      </c>
      <c r="D630" s="15" t="s">
        <v>3778</v>
      </c>
      <c r="E630" s="9" t="s">
        <v>450</v>
      </c>
      <c r="F630" s="9" t="s">
        <v>3779</v>
      </c>
      <c r="G630" s="9" t="s">
        <v>3306</v>
      </c>
      <c r="H630" s="2" t="s">
        <v>35</v>
      </c>
      <c r="I630" s="3">
        <v>35855</v>
      </c>
      <c r="J630" s="9" t="str">
        <f t="shared" ca="1" si="11"/>
        <v>25 ans</v>
      </c>
      <c r="K630" s="2" t="s">
        <v>123</v>
      </c>
      <c r="L630" s="2" t="str">
        <f>"150"</f>
        <v>150</v>
      </c>
      <c r="M630" s="2"/>
      <c r="N630" s="2" t="str">
        <f>"LOUIS-JOSEPH-PAPINEAU BLVD"</f>
        <v>LOUIS-JOSEPH-PAPINEAU BLVD</v>
      </c>
      <c r="O630" s="2" t="s">
        <v>3185</v>
      </c>
      <c r="P630" s="9" t="str">
        <f>VLOOKUP($O630,'Liste des Villes'!$B$2:$B$1128,1,FALSE)</f>
        <v>Saint-Jérôme</v>
      </c>
      <c r="Q630" s="9" t="str">
        <f>IFERROR($P630,PROPER(VLOOKUP($O630,'Villes en erreur'!$A$2:$B$72,2,FALSE)))</f>
        <v>Saint-Jérôme</v>
      </c>
      <c r="R630" s="9" t="s">
        <v>3186</v>
      </c>
      <c r="S630" s="9" t="str">
        <f>IF(ISBLANK($R630),"",VLOOKUP($R630,'Liste des Villes'!$B$2:$H$1128,4,FALSE))</f>
        <v>Laurentides</v>
      </c>
      <c r="T630" s="2" t="s">
        <v>3660</v>
      </c>
      <c r="U630" s="2" t="s">
        <v>39</v>
      </c>
      <c r="V630" s="2" t="s">
        <v>40</v>
      </c>
      <c r="W630" s="2" t="s">
        <v>3780</v>
      </c>
      <c r="X630" s="2"/>
      <c r="Y630" s="2"/>
      <c r="Z630" s="2"/>
      <c r="AA630" s="2" t="s">
        <v>3243</v>
      </c>
      <c r="AB630" s="2" t="s">
        <v>3221</v>
      </c>
      <c r="AC630" s="4" t="s">
        <v>44</v>
      </c>
    </row>
    <row r="631" spans="1:29" x14ac:dyDescent="0.25">
      <c r="A631" s="1">
        <v>1234</v>
      </c>
      <c r="B631" s="17" t="s">
        <v>3781</v>
      </c>
      <c r="C631" s="2" t="s">
        <v>3782</v>
      </c>
      <c r="D631" s="15" t="s">
        <v>3783</v>
      </c>
      <c r="E631" s="9" t="s">
        <v>179</v>
      </c>
      <c r="F631" s="9" t="s">
        <v>3784</v>
      </c>
      <c r="G631" s="9" t="s">
        <v>635</v>
      </c>
      <c r="H631" s="2" t="s">
        <v>35</v>
      </c>
      <c r="I631" s="3">
        <v>33904</v>
      </c>
      <c r="J631" s="9" t="str">
        <f t="shared" ca="1" si="11"/>
        <v>30 ans</v>
      </c>
      <c r="K631" s="2" t="s">
        <v>36</v>
      </c>
      <c r="L631" s="2" t="str">
        <f>"40"</f>
        <v>40</v>
      </c>
      <c r="M631" s="2"/>
      <c r="N631" s="2" t="str">
        <f>"AVENUE JOSEPH"</f>
        <v>AVENUE JOSEPH</v>
      </c>
      <c r="O631" s="2" t="s">
        <v>3185</v>
      </c>
      <c r="P631" s="9" t="str">
        <f>VLOOKUP($O631,'Liste des Villes'!$B$2:$B$1128,1,FALSE)</f>
        <v>Saint-Jérôme</v>
      </c>
      <c r="Q631" s="9" t="str">
        <f>IFERROR($P631,PROPER(VLOOKUP($O631,'Villes en erreur'!$A$2:$B$72,2,FALSE)))</f>
        <v>Saint-Jérôme</v>
      </c>
      <c r="R631" s="9" t="s">
        <v>3186</v>
      </c>
      <c r="S631" s="9" t="str">
        <f>IF(ISBLANK($R631),"",VLOOKUP($R631,'Liste des Villes'!$B$2:$H$1128,4,FALSE))</f>
        <v>Laurentides</v>
      </c>
      <c r="T631" s="2" t="s">
        <v>3093</v>
      </c>
      <c r="U631" s="2" t="s">
        <v>39</v>
      </c>
      <c r="V631" s="2" t="s">
        <v>40</v>
      </c>
      <c r="W631" s="2" t="s">
        <v>3785</v>
      </c>
      <c r="X631" s="2"/>
      <c r="Y631" s="2"/>
      <c r="Z631" s="2"/>
      <c r="AA631" s="2" t="s">
        <v>3207</v>
      </c>
      <c r="AB631" s="2" t="s">
        <v>53</v>
      </c>
      <c r="AC631" s="4" t="s">
        <v>44</v>
      </c>
    </row>
    <row r="632" spans="1:29" x14ac:dyDescent="0.25">
      <c r="A632" s="1">
        <v>1452</v>
      </c>
      <c r="B632" s="17" t="s">
        <v>3786</v>
      </c>
      <c r="C632" s="2" t="s">
        <v>3787</v>
      </c>
      <c r="D632" s="15" t="s">
        <v>2474</v>
      </c>
      <c r="E632" s="9" t="s">
        <v>293</v>
      </c>
      <c r="F632" s="9" t="s">
        <v>3788</v>
      </c>
      <c r="G632" s="9" t="s">
        <v>2134</v>
      </c>
      <c r="H632" s="2" t="s">
        <v>60</v>
      </c>
      <c r="I632" s="3">
        <v>34774</v>
      </c>
      <c r="J632" s="9" t="str">
        <f t="shared" ca="1" si="11"/>
        <v>28 ans</v>
      </c>
      <c r="K632" s="2" t="s">
        <v>36</v>
      </c>
      <c r="L632" s="2" t="str">
        <f>"76"</f>
        <v>76</v>
      </c>
      <c r="M632" s="2"/>
      <c r="N632" s="2" t="str">
        <f>"CH DES CAILLES"</f>
        <v>CH DES CAILLES</v>
      </c>
      <c r="O632" s="2" t="s">
        <v>3186</v>
      </c>
      <c r="P632" s="9" t="str">
        <f>VLOOKUP($O632,'Liste des Villes'!$B$2:$B$1128,1,FALSE)</f>
        <v>Saint-Jérôme</v>
      </c>
      <c r="Q632" s="9" t="str">
        <f>IFERROR($P632,PROPER(VLOOKUP($O632,'Villes en erreur'!$A$2:$B$72,2,FALSE)))</f>
        <v>Saint-Jérôme</v>
      </c>
      <c r="R632" s="9" t="s">
        <v>3186</v>
      </c>
      <c r="S632" s="9" t="str">
        <f>IF(ISBLANK($R632),"",VLOOKUP($R632,'Liste des Villes'!$B$2:$H$1128,4,FALSE))</f>
        <v>Laurentides</v>
      </c>
      <c r="T632" s="2" t="s">
        <v>3187</v>
      </c>
      <c r="U632" s="2" t="s">
        <v>39</v>
      </c>
      <c r="V632" s="2" t="s">
        <v>40</v>
      </c>
      <c r="W632" s="2" t="s">
        <v>3789</v>
      </c>
      <c r="X632" s="2"/>
      <c r="Y632" s="2"/>
      <c r="Z632" s="2"/>
      <c r="AA632" s="2" t="s">
        <v>3225</v>
      </c>
      <c r="AB632" s="2" t="s">
        <v>53</v>
      </c>
      <c r="AC632" s="4" t="s">
        <v>44</v>
      </c>
    </row>
    <row r="633" spans="1:29" x14ac:dyDescent="0.25">
      <c r="A633" s="1">
        <v>19</v>
      </c>
      <c r="B633" s="17" t="s">
        <v>3790</v>
      </c>
      <c r="C633" s="2" t="s">
        <v>3791</v>
      </c>
      <c r="D633" s="15" t="s">
        <v>1906</v>
      </c>
      <c r="E633" s="9" t="s">
        <v>3792</v>
      </c>
      <c r="F633" s="9" t="s">
        <v>1905</v>
      </c>
      <c r="G633" s="9" t="s">
        <v>3793</v>
      </c>
      <c r="H633" s="2" t="s">
        <v>60</v>
      </c>
      <c r="I633" s="3">
        <v>34060</v>
      </c>
      <c r="J633" s="9" t="str">
        <f t="shared" ca="1" si="11"/>
        <v>30 ans</v>
      </c>
      <c r="K633" s="2" t="s">
        <v>36</v>
      </c>
      <c r="L633" s="2" t="str">
        <f>"45"</f>
        <v>45</v>
      </c>
      <c r="M633" s="2"/>
      <c r="N633" s="2" t="str">
        <f>"BOUL. LACORDAIRE"</f>
        <v>BOUL. LACORDAIRE</v>
      </c>
      <c r="O633" s="2" t="s">
        <v>3185</v>
      </c>
      <c r="P633" s="9" t="str">
        <f>VLOOKUP($O633,'Liste des Villes'!$B$2:$B$1128,1,FALSE)</f>
        <v>Saint-Jérôme</v>
      </c>
      <c r="Q633" s="9" t="str">
        <f>IFERROR($P633,PROPER(VLOOKUP($O633,'Villes en erreur'!$A$2:$B$72,2,FALSE)))</f>
        <v>Saint-Jérôme</v>
      </c>
      <c r="R633" s="9" t="s">
        <v>3186</v>
      </c>
      <c r="S633" s="9" t="str">
        <f>IF(ISBLANK($R633),"",VLOOKUP($R633,'Liste des Villes'!$B$2:$H$1128,4,FALSE))</f>
        <v>Laurentides</v>
      </c>
      <c r="T633" s="2" t="s">
        <v>3358</v>
      </c>
      <c r="U633" s="2" t="s">
        <v>39</v>
      </c>
      <c r="V633" s="2" t="s">
        <v>40</v>
      </c>
      <c r="W633" s="2" t="s">
        <v>3794</v>
      </c>
      <c r="X633" s="2"/>
      <c r="Y633" s="2"/>
      <c r="Z633" s="2"/>
      <c r="AA633" s="2" t="s">
        <v>3360</v>
      </c>
      <c r="AB633" s="2" t="s">
        <v>53</v>
      </c>
      <c r="AC633" s="4" t="s">
        <v>44</v>
      </c>
    </row>
    <row r="634" spans="1:29" x14ac:dyDescent="0.25">
      <c r="A634" s="1">
        <v>282</v>
      </c>
      <c r="B634" s="17" t="s">
        <v>3795</v>
      </c>
      <c r="C634" s="2" t="s">
        <v>3320</v>
      </c>
      <c r="D634" s="15" t="s">
        <v>1371</v>
      </c>
      <c r="E634" s="9" t="s">
        <v>1091</v>
      </c>
      <c r="F634" s="9" t="s">
        <v>1092</v>
      </c>
      <c r="G634" s="9" t="s">
        <v>3218</v>
      </c>
      <c r="H634" s="2" t="s">
        <v>60</v>
      </c>
      <c r="I634" s="3">
        <v>34335</v>
      </c>
      <c r="J634" s="9" t="str">
        <f t="shared" ca="1" si="11"/>
        <v>29 ans</v>
      </c>
      <c r="K634" s="2" t="s">
        <v>36</v>
      </c>
      <c r="L634" s="2" t="str">
        <f>"52"</f>
        <v>52</v>
      </c>
      <c r="M634" s="2"/>
      <c r="N634" s="2" t="str">
        <f>"BOULEVARD MAURICE"</f>
        <v>BOULEVARD MAURICE</v>
      </c>
      <c r="O634" s="2" t="s">
        <v>3185</v>
      </c>
      <c r="P634" s="9" t="str">
        <f>VLOOKUP($O634,'Liste des Villes'!$B$2:$B$1128,1,FALSE)</f>
        <v>Saint-Jérôme</v>
      </c>
      <c r="Q634" s="9" t="str">
        <f>IFERROR($P634,PROPER(VLOOKUP($O634,'Villes en erreur'!$A$2:$B$72,2,FALSE)))</f>
        <v>Saint-Jérôme</v>
      </c>
      <c r="R634" s="9" t="s">
        <v>3186</v>
      </c>
      <c r="S634" s="9" t="str">
        <f>IF(ISBLANK($R634),"",VLOOKUP($R634,'Liste des Villes'!$B$2:$H$1128,4,FALSE))</f>
        <v>Laurentides</v>
      </c>
      <c r="T634" s="2" t="s">
        <v>3520</v>
      </c>
      <c r="U634" s="2" t="s">
        <v>39</v>
      </c>
      <c r="V634" s="2" t="s">
        <v>40</v>
      </c>
      <c r="W634" s="2" t="s">
        <v>3796</v>
      </c>
      <c r="X634" s="2"/>
      <c r="Y634" s="2"/>
      <c r="Z634" s="2"/>
      <c r="AA634" s="2" t="s">
        <v>3360</v>
      </c>
      <c r="AB634" s="2" t="s">
        <v>53</v>
      </c>
      <c r="AC634" s="4" t="s">
        <v>44</v>
      </c>
    </row>
    <row r="635" spans="1:29" x14ac:dyDescent="0.25">
      <c r="A635" s="1">
        <v>3670</v>
      </c>
      <c r="B635" s="17" t="s">
        <v>3797</v>
      </c>
      <c r="C635" s="2" t="s">
        <v>3798</v>
      </c>
      <c r="D635" s="15" t="s">
        <v>3799</v>
      </c>
      <c r="E635" s="9" t="s">
        <v>3800</v>
      </c>
      <c r="F635" s="9" t="s">
        <v>3801</v>
      </c>
      <c r="G635" s="9" t="s">
        <v>3802</v>
      </c>
      <c r="H635" s="2" t="s">
        <v>60</v>
      </c>
      <c r="I635" s="3">
        <v>35958</v>
      </c>
      <c r="J635" s="9" t="str">
        <f t="shared" ca="1" si="11"/>
        <v>25 ans</v>
      </c>
      <c r="K635" s="2" t="s">
        <v>123</v>
      </c>
      <c r="L635" s="2" t="str">
        <f>"169"</f>
        <v>169</v>
      </c>
      <c r="M635" s="2"/>
      <c r="N635" s="2" t="str">
        <f>"OUIMET"</f>
        <v>OUIMET</v>
      </c>
      <c r="O635" s="2" t="s">
        <v>3185</v>
      </c>
      <c r="P635" s="9" t="str">
        <f>VLOOKUP($O635,'Liste des Villes'!$B$2:$B$1128,1,FALSE)</f>
        <v>Saint-Jérôme</v>
      </c>
      <c r="Q635" s="9" t="str">
        <f>IFERROR($P635,PROPER(VLOOKUP($O635,'Villes en erreur'!$A$2:$B$72,2,FALSE)))</f>
        <v>Saint-Jérôme</v>
      </c>
      <c r="R635" s="9" t="s">
        <v>3186</v>
      </c>
      <c r="S635" s="9" t="str">
        <f>IF(ISBLANK($R635),"",VLOOKUP($R635,'Liste des Villes'!$B$2:$H$1128,4,FALSE))</f>
        <v>Laurentides</v>
      </c>
      <c r="T635" s="2" t="s">
        <v>3387</v>
      </c>
      <c r="U635" s="2" t="s">
        <v>39</v>
      </c>
      <c r="V635" s="2" t="s">
        <v>40</v>
      </c>
      <c r="W635" s="2" t="s">
        <v>3803</v>
      </c>
      <c r="X635" s="2"/>
      <c r="Y635" s="2"/>
      <c r="Z635" s="2"/>
      <c r="AA635" s="2" t="s">
        <v>832</v>
      </c>
      <c r="AB635" s="2" t="s">
        <v>3221</v>
      </c>
      <c r="AC635" s="4" t="s">
        <v>44</v>
      </c>
    </row>
    <row r="636" spans="1:29" x14ac:dyDescent="0.25">
      <c r="A636" s="1">
        <v>791</v>
      </c>
      <c r="B636" s="17" t="s">
        <v>3804</v>
      </c>
      <c r="C636" s="2" t="s">
        <v>3455</v>
      </c>
      <c r="D636" s="15" t="s">
        <v>584</v>
      </c>
      <c r="E636" s="9" t="s">
        <v>405</v>
      </c>
      <c r="F636" s="9" t="s">
        <v>3805</v>
      </c>
      <c r="G636" s="9" t="s">
        <v>635</v>
      </c>
      <c r="H636" s="2" t="s">
        <v>35</v>
      </c>
      <c r="I636" s="3">
        <v>33857</v>
      </c>
      <c r="J636" s="9" t="str">
        <f t="shared" ca="1" si="11"/>
        <v>30 ans</v>
      </c>
      <c r="K636" s="2" t="s">
        <v>36</v>
      </c>
      <c r="L636" s="2" t="str">
        <f>"39"</f>
        <v>39</v>
      </c>
      <c r="M636" s="2"/>
      <c r="N636" s="2" t="str">
        <f>"AVENUE DU PARC"</f>
        <v>AVENUE DU PARC</v>
      </c>
      <c r="O636" s="2" t="s">
        <v>3186</v>
      </c>
      <c r="P636" s="9" t="str">
        <f>VLOOKUP($O636,'Liste des Villes'!$B$2:$B$1128,1,FALSE)</f>
        <v>Saint-Jérôme</v>
      </c>
      <c r="Q636" s="9" t="str">
        <f>IFERROR($P636,PROPER(VLOOKUP($O636,'Villes en erreur'!$A$2:$B$72,2,FALSE)))</f>
        <v>Saint-Jérôme</v>
      </c>
      <c r="R636" s="9" t="s">
        <v>3186</v>
      </c>
      <c r="S636" s="9" t="str">
        <f>IF(ISBLANK($R636),"",VLOOKUP($R636,'Liste des Villes'!$B$2:$H$1128,4,FALSE))</f>
        <v>Laurentides</v>
      </c>
      <c r="T636" s="2" t="s">
        <v>3093</v>
      </c>
      <c r="U636" s="2" t="s">
        <v>39</v>
      </c>
      <c r="V636" s="2" t="s">
        <v>40</v>
      </c>
      <c r="W636" s="2" t="s">
        <v>3806</v>
      </c>
      <c r="X636" s="2"/>
      <c r="Y636" s="2"/>
      <c r="Z636" s="2"/>
      <c r="AA636" s="2" t="s">
        <v>3207</v>
      </c>
      <c r="AB636" s="2" t="s">
        <v>53</v>
      </c>
      <c r="AC636" s="4" t="s">
        <v>44</v>
      </c>
    </row>
    <row r="637" spans="1:29" x14ac:dyDescent="0.25">
      <c r="A637" s="1">
        <v>1600</v>
      </c>
      <c r="B637" s="17" t="s">
        <v>3807</v>
      </c>
      <c r="C637" s="2" t="s">
        <v>3808</v>
      </c>
      <c r="D637" s="15" t="s">
        <v>3809</v>
      </c>
      <c r="E637" s="9" t="s">
        <v>3708</v>
      </c>
      <c r="F637" s="9" t="s">
        <v>3810</v>
      </c>
      <c r="G637" s="9" t="s">
        <v>3811</v>
      </c>
      <c r="H637" s="2" t="s">
        <v>60</v>
      </c>
      <c r="I637" s="3">
        <v>35830</v>
      </c>
      <c r="J637" s="9" t="str">
        <f t="shared" ca="1" si="11"/>
        <v>25 ans</v>
      </c>
      <c r="K637" s="2" t="s">
        <v>123</v>
      </c>
      <c r="L637" s="2" t="str">
        <f>"145"</f>
        <v>145</v>
      </c>
      <c r="M637" s="2"/>
      <c r="N637" s="2" t="str">
        <f>"JÉROBELLE BLVD"</f>
        <v>JÉROBELLE BLVD</v>
      </c>
      <c r="O637" s="2" t="s">
        <v>3185</v>
      </c>
      <c r="P637" s="9" t="str">
        <f>VLOOKUP($O637,'Liste des Villes'!$B$2:$B$1128,1,FALSE)</f>
        <v>Saint-Jérôme</v>
      </c>
      <c r="Q637" s="9" t="str">
        <f>IFERROR($P637,PROPER(VLOOKUP($O637,'Villes en erreur'!$A$2:$B$72,2,FALSE)))</f>
        <v>Saint-Jérôme</v>
      </c>
      <c r="R637" s="9" t="s">
        <v>3186</v>
      </c>
      <c r="S637" s="9" t="str">
        <f>IF(ISBLANK($R637),"",VLOOKUP($R637,'Liste des Villes'!$B$2:$H$1128,4,FALSE))</f>
        <v>Laurentides</v>
      </c>
      <c r="T637" s="2" t="s">
        <v>3812</v>
      </c>
      <c r="U637" s="2" t="s">
        <v>39</v>
      </c>
      <c r="V637" s="2" t="s">
        <v>40</v>
      </c>
      <c r="W637" s="2" t="s">
        <v>3813</v>
      </c>
      <c r="X637" s="2"/>
      <c r="Y637" s="2"/>
      <c r="Z637" s="2"/>
      <c r="AA637" s="2" t="s">
        <v>3243</v>
      </c>
      <c r="AB637" s="2" t="s">
        <v>3221</v>
      </c>
      <c r="AC637" s="4" t="s">
        <v>44</v>
      </c>
    </row>
    <row r="638" spans="1:29" x14ac:dyDescent="0.25">
      <c r="A638" s="1">
        <v>391</v>
      </c>
      <c r="B638" s="17" t="s">
        <v>3814</v>
      </c>
      <c r="C638" s="2" t="s">
        <v>3368</v>
      </c>
      <c r="D638" s="15" t="s">
        <v>3042</v>
      </c>
      <c r="E638" s="9" t="s">
        <v>3274</v>
      </c>
      <c r="F638" s="9" t="s">
        <v>3041</v>
      </c>
      <c r="G638" s="9" t="s">
        <v>3815</v>
      </c>
      <c r="H638" s="2" t="s">
        <v>60</v>
      </c>
      <c r="I638" s="3">
        <v>34201</v>
      </c>
      <c r="J638" s="9" t="str">
        <f t="shared" ca="1" si="11"/>
        <v>30 ans</v>
      </c>
      <c r="K638" s="2" t="s">
        <v>36</v>
      </c>
      <c r="L638" s="2" t="str">
        <f>"48"</f>
        <v>48</v>
      </c>
      <c r="M638" s="2"/>
      <c r="N638" s="2" t="str">
        <f>"BOULEVARD DE SAINT CANUT"</f>
        <v>BOULEVARD DE SAINT CANUT</v>
      </c>
      <c r="O638" s="2" t="s">
        <v>3185</v>
      </c>
      <c r="P638" s="9" t="str">
        <f>VLOOKUP($O638,'Liste des Villes'!$B$2:$B$1128,1,FALSE)</f>
        <v>Saint-Jérôme</v>
      </c>
      <c r="Q638" s="9" t="str">
        <f>IFERROR($P638,PROPER(VLOOKUP($O638,'Villes en erreur'!$A$2:$B$72,2,FALSE)))</f>
        <v>Saint-Jérôme</v>
      </c>
      <c r="R638" s="9" t="s">
        <v>3186</v>
      </c>
      <c r="S638" s="9" t="str">
        <f>IF(ISBLANK($R638),"",VLOOKUP($R638,'Liste des Villes'!$B$2:$H$1128,4,FALSE))</f>
        <v>Laurentides</v>
      </c>
      <c r="T638" s="2" t="s">
        <v>3358</v>
      </c>
      <c r="U638" s="2" t="s">
        <v>39</v>
      </c>
      <c r="V638" s="2" t="s">
        <v>40</v>
      </c>
      <c r="W638" s="2" t="s">
        <v>3816</v>
      </c>
      <c r="X638" s="2"/>
      <c r="Y638" s="2"/>
      <c r="Z638" s="2"/>
      <c r="AA638" s="2" t="s">
        <v>3360</v>
      </c>
      <c r="AB638" s="2" t="s">
        <v>53</v>
      </c>
      <c r="AC638" s="4" t="s">
        <v>44</v>
      </c>
    </row>
    <row r="639" spans="1:29" x14ac:dyDescent="0.25">
      <c r="A639" s="1">
        <v>3330</v>
      </c>
      <c r="B639" s="17" t="s">
        <v>3817</v>
      </c>
      <c r="C639" s="2" t="s">
        <v>3818</v>
      </c>
      <c r="D639" s="15" t="s">
        <v>3433</v>
      </c>
      <c r="E639" s="9" t="s">
        <v>186</v>
      </c>
      <c r="F639" s="9" t="s">
        <v>3431</v>
      </c>
      <c r="G639" s="9" t="s">
        <v>431</v>
      </c>
      <c r="H639" s="2" t="s">
        <v>60</v>
      </c>
      <c r="I639" s="3">
        <v>35902</v>
      </c>
      <c r="J639" s="9" t="str">
        <f t="shared" ca="1" si="11"/>
        <v>25 ans</v>
      </c>
      <c r="K639" s="2" t="s">
        <v>123</v>
      </c>
      <c r="L639" s="2" t="str">
        <f>"157"</f>
        <v>157</v>
      </c>
      <c r="M639" s="2"/>
      <c r="N639" s="2" t="str">
        <f>"MONTEE DE L'ÉGLISE"</f>
        <v>MONTEE DE L'ÉGLISE</v>
      </c>
      <c r="O639" s="2" t="s">
        <v>3185</v>
      </c>
      <c r="P639" s="9" t="str">
        <f>VLOOKUP($O639,'Liste des Villes'!$B$2:$B$1128,1,FALSE)</f>
        <v>Saint-Jérôme</v>
      </c>
      <c r="Q639" s="9" t="str">
        <f>IFERROR($P639,PROPER(VLOOKUP($O639,'Villes en erreur'!$A$2:$B$72,2,FALSE)))</f>
        <v>Saint-Jérôme</v>
      </c>
      <c r="R639" s="9" t="s">
        <v>3186</v>
      </c>
      <c r="S639" s="9" t="str">
        <f>IF(ISBLANK($R639),"",VLOOKUP($R639,'Liste des Villes'!$B$2:$H$1128,4,FALSE))</f>
        <v>Laurentides</v>
      </c>
      <c r="T639" s="2" t="s">
        <v>3410</v>
      </c>
      <c r="U639" s="2" t="s">
        <v>39</v>
      </c>
      <c r="V639" s="2" t="s">
        <v>40</v>
      </c>
      <c r="W639" s="2" t="s">
        <v>3819</v>
      </c>
      <c r="X639" s="2"/>
      <c r="Y639" s="2"/>
      <c r="Z639" s="2"/>
      <c r="AA639" s="2" t="s">
        <v>3243</v>
      </c>
      <c r="AB639" s="2" t="s">
        <v>3221</v>
      </c>
      <c r="AC639" s="4" t="s">
        <v>44</v>
      </c>
    </row>
    <row r="640" spans="1:29" x14ac:dyDescent="0.25">
      <c r="A640" s="1">
        <v>793</v>
      </c>
      <c r="B640" s="17" t="s">
        <v>3820</v>
      </c>
      <c r="C640" s="2" t="s">
        <v>3821</v>
      </c>
      <c r="D640" s="15" t="s">
        <v>3822</v>
      </c>
      <c r="E640" s="9" t="s">
        <v>1423</v>
      </c>
      <c r="F640" s="9" t="s">
        <v>3823</v>
      </c>
      <c r="G640" s="9" t="s">
        <v>2959</v>
      </c>
      <c r="H640" s="2" t="s">
        <v>35</v>
      </c>
      <c r="I640" s="3">
        <v>35237</v>
      </c>
      <c r="J640" s="9" t="str">
        <f t="shared" ca="1" si="11"/>
        <v>27 ans</v>
      </c>
      <c r="K640" s="2" t="s">
        <v>36</v>
      </c>
      <c r="L640" s="2" t="str">
        <f>"106"</f>
        <v>106</v>
      </c>
      <c r="M640" s="2"/>
      <c r="N640" s="2" t="str">
        <f>"CHEMIN CHERTSEY"</f>
        <v>CHEMIN CHERTSEY</v>
      </c>
      <c r="O640" s="2" t="s">
        <v>3185</v>
      </c>
      <c r="P640" s="9" t="str">
        <f>VLOOKUP($O640,'Liste des Villes'!$B$2:$B$1128,1,FALSE)</f>
        <v>Saint-Jérôme</v>
      </c>
      <c r="Q640" s="9" t="str">
        <f>IFERROR($P640,PROPER(VLOOKUP($O640,'Villes en erreur'!$A$2:$B$72,2,FALSE)))</f>
        <v>Saint-Jérôme</v>
      </c>
      <c r="R640" s="9" t="s">
        <v>3186</v>
      </c>
      <c r="S640" s="9" t="str">
        <f>IF(ISBLANK($R640),"",VLOOKUP($R640,'Liste des Villes'!$B$2:$H$1128,4,FALSE))</f>
        <v>Laurentides</v>
      </c>
      <c r="T640" s="2" t="s">
        <v>3187</v>
      </c>
      <c r="U640" s="2" t="s">
        <v>39</v>
      </c>
      <c r="V640" s="2" t="s">
        <v>40</v>
      </c>
      <c r="W640" s="2" t="s">
        <v>3824</v>
      </c>
      <c r="X640" s="2"/>
      <c r="Y640" s="2"/>
      <c r="Z640" s="2"/>
      <c r="AA640" s="2" t="s">
        <v>3189</v>
      </c>
      <c r="AB640" s="2" t="s">
        <v>3190</v>
      </c>
      <c r="AC640" s="4" t="s">
        <v>44</v>
      </c>
    </row>
    <row r="641" spans="1:29" x14ac:dyDescent="0.25">
      <c r="A641" s="1">
        <v>4617</v>
      </c>
      <c r="B641" s="17" t="s">
        <v>3825</v>
      </c>
      <c r="C641" s="2" t="s">
        <v>3826</v>
      </c>
      <c r="D641" s="15" t="s">
        <v>1496</v>
      </c>
      <c r="E641" s="9" t="s">
        <v>1037</v>
      </c>
      <c r="F641" s="9" t="s">
        <v>1495</v>
      </c>
      <c r="G641" s="9" t="s">
        <v>92</v>
      </c>
      <c r="H641" s="2" t="s">
        <v>35</v>
      </c>
      <c r="I641" s="3">
        <v>35381</v>
      </c>
      <c r="J641" s="9" t="str">
        <f t="shared" ca="1" si="11"/>
        <v>26 ans</v>
      </c>
      <c r="K641" s="2" t="s">
        <v>36</v>
      </c>
      <c r="L641" s="2" t="str">
        <f>"112"</f>
        <v>112</v>
      </c>
      <c r="M641" s="2"/>
      <c r="N641" s="2" t="str">
        <f>"CHEMIN DU BAS DE ST-THÉRÈSE"</f>
        <v>CHEMIN DU BAS DE ST-THÉRÈSE</v>
      </c>
      <c r="O641" s="2" t="s">
        <v>3185</v>
      </c>
      <c r="P641" s="9" t="str">
        <f>VLOOKUP($O641,'Liste des Villes'!$B$2:$B$1128,1,FALSE)</f>
        <v>Saint-Jérôme</v>
      </c>
      <c r="Q641" s="9" t="str">
        <f>IFERROR($P641,PROPER(VLOOKUP($O641,'Villes en erreur'!$A$2:$B$72,2,FALSE)))</f>
        <v>Saint-Jérôme</v>
      </c>
      <c r="R641" s="9" t="s">
        <v>3186</v>
      </c>
      <c r="S641" s="9" t="str">
        <f>IF(ISBLANK($R641),"",VLOOKUP($R641,'Liste des Villes'!$B$2:$H$1128,4,FALSE))</f>
        <v>Laurentides</v>
      </c>
      <c r="T641" s="2" t="s">
        <v>3827</v>
      </c>
      <c r="U641" s="2" t="s">
        <v>39</v>
      </c>
      <c r="V641" s="2" t="s">
        <v>40</v>
      </c>
      <c r="W641" s="2" t="s">
        <v>3828</v>
      </c>
      <c r="X641" s="2"/>
      <c r="Y641" s="2"/>
      <c r="Z641" s="2"/>
      <c r="AA641" s="2" t="s">
        <v>3189</v>
      </c>
      <c r="AB641" s="2" t="s">
        <v>3200</v>
      </c>
      <c r="AC641" s="4" t="s">
        <v>44</v>
      </c>
    </row>
    <row r="642" spans="1:29" x14ac:dyDescent="0.25">
      <c r="A642" s="1">
        <v>3206</v>
      </c>
      <c r="B642" s="17" t="s">
        <v>3829</v>
      </c>
      <c r="C642" s="2" t="s">
        <v>3830</v>
      </c>
      <c r="D642" s="15" t="s">
        <v>3831</v>
      </c>
      <c r="E642" s="9" t="s">
        <v>114</v>
      </c>
      <c r="F642" s="9" t="s">
        <v>3832</v>
      </c>
      <c r="G642" s="9" t="s">
        <v>186</v>
      </c>
      <c r="H642" s="2" t="s">
        <v>60</v>
      </c>
      <c r="I642" s="3">
        <v>34797</v>
      </c>
      <c r="J642" s="9" t="str">
        <f t="shared" ref="J642:J705" ca="1" si="12">_xlfn.CONCAT(INT((TODAY()-$I642)/365.25)," ans")</f>
        <v>28 ans</v>
      </c>
      <c r="K642" s="2" t="s">
        <v>36</v>
      </c>
      <c r="L642" s="2" t="str">
        <f>"77"</f>
        <v>77</v>
      </c>
      <c r="M642" s="2"/>
      <c r="N642" s="2" t="str">
        <f>"CH DES COLIBRIS"</f>
        <v>CH DES COLIBRIS</v>
      </c>
      <c r="O642" s="2" t="s">
        <v>3185</v>
      </c>
      <c r="P642" s="9" t="str">
        <f>VLOOKUP($O642,'Liste des Villes'!$B$2:$B$1128,1,FALSE)</f>
        <v>Saint-Jérôme</v>
      </c>
      <c r="Q642" s="9" t="str">
        <f>IFERROR($P642,PROPER(VLOOKUP($O642,'Villes en erreur'!$A$2:$B$72,2,FALSE)))</f>
        <v>Saint-Jérôme</v>
      </c>
      <c r="R642" s="9" t="s">
        <v>3186</v>
      </c>
      <c r="S642" s="9" t="str">
        <f>IF(ISBLANK($R642),"",VLOOKUP($R642,'Liste des Villes'!$B$2:$H$1128,4,FALSE))</f>
        <v>Laurentides</v>
      </c>
      <c r="T642" s="2" t="s">
        <v>3187</v>
      </c>
      <c r="U642" s="2" t="s">
        <v>39</v>
      </c>
      <c r="V642" s="2" t="s">
        <v>40</v>
      </c>
      <c r="W642" s="2" t="s">
        <v>3833</v>
      </c>
      <c r="X642" s="2"/>
      <c r="Y642" s="2"/>
      <c r="Z642" s="2"/>
      <c r="AA642" s="2" t="s">
        <v>3225</v>
      </c>
      <c r="AB642" s="2" t="s">
        <v>53</v>
      </c>
      <c r="AC642" s="4" t="s">
        <v>44</v>
      </c>
    </row>
    <row r="643" spans="1:29" x14ac:dyDescent="0.25">
      <c r="A643" s="1">
        <v>1599</v>
      </c>
      <c r="B643" s="17" t="s">
        <v>3834</v>
      </c>
      <c r="C643" s="2" t="s">
        <v>3835</v>
      </c>
      <c r="D643" s="15" t="s">
        <v>1031</v>
      </c>
      <c r="E643" s="9" t="s">
        <v>1397</v>
      </c>
      <c r="F643" s="9" t="s">
        <v>1030</v>
      </c>
      <c r="G643" s="9" t="s">
        <v>3218</v>
      </c>
      <c r="H643" s="2" t="s">
        <v>60</v>
      </c>
      <c r="I643" s="3">
        <v>34304</v>
      </c>
      <c r="J643" s="9" t="str">
        <f t="shared" ca="1" si="12"/>
        <v>29 ans</v>
      </c>
      <c r="K643" s="2" t="s">
        <v>36</v>
      </c>
      <c r="L643" s="2" t="str">
        <f>"51"</f>
        <v>51</v>
      </c>
      <c r="M643" s="2"/>
      <c r="N643" s="2" t="str">
        <f>"BOULEVARD JÉROBELLE"</f>
        <v>BOULEVARD JÉROBELLE</v>
      </c>
      <c r="O643" s="2" t="s">
        <v>3185</v>
      </c>
      <c r="P643" s="9" t="str">
        <f>VLOOKUP($O643,'Liste des Villes'!$B$2:$B$1128,1,FALSE)</f>
        <v>Saint-Jérôme</v>
      </c>
      <c r="Q643" s="9" t="str">
        <f>IFERROR($P643,PROPER(VLOOKUP($O643,'Villes en erreur'!$A$2:$B$72,2,FALSE)))</f>
        <v>Saint-Jérôme</v>
      </c>
      <c r="R643" s="9" t="s">
        <v>3186</v>
      </c>
      <c r="S643" s="9" t="str">
        <f>IF(ISBLANK($R643),"",VLOOKUP($R643,'Liste des Villes'!$B$2:$H$1128,4,FALSE))</f>
        <v>Laurentides</v>
      </c>
      <c r="T643" s="2" t="s">
        <v>3520</v>
      </c>
      <c r="U643" s="2" t="s">
        <v>39</v>
      </c>
      <c r="V643" s="2" t="s">
        <v>40</v>
      </c>
      <c r="W643" s="2" t="s">
        <v>3836</v>
      </c>
      <c r="X643" s="2"/>
      <c r="Y643" s="2"/>
      <c r="Z643" s="2"/>
      <c r="AA643" s="2" t="s">
        <v>3360</v>
      </c>
      <c r="AB643" s="2" t="s">
        <v>53</v>
      </c>
      <c r="AC643" s="4" t="s">
        <v>44</v>
      </c>
    </row>
    <row r="644" spans="1:29" x14ac:dyDescent="0.25">
      <c r="A644" s="1">
        <v>3196</v>
      </c>
      <c r="B644" s="17" t="s">
        <v>3837</v>
      </c>
      <c r="C644" s="2" t="s">
        <v>786</v>
      </c>
      <c r="D644" s="15" t="s">
        <v>750</v>
      </c>
      <c r="E644" s="9" t="s">
        <v>787</v>
      </c>
      <c r="F644" s="9" t="s">
        <v>3838</v>
      </c>
      <c r="G644" s="9" t="s">
        <v>1560</v>
      </c>
      <c r="H644" s="2" t="s">
        <v>35</v>
      </c>
      <c r="I644" s="3">
        <v>35628</v>
      </c>
      <c r="J644" s="9" t="str">
        <f t="shared" ca="1" si="12"/>
        <v>26 ans</v>
      </c>
      <c r="K644" s="2" t="s">
        <v>36</v>
      </c>
      <c r="L644" s="2" t="str">
        <f>"130"</f>
        <v>130</v>
      </c>
      <c r="M644" s="2"/>
      <c r="N644" s="2" t="str">
        <f>"DE LA VOIE-DU-BOIS"</f>
        <v>DE LA VOIE-DU-BOIS</v>
      </c>
      <c r="O644" s="2" t="s">
        <v>3185</v>
      </c>
      <c r="P644" s="9" t="str">
        <f>VLOOKUP($O644,'Liste des Villes'!$B$2:$B$1128,1,FALSE)</f>
        <v>Saint-Jérôme</v>
      </c>
      <c r="Q644" s="9" t="str">
        <f>IFERROR($P644,PROPER(VLOOKUP($O644,'Villes en erreur'!$A$2:$B$72,2,FALSE)))</f>
        <v>Saint-Jérôme</v>
      </c>
      <c r="R644" s="9" t="s">
        <v>3186</v>
      </c>
      <c r="S644" s="9" t="str">
        <f>IF(ISBLANK($R644),"",VLOOKUP($R644,'Liste des Villes'!$B$2:$H$1128,4,FALSE))</f>
        <v>Laurentides</v>
      </c>
      <c r="T644" s="2" t="s">
        <v>3839</v>
      </c>
      <c r="U644" s="2" t="s">
        <v>39</v>
      </c>
      <c r="V644" s="2" t="s">
        <v>40</v>
      </c>
      <c r="W644" s="2" t="s">
        <v>3840</v>
      </c>
      <c r="X644" s="2"/>
      <c r="Y644" s="2"/>
      <c r="Z644" s="2"/>
      <c r="AA644" s="2" t="s">
        <v>3243</v>
      </c>
      <c r="AB644" s="2" t="s">
        <v>3221</v>
      </c>
      <c r="AC644" s="4" t="s">
        <v>44</v>
      </c>
    </row>
    <row r="645" spans="1:29" x14ac:dyDescent="0.25">
      <c r="A645" s="1">
        <v>4347</v>
      </c>
      <c r="B645" s="17" t="s">
        <v>3841</v>
      </c>
      <c r="C645" s="2" t="s">
        <v>3842</v>
      </c>
      <c r="D645" s="15" t="s">
        <v>31</v>
      </c>
      <c r="E645" s="9" t="s">
        <v>2635</v>
      </c>
      <c r="F645" s="9" t="s">
        <v>3843</v>
      </c>
      <c r="G645" s="9" t="s">
        <v>3844</v>
      </c>
      <c r="H645" s="2" t="s">
        <v>35</v>
      </c>
      <c r="I645" s="3">
        <v>35874</v>
      </c>
      <c r="J645" s="9" t="str">
        <f t="shared" ca="1" si="12"/>
        <v>25 ans</v>
      </c>
      <c r="K645" s="2" t="s">
        <v>123</v>
      </c>
      <c r="L645" s="2" t="str">
        <f>"153"</f>
        <v>153</v>
      </c>
      <c r="M645" s="2"/>
      <c r="N645" s="2" t="str">
        <f>"Maria"</f>
        <v>Maria</v>
      </c>
      <c r="O645" s="2" t="s">
        <v>3185</v>
      </c>
      <c r="P645" s="9" t="str">
        <f>VLOOKUP($O645,'Liste des Villes'!$B$2:$B$1128,1,FALSE)</f>
        <v>Saint-Jérôme</v>
      </c>
      <c r="Q645" s="9" t="str">
        <f>IFERROR($P645,PROPER(VLOOKUP($O645,'Villes en erreur'!$A$2:$B$72,2,FALSE)))</f>
        <v>Saint-Jérôme</v>
      </c>
      <c r="R645" s="9" t="s">
        <v>3186</v>
      </c>
      <c r="S645" s="9" t="str">
        <f>IF(ISBLANK($R645),"",VLOOKUP($R645,'Liste des Villes'!$B$2:$H$1128,4,FALSE))</f>
        <v>Laurentides</v>
      </c>
      <c r="T645" s="2" t="s">
        <v>3845</v>
      </c>
      <c r="U645" s="2" t="s">
        <v>39</v>
      </c>
      <c r="V645" s="2" t="s">
        <v>40</v>
      </c>
      <c r="W645" s="2" t="s">
        <v>3846</v>
      </c>
      <c r="X645" s="2"/>
      <c r="Y645" s="2"/>
      <c r="Z645" s="2"/>
      <c r="AA645" s="2" t="s">
        <v>3243</v>
      </c>
      <c r="AB645" s="2" t="s">
        <v>3221</v>
      </c>
      <c r="AC645" s="4" t="s">
        <v>44</v>
      </c>
    </row>
    <row r="646" spans="1:29" x14ac:dyDescent="0.25">
      <c r="A646" s="1">
        <v>2238</v>
      </c>
      <c r="B646" s="17" t="s">
        <v>3847</v>
      </c>
      <c r="C646" s="2" t="s">
        <v>3848</v>
      </c>
      <c r="D646" s="15" t="s">
        <v>839</v>
      </c>
      <c r="E646" s="9" t="s">
        <v>3849</v>
      </c>
      <c r="F646" s="9" t="s">
        <v>1076</v>
      </c>
      <c r="G646" s="9" t="s">
        <v>332</v>
      </c>
      <c r="H646" s="2" t="s">
        <v>60</v>
      </c>
      <c r="I646" s="3">
        <v>35564</v>
      </c>
      <c r="J646" s="9" t="str">
        <f t="shared" ca="1" si="12"/>
        <v>26 ans</v>
      </c>
      <c r="K646" s="2" t="s">
        <v>36</v>
      </c>
      <c r="L646" s="2" t="str">
        <f>"125"</f>
        <v>125</v>
      </c>
      <c r="M646" s="2"/>
      <c r="N646" s="2" t="str">
        <f>"CROIS DU DOMAINE-NAMUR"</f>
        <v>CROIS DU DOMAINE-NAMUR</v>
      </c>
      <c r="O646" s="2" t="s">
        <v>3185</v>
      </c>
      <c r="P646" s="9" t="str">
        <f>VLOOKUP($O646,'Liste des Villes'!$B$2:$B$1128,1,FALSE)</f>
        <v>Saint-Jérôme</v>
      </c>
      <c r="Q646" s="9" t="str">
        <f>IFERROR($P646,PROPER(VLOOKUP($O646,'Villes en erreur'!$A$2:$B$72,2,FALSE)))</f>
        <v>Saint-Jérôme</v>
      </c>
      <c r="R646" s="9" t="s">
        <v>3186</v>
      </c>
      <c r="S646" s="9" t="str">
        <f>IF(ISBLANK($R646),"",VLOOKUP($R646,'Liste des Villes'!$B$2:$H$1128,4,FALSE))</f>
        <v>Laurentides</v>
      </c>
      <c r="T646" s="2" t="s">
        <v>3740</v>
      </c>
      <c r="U646" s="2" t="s">
        <v>39</v>
      </c>
      <c r="V646" s="2" t="s">
        <v>40</v>
      </c>
      <c r="W646" s="2" t="s">
        <v>3850</v>
      </c>
      <c r="X646" s="2"/>
      <c r="Y646" s="2"/>
      <c r="Z646" s="2"/>
      <c r="AA646" s="2" t="s">
        <v>3199</v>
      </c>
      <c r="AB646" s="2" t="s">
        <v>3221</v>
      </c>
      <c r="AC646" s="4" t="s">
        <v>44</v>
      </c>
    </row>
    <row r="647" spans="1:29" x14ac:dyDescent="0.25">
      <c r="A647" s="1">
        <v>2597</v>
      </c>
      <c r="B647" s="17" t="s">
        <v>3851</v>
      </c>
      <c r="C647" s="2" t="s">
        <v>3852</v>
      </c>
      <c r="D647" s="15" t="s">
        <v>3853</v>
      </c>
      <c r="E647" s="9" t="s">
        <v>253</v>
      </c>
      <c r="F647" s="9" t="s">
        <v>726</v>
      </c>
      <c r="G647" s="9" t="s">
        <v>2897</v>
      </c>
      <c r="H647" s="2" t="s">
        <v>35</v>
      </c>
      <c r="I647" s="3">
        <v>35068</v>
      </c>
      <c r="J647" s="9" t="str">
        <f t="shared" ca="1" si="12"/>
        <v>27 ans</v>
      </c>
      <c r="K647" s="2" t="s">
        <v>36</v>
      </c>
      <c r="L647" s="2" t="str">
        <f>"100"</f>
        <v>100</v>
      </c>
      <c r="M647" s="2"/>
      <c r="N647" s="2" t="str">
        <f>"CH DU VIEUX-5E-RANG"</f>
        <v>CH DU VIEUX-5E-RANG</v>
      </c>
      <c r="O647" s="2" t="s">
        <v>3185</v>
      </c>
      <c r="P647" s="9" t="str">
        <f>VLOOKUP($O647,'Liste des Villes'!$B$2:$B$1128,1,FALSE)</f>
        <v>Saint-Jérôme</v>
      </c>
      <c r="Q647" s="9" t="str">
        <f>IFERROR($P647,PROPER(VLOOKUP($O647,'Villes en erreur'!$A$2:$B$72,2,FALSE)))</f>
        <v>Saint-Jérôme</v>
      </c>
      <c r="R647" s="9" t="s">
        <v>3186</v>
      </c>
      <c r="S647" s="9" t="str">
        <f>IF(ISBLANK($R647),"",VLOOKUP($R647,'Liste des Villes'!$B$2:$H$1128,4,FALSE))</f>
        <v>Laurentides</v>
      </c>
      <c r="T647" s="2" t="s">
        <v>3187</v>
      </c>
      <c r="U647" s="2" t="s">
        <v>39</v>
      </c>
      <c r="V647" s="2" t="s">
        <v>40</v>
      </c>
      <c r="W647" s="2" t="s">
        <v>3854</v>
      </c>
      <c r="X647" s="2"/>
      <c r="Y647" s="2"/>
      <c r="Z647" s="2"/>
      <c r="AA647" s="2" t="s">
        <v>3189</v>
      </c>
      <c r="AB647" s="2" t="s">
        <v>3190</v>
      </c>
      <c r="AC647" s="4" t="s">
        <v>44</v>
      </c>
    </row>
    <row r="648" spans="1:29" x14ac:dyDescent="0.25">
      <c r="A648" s="1">
        <v>2248</v>
      </c>
      <c r="B648" s="17" t="s">
        <v>3855</v>
      </c>
      <c r="C648" s="2" t="s">
        <v>3856</v>
      </c>
      <c r="D648" s="15" t="s">
        <v>675</v>
      </c>
      <c r="E648" s="9" t="s">
        <v>2227</v>
      </c>
      <c r="F648" s="9" t="s">
        <v>2380</v>
      </c>
      <c r="G648" s="9" t="s">
        <v>1024</v>
      </c>
      <c r="H648" s="2" t="s">
        <v>35</v>
      </c>
      <c r="I648" s="3">
        <v>36178</v>
      </c>
      <c r="J648" s="9" t="str">
        <f t="shared" ca="1" si="12"/>
        <v>24 ans</v>
      </c>
      <c r="K648" s="2" t="s">
        <v>123</v>
      </c>
      <c r="L648" s="2" t="str">
        <f>"234"</f>
        <v>234</v>
      </c>
      <c r="M648" s="2"/>
      <c r="N648" s="2" t="str">
        <f>"RUE ANDRÉ-RICHARD"</f>
        <v>RUE ANDRÉ-RICHARD</v>
      </c>
      <c r="O648" s="2" t="s">
        <v>3185</v>
      </c>
      <c r="P648" s="9" t="str">
        <f>VLOOKUP($O648,'Liste des Villes'!$B$2:$B$1128,1,FALSE)</f>
        <v>Saint-Jérôme</v>
      </c>
      <c r="Q648" s="9" t="str">
        <f>IFERROR($P648,PROPER(VLOOKUP($O648,'Villes en erreur'!$A$2:$B$72,2,FALSE)))</f>
        <v>Saint-Jérôme</v>
      </c>
      <c r="R648" s="9" t="s">
        <v>3186</v>
      </c>
      <c r="S648" s="9" t="str">
        <f>IF(ISBLANK($R648),"",VLOOKUP($R648,'Liste des Villes'!$B$2:$H$1128,4,FALSE))</f>
        <v>Laurentides</v>
      </c>
      <c r="T648" s="2" t="s">
        <v>3857</v>
      </c>
      <c r="U648" s="2" t="s">
        <v>39</v>
      </c>
      <c r="V648" s="2" t="s">
        <v>40</v>
      </c>
      <c r="W648" s="2" t="s">
        <v>3858</v>
      </c>
      <c r="X648" s="2"/>
      <c r="Y648" s="2"/>
      <c r="Z648" s="2"/>
      <c r="AA648" s="2" t="s">
        <v>832</v>
      </c>
      <c r="AB648" s="2" t="s">
        <v>3221</v>
      </c>
      <c r="AC648" s="4" t="s">
        <v>44</v>
      </c>
    </row>
    <row r="649" spans="1:29" x14ac:dyDescent="0.25">
      <c r="A649" s="1">
        <v>658</v>
      </c>
      <c r="B649" s="17" t="s">
        <v>3859</v>
      </c>
      <c r="C649" s="2" t="s">
        <v>3860</v>
      </c>
      <c r="D649" s="15" t="s">
        <v>3861</v>
      </c>
      <c r="E649" s="9" t="s">
        <v>1410</v>
      </c>
      <c r="F649" s="9" t="s">
        <v>3089</v>
      </c>
      <c r="G649" s="9" t="s">
        <v>186</v>
      </c>
      <c r="H649" s="2" t="s">
        <v>60</v>
      </c>
      <c r="I649" s="3">
        <v>34812</v>
      </c>
      <c r="J649" s="9" t="str">
        <f t="shared" ca="1" si="12"/>
        <v>28 ans</v>
      </c>
      <c r="K649" s="2" t="s">
        <v>36</v>
      </c>
      <c r="L649" s="2" t="str">
        <f>"79"</f>
        <v>79</v>
      </c>
      <c r="M649" s="2"/>
      <c r="N649" s="2" t="str">
        <f>"CH DES CYR"</f>
        <v>CH DES CYR</v>
      </c>
      <c r="O649" s="2" t="s">
        <v>3185</v>
      </c>
      <c r="P649" s="9" t="str">
        <f>VLOOKUP($O649,'Liste des Villes'!$B$2:$B$1128,1,FALSE)</f>
        <v>Saint-Jérôme</v>
      </c>
      <c r="Q649" s="9" t="str">
        <f>IFERROR($P649,PROPER(VLOOKUP($O649,'Villes en erreur'!$A$2:$B$72,2,FALSE)))</f>
        <v>Saint-Jérôme</v>
      </c>
      <c r="R649" s="9" t="s">
        <v>3186</v>
      </c>
      <c r="S649" s="9" t="str">
        <f>IF(ISBLANK($R649),"",VLOOKUP($R649,'Liste des Villes'!$B$2:$H$1128,4,FALSE))</f>
        <v>Laurentides</v>
      </c>
      <c r="T649" s="2" t="s">
        <v>3187</v>
      </c>
      <c r="U649" s="2" t="s">
        <v>39</v>
      </c>
      <c r="V649" s="2" t="s">
        <v>40</v>
      </c>
      <c r="W649" s="2" t="s">
        <v>3862</v>
      </c>
      <c r="X649" s="2"/>
      <c r="Y649" s="2"/>
      <c r="Z649" s="2"/>
      <c r="AA649" s="2" t="s">
        <v>3225</v>
      </c>
      <c r="AB649" s="2" t="s">
        <v>53</v>
      </c>
      <c r="AC649" s="4" t="s">
        <v>44</v>
      </c>
    </row>
    <row r="650" spans="1:29" x14ac:dyDescent="0.25">
      <c r="A650" s="1">
        <v>2520</v>
      </c>
      <c r="B650" s="17" t="s">
        <v>3863</v>
      </c>
      <c r="C650" s="2" t="s">
        <v>1842</v>
      </c>
      <c r="D650" s="15" t="s">
        <v>1843</v>
      </c>
      <c r="E650" s="9" t="s">
        <v>1844</v>
      </c>
      <c r="F650" s="9" t="s">
        <v>1845</v>
      </c>
      <c r="G650" s="9" t="s">
        <v>2334</v>
      </c>
      <c r="H650" s="2" t="s">
        <v>60</v>
      </c>
      <c r="I650" s="3">
        <v>35955</v>
      </c>
      <c r="J650" s="9" t="str">
        <f t="shared" ca="1" si="12"/>
        <v>25 ans</v>
      </c>
      <c r="K650" s="2" t="s">
        <v>123</v>
      </c>
      <c r="L650" s="2" t="str">
        <f>"169"</f>
        <v>169</v>
      </c>
      <c r="M650" s="2"/>
      <c r="N650" s="2" t="str">
        <f>"MONTEE SAUVAGE"</f>
        <v>MONTEE SAUVAGE</v>
      </c>
      <c r="O650" s="2" t="s">
        <v>3186</v>
      </c>
      <c r="P650" s="9" t="str">
        <f>VLOOKUP($O650,'Liste des Villes'!$B$2:$B$1128,1,FALSE)</f>
        <v>Saint-Jérôme</v>
      </c>
      <c r="Q650" s="9" t="str">
        <f>IFERROR($P650,PROPER(VLOOKUP($O650,'Villes en erreur'!$A$2:$B$72,2,FALSE)))</f>
        <v>Saint-Jérôme</v>
      </c>
      <c r="R650" s="9" t="s">
        <v>3186</v>
      </c>
      <c r="S650" s="9" t="str">
        <f>IF(ISBLANK($R650),"",VLOOKUP($R650,'Liste des Villes'!$B$2:$H$1128,4,FALSE))</f>
        <v>Laurentides</v>
      </c>
      <c r="T650" s="2" t="s">
        <v>3864</v>
      </c>
      <c r="U650" s="2" t="s">
        <v>39</v>
      </c>
      <c r="V650" s="2" t="s">
        <v>40</v>
      </c>
      <c r="W650" s="2" t="s">
        <v>3865</v>
      </c>
      <c r="X650" s="2"/>
      <c r="Y650" s="2"/>
      <c r="Z650" s="2"/>
      <c r="AA650" s="2" t="s">
        <v>832</v>
      </c>
      <c r="AB650" s="2" t="s">
        <v>3221</v>
      </c>
      <c r="AC650" s="4" t="s">
        <v>44</v>
      </c>
    </row>
    <row r="651" spans="1:29" x14ac:dyDescent="0.25">
      <c r="A651" s="1">
        <v>3213</v>
      </c>
      <c r="B651" s="17" t="s">
        <v>3866</v>
      </c>
      <c r="C651" s="2" t="s">
        <v>3867</v>
      </c>
      <c r="D651" s="15" t="s">
        <v>1716</v>
      </c>
      <c r="E651" s="9" t="s">
        <v>3868</v>
      </c>
      <c r="F651" s="9" t="s">
        <v>3869</v>
      </c>
      <c r="G651" s="9" t="s">
        <v>3870</v>
      </c>
      <c r="H651" s="2" t="s">
        <v>60</v>
      </c>
      <c r="I651" s="3">
        <v>35292</v>
      </c>
      <c r="J651" s="9" t="str">
        <f t="shared" ca="1" si="12"/>
        <v>27 ans</v>
      </c>
      <c r="K651" s="2" t="s">
        <v>36</v>
      </c>
      <c r="L651" s="2" t="str">
        <f>"108"</f>
        <v>108</v>
      </c>
      <c r="M651" s="2"/>
      <c r="N651" s="2" t="str">
        <f>"CHEMIN DE L'AQUARELLE"</f>
        <v>CHEMIN DE L'AQUARELLE</v>
      </c>
      <c r="O651" s="2" t="s">
        <v>3185</v>
      </c>
      <c r="P651" s="9" t="str">
        <f>VLOOKUP($O651,'Liste des Villes'!$B$2:$B$1128,1,FALSE)</f>
        <v>Saint-Jérôme</v>
      </c>
      <c r="Q651" s="9" t="str">
        <f>IFERROR($P651,PROPER(VLOOKUP($O651,'Villes en erreur'!$A$2:$B$72,2,FALSE)))</f>
        <v>Saint-Jérôme</v>
      </c>
      <c r="R651" s="9" t="s">
        <v>3186</v>
      </c>
      <c r="S651" s="9" t="str">
        <f>IF(ISBLANK($R651),"",VLOOKUP($R651,'Liste des Villes'!$B$2:$H$1128,4,FALSE))</f>
        <v>Laurentides</v>
      </c>
      <c r="T651" s="2" t="s">
        <v>3684</v>
      </c>
      <c r="U651" s="2" t="s">
        <v>39</v>
      </c>
      <c r="V651" s="2" t="s">
        <v>40</v>
      </c>
      <c r="W651" s="2" t="s">
        <v>3871</v>
      </c>
      <c r="X651" s="2"/>
      <c r="Y651" s="2"/>
      <c r="Z651" s="2"/>
      <c r="AA651" s="2" t="s">
        <v>3189</v>
      </c>
      <c r="AB651" s="2" t="s">
        <v>3190</v>
      </c>
      <c r="AC651" s="4" t="s">
        <v>44</v>
      </c>
    </row>
    <row r="652" spans="1:29" x14ac:dyDescent="0.25">
      <c r="A652" s="1">
        <v>689</v>
      </c>
      <c r="B652" s="17" t="s">
        <v>3872</v>
      </c>
      <c r="C652" s="2" t="s">
        <v>3873</v>
      </c>
      <c r="D652" s="15" t="s">
        <v>3874</v>
      </c>
      <c r="E652" s="9" t="s">
        <v>899</v>
      </c>
      <c r="F652" s="9" t="s">
        <v>3772</v>
      </c>
      <c r="G652" s="9" t="s">
        <v>851</v>
      </c>
      <c r="H652" s="2" t="s">
        <v>35</v>
      </c>
      <c r="I652" s="3">
        <v>36158</v>
      </c>
      <c r="J652" s="9" t="str">
        <f t="shared" ca="1" si="12"/>
        <v>24 ans</v>
      </c>
      <c r="K652" s="2" t="s">
        <v>123</v>
      </c>
      <c r="L652" s="2" t="str">
        <f>"223"</f>
        <v>223</v>
      </c>
      <c r="M652" s="2"/>
      <c r="N652" s="2" t="str">
        <f>"RUE ALEXANDRE"</f>
        <v>RUE ALEXANDRE</v>
      </c>
      <c r="O652" s="2" t="s">
        <v>3185</v>
      </c>
      <c r="P652" s="9" t="str">
        <f>VLOOKUP($O652,'Liste des Villes'!$B$2:$B$1128,1,FALSE)</f>
        <v>Saint-Jérôme</v>
      </c>
      <c r="Q652" s="9" t="str">
        <f>IFERROR($P652,PROPER(VLOOKUP($O652,'Villes en erreur'!$A$2:$B$72,2,FALSE)))</f>
        <v>Saint-Jérôme</v>
      </c>
      <c r="R652" s="9" t="s">
        <v>3186</v>
      </c>
      <c r="S652" s="9" t="str">
        <f>IF(ISBLANK($R652),"",VLOOKUP($R652,'Liste des Villes'!$B$2:$H$1128,4,FALSE))</f>
        <v>Laurentides</v>
      </c>
      <c r="T652" s="2" t="s">
        <v>3314</v>
      </c>
      <c r="U652" s="2" t="s">
        <v>39</v>
      </c>
      <c r="V652" s="2" t="s">
        <v>40</v>
      </c>
      <c r="W652" s="2" t="s">
        <v>3875</v>
      </c>
      <c r="X652" s="2"/>
      <c r="Y652" s="2"/>
      <c r="Z652" s="2"/>
      <c r="AA652" s="2" t="s">
        <v>832</v>
      </c>
      <c r="AB652" s="2" t="s">
        <v>3221</v>
      </c>
      <c r="AC652" s="4" t="s">
        <v>44</v>
      </c>
    </row>
    <row r="653" spans="1:29" x14ac:dyDescent="0.25">
      <c r="A653" s="1">
        <v>775</v>
      </c>
      <c r="B653" s="17" t="s">
        <v>3876</v>
      </c>
      <c r="C653" s="2" t="s">
        <v>1733</v>
      </c>
      <c r="D653" s="15" t="s">
        <v>100</v>
      </c>
      <c r="E653" s="9" t="s">
        <v>122</v>
      </c>
      <c r="F653" s="9" t="s">
        <v>3877</v>
      </c>
      <c r="G653" s="9" t="s">
        <v>2635</v>
      </c>
      <c r="H653" s="2" t="s">
        <v>60</v>
      </c>
      <c r="I653" s="3">
        <v>35783</v>
      </c>
      <c r="J653" s="9" t="str">
        <f t="shared" ca="1" si="12"/>
        <v>25 ans</v>
      </c>
      <c r="K653" s="2" t="s">
        <v>123</v>
      </c>
      <c r="L653" s="2" t="str">
        <f>"142"</f>
        <v>142</v>
      </c>
      <c r="M653" s="2"/>
      <c r="N653" s="2" t="str">
        <f>"GRANDE ALLÉE"</f>
        <v>GRANDE ALLÉE</v>
      </c>
      <c r="O653" s="2" t="s">
        <v>3185</v>
      </c>
      <c r="P653" s="9" t="str">
        <f>VLOOKUP($O653,'Liste des Villes'!$B$2:$B$1128,1,FALSE)</f>
        <v>Saint-Jérôme</v>
      </c>
      <c r="Q653" s="9" t="str">
        <f>IFERROR($P653,PROPER(VLOOKUP($O653,'Villes en erreur'!$A$2:$B$72,2,FALSE)))</f>
        <v>Saint-Jérôme</v>
      </c>
      <c r="R653" s="9" t="s">
        <v>3186</v>
      </c>
      <c r="S653" s="9" t="str">
        <f>IF(ISBLANK($R653),"",VLOOKUP($R653,'Liste des Villes'!$B$2:$H$1128,4,FALSE))</f>
        <v>Laurentides</v>
      </c>
      <c r="T653" s="2" t="s">
        <v>3878</v>
      </c>
      <c r="U653" s="2" t="s">
        <v>39</v>
      </c>
      <c r="V653" s="2" t="s">
        <v>40</v>
      </c>
      <c r="W653" s="2" t="s">
        <v>3879</v>
      </c>
      <c r="X653" s="2"/>
      <c r="Y653" s="2"/>
      <c r="Z653" s="2"/>
      <c r="AA653" s="2" t="s">
        <v>3243</v>
      </c>
      <c r="AB653" s="2" t="s">
        <v>3221</v>
      </c>
      <c r="AC653" s="4" t="s">
        <v>44</v>
      </c>
    </row>
    <row r="654" spans="1:29" x14ac:dyDescent="0.25">
      <c r="A654" s="1">
        <v>3361</v>
      </c>
      <c r="B654" s="17" t="s">
        <v>3880</v>
      </c>
      <c r="C654" s="2" t="s">
        <v>3881</v>
      </c>
      <c r="D654" s="15" t="s">
        <v>3882</v>
      </c>
      <c r="E654" s="9" t="s">
        <v>821</v>
      </c>
      <c r="F654" s="9" t="s">
        <v>3883</v>
      </c>
      <c r="G654" s="9" t="s">
        <v>3274</v>
      </c>
      <c r="H654" s="2" t="s">
        <v>35</v>
      </c>
      <c r="I654" s="3">
        <v>35138</v>
      </c>
      <c r="J654" s="9" t="str">
        <f t="shared" ca="1" si="12"/>
        <v>27 ans</v>
      </c>
      <c r="K654" s="2" t="s">
        <v>36</v>
      </c>
      <c r="L654" s="2" t="str">
        <f>"102"</f>
        <v>102</v>
      </c>
      <c r="M654" s="2"/>
      <c r="N654" s="2" t="str">
        <f>"CH PRINCIPAL"</f>
        <v>CH PRINCIPAL</v>
      </c>
      <c r="O654" s="2" t="s">
        <v>3185</v>
      </c>
      <c r="P654" s="9" t="str">
        <f>VLOOKUP($O654,'Liste des Villes'!$B$2:$B$1128,1,FALSE)</f>
        <v>Saint-Jérôme</v>
      </c>
      <c r="Q654" s="9" t="str">
        <f>IFERROR($P654,PROPER(VLOOKUP($O654,'Villes en erreur'!$A$2:$B$72,2,FALSE)))</f>
        <v>Saint-Jérôme</v>
      </c>
      <c r="R654" s="9" t="s">
        <v>3186</v>
      </c>
      <c r="S654" s="9" t="str">
        <f>IF(ISBLANK($R654),"",VLOOKUP($R654,'Liste des Villes'!$B$2:$H$1128,4,FALSE))</f>
        <v>Laurentides</v>
      </c>
      <c r="T654" s="2" t="s">
        <v>3187</v>
      </c>
      <c r="U654" s="2" t="s">
        <v>39</v>
      </c>
      <c r="V654" s="2" t="s">
        <v>40</v>
      </c>
      <c r="W654" s="2" t="s">
        <v>3884</v>
      </c>
      <c r="X654" s="2"/>
      <c r="Y654" s="2"/>
      <c r="Z654" s="2"/>
      <c r="AA654" s="2" t="s">
        <v>3189</v>
      </c>
      <c r="AB654" s="2" t="s">
        <v>3190</v>
      </c>
      <c r="AC654" s="4" t="s">
        <v>44</v>
      </c>
    </row>
    <row r="655" spans="1:29" x14ac:dyDescent="0.25">
      <c r="A655" s="1">
        <v>82</v>
      </c>
      <c r="B655" s="17" t="s">
        <v>3885</v>
      </c>
      <c r="C655" s="2" t="s">
        <v>1408</v>
      </c>
      <c r="D655" s="15" t="s">
        <v>1409</v>
      </c>
      <c r="E655" s="9" t="s">
        <v>1410</v>
      </c>
      <c r="F655" s="9" t="s">
        <v>1523</v>
      </c>
      <c r="G655" s="9" t="s">
        <v>3886</v>
      </c>
      <c r="H655" s="2" t="s">
        <v>35</v>
      </c>
      <c r="I655" s="3">
        <v>35672</v>
      </c>
      <c r="J655" s="9" t="str">
        <f t="shared" ca="1" si="12"/>
        <v>25 ans</v>
      </c>
      <c r="K655" s="2" t="s">
        <v>123</v>
      </c>
      <c r="L655" s="2" t="str">
        <f>"133"</f>
        <v>133</v>
      </c>
      <c r="M655" s="2"/>
      <c r="N655" s="2" t="str">
        <f>"DES ARTISANS"</f>
        <v>DES ARTISANS</v>
      </c>
      <c r="O655" s="2" t="s">
        <v>3185</v>
      </c>
      <c r="P655" s="9" t="str">
        <f>VLOOKUP($O655,'Liste des Villes'!$B$2:$B$1128,1,FALSE)</f>
        <v>Saint-Jérôme</v>
      </c>
      <c r="Q655" s="9" t="str">
        <f>IFERROR($P655,PROPER(VLOOKUP($O655,'Villes en erreur'!$A$2:$B$72,2,FALSE)))</f>
        <v>Saint-Jérôme</v>
      </c>
      <c r="R655" s="9" t="s">
        <v>3186</v>
      </c>
      <c r="S655" s="9" t="str">
        <f>IF(ISBLANK($R655),"",VLOOKUP($R655,'Liste des Villes'!$B$2:$H$1128,4,FALSE))</f>
        <v>Laurentides</v>
      </c>
      <c r="T655" s="2" t="s">
        <v>3887</v>
      </c>
      <c r="U655" s="2" t="s">
        <v>39</v>
      </c>
      <c r="V655" s="2" t="s">
        <v>40</v>
      </c>
      <c r="W655" s="2" t="s">
        <v>3888</v>
      </c>
      <c r="X655" s="2"/>
      <c r="Y655" s="2"/>
      <c r="Z655" s="2"/>
      <c r="AA655" s="2" t="s">
        <v>3243</v>
      </c>
      <c r="AB655" s="2" t="s">
        <v>3221</v>
      </c>
      <c r="AC655" s="4" t="s">
        <v>44</v>
      </c>
    </row>
    <row r="656" spans="1:29" x14ac:dyDescent="0.25">
      <c r="A656" s="1">
        <v>3286</v>
      </c>
      <c r="B656" s="17" t="s">
        <v>3889</v>
      </c>
      <c r="C656" s="2" t="s">
        <v>3890</v>
      </c>
      <c r="D656" s="15" t="s">
        <v>3788</v>
      </c>
      <c r="E656" s="9" t="s">
        <v>3891</v>
      </c>
      <c r="F656" s="9" t="s">
        <v>3892</v>
      </c>
      <c r="G656" s="9" t="s">
        <v>186</v>
      </c>
      <c r="H656" s="2" t="s">
        <v>60</v>
      </c>
      <c r="I656" s="3">
        <v>34856</v>
      </c>
      <c r="J656" s="9" t="str">
        <f t="shared" ca="1" si="12"/>
        <v>28 ans</v>
      </c>
      <c r="K656" s="2" t="s">
        <v>36</v>
      </c>
      <c r="L656" s="2" t="str">
        <f>"81"</f>
        <v>81</v>
      </c>
      <c r="M656" s="2"/>
      <c r="N656" s="2" t="str">
        <f>"CH DES PENSÉES"</f>
        <v>CH DES PENSÉES</v>
      </c>
      <c r="O656" s="2" t="s">
        <v>3185</v>
      </c>
      <c r="P656" s="9" t="str">
        <f>VLOOKUP($O656,'Liste des Villes'!$B$2:$B$1128,1,FALSE)</f>
        <v>Saint-Jérôme</v>
      </c>
      <c r="Q656" s="9" t="str">
        <f>IFERROR($P656,PROPER(VLOOKUP($O656,'Villes en erreur'!$A$2:$B$72,2,FALSE)))</f>
        <v>Saint-Jérôme</v>
      </c>
      <c r="R656" s="9" t="s">
        <v>3186</v>
      </c>
      <c r="S656" s="9" t="str">
        <f>IF(ISBLANK($R656),"",VLOOKUP($R656,'Liste des Villes'!$B$2:$H$1128,4,FALSE))</f>
        <v>Laurentides</v>
      </c>
      <c r="T656" s="2" t="s">
        <v>3187</v>
      </c>
      <c r="U656" s="2" t="s">
        <v>39</v>
      </c>
      <c r="V656" s="2" t="s">
        <v>40</v>
      </c>
      <c r="W656" s="2" t="s">
        <v>3893</v>
      </c>
      <c r="X656" s="2"/>
      <c r="Y656" s="2"/>
      <c r="Z656" s="2"/>
      <c r="AA656" s="2" t="s">
        <v>3231</v>
      </c>
      <c r="AB656" s="2" t="s">
        <v>53</v>
      </c>
      <c r="AC656" s="4" t="s">
        <v>44</v>
      </c>
    </row>
    <row r="657" spans="1:29" x14ac:dyDescent="0.25">
      <c r="A657" s="1">
        <v>2411</v>
      </c>
      <c r="B657" s="17" t="s">
        <v>3894</v>
      </c>
      <c r="C657" s="2" t="s">
        <v>3895</v>
      </c>
      <c r="D657" s="15" t="s">
        <v>3896</v>
      </c>
      <c r="E657" s="9" t="s">
        <v>3897</v>
      </c>
      <c r="F657" s="9" t="s">
        <v>2115</v>
      </c>
      <c r="G657" s="9" t="s">
        <v>2134</v>
      </c>
      <c r="H657" s="2" t="s">
        <v>60</v>
      </c>
      <c r="I657" s="3">
        <v>34776</v>
      </c>
      <c r="J657" s="9" t="str">
        <f t="shared" ca="1" si="12"/>
        <v>28 ans</v>
      </c>
      <c r="K657" s="2" t="s">
        <v>36</v>
      </c>
      <c r="L657" s="2" t="str">
        <f>"76"</f>
        <v>76</v>
      </c>
      <c r="M657" s="2"/>
      <c r="N657" s="2" t="str">
        <f>"CH DES CANNAS"</f>
        <v>CH DES CANNAS</v>
      </c>
      <c r="O657" s="2" t="s">
        <v>3185</v>
      </c>
      <c r="P657" s="9" t="str">
        <f>VLOOKUP($O657,'Liste des Villes'!$B$2:$B$1128,1,FALSE)</f>
        <v>Saint-Jérôme</v>
      </c>
      <c r="Q657" s="9" t="str">
        <f>IFERROR($P657,PROPER(VLOOKUP($O657,'Villes en erreur'!$A$2:$B$72,2,FALSE)))</f>
        <v>Saint-Jérôme</v>
      </c>
      <c r="R657" s="9" t="s">
        <v>3186</v>
      </c>
      <c r="S657" s="9" t="str">
        <f>IF(ISBLANK($R657),"",VLOOKUP($R657,'Liste des Villes'!$B$2:$H$1128,4,FALSE))</f>
        <v>Laurentides</v>
      </c>
      <c r="T657" s="2" t="s">
        <v>3187</v>
      </c>
      <c r="U657" s="2" t="s">
        <v>39</v>
      </c>
      <c r="V657" s="2" t="s">
        <v>40</v>
      </c>
      <c r="W657" s="2" t="s">
        <v>3898</v>
      </c>
      <c r="X657" s="2"/>
      <c r="Y657" s="2"/>
      <c r="Z657" s="2"/>
      <c r="AA657" s="2" t="s">
        <v>3225</v>
      </c>
      <c r="AB657" s="2" t="s">
        <v>53</v>
      </c>
      <c r="AC657" s="4" t="s">
        <v>44</v>
      </c>
    </row>
    <row r="658" spans="1:29" x14ac:dyDescent="0.25">
      <c r="A658" s="1">
        <v>3763</v>
      </c>
      <c r="B658" s="17" t="s">
        <v>3899</v>
      </c>
      <c r="C658" s="2" t="s">
        <v>3900</v>
      </c>
      <c r="D658" s="15" t="s">
        <v>1489</v>
      </c>
      <c r="E658" s="9" t="s">
        <v>3531</v>
      </c>
      <c r="F658" s="9" t="s">
        <v>1175</v>
      </c>
      <c r="G658" s="9" t="s">
        <v>3901</v>
      </c>
      <c r="H658" s="2" t="s">
        <v>60</v>
      </c>
      <c r="I658" s="3">
        <v>35894</v>
      </c>
      <c r="J658" s="9" t="str">
        <f t="shared" ca="1" si="12"/>
        <v>25 ans</v>
      </c>
      <c r="K658" s="2" t="s">
        <v>123</v>
      </c>
      <c r="L658" s="2" t="str">
        <f>"156"</f>
        <v>156</v>
      </c>
      <c r="M658" s="2"/>
      <c r="N658" s="2" t="str">
        <f>"MONTEE CROOKS"</f>
        <v>MONTEE CROOKS</v>
      </c>
      <c r="O658" s="2" t="s">
        <v>3185</v>
      </c>
      <c r="P658" s="9" t="str">
        <f>VLOOKUP($O658,'Liste des Villes'!$B$2:$B$1128,1,FALSE)</f>
        <v>Saint-Jérôme</v>
      </c>
      <c r="Q658" s="9" t="str">
        <f>IFERROR($P658,PROPER(VLOOKUP($O658,'Villes en erreur'!$A$2:$B$72,2,FALSE)))</f>
        <v>Saint-Jérôme</v>
      </c>
      <c r="R658" s="9" t="s">
        <v>3186</v>
      </c>
      <c r="S658" s="9" t="str">
        <f>IF(ISBLANK($R658),"",VLOOKUP($R658,'Liste des Villes'!$B$2:$H$1128,4,FALSE))</f>
        <v>Laurentides</v>
      </c>
      <c r="T658" s="2" t="s">
        <v>3902</v>
      </c>
      <c r="U658" s="2" t="s">
        <v>39</v>
      </c>
      <c r="V658" s="2" t="s">
        <v>40</v>
      </c>
      <c r="W658" s="2" t="s">
        <v>3903</v>
      </c>
      <c r="X658" s="2"/>
      <c r="Y658" s="2"/>
      <c r="Z658" s="2"/>
      <c r="AA658" s="2" t="s">
        <v>3243</v>
      </c>
      <c r="AB658" s="2" t="s">
        <v>3221</v>
      </c>
      <c r="AC658" s="4" t="s">
        <v>44</v>
      </c>
    </row>
    <row r="659" spans="1:29" x14ac:dyDescent="0.25">
      <c r="A659" s="1">
        <v>2979</v>
      </c>
      <c r="B659" s="17" t="s">
        <v>3904</v>
      </c>
      <c r="C659" s="2" t="s">
        <v>3905</v>
      </c>
      <c r="D659" s="15" t="s">
        <v>3567</v>
      </c>
      <c r="E659" s="9" t="s">
        <v>3906</v>
      </c>
      <c r="F659" s="9" t="s">
        <v>3907</v>
      </c>
      <c r="G659" s="9" t="s">
        <v>1246</v>
      </c>
      <c r="H659" s="2" t="s">
        <v>35</v>
      </c>
      <c r="I659" s="3">
        <v>34120</v>
      </c>
      <c r="J659" s="9" t="str">
        <f t="shared" ca="1" si="12"/>
        <v>30 ans</v>
      </c>
      <c r="K659" s="2" t="s">
        <v>36</v>
      </c>
      <c r="L659" s="2" t="str">
        <f>"46"</f>
        <v>46</v>
      </c>
      <c r="M659" s="2"/>
      <c r="N659" s="2" t="str">
        <f>"BOULEVARD DAGENAIS OUEST"</f>
        <v>BOULEVARD DAGENAIS OUEST</v>
      </c>
      <c r="O659" s="2" t="s">
        <v>3185</v>
      </c>
      <c r="P659" s="9" t="str">
        <f>VLOOKUP($O659,'Liste des Villes'!$B$2:$B$1128,1,FALSE)</f>
        <v>Saint-Jérôme</v>
      </c>
      <c r="Q659" s="9" t="str">
        <f>IFERROR($P659,PROPER(VLOOKUP($O659,'Villes en erreur'!$A$2:$B$72,2,FALSE)))</f>
        <v>Saint-Jérôme</v>
      </c>
      <c r="R659" s="9" t="s">
        <v>3186</v>
      </c>
      <c r="S659" s="9" t="str">
        <f>IF(ISBLANK($R659),"",VLOOKUP($R659,'Liste des Villes'!$B$2:$H$1128,4,FALSE))</f>
        <v>Laurentides</v>
      </c>
      <c r="T659" s="2" t="s">
        <v>3358</v>
      </c>
      <c r="U659" s="2" t="s">
        <v>39</v>
      </c>
      <c r="V659" s="2" t="s">
        <v>40</v>
      </c>
      <c r="W659" s="2" t="s">
        <v>3908</v>
      </c>
      <c r="X659" s="2"/>
      <c r="Y659" s="2"/>
      <c r="Z659" s="2"/>
      <c r="AA659" s="2" t="s">
        <v>3360</v>
      </c>
      <c r="AB659" s="2" t="s">
        <v>53</v>
      </c>
      <c r="AC659" s="4" t="s">
        <v>44</v>
      </c>
    </row>
    <row r="660" spans="1:29" x14ac:dyDescent="0.25">
      <c r="A660" s="1">
        <v>1891</v>
      </c>
      <c r="B660" s="17" t="s">
        <v>3909</v>
      </c>
      <c r="C660" s="2" t="s">
        <v>3910</v>
      </c>
      <c r="D660" s="15" t="s">
        <v>3911</v>
      </c>
      <c r="E660" s="9" t="s">
        <v>3912</v>
      </c>
      <c r="F660" s="9" t="s">
        <v>1398</v>
      </c>
      <c r="G660" s="9" t="s">
        <v>3913</v>
      </c>
      <c r="H660" s="2" t="s">
        <v>60</v>
      </c>
      <c r="I660" s="3">
        <v>36203</v>
      </c>
      <c r="J660" s="9" t="str">
        <f t="shared" ca="1" si="12"/>
        <v>24 ans</v>
      </c>
      <c r="K660" s="2" t="s">
        <v>123</v>
      </c>
      <c r="L660" s="2" t="str">
        <f>"243"</f>
        <v>243</v>
      </c>
      <c r="M660" s="2"/>
      <c r="N660" s="2" t="str">
        <f>"RUE AU BOIS-DORMANT"</f>
        <v>RUE AU BOIS-DORMANT</v>
      </c>
      <c r="O660" s="2" t="s">
        <v>3185</v>
      </c>
      <c r="P660" s="9" t="str">
        <f>VLOOKUP($O660,'Liste des Villes'!$B$2:$B$1128,1,FALSE)</f>
        <v>Saint-Jérôme</v>
      </c>
      <c r="Q660" s="9" t="str">
        <f>IFERROR($P660,PROPER(VLOOKUP($O660,'Villes en erreur'!$A$2:$B$72,2,FALSE)))</f>
        <v>Saint-Jérôme</v>
      </c>
      <c r="R660" s="9" t="s">
        <v>3186</v>
      </c>
      <c r="S660" s="9" t="str">
        <f>IF(ISBLANK($R660),"",VLOOKUP($R660,'Liste des Villes'!$B$2:$H$1128,4,FALSE))</f>
        <v>Laurentides</v>
      </c>
      <c r="T660" s="2" t="s">
        <v>3914</v>
      </c>
      <c r="U660" s="2" t="s">
        <v>39</v>
      </c>
      <c r="V660" s="2" t="s">
        <v>40</v>
      </c>
      <c r="W660" s="2" t="s">
        <v>3915</v>
      </c>
      <c r="X660" s="2"/>
      <c r="Y660" s="2"/>
      <c r="Z660" s="2"/>
      <c r="AA660" s="2" t="s">
        <v>832</v>
      </c>
      <c r="AB660" s="2" t="s">
        <v>3288</v>
      </c>
      <c r="AC660" s="4" t="s">
        <v>44</v>
      </c>
    </row>
    <row r="661" spans="1:29" x14ac:dyDescent="0.25">
      <c r="A661" s="1">
        <v>4450</v>
      </c>
      <c r="B661" s="17" t="s">
        <v>3916</v>
      </c>
      <c r="C661" s="2" t="s">
        <v>3917</v>
      </c>
      <c r="D661" s="15" t="s">
        <v>2698</v>
      </c>
      <c r="E661" s="9" t="s">
        <v>3918</v>
      </c>
      <c r="F661" s="9" t="s">
        <v>2837</v>
      </c>
      <c r="G661" s="9" t="s">
        <v>664</v>
      </c>
      <c r="H661" s="2" t="s">
        <v>60</v>
      </c>
      <c r="I661" s="3">
        <v>36006</v>
      </c>
      <c r="J661" s="9" t="str">
        <f t="shared" ca="1" si="12"/>
        <v>25 ans</v>
      </c>
      <c r="K661" s="2" t="s">
        <v>123</v>
      </c>
      <c r="L661" s="2" t="str">
        <f>"179"</f>
        <v>179</v>
      </c>
      <c r="M661" s="2"/>
      <c r="N661" s="2" t="str">
        <f>"PLACE DIANE"</f>
        <v>PLACE DIANE</v>
      </c>
      <c r="O661" s="2" t="s">
        <v>3185</v>
      </c>
      <c r="P661" s="9" t="str">
        <f>VLOOKUP($O661,'Liste des Villes'!$B$2:$B$1128,1,FALSE)</f>
        <v>Saint-Jérôme</v>
      </c>
      <c r="Q661" s="9" t="str">
        <f>IFERROR($P661,PROPER(VLOOKUP($O661,'Villes en erreur'!$A$2:$B$72,2,FALSE)))</f>
        <v>Saint-Jérôme</v>
      </c>
      <c r="R661" s="9" t="s">
        <v>3186</v>
      </c>
      <c r="S661" s="9" t="str">
        <f>IF(ISBLANK($R661),"",VLOOKUP($R661,'Liste des Villes'!$B$2:$H$1128,4,FALSE))</f>
        <v>Laurentides</v>
      </c>
      <c r="T661" s="2" t="s">
        <v>3919</v>
      </c>
      <c r="U661" s="2" t="s">
        <v>39</v>
      </c>
      <c r="V661" s="2" t="s">
        <v>40</v>
      </c>
      <c r="W661" s="2" t="s">
        <v>3920</v>
      </c>
      <c r="X661" s="2"/>
      <c r="Y661" s="2"/>
      <c r="Z661" s="2"/>
      <c r="AA661" s="2" t="s">
        <v>832</v>
      </c>
      <c r="AB661" s="2" t="s">
        <v>3221</v>
      </c>
      <c r="AC661" s="4" t="s">
        <v>44</v>
      </c>
    </row>
    <row r="662" spans="1:29" x14ac:dyDescent="0.25">
      <c r="A662" s="1">
        <v>808</v>
      </c>
      <c r="B662" s="17" t="s">
        <v>3921</v>
      </c>
      <c r="C662" s="2" t="s">
        <v>3922</v>
      </c>
      <c r="D662" s="15" t="s">
        <v>1800</v>
      </c>
      <c r="E662" s="9" t="s">
        <v>511</v>
      </c>
      <c r="F662" s="9" t="s">
        <v>3923</v>
      </c>
      <c r="G662" s="9" t="s">
        <v>1037</v>
      </c>
      <c r="H662" s="2" t="s">
        <v>35</v>
      </c>
      <c r="I662" s="3">
        <v>36065</v>
      </c>
      <c r="J662" s="9" t="str">
        <f t="shared" ca="1" si="12"/>
        <v>24 ans</v>
      </c>
      <c r="K662" s="2" t="s">
        <v>123</v>
      </c>
      <c r="L662" s="2" t="str">
        <f>"194"</f>
        <v>194</v>
      </c>
      <c r="M662" s="2"/>
      <c r="N662" s="2" t="str">
        <f>"RANG DOUBLE"</f>
        <v>RANG DOUBLE</v>
      </c>
      <c r="O662" s="2" t="s">
        <v>3186</v>
      </c>
      <c r="P662" s="9" t="str">
        <f>VLOOKUP($O662,'Liste des Villes'!$B$2:$B$1128,1,FALSE)</f>
        <v>Saint-Jérôme</v>
      </c>
      <c r="Q662" s="9" t="str">
        <f>IFERROR($P662,PROPER(VLOOKUP($O662,'Villes en erreur'!$A$2:$B$72,2,FALSE)))</f>
        <v>Saint-Jérôme</v>
      </c>
      <c r="R662" s="9" t="s">
        <v>3186</v>
      </c>
      <c r="S662" s="9" t="str">
        <f>IF(ISBLANK($R662),"",VLOOKUP($R662,'Liste des Villes'!$B$2:$H$1128,4,FALSE))</f>
        <v>Laurentides</v>
      </c>
      <c r="T662" s="2" t="s">
        <v>3924</v>
      </c>
      <c r="U662" s="2" t="s">
        <v>39</v>
      </c>
      <c r="V662" s="2" t="s">
        <v>40</v>
      </c>
      <c r="W662" s="2" t="s">
        <v>3925</v>
      </c>
      <c r="X662" s="2"/>
      <c r="Y662" s="2"/>
      <c r="Z662" s="2"/>
      <c r="AA662" s="2" t="s">
        <v>832</v>
      </c>
      <c r="AB662" s="2" t="s">
        <v>3221</v>
      </c>
      <c r="AC662" s="4" t="s">
        <v>44</v>
      </c>
    </row>
    <row r="663" spans="1:29" x14ac:dyDescent="0.25">
      <c r="A663" s="1">
        <v>602</v>
      </c>
      <c r="B663" s="17" t="s">
        <v>3926</v>
      </c>
      <c r="C663" s="2" t="s">
        <v>3927</v>
      </c>
      <c r="D663" s="15" t="s">
        <v>3928</v>
      </c>
      <c r="E663" s="9" t="s">
        <v>469</v>
      </c>
      <c r="F663" s="9" t="s">
        <v>3929</v>
      </c>
      <c r="G663" s="9" t="s">
        <v>1135</v>
      </c>
      <c r="H663" s="2" t="s">
        <v>60</v>
      </c>
      <c r="I663" s="3">
        <v>36240</v>
      </c>
      <c r="J663" s="9" t="str">
        <f t="shared" ca="1" si="12"/>
        <v>24 ans</v>
      </c>
      <c r="K663" s="2" t="s">
        <v>123</v>
      </c>
      <c r="L663" s="2" t="str">
        <f>"264"</f>
        <v>264</v>
      </c>
      <c r="M663" s="2"/>
      <c r="N663" s="2" t="str">
        <f>"RUE BÉLANGER"</f>
        <v>RUE BÉLANGER</v>
      </c>
      <c r="O663" s="2" t="s">
        <v>3185</v>
      </c>
      <c r="P663" s="9" t="str">
        <f>VLOOKUP($O663,'Liste des Villes'!$B$2:$B$1128,1,FALSE)</f>
        <v>Saint-Jérôme</v>
      </c>
      <c r="Q663" s="9" t="str">
        <f>IFERROR($P663,PROPER(VLOOKUP($O663,'Villes en erreur'!$A$2:$B$72,2,FALSE)))</f>
        <v>Saint-Jérôme</v>
      </c>
      <c r="R663" s="9" t="s">
        <v>3186</v>
      </c>
      <c r="S663" s="9" t="str">
        <f>IF(ISBLANK($R663),"",VLOOKUP($R663,'Liste des Villes'!$B$2:$H$1128,4,FALSE))</f>
        <v>Laurentides</v>
      </c>
      <c r="T663" s="2" t="s">
        <v>3930</v>
      </c>
      <c r="U663" s="2" t="s">
        <v>39</v>
      </c>
      <c r="V663" s="2" t="s">
        <v>40</v>
      </c>
      <c r="W663" s="2" t="s">
        <v>3931</v>
      </c>
      <c r="X663" s="2"/>
      <c r="Y663" s="2"/>
      <c r="Z663" s="2"/>
      <c r="AA663" s="2" t="s">
        <v>832</v>
      </c>
      <c r="AB663" s="2" t="s">
        <v>73</v>
      </c>
      <c r="AC663" s="4" t="s">
        <v>44</v>
      </c>
    </row>
    <row r="664" spans="1:29" x14ac:dyDescent="0.25">
      <c r="A664" s="1">
        <v>4535</v>
      </c>
      <c r="B664" s="17" t="s">
        <v>3932</v>
      </c>
      <c r="C664" s="2" t="s">
        <v>3933</v>
      </c>
      <c r="D664" s="15" t="s">
        <v>101</v>
      </c>
      <c r="E664" s="9" t="s">
        <v>341</v>
      </c>
      <c r="F664" s="9" t="s">
        <v>1753</v>
      </c>
      <c r="G664" s="9" t="s">
        <v>643</v>
      </c>
      <c r="H664" s="2" t="s">
        <v>60</v>
      </c>
      <c r="I664" s="3">
        <v>34935</v>
      </c>
      <c r="J664" s="9" t="str">
        <f t="shared" ca="1" si="12"/>
        <v>28 ans</v>
      </c>
      <c r="K664" s="2" t="s">
        <v>36</v>
      </c>
      <c r="L664" s="2" t="str">
        <f>"85"</f>
        <v>85</v>
      </c>
      <c r="M664" s="2"/>
      <c r="N664" s="2" t="str">
        <f>"CH DU BAS-DE-SAINTE-THÉRÈSE"</f>
        <v>CH DU BAS-DE-SAINTE-THÉRÈSE</v>
      </c>
      <c r="O664" s="2" t="s">
        <v>3185</v>
      </c>
      <c r="P664" s="9" t="str">
        <f>VLOOKUP($O664,'Liste des Villes'!$B$2:$B$1128,1,FALSE)</f>
        <v>Saint-Jérôme</v>
      </c>
      <c r="Q664" s="9" t="str">
        <f>IFERROR($P664,PROPER(VLOOKUP($O664,'Villes en erreur'!$A$2:$B$72,2,FALSE)))</f>
        <v>Saint-Jérôme</v>
      </c>
      <c r="R664" s="9" t="s">
        <v>3186</v>
      </c>
      <c r="S664" s="9" t="str">
        <f>IF(ISBLANK($R664),"",VLOOKUP($R664,'Liste des Villes'!$B$2:$H$1128,4,FALSE))</f>
        <v>Laurentides</v>
      </c>
      <c r="T664" s="2" t="s">
        <v>3187</v>
      </c>
      <c r="U664" s="2" t="s">
        <v>39</v>
      </c>
      <c r="V664" s="2" t="s">
        <v>40</v>
      </c>
      <c r="W664" s="2" t="s">
        <v>3934</v>
      </c>
      <c r="X664" s="2"/>
      <c r="Y664" s="2"/>
      <c r="Z664" s="2"/>
      <c r="AA664" s="2" t="s">
        <v>3231</v>
      </c>
      <c r="AB664" s="2" t="s">
        <v>53</v>
      </c>
      <c r="AC664" s="4" t="s">
        <v>44</v>
      </c>
    </row>
    <row r="665" spans="1:29" x14ac:dyDescent="0.25">
      <c r="A665" s="1">
        <v>2592</v>
      </c>
      <c r="B665" s="17" t="s">
        <v>3935</v>
      </c>
      <c r="C665" s="2" t="s">
        <v>3936</v>
      </c>
      <c r="D665" s="15" t="s">
        <v>3937</v>
      </c>
      <c r="E665" s="9" t="s">
        <v>397</v>
      </c>
      <c r="F665" s="9" t="s">
        <v>3341</v>
      </c>
      <c r="G665" s="9" t="s">
        <v>209</v>
      </c>
      <c r="H665" s="2" t="s">
        <v>60</v>
      </c>
      <c r="I665" s="3">
        <v>34240</v>
      </c>
      <c r="J665" s="9" t="str">
        <f t="shared" ca="1" si="12"/>
        <v>29 ans</v>
      </c>
      <c r="K665" s="2" t="s">
        <v>36</v>
      </c>
      <c r="L665" s="2" t="str">
        <f>"50"</f>
        <v>50</v>
      </c>
      <c r="M665" s="2"/>
      <c r="N665" s="2" t="str">
        <f>"BOULEVARD DES SEIGNEURS DUMONT"</f>
        <v>BOULEVARD DES SEIGNEURS DUMONT</v>
      </c>
      <c r="O665" s="2" t="s">
        <v>3185</v>
      </c>
      <c r="P665" s="9" t="str">
        <f>VLOOKUP($O665,'Liste des Villes'!$B$2:$B$1128,1,FALSE)</f>
        <v>Saint-Jérôme</v>
      </c>
      <c r="Q665" s="9" t="str">
        <f>IFERROR($P665,PROPER(VLOOKUP($O665,'Villes en erreur'!$A$2:$B$72,2,FALSE)))</f>
        <v>Saint-Jérôme</v>
      </c>
      <c r="R665" s="9" t="s">
        <v>3186</v>
      </c>
      <c r="S665" s="9" t="str">
        <f>IF(ISBLANK($R665),"",VLOOKUP($R665,'Liste des Villes'!$B$2:$H$1128,4,FALSE))</f>
        <v>Laurentides</v>
      </c>
      <c r="T665" s="2" t="s">
        <v>3520</v>
      </c>
      <c r="U665" s="2" t="s">
        <v>39</v>
      </c>
      <c r="V665" s="2" t="s">
        <v>40</v>
      </c>
      <c r="W665" s="2" t="s">
        <v>3938</v>
      </c>
      <c r="X665" s="2"/>
      <c r="Y665" s="2"/>
      <c r="Z665" s="2"/>
      <c r="AA665" s="2" t="s">
        <v>3360</v>
      </c>
      <c r="AB665" s="2" t="s">
        <v>53</v>
      </c>
      <c r="AC665" s="4" t="s">
        <v>44</v>
      </c>
    </row>
    <row r="666" spans="1:29" x14ac:dyDescent="0.25">
      <c r="A666" s="1">
        <v>904</v>
      </c>
      <c r="B666" s="17" t="s">
        <v>3939</v>
      </c>
      <c r="C666" s="2" t="s">
        <v>3940</v>
      </c>
      <c r="D666" s="15" t="s">
        <v>3941</v>
      </c>
      <c r="E666" s="9" t="s">
        <v>487</v>
      </c>
      <c r="F666" s="9" t="s">
        <v>488</v>
      </c>
      <c r="G666" s="9" t="s">
        <v>3942</v>
      </c>
      <c r="H666" s="2" t="s">
        <v>60</v>
      </c>
      <c r="I666" s="3">
        <v>34199</v>
      </c>
      <c r="J666" s="9" t="str">
        <f t="shared" ca="1" si="12"/>
        <v>30 ans</v>
      </c>
      <c r="K666" s="2" t="s">
        <v>36</v>
      </c>
      <c r="L666" s="2" t="str">
        <f>"48"</f>
        <v>48</v>
      </c>
      <c r="M666" s="2"/>
      <c r="N666" s="2" t="str">
        <f>"BOULEVARD DE SAINT CANUT"</f>
        <v>BOULEVARD DE SAINT CANUT</v>
      </c>
      <c r="O666" s="2" t="s">
        <v>3185</v>
      </c>
      <c r="P666" s="9" t="str">
        <f>VLOOKUP($O666,'Liste des Villes'!$B$2:$B$1128,1,FALSE)</f>
        <v>Saint-Jérôme</v>
      </c>
      <c r="Q666" s="9" t="str">
        <f>IFERROR($P666,PROPER(VLOOKUP($O666,'Villes en erreur'!$A$2:$B$72,2,FALSE)))</f>
        <v>Saint-Jérôme</v>
      </c>
      <c r="R666" s="9" t="s">
        <v>3186</v>
      </c>
      <c r="S666" s="9" t="str">
        <f>IF(ISBLANK($R666),"",VLOOKUP($R666,'Liste des Villes'!$B$2:$H$1128,4,FALSE))</f>
        <v>Laurentides</v>
      </c>
      <c r="T666" s="2" t="s">
        <v>3358</v>
      </c>
      <c r="U666" s="2" t="s">
        <v>39</v>
      </c>
      <c r="V666" s="2" t="s">
        <v>40</v>
      </c>
      <c r="W666" s="2" t="s">
        <v>3943</v>
      </c>
      <c r="X666" s="2"/>
      <c r="Y666" s="2"/>
      <c r="Z666" s="2"/>
      <c r="AA666" s="2" t="s">
        <v>3360</v>
      </c>
      <c r="AB666" s="2" t="s">
        <v>53</v>
      </c>
      <c r="AC666" s="4" t="s">
        <v>44</v>
      </c>
    </row>
    <row r="667" spans="1:29" x14ac:dyDescent="0.25">
      <c r="A667" s="1">
        <v>2223</v>
      </c>
      <c r="B667" s="17" t="s">
        <v>3944</v>
      </c>
      <c r="C667" s="2" t="s">
        <v>3945</v>
      </c>
      <c r="D667" s="15" t="s">
        <v>3946</v>
      </c>
      <c r="E667" s="9" t="s">
        <v>219</v>
      </c>
      <c r="F667" s="9" t="s">
        <v>803</v>
      </c>
      <c r="G667" s="9" t="s">
        <v>1397</v>
      </c>
      <c r="H667" s="2" t="s">
        <v>60</v>
      </c>
      <c r="I667" s="3">
        <v>35208</v>
      </c>
      <c r="J667" s="9" t="str">
        <f t="shared" ca="1" si="12"/>
        <v>27 ans</v>
      </c>
      <c r="K667" s="2" t="s">
        <v>36</v>
      </c>
      <c r="L667" s="2" t="str">
        <f>"104"</f>
        <v>104</v>
      </c>
      <c r="M667" s="2"/>
      <c r="N667" s="2" t="str">
        <f>"CH TAMARACOUTA"</f>
        <v>CH TAMARACOUTA</v>
      </c>
      <c r="O667" s="2" t="s">
        <v>3185</v>
      </c>
      <c r="P667" s="9" t="str">
        <f>VLOOKUP($O667,'Liste des Villes'!$B$2:$B$1128,1,FALSE)</f>
        <v>Saint-Jérôme</v>
      </c>
      <c r="Q667" s="9" t="str">
        <f>IFERROR($P667,PROPER(VLOOKUP($O667,'Villes en erreur'!$A$2:$B$72,2,FALSE)))</f>
        <v>Saint-Jérôme</v>
      </c>
      <c r="R667" s="9" t="s">
        <v>3186</v>
      </c>
      <c r="S667" s="9" t="str">
        <f>IF(ISBLANK($R667),"",VLOOKUP($R667,'Liste des Villes'!$B$2:$H$1128,4,FALSE))</f>
        <v>Laurentides</v>
      </c>
      <c r="T667" s="2" t="s">
        <v>3187</v>
      </c>
      <c r="U667" s="2" t="s">
        <v>39</v>
      </c>
      <c r="V667" s="2" t="s">
        <v>40</v>
      </c>
      <c r="W667" s="2" t="s">
        <v>3947</v>
      </c>
      <c r="X667" s="2"/>
      <c r="Y667" s="2"/>
      <c r="Z667" s="2"/>
      <c r="AA667" s="2" t="s">
        <v>3189</v>
      </c>
      <c r="AB667" s="2" t="s">
        <v>3190</v>
      </c>
      <c r="AC667" s="4" t="s">
        <v>44</v>
      </c>
    </row>
    <row r="668" spans="1:29" x14ac:dyDescent="0.25">
      <c r="A668" s="1">
        <v>2477</v>
      </c>
      <c r="B668" s="17" t="s">
        <v>3948</v>
      </c>
      <c r="C668" s="2" t="s">
        <v>3949</v>
      </c>
      <c r="D668" s="15" t="s">
        <v>2292</v>
      </c>
      <c r="E668" s="9" t="s">
        <v>85</v>
      </c>
      <c r="F668" s="9" t="s">
        <v>2291</v>
      </c>
      <c r="G668" s="9" t="s">
        <v>3397</v>
      </c>
      <c r="H668" s="2" t="s">
        <v>60</v>
      </c>
      <c r="I668" s="3">
        <v>35297</v>
      </c>
      <c r="J668" s="9" t="str">
        <f t="shared" ca="1" si="12"/>
        <v>27 ans</v>
      </c>
      <c r="K668" s="2" t="s">
        <v>36</v>
      </c>
      <c r="L668" s="2" t="str">
        <f>"108"</f>
        <v>108</v>
      </c>
      <c r="M668" s="2"/>
      <c r="N668" s="2" t="str">
        <f>"CHEMIN DE SAINT MORITZ"</f>
        <v>CHEMIN DE SAINT MORITZ</v>
      </c>
      <c r="O668" s="2" t="s">
        <v>3185</v>
      </c>
      <c r="P668" s="9" t="str">
        <f>VLOOKUP($O668,'Liste des Villes'!$B$2:$B$1128,1,FALSE)</f>
        <v>Saint-Jérôme</v>
      </c>
      <c r="Q668" s="9" t="str">
        <f>IFERROR($P668,PROPER(VLOOKUP($O668,'Villes en erreur'!$A$2:$B$72,2,FALSE)))</f>
        <v>Saint-Jérôme</v>
      </c>
      <c r="R668" s="9" t="s">
        <v>3186</v>
      </c>
      <c r="S668" s="9" t="str">
        <f>IF(ISBLANK($R668),"",VLOOKUP($R668,'Liste des Villes'!$B$2:$H$1128,4,FALSE))</f>
        <v>Laurentides</v>
      </c>
      <c r="T668" s="2" t="s">
        <v>3684</v>
      </c>
      <c r="U668" s="2" t="s">
        <v>39</v>
      </c>
      <c r="V668" s="2" t="s">
        <v>40</v>
      </c>
      <c r="W668" s="2" t="s">
        <v>3950</v>
      </c>
      <c r="X668" s="2"/>
      <c r="Y668" s="2"/>
      <c r="Z668" s="2"/>
      <c r="AA668" s="2" t="s">
        <v>3189</v>
      </c>
      <c r="AB668" s="2" t="s">
        <v>3200</v>
      </c>
      <c r="AC668" s="4" t="s">
        <v>44</v>
      </c>
    </row>
    <row r="669" spans="1:29" x14ac:dyDescent="0.25">
      <c r="A669" s="1">
        <v>3994</v>
      </c>
      <c r="B669" s="17" t="s">
        <v>3951</v>
      </c>
      <c r="C669" s="2" t="s">
        <v>3952</v>
      </c>
      <c r="D669" s="15" t="s">
        <v>3953</v>
      </c>
      <c r="E669" s="9" t="s">
        <v>3503</v>
      </c>
      <c r="F669" s="9" t="s">
        <v>47</v>
      </c>
      <c r="G669" s="9" t="s">
        <v>495</v>
      </c>
      <c r="H669" s="2" t="s">
        <v>35</v>
      </c>
      <c r="I669" s="3">
        <v>34558</v>
      </c>
      <c r="J669" s="9" t="str">
        <f t="shared" ca="1" si="12"/>
        <v>29 ans</v>
      </c>
      <c r="K669" s="2" t="s">
        <v>36</v>
      </c>
      <c r="L669" s="2" t="str">
        <f>"65"</f>
        <v>65</v>
      </c>
      <c r="M669" s="2"/>
      <c r="N669" s="2" t="str">
        <f>"CH DE LA CÔTE-SAINT-LOUIS E"</f>
        <v>CH DE LA CÔTE-SAINT-LOUIS E</v>
      </c>
      <c r="O669" s="2" t="s">
        <v>3185</v>
      </c>
      <c r="P669" s="9" t="str">
        <f>VLOOKUP($O669,'Liste des Villes'!$B$2:$B$1128,1,FALSE)</f>
        <v>Saint-Jérôme</v>
      </c>
      <c r="Q669" s="9" t="str">
        <f>IFERROR($P669,PROPER(VLOOKUP($O669,'Villes en erreur'!$A$2:$B$72,2,FALSE)))</f>
        <v>Saint-Jérôme</v>
      </c>
      <c r="R669" s="9" t="s">
        <v>3186</v>
      </c>
      <c r="S669" s="9" t="str">
        <f>IF(ISBLANK($R669),"",VLOOKUP($R669,'Liste des Villes'!$B$2:$H$1128,4,FALSE))</f>
        <v>Laurentides</v>
      </c>
      <c r="T669" s="2" t="s">
        <v>3954</v>
      </c>
      <c r="U669" s="2" t="s">
        <v>39</v>
      </c>
      <c r="V669" s="2" t="s">
        <v>40</v>
      </c>
      <c r="W669" s="2" t="s">
        <v>3955</v>
      </c>
      <c r="X669" s="2"/>
      <c r="Y669" s="2"/>
      <c r="Z669" s="2"/>
      <c r="AA669" s="2" t="s">
        <v>3225</v>
      </c>
      <c r="AB669" s="2" t="s">
        <v>53</v>
      </c>
      <c r="AC669" s="4" t="s">
        <v>44</v>
      </c>
    </row>
    <row r="670" spans="1:29" x14ac:dyDescent="0.25">
      <c r="A670" s="1">
        <v>1376</v>
      </c>
      <c r="B670" s="17" t="s">
        <v>3956</v>
      </c>
      <c r="C670" s="2" t="s">
        <v>3957</v>
      </c>
      <c r="D670" s="15" t="s">
        <v>86</v>
      </c>
      <c r="E670" s="9" t="s">
        <v>3958</v>
      </c>
      <c r="F670" s="9" t="s">
        <v>84</v>
      </c>
      <c r="G670" s="9" t="s">
        <v>3246</v>
      </c>
      <c r="H670" s="2" t="s">
        <v>35</v>
      </c>
      <c r="I670" s="3">
        <v>36149</v>
      </c>
      <c r="J670" s="9" t="str">
        <f t="shared" ca="1" si="12"/>
        <v>24 ans</v>
      </c>
      <c r="K670" s="2" t="s">
        <v>123</v>
      </c>
      <c r="L670" s="2" t="str">
        <f>"220"</f>
        <v>220</v>
      </c>
      <c r="M670" s="2"/>
      <c r="N670" s="2" t="str">
        <f>"RUE ALBERT-DUMOUCHEL"</f>
        <v>RUE ALBERT-DUMOUCHEL</v>
      </c>
      <c r="O670" s="2" t="s">
        <v>3185</v>
      </c>
      <c r="P670" s="9" t="str">
        <f>VLOOKUP($O670,'Liste des Villes'!$B$2:$B$1128,1,FALSE)</f>
        <v>Saint-Jérôme</v>
      </c>
      <c r="Q670" s="9" t="str">
        <f>IFERROR($P670,PROPER(VLOOKUP($O670,'Villes en erreur'!$A$2:$B$72,2,FALSE)))</f>
        <v>Saint-Jérôme</v>
      </c>
      <c r="R670" s="9" t="s">
        <v>3186</v>
      </c>
      <c r="S670" s="9" t="str">
        <f>IF(ISBLANK($R670),"",VLOOKUP($R670,'Liste des Villes'!$B$2:$H$1128,4,FALSE))</f>
        <v>Laurentides</v>
      </c>
      <c r="T670" s="2" t="s">
        <v>3959</v>
      </c>
      <c r="U670" s="2" t="s">
        <v>39</v>
      </c>
      <c r="V670" s="2" t="s">
        <v>40</v>
      </c>
      <c r="W670" s="2" t="s">
        <v>3960</v>
      </c>
      <c r="X670" s="2"/>
      <c r="Y670" s="2"/>
      <c r="Z670" s="2"/>
      <c r="AA670" s="2" t="s">
        <v>832</v>
      </c>
      <c r="AB670" s="2" t="s">
        <v>3221</v>
      </c>
      <c r="AC670" s="4" t="s">
        <v>44</v>
      </c>
    </row>
    <row r="671" spans="1:29" x14ac:dyDescent="0.25">
      <c r="A671" s="1">
        <v>1502</v>
      </c>
      <c r="B671" s="17" t="s">
        <v>3961</v>
      </c>
      <c r="C671" s="2" t="s">
        <v>3962</v>
      </c>
      <c r="D671" s="15" t="s">
        <v>3963</v>
      </c>
      <c r="E671" s="9" t="s">
        <v>3964</v>
      </c>
      <c r="F671" s="9" t="s">
        <v>1800</v>
      </c>
      <c r="G671" s="9" t="s">
        <v>114</v>
      </c>
      <c r="H671" s="2" t="s">
        <v>60</v>
      </c>
      <c r="I671" s="3">
        <v>36245</v>
      </c>
      <c r="J671" s="9" t="str">
        <f t="shared" ca="1" si="12"/>
        <v>24 ans</v>
      </c>
      <c r="K671" s="2" t="s">
        <v>123</v>
      </c>
      <c r="L671" s="2" t="str">
        <f>"265"</f>
        <v>265</v>
      </c>
      <c r="M671" s="2"/>
      <c r="N671" s="2" t="str">
        <f>"RUE BÉLANGER"</f>
        <v>RUE BÉLANGER</v>
      </c>
      <c r="O671" s="2" t="s">
        <v>3185</v>
      </c>
      <c r="P671" s="9" t="str">
        <f>VLOOKUP($O671,'Liste des Villes'!$B$2:$B$1128,1,FALSE)</f>
        <v>Saint-Jérôme</v>
      </c>
      <c r="Q671" s="9" t="str">
        <f>IFERROR($P671,PROPER(VLOOKUP($O671,'Villes en erreur'!$A$2:$B$72,2,FALSE)))</f>
        <v>Saint-Jérôme</v>
      </c>
      <c r="R671" s="9" t="s">
        <v>3186</v>
      </c>
      <c r="S671" s="9" t="str">
        <f>IF(ISBLANK($R671),"",VLOOKUP($R671,'Liste des Villes'!$B$2:$H$1128,4,FALSE))</f>
        <v>Laurentides</v>
      </c>
      <c r="T671" s="2" t="s">
        <v>3965</v>
      </c>
      <c r="U671" s="2" t="s">
        <v>39</v>
      </c>
      <c r="V671" s="2" t="s">
        <v>40</v>
      </c>
      <c r="W671" s="2" t="s">
        <v>3966</v>
      </c>
      <c r="X671" s="2"/>
      <c r="Y671" s="2"/>
      <c r="Z671" s="2"/>
      <c r="AA671" s="2" t="s">
        <v>832</v>
      </c>
      <c r="AB671" s="2" t="s">
        <v>73</v>
      </c>
      <c r="AC671" s="4" t="s">
        <v>44</v>
      </c>
    </row>
    <row r="672" spans="1:29" x14ac:dyDescent="0.25">
      <c r="A672" s="1">
        <v>3100</v>
      </c>
      <c r="B672" s="17" t="s">
        <v>3967</v>
      </c>
      <c r="C672" s="2" t="s">
        <v>1174</v>
      </c>
      <c r="D672" s="15" t="s">
        <v>1175</v>
      </c>
      <c r="E672" s="9" t="s">
        <v>1176</v>
      </c>
      <c r="F672" s="9" t="s">
        <v>1489</v>
      </c>
      <c r="G672" s="9" t="s">
        <v>1037</v>
      </c>
      <c r="H672" s="2" t="s">
        <v>35</v>
      </c>
      <c r="I672" s="3">
        <v>36052</v>
      </c>
      <c r="J672" s="9" t="str">
        <f t="shared" ca="1" si="12"/>
        <v>24 ans</v>
      </c>
      <c r="K672" s="2" t="s">
        <v>123</v>
      </c>
      <c r="L672" s="2" t="str">
        <f>"189"</f>
        <v>189</v>
      </c>
      <c r="M672" s="2"/>
      <c r="N672" s="2" t="str">
        <f>"PRINCIPALE OUEST"</f>
        <v>PRINCIPALE OUEST</v>
      </c>
      <c r="O672" s="2" t="s">
        <v>3185</v>
      </c>
      <c r="P672" s="9" t="str">
        <f>VLOOKUP($O672,'Liste des Villes'!$B$2:$B$1128,1,FALSE)</f>
        <v>Saint-Jérôme</v>
      </c>
      <c r="Q672" s="9" t="str">
        <f>IFERROR($P672,PROPER(VLOOKUP($O672,'Villes en erreur'!$A$2:$B$72,2,FALSE)))</f>
        <v>Saint-Jérôme</v>
      </c>
      <c r="R672" s="9" t="s">
        <v>3186</v>
      </c>
      <c r="S672" s="9" t="str">
        <f>IF(ISBLANK($R672),"",VLOOKUP($R672,'Liste des Villes'!$B$2:$H$1128,4,FALSE))</f>
        <v>Laurentides</v>
      </c>
      <c r="T672" s="2" t="s">
        <v>3968</v>
      </c>
      <c r="U672" s="2" t="s">
        <v>39</v>
      </c>
      <c r="V672" s="2" t="s">
        <v>40</v>
      </c>
      <c r="W672" s="2" t="s">
        <v>3969</v>
      </c>
      <c r="X672" s="2"/>
      <c r="Y672" s="2"/>
      <c r="Z672" s="2"/>
      <c r="AA672" s="2" t="s">
        <v>832</v>
      </c>
      <c r="AB672" s="2" t="s">
        <v>3221</v>
      </c>
      <c r="AC672" s="4" t="s">
        <v>44</v>
      </c>
    </row>
    <row r="673" spans="1:29" x14ac:dyDescent="0.25">
      <c r="A673" s="1">
        <v>2094</v>
      </c>
      <c r="B673" s="17" t="s">
        <v>3970</v>
      </c>
      <c r="C673" s="2" t="s">
        <v>3971</v>
      </c>
      <c r="D673" s="15" t="s">
        <v>3972</v>
      </c>
      <c r="E673" s="9" t="s">
        <v>1689</v>
      </c>
      <c r="F673" s="9" t="s">
        <v>3973</v>
      </c>
      <c r="G673" s="9" t="s">
        <v>495</v>
      </c>
      <c r="H673" s="2" t="s">
        <v>35</v>
      </c>
      <c r="I673" s="3">
        <v>34764</v>
      </c>
      <c r="J673" s="9" t="str">
        <f t="shared" ca="1" si="12"/>
        <v>28 ans</v>
      </c>
      <c r="K673" s="2" t="s">
        <v>36</v>
      </c>
      <c r="L673" s="2" t="str">
        <f>"75"</f>
        <v>75</v>
      </c>
      <c r="M673" s="2"/>
      <c r="N673" s="2" t="str">
        <f>"CH DES ABEILLES"</f>
        <v>CH DES ABEILLES</v>
      </c>
      <c r="O673" s="2" t="s">
        <v>3185</v>
      </c>
      <c r="P673" s="9" t="str">
        <f>VLOOKUP($O673,'Liste des Villes'!$B$2:$B$1128,1,FALSE)</f>
        <v>Saint-Jérôme</v>
      </c>
      <c r="Q673" s="9" t="str">
        <f>IFERROR($P673,PROPER(VLOOKUP($O673,'Villes en erreur'!$A$2:$B$72,2,FALSE)))</f>
        <v>Saint-Jérôme</v>
      </c>
      <c r="R673" s="9" t="s">
        <v>3186</v>
      </c>
      <c r="S673" s="9" t="str">
        <f>IF(ISBLANK($R673),"",VLOOKUP($R673,'Liste des Villes'!$B$2:$H$1128,4,FALSE))</f>
        <v>Laurentides</v>
      </c>
      <c r="T673" s="2" t="s">
        <v>3187</v>
      </c>
      <c r="U673" s="2" t="s">
        <v>39</v>
      </c>
      <c r="V673" s="2" t="s">
        <v>40</v>
      </c>
      <c r="W673" s="2" t="s">
        <v>3974</v>
      </c>
      <c r="X673" s="2"/>
      <c r="Y673" s="2"/>
      <c r="Z673" s="2"/>
      <c r="AA673" s="2" t="s">
        <v>3225</v>
      </c>
      <c r="AB673" s="2" t="s">
        <v>53</v>
      </c>
      <c r="AC673" s="4" t="s">
        <v>44</v>
      </c>
    </row>
    <row r="674" spans="1:29" x14ac:dyDescent="0.25">
      <c r="A674" s="1">
        <v>2611</v>
      </c>
      <c r="B674" s="17" t="s">
        <v>3975</v>
      </c>
      <c r="C674" s="2" t="s">
        <v>3976</v>
      </c>
      <c r="D674" s="15" t="s">
        <v>3977</v>
      </c>
      <c r="E674" s="9" t="s">
        <v>3978</v>
      </c>
      <c r="F674" s="9" t="s">
        <v>100</v>
      </c>
      <c r="G674" s="9" t="s">
        <v>92</v>
      </c>
      <c r="H674" s="2" t="s">
        <v>35</v>
      </c>
      <c r="I674" s="3">
        <v>35451</v>
      </c>
      <c r="J674" s="9" t="str">
        <f t="shared" ca="1" si="12"/>
        <v>26 ans</v>
      </c>
      <c r="K674" s="2" t="s">
        <v>36</v>
      </c>
      <c r="L674" s="2" t="str">
        <f>"116"</f>
        <v>116</v>
      </c>
      <c r="M674" s="2"/>
      <c r="N674" s="2" t="str">
        <f>"CHEMIN DUPUIS"</f>
        <v>CHEMIN DUPUIS</v>
      </c>
      <c r="O674" s="2" t="s">
        <v>3185</v>
      </c>
      <c r="P674" s="9" t="str">
        <f>VLOOKUP($O674,'Liste des Villes'!$B$2:$B$1128,1,FALSE)</f>
        <v>Saint-Jérôme</v>
      </c>
      <c r="Q674" s="9" t="str">
        <f>IFERROR($P674,PROPER(VLOOKUP($O674,'Villes en erreur'!$A$2:$B$72,2,FALSE)))</f>
        <v>Saint-Jérôme</v>
      </c>
      <c r="R674" s="9" t="s">
        <v>3186</v>
      </c>
      <c r="S674" s="9" t="str">
        <f>IF(ISBLANK($R674),"",VLOOKUP($R674,'Liste des Villes'!$B$2:$H$1128,4,FALSE))</f>
        <v>Laurentides</v>
      </c>
      <c r="T674" s="2" t="s">
        <v>3369</v>
      </c>
      <c r="U674" s="2" t="s">
        <v>39</v>
      </c>
      <c r="V674" s="2" t="s">
        <v>40</v>
      </c>
      <c r="W674" s="2" t="s">
        <v>3979</v>
      </c>
      <c r="X674" s="2"/>
      <c r="Y674" s="2"/>
      <c r="Z674" s="2"/>
      <c r="AA674" s="2" t="s">
        <v>3199</v>
      </c>
      <c r="AB674" s="2" t="s">
        <v>3200</v>
      </c>
      <c r="AC674" s="4" t="s">
        <v>44</v>
      </c>
    </row>
    <row r="675" spans="1:29" x14ac:dyDescent="0.25">
      <c r="A675" s="1">
        <v>3715</v>
      </c>
      <c r="B675" s="17" t="s">
        <v>3980</v>
      </c>
      <c r="C675" s="2" t="s">
        <v>3981</v>
      </c>
      <c r="D675" s="15" t="s">
        <v>164</v>
      </c>
      <c r="E675" s="9" t="s">
        <v>3982</v>
      </c>
      <c r="F675" s="9" t="s">
        <v>1990</v>
      </c>
      <c r="G675" s="9" t="s">
        <v>380</v>
      </c>
      <c r="H675" s="2" t="s">
        <v>60</v>
      </c>
      <c r="I675" s="3">
        <v>34380</v>
      </c>
      <c r="J675" s="9" t="str">
        <f t="shared" ca="1" si="12"/>
        <v>29 ans</v>
      </c>
      <c r="K675" s="2" t="s">
        <v>36</v>
      </c>
      <c r="L675" s="2" t="str">
        <f>"56"</f>
        <v>56</v>
      </c>
      <c r="M675" s="2"/>
      <c r="N675" s="2" t="str">
        <f>"BOURASSA BLVD"</f>
        <v>BOURASSA BLVD</v>
      </c>
      <c r="O675" s="2" t="s">
        <v>3185</v>
      </c>
      <c r="P675" s="9" t="str">
        <f>VLOOKUP($O675,'Liste des Villes'!$B$2:$B$1128,1,FALSE)</f>
        <v>Saint-Jérôme</v>
      </c>
      <c r="Q675" s="9" t="str">
        <f>IFERROR($P675,PROPER(VLOOKUP($O675,'Villes en erreur'!$A$2:$B$72,2,FALSE)))</f>
        <v>Saint-Jérôme</v>
      </c>
      <c r="R675" s="9" t="s">
        <v>3186</v>
      </c>
      <c r="S675" s="9" t="str">
        <f>IF(ISBLANK($R675),"",VLOOKUP($R675,'Liste des Villes'!$B$2:$H$1128,4,FALSE))</f>
        <v>Laurentides</v>
      </c>
      <c r="T675" s="2" t="s">
        <v>3291</v>
      </c>
      <c r="U675" s="2" t="s">
        <v>39</v>
      </c>
      <c r="V675" s="2" t="s">
        <v>40</v>
      </c>
      <c r="W675" s="2" t="s">
        <v>3983</v>
      </c>
      <c r="X675" s="2"/>
      <c r="Y675" s="2"/>
      <c r="Z675" s="2"/>
      <c r="AA675" s="2" t="s">
        <v>3293</v>
      </c>
      <c r="AB675" s="2" t="s">
        <v>53</v>
      </c>
      <c r="AC675" s="4" t="s">
        <v>44</v>
      </c>
    </row>
    <row r="676" spans="1:29" x14ac:dyDescent="0.25">
      <c r="A676" s="1">
        <v>4516</v>
      </c>
      <c r="B676" s="17" t="s">
        <v>3984</v>
      </c>
      <c r="C676" s="2" t="s">
        <v>2451</v>
      </c>
      <c r="D676" s="15" t="s">
        <v>504</v>
      </c>
      <c r="E676" s="9" t="s">
        <v>1673</v>
      </c>
      <c r="F676" s="9" t="s">
        <v>219</v>
      </c>
      <c r="G676" s="9" t="s">
        <v>1024</v>
      </c>
      <c r="H676" s="2" t="s">
        <v>35</v>
      </c>
      <c r="I676" s="3">
        <v>36173</v>
      </c>
      <c r="J676" s="9" t="str">
        <f t="shared" ca="1" si="12"/>
        <v>24 ans</v>
      </c>
      <c r="K676" s="2" t="s">
        <v>123</v>
      </c>
      <c r="L676" s="2" t="str">
        <f>"232"</f>
        <v>232</v>
      </c>
      <c r="M676" s="2"/>
      <c r="N676" s="2" t="str">
        <f>"RUE ANDRÉ-PONTBRIAND"</f>
        <v>RUE ANDRÉ-PONTBRIAND</v>
      </c>
      <c r="O676" s="2" t="s">
        <v>3185</v>
      </c>
      <c r="P676" s="9" t="str">
        <f>VLOOKUP($O676,'Liste des Villes'!$B$2:$B$1128,1,FALSE)</f>
        <v>Saint-Jérôme</v>
      </c>
      <c r="Q676" s="9" t="str">
        <f>IFERROR($P676,PROPER(VLOOKUP($O676,'Villes en erreur'!$A$2:$B$72,2,FALSE)))</f>
        <v>Saint-Jérôme</v>
      </c>
      <c r="R676" s="9" t="s">
        <v>3186</v>
      </c>
      <c r="S676" s="9" t="str">
        <f>IF(ISBLANK($R676),"",VLOOKUP($R676,'Liste des Villes'!$B$2:$H$1128,4,FALSE))</f>
        <v>Laurentides</v>
      </c>
      <c r="T676" s="2" t="s">
        <v>3985</v>
      </c>
      <c r="U676" s="2" t="s">
        <v>39</v>
      </c>
      <c r="V676" s="2" t="s">
        <v>40</v>
      </c>
      <c r="W676" s="2" t="s">
        <v>3986</v>
      </c>
      <c r="X676" s="2"/>
      <c r="Y676" s="2"/>
      <c r="Z676" s="2"/>
      <c r="AA676" s="2" t="s">
        <v>832</v>
      </c>
      <c r="AB676" s="2" t="s">
        <v>3221</v>
      </c>
      <c r="AC676" s="4" t="s">
        <v>44</v>
      </c>
    </row>
    <row r="677" spans="1:29" x14ac:dyDescent="0.25">
      <c r="A677" s="1">
        <v>1506</v>
      </c>
      <c r="B677" s="17" t="s">
        <v>3987</v>
      </c>
      <c r="C677" s="2" t="s">
        <v>3988</v>
      </c>
      <c r="D677" s="15" t="s">
        <v>3989</v>
      </c>
      <c r="E677" s="9" t="s">
        <v>1410</v>
      </c>
      <c r="F677" s="9" t="s">
        <v>1523</v>
      </c>
      <c r="G677" s="9" t="s">
        <v>3990</v>
      </c>
      <c r="H677" s="2" t="s">
        <v>60</v>
      </c>
      <c r="I677" s="3">
        <v>36243</v>
      </c>
      <c r="J677" s="9" t="str">
        <f t="shared" ca="1" si="12"/>
        <v>24 ans</v>
      </c>
      <c r="K677" s="2" t="s">
        <v>123</v>
      </c>
      <c r="L677" s="2" t="str">
        <f>"265"</f>
        <v>265</v>
      </c>
      <c r="M677" s="2"/>
      <c r="N677" s="2" t="str">
        <f>"RUE BÉLANGER"</f>
        <v>RUE BÉLANGER</v>
      </c>
      <c r="O677" s="2" t="s">
        <v>3185</v>
      </c>
      <c r="P677" s="9" t="str">
        <f>VLOOKUP($O677,'Liste des Villes'!$B$2:$B$1128,1,FALSE)</f>
        <v>Saint-Jérôme</v>
      </c>
      <c r="Q677" s="9" t="str">
        <f>IFERROR($P677,PROPER(VLOOKUP($O677,'Villes en erreur'!$A$2:$B$72,2,FALSE)))</f>
        <v>Saint-Jérôme</v>
      </c>
      <c r="R677" s="9" t="s">
        <v>3186</v>
      </c>
      <c r="S677" s="9" t="str">
        <f>IF(ISBLANK($R677),"",VLOOKUP($R677,'Liste des Villes'!$B$2:$H$1128,4,FALSE))</f>
        <v>Laurentides</v>
      </c>
      <c r="T677" s="2" t="s">
        <v>3930</v>
      </c>
      <c r="U677" s="2" t="s">
        <v>39</v>
      </c>
      <c r="V677" s="2" t="s">
        <v>40</v>
      </c>
      <c r="W677" s="2" t="s">
        <v>3991</v>
      </c>
      <c r="X677" s="2"/>
      <c r="Y677" s="2"/>
      <c r="Z677" s="2"/>
      <c r="AA677" s="2" t="s">
        <v>832</v>
      </c>
      <c r="AB677" s="2" t="s">
        <v>73</v>
      </c>
      <c r="AC677" s="4" t="s">
        <v>44</v>
      </c>
    </row>
    <row r="678" spans="1:29" x14ac:dyDescent="0.25">
      <c r="A678" s="1">
        <v>256</v>
      </c>
      <c r="B678" s="17" t="s">
        <v>3992</v>
      </c>
      <c r="C678" s="2" t="s">
        <v>2209</v>
      </c>
      <c r="D678" s="15" t="s">
        <v>782</v>
      </c>
      <c r="E678" s="9" t="s">
        <v>2210</v>
      </c>
      <c r="F678" s="9" t="s">
        <v>34</v>
      </c>
      <c r="G678" s="9" t="s">
        <v>635</v>
      </c>
      <c r="H678" s="2" t="s">
        <v>35</v>
      </c>
      <c r="I678" s="3">
        <v>33843</v>
      </c>
      <c r="J678" s="9" t="str">
        <f t="shared" ca="1" si="12"/>
        <v>30 ans</v>
      </c>
      <c r="K678" s="2" t="s">
        <v>36</v>
      </c>
      <c r="L678" s="2" t="str">
        <f>"39"</f>
        <v>39</v>
      </c>
      <c r="M678" s="2"/>
      <c r="N678" s="2" t="str">
        <f>"AVENUE DU PARC"</f>
        <v>AVENUE DU PARC</v>
      </c>
      <c r="O678" s="2" t="s">
        <v>3185</v>
      </c>
      <c r="P678" s="9" t="str">
        <f>VLOOKUP($O678,'Liste des Villes'!$B$2:$B$1128,1,FALSE)</f>
        <v>Saint-Jérôme</v>
      </c>
      <c r="Q678" s="9" t="str">
        <f>IFERROR($P678,PROPER(VLOOKUP($O678,'Villes en erreur'!$A$2:$B$72,2,FALSE)))</f>
        <v>Saint-Jérôme</v>
      </c>
      <c r="R678" s="9" t="s">
        <v>3186</v>
      </c>
      <c r="S678" s="9" t="str">
        <f>IF(ISBLANK($R678),"",VLOOKUP($R678,'Liste des Villes'!$B$2:$H$1128,4,FALSE))</f>
        <v>Laurentides</v>
      </c>
      <c r="T678" s="2" t="s">
        <v>3093</v>
      </c>
      <c r="U678" s="2" t="s">
        <v>39</v>
      </c>
      <c r="V678" s="2" t="s">
        <v>40</v>
      </c>
      <c r="W678" s="2" t="s">
        <v>3993</v>
      </c>
      <c r="X678" s="2"/>
      <c r="Y678" s="2"/>
      <c r="Z678" s="2"/>
      <c r="AA678" s="2" t="s">
        <v>3207</v>
      </c>
      <c r="AB678" s="2" t="s">
        <v>53</v>
      </c>
      <c r="AC678" s="4" t="s">
        <v>44</v>
      </c>
    </row>
    <row r="679" spans="1:29" x14ac:dyDescent="0.25">
      <c r="A679" s="1">
        <v>2883</v>
      </c>
      <c r="B679" s="17" t="s">
        <v>3994</v>
      </c>
      <c r="C679" s="2" t="s">
        <v>3995</v>
      </c>
      <c r="D679" s="15" t="s">
        <v>3996</v>
      </c>
      <c r="E679" s="9" t="s">
        <v>277</v>
      </c>
      <c r="F679" s="9" t="s">
        <v>185</v>
      </c>
      <c r="G679" s="9" t="s">
        <v>1024</v>
      </c>
      <c r="H679" s="2" t="s">
        <v>35</v>
      </c>
      <c r="I679" s="3">
        <v>36189</v>
      </c>
      <c r="J679" s="9" t="str">
        <f t="shared" ca="1" si="12"/>
        <v>24 ans</v>
      </c>
      <c r="K679" s="2" t="s">
        <v>123</v>
      </c>
      <c r="L679" s="2" t="str">
        <f>"236"</f>
        <v>236</v>
      </c>
      <c r="M679" s="2"/>
      <c r="N679" s="2" t="str">
        <f>"RUE ANNE-HÉBERT"</f>
        <v>RUE ANNE-HÉBERT</v>
      </c>
      <c r="O679" s="2" t="s">
        <v>3185</v>
      </c>
      <c r="P679" s="9" t="str">
        <f>VLOOKUP($O679,'Liste des Villes'!$B$2:$B$1128,1,FALSE)</f>
        <v>Saint-Jérôme</v>
      </c>
      <c r="Q679" s="9" t="str">
        <f>IFERROR($P679,PROPER(VLOOKUP($O679,'Villes en erreur'!$A$2:$B$72,2,FALSE)))</f>
        <v>Saint-Jérôme</v>
      </c>
      <c r="R679" s="9" t="s">
        <v>3186</v>
      </c>
      <c r="S679" s="9" t="str">
        <f>IF(ISBLANK($R679),"",VLOOKUP($R679,'Liste des Villes'!$B$2:$H$1128,4,FALSE))</f>
        <v>Laurentides</v>
      </c>
      <c r="T679" s="2" t="s">
        <v>3997</v>
      </c>
      <c r="U679" s="2" t="s">
        <v>39</v>
      </c>
      <c r="V679" s="2" t="s">
        <v>40</v>
      </c>
      <c r="W679" s="2" t="s">
        <v>3998</v>
      </c>
      <c r="X679" s="2"/>
      <c r="Y679" s="2"/>
      <c r="Z679" s="2"/>
      <c r="AA679" s="2" t="s">
        <v>832</v>
      </c>
      <c r="AB679" s="2" t="s">
        <v>3288</v>
      </c>
      <c r="AC679" s="4" t="s">
        <v>44</v>
      </c>
    </row>
    <row r="680" spans="1:29" x14ac:dyDescent="0.25">
      <c r="A680" s="1">
        <v>3838</v>
      </c>
      <c r="B680" s="17" t="s">
        <v>3999</v>
      </c>
      <c r="C680" s="2" t="s">
        <v>4000</v>
      </c>
      <c r="D680" s="15" t="s">
        <v>1486</v>
      </c>
      <c r="E680" s="9" t="s">
        <v>1037</v>
      </c>
      <c r="F680" s="9" t="s">
        <v>1484</v>
      </c>
      <c r="G680" s="9" t="s">
        <v>114</v>
      </c>
      <c r="H680" s="2" t="s">
        <v>60</v>
      </c>
      <c r="I680" s="3">
        <v>36249</v>
      </c>
      <c r="J680" s="9" t="str">
        <f t="shared" ca="1" si="12"/>
        <v>24 ans</v>
      </c>
      <c r="K680" s="2" t="s">
        <v>123</v>
      </c>
      <c r="L680" s="2" t="str">
        <f>"268"</f>
        <v>268</v>
      </c>
      <c r="M680" s="2"/>
      <c r="N680" s="2" t="str">
        <f>"RUE BELLEVUE"</f>
        <v>RUE BELLEVUE</v>
      </c>
      <c r="O680" s="2" t="s">
        <v>3185</v>
      </c>
      <c r="P680" s="9" t="str">
        <f>VLOOKUP($O680,'Liste des Villes'!$B$2:$B$1128,1,FALSE)</f>
        <v>Saint-Jérôme</v>
      </c>
      <c r="Q680" s="9" t="str">
        <f>IFERROR($P680,PROPER(VLOOKUP($O680,'Villes en erreur'!$A$2:$B$72,2,FALSE)))</f>
        <v>Saint-Jérôme</v>
      </c>
      <c r="R680" s="9" t="s">
        <v>3186</v>
      </c>
      <c r="S680" s="9" t="str">
        <f>IF(ISBLANK($R680),"",VLOOKUP($R680,'Liste des Villes'!$B$2:$H$1128,4,FALSE))</f>
        <v>Laurentides</v>
      </c>
      <c r="T680" s="2" t="s">
        <v>1238</v>
      </c>
      <c r="U680" s="2" t="s">
        <v>39</v>
      </c>
      <c r="V680" s="2" t="s">
        <v>40</v>
      </c>
      <c r="W680" s="2" t="s">
        <v>4001</v>
      </c>
      <c r="X680" s="2"/>
      <c r="Y680" s="2"/>
      <c r="Z680" s="2"/>
      <c r="AA680" s="2" t="s">
        <v>832</v>
      </c>
      <c r="AB680" s="2" t="s">
        <v>73</v>
      </c>
      <c r="AC680" s="4" t="s">
        <v>44</v>
      </c>
    </row>
    <row r="681" spans="1:29" x14ac:dyDescent="0.25">
      <c r="A681" s="1">
        <v>4359</v>
      </c>
      <c r="B681" s="17" t="s">
        <v>4002</v>
      </c>
      <c r="C681" s="2" t="s">
        <v>4003</v>
      </c>
      <c r="D681" s="15" t="s">
        <v>4004</v>
      </c>
      <c r="E681" s="9" t="s">
        <v>727</v>
      </c>
      <c r="F681" s="9" t="s">
        <v>3883</v>
      </c>
      <c r="G681" s="9" t="s">
        <v>2897</v>
      </c>
      <c r="H681" s="2" t="s">
        <v>35</v>
      </c>
      <c r="I681" s="3">
        <v>35074</v>
      </c>
      <c r="J681" s="9" t="str">
        <f t="shared" ca="1" si="12"/>
        <v>27 ans</v>
      </c>
      <c r="K681" s="2" t="s">
        <v>36</v>
      </c>
      <c r="L681" s="2" t="str">
        <f>"100"</f>
        <v>100</v>
      </c>
      <c r="M681" s="2"/>
      <c r="N681" s="2" t="str">
        <f>"CH DU VILLAGE"</f>
        <v>CH DU VILLAGE</v>
      </c>
      <c r="O681" s="2" t="s">
        <v>3185</v>
      </c>
      <c r="P681" s="9" t="str">
        <f>VLOOKUP($O681,'Liste des Villes'!$B$2:$B$1128,1,FALSE)</f>
        <v>Saint-Jérôme</v>
      </c>
      <c r="Q681" s="9" t="str">
        <f>IFERROR($P681,PROPER(VLOOKUP($O681,'Villes en erreur'!$A$2:$B$72,2,FALSE)))</f>
        <v>Saint-Jérôme</v>
      </c>
      <c r="R681" s="9" t="s">
        <v>3186</v>
      </c>
      <c r="S681" s="9" t="str">
        <f>IF(ISBLANK($R681),"",VLOOKUP($R681,'Liste des Villes'!$B$2:$H$1128,4,FALSE))</f>
        <v>Laurentides</v>
      </c>
      <c r="T681" s="2" t="s">
        <v>3187</v>
      </c>
      <c r="U681" s="2" t="s">
        <v>39</v>
      </c>
      <c r="V681" s="2" t="s">
        <v>40</v>
      </c>
      <c r="W681" s="2" t="s">
        <v>4005</v>
      </c>
      <c r="X681" s="2"/>
      <c r="Y681" s="2"/>
      <c r="Z681" s="2"/>
      <c r="AA681" s="2" t="s">
        <v>3189</v>
      </c>
      <c r="AB681" s="2" t="s">
        <v>3190</v>
      </c>
      <c r="AC681" s="4" t="s">
        <v>44</v>
      </c>
    </row>
    <row r="682" spans="1:29" x14ac:dyDescent="0.25">
      <c r="A682" s="1">
        <v>2139</v>
      </c>
      <c r="B682" s="17" t="s">
        <v>4006</v>
      </c>
      <c r="C682" s="2" t="s">
        <v>1435</v>
      </c>
      <c r="D682" s="15" t="s">
        <v>1436</v>
      </c>
      <c r="E682" s="9" t="s">
        <v>99</v>
      </c>
      <c r="F682" s="9" t="s">
        <v>100</v>
      </c>
      <c r="G682" s="9" t="s">
        <v>1397</v>
      </c>
      <c r="H682" s="2" t="s">
        <v>60</v>
      </c>
      <c r="I682" s="3">
        <v>35214</v>
      </c>
      <c r="J682" s="9" t="str">
        <f t="shared" ca="1" si="12"/>
        <v>27 ans</v>
      </c>
      <c r="K682" s="2" t="s">
        <v>36</v>
      </c>
      <c r="L682" s="2" t="str">
        <f>"105"</f>
        <v>105</v>
      </c>
      <c r="M682" s="2"/>
      <c r="N682" s="2" t="str">
        <f>"CH VAILLANCOURT"</f>
        <v>CH VAILLANCOURT</v>
      </c>
      <c r="O682" s="2" t="s">
        <v>3185</v>
      </c>
      <c r="P682" s="9" t="str">
        <f>VLOOKUP($O682,'Liste des Villes'!$B$2:$B$1128,1,FALSE)</f>
        <v>Saint-Jérôme</v>
      </c>
      <c r="Q682" s="9" t="str">
        <f>IFERROR($P682,PROPER(VLOOKUP($O682,'Villes en erreur'!$A$2:$B$72,2,FALSE)))</f>
        <v>Saint-Jérôme</v>
      </c>
      <c r="R682" s="9" t="s">
        <v>3186</v>
      </c>
      <c r="S682" s="9" t="str">
        <f>IF(ISBLANK($R682),"",VLOOKUP($R682,'Liste des Villes'!$B$2:$H$1128,4,FALSE))</f>
        <v>Laurentides</v>
      </c>
      <c r="T682" s="2" t="s">
        <v>3187</v>
      </c>
      <c r="U682" s="2" t="s">
        <v>39</v>
      </c>
      <c r="V682" s="2" t="s">
        <v>40</v>
      </c>
      <c r="W682" s="2" t="s">
        <v>4007</v>
      </c>
      <c r="X682" s="2"/>
      <c r="Y682" s="2"/>
      <c r="Z682" s="2"/>
      <c r="AA682" s="2" t="s">
        <v>3189</v>
      </c>
      <c r="AB682" s="2" t="s">
        <v>3190</v>
      </c>
      <c r="AC682" s="4" t="s">
        <v>44</v>
      </c>
    </row>
    <row r="683" spans="1:29" x14ac:dyDescent="0.25">
      <c r="A683" s="1">
        <v>3482</v>
      </c>
      <c r="B683" s="17" t="s">
        <v>4008</v>
      </c>
      <c r="C683" s="2" t="s">
        <v>4009</v>
      </c>
      <c r="D683" s="15" t="s">
        <v>4010</v>
      </c>
      <c r="E683" s="9" t="s">
        <v>4011</v>
      </c>
      <c r="F683" s="9" t="s">
        <v>4012</v>
      </c>
      <c r="G683" s="9" t="s">
        <v>4013</v>
      </c>
      <c r="H683" s="2" t="s">
        <v>60</v>
      </c>
      <c r="I683" s="3">
        <v>35663</v>
      </c>
      <c r="J683" s="9" t="str">
        <f t="shared" ca="1" si="12"/>
        <v>26 ans</v>
      </c>
      <c r="K683" s="2" t="s">
        <v>36</v>
      </c>
      <c r="L683" s="2" t="str">
        <f>"132"</f>
        <v>132</v>
      </c>
      <c r="M683" s="2"/>
      <c r="N683" s="2" t="str">
        <f>"DE SAINTE-MARCELLE BLVD"</f>
        <v>DE SAINTE-MARCELLE BLVD</v>
      </c>
      <c r="O683" s="2" t="s">
        <v>3185</v>
      </c>
      <c r="P683" s="9" t="str">
        <f>VLOOKUP($O683,'Liste des Villes'!$B$2:$B$1128,1,FALSE)</f>
        <v>Saint-Jérôme</v>
      </c>
      <c r="Q683" s="9" t="str">
        <f>IFERROR($P683,PROPER(VLOOKUP($O683,'Villes en erreur'!$A$2:$B$72,2,FALSE)))</f>
        <v>Saint-Jérôme</v>
      </c>
      <c r="R683" s="9" t="s">
        <v>3186</v>
      </c>
      <c r="S683" s="9" t="str">
        <f>IF(ISBLANK($R683),"",VLOOKUP($R683,'Liste des Villes'!$B$2:$H$1128,4,FALSE))</f>
        <v>Laurentides</v>
      </c>
      <c r="T683" s="2" t="s">
        <v>4014</v>
      </c>
      <c r="U683" s="2" t="s">
        <v>39</v>
      </c>
      <c r="V683" s="2" t="s">
        <v>40</v>
      </c>
      <c r="W683" s="2" t="s">
        <v>4015</v>
      </c>
      <c r="X683" s="2"/>
      <c r="Y683" s="2"/>
      <c r="Z683" s="2"/>
      <c r="AA683" s="2" t="s">
        <v>3243</v>
      </c>
      <c r="AB683" s="2" t="s">
        <v>3221</v>
      </c>
      <c r="AC683" s="4" t="s">
        <v>44</v>
      </c>
    </row>
    <row r="684" spans="1:29" x14ac:dyDescent="0.25">
      <c r="A684" s="1">
        <v>1040</v>
      </c>
      <c r="B684" s="17" t="s">
        <v>4016</v>
      </c>
      <c r="C684" s="2" t="s">
        <v>3290</v>
      </c>
      <c r="D684" s="15" t="s">
        <v>312</v>
      </c>
      <c r="E684" s="9" t="s">
        <v>122</v>
      </c>
      <c r="F684" s="9" t="s">
        <v>835</v>
      </c>
      <c r="G684" s="9" t="s">
        <v>1560</v>
      </c>
      <c r="H684" s="2" t="s">
        <v>35</v>
      </c>
      <c r="I684" s="3">
        <v>35615</v>
      </c>
      <c r="J684" s="9" t="str">
        <f t="shared" ca="1" si="12"/>
        <v>26 ans</v>
      </c>
      <c r="K684" s="2" t="s">
        <v>36</v>
      </c>
      <c r="L684" s="2" t="str">
        <f>"129"</f>
        <v>129</v>
      </c>
      <c r="M684" s="2"/>
      <c r="N684" s="2" t="str">
        <f>"DE LA SALETTE BLVD"</f>
        <v>DE LA SALETTE BLVD</v>
      </c>
      <c r="O684" s="2" t="s">
        <v>3185</v>
      </c>
      <c r="P684" s="9" t="str">
        <f>VLOOKUP($O684,'Liste des Villes'!$B$2:$B$1128,1,FALSE)</f>
        <v>Saint-Jérôme</v>
      </c>
      <c r="Q684" s="9" t="str">
        <f>IFERROR($P684,PROPER(VLOOKUP($O684,'Villes en erreur'!$A$2:$B$72,2,FALSE)))</f>
        <v>Saint-Jérôme</v>
      </c>
      <c r="R684" s="9" t="s">
        <v>3186</v>
      </c>
      <c r="S684" s="9" t="str">
        <f>IF(ISBLANK($R684),"",VLOOKUP($R684,'Liste des Villes'!$B$2:$H$1128,4,FALSE))</f>
        <v>Laurentides</v>
      </c>
      <c r="T684" s="2" t="s">
        <v>3446</v>
      </c>
      <c r="U684" s="2" t="s">
        <v>39</v>
      </c>
      <c r="V684" s="2" t="s">
        <v>40</v>
      </c>
      <c r="W684" s="2" t="s">
        <v>4017</v>
      </c>
      <c r="X684" s="2"/>
      <c r="Y684" s="2"/>
      <c r="Z684" s="2"/>
      <c r="AA684" s="2" t="s">
        <v>3243</v>
      </c>
      <c r="AB684" s="2" t="s">
        <v>3221</v>
      </c>
      <c r="AC684" s="4" t="s">
        <v>44</v>
      </c>
    </row>
    <row r="685" spans="1:29" x14ac:dyDescent="0.25">
      <c r="A685" s="1">
        <v>2617</v>
      </c>
      <c r="B685" s="17" t="s">
        <v>4018</v>
      </c>
      <c r="C685" s="2" t="s">
        <v>4019</v>
      </c>
      <c r="D685" s="15" t="s">
        <v>4020</v>
      </c>
      <c r="E685" s="9" t="s">
        <v>4021</v>
      </c>
      <c r="F685" s="9" t="s">
        <v>4022</v>
      </c>
      <c r="G685" s="9" t="s">
        <v>2822</v>
      </c>
      <c r="H685" s="2" t="s">
        <v>60</v>
      </c>
      <c r="I685" s="3">
        <v>35075</v>
      </c>
      <c r="J685" s="9" t="str">
        <f t="shared" ca="1" si="12"/>
        <v>27 ans</v>
      </c>
      <c r="K685" s="2" t="s">
        <v>36</v>
      </c>
      <c r="L685" s="2" t="str">
        <f>"100"</f>
        <v>100</v>
      </c>
      <c r="M685" s="2"/>
      <c r="N685" s="2" t="str">
        <f>"CH DU VILLAGE"</f>
        <v>CH DU VILLAGE</v>
      </c>
      <c r="O685" s="2" t="s">
        <v>3185</v>
      </c>
      <c r="P685" s="9" t="str">
        <f>VLOOKUP($O685,'Liste des Villes'!$B$2:$B$1128,1,FALSE)</f>
        <v>Saint-Jérôme</v>
      </c>
      <c r="Q685" s="9" t="str">
        <f>IFERROR($P685,PROPER(VLOOKUP($O685,'Villes en erreur'!$A$2:$B$72,2,FALSE)))</f>
        <v>Saint-Jérôme</v>
      </c>
      <c r="R685" s="9" t="s">
        <v>3186</v>
      </c>
      <c r="S685" s="9" t="str">
        <f>IF(ISBLANK($R685),"",VLOOKUP($R685,'Liste des Villes'!$B$2:$H$1128,4,FALSE))</f>
        <v>Laurentides</v>
      </c>
      <c r="T685" s="2" t="s">
        <v>3187</v>
      </c>
      <c r="U685" s="2" t="s">
        <v>39</v>
      </c>
      <c r="V685" s="2" t="s">
        <v>40</v>
      </c>
      <c r="W685" s="2" t="s">
        <v>4023</v>
      </c>
      <c r="X685" s="2"/>
      <c r="Y685" s="2"/>
      <c r="Z685" s="2"/>
      <c r="AA685" s="2" t="s">
        <v>3189</v>
      </c>
      <c r="AB685" s="2" t="s">
        <v>3190</v>
      </c>
      <c r="AC685" s="4" t="s">
        <v>44</v>
      </c>
    </row>
    <row r="686" spans="1:29" x14ac:dyDescent="0.25">
      <c r="A686" s="1">
        <v>1568</v>
      </c>
      <c r="B686" s="17" t="s">
        <v>4024</v>
      </c>
      <c r="C686" s="2" t="s">
        <v>4025</v>
      </c>
      <c r="D686" s="15" t="s">
        <v>4026</v>
      </c>
      <c r="E686" s="9" t="s">
        <v>698</v>
      </c>
      <c r="F686" s="9" t="s">
        <v>1396</v>
      </c>
      <c r="G686" s="9" t="s">
        <v>1135</v>
      </c>
      <c r="H686" s="2" t="s">
        <v>60</v>
      </c>
      <c r="I686" s="3">
        <v>36238</v>
      </c>
      <c r="J686" s="9" t="str">
        <f t="shared" ca="1" si="12"/>
        <v>24 ans</v>
      </c>
      <c r="K686" s="2" t="s">
        <v>123</v>
      </c>
      <c r="L686" s="2" t="str">
        <f>"263"</f>
        <v>263</v>
      </c>
      <c r="M686" s="2"/>
      <c r="N686" s="2" t="str">
        <f>"RUE BÉLANGER"</f>
        <v>RUE BÉLANGER</v>
      </c>
      <c r="O686" s="2" t="s">
        <v>3185</v>
      </c>
      <c r="P686" s="9" t="str">
        <f>VLOOKUP($O686,'Liste des Villes'!$B$2:$B$1128,1,FALSE)</f>
        <v>Saint-Jérôme</v>
      </c>
      <c r="Q686" s="9" t="str">
        <f>IFERROR($P686,PROPER(VLOOKUP($O686,'Villes en erreur'!$A$2:$B$72,2,FALSE)))</f>
        <v>Saint-Jérôme</v>
      </c>
      <c r="R686" s="9" t="s">
        <v>3186</v>
      </c>
      <c r="S686" s="9" t="str">
        <f>IF(ISBLANK($R686),"",VLOOKUP($R686,'Liste des Villes'!$B$2:$H$1128,4,FALSE))</f>
        <v>Laurentides</v>
      </c>
      <c r="T686" s="2" t="s">
        <v>4027</v>
      </c>
      <c r="U686" s="2" t="s">
        <v>39</v>
      </c>
      <c r="V686" s="2" t="s">
        <v>40</v>
      </c>
      <c r="W686" s="2" t="s">
        <v>4028</v>
      </c>
      <c r="X686" s="2"/>
      <c r="Y686" s="2"/>
      <c r="Z686" s="2"/>
      <c r="AA686" s="2" t="s">
        <v>832</v>
      </c>
      <c r="AB686" s="2" t="s">
        <v>73</v>
      </c>
      <c r="AC686" s="4" t="s">
        <v>44</v>
      </c>
    </row>
    <row r="687" spans="1:29" x14ac:dyDescent="0.25">
      <c r="A687" s="1">
        <v>4168</v>
      </c>
      <c r="B687" s="17" t="s">
        <v>4029</v>
      </c>
      <c r="C687" s="2" t="s">
        <v>4030</v>
      </c>
      <c r="D687" s="15" t="s">
        <v>4031</v>
      </c>
      <c r="E687" s="9" t="s">
        <v>101</v>
      </c>
      <c r="F687" s="9" t="s">
        <v>2018</v>
      </c>
      <c r="G687" s="9" t="s">
        <v>92</v>
      </c>
      <c r="H687" s="2" t="s">
        <v>35</v>
      </c>
      <c r="I687" s="3">
        <v>35402</v>
      </c>
      <c r="J687" s="9" t="str">
        <f t="shared" ca="1" si="12"/>
        <v>26 ans</v>
      </c>
      <c r="K687" s="2" t="s">
        <v>36</v>
      </c>
      <c r="L687" s="2" t="str">
        <f>"113"</f>
        <v>113</v>
      </c>
      <c r="M687" s="2"/>
      <c r="N687" s="2" t="str">
        <f>"CHEMIN DU LAC ÉCHO"</f>
        <v>CHEMIN DU LAC ÉCHO</v>
      </c>
      <c r="O687" s="2" t="s">
        <v>3185</v>
      </c>
      <c r="P687" s="9" t="str">
        <f>VLOOKUP($O687,'Liste des Villes'!$B$2:$B$1128,1,FALSE)</f>
        <v>Saint-Jérôme</v>
      </c>
      <c r="Q687" s="9" t="str">
        <f>IFERROR($P687,PROPER(VLOOKUP($O687,'Villes en erreur'!$A$2:$B$72,2,FALSE)))</f>
        <v>Saint-Jérôme</v>
      </c>
      <c r="R687" s="9" t="s">
        <v>3186</v>
      </c>
      <c r="S687" s="9" t="str">
        <f>IF(ISBLANK($R687),"",VLOOKUP($R687,'Liste des Villes'!$B$2:$H$1128,4,FALSE))</f>
        <v>Laurentides</v>
      </c>
      <c r="T687" s="2" t="s">
        <v>4032</v>
      </c>
      <c r="U687" s="2" t="s">
        <v>39</v>
      </c>
      <c r="V687" s="2" t="s">
        <v>40</v>
      </c>
      <c r="W687" s="2" t="s">
        <v>4033</v>
      </c>
      <c r="X687" s="2"/>
      <c r="Y687" s="2"/>
      <c r="Z687" s="2"/>
      <c r="AA687" s="2" t="s">
        <v>3199</v>
      </c>
      <c r="AB687" s="2" t="s">
        <v>3200</v>
      </c>
      <c r="AC687" s="4" t="s">
        <v>44</v>
      </c>
    </row>
    <row r="688" spans="1:29" x14ac:dyDescent="0.25">
      <c r="A688" s="1">
        <v>2030</v>
      </c>
      <c r="B688" s="17" t="s">
        <v>4034</v>
      </c>
      <c r="C688" s="2" t="s">
        <v>4035</v>
      </c>
      <c r="D688" s="15" t="s">
        <v>4036</v>
      </c>
      <c r="E688" s="9" t="s">
        <v>610</v>
      </c>
      <c r="F688" s="9" t="s">
        <v>2099</v>
      </c>
      <c r="G688" s="9" t="s">
        <v>4037</v>
      </c>
      <c r="H688" s="2" t="s">
        <v>60</v>
      </c>
      <c r="I688" s="3">
        <v>34004</v>
      </c>
      <c r="J688" s="9" t="str">
        <f t="shared" ca="1" si="12"/>
        <v>30 ans</v>
      </c>
      <c r="K688" s="2" t="s">
        <v>36</v>
      </c>
      <c r="L688" s="2" t="str">
        <f>"43"</f>
        <v>43</v>
      </c>
      <c r="M688" s="2"/>
      <c r="N688" s="2" t="str">
        <f>"BOUL DES GRANDES PRAIRIES"</f>
        <v>BOUL DES GRANDES PRAIRIES</v>
      </c>
      <c r="O688" s="2" t="s">
        <v>3185</v>
      </c>
      <c r="P688" s="9" t="str">
        <f>VLOOKUP($O688,'Liste des Villes'!$B$2:$B$1128,1,FALSE)</f>
        <v>Saint-Jérôme</v>
      </c>
      <c r="Q688" s="9" t="str">
        <f>IFERROR($P688,PROPER(VLOOKUP($O688,'Villes en erreur'!$A$2:$B$72,2,FALSE)))</f>
        <v>Saint-Jérôme</v>
      </c>
      <c r="R688" s="9" t="s">
        <v>3186</v>
      </c>
      <c r="S688" s="9" t="str">
        <f>IF(ISBLANK($R688),"",VLOOKUP($R688,'Liste des Villes'!$B$2:$H$1128,4,FALSE))</f>
        <v>Laurentides</v>
      </c>
      <c r="T688" s="2" t="s">
        <v>3205</v>
      </c>
      <c r="U688" s="2" t="s">
        <v>39</v>
      </c>
      <c r="V688" s="2" t="s">
        <v>40</v>
      </c>
      <c r="W688" s="2" t="s">
        <v>4038</v>
      </c>
      <c r="X688" s="2"/>
      <c r="Y688" s="2"/>
      <c r="Z688" s="2"/>
      <c r="AA688" s="2" t="s">
        <v>3207</v>
      </c>
      <c r="AB688" s="2" t="s">
        <v>53</v>
      </c>
      <c r="AC688" s="4" t="s">
        <v>44</v>
      </c>
    </row>
    <row r="689" spans="1:29" x14ac:dyDescent="0.25">
      <c r="A689" s="1">
        <v>607</v>
      </c>
      <c r="B689" s="17" t="s">
        <v>4039</v>
      </c>
      <c r="C689" s="2" t="s">
        <v>410</v>
      </c>
      <c r="D689" s="15" t="s">
        <v>411</v>
      </c>
      <c r="E689" s="9" t="s">
        <v>85</v>
      </c>
      <c r="F689" s="9" t="s">
        <v>2291</v>
      </c>
      <c r="G689" s="9" t="s">
        <v>4040</v>
      </c>
      <c r="H689" s="2" t="s">
        <v>35</v>
      </c>
      <c r="I689" s="3">
        <v>35179</v>
      </c>
      <c r="J689" s="9" t="str">
        <f t="shared" ca="1" si="12"/>
        <v>27 ans</v>
      </c>
      <c r="K689" s="2" t="s">
        <v>36</v>
      </c>
      <c r="L689" s="2" t="str">
        <f>"104"</f>
        <v>104</v>
      </c>
      <c r="M689" s="2"/>
      <c r="N689" s="2" t="str">
        <f>"CH SAN-AIR"</f>
        <v>CH SAN-AIR</v>
      </c>
      <c r="O689" s="2" t="s">
        <v>3185</v>
      </c>
      <c r="P689" s="9" t="str">
        <f>VLOOKUP($O689,'Liste des Villes'!$B$2:$B$1128,1,FALSE)</f>
        <v>Saint-Jérôme</v>
      </c>
      <c r="Q689" s="9" t="str">
        <f>IFERROR($P689,PROPER(VLOOKUP($O689,'Villes en erreur'!$A$2:$B$72,2,FALSE)))</f>
        <v>Saint-Jérôme</v>
      </c>
      <c r="R689" s="9" t="s">
        <v>3186</v>
      </c>
      <c r="S689" s="9" t="str">
        <f>IF(ISBLANK($R689),"",VLOOKUP($R689,'Liste des Villes'!$B$2:$H$1128,4,FALSE))</f>
        <v>Laurentides</v>
      </c>
      <c r="T689" s="2" t="s">
        <v>3187</v>
      </c>
      <c r="U689" s="2" t="s">
        <v>39</v>
      </c>
      <c r="V689" s="2" t="s">
        <v>40</v>
      </c>
      <c r="W689" s="2" t="s">
        <v>4041</v>
      </c>
      <c r="X689" s="2"/>
      <c r="Y689" s="2"/>
      <c r="Z689" s="2"/>
      <c r="AA689" s="2" t="s">
        <v>3189</v>
      </c>
      <c r="AB689" s="2" t="s">
        <v>3190</v>
      </c>
      <c r="AC689" s="4" t="s">
        <v>44</v>
      </c>
    </row>
    <row r="690" spans="1:29" x14ac:dyDescent="0.25">
      <c r="A690" s="1">
        <v>165</v>
      </c>
      <c r="B690" s="17" t="s">
        <v>4042</v>
      </c>
      <c r="C690" s="2" t="s">
        <v>4043</v>
      </c>
      <c r="D690" s="15" t="s">
        <v>4044</v>
      </c>
      <c r="E690" s="9" t="s">
        <v>495</v>
      </c>
      <c r="F690" s="9" t="s">
        <v>2801</v>
      </c>
      <c r="G690" s="9" t="s">
        <v>4045</v>
      </c>
      <c r="H690" s="2" t="s">
        <v>35</v>
      </c>
      <c r="I690" s="3">
        <v>35332</v>
      </c>
      <c r="J690" s="9" t="str">
        <f t="shared" ca="1" si="12"/>
        <v>26 ans</v>
      </c>
      <c r="K690" s="2" t="s">
        <v>36</v>
      </c>
      <c r="L690" s="2" t="str">
        <f>"110"</f>
        <v>110</v>
      </c>
      <c r="M690" s="2"/>
      <c r="N690" s="2" t="str">
        <f>"CHEMIN DES HAUTEURS"</f>
        <v>CHEMIN DES HAUTEURS</v>
      </c>
      <c r="O690" s="2" t="s">
        <v>3185</v>
      </c>
      <c r="P690" s="9" t="str">
        <f>VLOOKUP($O690,'Liste des Villes'!$B$2:$B$1128,1,FALSE)</f>
        <v>Saint-Jérôme</v>
      </c>
      <c r="Q690" s="9" t="str">
        <f>IFERROR($P690,PROPER(VLOOKUP($O690,'Villes en erreur'!$A$2:$B$72,2,FALSE)))</f>
        <v>Saint-Jérôme</v>
      </c>
      <c r="R690" s="9" t="s">
        <v>3186</v>
      </c>
      <c r="S690" s="9" t="str">
        <f>IF(ISBLANK($R690),"",VLOOKUP($R690,'Liste des Villes'!$B$2:$H$1128,4,FALSE))</f>
        <v>Laurentides</v>
      </c>
      <c r="T690" s="2" t="s">
        <v>4046</v>
      </c>
      <c r="U690" s="2" t="s">
        <v>39</v>
      </c>
      <c r="V690" s="2" t="s">
        <v>40</v>
      </c>
      <c r="W690" s="2" t="s">
        <v>4047</v>
      </c>
      <c r="X690" s="2"/>
      <c r="Y690" s="2"/>
      <c r="Z690" s="2"/>
      <c r="AA690" s="2" t="s">
        <v>3189</v>
      </c>
      <c r="AB690" s="2" t="s">
        <v>3200</v>
      </c>
      <c r="AC690" s="4" t="s">
        <v>44</v>
      </c>
    </row>
    <row r="691" spans="1:29" x14ac:dyDescent="0.25">
      <c r="A691" s="1">
        <v>2286</v>
      </c>
      <c r="B691" s="17" t="s">
        <v>4048</v>
      </c>
      <c r="C691" s="2" t="s">
        <v>4049</v>
      </c>
      <c r="D691" s="15" t="s">
        <v>4050</v>
      </c>
      <c r="E691" s="9" t="s">
        <v>4051</v>
      </c>
      <c r="F691" s="9" t="s">
        <v>4052</v>
      </c>
      <c r="G691" s="9" t="s">
        <v>4053</v>
      </c>
      <c r="H691" s="2" t="s">
        <v>60</v>
      </c>
      <c r="I691" s="3">
        <v>34009</v>
      </c>
      <c r="J691" s="9" t="str">
        <f t="shared" ca="1" si="12"/>
        <v>30 ans</v>
      </c>
      <c r="K691" s="2" t="s">
        <v>36</v>
      </c>
      <c r="L691" s="2" t="str">
        <f>"43"</f>
        <v>43</v>
      </c>
      <c r="M691" s="2"/>
      <c r="N691" s="2" t="str">
        <f>"BOUL DU CURE LABELLE"</f>
        <v>BOUL DU CURE LABELLE</v>
      </c>
      <c r="O691" s="2" t="s">
        <v>3185</v>
      </c>
      <c r="P691" s="9" t="str">
        <f>VLOOKUP($O691,'Liste des Villes'!$B$2:$B$1128,1,FALSE)</f>
        <v>Saint-Jérôme</v>
      </c>
      <c r="Q691" s="9" t="str">
        <f>IFERROR($P691,PROPER(VLOOKUP($O691,'Villes en erreur'!$A$2:$B$72,2,FALSE)))</f>
        <v>Saint-Jérôme</v>
      </c>
      <c r="R691" s="9" t="s">
        <v>3186</v>
      </c>
      <c r="S691" s="9" t="str">
        <f>IF(ISBLANK($R691),"",VLOOKUP($R691,'Liste des Villes'!$B$2:$H$1128,4,FALSE))</f>
        <v>Laurentides</v>
      </c>
      <c r="T691" s="2" t="s">
        <v>3205</v>
      </c>
      <c r="U691" s="2" t="s">
        <v>39</v>
      </c>
      <c r="V691" s="2" t="s">
        <v>40</v>
      </c>
      <c r="W691" s="2" t="s">
        <v>4054</v>
      </c>
      <c r="X691" s="2"/>
      <c r="Y691" s="2"/>
      <c r="Z691" s="2"/>
      <c r="AA691" s="2" t="s">
        <v>3207</v>
      </c>
      <c r="AB691" s="2" t="s">
        <v>53</v>
      </c>
      <c r="AC691" s="4" t="s">
        <v>44</v>
      </c>
    </row>
    <row r="692" spans="1:29" x14ac:dyDescent="0.25">
      <c r="A692" s="1">
        <v>133</v>
      </c>
      <c r="B692" s="17" t="s">
        <v>4055</v>
      </c>
      <c r="C692" s="2" t="s">
        <v>4056</v>
      </c>
      <c r="D692" s="15" t="s">
        <v>4057</v>
      </c>
      <c r="E692" s="9" t="s">
        <v>3013</v>
      </c>
      <c r="F692" s="9" t="s">
        <v>4058</v>
      </c>
      <c r="G692" s="9" t="s">
        <v>332</v>
      </c>
      <c r="H692" s="2" t="s">
        <v>60</v>
      </c>
      <c r="I692" s="3">
        <v>35552</v>
      </c>
      <c r="J692" s="9" t="str">
        <f t="shared" ca="1" si="12"/>
        <v>26 ans</v>
      </c>
      <c r="K692" s="2" t="s">
        <v>36</v>
      </c>
      <c r="L692" s="2" t="str">
        <f>"124"</f>
        <v>124</v>
      </c>
      <c r="M692" s="2"/>
      <c r="N692" s="2" t="str">
        <f>"CROIS DE BOURGOGNE"</f>
        <v>CROIS DE BOURGOGNE</v>
      </c>
      <c r="O692" s="2" t="s">
        <v>3185</v>
      </c>
      <c r="P692" s="9" t="str">
        <f>VLOOKUP($O692,'Liste des Villes'!$B$2:$B$1128,1,FALSE)</f>
        <v>Saint-Jérôme</v>
      </c>
      <c r="Q692" s="9" t="str">
        <f>IFERROR($P692,PROPER(VLOOKUP($O692,'Villes en erreur'!$A$2:$B$72,2,FALSE)))</f>
        <v>Saint-Jérôme</v>
      </c>
      <c r="R692" s="9" t="s">
        <v>3186</v>
      </c>
      <c r="S692" s="9" t="str">
        <f>IF(ISBLANK($R692),"",VLOOKUP($R692,'Liste des Villes'!$B$2:$H$1128,4,FALSE))</f>
        <v>Laurentides</v>
      </c>
      <c r="T692" s="2" t="s">
        <v>3740</v>
      </c>
      <c r="U692" s="2" t="s">
        <v>39</v>
      </c>
      <c r="V692" s="2" t="s">
        <v>40</v>
      </c>
      <c r="W692" s="2" t="s">
        <v>4059</v>
      </c>
      <c r="X692" s="2"/>
      <c r="Y692" s="2"/>
      <c r="Z692" s="2"/>
      <c r="AA692" s="2" t="s">
        <v>3199</v>
      </c>
      <c r="AB692" s="2" t="s">
        <v>3221</v>
      </c>
      <c r="AC692" s="4" t="s">
        <v>44</v>
      </c>
    </row>
    <row r="693" spans="1:29" x14ac:dyDescent="0.25">
      <c r="A693" s="1">
        <v>3340</v>
      </c>
      <c r="B693" s="17" t="s">
        <v>4060</v>
      </c>
      <c r="C693" s="2" t="s">
        <v>4061</v>
      </c>
      <c r="D693" s="15" t="s">
        <v>1362</v>
      </c>
      <c r="E693" s="9" t="s">
        <v>79</v>
      </c>
      <c r="F693" s="9" t="s">
        <v>1360</v>
      </c>
      <c r="G693" s="9" t="s">
        <v>2635</v>
      </c>
      <c r="H693" s="2" t="s">
        <v>60</v>
      </c>
      <c r="I693" s="3">
        <v>35774</v>
      </c>
      <c r="J693" s="9" t="str">
        <f t="shared" ca="1" si="12"/>
        <v>25 ans</v>
      </c>
      <c r="K693" s="2" t="s">
        <v>123</v>
      </c>
      <c r="L693" s="2" t="str">
        <f>"141"</f>
        <v>141</v>
      </c>
      <c r="M693" s="2"/>
      <c r="N693" s="2" t="str">
        <f>"GALLAND BLVD"</f>
        <v>GALLAND BLVD</v>
      </c>
      <c r="O693" s="2" t="s">
        <v>3185</v>
      </c>
      <c r="P693" s="9" t="str">
        <f>VLOOKUP($O693,'Liste des Villes'!$B$2:$B$1128,1,FALSE)</f>
        <v>Saint-Jérôme</v>
      </c>
      <c r="Q693" s="9" t="str">
        <f>IFERROR($P693,PROPER(VLOOKUP($O693,'Villes en erreur'!$A$2:$B$72,2,FALSE)))</f>
        <v>Saint-Jérôme</v>
      </c>
      <c r="R693" s="9" t="s">
        <v>3186</v>
      </c>
      <c r="S693" s="9" t="str">
        <f>IF(ISBLANK($R693),"",VLOOKUP($R693,'Liste des Villes'!$B$2:$H$1128,4,FALSE))</f>
        <v>Laurentides</v>
      </c>
      <c r="T693" s="2" t="s">
        <v>4062</v>
      </c>
      <c r="U693" s="2" t="s">
        <v>39</v>
      </c>
      <c r="V693" s="2" t="s">
        <v>40</v>
      </c>
      <c r="W693" s="2" t="s">
        <v>4063</v>
      </c>
      <c r="X693" s="2"/>
      <c r="Y693" s="2"/>
      <c r="Z693" s="2"/>
      <c r="AA693" s="2" t="s">
        <v>3243</v>
      </c>
      <c r="AB693" s="2" t="s">
        <v>3221</v>
      </c>
      <c r="AC693" s="4" t="s">
        <v>44</v>
      </c>
    </row>
    <row r="694" spans="1:29" x14ac:dyDescent="0.25">
      <c r="A694" s="1">
        <v>1865</v>
      </c>
      <c r="B694" s="17" t="s">
        <v>4064</v>
      </c>
      <c r="C694" s="2" t="s">
        <v>4065</v>
      </c>
      <c r="D694" s="15" t="s">
        <v>4066</v>
      </c>
      <c r="E694" s="9" t="s">
        <v>1207</v>
      </c>
      <c r="F694" s="9" t="s">
        <v>4067</v>
      </c>
      <c r="G694" s="9" t="s">
        <v>4068</v>
      </c>
      <c r="H694" s="2" t="s">
        <v>60</v>
      </c>
      <c r="I694" s="3">
        <v>36236</v>
      </c>
      <c r="J694" s="9" t="str">
        <f t="shared" ca="1" si="12"/>
        <v>24 ans</v>
      </c>
      <c r="K694" s="2" t="s">
        <v>123</v>
      </c>
      <c r="L694" s="2" t="str">
        <f>"260"</f>
        <v>260</v>
      </c>
      <c r="M694" s="2"/>
      <c r="N694" s="2" t="str">
        <f>"RUE BÉGIN"</f>
        <v>RUE BÉGIN</v>
      </c>
      <c r="O694" s="2" t="s">
        <v>3185</v>
      </c>
      <c r="P694" s="9" t="str">
        <f>VLOOKUP($O694,'Liste des Villes'!$B$2:$B$1128,1,FALSE)</f>
        <v>Saint-Jérôme</v>
      </c>
      <c r="Q694" s="9" t="str">
        <f>IFERROR($P694,PROPER(VLOOKUP($O694,'Villes en erreur'!$A$2:$B$72,2,FALSE)))</f>
        <v>Saint-Jérôme</v>
      </c>
      <c r="R694" s="9" t="s">
        <v>3186</v>
      </c>
      <c r="S694" s="9" t="str">
        <f>IF(ISBLANK($R694),"",VLOOKUP($R694,'Liste des Villes'!$B$2:$H$1128,4,FALSE))</f>
        <v>Laurentides</v>
      </c>
      <c r="T694" s="2" t="s">
        <v>3598</v>
      </c>
      <c r="U694" s="2" t="s">
        <v>39</v>
      </c>
      <c r="V694" s="2" t="s">
        <v>40</v>
      </c>
      <c r="W694" s="2" t="s">
        <v>4069</v>
      </c>
      <c r="X694" s="2"/>
      <c r="Y694" s="2"/>
      <c r="Z694" s="2"/>
      <c r="AA694" s="2" t="s">
        <v>832</v>
      </c>
      <c r="AB694" s="2" t="s">
        <v>73</v>
      </c>
      <c r="AC694" s="4" t="s">
        <v>44</v>
      </c>
    </row>
    <row r="695" spans="1:29" x14ac:dyDescent="0.25">
      <c r="A695" s="1">
        <v>1259</v>
      </c>
      <c r="B695" s="17" t="s">
        <v>4070</v>
      </c>
      <c r="C695" s="2" t="s">
        <v>4071</v>
      </c>
      <c r="D695" s="15" t="s">
        <v>4072</v>
      </c>
      <c r="E695" s="9" t="s">
        <v>4073</v>
      </c>
      <c r="F695" s="9" t="s">
        <v>1206</v>
      </c>
      <c r="G695" s="9" t="s">
        <v>4074</v>
      </c>
      <c r="H695" s="2" t="s">
        <v>60</v>
      </c>
      <c r="I695" s="3">
        <v>35746</v>
      </c>
      <c r="J695" s="9" t="str">
        <f t="shared" ca="1" si="12"/>
        <v>25 ans</v>
      </c>
      <c r="K695" s="2" t="s">
        <v>123</v>
      </c>
      <c r="L695" s="2" t="str">
        <f>"139"</f>
        <v>139</v>
      </c>
      <c r="M695" s="2"/>
      <c r="N695" s="2" t="str">
        <f>"DU DOMAINE BLVD"</f>
        <v>DU DOMAINE BLVD</v>
      </c>
      <c r="O695" s="2" t="s">
        <v>3185</v>
      </c>
      <c r="P695" s="9" t="str">
        <f>VLOOKUP($O695,'Liste des Villes'!$B$2:$B$1128,1,FALSE)</f>
        <v>Saint-Jérôme</v>
      </c>
      <c r="Q695" s="9" t="str">
        <f>IFERROR($P695,PROPER(VLOOKUP($O695,'Villes en erreur'!$A$2:$B$72,2,FALSE)))</f>
        <v>Saint-Jérôme</v>
      </c>
      <c r="R695" s="9" t="s">
        <v>3186</v>
      </c>
      <c r="S695" s="9" t="str">
        <f>IF(ISBLANK($R695),"",VLOOKUP($R695,'Liste des Villes'!$B$2:$H$1128,4,FALSE))</f>
        <v>Laurentides</v>
      </c>
      <c r="T695" s="2" t="s">
        <v>4075</v>
      </c>
      <c r="U695" s="2" t="s">
        <v>39</v>
      </c>
      <c r="V695" s="2" t="s">
        <v>40</v>
      </c>
      <c r="W695" s="2" t="s">
        <v>4076</v>
      </c>
      <c r="X695" s="2"/>
      <c r="Y695" s="2"/>
      <c r="Z695" s="2"/>
      <c r="AA695" s="2" t="s">
        <v>3243</v>
      </c>
      <c r="AB695" s="2" t="s">
        <v>3221</v>
      </c>
      <c r="AC695" s="4" t="s">
        <v>44</v>
      </c>
    </row>
    <row r="696" spans="1:29" x14ac:dyDescent="0.25">
      <c r="A696" s="1">
        <v>2608</v>
      </c>
      <c r="B696" s="17" t="s">
        <v>4077</v>
      </c>
      <c r="C696" s="2" t="s">
        <v>4078</v>
      </c>
      <c r="D696" s="15" t="s">
        <v>4079</v>
      </c>
      <c r="E696" s="9" t="s">
        <v>271</v>
      </c>
      <c r="F696" s="9" t="s">
        <v>4080</v>
      </c>
      <c r="G696" s="9" t="s">
        <v>4081</v>
      </c>
      <c r="H696" s="2" t="s">
        <v>35</v>
      </c>
      <c r="I696" s="3">
        <v>35054</v>
      </c>
      <c r="J696" s="9" t="str">
        <f t="shared" ca="1" si="12"/>
        <v>27 ans</v>
      </c>
      <c r="K696" s="2" t="s">
        <v>36</v>
      </c>
      <c r="L696" s="2" t="str">
        <f>"99"</f>
        <v>99</v>
      </c>
      <c r="M696" s="2"/>
      <c r="N696" s="2" t="str">
        <f>"CH DU ROI"</f>
        <v>CH DU ROI</v>
      </c>
      <c r="O696" s="2" t="s">
        <v>3185</v>
      </c>
      <c r="P696" s="9" t="str">
        <f>VLOOKUP($O696,'Liste des Villes'!$B$2:$B$1128,1,FALSE)</f>
        <v>Saint-Jérôme</v>
      </c>
      <c r="Q696" s="9" t="str">
        <f>IFERROR($P696,PROPER(VLOOKUP($O696,'Villes en erreur'!$A$2:$B$72,2,FALSE)))</f>
        <v>Saint-Jérôme</v>
      </c>
      <c r="R696" s="9" t="s">
        <v>3186</v>
      </c>
      <c r="S696" s="9" t="str">
        <f>IF(ISBLANK($R696),"",VLOOKUP($R696,'Liste des Villes'!$B$2:$H$1128,4,FALSE))</f>
        <v>Laurentides</v>
      </c>
      <c r="T696" s="2" t="s">
        <v>3187</v>
      </c>
      <c r="U696" s="2" t="s">
        <v>39</v>
      </c>
      <c r="V696" s="2" t="s">
        <v>40</v>
      </c>
      <c r="W696" s="2" t="s">
        <v>4082</v>
      </c>
      <c r="X696" s="2"/>
      <c r="Y696" s="2"/>
      <c r="Z696" s="2"/>
      <c r="AA696" s="2" t="s">
        <v>3189</v>
      </c>
      <c r="AB696" s="2" t="s">
        <v>3190</v>
      </c>
      <c r="AC696" s="4" t="s">
        <v>44</v>
      </c>
    </row>
    <row r="697" spans="1:29" x14ac:dyDescent="0.25">
      <c r="A697" s="1">
        <v>4298</v>
      </c>
      <c r="B697" s="17" t="s">
        <v>4083</v>
      </c>
      <c r="C697" s="2" t="s">
        <v>4084</v>
      </c>
      <c r="D697" s="15" t="s">
        <v>4085</v>
      </c>
      <c r="E697" s="9" t="s">
        <v>4086</v>
      </c>
      <c r="F697" s="9" t="s">
        <v>4087</v>
      </c>
      <c r="G697" s="9" t="s">
        <v>4088</v>
      </c>
      <c r="H697" s="2" t="s">
        <v>60</v>
      </c>
      <c r="I697" s="3">
        <v>35118</v>
      </c>
      <c r="J697" s="9" t="str">
        <f t="shared" ca="1" si="12"/>
        <v>27 ans</v>
      </c>
      <c r="K697" s="2" t="s">
        <v>36</v>
      </c>
      <c r="L697" s="2" t="str">
        <f>"101"</f>
        <v>101</v>
      </c>
      <c r="M697" s="2"/>
      <c r="N697" s="2" t="str">
        <f>"CH MORGAN"</f>
        <v>CH MORGAN</v>
      </c>
      <c r="O697" s="2" t="s">
        <v>3185</v>
      </c>
      <c r="P697" s="9" t="str">
        <f>VLOOKUP($O697,'Liste des Villes'!$B$2:$B$1128,1,FALSE)</f>
        <v>Saint-Jérôme</v>
      </c>
      <c r="Q697" s="9" t="str">
        <f>IFERROR($P697,PROPER(VLOOKUP($O697,'Villes en erreur'!$A$2:$B$72,2,FALSE)))</f>
        <v>Saint-Jérôme</v>
      </c>
      <c r="R697" s="9" t="s">
        <v>3186</v>
      </c>
      <c r="S697" s="9" t="str">
        <f>IF(ISBLANK($R697),"",VLOOKUP($R697,'Liste des Villes'!$B$2:$H$1128,4,FALSE))</f>
        <v>Laurentides</v>
      </c>
      <c r="T697" s="2" t="s">
        <v>3187</v>
      </c>
      <c r="U697" s="2" t="s">
        <v>39</v>
      </c>
      <c r="V697" s="2" t="s">
        <v>40</v>
      </c>
      <c r="W697" s="2" t="s">
        <v>4089</v>
      </c>
      <c r="X697" s="2"/>
      <c r="Y697" s="2"/>
      <c r="Z697" s="2"/>
      <c r="AA697" s="2" t="s">
        <v>3189</v>
      </c>
      <c r="AB697" s="2" t="s">
        <v>3190</v>
      </c>
      <c r="AC697" s="4" t="s">
        <v>44</v>
      </c>
    </row>
    <row r="698" spans="1:29" x14ac:dyDescent="0.25">
      <c r="A698" s="1">
        <v>2708</v>
      </c>
      <c r="B698" s="17" t="s">
        <v>4090</v>
      </c>
      <c r="C698" s="2" t="s">
        <v>4091</v>
      </c>
      <c r="D698" s="15" t="s">
        <v>4050</v>
      </c>
      <c r="E698" s="9" t="s">
        <v>4092</v>
      </c>
      <c r="F698" s="9" t="s">
        <v>4093</v>
      </c>
      <c r="G698" s="9" t="s">
        <v>3404</v>
      </c>
      <c r="H698" s="2" t="s">
        <v>35</v>
      </c>
      <c r="I698" s="3">
        <v>35700</v>
      </c>
      <c r="J698" s="9" t="str">
        <f t="shared" ca="1" si="12"/>
        <v>25 ans</v>
      </c>
      <c r="K698" s="2" t="s">
        <v>123</v>
      </c>
      <c r="L698" s="2" t="str">
        <f>"135"</f>
        <v>135</v>
      </c>
      <c r="M698" s="2"/>
      <c r="N698" s="2" t="str">
        <f>"DES OMBRES"</f>
        <v>DES OMBRES</v>
      </c>
      <c r="O698" s="2" t="s">
        <v>3185</v>
      </c>
      <c r="P698" s="9" t="str">
        <f>VLOOKUP($O698,'Liste des Villes'!$B$2:$B$1128,1,FALSE)</f>
        <v>Saint-Jérôme</v>
      </c>
      <c r="Q698" s="9" t="str">
        <f>IFERROR($P698,PROPER(VLOOKUP($O698,'Villes en erreur'!$A$2:$B$72,2,FALSE)))</f>
        <v>Saint-Jérôme</v>
      </c>
      <c r="R698" s="9" t="s">
        <v>3186</v>
      </c>
      <c r="S698" s="9" t="str">
        <f>IF(ISBLANK($R698),"",VLOOKUP($R698,'Liste des Villes'!$B$2:$H$1128,4,FALSE))</f>
        <v>Laurentides</v>
      </c>
      <c r="T698" s="2" t="s">
        <v>4094</v>
      </c>
      <c r="U698" s="2" t="s">
        <v>39</v>
      </c>
      <c r="V698" s="2" t="s">
        <v>40</v>
      </c>
      <c r="W698" s="2" t="s">
        <v>4095</v>
      </c>
      <c r="X698" s="2"/>
      <c r="Y698" s="2"/>
      <c r="Z698" s="2"/>
      <c r="AA698" s="2" t="s">
        <v>3243</v>
      </c>
      <c r="AB698" s="2" t="s">
        <v>3221</v>
      </c>
      <c r="AC698" s="4" t="s">
        <v>44</v>
      </c>
    </row>
    <row r="699" spans="1:29" x14ac:dyDescent="0.25">
      <c r="A699" s="1">
        <v>180</v>
      </c>
      <c r="B699" s="17" t="s">
        <v>4096</v>
      </c>
      <c r="C699" s="2" t="s">
        <v>4097</v>
      </c>
      <c r="D699" s="15" t="s">
        <v>4098</v>
      </c>
      <c r="E699" s="9" t="s">
        <v>1037</v>
      </c>
      <c r="F699" s="9" t="s">
        <v>4099</v>
      </c>
      <c r="G699" s="9" t="s">
        <v>1037</v>
      </c>
      <c r="H699" s="2" t="s">
        <v>35</v>
      </c>
      <c r="I699" s="3">
        <v>36076</v>
      </c>
      <c r="J699" s="9" t="str">
        <f t="shared" ca="1" si="12"/>
        <v>24 ans</v>
      </c>
      <c r="K699" s="2" t="s">
        <v>123</v>
      </c>
      <c r="L699" s="2" t="str">
        <f>"200"</f>
        <v>200</v>
      </c>
      <c r="M699" s="2"/>
      <c r="N699" s="2" t="str">
        <f>"RANG SAINTE-GERMAINE"</f>
        <v>RANG SAINTE-GERMAINE</v>
      </c>
      <c r="O699" s="2" t="s">
        <v>3185</v>
      </c>
      <c r="P699" s="9" t="str">
        <f>VLOOKUP($O699,'Liste des Villes'!$B$2:$B$1128,1,FALSE)</f>
        <v>Saint-Jérôme</v>
      </c>
      <c r="Q699" s="9" t="str">
        <f>IFERROR($P699,PROPER(VLOOKUP($O699,'Villes en erreur'!$A$2:$B$72,2,FALSE)))</f>
        <v>Saint-Jérôme</v>
      </c>
      <c r="R699" s="9" t="s">
        <v>3186</v>
      </c>
      <c r="S699" s="9" t="str">
        <f>IF(ISBLANK($R699),"",VLOOKUP($R699,'Liste des Villes'!$B$2:$H$1128,4,FALSE))</f>
        <v>Laurentides</v>
      </c>
      <c r="T699" s="2" t="s">
        <v>4100</v>
      </c>
      <c r="U699" s="2" t="s">
        <v>39</v>
      </c>
      <c r="V699" s="2" t="s">
        <v>40</v>
      </c>
      <c r="W699" s="2" t="s">
        <v>4101</v>
      </c>
      <c r="X699" s="2"/>
      <c r="Y699" s="2"/>
      <c r="Z699" s="2"/>
      <c r="AA699" s="2" t="s">
        <v>832</v>
      </c>
      <c r="AB699" s="2" t="s">
        <v>3221</v>
      </c>
      <c r="AC699" s="4" t="s">
        <v>44</v>
      </c>
    </row>
    <row r="700" spans="1:29" x14ac:dyDescent="0.25">
      <c r="A700" s="1">
        <v>2032</v>
      </c>
      <c r="B700" s="17" t="s">
        <v>4102</v>
      </c>
      <c r="C700" s="2" t="s">
        <v>4103</v>
      </c>
      <c r="D700" s="15" t="s">
        <v>4104</v>
      </c>
      <c r="E700" s="9" t="s">
        <v>188</v>
      </c>
      <c r="F700" s="9" t="s">
        <v>4105</v>
      </c>
      <c r="G700" s="9" t="s">
        <v>4106</v>
      </c>
      <c r="H700" s="2" t="s">
        <v>35</v>
      </c>
      <c r="I700" s="3">
        <v>36034</v>
      </c>
      <c r="J700" s="9" t="str">
        <f t="shared" ca="1" si="12"/>
        <v>24 ans</v>
      </c>
      <c r="K700" s="2" t="s">
        <v>123</v>
      </c>
      <c r="L700" s="2" t="str">
        <f>"185"</f>
        <v>185</v>
      </c>
      <c r="M700" s="2"/>
      <c r="N700" s="2" t="str">
        <f>"PLACE MAXIME"</f>
        <v>PLACE MAXIME</v>
      </c>
      <c r="O700" s="2" t="s">
        <v>3185</v>
      </c>
      <c r="P700" s="9" t="str">
        <f>VLOOKUP($O700,'Liste des Villes'!$B$2:$B$1128,1,FALSE)</f>
        <v>Saint-Jérôme</v>
      </c>
      <c r="Q700" s="9" t="str">
        <f>IFERROR($P700,PROPER(VLOOKUP($O700,'Villes en erreur'!$A$2:$B$72,2,FALSE)))</f>
        <v>Saint-Jérôme</v>
      </c>
      <c r="R700" s="9" t="s">
        <v>3186</v>
      </c>
      <c r="S700" s="9" t="str">
        <f>IF(ISBLANK($R700),"",VLOOKUP($R700,'Liste des Villes'!$B$2:$H$1128,4,FALSE))</f>
        <v>Laurentides</v>
      </c>
      <c r="T700" s="2" t="s">
        <v>4107</v>
      </c>
      <c r="U700" s="2" t="s">
        <v>39</v>
      </c>
      <c r="V700" s="2" t="s">
        <v>40</v>
      </c>
      <c r="W700" s="2" t="s">
        <v>4108</v>
      </c>
      <c r="X700" s="2"/>
      <c r="Y700" s="2"/>
      <c r="Z700" s="2"/>
      <c r="AA700" s="2" t="s">
        <v>832</v>
      </c>
      <c r="AB700" s="2" t="s">
        <v>3221</v>
      </c>
      <c r="AC700" s="4" t="s">
        <v>44</v>
      </c>
    </row>
    <row r="701" spans="1:29" x14ac:dyDescent="0.25">
      <c r="A701" s="1">
        <v>531</v>
      </c>
      <c r="B701" s="17" t="s">
        <v>4109</v>
      </c>
      <c r="C701" s="2" t="s">
        <v>4110</v>
      </c>
      <c r="D701" s="15" t="s">
        <v>451</v>
      </c>
      <c r="E701" s="9" t="s">
        <v>4111</v>
      </c>
      <c r="F701" s="9" t="s">
        <v>4112</v>
      </c>
      <c r="G701" s="9" t="s">
        <v>380</v>
      </c>
      <c r="H701" s="2" t="s">
        <v>60</v>
      </c>
      <c r="I701" s="3">
        <v>34457</v>
      </c>
      <c r="J701" s="9" t="str">
        <f t="shared" ca="1" si="12"/>
        <v>29 ans</v>
      </c>
      <c r="K701" s="2" t="s">
        <v>36</v>
      </c>
      <c r="L701" s="2" t="str">
        <f>"59"</f>
        <v>59</v>
      </c>
      <c r="M701" s="2"/>
      <c r="N701" s="2" t="str">
        <f>"CARREFOUR SAINT PIERRE"</f>
        <v>CARREFOUR SAINT PIERRE</v>
      </c>
      <c r="O701" s="2" t="s">
        <v>3185</v>
      </c>
      <c r="P701" s="9" t="str">
        <f>VLOOKUP($O701,'Liste des Villes'!$B$2:$B$1128,1,FALSE)</f>
        <v>Saint-Jérôme</v>
      </c>
      <c r="Q701" s="9" t="str">
        <f>IFERROR($P701,PROPER(VLOOKUP($O701,'Villes en erreur'!$A$2:$B$72,2,FALSE)))</f>
        <v>Saint-Jérôme</v>
      </c>
      <c r="R701" s="9" t="s">
        <v>3186</v>
      </c>
      <c r="S701" s="9" t="str">
        <f>IF(ISBLANK($R701),"",VLOOKUP($R701,'Liste des Villes'!$B$2:$H$1128,4,FALSE))</f>
        <v>Laurentides</v>
      </c>
      <c r="T701" s="2" t="s">
        <v>3507</v>
      </c>
      <c r="U701" s="2" t="s">
        <v>39</v>
      </c>
      <c r="V701" s="2" t="s">
        <v>40</v>
      </c>
      <c r="W701" s="2" t="s">
        <v>4113</v>
      </c>
      <c r="X701" s="2"/>
      <c r="Y701" s="2"/>
      <c r="Z701" s="2"/>
      <c r="AA701" s="2" t="s">
        <v>3293</v>
      </c>
      <c r="AB701" s="2" t="s">
        <v>53</v>
      </c>
      <c r="AC701" s="4" t="s">
        <v>44</v>
      </c>
    </row>
    <row r="702" spans="1:29" x14ac:dyDescent="0.25">
      <c r="A702" s="1">
        <v>4460</v>
      </c>
      <c r="B702" s="17" t="s">
        <v>4114</v>
      </c>
      <c r="C702" s="2" t="s">
        <v>4115</v>
      </c>
      <c r="D702" s="15" t="s">
        <v>762</v>
      </c>
      <c r="E702" s="9" t="s">
        <v>922</v>
      </c>
      <c r="F702" s="9" t="s">
        <v>684</v>
      </c>
      <c r="G702" s="9" t="s">
        <v>495</v>
      </c>
      <c r="H702" s="2" t="s">
        <v>35</v>
      </c>
      <c r="I702" s="3">
        <v>34513</v>
      </c>
      <c r="J702" s="9" t="str">
        <f t="shared" ca="1" si="12"/>
        <v>29 ans</v>
      </c>
      <c r="K702" s="2" t="s">
        <v>36</v>
      </c>
      <c r="L702" s="2" t="str">
        <f>"62"</f>
        <v>62</v>
      </c>
      <c r="M702" s="2"/>
      <c r="N702" s="2" t="str">
        <f>"CH CLÉMENT-PESANT"</f>
        <v>CH CLÉMENT-PESANT</v>
      </c>
      <c r="O702" s="2" t="s">
        <v>3185</v>
      </c>
      <c r="P702" s="9" t="str">
        <f>VLOOKUP($O702,'Liste des Villes'!$B$2:$B$1128,1,FALSE)</f>
        <v>Saint-Jérôme</v>
      </c>
      <c r="Q702" s="9" t="str">
        <f>IFERROR($P702,PROPER(VLOOKUP($O702,'Villes en erreur'!$A$2:$B$72,2,FALSE)))</f>
        <v>Saint-Jérôme</v>
      </c>
      <c r="R702" s="9" t="s">
        <v>3186</v>
      </c>
      <c r="S702" s="9" t="str">
        <f>IF(ISBLANK($R702),"",VLOOKUP($R702,'Liste des Villes'!$B$2:$H$1128,4,FALSE))</f>
        <v>Laurentides</v>
      </c>
      <c r="T702" s="2" t="s">
        <v>3391</v>
      </c>
      <c r="U702" s="2" t="s">
        <v>39</v>
      </c>
      <c r="V702" s="2" t="s">
        <v>40</v>
      </c>
      <c r="W702" s="2" t="s">
        <v>4116</v>
      </c>
      <c r="X702" s="2"/>
      <c r="Y702" s="2"/>
      <c r="Z702" s="2"/>
      <c r="AA702" s="2" t="s">
        <v>3293</v>
      </c>
      <c r="AB702" s="2" t="s">
        <v>53</v>
      </c>
      <c r="AC702" s="4" t="s">
        <v>44</v>
      </c>
    </row>
    <row r="703" spans="1:29" x14ac:dyDescent="0.25">
      <c r="A703" s="1">
        <v>1269</v>
      </c>
      <c r="B703" s="17" t="s">
        <v>4117</v>
      </c>
      <c r="C703" s="2" t="s">
        <v>2836</v>
      </c>
      <c r="D703" s="15" t="s">
        <v>2837</v>
      </c>
      <c r="E703" s="9" t="s">
        <v>509</v>
      </c>
      <c r="F703" s="9" t="s">
        <v>4118</v>
      </c>
      <c r="G703" s="9" t="s">
        <v>495</v>
      </c>
      <c r="H703" s="2" t="s">
        <v>35</v>
      </c>
      <c r="I703" s="3">
        <v>34712</v>
      </c>
      <c r="J703" s="9" t="str">
        <f t="shared" ca="1" si="12"/>
        <v>28 ans</v>
      </c>
      <c r="K703" s="2" t="s">
        <v>36</v>
      </c>
      <c r="L703" s="2" t="str">
        <f>"71"</f>
        <v>71</v>
      </c>
      <c r="M703" s="2"/>
      <c r="N703" s="2" t="str">
        <f>"CH DE L'ÉQUINOXE"</f>
        <v>CH DE L'ÉQUINOXE</v>
      </c>
      <c r="O703" s="2" t="s">
        <v>3185</v>
      </c>
      <c r="P703" s="9" t="str">
        <f>VLOOKUP($O703,'Liste des Villes'!$B$2:$B$1128,1,FALSE)</f>
        <v>Saint-Jérôme</v>
      </c>
      <c r="Q703" s="9" t="str">
        <f>IFERROR($P703,PROPER(VLOOKUP($O703,'Villes en erreur'!$A$2:$B$72,2,FALSE)))</f>
        <v>Saint-Jérôme</v>
      </c>
      <c r="R703" s="9" t="s">
        <v>3186</v>
      </c>
      <c r="S703" s="9" t="str">
        <f>IF(ISBLANK($R703),"",VLOOKUP($R703,'Liste des Villes'!$B$2:$H$1128,4,FALSE))</f>
        <v>Laurentides</v>
      </c>
      <c r="T703" s="2" t="s">
        <v>4119</v>
      </c>
      <c r="U703" s="2" t="s">
        <v>39</v>
      </c>
      <c r="V703" s="2" t="s">
        <v>40</v>
      </c>
      <c r="W703" s="2" t="s">
        <v>4120</v>
      </c>
      <c r="X703" s="2"/>
      <c r="Y703" s="2"/>
      <c r="Z703" s="2"/>
      <c r="AA703" s="2" t="s">
        <v>3225</v>
      </c>
      <c r="AB703" s="2" t="s">
        <v>53</v>
      </c>
      <c r="AC703" s="4" t="s">
        <v>44</v>
      </c>
    </row>
    <row r="704" spans="1:29" x14ac:dyDescent="0.25">
      <c r="A704" s="1">
        <v>1926</v>
      </c>
      <c r="B704" s="17" t="s">
        <v>4121</v>
      </c>
      <c r="C704" s="2" t="s">
        <v>4122</v>
      </c>
      <c r="D704" s="15" t="s">
        <v>4123</v>
      </c>
      <c r="E704" s="9" t="s">
        <v>4124</v>
      </c>
      <c r="F704" s="9" t="s">
        <v>4125</v>
      </c>
      <c r="G704" s="9" t="s">
        <v>1024</v>
      </c>
      <c r="H704" s="2" t="s">
        <v>35</v>
      </c>
      <c r="I704" s="3">
        <v>36180</v>
      </c>
      <c r="J704" s="9" t="str">
        <f t="shared" ca="1" si="12"/>
        <v>24 ans</v>
      </c>
      <c r="K704" s="2" t="s">
        <v>123</v>
      </c>
      <c r="L704" s="2" t="str">
        <f>"234"</f>
        <v>234</v>
      </c>
      <c r="M704" s="2"/>
      <c r="N704" s="2" t="str">
        <f>"RUE ANDRÉ-RICHARD"</f>
        <v>RUE ANDRÉ-RICHARD</v>
      </c>
      <c r="O704" s="2" t="s">
        <v>3185</v>
      </c>
      <c r="P704" s="9" t="str">
        <f>VLOOKUP($O704,'Liste des Villes'!$B$2:$B$1128,1,FALSE)</f>
        <v>Saint-Jérôme</v>
      </c>
      <c r="Q704" s="9" t="str">
        <f>IFERROR($P704,PROPER(VLOOKUP($O704,'Villes en erreur'!$A$2:$B$72,2,FALSE)))</f>
        <v>Saint-Jérôme</v>
      </c>
      <c r="R704" s="9" t="s">
        <v>3186</v>
      </c>
      <c r="S704" s="9" t="str">
        <f>IF(ISBLANK($R704),"",VLOOKUP($R704,'Liste des Villes'!$B$2:$H$1128,4,FALSE))</f>
        <v>Laurentides</v>
      </c>
      <c r="T704" s="2" t="s">
        <v>3857</v>
      </c>
      <c r="U704" s="2" t="s">
        <v>39</v>
      </c>
      <c r="V704" s="2" t="s">
        <v>40</v>
      </c>
      <c r="W704" s="2" t="s">
        <v>4126</v>
      </c>
      <c r="X704" s="2"/>
      <c r="Y704" s="2"/>
      <c r="Z704" s="2"/>
      <c r="AA704" s="2" t="s">
        <v>832</v>
      </c>
      <c r="AB704" s="2" t="s">
        <v>3221</v>
      </c>
      <c r="AC704" s="4" t="s">
        <v>44</v>
      </c>
    </row>
    <row r="705" spans="1:29" x14ac:dyDescent="0.25">
      <c r="A705" s="1">
        <v>340</v>
      </c>
      <c r="B705" s="17" t="s">
        <v>4127</v>
      </c>
      <c r="C705" s="2" t="s">
        <v>2360</v>
      </c>
      <c r="D705" s="15" t="s">
        <v>2115</v>
      </c>
      <c r="E705" s="9" t="s">
        <v>195</v>
      </c>
      <c r="F705" s="9" t="s">
        <v>4128</v>
      </c>
      <c r="G705" s="9" t="s">
        <v>186</v>
      </c>
      <c r="H705" s="2" t="s">
        <v>60</v>
      </c>
      <c r="I705" s="3">
        <v>34848</v>
      </c>
      <c r="J705" s="9" t="str">
        <f t="shared" ca="1" si="12"/>
        <v>28 ans</v>
      </c>
      <c r="K705" s="2" t="s">
        <v>36</v>
      </c>
      <c r="L705" s="2" t="str">
        <f>"80"</f>
        <v>80</v>
      </c>
      <c r="M705" s="2"/>
      <c r="N705" s="2" t="str">
        <f>"CH DES HAUTS-BOIS"</f>
        <v>CH DES HAUTS-BOIS</v>
      </c>
      <c r="O705" s="2" t="s">
        <v>3185</v>
      </c>
      <c r="P705" s="9" t="str">
        <f>VLOOKUP($O705,'Liste des Villes'!$B$2:$B$1128,1,FALSE)</f>
        <v>Saint-Jérôme</v>
      </c>
      <c r="Q705" s="9" t="str">
        <f>IFERROR($P705,PROPER(VLOOKUP($O705,'Villes en erreur'!$A$2:$B$72,2,FALSE)))</f>
        <v>Saint-Jérôme</v>
      </c>
      <c r="R705" s="9" t="s">
        <v>3186</v>
      </c>
      <c r="S705" s="9" t="str">
        <f>IF(ISBLANK($R705),"",VLOOKUP($R705,'Liste des Villes'!$B$2:$H$1128,4,FALSE))</f>
        <v>Laurentides</v>
      </c>
      <c r="T705" s="2" t="s">
        <v>3187</v>
      </c>
      <c r="U705" s="2" t="s">
        <v>39</v>
      </c>
      <c r="V705" s="2" t="s">
        <v>40</v>
      </c>
      <c r="W705" s="2" t="s">
        <v>4129</v>
      </c>
      <c r="X705" s="2"/>
      <c r="Y705" s="2"/>
      <c r="Z705" s="2"/>
      <c r="AA705" s="2" t="s">
        <v>3231</v>
      </c>
      <c r="AB705" s="2" t="s">
        <v>53</v>
      </c>
      <c r="AC705" s="4" t="s">
        <v>44</v>
      </c>
    </row>
    <row r="706" spans="1:29" x14ac:dyDescent="0.25">
      <c r="A706" s="1">
        <v>3177</v>
      </c>
      <c r="B706" s="17" t="s">
        <v>4130</v>
      </c>
      <c r="C706" s="2" t="s">
        <v>4131</v>
      </c>
      <c r="D706" s="15" t="s">
        <v>4132</v>
      </c>
      <c r="E706" s="9" t="s">
        <v>698</v>
      </c>
      <c r="F706" s="9" t="s">
        <v>3042</v>
      </c>
      <c r="G706" s="9" t="s">
        <v>1135</v>
      </c>
      <c r="H706" s="2" t="s">
        <v>60</v>
      </c>
      <c r="I706" s="3">
        <v>36243</v>
      </c>
      <c r="J706" s="9" t="str">
        <f t="shared" ref="J706:J769" ca="1" si="13">_xlfn.CONCAT(INT((TODAY()-$I706)/365.25)," ans")</f>
        <v>24 ans</v>
      </c>
      <c r="K706" s="2" t="s">
        <v>123</v>
      </c>
      <c r="L706" s="2" t="str">
        <f>"264"</f>
        <v>264</v>
      </c>
      <c r="M706" s="2"/>
      <c r="N706" s="2" t="str">
        <f>"RUE BÉLANGER"</f>
        <v>RUE BÉLANGER</v>
      </c>
      <c r="O706" s="2" t="s">
        <v>3185</v>
      </c>
      <c r="P706" s="9" t="str">
        <f>VLOOKUP($O706,'Liste des Villes'!$B$2:$B$1128,1,FALSE)</f>
        <v>Saint-Jérôme</v>
      </c>
      <c r="Q706" s="9" t="str">
        <f>IFERROR($P706,PROPER(VLOOKUP($O706,'Villes en erreur'!$A$2:$B$72,2,FALSE)))</f>
        <v>Saint-Jérôme</v>
      </c>
      <c r="R706" s="9" t="s">
        <v>3186</v>
      </c>
      <c r="S706" s="9" t="str">
        <f>IF(ISBLANK($R706),"",VLOOKUP($R706,'Liste des Villes'!$B$2:$H$1128,4,FALSE))</f>
        <v>Laurentides</v>
      </c>
      <c r="T706" s="2" t="s">
        <v>3930</v>
      </c>
      <c r="U706" s="2" t="s">
        <v>39</v>
      </c>
      <c r="V706" s="2" t="s">
        <v>40</v>
      </c>
      <c r="W706" s="2" t="s">
        <v>4133</v>
      </c>
      <c r="X706" s="2"/>
      <c r="Y706" s="2"/>
      <c r="Z706" s="2"/>
      <c r="AA706" s="2" t="s">
        <v>832</v>
      </c>
      <c r="AB706" s="2" t="s">
        <v>73</v>
      </c>
      <c r="AC706" s="4" t="s">
        <v>44</v>
      </c>
    </row>
    <row r="707" spans="1:29" x14ac:dyDescent="0.25">
      <c r="A707" s="1">
        <v>3924</v>
      </c>
      <c r="B707" s="17" t="s">
        <v>4134</v>
      </c>
      <c r="C707" s="2" t="s">
        <v>4135</v>
      </c>
      <c r="D707" s="15" t="s">
        <v>4136</v>
      </c>
      <c r="E707" s="9" t="s">
        <v>1355</v>
      </c>
      <c r="F707" s="9" t="s">
        <v>4137</v>
      </c>
      <c r="G707" s="9" t="s">
        <v>3397</v>
      </c>
      <c r="H707" s="2" t="s">
        <v>60</v>
      </c>
      <c r="I707" s="3">
        <v>35293</v>
      </c>
      <c r="J707" s="9" t="str">
        <f t="shared" ca="1" si="13"/>
        <v>27 ans</v>
      </c>
      <c r="K707" s="2" t="s">
        <v>36</v>
      </c>
      <c r="L707" s="2" t="str">
        <f>"108"</f>
        <v>108</v>
      </c>
      <c r="M707" s="2"/>
      <c r="N707" s="2" t="str">
        <f>"CHEMIN DE MILLE ISLES"</f>
        <v>CHEMIN DE MILLE ISLES</v>
      </c>
      <c r="O707" s="2" t="s">
        <v>3185</v>
      </c>
      <c r="P707" s="9" t="str">
        <f>VLOOKUP($O707,'Liste des Villes'!$B$2:$B$1128,1,FALSE)</f>
        <v>Saint-Jérôme</v>
      </c>
      <c r="Q707" s="9" t="str">
        <f>IFERROR($P707,PROPER(VLOOKUP($O707,'Villes en erreur'!$A$2:$B$72,2,FALSE)))</f>
        <v>Saint-Jérôme</v>
      </c>
      <c r="R707" s="9" t="s">
        <v>3186</v>
      </c>
      <c r="S707" s="9" t="str">
        <f>IF(ISBLANK($R707),"",VLOOKUP($R707,'Liste des Villes'!$B$2:$H$1128,4,FALSE))</f>
        <v>Laurentides</v>
      </c>
      <c r="T707" s="2" t="s">
        <v>3684</v>
      </c>
      <c r="U707" s="2" t="s">
        <v>39</v>
      </c>
      <c r="V707" s="2" t="s">
        <v>40</v>
      </c>
      <c r="W707" s="2" t="s">
        <v>4138</v>
      </c>
      <c r="X707" s="2"/>
      <c r="Y707" s="2"/>
      <c r="Z707" s="2"/>
      <c r="AA707" s="2" t="s">
        <v>3189</v>
      </c>
      <c r="AB707" s="2" t="s">
        <v>3190</v>
      </c>
      <c r="AC707" s="4" t="s">
        <v>44</v>
      </c>
    </row>
    <row r="708" spans="1:29" x14ac:dyDescent="0.25">
      <c r="A708" s="1">
        <v>2196</v>
      </c>
      <c r="B708" s="17" t="s">
        <v>4139</v>
      </c>
      <c r="C708" s="2" t="s">
        <v>4140</v>
      </c>
      <c r="D708" s="15" t="s">
        <v>4141</v>
      </c>
      <c r="E708" s="9" t="s">
        <v>2198</v>
      </c>
      <c r="F708" s="9" t="s">
        <v>4142</v>
      </c>
      <c r="G708" s="9" t="s">
        <v>664</v>
      </c>
      <c r="H708" s="2" t="s">
        <v>60</v>
      </c>
      <c r="I708" s="3">
        <v>36002</v>
      </c>
      <c r="J708" s="9" t="str">
        <f t="shared" ca="1" si="13"/>
        <v>25 ans</v>
      </c>
      <c r="K708" s="2" t="s">
        <v>123</v>
      </c>
      <c r="L708" s="2" t="str">
        <f>"177"</f>
        <v>177</v>
      </c>
      <c r="M708" s="2"/>
      <c r="N708" s="2" t="str">
        <f>"PLACE DES HAUTEURS"</f>
        <v>PLACE DES HAUTEURS</v>
      </c>
      <c r="O708" s="2" t="s">
        <v>3185</v>
      </c>
      <c r="P708" s="9" t="str">
        <f>VLOOKUP($O708,'Liste des Villes'!$B$2:$B$1128,1,FALSE)</f>
        <v>Saint-Jérôme</v>
      </c>
      <c r="Q708" s="9" t="str">
        <f>IFERROR($P708,PROPER(VLOOKUP($O708,'Villes en erreur'!$A$2:$B$72,2,FALSE)))</f>
        <v>Saint-Jérôme</v>
      </c>
      <c r="R708" s="9" t="s">
        <v>3186</v>
      </c>
      <c r="S708" s="9" t="str">
        <f>IF(ISBLANK($R708),"",VLOOKUP($R708,'Liste des Villes'!$B$2:$H$1128,4,FALSE))</f>
        <v>Laurentides</v>
      </c>
      <c r="T708" s="2" t="s">
        <v>4143</v>
      </c>
      <c r="U708" s="2" t="s">
        <v>39</v>
      </c>
      <c r="V708" s="2" t="s">
        <v>40</v>
      </c>
      <c r="W708" s="2" t="s">
        <v>4144</v>
      </c>
      <c r="X708" s="2"/>
      <c r="Y708" s="2"/>
      <c r="Z708" s="2"/>
      <c r="AA708" s="2" t="s">
        <v>832</v>
      </c>
      <c r="AB708" s="2" t="s">
        <v>3221</v>
      </c>
      <c r="AC708" s="4" t="s">
        <v>44</v>
      </c>
    </row>
    <row r="709" spans="1:29" x14ac:dyDescent="0.25">
      <c r="A709" s="1">
        <v>634</v>
      </c>
      <c r="B709" s="17" t="s">
        <v>4145</v>
      </c>
      <c r="C709" s="2" t="s">
        <v>4146</v>
      </c>
      <c r="D709" s="15" t="s">
        <v>4147</v>
      </c>
      <c r="E709" s="9" t="s">
        <v>389</v>
      </c>
      <c r="F709" s="9" t="s">
        <v>4148</v>
      </c>
      <c r="G709" s="9" t="s">
        <v>186</v>
      </c>
      <c r="H709" s="2" t="s">
        <v>60</v>
      </c>
      <c r="I709" s="3">
        <v>34879</v>
      </c>
      <c r="J709" s="9" t="str">
        <f t="shared" ca="1" si="13"/>
        <v>28 ans</v>
      </c>
      <c r="K709" s="2" t="s">
        <v>36</v>
      </c>
      <c r="L709" s="2" t="str">
        <f>"82"</f>
        <v>82</v>
      </c>
      <c r="M709" s="2"/>
      <c r="N709" s="2" t="str">
        <f>"CH DES PINS"</f>
        <v>CH DES PINS</v>
      </c>
      <c r="O709" s="2" t="s">
        <v>3185</v>
      </c>
      <c r="P709" s="9" t="str">
        <f>VLOOKUP($O709,'Liste des Villes'!$B$2:$B$1128,1,FALSE)</f>
        <v>Saint-Jérôme</v>
      </c>
      <c r="Q709" s="9" t="str">
        <f>IFERROR($P709,PROPER(VLOOKUP($O709,'Villes en erreur'!$A$2:$B$72,2,FALSE)))</f>
        <v>Saint-Jérôme</v>
      </c>
      <c r="R709" s="9" t="s">
        <v>3186</v>
      </c>
      <c r="S709" s="9" t="str">
        <f>IF(ISBLANK($R709),"",VLOOKUP($R709,'Liste des Villes'!$B$2:$H$1128,4,FALSE))</f>
        <v>Laurentides</v>
      </c>
      <c r="T709" s="2" t="s">
        <v>3187</v>
      </c>
      <c r="U709" s="2" t="s">
        <v>39</v>
      </c>
      <c r="V709" s="2" t="s">
        <v>40</v>
      </c>
      <c r="W709" s="2" t="s">
        <v>4149</v>
      </c>
      <c r="X709" s="2"/>
      <c r="Y709" s="2"/>
      <c r="Z709" s="2"/>
      <c r="AA709" s="2" t="s">
        <v>3231</v>
      </c>
      <c r="AB709" s="2" t="s">
        <v>53</v>
      </c>
      <c r="AC709" s="4" t="s">
        <v>44</v>
      </c>
    </row>
    <row r="710" spans="1:29" x14ac:dyDescent="0.25">
      <c r="A710" s="1">
        <v>2510</v>
      </c>
      <c r="B710" s="17" t="s">
        <v>4150</v>
      </c>
      <c r="C710" s="2" t="s">
        <v>4151</v>
      </c>
      <c r="D710" s="15" t="s">
        <v>4152</v>
      </c>
      <c r="E710" s="9" t="s">
        <v>1377</v>
      </c>
      <c r="F710" s="9" t="s">
        <v>3468</v>
      </c>
      <c r="G710" s="9" t="s">
        <v>4153</v>
      </c>
      <c r="H710" s="2" t="s">
        <v>35</v>
      </c>
      <c r="I710" s="3">
        <v>33959</v>
      </c>
      <c r="J710" s="9" t="str">
        <f t="shared" ca="1" si="13"/>
        <v>30 ans</v>
      </c>
      <c r="K710" s="2" t="s">
        <v>36</v>
      </c>
      <c r="L710" s="2" t="str">
        <f>"42"</f>
        <v>42</v>
      </c>
      <c r="M710" s="2"/>
      <c r="N710" s="2" t="str">
        <f>"BLONDIN"</f>
        <v>BLONDIN</v>
      </c>
      <c r="O710" s="2" t="s">
        <v>3185</v>
      </c>
      <c r="P710" s="9" t="str">
        <f>VLOOKUP($O710,'Liste des Villes'!$B$2:$B$1128,1,FALSE)</f>
        <v>Saint-Jérôme</v>
      </c>
      <c r="Q710" s="9" t="str">
        <f>IFERROR($P710,PROPER(VLOOKUP($O710,'Villes en erreur'!$A$2:$B$72,2,FALSE)))</f>
        <v>Saint-Jérôme</v>
      </c>
      <c r="R710" s="9" t="s">
        <v>3186</v>
      </c>
      <c r="S710" s="9" t="str">
        <f>IF(ISBLANK($R710),"",VLOOKUP($R710,'Liste des Villes'!$B$2:$H$1128,4,FALSE))</f>
        <v>Laurentides</v>
      </c>
      <c r="T710" s="2" t="s">
        <v>4154</v>
      </c>
      <c r="U710" s="2" t="s">
        <v>39</v>
      </c>
      <c r="V710" s="2" t="s">
        <v>40</v>
      </c>
      <c r="W710" s="2" t="s">
        <v>4155</v>
      </c>
      <c r="X710" s="2"/>
      <c r="Y710" s="2"/>
      <c r="Z710" s="2"/>
      <c r="AA710" s="2" t="s">
        <v>3207</v>
      </c>
      <c r="AB710" s="2" t="s">
        <v>53</v>
      </c>
      <c r="AC710" s="4" t="s">
        <v>44</v>
      </c>
    </row>
    <row r="711" spans="1:29" x14ac:dyDescent="0.25">
      <c r="A711" s="1">
        <v>900</v>
      </c>
      <c r="B711" s="17" t="s">
        <v>4156</v>
      </c>
      <c r="C711" s="2" t="s">
        <v>4157</v>
      </c>
      <c r="D711" s="15" t="s">
        <v>788</v>
      </c>
      <c r="E711" s="9" t="s">
        <v>4158</v>
      </c>
      <c r="F711" s="9" t="s">
        <v>1466</v>
      </c>
      <c r="G711" s="9" t="s">
        <v>303</v>
      </c>
      <c r="H711" s="2" t="s">
        <v>60</v>
      </c>
      <c r="I711" s="3">
        <v>34468</v>
      </c>
      <c r="J711" s="9" t="str">
        <f t="shared" ca="1" si="13"/>
        <v>29 ans</v>
      </c>
      <c r="K711" s="2" t="s">
        <v>36</v>
      </c>
      <c r="L711" s="2" t="str">
        <f>"60"</f>
        <v>60</v>
      </c>
      <c r="M711" s="2"/>
      <c r="N711" s="2" t="str">
        <f>"CH ABERCROMBIE"</f>
        <v>CH ABERCROMBIE</v>
      </c>
      <c r="O711" s="2" t="s">
        <v>3185</v>
      </c>
      <c r="P711" s="9" t="str">
        <f>VLOOKUP($O711,'Liste des Villes'!$B$2:$B$1128,1,FALSE)</f>
        <v>Saint-Jérôme</v>
      </c>
      <c r="Q711" s="9" t="str">
        <f>IFERROR($P711,PROPER(VLOOKUP($O711,'Villes en erreur'!$A$2:$B$72,2,FALSE)))</f>
        <v>Saint-Jérôme</v>
      </c>
      <c r="R711" s="9" t="s">
        <v>3186</v>
      </c>
      <c r="S711" s="9" t="str">
        <f>IF(ISBLANK($R711),"",VLOOKUP($R711,'Liste des Villes'!$B$2:$H$1128,4,FALSE))</f>
        <v>Laurentides</v>
      </c>
      <c r="T711" s="2" t="s">
        <v>3507</v>
      </c>
      <c r="U711" s="2" t="s">
        <v>39</v>
      </c>
      <c r="V711" s="2" t="s">
        <v>40</v>
      </c>
      <c r="W711" s="2" t="s">
        <v>4159</v>
      </c>
      <c r="X711" s="2"/>
      <c r="Y711" s="2"/>
      <c r="Z711" s="2"/>
      <c r="AA711" s="2" t="s">
        <v>3293</v>
      </c>
      <c r="AB711" s="2" t="s">
        <v>53</v>
      </c>
      <c r="AC711" s="4" t="s">
        <v>44</v>
      </c>
    </row>
    <row r="712" spans="1:29" x14ac:dyDescent="0.25">
      <c r="A712" s="1">
        <v>2574</v>
      </c>
      <c r="B712" s="17" t="s">
        <v>4160</v>
      </c>
      <c r="C712" s="2" t="s">
        <v>4161</v>
      </c>
      <c r="D712" s="15" t="s">
        <v>4162</v>
      </c>
      <c r="E712" s="9" t="s">
        <v>4163</v>
      </c>
      <c r="F712" s="9" t="s">
        <v>292</v>
      </c>
      <c r="G712" s="9" t="s">
        <v>380</v>
      </c>
      <c r="H712" s="2" t="s">
        <v>60</v>
      </c>
      <c r="I712" s="3">
        <v>34457</v>
      </c>
      <c r="J712" s="9" t="str">
        <f t="shared" ca="1" si="13"/>
        <v>29 ans</v>
      </c>
      <c r="K712" s="2" t="s">
        <v>36</v>
      </c>
      <c r="L712" s="2" t="str">
        <f>"59"</f>
        <v>59</v>
      </c>
      <c r="M712" s="2"/>
      <c r="N712" s="2" t="str">
        <f>"CARRÉ LIONEL-GROULX"</f>
        <v>CARRÉ LIONEL-GROULX</v>
      </c>
      <c r="O712" s="2" t="s">
        <v>3185</v>
      </c>
      <c r="P712" s="9" t="str">
        <f>VLOOKUP($O712,'Liste des Villes'!$B$2:$B$1128,1,FALSE)</f>
        <v>Saint-Jérôme</v>
      </c>
      <c r="Q712" s="9" t="str">
        <f>IFERROR($P712,PROPER(VLOOKUP($O712,'Villes en erreur'!$A$2:$B$72,2,FALSE)))</f>
        <v>Saint-Jérôme</v>
      </c>
      <c r="R712" s="9" t="s">
        <v>3186</v>
      </c>
      <c r="S712" s="9" t="str">
        <f>IF(ISBLANK($R712),"",VLOOKUP($R712,'Liste des Villes'!$B$2:$H$1128,4,FALSE))</f>
        <v>Laurentides</v>
      </c>
      <c r="T712" s="2" t="s">
        <v>3507</v>
      </c>
      <c r="U712" s="2" t="s">
        <v>39</v>
      </c>
      <c r="V712" s="2" t="s">
        <v>40</v>
      </c>
      <c r="W712" s="2" t="s">
        <v>4164</v>
      </c>
      <c r="X712" s="2"/>
      <c r="Y712" s="2"/>
      <c r="Z712" s="2"/>
      <c r="AA712" s="2" t="s">
        <v>3293</v>
      </c>
      <c r="AB712" s="2" t="s">
        <v>53</v>
      </c>
      <c r="AC712" s="4" t="s">
        <v>44</v>
      </c>
    </row>
    <row r="713" spans="1:29" x14ac:dyDescent="0.25">
      <c r="A713" s="1">
        <v>1789</v>
      </c>
      <c r="B713" s="17" t="s">
        <v>4165</v>
      </c>
      <c r="C713" s="2" t="s">
        <v>4166</v>
      </c>
      <c r="D713" s="15" t="s">
        <v>3142</v>
      </c>
      <c r="E713" s="9" t="s">
        <v>4167</v>
      </c>
      <c r="F713" s="9" t="s">
        <v>3141</v>
      </c>
      <c r="G713" s="9" t="s">
        <v>2086</v>
      </c>
      <c r="H713" s="2" t="s">
        <v>60</v>
      </c>
      <c r="I713" s="3">
        <v>36020</v>
      </c>
      <c r="J713" s="9" t="str">
        <f t="shared" ca="1" si="13"/>
        <v>25 ans</v>
      </c>
      <c r="K713" s="2" t="s">
        <v>123</v>
      </c>
      <c r="L713" s="2" t="str">
        <f>"181"</f>
        <v>181</v>
      </c>
      <c r="M713" s="2"/>
      <c r="N713" s="2" t="str">
        <f>"PLACE DU RIVAGE"</f>
        <v>PLACE DU RIVAGE</v>
      </c>
      <c r="O713" s="2" t="s">
        <v>3185</v>
      </c>
      <c r="P713" s="9" t="str">
        <f>VLOOKUP($O713,'Liste des Villes'!$B$2:$B$1128,1,FALSE)</f>
        <v>Saint-Jérôme</v>
      </c>
      <c r="Q713" s="9" t="str">
        <f>IFERROR($P713,PROPER(VLOOKUP($O713,'Villes en erreur'!$A$2:$B$72,2,FALSE)))</f>
        <v>Saint-Jérôme</v>
      </c>
      <c r="R713" s="9" t="s">
        <v>3186</v>
      </c>
      <c r="S713" s="9" t="str">
        <f>IF(ISBLANK($R713),"",VLOOKUP($R713,'Liste des Villes'!$B$2:$H$1128,4,FALSE))</f>
        <v>Laurentides</v>
      </c>
      <c r="T713" s="2" t="s">
        <v>4168</v>
      </c>
      <c r="U713" s="2" t="s">
        <v>39</v>
      </c>
      <c r="V713" s="2" t="s">
        <v>40</v>
      </c>
      <c r="W713" s="2" t="s">
        <v>4169</v>
      </c>
      <c r="X713" s="2"/>
      <c r="Y713" s="2"/>
      <c r="Z713" s="2"/>
      <c r="AA713" s="2" t="s">
        <v>832</v>
      </c>
      <c r="AB713" s="2" t="s">
        <v>3221</v>
      </c>
      <c r="AC713" s="4" t="s">
        <v>44</v>
      </c>
    </row>
    <row r="714" spans="1:29" x14ac:dyDescent="0.25">
      <c r="A714" s="1">
        <v>2153</v>
      </c>
      <c r="B714" s="17" t="s">
        <v>4170</v>
      </c>
      <c r="C714" s="2" t="s">
        <v>4171</v>
      </c>
      <c r="D714" s="15" t="s">
        <v>1398</v>
      </c>
      <c r="E714" s="9" t="s">
        <v>698</v>
      </c>
      <c r="F714" s="9" t="s">
        <v>4172</v>
      </c>
      <c r="G714" s="9" t="s">
        <v>2635</v>
      </c>
      <c r="H714" s="2" t="s">
        <v>60</v>
      </c>
      <c r="I714" s="3">
        <v>35775</v>
      </c>
      <c r="J714" s="9" t="str">
        <f t="shared" ca="1" si="13"/>
        <v>25 ans</v>
      </c>
      <c r="K714" s="2" t="s">
        <v>123</v>
      </c>
      <c r="L714" s="2" t="str">
        <f>"141"</f>
        <v>141</v>
      </c>
      <c r="M714" s="2"/>
      <c r="N714" s="2" t="str">
        <f>"GENEVIÈVE"</f>
        <v>GENEVIÈVE</v>
      </c>
      <c r="O714" s="2" t="s">
        <v>3185</v>
      </c>
      <c r="P714" s="9" t="str">
        <f>VLOOKUP($O714,'Liste des Villes'!$B$2:$B$1128,1,FALSE)</f>
        <v>Saint-Jérôme</v>
      </c>
      <c r="Q714" s="9" t="str">
        <f>IFERROR($P714,PROPER(VLOOKUP($O714,'Villes en erreur'!$A$2:$B$72,2,FALSE)))</f>
        <v>Saint-Jérôme</v>
      </c>
      <c r="R714" s="9" t="s">
        <v>3186</v>
      </c>
      <c r="S714" s="9" t="str">
        <f>IF(ISBLANK($R714),"",VLOOKUP($R714,'Liste des Villes'!$B$2:$H$1128,4,FALSE))</f>
        <v>Laurentides</v>
      </c>
      <c r="T714" s="2" t="s">
        <v>4173</v>
      </c>
      <c r="U714" s="2" t="s">
        <v>39</v>
      </c>
      <c r="V714" s="2" t="s">
        <v>40</v>
      </c>
      <c r="W714" s="2" t="s">
        <v>4174</v>
      </c>
      <c r="X714" s="2"/>
      <c r="Y714" s="2"/>
      <c r="Z714" s="2"/>
      <c r="AA714" s="2" t="s">
        <v>3243</v>
      </c>
      <c r="AB714" s="2" t="s">
        <v>3221</v>
      </c>
      <c r="AC714" s="4" t="s">
        <v>44</v>
      </c>
    </row>
    <row r="715" spans="1:29" x14ac:dyDescent="0.25">
      <c r="A715" s="1">
        <v>1561</v>
      </c>
      <c r="B715" s="17" t="s">
        <v>4175</v>
      </c>
      <c r="C715" s="2" t="s">
        <v>2795</v>
      </c>
      <c r="D715" s="15" t="s">
        <v>1592</v>
      </c>
      <c r="E715" s="9" t="s">
        <v>2796</v>
      </c>
      <c r="F715" s="9" t="s">
        <v>1590</v>
      </c>
      <c r="G715" s="9" t="s">
        <v>600</v>
      </c>
      <c r="H715" s="2" t="s">
        <v>60</v>
      </c>
      <c r="I715" s="3">
        <v>35988</v>
      </c>
      <c r="J715" s="9" t="str">
        <f t="shared" ca="1" si="13"/>
        <v>25 ans</v>
      </c>
      <c r="K715" s="2" t="s">
        <v>123</v>
      </c>
      <c r="L715" s="2" t="str">
        <f>"173"</f>
        <v>173</v>
      </c>
      <c r="M715" s="2"/>
      <c r="N715" s="2" t="str">
        <f>"PLACE DE BERGERAC"</f>
        <v>PLACE DE BERGERAC</v>
      </c>
      <c r="O715" s="2" t="s">
        <v>3185</v>
      </c>
      <c r="P715" s="9" t="str">
        <f>VLOOKUP($O715,'Liste des Villes'!$B$2:$B$1128,1,FALSE)</f>
        <v>Saint-Jérôme</v>
      </c>
      <c r="Q715" s="9" t="str">
        <f>IFERROR($P715,PROPER(VLOOKUP($O715,'Villes en erreur'!$A$2:$B$72,2,FALSE)))</f>
        <v>Saint-Jérôme</v>
      </c>
      <c r="R715" s="9" t="s">
        <v>3186</v>
      </c>
      <c r="S715" s="9" t="str">
        <f>IF(ISBLANK($R715),"",VLOOKUP($R715,'Liste des Villes'!$B$2:$H$1128,4,FALSE))</f>
        <v>Laurentides</v>
      </c>
      <c r="T715" s="2" t="s">
        <v>4176</v>
      </c>
      <c r="U715" s="2" t="s">
        <v>39</v>
      </c>
      <c r="V715" s="2" t="s">
        <v>40</v>
      </c>
      <c r="W715" s="2" t="s">
        <v>4177</v>
      </c>
      <c r="X715" s="2"/>
      <c r="Y715" s="2"/>
      <c r="Z715" s="2"/>
      <c r="AA715" s="2" t="s">
        <v>832</v>
      </c>
      <c r="AB715" s="2" t="s">
        <v>3221</v>
      </c>
      <c r="AC715" s="4" t="s">
        <v>44</v>
      </c>
    </row>
    <row r="716" spans="1:29" x14ac:dyDescent="0.25">
      <c r="A716" s="1">
        <v>3945</v>
      </c>
      <c r="B716" s="17" t="s">
        <v>4178</v>
      </c>
      <c r="C716" s="2" t="s">
        <v>4179</v>
      </c>
      <c r="D716" s="15" t="s">
        <v>4180</v>
      </c>
      <c r="E716" s="9" t="s">
        <v>233</v>
      </c>
      <c r="F716" s="9" t="s">
        <v>1508</v>
      </c>
      <c r="G716" s="9" t="s">
        <v>3397</v>
      </c>
      <c r="H716" s="2" t="s">
        <v>60</v>
      </c>
      <c r="I716" s="3">
        <v>35311</v>
      </c>
      <c r="J716" s="9" t="str">
        <f t="shared" ca="1" si="13"/>
        <v>26 ans</v>
      </c>
      <c r="K716" s="2" t="s">
        <v>36</v>
      </c>
      <c r="L716" s="2" t="str">
        <f>"108"</f>
        <v>108</v>
      </c>
      <c r="M716" s="2"/>
      <c r="N716" s="2" t="str">
        <f>"CHEMIN DES CAILLES"</f>
        <v>CHEMIN DES CAILLES</v>
      </c>
      <c r="O716" s="2" t="s">
        <v>3185</v>
      </c>
      <c r="P716" s="9" t="str">
        <f>VLOOKUP($O716,'Liste des Villes'!$B$2:$B$1128,1,FALSE)</f>
        <v>Saint-Jérôme</v>
      </c>
      <c r="Q716" s="9" t="str">
        <f>IFERROR($P716,PROPER(VLOOKUP($O716,'Villes en erreur'!$A$2:$B$72,2,FALSE)))</f>
        <v>Saint-Jérôme</v>
      </c>
      <c r="R716" s="9" t="s">
        <v>3186</v>
      </c>
      <c r="S716" s="9" t="str">
        <f>IF(ISBLANK($R716),"",VLOOKUP($R716,'Liste des Villes'!$B$2:$H$1128,4,FALSE))</f>
        <v>Laurentides</v>
      </c>
      <c r="T716" s="2" t="s">
        <v>3398</v>
      </c>
      <c r="U716" s="2" t="s">
        <v>39</v>
      </c>
      <c r="V716" s="2" t="s">
        <v>40</v>
      </c>
      <c r="W716" s="2" t="s">
        <v>4181</v>
      </c>
      <c r="X716" s="2"/>
      <c r="Y716" s="2"/>
      <c r="Z716" s="2"/>
      <c r="AA716" s="2" t="s">
        <v>3189</v>
      </c>
      <c r="AB716" s="2" t="s">
        <v>3200</v>
      </c>
      <c r="AC716" s="4" t="s">
        <v>44</v>
      </c>
    </row>
    <row r="717" spans="1:29" x14ac:dyDescent="0.25">
      <c r="A717" s="1">
        <v>375</v>
      </c>
      <c r="B717" s="17" t="s">
        <v>4182</v>
      </c>
      <c r="C717" s="2" t="s">
        <v>4183</v>
      </c>
      <c r="D717" s="15" t="s">
        <v>4184</v>
      </c>
      <c r="E717" s="9" t="s">
        <v>2624</v>
      </c>
      <c r="F717" s="9" t="s">
        <v>2474</v>
      </c>
      <c r="G717" s="9" t="s">
        <v>4185</v>
      </c>
      <c r="H717" s="2" t="s">
        <v>35</v>
      </c>
      <c r="I717" s="3">
        <v>36146</v>
      </c>
      <c r="J717" s="9" t="str">
        <f t="shared" ca="1" si="13"/>
        <v>24 ans</v>
      </c>
      <c r="K717" s="2" t="s">
        <v>123</v>
      </c>
      <c r="L717" s="2" t="str">
        <f>"220"</f>
        <v>220</v>
      </c>
      <c r="M717" s="2"/>
      <c r="N717" s="2" t="str">
        <f>"RUE ALBERT"</f>
        <v>RUE ALBERT</v>
      </c>
      <c r="O717" s="2" t="s">
        <v>3185</v>
      </c>
      <c r="P717" s="9" t="str">
        <f>VLOOKUP($O717,'Liste des Villes'!$B$2:$B$1128,1,FALSE)</f>
        <v>Saint-Jérôme</v>
      </c>
      <c r="Q717" s="9" t="str">
        <f>IFERROR($P717,PROPER(VLOOKUP($O717,'Villes en erreur'!$A$2:$B$72,2,FALSE)))</f>
        <v>Saint-Jérôme</v>
      </c>
      <c r="R717" s="9" t="s">
        <v>3186</v>
      </c>
      <c r="S717" s="9" t="str">
        <f>IF(ISBLANK($R717),"",VLOOKUP($R717,'Liste des Villes'!$B$2:$H$1128,4,FALSE))</f>
        <v>Laurentides</v>
      </c>
      <c r="T717" s="2" t="s">
        <v>4186</v>
      </c>
      <c r="U717" s="2" t="s">
        <v>39</v>
      </c>
      <c r="V717" s="2" t="s">
        <v>40</v>
      </c>
      <c r="W717" s="2" t="s">
        <v>4187</v>
      </c>
      <c r="X717" s="2"/>
      <c r="Y717" s="2"/>
      <c r="Z717" s="2"/>
      <c r="AA717" s="2" t="s">
        <v>832</v>
      </c>
      <c r="AB717" s="2" t="s">
        <v>3221</v>
      </c>
      <c r="AC717" s="4" t="s">
        <v>44</v>
      </c>
    </row>
    <row r="718" spans="1:29" x14ac:dyDescent="0.25">
      <c r="A718" s="1">
        <v>2754</v>
      </c>
      <c r="B718" s="17" t="s">
        <v>4188</v>
      </c>
      <c r="C718" s="2" t="s">
        <v>4189</v>
      </c>
      <c r="D718" s="15" t="s">
        <v>4093</v>
      </c>
      <c r="E718" s="9" t="s">
        <v>4190</v>
      </c>
      <c r="F718" s="9" t="s">
        <v>4050</v>
      </c>
      <c r="G718" s="9" t="s">
        <v>4191</v>
      </c>
      <c r="H718" s="2" t="s">
        <v>60</v>
      </c>
      <c r="I718" s="3">
        <v>33976</v>
      </c>
      <c r="J718" s="9" t="str">
        <f t="shared" ca="1" si="13"/>
        <v>30 ans</v>
      </c>
      <c r="K718" s="2" t="s">
        <v>36</v>
      </c>
      <c r="L718" s="2" t="str">
        <f>"42"</f>
        <v>42</v>
      </c>
      <c r="M718" s="2"/>
      <c r="N718" s="2" t="str">
        <f>"BOUL CÉLORON"</f>
        <v>BOUL CÉLORON</v>
      </c>
      <c r="O718" s="2" t="s">
        <v>3185</v>
      </c>
      <c r="P718" s="9" t="str">
        <f>VLOOKUP($O718,'Liste des Villes'!$B$2:$B$1128,1,FALSE)</f>
        <v>Saint-Jérôme</v>
      </c>
      <c r="Q718" s="9" t="str">
        <f>IFERROR($P718,PROPER(VLOOKUP($O718,'Villes en erreur'!$A$2:$B$72,2,FALSE)))</f>
        <v>Saint-Jérôme</v>
      </c>
      <c r="R718" s="9" t="s">
        <v>3186</v>
      </c>
      <c r="S718" s="9" t="str">
        <f>IF(ISBLANK($R718),"",VLOOKUP($R718,'Liste des Villes'!$B$2:$H$1128,4,FALSE))</f>
        <v>Laurentides</v>
      </c>
      <c r="T718" s="2" t="s">
        <v>3205</v>
      </c>
      <c r="U718" s="2" t="s">
        <v>39</v>
      </c>
      <c r="V718" s="2" t="s">
        <v>40</v>
      </c>
      <c r="W718" s="2" t="s">
        <v>4192</v>
      </c>
      <c r="X718" s="2"/>
      <c r="Y718" s="2"/>
      <c r="Z718" s="2"/>
      <c r="AA718" s="2" t="s">
        <v>3207</v>
      </c>
      <c r="AB718" s="2" t="s">
        <v>53</v>
      </c>
      <c r="AC718" s="4" t="s">
        <v>44</v>
      </c>
    </row>
    <row r="719" spans="1:29" x14ac:dyDescent="0.25">
      <c r="A719" s="1">
        <v>1237</v>
      </c>
      <c r="B719" s="17" t="s">
        <v>4193</v>
      </c>
      <c r="C719" s="2" t="s">
        <v>3132</v>
      </c>
      <c r="D719" s="15" t="s">
        <v>355</v>
      </c>
      <c r="E719" s="9" t="s">
        <v>1582</v>
      </c>
      <c r="F719" s="9" t="s">
        <v>353</v>
      </c>
      <c r="G719" s="9" t="s">
        <v>1397</v>
      </c>
      <c r="H719" s="2" t="s">
        <v>60</v>
      </c>
      <c r="I719" s="3">
        <v>35207</v>
      </c>
      <c r="J719" s="9" t="str">
        <f t="shared" ca="1" si="13"/>
        <v>27 ans</v>
      </c>
      <c r="K719" s="2" t="s">
        <v>36</v>
      </c>
      <c r="L719" s="2" t="str">
        <f>"104"</f>
        <v>104</v>
      </c>
      <c r="M719" s="2"/>
      <c r="N719" s="2" t="str">
        <f>"CH TAMARACOUTA"</f>
        <v>CH TAMARACOUTA</v>
      </c>
      <c r="O719" s="2" t="s">
        <v>3185</v>
      </c>
      <c r="P719" s="9" t="str">
        <f>VLOOKUP($O719,'Liste des Villes'!$B$2:$B$1128,1,FALSE)</f>
        <v>Saint-Jérôme</v>
      </c>
      <c r="Q719" s="9" t="str">
        <f>IFERROR($P719,PROPER(VLOOKUP($O719,'Villes en erreur'!$A$2:$B$72,2,FALSE)))</f>
        <v>Saint-Jérôme</v>
      </c>
      <c r="R719" s="9" t="s">
        <v>3186</v>
      </c>
      <c r="S719" s="9" t="str">
        <f>IF(ISBLANK($R719),"",VLOOKUP($R719,'Liste des Villes'!$B$2:$H$1128,4,FALSE))</f>
        <v>Laurentides</v>
      </c>
      <c r="T719" s="2" t="s">
        <v>3187</v>
      </c>
      <c r="U719" s="2" t="s">
        <v>39</v>
      </c>
      <c r="V719" s="2" t="s">
        <v>40</v>
      </c>
      <c r="W719" s="2" t="s">
        <v>4194</v>
      </c>
      <c r="X719" s="2"/>
      <c r="Y719" s="2"/>
      <c r="Z719" s="2"/>
      <c r="AA719" s="2" t="s">
        <v>3189</v>
      </c>
      <c r="AB719" s="2" t="s">
        <v>3190</v>
      </c>
      <c r="AC719" s="4" t="s">
        <v>44</v>
      </c>
    </row>
    <row r="720" spans="1:29" x14ac:dyDescent="0.25">
      <c r="A720" s="1">
        <v>2895</v>
      </c>
      <c r="B720" s="17" t="s">
        <v>4195</v>
      </c>
      <c r="C720" s="2" t="s">
        <v>2836</v>
      </c>
      <c r="D720" s="15" t="s">
        <v>2837</v>
      </c>
      <c r="E720" s="9" t="s">
        <v>509</v>
      </c>
      <c r="F720" s="9" t="s">
        <v>4196</v>
      </c>
      <c r="G720" s="9" t="s">
        <v>114</v>
      </c>
      <c r="H720" s="2" t="s">
        <v>60</v>
      </c>
      <c r="I720" s="3">
        <v>36249</v>
      </c>
      <c r="J720" s="9" t="str">
        <f t="shared" ca="1" si="13"/>
        <v>24 ans</v>
      </c>
      <c r="K720" s="2" t="s">
        <v>123</v>
      </c>
      <c r="L720" s="2" t="str">
        <f>"269"</f>
        <v>269</v>
      </c>
      <c r="M720" s="2"/>
      <c r="N720" s="2" t="str">
        <f>"RUE BELLEVUE"</f>
        <v>RUE BELLEVUE</v>
      </c>
      <c r="O720" s="2" t="s">
        <v>3185</v>
      </c>
      <c r="P720" s="9" t="str">
        <f>VLOOKUP($O720,'Liste des Villes'!$B$2:$B$1128,1,FALSE)</f>
        <v>Saint-Jérôme</v>
      </c>
      <c r="Q720" s="9" t="str">
        <f>IFERROR($P720,PROPER(VLOOKUP($O720,'Villes en erreur'!$A$2:$B$72,2,FALSE)))</f>
        <v>Saint-Jérôme</v>
      </c>
      <c r="R720" s="9" t="s">
        <v>3186</v>
      </c>
      <c r="S720" s="9" t="str">
        <f>IF(ISBLANK($R720),"",VLOOKUP($R720,'Liste des Villes'!$B$2:$H$1128,4,FALSE))</f>
        <v>Laurentides</v>
      </c>
      <c r="T720" s="2" t="s">
        <v>1238</v>
      </c>
      <c r="U720" s="2" t="s">
        <v>39</v>
      </c>
      <c r="V720" s="2" t="s">
        <v>40</v>
      </c>
      <c r="W720" s="2" t="s">
        <v>4197</v>
      </c>
      <c r="X720" s="2"/>
      <c r="Y720" s="2"/>
      <c r="Z720" s="2"/>
      <c r="AA720" s="2" t="s">
        <v>832</v>
      </c>
      <c r="AB720" s="2" t="s">
        <v>73</v>
      </c>
      <c r="AC720" s="4" t="s">
        <v>44</v>
      </c>
    </row>
    <row r="721" spans="1:29" x14ac:dyDescent="0.25">
      <c r="A721" s="1">
        <v>4462</v>
      </c>
      <c r="B721" s="17" t="s">
        <v>4198</v>
      </c>
      <c r="C721" s="2" t="s">
        <v>4199</v>
      </c>
      <c r="D721" s="15" t="s">
        <v>93</v>
      </c>
      <c r="E721" s="9" t="s">
        <v>233</v>
      </c>
      <c r="F721" s="9" t="s">
        <v>1508</v>
      </c>
      <c r="G721" s="9" t="s">
        <v>3166</v>
      </c>
      <c r="H721" s="2" t="s">
        <v>60</v>
      </c>
      <c r="I721" s="3">
        <v>35670</v>
      </c>
      <c r="J721" s="9" t="str">
        <f t="shared" ca="1" si="13"/>
        <v>25 ans</v>
      </c>
      <c r="K721" s="2" t="s">
        <v>123</v>
      </c>
      <c r="L721" s="2" t="str">
        <f>"133"</f>
        <v>133</v>
      </c>
      <c r="M721" s="2"/>
      <c r="N721" s="2" t="str">
        <f>"DENIS"</f>
        <v>DENIS</v>
      </c>
      <c r="O721" s="2" t="s">
        <v>3185</v>
      </c>
      <c r="P721" s="9" t="str">
        <f>VLOOKUP($O721,'Liste des Villes'!$B$2:$B$1128,1,FALSE)</f>
        <v>Saint-Jérôme</v>
      </c>
      <c r="Q721" s="9" t="str">
        <f>IFERROR($P721,PROPER(VLOOKUP($O721,'Villes en erreur'!$A$2:$B$72,2,FALSE)))</f>
        <v>Saint-Jérôme</v>
      </c>
      <c r="R721" s="9" t="s">
        <v>3186</v>
      </c>
      <c r="S721" s="9" t="str">
        <f>IF(ISBLANK($R721),"",VLOOKUP($R721,'Liste des Villes'!$B$2:$H$1128,4,FALSE))</f>
        <v>Laurentides</v>
      </c>
      <c r="T721" s="2" t="s">
        <v>4200</v>
      </c>
      <c r="U721" s="2" t="s">
        <v>39</v>
      </c>
      <c r="V721" s="2" t="s">
        <v>40</v>
      </c>
      <c r="W721" s="2" t="s">
        <v>4201</v>
      </c>
      <c r="X721" s="2"/>
      <c r="Y721" s="2"/>
      <c r="Z721" s="2"/>
      <c r="AA721" s="2" t="s">
        <v>3243</v>
      </c>
      <c r="AB721" s="2" t="s">
        <v>3221</v>
      </c>
      <c r="AC721" s="4" t="s">
        <v>44</v>
      </c>
    </row>
    <row r="722" spans="1:29" x14ac:dyDescent="0.25">
      <c r="A722" s="1">
        <v>1521</v>
      </c>
      <c r="B722" s="17" t="s">
        <v>4202</v>
      </c>
      <c r="C722" s="2" t="s">
        <v>4203</v>
      </c>
      <c r="D722" s="15" t="s">
        <v>1794</v>
      </c>
      <c r="E722" s="9" t="s">
        <v>348</v>
      </c>
      <c r="F722" s="9" t="s">
        <v>349</v>
      </c>
      <c r="G722" s="9" t="s">
        <v>4204</v>
      </c>
      <c r="H722" s="2" t="s">
        <v>60</v>
      </c>
      <c r="I722" s="3">
        <v>36041</v>
      </c>
      <c r="J722" s="9" t="str">
        <f t="shared" ca="1" si="13"/>
        <v>24 ans</v>
      </c>
      <c r="K722" s="2" t="s">
        <v>123</v>
      </c>
      <c r="L722" s="2" t="str">
        <f>"186"</f>
        <v>186</v>
      </c>
      <c r="M722" s="2"/>
      <c r="N722" s="2" t="str">
        <f>"PLACE PRESSEAULT"</f>
        <v>PLACE PRESSEAULT</v>
      </c>
      <c r="O722" s="2" t="s">
        <v>3185</v>
      </c>
      <c r="P722" s="9" t="str">
        <f>VLOOKUP($O722,'Liste des Villes'!$B$2:$B$1128,1,FALSE)</f>
        <v>Saint-Jérôme</v>
      </c>
      <c r="Q722" s="9" t="str">
        <f>IFERROR($P722,PROPER(VLOOKUP($O722,'Villes en erreur'!$A$2:$B$72,2,FALSE)))</f>
        <v>Saint-Jérôme</v>
      </c>
      <c r="R722" s="9" t="s">
        <v>3186</v>
      </c>
      <c r="S722" s="9" t="str">
        <f>IF(ISBLANK($R722),"",VLOOKUP($R722,'Liste des Villes'!$B$2:$H$1128,4,FALSE))</f>
        <v>Laurentides</v>
      </c>
      <c r="T722" s="2" t="s">
        <v>4205</v>
      </c>
      <c r="U722" s="2" t="s">
        <v>39</v>
      </c>
      <c r="V722" s="2" t="s">
        <v>40</v>
      </c>
      <c r="W722" s="2" t="s">
        <v>4206</v>
      </c>
      <c r="X722" s="2"/>
      <c r="Y722" s="2"/>
      <c r="Z722" s="2"/>
      <c r="AA722" s="2" t="s">
        <v>832</v>
      </c>
      <c r="AB722" s="2" t="s">
        <v>3221</v>
      </c>
      <c r="AC722" s="4" t="s">
        <v>44</v>
      </c>
    </row>
    <row r="723" spans="1:29" x14ac:dyDescent="0.25">
      <c r="A723" s="1">
        <v>4392</v>
      </c>
      <c r="B723" s="17" t="s">
        <v>4207</v>
      </c>
      <c r="C723" s="2" t="s">
        <v>4208</v>
      </c>
      <c r="D723" s="15" t="s">
        <v>4209</v>
      </c>
      <c r="E723" s="9" t="s">
        <v>4210</v>
      </c>
      <c r="F723" s="9" t="s">
        <v>4211</v>
      </c>
      <c r="G723" s="9" t="s">
        <v>2086</v>
      </c>
      <c r="H723" s="2" t="s">
        <v>60</v>
      </c>
      <c r="I723" s="3">
        <v>36023</v>
      </c>
      <c r="J723" s="9" t="str">
        <f t="shared" ca="1" si="13"/>
        <v>25 ans</v>
      </c>
      <c r="K723" s="2" t="s">
        <v>123</v>
      </c>
      <c r="L723" s="2" t="str">
        <f>"182"</f>
        <v>182</v>
      </c>
      <c r="M723" s="2"/>
      <c r="N723" s="2" t="str">
        <f>"PLACE GEORGES"</f>
        <v>PLACE GEORGES</v>
      </c>
      <c r="O723" s="2" t="s">
        <v>3185</v>
      </c>
      <c r="P723" s="9" t="str">
        <f>VLOOKUP($O723,'Liste des Villes'!$B$2:$B$1128,1,FALSE)</f>
        <v>Saint-Jérôme</v>
      </c>
      <c r="Q723" s="9" t="str">
        <f>IFERROR($P723,PROPER(VLOOKUP($O723,'Villes en erreur'!$A$2:$B$72,2,FALSE)))</f>
        <v>Saint-Jérôme</v>
      </c>
      <c r="R723" s="9" t="s">
        <v>3186</v>
      </c>
      <c r="S723" s="9" t="str">
        <f>IF(ISBLANK($R723),"",VLOOKUP($R723,'Liste des Villes'!$B$2:$H$1128,4,FALSE))</f>
        <v>Laurentides</v>
      </c>
      <c r="T723" s="2" t="s">
        <v>4168</v>
      </c>
      <c r="U723" s="2" t="s">
        <v>39</v>
      </c>
      <c r="V723" s="2" t="s">
        <v>40</v>
      </c>
      <c r="W723" s="2" t="s">
        <v>4212</v>
      </c>
      <c r="X723" s="2"/>
      <c r="Y723" s="2"/>
      <c r="Z723" s="2"/>
      <c r="AA723" s="2" t="s">
        <v>832</v>
      </c>
      <c r="AB723" s="2" t="s">
        <v>3221</v>
      </c>
      <c r="AC723" s="4" t="s">
        <v>44</v>
      </c>
    </row>
    <row r="724" spans="1:29" x14ac:dyDescent="0.25">
      <c r="A724" s="1">
        <v>1707</v>
      </c>
      <c r="B724" s="17" t="s">
        <v>4213</v>
      </c>
      <c r="C724" s="2" t="s">
        <v>4214</v>
      </c>
      <c r="D724" s="15" t="s">
        <v>914</v>
      </c>
      <c r="E724" s="9" t="s">
        <v>253</v>
      </c>
      <c r="F724" s="9" t="s">
        <v>912</v>
      </c>
      <c r="G724" s="9" t="s">
        <v>3246</v>
      </c>
      <c r="H724" s="2" t="s">
        <v>35</v>
      </c>
      <c r="I724" s="3">
        <v>36147</v>
      </c>
      <c r="J724" s="9" t="str">
        <f t="shared" ca="1" si="13"/>
        <v>24 ans</v>
      </c>
      <c r="K724" s="2" t="s">
        <v>123</v>
      </c>
      <c r="L724" s="2" t="str">
        <f>"220"</f>
        <v>220</v>
      </c>
      <c r="M724" s="2"/>
      <c r="N724" s="2" t="str">
        <f>"RUE ALBERT-DUMOUCHEL"</f>
        <v>RUE ALBERT-DUMOUCHEL</v>
      </c>
      <c r="O724" s="2" t="s">
        <v>3185</v>
      </c>
      <c r="P724" s="9" t="str">
        <f>VLOOKUP($O724,'Liste des Villes'!$B$2:$B$1128,1,FALSE)</f>
        <v>Saint-Jérôme</v>
      </c>
      <c r="Q724" s="9" t="str">
        <f>IFERROR($P724,PROPER(VLOOKUP($O724,'Villes en erreur'!$A$2:$B$72,2,FALSE)))</f>
        <v>Saint-Jérôme</v>
      </c>
      <c r="R724" s="9" t="s">
        <v>3186</v>
      </c>
      <c r="S724" s="9" t="str">
        <f>IF(ISBLANK($R724),"",VLOOKUP($R724,'Liste des Villes'!$B$2:$H$1128,4,FALSE))</f>
        <v>Laurentides</v>
      </c>
      <c r="T724" s="2" t="s">
        <v>4215</v>
      </c>
      <c r="U724" s="2" t="s">
        <v>39</v>
      </c>
      <c r="V724" s="2" t="s">
        <v>40</v>
      </c>
      <c r="W724" s="2" t="s">
        <v>4216</v>
      </c>
      <c r="X724" s="2"/>
      <c r="Y724" s="2"/>
      <c r="Z724" s="2"/>
      <c r="AA724" s="2" t="s">
        <v>832</v>
      </c>
      <c r="AB724" s="2" t="s">
        <v>3221</v>
      </c>
      <c r="AC724" s="4" t="s">
        <v>44</v>
      </c>
    </row>
    <row r="725" spans="1:29" x14ac:dyDescent="0.25">
      <c r="A725" s="1">
        <v>1388</v>
      </c>
      <c r="B725" s="17" t="s">
        <v>4217</v>
      </c>
      <c r="C725" s="2" t="s">
        <v>4218</v>
      </c>
      <c r="D725" s="15" t="s">
        <v>4219</v>
      </c>
      <c r="E725" s="9" t="s">
        <v>4220</v>
      </c>
      <c r="F725" s="9" t="s">
        <v>4221</v>
      </c>
      <c r="G725" s="9" t="s">
        <v>247</v>
      </c>
      <c r="H725" s="2" t="s">
        <v>60</v>
      </c>
      <c r="I725" s="3">
        <v>35839</v>
      </c>
      <c r="J725" s="9" t="str">
        <f t="shared" ca="1" si="13"/>
        <v>25 ans</v>
      </c>
      <c r="K725" s="2" t="s">
        <v>123</v>
      </c>
      <c r="L725" s="2" t="str">
        <f>"146"</f>
        <v>146</v>
      </c>
      <c r="M725" s="2"/>
      <c r="N725" s="2" t="str">
        <f>"LAFONTAINE BLVD"</f>
        <v>LAFONTAINE BLVD</v>
      </c>
      <c r="O725" s="2" t="s">
        <v>3185</v>
      </c>
      <c r="P725" s="9" t="str">
        <f>VLOOKUP($O725,'Liste des Villes'!$B$2:$B$1128,1,FALSE)</f>
        <v>Saint-Jérôme</v>
      </c>
      <c r="Q725" s="9" t="str">
        <f>IFERROR($P725,PROPER(VLOOKUP($O725,'Villes en erreur'!$A$2:$B$72,2,FALSE)))</f>
        <v>Saint-Jérôme</v>
      </c>
      <c r="R725" s="9" t="s">
        <v>3186</v>
      </c>
      <c r="S725" s="9" t="str">
        <f>IF(ISBLANK($R725),"",VLOOKUP($R725,'Liste des Villes'!$B$2:$H$1128,4,FALSE))</f>
        <v>Laurentides</v>
      </c>
      <c r="T725" s="2" t="s">
        <v>4222</v>
      </c>
      <c r="U725" s="2" t="s">
        <v>39</v>
      </c>
      <c r="V725" s="2" t="s">
        <v>40</v>
      </c>
      <c r="W725" s="2" t="s">
        <v>4223</v>
      </c>
      <c r="X725" s="2"/>
      <c r="Y725" s="2"/>
      <c r="Z725" s="2"/>
      <c r="AA725" s="2" t="s">
        <v>3243</v>
      </c>
      <c r="AB725" s="2" t="s">
        <v>3221</v>
      </c>
      <c r="AC725" s="4" t="s">
        <v>44</v>
      </c>
    </row>
    <row r="726" spans="1:29" x14ac:dyDescent="0.25">
      <c r="A726" s="1">
        <v>3314</v>
      </c>
      <c r="B726" s="17" t="s">
        <v>4224</v>
      </c>
      <c r="C726" s="2" t="s">
        <v>4225</v>
      </c>
      <c r="D726" s="15" t="s">
        <v>4226</v>
      </c>
      <c r="E726" s="9" t="s">
        <v>4227</v>
      </c>
      <c r="F726" s="9" t="s">
        <v>1716</v>
      </c>
      <c r="G726" s="9" t="s">
        <v>1560</v>
      </c>
      <c r="H726" s="2" t="s">
        <v>35</v>
      </c>
      <c r="I726" s="3">
        <v>35627</v>
      </c>
      <c r="J726" s="9" t="str">
        <f t="shared" ca="1" si="13"/>
        <v>26 ans</v>
      </c>
      <c r="K726" s="2" t="s">
        <v>36</v>
      </c>
      <c r="L726" s="2" t="str">
        <f>"130"</f>
        <v>130</v>
      </c>
      <c r="M726" s="2"/>
      <c r="N726" s="2" t="str">
        <f>"DE LA TOPAZE"</f>
        <v>DE LA TOPAZE</v>
      </c>
      <c r="O726" s="2" t="s">
        <v>3185</v>
      </c>
      <c r="P726" s="9" t="str">
        <f>VLOOKUP($O726,'Liste des Villes'!$B$2:$B$1128,1,FALSE)</f>
        <v>Saint-Jérôme</v>
      </c>
      <c r="Q726" s="9" t="str">
        <f>IFERROR($P726,PROPER(VLOOKUP($O726,'Villes en erreur'!$A$2:$B$72,2,FALSE)))</f>
        <v>Saint-Jérôme</v>
      </c>
      <c r="R726" s="9" t="s">
        <v>3186</v>
      </c>
      <c r="S726" s="9" t="str">
        <f>IF(ISBLANK($R726),"",VLOOKUP($R726,'Liste des Villes'!$B$2:$H$1128,4,FALSE))</f>
        <v>Laurentides</v>
      </c>
      <c r="T726" s="2" t="s">
        <v>3839</v>
      </c>
      <c r="U726" s="2" t="s">
        <v>39</v>
      </c>
      <c r="V726" s="2" t="s">
        <v>40</v>
      </c>
      <c r="W726" s="2" t="s">
        <v>4228</v>
      </c>
      <c r="X726" s="2"/>
      <c r="Y726" s="2"/>
      <c r="Z726" s="2"/>
      <c r="AA726" s="2" t="s">
        <v>3243</v>
      </c>
      <c r="AB726" s="2" t="s">
        <v>3221</v>
      </c>
      <c r="AC726" s="4" t="s">
        <v>44</v>
      </c>
    </row>
    <row r="727" spans="1:29" x14ac:dyDescent="0.25">
      <c r="A727" s="1">
        <v>1224</v>
      </c>
      <c r="B727" s="17" t="s">
        <v>4229</v>
      </c>
      <c r="C727" s="2" t="s">
        <v>4230</v>
      </c>
      <c r="D727" s="15" t="s">
        <v>957</v>
      </c>
      <c r="E727" s="9" t="s">
        <v>4231</v>
      </c>
      <c r="F727" s="9" t="s">
        <v>4232</v>
      </c>
      <c r="G727" s="9" t="s">
        <v>4233</v>
      </c>
      <c r="H727" s="2" t="s">
        <v>60</v>
      </c>
      <c r="I727" s="3">
        <v>35940</v>
      </c>
      <c r="J727" s="9" t="str">
        <f t="shared" ca="1" si="13"/>
        <v>25 ans</v>
      </c>
      <c r="K727" s="2" t="s">
        <v>123</v>
      </c>
      <c r="L727" s="2" t="str">
        <f>"165"</f>
        <v>165</v>
      </c>
      <c r="M727" s="2"/>
      <c r="N727" s="2" t="str">
        <f>"MONTEE OUDART"</f>
        <v>MONTEE OUDART</v>
      </c>
      <c r="O727" s="2" t="s">
        <v>3185</v>
      </c>
      <c r="P727" s="9" t="str">
        <f>VLOOKUP($O727,'Liste des Villes'!$B$2:$B$1128,1,FALSE)</f>
        <v>Saint-Jérôme</v>
      </c>
      <c r="Q727" s="9" t="str">
        <f>IFERROR($P727,PROPER(VLOOKUP($O727,'Villes en erreur'!$A$2:$B$72,2,FALSE)))</f>
        <v>Saint-Jérôme</v>
      </c>
      <c r="R727" s="9" t="s">
        <v>3186</v>
      </c>
      <c r="S727" s="9" t="str">
        <f>IF(ISBLANK($R727),"",VLOOKUP($R727,'Liste des Villes'!$B$2:$H$1128,4,FALSE))</f>
        <v>Laurentides</v>
      </c>
      <c r="T727" s="2" t="s">
        <v>4234</v>
      </c>
      <c r="U727" s="2" t="s">
        <v>39</v>
      </c>
      <c r="V727" s="2" t="s">
        <v>40</v>
      </c>
      <c r="W727" s="2" t="s">
        <v>4235</v>
      </c>
      <c r="X727" s="2"/>
      <c r="Y727" s="2"/>
      <c r="Z727" s="2"/>
      <c r="AA727" s="2" t="s">
        <v>832</v>
      </c>
      <c r="AB727" s="2" t="s">
        <v>3221</v>
      </c>
      <c r="AC727" s="4" t="s">
        <v>44</v>
      </c>
    </row>
    <row r="728" spans="1:29" x14ac:dyDescent="0.25">
      <c r="A728" s="1">
        <v>2814</v>
      </c>
      <c r="B728" s="17" t="s">
        <v>4236</v>
      </c>
      <c r="C728" s="2" t="s">
        <v>4237</v>
      </c>
      <c r="D728" s="15" t="s">
        <v>100</v>
      </c>
      <c r="E728" s="9" t="s">
        <v>4238</v>
      </c>
      <c r="F728" s="9" t="s">
        <v>1436</v>
      </c>
      <c r="G728" s="9" t="s">
        <v>332</v>
      </c>
      <c r="H728" s="2" t="s">
        <v>60</v>
      </c>
      <c r="I728" s="3">
        <v>35522</v>
      </c>
      <c r="J728" s="9" t="str">
        <f t="shared" ca="1" si="13"/>
        <v>26 ans</v>
      </c>
      <c r="K728" s="2" t="s">
        <v>36</v>
      </c>
      <c r="L728" s="2" t="str">
        <f>"120"</f>
        <v>120</v>
      </c>
      <c r="M728" s="2"/>
      <c r="N728" s="2" t="str">
        <f>"CÔTE DES HÉRISSONS"</f>
        <v>CÔTE DES HÉRISSONS</v>
      </c>
      <c r="O728" s="2" t="s">
        <v>3185</v>
      </c>
      <c r="P728" s="9" t="str">
        <f>VLOOKUP($O728,'Liste des Villes'!$B$2:$B$1128,1,FALSE)</f>
        <v>Saint-Jérôme</v>
      </c>
      <c r="Q728" s="9" t="str">
        <f>IFERROR($P728,PROPER(VLOOKUP($O728,'Villes en erreur'!$A$2:$B$72,2,FALSE)))</f>
        <v>Saint-Jérôme</v>
      </c>
      <c r="R728" s="9" t="s">
        <v>3186</v>
      </c>
      <c r="S728" s="9" t="str">
        <f>IF(ISBLANK($R728),"",VLOOKUP($R728,'Liste des Villes'!$B$2:$H$1128,4,FALSE))</f>
        <v>Laurentides</v>
      </c>
      <c r="T728" s="2" t="s">
        <v>3532</v>
      </c>
      <c r="U728" s="2" t="s">
        <v>39</v>
      </c>
      <c r="V728" s="2" t="s">
        <v>40</v>
      </c>
      <c r="W728" s="2" t="s">
        <v>4239</v>
      </c>
      <c r="X728" s="2"/>
      <c r="Y728" s="2"/>
      <c r="Z728" s="2"/>
      <c r="AA728" s="2" t="s">
        <v>3199</v>
      </c>
      <c r="AB728" s="2" t="s">
        <v>3200</v>
      </c>
      <c r="AC728" s="4" t="s">
        <v>44</v>
      </c>
    </row>
    <row r="729" spans="1:29" x14ac:dyDescent="0.25">
      <c r="A729" s="1">
        <v>1322</v>
      </c>
      <c r="B729" s="17" t="s">
        <v>4240</v>
      </c>
      <c r="C729" s="2" t="s">
        <v>4241</v>
      </c>
      <c r="D729" s="15" t="s">
        <v>4242</v>
      </c>
      <c r="E729" s="9" t="s">
        <v>4243</v>
      </c>
      <c r="F729" s="9" t="s">
        <v>1061</v>
      </c>
      <c r="G729" s="9" t="s">
        <v>600</v>
      </c>
      <c r="H729" s="2" t="s">
        <v>60</v>
      </c>
      <c r="I729" s="3">
        <v>35969</v>
      </c>
      <c r="J729" s="9" t="str">
        <f t="shared" ca="1" si="13"/>
        <v>25 ans</v>
      </c>
      <c r="K729" s="2" t="s">
        <v>123</v>
      </c>
      <c r="L729" s="2" t="str">
        <f>"171"</f>
        <v>171</v>
      </c>
      <c r="M729" s="2"/>
      <c r="N729" s="2" t="str">
        <f>"PAUL-EMILE BARBE"</f>
        <v>PAUL-EMILE BARBE</v>
      </c>
      <c r="O729" s="2" t="s">
        <v>3185</v>
      </c>
      <c r="P729" s="9" t="str">
        <f>VLOOKUP($O729,'Liste des Villes'!$B$2:$B$1128,1,FALSE)</f>
        <v>Saint-Jérôme</v>
      </c>
      <c r="Q729" s="9" t="str">
        <f>IFERROR($P729,PROPER(VLOOKUP($O729,'Villes en erreur'!$A$2:$B$72,2,FALSE)))</f>
        <v>Saint-Jérôme</v>
      </c>
      <c r="R729" s="9" t="s">
        <v>3186</v>
      </c>
      <c r="S729" s="9" t="str">
        <f>IF(ISBLANK($R729),"",VLOOKUP($R729,'Liste des Villes'!$B$2:$H$1128,4,FALSE))</f>
        <v>Laurentides</v>
      </c>
      <c r="T729" s="2" t="s">
        <v>4244</v>
      </c>
      <c r="U729" s="2" t="s">
        <v>39</v>
      </c>
      <c r="V729" s="2" t="s">
        <v>40</v>
      </c>
      <c r="W729" s="2" t="s">
        <v>4245</v>
      </c>
      <c r="X729" s="2"/>
      <c r="Y729" s="2"/>
      <c r="Z729" s="2"/>
      <c r="AA729" s="2" t="s">
        <v>832</v>
      </c>
      <c r="AB729" s="2" t="s">
        <v>3221</v>
      </c>
      <c r="AC729" s="4" t="s">
        <v>44</v>
      </c>
    </row>
    <row r="730" spans="1:29" x14ac:dyDescent="0.25">
      <c r="A730" s="1">
        <v>168</v>
      </c>
      <c r="B730" s="17" t="s">
        <v>4246</v>
      </c>
      <c r="C730" s="2" t="s">
        <v>4247</v>
      </c>
      <c r="D730" s="15" t="s">
        <v>4248</v>
      </c>
      <c r="E730" s="9" t="s">
        <v>4249</v>
      </c>
      <c r="F730" s="9" t="s">
        <v>4250</v>
      </c>
      <c r="G730" s="9" t="s">
        <v>4251</v>
      </c>
      <c r="H730" s="2" t="s">
        <v>60</v>
      </c>
      <c r="I730" s="3">
        <v>35177</v>
      </c>
      <c r="J730" s="9" t="str">
        <f t="shared" ca="1" si="13"/>
        <v>27 ans</v>
      </c>
      <c r="K730" s="2" t="s">
        <v>36</v>
      </c>
      <c r="L730" s="2" t="str">
        <f>"104"</f>
        <v>104</v>
      </c>
      <c r="M730" s="2"/>
      <c r="N730" s="2" t="str">
        <f>"CH SAINT-NICOLAS"</f>
        <v>CH SAINT-NICOLAS</v>
      </c>
      <c r="O730" s="2" t="s">
        <v>3185</v>
      </c>
      <c r="P730" s="9" t="str">
        <f>VLOOKUP($O730,'Liste des Villes'!$B$2:$B$1128,1,FALSE)</f>
        <v>Saint-Jérôme</v>
      </c>
      <c r="Q730" s="9" t="str">
        <f>IFERROR($P730,PROPER(VLOOKUP($O730,'Villes en erreur'!$A$2:$B$72,2,FALSE)))</f>
        <v>Saint-Jérôme</v>
      </c>
      <c r="R730" s="9" t="s">
        <v>3186</v>
      </c>
      <c r="S730" s="9" t="str">
        <f>IF(ISBLANK($R730),"",VLOOKUP($R730,'Liste des Villes'!$B$2:$H$1128,4,FALSE))</f>
        <v>Laurentides</v>
      </c>
      <c r="T730" s="2" t="s">
        <v>3187</v>
      </c>
      <c r="U730" s="2" t="s">
        <v>39</v>
      </c>
      <c r="V730" s="2" t="s">
        <v>40</v>
      </c>
      <c r="W730" s="2" t="s">
        <v>4252</v>
      </c>
      <c r="X730" s="2"/>
      <c r="Y730" s="2"/>
      <c r="Z730" s="2"/>
      <c r="AA730" s="2" t="s">
        <v>3189</v>
      </c>
      <c r="AB730" s="2" t="s">
        <v>3190</v>
      </c>
      <c r="AC730" s="4" t="s">
        <v>44</v>
      </c>
    </row>
    <row r="731" spans="1:29" x14ac:dyDescent="0.25">
      <c r="A731" s="1">
        <v>4466</v>
      </c>
      <c r="B731" s="17" t="s">
        <v>4253</v>
      </c>
      <c r="C731" s="2" t="s">
        <v>4254</v>
      </c>
      <c r="D731" s="15" t="s">
        <v>4255</v>
      </c>
      <c r="E731" s="9" t="s">
        <v>271</v>
      </c>
      <c r="F731" s="9" t="s">
        <v>4256</v>
      </c>
      <c r="G731" s="9" t="s">
        <v>3668</v>
      </c>
      <c r="H731" s="2" t="s">
        <v>60</v>
      </c>
      <c r="I731" s="3">
        <v>36228</v>
      </c>
      <c r="J731" s="9" t="str">
        <f t="shared" ca="1" si="13"/>
        <v>24 ans</v>
      </c>
      <c r="K731" s="2" t="s">
        <v>123</v>
      </c>
      <c r="L731" s="2" t="str">
        <f>"259"</f>
        <v>259</v>
      </c>
      <c r="M731" s="2"/>
      <c r="N731" s="2" t="str">
        <f>"RUE BEAUSITE"</f>
        <v>RUE BEAUSITE</v>
      </c>
      <c r="O731" s="2" t="s">
        <v>3185</v>
      </c>
      <c r="P731" s="9" t="str">
        <f>VLOOKUP($O731,'Liste des Villes'!$B$2:$B$1128,1,FALSE)</f>
        <v>Saint-Jérôme</v>
      </c>
      <c r="Q731" s="9" t="str">
        <f>IFERROR($P731,PROPER(VLOOKUP($O731,'Villes en erreur'!$A$2:$B$72,2,FALSE)))</f>
        <v>Saint-Jérôme</v>
      </c>
      <c r="R731" s="9" t="s">
        <v>3186</v>
      </c>
      <c r="S731" s="9" t="str">
        <f>IF(ISBLANK($R731),"",VLOOKUP($R731,'Liste des Villes'!$B$2:$H$1128,4,FALSE))</f>
        <v>Laurentides</v>
      </c>
      <c r="T731" s="2" t="s">
        <v>4257</v>
      </c>
      <c r="U731" s="2" t="s">
        <v>39</v>
      </c>
      <c r="V731" s="2" t="s">
        <v>40</v>
      </c>
      <c r="W731" s="2" t="s">
        <v>4258</v>
      </c>
      <c r="X731" s="2"/>
      <c r="Y731" s="2"/>
      <c r="Z731" s="2"/>
      <c r="AA731" s="2" t="s">
        <v>832</v>
      </c>
      <c r="AB731" s="2" t="s">
        <v>3288</v>
      </c>
      <c r="AC731" s="4" t="s">
        <v>44</v>
      </c>
    </row>
    <row r="732" spans="1:29" x14ac:dyDescent="0.25">
      <c r="A732" s="1">
        <v>2111</v>
      </c>
      <c r="B732" s="17" t="s">
        <v>4259</v>
      </c>
      <c r="C732" s="2" t="s">
        <v>4260</v>
      </c>
      <c r="D732" s="15" t="s">
        <v>4261</v>
      </c>
      <c r="E732" s="9" t="s">
        <v>1135</v>
      </c>
      <c r="F732" s="9" t="s">
        <v>4262</v>
      </c>
      <c r="G732" s="9" t="s">
        <v>3265</v>
      </c>
      <c r="H732" s="2" t="s">
        <v>60</v>
      </c>
      <c r="I732" s="3">
        <v>35925</v>
      </c>
      <c r="J732" s="9" t="str">
        <f t="shared" ca="1" si="13"/>
        <v>25 ans</v>
      </c>
      <c r="K732" s="2" t="s">
        <v>123</v>
      </c>
      <c r="L732" s="2" t="str">
        <f>"162"</f>
        <v>162</v>
      </c>
      <c r="M732" s="2"/>
      <c r="N732" s="2" t="str">
        <f>"MONTÉE GAGNON"</f>
        <v>MONTÉE GAGNON</v>
      </c>
      <c r="O732" s="2" t="s">
        <v>3185</v>
      </c>
      <c r="P732" s="9" t="str">
        <f>VLOOKUP($O732,'Liste des Villes'!$B$2:$B$1128,1,FALSE)</f>
        <v>Saint-Jérôme</v>
      </c>
      <c r="Q732" s="9" t="str">
        <f>IFERROR($P732,PROPER(VLOOKUP($O732,'Villes en erreur'!$A$2:$B$72,2,FALSE)))</f>
        <v>Saint-Jérôme</v>
      </c>
      <c r="R732" s="9" t="s">
        <v>3186</v>
      </c>
      <c r="S732" s="9" t="str">
        <f>IF(ISBLANK($R732),"",VLOOKUP($R732,'Liste des Villes'!$B$2:$H$1128,4,FALSE))</f>
        <v>Laurentides</v>
      </c>
      <c r="T732" s="2" t="s">
        <v>3725</v>
      </c>
      <c r="U732" s="2" t="s">
        <v>39</v>
      </c>
      <c r="V732" s="2" t="s">
        <v>40</v>
      </c>
      <c r="W732" s="2" t="s">
        <v>4263</v>
      </c>
      <c r="X732" s="2"/>
      <c r="Y732" s="2"/>
      <c r="Z732" s="2"/>
      <c r="AA732" s="2" t="s">
        <v>832</v>
      </c>
      <c r="AB732" s="2" t="s">
        <v>3221</v>
      </c>
      <c r="AC732" s="4" t="s">
        <v>44</v>
      </c>
    </row>
    <row r="733" spans="1:29" x14ac:dyDescent="0.25">
      <c r="A733" s="1">
        <v>758</v>
      </c>
      <c r="B733" s="17" t="s">
        <v>4264</v>
      </c>
      <c r="C733" s="2" t="s">
        <v>2000</v>
      </c>
      <c r="D733" s="15" t="s">
        <v>2001</v>
      </c>
      <c r="E733" s="9" t="s">
        <v>219</v>
      </c>
      <c r="F733" s="9" t="s">
        <v>582</v>
      </c>
      <c r="G733" s="9" t="s">
        <v>3668</v>
      </c>
      <c r="H733" s="2" t="s">
        <v>60</v>
      </c>
      <c r="I733" s="3">
        <v>36222</v>
      </c>
      <c r="J733" s="9" t="str">
        <f t="shared" ca="1" si="13"/>
        <v>24 ans</v>
      </c>
      <c r="K733" s="2" t="s">
        <v>123</v>
      </c>
      <c r="L733" s="2" t="str">
        <f>"255"</f>
        <v>255</v>
      </c>
      <c r="M733" s="2"/>
      <c r="N733" s="2" t="str">
        <f>"RUE BEAULIEU"</f>
        <v>RUE BEAULIEU</v>
      </c>
      <c r="O733" s="2" t="s">
        <v>3185</v>
      </c>
      <c r="P733" s="9" t="str">
        <f>VLOOKUP($O733,'Liste des Villes'!$B$2:$B$1128,1,FALSE)</f>
        <v>Saint-Jérôme</v>
      </c>
      <c r="Q733" s="9" t="str">
        <f>IFERROR($P733,PROPER(VLOOKUP($O733,'Villes en erreur'!$A$2:$B$72,2,FALSE)))</f>
        <v>Saint-Jérôme</v>
      </c>
      <c r="R733" s="9" t="s">
        <v>3186</v>
      </c>
      <c r="S733" s="9" t="str">
        <f>IF(ISBLANK($R733),"",VLOOKUP($R733,'Liste des Villes'!$B$2:$H$1128,4,FALSE))</f>
        <v>Laurentides</v>
      </c>
      <c r="T733" s="2" t="s">
        <v>4265</v>
      </c>
      <c r="U733" s="2" t="s">
        <v>39</v>
      </c>
      <c r="V733" s="2" t="s">
        <v>40</v>
      </c>
      <c r="W733" s="2" t="s">
        <v>4266</v>
      </c>
      <c r="X733" s="2"/>
      <c r="Y733" s="2"/>
      <c r="Z733" s="2"/>
      <c r="AA733" s="2" t="s">
        <v>832</v>
      </c>
      <c r="AB733" s="2" t="s">
        <v>3288</v>
      </c>
      <c r="AC733" s="4" t="s">
        <v>44</v>
      </c>
    </row>
    <row r="734" spans="1:29" x14ac:dyDescent="0.25">
      <c r="A734" s="1">
        <v>4311</v>
      </c>
      <c r="B734" s="17" t="s">
        <v>4267</v>
      </c>
      <c r="C734" s="2" t="s">
        <v>4268</v>
      </c>
      <c r="D734" s="15" t="s">
        <v>4269</v>
      </c>
      <c r="E734" s="9" t="s">
        <v>3265</v>
      </c>
      <c r="F734" s="9" t="s">
        <v>4270</v>
      </c>
      <c r="G734" s="9" t="s">
        <v>1025</v>
      </c>
      <c r="H734" s="2" t="s">
        <v>60</v>
      </c>
      <c r="I734" s="3">
        <v>36214</v>
      </c>
      <c r="J734" s="9" t="str">
        <f t="shared" ca="1" si="13"/>
        <v>24 ans</v>
      </c>
      <c r="K734" s="2" t="s">
        <v>123</v>
      </c>
      <c r="L734" s="2" t="str">
        <f>"250"</f>
        <v>250</v>
      </c>
      <c r="M734" s="2"/>
      <c r="N734" s="2" t="str">
        <f>"RUE BANK"</f>
        <v>RUE BANK</v>
      </c>
      <c r="O734" s="2" t="s">
        <v>3185</v>
      </c>
      <c r="P734" s="9" t="str">
        <f>VLOOKUP($O734,'Liste des Villes'!$B$2:$B$1128,1,FALSE)</f>
        <v>Saint-Jérôme</v>
      </c>
      <c r="Q734" s="9" t="str">
        <f>IFERROR($P734,PROPER(VLOOKUP($O734,'Villes en erreur'!$A$2:$B$72,2,FALSE)))</f>
        <v>Saint-Jérôme</v>
      </c>
      <c r="R734" s="9" t="s">
        <v>3186</v>
      </c>
      <c r="S734" s="9" t="str">
        <f>IF(ISBLANK($R734),"",VLOOKUP($R734,'Liste des Villes'!$B$2:$H$1128,4,FALSE))</f>
        <v>Laurentides</v>
      </c>
      <c r="T734" s="2" t="s">
        <v>4271</v>
      </c>
      <c r="U734" s="2" t="s">
        <v>39</v>
      </c>
      <c r="V734" s="2" t="s">
        <v>40</v>
      </c>
      <c r="W734" s="2" t="s">
        <v>4272</v>
      </c>
      <c r="X734" s="2"/>
      <c r="Y734" s="2"/>
      <c r="Z734" s="2"/>
      <c r="AA734" s="2" t="s">
        <v>832</v>
      </c>
      <c r="AB734" s="2" t="s">
        <v>3288</v>
      </c>
      <c r="AC734" s="4" t="s">
        <v>44</v>
      </c>
    </row>
    <row r="735" spans="1:29" x14ac:dyDescent="0.25">
      <c r="A735" s="1">
        <v>2698</v>
      </c>
      <c r="B735" s="17" t="s">
        <v>4273</v>
      </c>
      <c r="C735" s="2" t="s">
        <v>4274</v>
      </c>
      <c r="D735" s="15" t="s">
        <v>2423</v>
      </c>
      <c r="E735" s="9" t="s">
        <v>495</v>
      </c>
      <c r="F735" s="9" t="s">
        <v>4275</v>
      </c>
      <c r="G735" s="9" t="s">
        <v>3800</v>
      </c>
      <c r="H735" s="2" t="s">
        <v>60</v>
      </c>
      <c r="I735" s="3">
        <v>35038</v>
      </c>
      <c r="J735" s="9" t="str">
        <f t="shared" ca="1" si="13"/>
        <v>27 ans</v>
      </c>
      <c r="K735" s="2" t="s">
        <v>36</v>
      </c>
      <c r="L735" s="2" t="str">
        <f>"98"</f>
        <v>98</v>
      </c>
      <c r="M735" s="2"/>
      <c r="N735" s="2" t="str">
        <f>"CH DU PLATEAU"</f>
        <v>CH DU PLATEAU</v>
      </c>
      <c r="O735" s="2" t="s">
        <v>3185</v>
      </c>
      <c r="P735" s="9" t="str">
        <f>VLOOKUP($O735,'Liste des Villes'!$B$2:$B$1128,1,FALSE)</f>
        <v>Saint-Jérôme</v>
      </c>
      <c r="Q735" s="9" t="str">
        <f>IFERROR($P735,PROPER(VLOOKUP($O735,'Villes en erreur'!$A$2:$B$72,2,FALSE)))</f>
        <v>Saint-Jérôme</v>
      </c>
      <c r="R735" s="9" t="s">
        <v>3186</v>
      </c>
      <c r="S735" s="9" t="str">
        <f>IF(ISBLANK($R735),"",VLOOKUP($R735,'Liste des Villes'!$B$2:$H$1128,4,FALSE))</f>
        <v>Laurentides</v>
      </c>
      <c r="T735" s="2" t="s">
        <v>3187</v>
      </c>
      <c r="U735" s="2" t="s">
        <v>39</v>
      </c>
      <c r="V735" s="2" t="s">
        <v>40</v>
      </c>
      <c r="W735" s="2" t="s">
        <v>4276</v>
      </c>
      <c r="X735" s="2"/>
      <c r="Y735" s="2"/>
      <c r="Z735" s="2"/>
      <c r="AA735" s="2" t="s">
        <v>3189</v>
      </c>
      <c r="AB735" s="2" t="s">
        <v>53</v>
      </c>
      <c r="AC735" s="4" t="s">
        <v>44</v>
      </c>
    </row>
    <row r="736" spans="1:29" x14ac:dyDescent="0.25">
      <c r="A736" s="1">
        <v>1672</v>
      </c>
      <c r="B736" s="17" t="s">
        <v>4277</v>
      </c>
      <c r="C736" s="2" t="s">
        <v>4278</v>
      </c>
      <c r="D736" s="15" t="s">
        <v>4066</v>
      </c>
      <c r="E736" s="9" t="s">
        <v>167</v>
      </c>
      <c r="F736" s="9" t="s">
        <v>4279</v>
      </c>
      <c r="G736" s="9" t="s">
        <v>4280</v>
      </c>
      <c r="H736" s="2" t="s">
        <v>60</v>
      </c>
      <c r="I736" s="3">
        <v>36043</v>
      </c>
      <c r="J736" s="9" t="str">
        <f t="shared" ca="1" si="13"/>
        <v>24 ans</v>
      </c>
      <c r="K736" s="2" t="s">
        <v>123</v>
      </c>
      <c r="L736" s="2" t="str">
        <f>"186"</f>
        <v>186</v>
      </c>
      <c r="M736" s="2"/>
      <c r="N736" s="2" t="str">
        <f>"PLACE RAYMOND"</f>
        <v>PLACE RAYMOND</v>
      </c>
      <c r="O736" s="2" t="s">
        <v>3185</v>
      </c>
      <c r="P736" s="9" t="str">
        <f>VLOOKUP($O736,'Liste des Villes'!$B$2:$B$1128,1,FALSE)</f>
        <v>Saint-Jérôme</v>
      </c>
      <c r="Q736" s="9" t="str">
        <f>IFERROR($P736,PROPER(VLOOKUP($O736,'Villes en erreur'!$A$2:$B$72,2,FALSE)))</f>
        <v>Saint-Jérôme</v>
      </c>
      <c r="R736" s="9" t="s">
        <v>3186</v>
      </c>
      <c r="S736" s="9" t="str">
        <f>IF(ISBLANK($R736),"",VLOOKUP($R736,'Liste des Villes'!$B$2:$H$1128,4,FALSE))</f>
        <v>Laurentides</v>
      </c>
      <c r="T736" s="2" t="s">
        <v>4205</v>
      </c>
      <c r="U736" s="2" t="s">
        <v>39</v>
      </c>
      <c r="V736" s="2" t="s">
        <v>40</v>
      </c>
      <c r="W736" s="2" t="s">
        <v>4281</v>
      </c>
      <c r="X736" s="2"/>
      <c r="Y736" s="2"/>
      <c r="Z736" s="2"/>
      <c r="AA736" s="2" t="s">
        <v>832</v>
      </c>
      <c r="AB736" s="2" t="s">
        <v>3221</v>
      </c>
      <c r="AC736" s="4" t="s">
        <v>44</v>
      </c>
    </row>
    <row r="737" spans="1:29" x14ac:dyDescent="0.25">
      <c r="A737" s="1">
        <v>3041</v>
      </c>
      <c r="B737" s="17" t="s">
        <v>4282</v>
      </c>
      <c r="C737" s="2" t="s">
        <v>4283</v>
      </c>
      <c r="D737" s="15" t="s">
        <v>875</v>
      </c>
      <c r="E737" s="9" t="s">
        <v>3574</v>
      </c>
      <c r="F737" s="9" t="s">
        <v>4284</v>
      </c>
      <c r="G737" s="9" t="s">
        <v>635</v>
      </c>
      <c r="H737" s="2" t="s">
        <v>35</v>
      </c>
      <c r="I737" s="3">
        <v>33809</v>
      </c>
      <c r="J737" s="9" t="str">
        <f t="shared" ca="1" si="13"/>
        <v>31 ans</v>
      </c>
      <c r="K737" s="2" t="s">
        <v>36</v>
      </c>
      <c r="L737" s="2" t="str">
        <f>"39"</f>
        <v>39</v>
      </c>
      <c r="M737" s="2"/>
      <c r="N737" s="2" t="str">
        <f>"AVENUE DES MÉSANGES"</f>
        <v>AVENUE DES MÉSANGES</v>
      </c>
      <c r="O737" s="2" t="s">
        <v>3185</v>
      </c>
      <c r="P737" s="9" t="str">
        <f>VLOOKUP($O737,'Liste des Villes'!$B$2:$B$1128,1,FALSE)</f>
        <v>Saint-Jérôme</v>
      </c>
      <c r="Q737" s="9" t="str">
        <f>IFERROR($P737,PROPER(VLOOKUP($O737,'Villes en erreur'!$A$2:$B$72,2,FALSE)))</f>
        <v>Saint-Jérôme</v>
      </c>
      <c r="R737" s="9" t="s">
        <v>3186</v>
      </c>
      <c r="S737" s="9" t="str">
        <f>IF(ISBLANK($R737),"",VLOOKUP($R737,'Liste des Villes'!$B$2:$H$1128,4,FALSE))</f>
        <v>Laurentides</v>
      </c>
      <c r="T737" s="2" t="s">
        <v>3093</v>
      </c>
      <c r="U737" s="2" t="s">
        <v>39</v>
      </c>
      <c r="V737" s="2" t="s">
        <v>40</v>
      </c>
      <c r="W737" s="2" t="s">
        <v>4285</v>
      </c>
      <c r="X737" s="2"/>
      <c r="Y737" s="2"/>
      <c r="Z737" s="2"/>
      <c r="AA737" s="2" t="s">
        <v>213</v>
      </c>
      <c r="AB737" s="2" t="s">
        <v>53</v>
      </c>
      <c r="AC737" s="4" t="s">
        <v>44</v>
      </c>
    </row>
    <row r="738" spans="1:29" x14ac:dyDescent="0.25">
      <c r="A738" s="1">
        <v>4037</v>
      </c>
      <c r="B738" s="17" t="s">
        <v>4286</v>
      </c>
      <c r="C738" s="2" t="s">
        <v>4287</v>
      </c>
      <c r="D738" s="15" t="s">
        <v>1119</v>
      </c>
      <c r="E738" s="9" t="s">
        <v>698</v>
      </c>
      <c r="F738" s="9" t="s">
        <v>1117</v>
      </c>
      <c r="G738" s="9" t="s">
        <v>179</v>
      </c>
      <c r="H738" s="2" t="s">
        <v>60</v>
      </c>
      <c r="I738" s="3">
        <v>36114</v>
      </c>
      <c r="J738" s="9" t="str">
        <f t="shared" ca="1" si="13"/>
        <v>24 ans</v>
      </c>
      <c r="K738" s="2" t="s">
        <v>123</v>
      </c>
      <c r="L738" s="2" t="str">
        <f>"211"</f>
        <v>211</v>
      </c>
      <c r="M738" s="2"/>
      <c r="N738" s="2" t="str">
        <f>"RTE 395"</f>
        <v>RTE 395</v>
      </c>
      <c r="O738" s="2" t="s">
        <v>3185</v>
      </c>
      <c r="P738" s="9" t="str">
        <f>VLOOKUP($O738,'Liste des Villes'!$B$2:$B$1128,1,FALSE)</f>
        <v>Saint-Jérôme</v>
      </c>
      <c r="Q738" s="9" t="str">
        <f>IFERROR($P738,PROPER(VLOOKUP($O738,'Villes en erreur'!$A$2:$B$72,2,FALSE)))</f>
        <v>Saint-Jérôme</v>
      </c>
      <c r="R738" s="9" t="s">
        <v>3186</v>
      </c>
      <c r="S738" s="9" t="str">
        <f>IF(ISBLANK($R738),"",VLOOKUP($R738,'Liste des Villes'!$B$2:$H$1128,4,FALSE))</f>
        <v>Laurentides</v>
      </c>
      <c r="T738" s="2" t="s">
        <v>3603</v>
      </c>
      <c r="U738" s="2" t="s">
        <v>39</v>
      </c>
      <c r="V738" s="2" t="s">
        <v>40</v>
      </c>
      <c r="W738" s="2" t="s">
        <v>4288</v>
      </c>
      <c r="X738" s="2"/>
      <c r="Y738" s="2"/>
      <c r="Z738" s="2"/>
      <c r="AA738" s="2" t="s">
        <v>832</v>
      </c>
      <c r="AB738" s="2" t="s">
        <v>3221</v>
      </c>
      <c r="AC738" s="4" t="s">
        <v>44</v>
      </c>
    </row>
    <row r="739" spans="1:29" x14ac:dyDescent="0.25">
      <c r="A739" s="1">
        <v>2177</v>
      </c>
      <c r="B739" s="17" t="s">
        <v>4289</v>
      </c>
      <c r="C739" s="2" t="s">
        <v>4290</v>
      </c>
      <c r="D739" s="15" t="s">
        <v>4291</v>
      </c>
      <c r="E739" s="9" t="s">
        <v>4292</v>
      </c>
      <c r="F739" s="9" t="s">
        <v>3772</v>
      </c>
      <c r="G739" s="9" t="s">
        <v>3274</v>
      </c>
      <c r="H739" s="2" t="s">
        <v>35</v>
      </c>
      <c r="I739" s="3">
        <v>35132</v>
      </c>
      <c r="J739" s="9" t="str">
        <f t="shared" ca="1" si="13"/>
        <v>27 ans</v>
      </c>
      <c r="K739" s="2" t="s">
        <v>36</v>
      </c>
      <c r="L739" s="2" t="str">
        <f>"102"</f>
        <v>102</v>
      </c>
      <c r="M739" s="2"/>
      <c r="N739" s="2" t="str">
        <f>"CH NOTRE-DAME"</f>
        <v>CH NOTRE-DAME</v>
      </c>
      <c r="O739" s="2" t="s">
        <v>3185</v>
      </c>
      <c r="P739" s="9" t="str">
        <f>VLOOKUP($O739,'Liste des Villes'!$B$2:$B$1128,1,FALSE)</f>
        <v>Saint-Jérôme</v>
      </c>
      <c r="Q739" s="9" t="str">
        <f>IFERROR($P739,PROPER(VLOOKUP($O739,'Villes en erreur'!$A$2:$B$72,2,FALSE)))</f>
        <v>Saint-Jérôme</v>
      </c>
      <c r="R739" s="9" t="s">
        <v>3186</v>
      </c>
      <c r="S739" s="9" t="str">
        <f>IF(ISBLANK($R739),"",VLOOKUP($R739,'Liste des Villes'!$B$2:$H$1128,4,FALSE))</f>
        <v>Laurentides</v>
      </c>
      <c r="T739" s="2" t="s">
        <v>3187</v>
      </c>
      <c r="U739" s="2" t="s">
        <v>39</v>
      </c>
      <c r="V739" s="2" t="s">
        <v>40</v>
      </c>
      <c r="W739" s="2" t="s">
        <v>4293</v>
      </c>
      <c r="X739" s="2"/>
      <c r="Y739" s="2"/>
      <c r="Z739" s="2"/>
      <c r="AA739" s="2" t="s">
        <v>3189</v>
      </c>
      <c r="AB739" s="2" t="s">
        <v>3190</v>
      </c>
      <c r="AC739" s="4" t="s">
        <v>44</v>
      </c>
    </row>
    <row r="740" spans="1:29" x14ac:dyDescent="0.25">
      <c r="A740" s="1">
        <v>2443</v>
      </c>
      <c r="B740" s="17" t="s">
        <v>4294</v>
      </c>
      <c r="C740" s="2" t="s">
        <v>4295</v>
      </c>
      <c r="D740" s="15" t="s">
        <v>4296</v>
      </c>
      <c r="E740" s="9" t="s">
        <v>4297</v>
      </c>
      <c r="F740" s="9" t="s">
        <v>4298</v>
      </c>
      <c r="G740" s="9" t="s">
        <v>2635</v>
      </c>
      <c r="H740" s="2" t="s">
        <v>60</v>
      </c>
      <c r="I740" s="3">
        <v>35783</v>
      </c>
      <c r="J740" s="9" t="str">
        <f t="shared" ca="1" si="13"/>
        <v>25 ans</v>
      </c>
      <c r="K740" s="2" t="s">
        <v>123</v>
      </c>
      <c r="L740" s="2" t="str">
        <f>"142"</f>
        <v>142</v>
      </c>
      <c r="M740" s="2"/>
      <c r="N740" s="2" t="str">
        <f>"GRANDE ALLÉE"</f>
        <v>GRANDE ALLÉE</v>
      </c>
      <c r="O740" s="2" t="s">
        <v>3185</v>
      </c>
      <c r="P740" s="9" t="str">
        <f>VLOOKUP($O740,'Liste des Villes'!$B$2:$B$1128,1,FALSE)</f>
        <v>Saint-Jérôme</v>
      </c>
      <c r="Q740" s="9" t="str">
        <f>IFERROR($P740,PROPER(VLOOKUP($O740,'Villes en erreur'!$A$2:$B$72,2,FALSE)))</f>
        <v>Saint-Jérôme</v>
      </c>
      <c r="R740" s="9" t="s">
        <v>3186</v>
      </c>
      <c r="S740" s="9" t="str">
        <f>IF(ISBLANK($R740),"",VLOOKUP($R740,'Liste des Villes'!$B$2:$H$1128,4,FALSE))</f>
        <v>Laurentides</v>
      </c>
      <c r="T740" s="2" t="s">
        <v>4299</v>
      </c>
      <c r="U740" s="2" t="s">
        <v>39</v>
      </c>
      <c r="V740" s="2" t="s">
        <v>40</v>
      </c>
      <c r="W740" s="2" t="s">
        <v>4300</v>
      </c>
      <c r="X740" s="2"/>
      <c r="Y740" s="2"/>
      <c r="Z740" s="2"/>
      <c r="AA740" s="2" t="s">
        <v>3243</v>
      </c>
      <c r="AB740" s="2" t="s">
        <v>3221</v>
      </c>
      <c r="AC740" s="4" t="s">
        <v>44</v>
      </c>
    </row>
    <row r="741" spans="1:29" x14ac:dyDescent="0.25">
      <c r="A741" s="1">
        <v>3707</v>
      </c>
      <c r="B741" s="17" t="s">
        <v>4301</v>
      </c>
      <c r="C741" s="2" t="s">
        <v>4302</v>
      </c>
      <c r="D741" s="15" t="s">
        <v>4303</v>
      </c>
      <c r="E741" s="9" t="s">
        <v>277</v>
      </c>
      <c r="F741" s="9" t="s">
        <v>4304</v>
      </c>
      <c r="G741" s="9" t="s">
        <v>1246</v>
      </c>
      <c r="H741" s="2" t="s">
        <v>35</v>
      </c>
      <c r="I741" s="3">
        <v>34107</v>
      </c>
      <c r="J741" s="9" t="str">
        <f t="shared" ca="1" si="13"/>
        <v>30 ans</v>
      </c>
      <c r="K741" s="2" t="s">
        <v>36</v>
      </c>
      <c r="L741" s="2" t="str">
        <f>"46"</f>
        <v>46</v>
      </c>
      <c r="M741" s="2"/>
      <c r="N741" s="2" t="str">
        <f>"BOULEVARD CÉLORON"</f>
        <v>BOULEVARD CÉLORON</v>
      </c>
      <c r="O741" s="2" t="s">
        <v>3185</v>
      </c>
      <c r="P741" s="9" t="str">
        <f>VLOOKUP($O741,'Liste des Villes'!$B$2:$B$1128,1,FALSE)</f>
        <v>Saint-Jérôme</v>
      </c>
      <c r="Q741" s="9" t="str">
        <f>IFERROR($P741,PROPER(VLOOKUP($O741,'Villes en erreur'!$A$2:$B$72,2,FALSE)))</f>
        <v>Saint-Jérôme</v>
      </c>
      <c r="R741" s="9" t="s">
        <v>3186</v>
      </c>
      <c r="S741" s="9" t="str">
        <f>IF(ISBLANK($R741),"",VLOOKUP($R741,'Liste des Villes'!$B$2:$H$1128,4,FALSE))</f>
        <v>Laurentides</v>
      </c>
      <c r="T741" s="2" t="s">
        <v>3358</v>
      </c>
      <c r="U741" s="2" t="s">
        <v>39</v>
      </c>
      <c r="V741" s="2" t="s">
        <v>40</v>
      </c>
      <c r="W741" s="2" t="s">
        <v>4305</v>
      </c>
      <c r="X741" s="2"/>
      <c r="Y741" s="2"/>
      <c r="Z741" s="2"/>
      <c r="AA741" s="2" t="s">
        <v>3360</v>
      </c>
      <c r="AB741" s="2" t="s">
        <v>53</v>
      </c>
      <c r="AC741" s="4" t="s">
        <v>44</v>
      </c>
    </row>
    <row r="742" spans="1:29" x14ac:dyDescent="0.25">
      <c r="A742" s="1">
        <v>860</v>
      </c>
      <c r="B742" s="17" t="s">
        <v>4306</v>
      </c>
      <c r="C742" s="2" t="s">
        <v>4307</v>
      </c>
      <c r="D742" s="15" t="s">
        <v>4308</v>
      </c>
      <c r="E742" s="9" t="s">
        <v>3265</v>
      </c>
      <c r="F742" s="9" t="s">
        <v>4309</v>
      </c>
      <c r="G742" s="9" t="s">
        <v>2160</v>
      </c>
      <c r="H742" s="2" t="s">
        <v>60</v>
      </c>
      <c r="I742" s="3">
        <v>36045</v>
      </c>
      <c r="J742" s="9" t="str">
        <f t="shared" ca="1" si="13"/>
        <v>24 ans</v>
      </c>
      <c r="K742" s="2" t="s">
        <v>123</v>
      </c>
      <c r="L742" s="2" t="str">
        <f>"187"</f>
        <v>187</v>
      </c>
      <c r="M742" s="2"/>
      <c r="N742" s="2" t="str">
        <f>"PLACE RICHER"</f>
        <v>PLACE RICHER</v>
      </c>
      <c r="O742" s="2" t="s">
        <v>3185</v>
      </c>
      <c r="P742" s="9" t="str">
        <f>VLOOKUP($O742,'Liste des Villes'!$B$2:$B$1128,1,FALSE)</f>
        <v>Saint-Jérôme</v>
      </c>
      <c r="Q742" s="9" t="str">
        <f>IFERROR($P742,PROPER(VLOOKUP($O742,'Villes en erreur'!$A$2:$B$72,2,FALSE)))</f>
        <v>Saint-Jérôme</v>
      </c>
      <c r="R742" s="9" t="s">
        <v>3186</v>
      </c>
      <c r="S742" s="9" t="str">
        <f>IF(ISBLANK($R742),"",VLOOKUP($R742,'Liste des Villes'!$B$2:$H$1128,4,FALSE))</f>
        <v>Laurentides</v>
      </c>
      <c r="T742" s="2" t="s">
        <v>4310</v>
      </c>
      <c r="U742" s="2" t="s">
        <v>39</v>
      </c>
      <c r="V742" s="2" t="s">
        <v>40</v>
      </c>
      <c r="W742" s="2" t="s">
        <v>4311</v>
      </c>
      <c r="X742" s="2"/>
      <c r="Y742" s="2"/>
      <c r="Z742" s="2"/>
      <c r="AA742" s="2" t="s">
        <v>832</v>
      </c>
      <c r="AB742" s="2" t="s">
        <v>3221</v>
      </c>
      <c r="AC742" s="4" t="s">
        <v>44</v>
      </c>
    </row>
    <row r="743" spans="1:29" x14ac:dyDescent="0.25">
      <c r="A743" s="1">
        <v>1536</v>
      </c>
      <c r="B743" s="17" t="s">
        <v>4312</v>
      </c>
      <c r="C743" s="2" t="s">
        <v>2565</v>
      </c>
      <c r="D743" s="15" t="s">
        <v>520</v>
      </c>
      <c r="E743" s="9" t="s">
        <v>1037</v>
      </c>
      <c r="F743" s="9" t="s">
        <v>518</v>
      </c>
      <c r="G743" s="9" t="s">
        <v>495</v>
      </c>
      <c r="H743" s="2" t="s">
        <v>35</v>
      </c>
      <c r="I743" s="3">
        <v>34580</v>
      </c>
      <c r="J743" s="9" t="str">
        <f t="shared" ca="1" si="13"/>
        <v>28 ans</v>
      </c>
      <c r="K743" s="2" t="s">
        <v>36</v>
      </c>
      <c r="L743" s="2" t="str">
        <f>"67"</f>
        <v>67</v>
      </c>
      <c r="M743" s="2"/>
      <c r="N743" s="2" t="str">
        <f>"CH DE LA MACAZA"</f>
        <v>CH DE LA MACAZA</v>
      </c>
      <c r="O743" s="2" t="s">
        <v>3185</v>
      </c>
      <c r="P743" s="9" t="str">
        <f>VLOOKUP($O743,'Liste des Villes'!$B$2:$B$1128,1,FALSE)</f>
        <v>Saint-Jérôme</v>
      </c>
      <c r="Q743" s="9" t="str">
        <f>IFERROR($P743,PROPER(VLOOKUP($O743,'Villes en erreur'!$A$2:$B$72,2,FALSE)))</f>
        <v>Saint-Jérôme</v>
      </c>
      <c r="R743" s="9" t="s">
        <v>3186</v>
      </c>
      <c r="S743" s="9" t="str">
        <f>IF(ISBLANK($R743),"",VLOOKUP($R743,'Liste des Villes'!$B$2:$H$1128,4,FALSE))</f>
        <v>Laurentides</v>
      </c>
      <c r="T743" s="2" t="s">
        <v>3954</v>
      </c>
      <c r="U743" s="2" t="s">
        <v>39</v>
      </c>
      <c r="V743" s="2" t="s">
        <v>40</v>
      </c>
      <c r="W743" s="2" t="s">
        <v>4313</v>
      </c>
      <c r="X743" s="2"/>
      <c r="Y743" s="2"/>
      <c r="Z743" s="2"/>
      <c r="AA743" s="2" t="s">
        <v>3225</v>
      </c>
      <c r="AB743" s="2" t="s">
        <v>53</v>
      </c>
      <c r="AC743" s="4" t="s">
        <v>44</v>
      </c>
    </row>
    <row r="744" spans="1:29" x14ac:dyDescent="0.25">
      <c r="A744" s="1">
        <v>3666</v>
      </c>
      <c r="B744" s="17" t="s">
        <v>4314</v>
      </c>
      <c r="C744" s="2" t="s">
        <v>4315</v>
      </c>
      <c r="D744" s="15" t="s">
        <v>4316</v>
      </c>
      <c r="E744" s="9" t="s">
        <v>541</v>
      </c>
      <c r="F744" s="9" t="s">
        <v>3705</v>
      </c>
      <c r="G744" s="9" t="s">
        <v>3098</v>
      </c>
      <c r="H744" s="2" t="s">
        <v>60</v>
      </c>
      <c r="I744" s="3">
        <v>35353</v>
      </c>
      <c r="J744" s="9" t="str">
        <f t="shared" ca="1" si="13"/>
        <v>26 ans</v>
      </c>
      <c r="K744" s="2" t="s">
        <v>36</v>
      </c>
      <c r="L744" s="2" t="str">
        <f>"111"</f>
        <v>111</v>
      </c>
      <c r="M744" s="2"/>
      <c r="N744" s="2" t="str">
        <f>"CHEMIN DES OPALES"</f>
        <v>CHEMIN DES OPALES</v>
      </c>
      <c r="O744" s="2" t="s">
        <v>3185</v>
      </c>
      <c r="P744" s="9" t="str">
        <f>VLOOKUP($O744,'Liste des Villes'!$B$2:$B$1128,1,FALSE)</f>
        <v>Saint-Jérôme</v>
      </c>
      <c r="Q744" s="9" t="str">
        <f>IFERROR($P744,PROPER(VLOOKUP($O744,'Villes en erreur'!$A$2:$B$72,2,FALSE)))</f>
        <v>Saint-Jérôme</v>
      </c>
      <c r="R744" s="9" t="s">
        <v>3186</v>
      </c>
      <c r="S744" s="9" t="str">
        <f>IF(ISBLANK($R744),"",VLOOKUP($R744,'Liste des Villes'!$B$2:$H$1128,4,FALSE))</f>
        <v>Laurentides</v>
      </c>
      <c r="T744" s="2" t="s">
        <v>3524</v>
      </c>
      <c r="U744" s="2" t="s">
        <v>39</v>
      </c>
      <c r="V744" s="2" t="s">
        <v>40</v>
      </c>
      <c r="W744" s="2" t="s">
        <v>4317</v>
      </c>
      <c r="X744" s="2"/>
      <c r="Y744" s="2"/>
      <c r="Z744" s="2"/>
      <c r="AA744" s="2" t="s">
        <v>3189</v>
      </c>
      <c r="AB744" s="2" t="s">
        <v>3200</v>
      </c>
      <c r="AC744" s="4" t="s">
        <v>44</v>
      </c>
    </row>
    <row r="745" spans="1:29" x14ac:dyDescent="0.25">
      <c r="A745" s="1">
        <v>2306</v>
      </c>
      <c r="B745" s="17" t="s">
        <v>4318</v>
      </c>
      <c r="C745" s="2" t="s">
        <v>4319</v>
      </c>
      <c r="D745" s="15" t="s">
        <v>2001</v>
      </c>
      <c r="E745" s="9" t="s">
        <v>1128</v>
      </c>
      <c r="F745" s="9" t="s">
        <v>582</v>
      </c>
      <c r="G745" s="9" t="s">
        <v>4320</v>
      </c>
      <c r="H745" s="2" t="s">
        <v>35</v>
      </c>
      <c r="I745" s="3">
        <v>35314</v>
      </c>
      <c r="J745" s="9" t="str">
        <f t="shared" ca="1" si="13"/>
        <v>26 ans</v>
      </c>
      <c r="K745" s="2" t="s">
        <v>36</v>
      </c>
      <c r="L745" s="2" t="str">
        <f>"109"</f>
        <v>109</v>
      </c>
      <c r="M745" s="2"/>
      <c r="N745" s="2" t="str">
        <f>"CHEMIN DES CLÉMATITES"</f>
        <v>CHEMIN DES CLÉMATITES</v>
      </c>
      <c r="O745" s="2" t="s">
        <v>3185</v>
      </c>
      <c r="P745" s="9" t="str">
        <f>VLOOKUP($O745,'Liste des Villes'!$B$2:$B$1128,1,FALSE)</f>
        <v>Saint-Jérôme</v>
      </c>
      <c r="Q745" s="9" t="str">
        <f>IFERROR($P745,PROPER(VLOOKUP($O745,'Villes en erreur'!$A$2:$B$72,2,FALSE)))</f>
        <v>Saint-Jérôme</v>
      </c>
      <c r="R745" s="9" t="s">
        <v>3186</v>
      </c>
      <c r="S745" s="9" t="str">
        <f>IF(ISBLANK($R745),"",VLOOKUP($R745,'Liste des Villes'!$B$2:$H$1128,4,FALSE))</f>
        <v>Laurentides</v>
      </c>
      <c r="T745" s="2" t="s">
        <v>4321</v>
      </c>
      <c r="U745" s="2" t="s">
        <v>39</v>
      </c>
      <c r="V745" s="2" t="s">
        <v>40</v>
      </c>
      <c r="W745" s="2" t="s">
        <v>4322</v>
      </c>
      <c r="X745" s="2"/>
      <c r="Y745" s="2"/>
      <c r="Z745" s="2"/>
      <c r="AA745" s="2" t="s">
        <v>3189</v>
      </c>
      <c r="AB745" s="2" t="s">
        <v>3200</v>
      </c>
      <c r="AC745" s="4" t="s">
        <v>44</v>
      </c>
    </row>
    <row r="746" spans="1:29" x14ac:dyDescent="0.25">
      <c r="A746" s="1">
        <v>1832</v>
      </c>
      <c r="B746" s="17" t="s">
        <v>4323</v>
      </c>
      <c r="C746" s="2" t="s">
        <v>3483</v>
      </c>
      <c r="D746" s="15" t="s">
        <v>3484</v>
      </c>
      <c r="E746" s="9" t="s">
        <v>3485</v>
      </c>
      <c r="F746" s="9" t="s">
        <v>4324</v>
      </c>
      <c r="G746" s="9" t="s">
        <v>469</v>
      </c>
      <c r="H746" s="2" t="s">
        <v>35</v>
      </c>
      <c r="I746" s="3">
        <v>35314</v>
      </c>
      <c r="J746" s="9" t="str">
        <f t="shared" ca="1" si="13"/>
        <v>26 ans</v>
      </c>
      <c r="K746" s="2" t="s">
        <v>36</v>
      </c>
      <c r="L746" s="2" t="str">
        <f>"109"</f>
        <v>109</v>
      </c>
      <c r="M746" s="2"/>
      <c r="N746" s="2" t="str">
        <f>"CHEMIN DES CHÊNES EST"</f>
        <v>CHEMIN DES CHÊNES EST</v>
      </c>
      <c r="O746" s="2" t="s">
        <v>3185</v>
      </c>
      <c r="P746" s="9" t="str">
        <f>VLOOKUP($O746,'Liste des Villes'!$B$2:$B$1128,1,FALSE)</f>
        <v>Saint-Jérôme</v>
      </c>
      <c r="Q746" s="9" t="str">
        <f>IFERROR($P746,PROPER(VLOOKUP($O746,'Villes en erreur'!$A$2:$B$72,2,FALSE)))</f>
        <v>Saint-Jérôme</v>
      </c>
      <c r="R746" s="9" t="s">
        <v>3186</v>
      </c>
      <c r="S746" s="9" t="str">
        <f>IF(ISBLANK($R746),"",VLOOKUP($R746,'Liste des Villes'!$B$2:$H$1128,4,FALSE))</f>
        <v>Laurentides</v>
      </c>
      <c r="T746" s="2" t="s">
        <v>4321</v>
      </c>
      <c r="U746" s="2" t="s">
        <v>39</v>
      </c>
      <c r="V746" s="2" t="s">
        <v>40</v>
      </c>
      <c r="W746" s="2" t="s">
        <v>4325</v>
      </c>
      <c r="X746" s="2"/>
      <c r="Y746" s="2"/>
      <c r="Z746" s="2"/>
      <c r="AA746" s="2" t="s">
        <v>3189</v>
      </c>
      <c r="AB746" s="2" t="s">
        <v>3200</v>
      </c>
      <c r="AC746" s="4" t="s">
        <v>44</v>
      </c>
    </row>
    <row r="747" spans="1:29" x14ac:dyDescent="0.25">
      <c r="A747" s="1">
        <v>958</v>
      </c>
      <c r="B747" s="17" t="s">
        <v>4326</v>
      </c>
      <c r="C747" s="2" t="s">
        <v>4327</v>
      </c>
      <c r="D747" s="15" t="s">
        <v>4328</v>
      </c>
      <c r="E747" s="9" t="s">
        <v>4329</v>
      </c>
      <c r="F747" s="9" t="s">
        <v>4330</v>
      </c>
      <c r="G747" s="9" t="s">
        <v>4331</v>
      </c>
      <c r="H747" s="2" t="s">
        <v>60</v>
      </c>
      <c r="I747" s="3">
        <v>34978</v>
      </c>
      <c r="J747" s="9" t="str">
        <f t="shared" ca="1" si="13"/>
        <v>27 ans</v>
      </c>
      <c r="K747" s="2" t="s">
        <v>36</v>
      </c>
      <c r="L747" s="2" t="str">
        <f>"88"</f>
        <v>88</v>
      </c>
      <c r="M747" s="2"/>
      <c r="N747" s="2" t="str">
        <f>"CH DU LAC LEON"</f>
        <v>CH DU LAC LEON</v>
      </c>
      <c r="O747" s="2" t="s">
        <v>3185</v>
      </c>
      <c r="P747" s="9" t="str">
        <f>VLOOKUP($O747,'Liste des Villes'!$B$2:$B$1128,1,FALSE)</f>
        <v>Saint-Jérôme</v>
      </c>
      <c r="Q747" s="9" t="str">
        <f>IFERROR($P747,PROPER(VLOOKUP($O747,'Villes en erreur'!$A$2:$B$72,2,FALSE)))</f>
        <v>Saint-Jérôme</v>
      </c>
      <c r="R747" s="9" t="s">
        <v>3186</v>
      </c>
      <c r="S747" s="9" t="str">
        <f>IF(ISBLANK($R747),"",VLOOKUP($R747,'Liste des Villes'!$B$2:$H$1128,4,FALSE))</f>
        <v>Laurentides</v>
      </c>
      <c r="T747" s="2" t="s">
        <v>3187</v>
      </c>
      <c r="U747" s="2" t="s">
        <v>39</v>
      </c>
      <c r="V747" s="2" t="s">
        <v>40</v>
      </c>
      <c r="W747" s="2" t="s">
        <v>4332</v>
      </c>
      <c r="X747" s="2"/>
      <c r="Y747" s="2"/>
      <c r="Z747" s="2"/>
      <c r="AA747" s="2" t="s">
        <v>3189</v>
      </c>
      <c r="AB747" s="2" t="s">
        <v>53</v>
      </c>
      <c r="AC747" s="4" t="s">
        <v>44</v>
      </c>
    </row>
    <row r="748" spans="1:29" x14ac:dyDescent="0.25">
      <c r="A748" s="1">
        <v>3066</v>
      </c>
      <c r="B748" s="17" t="s">
        <v>4333</v>
      </c>
      <c r="C748" s="2" t="s">
        <v>4334</v>
      </c>
      <c r="D748" s="15" t="s">
        <v>4335</v>
      </c>
      <c r="E748" s="9" t="s">
        <v>2920</v>
      </c>
      <c r="F748" s="9" t="s">
        <v>4336</v>
      </c>
      <c r="G748" s="9" t="s">
        <v>664</v>
      </c>
      <c r="H748" s="2" t="s">
        <v>60</v>
      </c>
      <c r="I748" s="3">
        <v>36008</v>
      </c>
      <c r="J748" s="9" t="str">
        <f t="shared" ca="1" si="13"/>
        <v>25 ans</v>
      </c>
      <c r="K748" s="2" t="s">
        <v>123</v>
      </c>
      <c r="L748" s="2" t="str">
        <f>"179"</f>
        <v>179</v>
      </c>
      <c r="M748" s="2"/>
      <c r="N748" s="2" t="str">
        <f>"PLACE DU CANTONNIER"</f>
        <v>PLACE DU CANTONNIER</v>
      </c>
      <c r="O748" s="2" t="s">
        <v>3185</v>
      </c>
      <c r="P748" s="9" t="str">
        <f>VLOOKUP($O748,'Liste des Villes'!$B$2:$B$1128,1,FALSE)</f>
        <v>Saint-Jérôme</v>
      </c>
      <c r="Q748" s="9" t="str">
        <f>IFERROR($P748,PROPER(VLOOKUP($O748,'Villes en erreur'!$A$2:$B$72,2,FALSE)))</f>
        <v>Saint-Jérôme</v>
      </c>
      <c r="R748" s="9" t="s">
        <v>3186</v>
      </c>
      <c r="S748" s="9" t="str">
        <f>IF(ISBLANK($R748),"",VLOOKUP($R748,'Liste des Villes'!$B$2:$H$1128,4,FALSE))</f>
        <v>Laurentides</v>
      </c>
      <c r="T748" s="2" t="s">
        <v>4337</v>
      </c>
      <c r="U748" s="2" t="s">
        <v>39</v>
      </c>
      <c r="V748" s="2" t="s">
        <v>40</v>
      </c>
      <c r="W748" s="2" t="s">
        <v>4338</v>
      </c>
      <c r="X748" s="2"/>
      <c r="Y748" s="2"/>
      <c r="Z748" s="2"/>
      <c r="AA748" s="2" t="s">
        <v>832</v>
      </c>
      <c r="AB748" s="2" t="s">
        <v>3221</v>
      </c>
      <c r="AC748" s="4" t="s">
        <v>44</v>
      </c>
    </row>
    <row r="749" spans="1:29" x14ac:dyDescent="0.25">
      <c r="A749" s="1">
        <v>3285</v>
      </c>
      <c r="B749" s="17" t="s">
        <v>4339</v>
      </c>
      <c r="C749" s="2" t="s">
        <v>3422</v>
      </c>
      <c r="D749" s="15" t="s">
        <v>1098</v>
      </c>
      <c r="E749" s="9" t="s">
        <v>3423</v>
      </c>
      <c r="F749" s="9" t="s">
        <v>3424</v>
      </c>
      <c r="G749" s="9" t="s">
        <v>1246</v>
      </c>
      <c r="H749" s="2" t="s">
        <v>35</v>
      </c>
      <c r="I749" s="3">
        <v>34106</v>
      </c>
      <c r="J749" s="9" t="str">
        <f t="shared" ca="1" si="13"/>
        <v>30 ans</v>
      </c>
      <c r="K749" s="2" t="s">
        <v>36</v>
      </c>
      <c r="L749" s="2" t="str">
        <f>"46"</f>
        <v>46</v>
      </c>
      <c r="M749" s="2"/>
      <c r="N749" s="2" t="str">
        <f>"BOULEVARD CÉLORON"</f>
        <v>BOULEVARD CÉLORON</v>
      </c>
      <c r="O749" s="2" t="s">
        <v>3185</v>
      </c>
      <c r="P749" s="9" t="str">
        <f>VLOOKUP($O749,'Liste des Villes'!$B$2:$B$1128,1,FALSE)</f>
        <v>Saint-Jérôme</v>
      </c>
      <c r="Q749" s="9" t="str">
        <f>IFERROR($P749,PROPER(VLOOKUP($O749,'Villes en erreur'!$A$2:$B$72,2,FALSE)))</f>
        <v>Saint-Jérôme</v>
      </c>
      <c r="R749" s="9" t="s">
        <v>3186</v>
      </c>
      <c r="S749" s="9" t="str">
        <f>IF(ISBLANK($R749),"",VLOOKUP($R749,'Liste des Villes'!$B$2:$H$1128,4,FALSE))</f>
        <v>Laurentides</v>
      </c>
      <c r="T749" s="2" t="s">
        <v>3358</v>
      </c>
      <c r="U749" s="2" t="s">
        <v>39</v>
      </c>
      <c r="V749" s="2" t="s">
        <v>40</v>
      </c>
      <c r="W749" s="2" t="s">
        <v>4340</v>
      </c>
      <c r="X749" s="2"/>
      <c r="Y749" s="2"/>
      <c r="Z749" s="2"/>
      <c r="AA749" s="2" t="s">
        <v>3360</v>
      </c>
      <c r="AB749" s="2" t="s">
        <v>53</v>
      </c>
      <c r="AC749" s="4" t="s">
        <v>44</v>
      </c>
    </row>
    <row r="750" spans="1:29" x14ac:dyDescent="0.25">
      <c r="A750" s="1">
        <v>1609</v>
      </c>
      <c r="B750" s="17" t="s">
        <v>4341</v>
      </c>
      <c r="C750" s="2" t="s">
        <v>4342</v>
      </c>
      <c r="D750" s="15" t="s">
        <v>867</v>
      </c>
      <c r="E750" s="9" t="s">
        <v>4343</v>
      </c>
      <c r="F750" s="9" t="s">
        <v>4344</v>
      </c>
      <c r="G750" s="9" t="s">
        <v>3218</v>
      </c>
      <c r="H750" s="2" t="s">
        <v>60</v>
      </c>
      <c r="I750" s="3">
        <v>34313</v>
      </c>
      <c r="J750" s="9" t="str">
        <f t="shared" ca="1" si="13"/>
        <v>29 ans</v>
      </c>
      <c r="K750" s="2" t="s">
        <v>36</v>
      </c>
      <c r="L750" s="2" t="str">
        <f>"51"</f>
        <v>51</v>
      </c>
      <c r="M750" s="2"/>
      <c r="N750" s="2" t="str">
        <f>"BOULEVARD LAJEUNESSE EST"</f>
        <v>BOULEVARD LAJEUNESSE EST</v>
      </c>
      <c r="O750" s="2" t="s">
        <v>3185</v>
      </c>
      <c r="P750" s="9" t="str">
        <f>VLOOKUP($O750,'Liste des Villes'!$B$2:$B$1128,1,FALSE)</f>
        <v>Saint-Jérôme</v>
      </c>
      <c r="Q750" s="9" t="str">
        <f>IFERROR($P750,PROPER(VLOOKUP($O750,'Villes en erreur'!$A$2:$B$72,2,FALSE)))</f>
        <v>Saint-Jérôme</v>
      </c>
      <c r="R750" s="9" t="s">
        <v>3186</v>
      </c>
      <c r="S750" s="9" t="str">
        <f>IF(ISBLANK($R750),"",VLOOKUP($R750,'Liste des Villes'!$B$2:$H$1128,4,FALSE))</f>
        <v>Laurentides</v>
      </c>
      <c r="T750" s="2" t="s">
        <v>3520</v>
      </c>
      <c r="U750" s="2" t="s">
        <v>39</v>
      </c>
      <c r="V750" s="2" t="s">
        <v>40</v>
      </c>
      <c r="W750" s="2" t="s">
        <v>4345</v>
      </c>
      <c r="X750" s="2"/>
      <c r="Y750" s="2"/>
      <c r="Z750" s="2"/>
      <c r="AA750" s="2" t="s">
        <v>3360</v>
      </c>
      <c r="AB750" s="2" t="s">
        <v>53</v>
      </c>
      <c r="AC750" s="4" t="s">
        <v>44</v>
      </c>
    </row>
    <row r="751" spans="1:29" x14ac:dyDescent="0.25">
      <c r="A751" s="1">
        <v>5</v>
      </c>
      <c r="B751" s="17" t="s">
        <v>4346</v>
      </c>
      <c r="C751" s="2" t="s">
        <v>2511</v>
      </c>
      <c r="D751" s="15" t="s">
        <v>304</v>
      </c>
      <c r="E751" s="9" t="s">
        <v>2512</v>
      </c>
      <c r="F751" s="9" t="s">
        <v>4347</v>
      </c>
      <c r="G751" s="9" t="s">
        <v>1844</v>
      </c>
      <c r="H751" s="2" t="s">
        <v>60</v>
      </c>
      <c r="I751" s="3">
        <v>36158</v>
      </c>
      <c r="J751" s="9" t="str">
        <f t="shared" ca="1" si="13"/>
        <v>24 ans</v>
      </c>
      <c r="K751" s="2" t="s">
        <v>123</v>
      </c>
      <c r="L751" s="2" t="str">
        <f>"223"</f>
        <v>223</v>
      </c>
      <c r="M751" s="2"/>
      <c r="N751" s="2" t="str">
        <f>"RUE ALEXANNE"</f>
        <v>RUE ALEXANNE</v>
      </c>
      <c r="O751" s="2" t="s">
        <v>3185</v>
      </c>
      <c r="P751" s="9" t="str">
        <f>VLOOKUP($O751,'Liste des Villes'!$B$2:$B$1128,1,FALSE)</f>
        <v>Saint-Jérôme</v>
      </c>
      <c r="Q751" s="9" t="str">
        <f>IFERROR($P751,PROPER(VLOOKUP($O751,'Villes en erreur'!$A$2:$B$72,2,FALSE)))</f>
        <v>Saint-Jérôme</v>
      </c>
      <c r="R751" s="9" t="s">
        <v>3186</v>
      </c>
      <c r="S751" s="9" t="str">
        <f>IF(ISBLANK($R751),"",VLOOKUP($R751,'Liste des Villes'!$B$2:$H$1128,4,FALSE))</f>
        <v>Laurentides</v>
      </c>
      <c r="T751" s="2" t="s">
        <v>3314</v>
      </c>
      <c r="U751" s="2" t="s">
        <v>39</v>
      </c>
      <c r="V751" s="2" t="s">
        <v>40</v>
      </c>
      <c r="W751" s="2" t="s">
        <v>4348</v>
      </c>
      <c r="X751" s="2"/>
      <c r="Y751" s="2"/>
      <c r="Z751" s="2"/>
      <c r="AA751" s="2" t="s">
        <v>832</v>
      </c>
      <c r="AB751" s="2" t="s">
        <v>3221</v>
      </c>
      <c r="AC751" s="4" t="s">
        <v>44</v>
      </c>
    </row>
    <row r="752" spans="1:29" x14ac:dyDescent="0.25">
      <c r="A752" s="1">
        <v>3233</v>
      </c>
      <c r="B752" s="17" t="s">
        <v>4349</v>
      </c>
      <c r="C752" s="2" t="s">
        <v>4350</v>
      </c>
      <c r="D752" s="15" t="s">
        <v>4351</v>
      </c>
      <c r="E752" s="9" t="s">
        <v>4352</v>
      </c>
      <c r="F752" s="9" t="s">
        <v>4353</v>
      </c>
      <c r="G752" s="9" t="s">
        <v>4354</v>
      </c>
      <c r="H752" s="2" t="s">
        <v>60</v>
      </c>
      <c r="I752" s="3">
        <v>34066</v>
      </c>
      <c r="J752" s="9" t="str">
        <f t="shared" ca="1" si="13"/>
        <v>30 ans</v>
      </c>
      <c r="K752" s="2" t="s">
        <v>36</v>
      </c>
      <c r="L752" s="2" t="str">
        <f>"45"</f>
        <v>45</v>
      </c>
      <c r="M752" s="2"/>
      <c r="N752" s="2" t="str">
        <f>"BOUL. SAINT-JOSEPH EST"</f>
        <v>BOUL. SAINT-JOSEPH EST</v>
      </c>
      <c r="O752" s="2" t="s">
        <v>3185</v>
      </c>
      <c r="P752" s="9" t="str">
        <f>VLOOKUP($O752,'Liste des Villes'!$B$2:$B$1128,1,FALSE)</f>
        <v>Saint-Jérôme</v>
      </c>
      <c r="Q752" s="9" t="str">
        <f>IFERROR($P752,PROPER(VLOOKUP($O752,'Villes en erreur'!$A$2:$B$72,2,FALSE)))</f>
        <v>Saint-Jérôme</v>
      </c>
      <c r="R752" s="9" t="s">
        <v>3186</v>
      </c>
      <c r="S752" s="9" t="str">
        <f>IF(ISBLANK($R752),"",VLOOKUP($R752,'Liste des Villes'!$B$2:$H$1128,4,FALSE))</f>
        <v>Laurentides</v>
      </c>
      <c r="T752" s="2" t="s">
        <v>3358</v>
      </c>
      <c r="U752" s="2" t="s">
        <v>39</v>
      </c>
      <c r="V752" s="2" t="s">
        <v>40</v>
      </c>
      <c r="W752" s="2" t="s">
        <v>4355</v>
      </c>
      <c r="X752" s="2"/>
      <c r="Y752" s="2"/>
      <c r="Z752" s="2"/>
      <c r="AA752" s="2" t="s">
        <v>3360</v>
      </c>
      <c r="AB752" s="2" t="s">
        <v>53</v>
      </c>
      <c r="AC752" s="4" t="s">
        <v>44</v>
      </c>
    </row>
    <row r="753" spans="1:29" x14ac:dyDescent="0.25">
      <c r="A753" s="1">
        <v>1393</v>
      </c>
      <c r="B753" s="17" t="s">
        <v>4356</v>
      </c>
      <c r="C753" s="2" t="s">
        <v>3782</v>
      </c>
      <c r="D753" s="15" t="s">
        <v>3783</v>
      </c>
      <c r="E753" s="9" t="s">
        <v>179</v>
      </c>
      <c r="F753" s="9" t="s">
        <v>4357</v>
      </c>
      <c r="G753" s="9" t="s">
        <v>539</v>
      </c>
      <c r="H753" s="2" t="s">
        <v>60</v>
      </c>
      <c r="I753" s="3">
        <v>34370</v>
      </c>
      <c r="J753" s="9" t="str">
        <f t="shared" ca="1" si="13"/>
        <v>29 ans</v>
      </c>
      <c r="K753" s="2" t="s">
        <v>36</v>
      </c>
      <c r="L753" s="2" t="str">
        <f>"54"</f>
        <v>54</v>
      </c>
      <c r="M753" s="2"/>
      <c r="N753" s="2" t="str">
        <f>"BOULEVARD RENÉ-LÉVESQUE"</f>
        <v>BOULEVARD RENÉ-LÉVESQUE</v>
      </c>
      <c r="O753" s="2" t="s">
        <v>3185</v>
      </c>
      <c r="P753" s="9" t="str">
        <f>VLOOKUP($O753,'Liste des Villes'!$B$2:$B$1128,1,FALSE)</f>
        <v>Saint-Jérôme</v>
      </c>
      <c r="Q753" s="9" t="str">
        <f>IFERROR($P753,PROPER(VLOOKUP($O753,'Villes en erreur'!$A$2:$B$72,2,FALSE)))</f>
        <v>Saint-Jérôme</v>
      </c>
      <c r="R753" s="9" t="s">
        <v>3186</v>
      </c>
      <c r="S753" s="9" t="str">
        <f>IF(ISBLANK($R753),"",VLOOKUP($R753,'Liste des Villes'!$B$2:$H$1128,4,FALSE))</f>
        <v>Laurentides</v>
      </c>
      <c r="T753" s="2" t="s">
        <v>3291</v>
      </c>
      <c r="U753" s="2" t="s">
        <v>39</v>
      </c>
      <c r="V753" s="2" t="s">
        <v>40</v>
      </c>
      <c r="W753" s="2" t="s">
        <v>4358</v>
      </c>
      <c r="X753" s="2"/>
      <c r="Y753" s="2"/>
      <c r="Z753" s="2"/>
      <c r="AA753" s="2" t="s">
        <v>3293</v>
      </c>
      <c r="AB753" s="2" t="s">
        <v>53</v>
      </c>
      <c r="AC753" s="4" t="s">
        <v>44</v>
      </c>
    </row>
    <row r="754" spans="1:29" x14ac:dyDescent="0.25">
      <c r="A754" s="1">
        <v>4066</v>
      </c>
      <c r="B754" s="17" t="s">
        <v>4359</v>
      </c>
      <c r="C754" s="2" t="s">
        <v>4360</v>
      </c>
      <c r="D754" s="15" t="s">
        <v>4361</v>
      </c>
      <c r="E754" s="9" t="s">
        <v>325</v>
      </c>
      <c r="F754" s="9" t="s">
        <v>4362</v>
      </c>
      <c r="G754" s="9" t="s">
        <v>179</v>
      </c>
      <c r="H754" s="2" t="s">
        <v>60</v>
      </c>
      <c r="I754" s="3">
        <v>36103</v>
      </c>
      <c r="J754" s="9" t="str">
        <f t="shared" ca="1" si="13"/>
        <v>24 ans</v>
      </c>
      <c r="K754" s="2" t="s">
        <v>123</v>
      </c>
      <c r="L754" s="2" t="str">
        <f>"209"</f>
        <v>209</v>
      </c>
      <c r="M754" s="2"/>
      <c r="N754" s="2" t="str">
        <f>"RTE 125"</f>
        <v>RTE 125</v>
      </c>
      <c r="O754" s="2" t="s">
        <v>3185</v>
      </c>
      <c r="P754" s="9" t="str">
        <f>VLOOKUP($O754,'Liste des Villes'!$B$2:$B$1128,1,FALSE)</f>
        <v>Saint-Jérôme</v>
      </c>
      <c r="Q754" s="9" t="str">
        <f>IFERROR($P754,PROPER(VLOOKUP($O754,'Villes en erreur'!$A$2:$B$72,2,FALSE)))</f>
        <v>Saint-Jérôme</v>
      </c>
      <c r="R754" s="9" t="s">
        <v>3186</v>
      </c>
      <c r="S754" s="9" t="str">
        <f>IF(ISBLANK($R754),"",VLOOKUP($R754,'Liste des Villes'!$B$2:$H$1128,4,FALSE))</f>
        <v>Laurentides</v>
      </c>
      <c r="T754" s="2" t="s">
        <v>4363</v>
      </c>
      <c r="U754" s="2" t="s">
        <v>39</v>
      </c>
      <c r="V754" s="2" t="s">
        <v>40</v>
      </c>
      <c r="W754" s="2" t="s">
        <v>4364</v>
      </c>
      <c r="X754" s="2"/>
      <c r="Y754" s="2"/>
      <c r="Z754" s="2"/>
      <c r="AA754" s="2" t="s">
        <v>832</v>
      </c>
      <c r="AB754" s="2" t="s">
        <v>3221</v>
      </c>
      <c r="AC754" s="4" t="s">
        <v>44</v>
      </c>
    </row>
    <row r="755" spans="1:29" x14ac:dyDescent="0.25">
      <c r="A755" s="1">
        <v>2029</v>
      </c>
      <c r="B755" s="17" t="s">
        <v>4365</v>
      </c>
      <c r="C755" s="2" t="s">
        <v>724</v>
      </c>
      <c r="D755" s="15" t="s">
        <v>725</v>
      </c>
      <c r="E755" s="9" t="s">
        <v>253</v>
      </c>
      <c r="F755" s="9" t="s">
        <v>726</v>
      </c>
      <c r="G755" s="9" t="s">
        <v>635</v>
      </c>
      <c r="H755" s="2" t="s">
        <v>35</v>
      </c>
      <c r="I755" s="3">
        <v>33941</v>
      </c>
      <c r="J755" s="9" t="str">
        <f t="shared" ca="1" si="13"/>
        <v>30 ans</v>
      </c>
      <c r="K755" s="2" t="s">
        <v>36</v>
      </c>
      <c r="L755" s="2" t="str">
        <f>"41"</f>
        <v>41</v>
      </c>
      <c r="M755" s="2"/>
      <c r="N755" s="2" t="str">
        <f>"AVENUE SAINTE MARGUERITE"</f>
        <v>AVENUE SAINTE MARGUERITE</v>
      </c>
      <c r="O755" s="2" t="s">
        <v>3185</v>
      </c>
      <c r="P755" s="9" t="str">
        <f>VLOOKUP($O755,'Liste des Villes'!$B$2:$B$1128,1,FALSE)</f>
        <v>Saint-Jérôme</v>
      </c>
      <c r="Q755" s="9" t="str">
        <f>IFERROR($P755,PROPER(VLOOKUP($O755,'Villes en erreur'!$A$2:$B$72,2,FALSE)))</f>
        <v>Saint-Jérôme</v>
      </c>
      <c r="R755" s="9" t="s">
        <v>3186</v>
      </c>
      <c r="S755" s="9" t="str">
        <f>IF(ISBLANK($R755),"",VLOOKUP($R755,'Liste des Villes'!$B$2:$H$1128,4,FALSE))</f>
        <v>Laurentides</v>
      </c>
      <c r="T755" s="2" t="s">
        <v>3093</v>
      </c>
      <c r="U755" s="2" t="s">
        <v>39</v>
      </c>
      <c r="V755" s="2" t="s">
        <v>40</v>
      </c>
      <c r="W755" s="2" t="s">
        <v>4366</v>
      </c>
      <c r="X755" s="2"/>
      <c r="Y755" s="2"/>
      <c r="Z755" s="2"/>
      <c r="AA755" s="2" t="s">
        <v>3207</v>
      </c>
      <c r="AB755" s="2" t="s">
        <v>53</v>
      </c>
      <c r="AC755" s="4" t="s">
        <v>44</v>
      </c>
    </row>
    <row r="756" spans="1:29" x14ac:dyDescent="0.25">
      <c r="A756" s="1">
        <v>3984</v>
      </c>
      <c r="B756" s="17" t="s">
        <v>4367</v>
      </c>
      <c r="C756" s="2" t="s">
        <v>4368</v>
      </c>
      <c r="D756" s="15" t="s">
        <v>4369</v>
      </c>
      <c r="E756" s="9" t="s">
        <v>2049</v>
      </c>
      <c r="F756" s="9" t="s">
        <v>4370</v>
      </c>
      <c r="G756" s="9" t="s">
        <v>4371</v>
      </c>
      <c r="H756" s="2" t="s">
        <v>60</v>
      </c>
      <c r="I756" s="3">
        <v>36236</v>
      </c>
      <c r="J756" s="9" t="str">
        <f t="shared" ca="1" si="13"/>
        <v>24 ans</v>
      </c>
      <c r="K756" s="2" t="s">
        <v>123</v>
      </c>
      <c r="L756" s="2" t="str">
        <f>"260"</f>
        <v>260</v>
      </c>
      <c r="M756" s="2"/>
      <c r="N756" s="2" t="str">
        <f>"RUE BÉDARD"</f>
        <v>RUE BÉDARD</v>
      </c>
      <c r="O756" s="2" t="s">
        <v>3185</v>
      </c>
      <c r="P756" s="9" t="str">
        <f>VLOOKUP($O756,'Liste des Villes'!$B$2:$B$1128,1,FALSE)</f>
        <v>Saint-Jérôme</v>
      </c>
      <c r="Q756" s="9" t="str">
        <f>IFERROR($P756,PROPER(VLOOKUP($O756,'Villes en erreur'!$A$2:$B$72,2,FALSE)))</f>
        <v>Saint-Jérôme</v>
      </c>
      <c r="R756" s="9" t="s">
        <v>3186</v>
      </c>
      <c r="S756" s="9" t="str">
        <f>IF(ISBLANK($R756),"",VLOOKUP($R756,'Liste des Villes'!$B$2:$H$1128,4,FALSE))</f>
        <v>Laurentides</v>
      </c>
      <c r="T756" s="2" t="s">
        <v>4372</v>
      </c>
      <c r="U756" s="2" t="s">
        <v>39</v>
      </c>
      <c r="V756" s="2" t="s">
        <v>40</v>
      </c>
      <c r="W756" s="2" t="s">
        <v>4373</v>
      </c>
      <c r="X756" s="2"/>
      <c r="Y756" s="2"/>
      <c r="Z756" s="2"/>
      <c r="AA756" s="2" t="s">
        <v>832</v>
      </c>
      <c r="AB756" s="2" t="s">
        <v>73</v>
      </c>
      <c r="AC756" s="4" t="s">
        <v>44</v>
      </c>
    </row>
    <row r="757" spans="1:29" x14ac:dyDescent="0.25">
      <c r="A757" s="1">
        <v>1477</v>
      </c>
      <c r="B757" s="17" t="s">
        <v>4374</v>
      </c>
      <c r="C757" s="2" t="s">
        <v>4375</v>
      </c>
      <c r="D757" s="15" t="s">
        <v>4376</v>
      </c>
      <c r="E757" s="9" t="s">
        <v>3485</v>
      </c>
      <c r="F757" s="9" t="s">
        <v>4377</v>
      </c>
      <c r="G757" s="9" t="s">
        <v>891</v>
      </c>
      <c r="H757" s="2" t="s">
        <v>60</v>
      </c>
      <c r="I757" s="3">
        <v>35327</v>
      </c>
      <c r="J757" s="9" t="str">
        <f t="shared" ca="1" si="13"/>
        <v>26 ans</v>
      </c>
      <c r="K757" s="2" t="s">
        <v>36</v>
      </c>
      <c r="L757" s="2" t="str">
        <f>"110"</f>
        <v>110</v>
      </c>
      <c r="M757" s="2"/>
      <c r="N757" s="2" t="str">
        <f>"CHEMIN DES FONDATEURS"</f>
        <v>CHEMIN DES FONDATEURS</v>
      </c>
      <c r="O757" s="2" t="s">
        <v>3185</v>
      </c>
      <c r="P757" s="9" t="str">
        <f>VLOOKUP($O757,'Liste des Villes'!$B$2:$B$1128,1,FALSE)</f>
        <v>Saint-Jérôme</v>
      </c>
      <c r="Q757" s="9" t="str">
        <f>IFERROR($P757,PROPER(VLOOKUP($O757,'Villes en erreur'!$A$2:$B$72,2,FALSE)))</f>
        <v>Saint-Jérôme</v>
      </c>
      <c r="R757" s="9" t="s">
        <v>3186</v>
      </c>
      <c r="S757" s="9" t="str">
        <f>IF(ISBLANK($R757),"",VLOOKUP($R757,'Liste des Villes'!$B$2:$H$1128,4,FALSE))</f>
        <v>Laurentides</v>
      </c>
      <c r="T757" s="2" t="s">
        <v>4046</v>
      </c>
      <c r="U757" s="2" t="s">
        <v>39</v>
      </c>
      <c r="V757" s="2" t="s">
        <v>40</v>
      </c>
      <c r="W757" s="2" t="s">
        <v>4378</v>
      </c>
      <c r="X757" s="2"/>
      <c r="Y757" s="2"/>
      <c r="Z757" s="2"/>
      <c r="AA757" s="2" t="s">
        <v>3189</v>
      </c>
      <c r="AB757" s="2" t="s">
        <v>3200</v>
      </c>
      <c r="AC757" s="4" t="s">
        <v>44</v>
      </c>
    </row>
    <row r="758" spans="1:29" x14ac:dyDescent="0.25">
      <c r="A758" s="1">
        <v>2618</v>
      </c>
      <c r="B758" s="17" t="s">
        <v>4379</v>
      </c>
      <c r="C758" s="2" t="s">
        <v>4380</v>
      </c>
      <c r="D758" s="15" t="s">
        <v>4381</v>
      </c>
      <c r="E758" s="9" t="s">
        <v>4382</v>
      </c>
      <c r="F758" s="9" t="s">
        <v>388</v>
      </c>
      <c r="G758" s="9" t="s">
        <v>4383</v>
      </c>
      <c r="H758" s="2" t="s">
        <v>35</v>
      </c>
      <c r="I758" s="3">
        <v>35229</v>
      </c>
      <c r="J758" s="9" t="str">
        <f t="shared" ca="1" si="13"/>
        <v>27 ans</v>
      </c>
      <c r="K758" s="2" t="s">
        <v>36</v>
      </c>
      <c r="L758" s="2" t="str">
        <f>"105"</f>
        <v>105</v>
      </c>
      <c r="M758" s="2"/>
      <c r="N758" s="2" t="str">
        <f>"CHEMIN BLAIS"</f>
        <v>CHEMIN BLAIS</v>
      </c>
      <c r="O758" s="2" t="s">
        <v>3185</v>
      </c>
      <c r="P758" s="9" t="str">
        <f>VLOOKUP($O758,'Liste des Villes'!$B$2:$B$1128,1,FALSE)</f>
        <v>Saint-Jérôme</v>
      </c>
      <c r="Q758" s="9" t="str">
        <f>IFERROR($P758,PROPER(VLOOKUP($O758,'Villes en erreur'!$A$2:$B$72,2,FALSE)))</f>
        <v>Saint-Jérôme</v>
      </c>
      <c r="R758" s="9" t="s">
        <v>3186</v>
      </c>
      <c r="S758" s="9" t="str">
        <f>IF(ISBLANK($R758),"",VLOOKUP($R758,'Liste des Villes'!$B$2:$H$1128,4,FALSE))</f>
        <v>Laurentides</v>
      </c>
      <c r="T758" s="2" t="s">
        <v>3187</v>
      </c>
      <c r="U758" s="2" t="s">
        <v>39</v>
      </c>
      <c r="V758" s="2" t="s">
        <v>40</v>
      </c>
      <c r="W758" s="2" t="s">
        <v>4384</v>
      </c>
      <c r="X758" s="2"/>
      <c r="Y758" s="2"/>
      <c r="Z758" s="2"/>
      <c r="AA758" s="2" t="s">
        <v>3189</v>
      </c>
      <c r="AB758" s="2" t="s">
        <v>3190</v>
      </c>
      <c r="AC758" s="4" t="s">
        <v>44</v>
      </c>
    </row>
    <row r="759" spans="1:29" x14ac:dyDescent="0.25">
      <c r="A759" s="1">
        <v>2549</v>
      </c>
      <c r="B759" s="17" t="s">
        <v>4385</v>
      </c>
      <c r="C759" s="2" t="s">
        <v>598</v>
      </c>
      <c r="D759" s="15" t="s">
        <v>599</v>
      </c>
      <c r="E759" s="9" t="s">
        <v>600</v>
      </c>
      <c r="F759" s="9" t="s">
        <v>562</v>
      </c>
      <c r="G759" s="9" t="s">
        <v>600</v>
      </c>
      <c r="H759" s="2" t="s">
        <v>60</v>
      </c>
      <c r="I759" s="3">
        <v>35991</v>
      </c>
      <c r="J759" s="9" t="str">
        <f t="shared" ca="1" si="13"/>
        <v>25 ans</v>
      </c>
      <c r="K759" s="2" t="s">
        <v>123</v>
      </c>
      <c r="L759" s="2" t="str">
        <f>"173"</f>
        <v>173</v>
      </c>
      <c r="M759" s="2"/>
      <c r="N759" s="2" t="str">
        <f>"PLACE DE LA PULPERIE"</f>
        <v>PLACE DE LA PULPERIE</v>
      </c>
      <c r="O759" s="2" t="s">
        <v>3185</v>
      </c>
      <c r="P759" s="9" t="str">
        <f>VLOOKUP($O759,'Liste des Villes'!$B$2:$B$1128,1,FALSE)</f>
        <v>Saint-Jérôme</v>
      </c>
      <c r="Q759" s="9" t="str">
        <f>IFERROR($P759,PROPER(VLOOKUP($O759,'Villes en erreur'!$A$2:$B$72,2,FALSE)))</f>
        <v>Saint-Jérôme</v>
      </c>
      <c r="R759" s="9" t="s">
        <v>3186</v>
      </c>
      <c r="S759" s="9" t="str">
        <f>IF(ISBLANK($R759),"",VLOOKUP($R759,'Liste des Villes'!$B$2:$H$1128,4,FALSE))</f>
        <v>Laurentides</v>
      </c>
      <c r="T759" s="2" t="s">
        <v>4386</v>
      </c>
      <c r="U759" s="2" t="s">
        <v>39</v>
      </c>
      <c r="V759" s="2" t="s">
        <v>40</v>
      </c>
      <c r="W759" s="2" t="s">
        <v>4387</v>
      </c>
      <c r="X759" s="2"/>
      <c r="Y759" s="2"/>
      <c r="Z759" s="2"/>
      <c r="AA759" s="2" t="s">
        <v>832</v>
      </c>
      <c r="AB759" s="2" t="s">
        <v>3221</v>
      </c>
      <c r="AC759" s="4" t="s">
        <v>44</v>
      </c>
    </row>
    <row r="760" spans="1:29" x14ac:dyDescent="0.25">
      <c r="A760" s="1">
        <v>2900</v>
      </c>
      <c r="B760" s="17" t="s">
        <v>4388</v>
      </c>
      <c r="C760" s="2" t="s">
        <v>2209</v>
      </c>
      <c r="D760" s="15" t="s">
        <v>782</v>
      </c>
      <c r="E760" s="9" t="s">
        <v>2210</v>
      </c>
      <c r="F760" s="9" t="s">
        <v>4389</v>
      </c>
      <c r="G760" s="9" t="s">
        <v>4390</v>
      </c>
      <c r="H760" s="2" t="s">
        <v>60</v>
      </c>
      <c r="I760" s="3">
        <v>36202</v>
      </c>
      <c r="J760" s="9" t="str">
        <f t="shared" ca="1" si="13"/>
        <v>24 ans</v>
      </c>
      <c r="K760" s="2" t="s">
        <v>123</v>
      </c>
      <c r="L760" s="2" t="str">
        <f>"243"</f>
        <v>243</v>
      </c>
      <c r="M760" s="2"/>
      <c r="N760" s="2" t="str">
        <f>"RUE ARTHUR NORMAND"</f>
        <v>RUE ARTHUR NORMAND</v>
      </c>
      <c r="O760" s="2" t="s">
        <v>3185</v>
      </c>
      <c r="P760" s="9" t="str">
        <f>VLOOKUP($O760,'Liste des Villes'!$B$2:$B$1128,1,FALSE)</f>
        <v>Saint-Jérôme</v>
      </c>
      <c r="Q760" s="9" t="str">
        <f>IFERROR($P760,PROPER(VLOOKUP($O760,'Villes en erreur'!$A$2:$B$72,2,FALSE)))</f>
        <v>Saint-Jérôme</v>
      </c>
      <c r="R760" s="9" t="s">
        <v>3186</v>
      </c>
      <c r="S760" s="9" t="str">
        <f>IF(ISBLANK($R760),"",VLOOKUP($R760,'Liste des Villes'!$B$2:$H$1128,4,FALSE))</f>
        <v>Laurentides</v>
      </c>
      <c r="T760" s="2" t="s">
        <v>4391</v>
      </c>
      <c r="U760" s="2" t="s">
        <v>39</v>
      </c>
      <c r="V760" s="2" t="s">
        <v>40</v>
      </c>
      <c r="W760" s="2" t="s">
        <v>4392</v>
      </c>
      <c r="X760" s="2"/>
      <c r="Y760" s="2"/>
      <c r="Z760" s="2"/>
      <c r="AA760" s="2" t="s">
        <v>832</v>
      </c>
      <c r="AB760" s="2" t="s">
        <v>3288</v>
      </c>
      <c r="AC760" s="4" t="s">
        <v>44</v>
      </c>
    </row>
    <row r="761" spans="1:29" x14ac:dyDescent="0.25">
      <c r="A761" s="1">
        <v>1162</v>
      </c>
      <c r="B761" s="17" t="s">
        <v>4393</v>
      </c>
      <c r="C761" s="2" t="s">
        <v>4394</v>
      </c>
      <c r="D761" s="15" t="s">
        <v>617</v>
      </c>
      <c r="E761" s="9" t="s">
        <v>2404</v>
      </c>
      <c r="F761" s="9" t="s">
        <v>4395</v>
      </c>
      <c r="G761" s="9" t="s">
        <v>179</v>
      </c>
      <c r="H761" s="2" t="s">
        <v>60</v>
      </c>
      <c r="I761" s="3">
        <v>36129</v>
      </c>
      <c r="J761" s="9" t="str">
        <f t="shared" ca="1" si="13"/>
        <v>24 ans</v>
      </c>
      <c r="K761" s="2" t="s">
        <v>123</v>
      </c>
      <c r="L761" s="2" t="str">
        <f>"217"</f>
        <v>217</v>
      </c>
      <c r="M761" s="2"/>
      <c r="N761" s="2" t="str">
        <f>"RUE ALAIN"</f>
        <v>RUE ALAIN</v>
      </c>
      <c r="O761" s="2" t="s">
        <v>3185</v>
      </c>
      <c r="P761" s="9" t="str">
        <f>VLOOKUP($O761,'Liste des Villes'!$B$2:$B$1128,1,FALSE)</f>
        <v>Saint-Jérôme</v>
      </c>
      <c r="Q761" s="9" t="str">
        <f>IFERROR($P761,PROPER(VLOOKUP($O761,'Villes en erreur'!$A$2:$B$72,2,FALSE)))</f>
        <v>Saint-Jérôme</v>
      </c>
      <c r="R761" s="9" t="s">
        <v>3186</v>
      </c>
      <c r="S761" s="9" t="str">
        <f>IF(ISBLANK($R761),"",VLOOKUP($R761,'Liste des Villes'!$B$2:$H$1128,4,FALSE))</f>
        <v>Laurentides</v>
      </c>
      <c r="T761" s="2" t="s">
        <v>4396</v>
      </c>
      <c r="U761" s="2" t="s">
        <v>39</v>
      </c>
      <c r="V761" s="2" t="s">
        <v>40</v>
      </c>
      <c r="W761" s="2" t="s">
        <v>4397</v>
      </c>
      <c r="X761" s="2"/>
      <c r="Y761" s="2"/>
      <c r="Z761" s="2"/>
      <c r="AA761" s="2" t="s">
        <v>832</v>
      </c>
      <c r="AB761" s="2" t="s">
        <v>3221</v>
      </c>
      <c r="AC761" s="4" t="s">
        <v>44</v>
      </c>
    </row>
    <row r="762" spans="1:29" x14ac:dyDescent="0.25">
      <c r="A762" s="1">
        <v>4292</v>
      </c>
      <c r="B762" s="17" t="s">
        <v>4398</v>
      </c>
      <c r="C762" s="2" t="s">
        <v>4399</v>
      </c>
      <c r="D762" s="15" t="s">
        <v>4400</v>
      </c>
      <c r="E762" s="9" t="s">
        <v>2755</v>
      </c>
      <c r="F762" s="9" t="s">
        <v>2756</v>
      </c>
      <c r="G762" s="9" t="s">
        <v>713</v>
      </c>
      <c r="H762" s="2" t="s">
        <v>60</v>
      </c>
      <c r="I762" s="3">
        <v>36216</v>
      </c>
      <c r="J762" s="9" t="str">
        <f t="shared" ca="1" si="13"/>
        <v>24 ans</v>
      </c>
      <c r="K762" s="2" t="s">
        <v>123</v>
      </c>
      <c r="L762" s="2" t="str">
        <f>"251"</f>
        <v>251</v>
      </c>
      <c r="M762" s="2"/>
      <c r="N762" s="2" t="str">
        <f>"RUE BEAUCAGE"</f>
        <v>RUE BEAUCAGE</v>
      </c>
      <c r="O762" s="2" t="s">
        <v>3185</v>
      </c>
      <c r="P762" s="9" t="str">
        <f>VLOOKUP($O762,'Liste des Villes'!$B$2:$B$1128,1,FALSE)</f>
        <v>Saint-Jérôme</v>
      </c>
      <c r="Q762" s="9" t="str">
        <f>IFERROR($P762,PROPER(VLOOKUP($O762,'Villes en erreur'!$A$2:$B$72,2,FALSE)))</f>
        <v>Saint-Jérôme</v>
      </c>
      <c r="R762" s="9" t="s">
        <v>3186</v>
      </c>
      <c r="S762" s="9" t="str">
        <f>IF(ISBLANK($R762),"",VLOOKUP($R762,'Liste des Villes'!$B$2:$H$1128,4,FALSE))</f>
        <v>Laurentides</v>
      </c>
      <c r="T762" s="2" t="s">
        <v>4401</v>
      </c>
      <c r="U762" s="2" t="s">
        <v>39</v>
      </c>
      <c r="V762" s="2" t="s">
        <v>40</v>
      </c>
      <c r="W762" s="2" t="s">
        <v>4402</v>
      </c>
      <c r="X762" s="2"/>
      <c r="Y762" s="2"/>
      <c r="Z762" s="2"/>
      <c r="AA762" s="2" t="s">
        <v>832</v>
      </c>
      <c r="AB762" s="2" t="s">
        <v>3288</v>
      </c>
      <c r="AC762" s="4" t="s">
        <v>44</v>
      </c>
    </row>
    <row r="763" spans="1:29" x14ac:dyDescent="0.25">
      <c r="A763" s="1">
        <v>1959</v>
      </c>
      <c r="B763" s="17" t="s">
        <v>4403</v>
      </c>
      <c r="C763" s="2" t="s">
        <v>1733</v>
      </c>
      <c r="D763" s="15" t="s">
        <v>100</v>
      </c>
      <c r="E763" s="9" t="s">
        <v>122</v>
      </c>
      <c r="F763" s="9" t="s">
        <v>3977</v>
      </c>
      <c r="G763" s="9" t="s">
        <v>635</v>
      </c>
      <c r="H763" s="2" t="s">
        <v>35</v>
      </c>
      <c r="I763" s="3">
        <v>33871</v>
      </c>
      <c r="J763" s="9" t="str">
        <f t="shared" ca="1" si="13"/>
        <v>30 ans</v>
      </c>
      <c r="K763" s="2" t="s">
        <v>36</v>
      </c>
      <c r="L763" s="2" t="str">
        <f>"39"</f>
        <v>39</v>
      </c>
      <c r="M763" s="2"/>
      <c r="N763" s="2" t="str">
        <f>"AVENUE FÉLIX LECLERC"</f>
        <v>AVENUE FÉLIX LECLERC</v>
      </c>
      <c r="O763" s="2" t="s">
        <v>3185</v>
      </c>
      <c r="P763" s="9" t="str">
        <f>VLOOKUP($O763,'Liste des Villes'!$B$2:$B$1128,1,FALSE)</f>
        <v>Saint-Jérôme</v>
      </c>
      <c r="Q763" s="9" t="str">
        <f>IFERROR($P763,PROPER(VLOOKUP($O763,'Villes en erreur'!$A$2:$B$72,2,FALSE)))</f>
        <v>Saint-Jérôme</v>
      </c>
      <c r="R763" s="9" t="s">
        <v>3186</v>
      </c>
      <c r="S763" s="9" t="str">
        <f>IF(ISBLANK($R763),"",VLOOKUP($R763,'Liste des Villes'!$B$2:$H$1128,4,FALSE))</f>
        <v>Laurentides</v>
      </c>
      <c r="T763" s="2" t="s">
        <v>3093</v>
      </c>
      <c r="U763" s="2" t="s">
        <v>39</v>
      </c>
      <c r="V763" s="2" t="s">
        <v>40</v>
      </c>
      <c r="W763" s="2" t="s">
        <v>4404</v>
      </c>
      <c r="X763" s="2"/>
      <c r="Y763" s="2"/>
      <c r="Z763" s="2"/>
      <c r="AA763" s="2" t="s">
        <v>3207</v>
      </c>
      <c r="AB763" s="2" t="s">
        <v>53</v>
      </c>
      <c r="AC763" s="4" t="s">
        <v>44</v>
      </c>
    </row>
    <row r="764" spans="1:29" x14ac:dyDescent="0.25">
      <c r="A764" s="1">
        <v>1628</v>
      </c>
      <c r="B764" s="17" t="s">
        <v>4405</v>
      </c>
      <c r="C764" s="2" t="s">
        <v>517</v>
      </c>
      <c r="D764" s="15" t="s">
        <v>518</v>
      </c>
      <c r="E764" s="9" t="s">
        <v>519</v>
      </c>
      <c r="F764" s="9" t="s">
        <v>4406</v>
      </c>
      <c r="G764" s="9" t="s">
        <v>114</v>
      </c>
      <c r="H764" s="2" t="s">
        <v>60</v>
      </c>
      <c r="I764" s="3">
        <v>36252</v>
      </c>
      <c r="J764" s="9" t="str">
        <f t="shared" ca="1" si="13"/>
        <v>24 ans</v>
      </c>
      <c r="K764" s="2" t="s">
        <v>123</v>
      </c>
      <c r="L764" s="2" t="str">
        <f>"270"</f>
        <v>270</v>
      </c>
      <c r="M764" s="2"/>
      <c r="N764" s="2" t="str">
        <f>"RUE BERNARD"</f>
        <v>RUE BERNARD</v>
      </c>
      <c r="O764" s="2" t="s">
        <v>3185</v>
      </c>
      <c r="P764" s="9" t="str">
        <f>VLOOKUP($O764,'Liste des Villes'!$B$2:$B$1128,1,FALSE)</f>
        <v>Saint-Jérôme</v>
      </c>
      <c r="Q764" s="9" t="str">
        <f>IFERROR($P764,PROPER(VLOOKUP($O764,'Villes en erreur'!$A$2:$B$72,2,FALSE)))</f>
        <v>Saint-Jérôme</v>
      </c>
      <c r="R764" s="9" t="s">
        <v>3186</v>
      </c>
      <c r="S764" s="9" t="str">
        <f>IF(ISBLANK($R764),"",VLOOKUP($R764,'Liste des Villes'!$B$2:$H$1128,4,FALSE))</f>
        <v>Laurentides</v>
      </c>
      <c r="T764" s="2" t="s">
        <v>1238</v>
      </c>
      <c r="U764" s="2" t="s">
        <v>39</v>
      </c>
      <c r="V764" s="2" t="s">
        <v>40</v>
      </c>
      <c r="W764" s="2" t="s">
        <v>4407</v>
      </c>
      <c r="X764" s="2"/>
      <c r="Y764" s="2"/>
      <c r="Z764" s="2"/>
      <c r="AA764" s="2" t="s">
        <v>832</v>
      </c>
      <c r="AB764" s="2" t="s">
        <v>73</v>
      </c>
      <c r="AC764" s="4" t="s">
        <v>44</v>
      </c>
    </row>
    <row r="765" spans="1:29" x14ac:dyDescent="0.25">
      <c r="A765" s="1">
        <v>976</v>
      </c>
      <c r="B765" s="17" t="s">
        <v>4408</v>
      </c>
      <c r="C765" s="2" t="s">
        <v>4409</v>
      </c>
      <c r="D765" s="15" t="s">
        <v>4410</v>
      </c>
      <c r="E765" s="9" t="s">
        <v>956</v>
      </c>
      <c r="F765" s="9" t="s">
        <v>4411</v>
      </c>
      <c r="G765" s="9" t="s">
        <v>2339</v>
      </c>
      <c r="H765" s="2" t="s">
        <v>35</v>
      </c>
      <c r="I765" s="3">
        <v>35843</v>
      </c>
      <c r="J765" s="9" t="str">
        <f t="shared" ca="1" si="13"/>
        <v>25 ans</v>
      </c>
      <c r="K765" s="2" t="s">
        <v>123</v>
      </c>
      <c r="L765" s="2" t="str">
        <f>"148"</f>
        <v>148</v>
      </c>
      <c r="M765" s="2"/>
      <c r="N765" s="2" t="str">
        <f>"L'ASSOMPTION BLVD E"</f>
        <v>L'ASSOMPTION BLVD E</v>
      </c>
      <c r="O765" s="2" t="s">
        <v>3185</v>
      </c>
      <c r="P765" s="9" t="str">
        <f>VLOOKUP($O765,'Liste des Villes'!$B$2:$B$1128,1,FALSE)</f>
        <v>Saint-Jérôme</v>
      </c>
      <c r="Q765" s="9" t="str">
        <f>IFERROR($P765,PROPER(VLOOKUP($O765,'Villes en erreur'!$A$2:$B$72,2,FALSE)))</f>
        <v>Saint-Jérôme</v>
      </c>
      <c r="R765" s="9" t="s">
        <v>3186</v>
      </c>
      <c r="S765" s="9" t="str">
        <f>IF(ISBLANK($R765),"",VLOOKUP($R765,'Liste des Villes'!$B$2:$H$1128,4,FALSE))</f>
        <v>Laurentides</v>
      </c>
      <c r="T765" s="2" t="s">
        <v>4412</v>
      </c>
      <c r="U765" s="2" t="s">
        <v>39</v>
      </c>
      <c r="V765" s="2" t="s">
        <v>40</v>
      </c>
      <c r="W765" s="2" t="s">
        <v>4413</v>
      </c>
      <c r="X765" s="2"/>
      <c r="Y765" s="2"/>
      <c r="Z765" s="2"/>
      <c r="AA765" s="2" t="s">
        <v>3243</v>
      </c>
      <c r="AB765" s="2" t="s">
        <v>3221</v>
      </c>
      <c r="AC765" s="4" t="s">
        <v>44</v>
      </c>
    </row>
    <row r="766" spans="1:29" x14ac:dyDescent="0.25">
      <c r="A766" s="1">
        <v>4369</v>
      </c>
      <c r="B766" s="17" t="s">
        <v>4414</v>
      </c>
      <c r="C766" s="2" t="s">
        <v>4415</v>
      </c>
      <c r="D766" s="15" t="s">
        <v>4416</v>
      </c>
      <c r="E766" s="9" t="s">
        <v>131</v>
      </c>
      <c r="F766" s="9" t="s">
        <v>4417</v>
      </c>
      <c r="G766" s="9" t="s">
        <v>1560</v>
      </c>
      <c r="H766" s="2" t="s">
        <v>35</v>
      </c>
      <c r="I766" s="3">
        <v>35611</v>
      </c>
      <c r="J766" s="9" t="str">
        <f t="shared" ca="1" si="13"/>
        <v>26 ans</v>
      </c>
      <c r="K766" s="2" t="s">
        <v>36</v>
      </c>
      <c r="L766" s="2" t="str">
        <f>"129"</f>
        <v>129</v>
      </c>
      <c r="M766" s="2"/>
      <c r="N766" s="2" t="str">
        <f>"DE LA SALETTE BLVD"</f>
        <v>DE LA SALETTE BLVD</v>
      </c>
      <c r="O766" s="2" t="s">
        <v>3185</v>
      </c>
      <c r="P766" s="9" t="str">
        <f>VLOOKUP($O766,'Liste des Villes'!$B$2:$B$1128,1,FALSE)</f>
        <v>Saint-Jérôme</v>
      </c>
      <c r="Q766" s="9" t="str">
        <f>IFERROR($P766,PROPER(VLOOKUP($O766,'Villes en erreur'!$A$2:$B$72,2,FALSE)))</f>
        <v>Saint-Jérôme</v>
      </c>
      <c r="R766" s="9" t="s">
        <v>3186</v>
      </c>
      <c r="S766" s="9" t="str">
        <f>IF(ISBLANK($R766),"",VLOOKUP($R766,'Liste des Villes'!$B$2:$H$1128,4,FALSE))</f>
        <v>Laurentides</v>
      </c>
      <c r="T766" s="2" t="s">
        <v>3446</v>
      </c>
      <c r="U766" s="2" t="s">
        <v>39</v>
      </c>
      <c r="V766" s="2" t="s">
        <v>40</v>
      </c>
      <c r="W766" s="2" t="s">
        <v>4418</v>
      </c>
      <c r="X766" s="2"/>
      <c r="Y766" s="2"/>
      <c r="Z766" s="2"/>
      <c r="AA766" s="2" t="s">
        <v>3243</v>
      </c>
      <c r="AB766" s="2" t="s">
        <v>3221</v>
      </c>
      <c r="AC766" s="4" t="s">
        <v>44</v>
      </c>
    </row>
    <row r="767" spans="1:29" x14ac:dyDescent="0.25">
      <c r="A767" s="1">
        <v>777</v>
      </c>
      <c r="B767" s="17" t="s">
        <v>4419</v>
      </c>
      <c r="C767" s="2" t="s">
        <v>4420</v>
      </c>
      <c r="D767" s="15" t="s">
        <v>4421</v>
      </c>
      <c r="E767" s="9" t="s">
        <v>4422</v>
      </c>
      <c r="F767" s="9" t="s">
        <v>4423</v>
      </c>
      <c r="G767" s="9" t="s">
        <v>2086</v>
      </c>
      <c r="H767" s="2" t="s">
        <v>60</v>
      </c>
      <c r="I767" s="3">
        <v>36014</v>
      </c>
      <c r="J767" s="9" t="str">
        <f t="shared" ca="1" si="13"/>
        <v>25 ans</v>
      </c>
      <c r="K767" s="2" t="s">
        <v>123</v>
      </c>
      <c r="L767" s="2" t="str">
        <f>"181"</f>
        <v>181</v>
      </c>
      <c r="M767" s="2"/>
      <c r="N767" s="2" t="str">
        <f>"PLACE DU CHARPENTIER"</f>
        <v>PLACE DU CHARPENTIER</v>
      </c>
      <c r="O767" s="2" t="s">
        <v>3185</v>
      </c>
      <c r="P767" s="9" t="str">
        <f>VLOOKUP($O767,'Liste des Villes'!$B$2:$B$1128,1,FALSE)</f>
        <v>Saint-Jérôme</v>
      </c>
      <c r="Q767" s="9" t="str">
        <f>IFERROR($P767,PROPER(VLOOKUP($O767,'Villes en erreur'!$A$2:$B$72,2,FALSE)))</f>
        <v>Saint-Jérôme</v>
      </c>
      <c r="R767" s="9" t="s">
        <v>3186</v>
      </c>
      <c r="S767" s="9" t="str">
        <f>IF(ISBLANK($R767),"",VLOOKUP($R767,'Liste des Villes'!$B$2:$H$1128,4,FALSE))</f>
        <v>Laurentides</v>
      </c>
      <c r="T767" s="2" t="s">
        <v>3279</v>
      </c>
      <c r="U767" s="2" t="s">
        <v>39</v>
      </c>
      <c r="V767" s="2" t="s">
        <v>40</v>
      </c>
      <c r="W767" s="2" t="s">
        <v>4424</v>
      </c>
      <c r="X767" s="2"/>
      <c r="Y767" s="2"/>
      <c r="Z767" s="2"/>
      <c r="AA767" s="2" t="s">
        <v>832</v>
      </c>
      <c r="AB767" s="2" t="s">
        <v>3221</v>
      </c>
      <c r="AC767" s="4" t="s">
        <v>44</v>
      </c>
    </row>
    <row r="768" spans="1:29" x14ac:dyDescent="0.25">
      <c r="A768" s="1">
        <v>2197</v>
      </c>
      <c r="B768" s="17" t="s">
        <v>4425</v>
      </c>
      <c r="C768" s="2" t="s">
        <v>4426</v>
      </c>
      <c r="D768" s="15" t="s">
        <v>4427</v>
      </c>
      <c r="E768" s="9" t="s">
        <v>2107</v>
      </c>
      <c r="F768" s="9" t="s">
        <v>4330</v>
      </c>
      <c r="G768" s="9" t="s">
        <v>4428</v>
      </c>
      <c r="H768" s="2" t="s">
        <v>60</v>
      </c>
      <c r="I768" s="3">
        <v>35053</v>
      </c>
      <c r="J768" s="9" t="str">
        <f t="shared" ca="1" si="13"/>
        <v>27 ans</v>
      </c>
      <c r="K768" s="2" t="s">
        <v>36</v>
      </c>
      <c r="L768" s="2" t="str">
        <f>"99"</f>
        <v>99</v>
      </c>
      <c r="M768" s="2"/>
      <c r="N768" s="2" t="str">
        <f>"CH DU ROI"</f>
        <v>CH DU ROI</v>
      </c>
      <c r="O768" s="2" t="s">
        <v>3185</v>
      </c>
      <c r="P768" s="9" t="str">
        <f>VLOOKUP($O768,'Liste des Villes'!$B$2:$B$1128,1,FALSE)</f>
        <v>Saint-Jérôme</v>
      </c>
      <c r="Q768" s="9" t="str">
        <f>IFERROR($P768,PROPER(VLOOKUP($O768,'Villes en erreur'!$A$2:$B$72,2,FALSE)))</f>
        <v>Saint-Jérôme</v>
      </c>
      <c r="R768" s="9" t="s">
        <v>3186</v>
      </c>
      <c r="S768" s="9" t="str">
        <f>IF(ISBLANK($R768),"",VLOOKUP($R768,'Liste des Villes'!$B$2:$H$1128,4,FALSE))</f>
        <v>Laurentides</v>
      </c>
      <c r="T768" s="2" t="s">
        <v>3187</v>
      </c>
      <c r="U768" s="2" t="s">
        <v>39</v>
      </c>
      <c r="V768" s="2" t="s">
        <v>40</v>
      </c>
      <c r="W768" s="2" t="s">
        <v>4429</v>
      </c>
      <c r="X768" s="2"/>
      <c r="Y768" s="2"/>
      <c r="Z768" s="2"/>
      <c r="AA768" s="2" t="s">
        <v>3189</v>
      </c>
      <c r="AB768" s="2" t="s">
        <v>3190</v>
      </c>
      <c r="AC768" s="4" t="s">
        <v>44</v>
      </c>
    </row>
    <row r="769" spans="1:29" x14ac:dyDescent="0.25">
      <c r="A769" s="1">
        <v>3292</v>
      </c>
      <c r="B769" s="17" t="s">
        <v>4430</v>
      </c>
      <c r="C769" s="2" t="s">
        <v>4431</v>
      </c>
      <c r="D769" s="15" t="s">
        <v>4432</v>
      </c>
      <c r="E769" s="9" t="s">
        <v>120</v>
      </c>
      <c r="F769" s="9" t="s">
        <v>1913</v>
      </c>
      <c r="G769" s="9" t="s">
        <v>635</v>
      </c>
      <c r="H769" s="2" t="s">
        <v>35</v>
      </c>
      <c r="I769" s="3">
        <v>33895</v>
      </c>
      <c r="J769" s="9" t="str">
        <f t="shared" ca="1" si="13"/>
        <v>30 ans</v>
      </c>
      <c r="K769" s="2" t="s">
        <v>36</v>
      </c>
      <c r="L769" s="2" t="str">
        <f>"40"</f>
        <v>40</v>
      </c>
      <c r="M769" s="2"/>
      <c r="N769" s="2" t="str">
        <f>"AVENUE HECTOR CHARLAND"</f>
        <v>AVENUE HECTOR CHARLAND</v>
      </c>
      <c r="O769" s="2" t="s">
        <v>3185</v>
      </c>
      <c r="P769" s="9" t="str">
        <f>VLOOKUP($O769,'Liste des Villes'!$B$2:$B$1128,1,FALSE)</f>
        <v>Saint-Jérôme</v>
      </c>
      <c r="Q769" s="9" t="str">
        <f>IFERROR($P769,PROPER(VLOOKUP($O769,'Villes en erreur'!$A$2:$B$72,2,FALSE)))</f>
        <v>Saint-Jérôme</v>
      </c>
      <c r="R769" s="9" t="s">
        <v>3186</v>
      </c>
      <c r="S769" s="9" t="str">
        <f>IF(ISBLANK($R769),"",VLOOKUP($R769,'Liste des Villes'!$B$2:$H$1128,4,FALSE))</f>
        <v>Laurentides</v>
      </c>
      <c r="T769" s="2" t="s">
        <v>3093</v>
      </c>
      <c r="U769" s="2" t="s">
        <v>39</v>
      </c>
      <c r="V769" s="2" t="s">
        <v>40</v>
      </c>
      <c r="W769" s="2" t="s">
        <v>4433</v>
      </c>
      <c r="X769" s="2"/>
      <c r="Y769" s="2"/>
      <c r="Z769" s="2"/>
      <c r="AA769" s="2" t="s">
        <v>3207</v>
      </c>
      <c r="AB769" s="2" t="s">
        <v>53</v>
      </c>
      <c r="AC769" s="4" t="s">
        <v>44</v>
      </c>
    </row>
    <row r="770" spans="1:29" x14ac:dyDescent="0.25">
      <c r="A770" s="1">
        <v>1215</v>
      </c>
      <c r="B770" s="17" t="s">
        <v>4434</v>
      </c>
      <c r="C770" s="2" t="s">
        <v>4435</v>
      </c>
      <c r="D770" s="15" t="s">
        <v>4436</v>
      </c>
      <c r="E770" s="9" t="s">
        <v>92</v>
      </c>
      <c r="F770" s="9" t="s">
        <v>1371</v>
      </c>
      <c r="G770" s="9" t="s">
        <v>3351</v>
      </c>
      <c r="H770" s="2" t="s">
        <v>35</v>
      </c>
      <c r="I770" s="3">
        <v>35849</v>
      </c>
      <c r="J770" s="9" t="str">
        <f t="shared" ref="J770:J833" ca="1" si="14">_xlfn.CONCAT(INT((TODAY()-$I770)/365.25)," ans")</f>
        <v>25 ans</v>
      </c>
      <c r="K770" s="2" t="s">
        <v>123</v>
      </c>
      <c r="L770" s="2" t="str">
        <f>"148"</f>
        <v>148</v>
      </c>
      <c r="M770" s="2"/>
      <c r="N770" s="2" t="str">
        <f>"LE CARREFOUR"</f>
        <v>LE CARREFOUR</v>
      </c>
      <c r="O770" s="2" t="s">
        <v>3185</v>
      </c>
      <c r="P770" s="9" t="str">
        <f>VLOOKUP($O770,'Liste des Villes'!$B$2:$B$1128,1,FALSE)</f>
        <v>Saint-Jérôme</v>
      </c>
      <c r="Q770" s="9" t="str">
        <f>IFERROR($P770,PROPER(VLOOKUP($O770,'Villes en erreur'!$A$2:$B$72,2,FALSE)))</f>
        <v>Saint-Jérôme</v>
      </c>
      <c r="R770" s="9" t="s">
        <v>3186</v>
      </c>
      <c r="S770" s="9" t="str">
        <f>IF(ISBLANK($R770),"",VLOOKUP($R770,'Liste des Villes'!$B$2:$H$1128,4,FALSE))</f>
        <v>Laurentides</v>
      </c>
      <c r="T770" s="2" t="s">
        <v>4437</v>
      </c>
      <c r="U770" s="2" t="s">
        <v>39</v>
      </c>
      <c r="V770" s="2" t="s">
        <v>40</v>
      </c>
      <c r="W770" s="2" t="s">
        <v>4438</v>
      </c>
      <c r="X770" s="2"/>
      <c r="Y770" s="2"/>
      <c r="Z770" s="2"/>
      <c r="AA770" s="2" t="s">
        <v>3243</v>
      </c>
      <c r="AB770" s="2" t="s">
        <v>3221</v>
      </c>
      <c r="AC770" s="4" t="s">
        <v>44</v>
      </c>
    </row>
    <row r="771" spans="1:29" x14ac:dyDescent="0.25">
      <c r="A771" s="1">
        <v>3195</v>
      </c>
      <c r="B771" s="17" t="s">
        <v>4439</v>
      </c>
      <c r="C771" s="2" t="s">
        <v>4440</v>
      </c>
      <c r="D771" s="15" t="s">
        <v>4441</v>
      </c>
      <c r="E771" s="9" t="s">
        <v>2217</v>
      </c>
      <c r="F771" s="9" t="s">
        <v>4442</v>
      </c>
      <c r="G771" s="9" t="s">
        <v>4443</v>
      </c>
      <c r="H771" s="2" t="s">
        <v>60</v>
      </c>
      <c r="I771" s="3">
        <v>34249</v>
      </c>
      <c r="J771" s="9" t="str">
        <f t="shared" ca="1" si="14"/>
        <v>29 ans</v>
      </c>
      <c r="K771" s="2" t="s">
        <v>36</v>
      </c>
      <c r="L771" s="2" t="str">
        <f>"50"</f>
        <v>50</v>
      </c>
      <c r="M771" s="2"/>
      <c r="N771" s="2" t="str">
        <f>"BOULEVARD DU CURÉ LABELLE"</f>
        <v>BOULEVARD DU CURÉ LABELLE</v>
      </c>
      <c r="O771" s="2" t="s">
        <v>3185</v>
      </c>
      <c r="P771" s="9" t="str">
        <f>VLOOKUP($O771,'Liste des Villes'!$B$2:$B$1128,1,FALSE)</f>
        <v>Saint-Jérôme</v>
      </c>
      <c r="Q771" s="9" t="str">
        <f>IFERROR($P771,PROPER(VLOOKUP($O771,'Villes en erreur'!$A$2:$B$72,2,FALSE)))</f>
        <v>Saint-Jérôme</v>
      </c>
      <c r="R771" s="9" t="s">
        <v>3186</v>
      </c>
      <c r="S771" s="9" t="str">
        <f>IF(ISBLANK($R771),"",VLOOKUP($R771,'Liste des Villes'!$B$2:$H$1128,4,FALSE))</f>
        <v>Laurentides</v>
      </c>
      <c r="T771" s="2" t="s">
        <v>3520</v>
      </c>
      <c r="U771" s="2" t="s">
        <v>39</v>
      </c>
      <c r="V771" s="2" t="s">
        <v>40</v>
      </c>
      <c r="W771" s="2" t="s">
        <v>4444</v>
      </c>
      <c r="X771" s="2"/>
      <c r="Y771" s="2"/>
      <c r="Z771" s="2"/>
      <c r="AA771" s="2" t="s">
        <v>3360</v>
      </c>
      <c r="AB771" s="2" t="s">
        <v>53</v>
      </c>
      <c r="AC771" s="4" t="s">
        <v>44</v>
      </c>
    </row>
    <row r="772" spans="1:29" x14ac:dyDescent="0.25">
      <c r="A772" s="1">
        <v>4608</v>
      </c>
      <c r="B772" s="17" t="s">
        <v>4445</v>
      </c>
      <c r="C772" s="2" t="s">
        <v>4446</v>
      </c>
      <c r="D772" s="15" t="s">
        <v>4447</v>
      </c>
      <c r="E772" s="9" t="s">
        <v>4448</v>
      </c>
      <c r="F772" s="9" t="s">
        <v>4248</v>
      </c>
      <c r="G772" s="9" t="s">
        <v>1037</v>
      </c>
      <c r="H772" s="2" t="s">
        <v>35</v>
      </c>
      <c r="I772" s="3">
        <v>36063</v>
      </c>
      <c r="J772" s="9" t="str">
        <f t="shared" ca="1" si="14"/>
        <v>24 ans</v>
      </c>
      <c r="K772" s="2" t="s">
        <v>123</v>
      </c>
      <c r="L772" s="2" t="str">
        <f>"193"</f>
        <v>193</v>
      </c>
      <c r="M772" s="2"/>
      <c r="N772" s="2" t="str">
        <f>"RANG DES CONTINUATIONS"</f>
        <v>RANG DES CONTINUATIONS</v>
      </c>
      <c r="O772" s="2" t="s">
        <v>3185</v>
      </c>
      <c r="P772" s="9" t="str">
        <f>VLOOKUP($O772,'Liste des Villes'!$B$2:$B$1128,1,FALSE)</f>
        <v>Saint-Jérôme</v>
      </c>
      <c r="Q772" s="9" t="str">
        <f>IFERROR($P772,PROPER(VLOOKUP($O772,'Villes en erreur'!$A$2:$B$72,2,FALSE)))</f>
        <v>Saint-Jérôme</v>
      </c>
      <c r="R772" s="9" t="s">
        <v>3186</v>
      </c>
      <c r="S772" s="9" t="str">
        <f>IF(ISBLANK($R772),"",VLOOKUP($R772,'Liste des Villes'!$B$2:$H$1128,4,FALSE))</f>
        <v>Laurentides</v>
      </c>
      <c r="T772" s="2" t="s">
        <v>3275</v>
      </c>
      <c r="U772" s="2" t="s">
        <v>39</v>
      </c>
      <c r="V772" s="2" t="s">
        <v>40</v>
      </c>
      <c r="W772" s="2" t="s">
        <v>4449</v>
      </c>
      <c r="X772" s="2"/>
      <c r="Y772" s="2"/>
      <c r="Z772" s="2"/>
      <c r="AA772" s="2" t="s">
        <v>832</v>
      </c>
      <c r="AB772" s="2" t="s">
        <v>3221</v>
      </c>
      <c r="AC772" s="4" t="s">
        <v>44</v>
      </c>
    </row>
    <row r="773" spans="1:29" x14ac:dyDescent="0.25">
      <c r="A773" s="1">
        <v>1463</v>
      </c>
      <c r="B773" s="17" t="s">
        <v>4450</v>
      </c>
      <c r="C773" s="2" t="s">
        <v>4451</v>
      </c>
      <c r="D773" s="15" t="s">
        <v>4452</v>
      </c>
      <c r="E773" s="9" t="s">
        <v>2334</v>
      </c>
      <c r="F773" s="9" t="s">
        <v>4453</v>
      </c>
      <c r="G773" s="9" t="s">
        <v>1162</v>
      </c>
      <c r="H773" s="2" t="s">
        <v>35</v>
      </c>
      <c r="I773" s="3">
        <v>35867</v>
      </c>
      <c r="J773" s="9" t="str">
        <f t="shared" ca="1" si="14"/>
        <v>25 ans</v>
      </c>
      <c r="K773" s="2" t="s">
        <v>123</v>
      </c>
      <c r="L773" s="2" t="str">
        <f>"151"</f>
        <v>151</v>
      </c>
      <c r="M773" s="2"/>
      <c r="N773" s="2" t="str">
        <f>"MAISONNEUVE BLVD"</f>
        <v>MAISONNEUVE BLVD</v>
      </c>
      <c r="O773" s="2" t="s">
        <v>3185</v>
      </c>
      <c r="P773" s="9" t="str">
        <f>VLOOKUP($O773,'Liste des Villes'!$B$2:$B$1128,1,FALSE)</f>
        <v>Saint-Jérôme</v>
      </c>
      <c r="Q773" s="9" t="str">
        <f>IFERROR($P773,PROPER(VLOOKUP($O773,'Villes en erreur'!$A$2:$B$72,2,FALSE)))</f>
        <v>Saint-Jérôme</v>
      </c>
      <c r="R773" s="9" t="s">
        <v>3186</v>
      </c>
      <c r="S773" s="9" t="str">
        <f>IF(ISBLANK($R773),"",VLOOKUP($R773,'Liste des Villes'!$B$2:$H$1128,4,FALSE))</f>
        <v>Laurentides</v>
      </c>
      <c r="T773" s="2" t="s">
        <v>4454</v>
      </c>
      <c r="U773" s="2" t="s">
        <v>39</v>
      </c>
      <c r="V773" s="2" t="s">
        <v>40</v>
      </c>
      <c r="W773" s="2" t="s">
        <v>4455</v>
      </c>
      <c r="X773" s="2"/>
      <c r="Y773" s="2"/>
      <c r="Z773" s="2"/>
      <c r="AA773" s="2" t="s">
        <v>3243</v>
      </c>
      <c r="AB773" s="2" t="s">
        <v>3221</v>
      </c>
      <c r="AC773" s="4" t="s">
        <v>44</v>
      </c>
    </row>
    <row r="774" spans="1:29" x14ac:dyDescent="0.25">
      <c r="A774" s="1">
        <v>3938</v>
      </c>
      <c r="B774" s="17" t="s">
        <v>4456</v>
      </c>
      <c r="C774" s="2" t="s">
        <v>4457</v>
      </c>
      <c r="D774" s="15" t="s">
        <v>1808</v>
      </c>
      <c r="E774" s="9" t="s">
        <v>2381</v>
      </c>
      <c r="F774" s="9" t="s">
        <v>1807</v>
      </c>
      <c r="G774" s="9" t="s">
        <v>1246</v>
      </c>
      <c r="H774" s="2" t="s">
        <v>35</v>
      </c>
      <c r="I774" s="3">
        <v>34108</v>
      </c>
      <c r="J774" s="9" t="str">
        <f t="shared" ca="1" si="14"/>
        <v>30 ans</v>
      </c>
      <c r="K774" s="2" t="s">
        <v>36</v>
      </c>
      <c r="L774" s="2" t="str">
        <f>"46"</f>
        <v>46</v>
      </c>
      <c r="M774" s="2"/>
      <c r="N774" s="2" t="str">
        <f>"BOULEVARD CHAMBÉRY"</f>
        <v>BOULEVARD CHAMBÉRY</v>
      </c>
      <c r="O774" s="2" t="s">
        <v>3185</v>
      </c>
      <c r="P774" s="9" t="str">
        <f>VLOOKUP($O774,'Liste des Villes'!$B$2:$B$1128,1,FALSE)</f>
        <v>Saint-Jérôme</v>
      </c>
      <c r="Q774" s="9" t="str">
        <f>IFERROR($P774,PROPER(VLOOKUP($O774,'Villes en erreur'!$A$2:$B$72,2,FALSE)))</f>
        <v>Saint-Jérôme</v>
      </c>
      <c r="R774" s="9" t="s">
        <v>3186</v>
      </c>
      <c r="S774" s="9" t="str">
        <f>IF(ISBLANK($R774),"",VLOOKUP($R774,'Liste des Villes'!$B$2:$H$1128,4,FALSE))</f>
        <v>Laurentides</v>
      </c>
      <c r="T774" s="2" t="s">
        <v>3358</v>
      </c>
      <c r="U774" s="2" t="s">
        <v>39</v>
      </c>
      <c r="V774" s="2" t="s">
        <v>40</v>
      </c>
      <c r="W774" s="2" t="s">
        <v>4458</v>
      </c>
      <c r="X774" s="2"/>
      <c r="Y774" s="2"/>
      <c r="Z774" s="2"/>
      <c r="AA774" s="2" t="s">
        <v>3360</v>
      </c>
      <c r="AB774" s="2" t="s">
        <v>53</v>
      </c>
      <c r="AC774" s="4" t="s">
        <v>44</v>
      </c>
    </row>
    <row r="775" spans="1:29" x14ac:dyDescent="0.25">
      <c r="A775" s="1">
        <v>4402</v>
      </c>
      <c r="B775" s="17" t="s">
        <v>4459</v>
      </c>
      <c r="C775" s="2" t="s">
        <v>4460</v>
      </c>
      <c r="D775" s="15" t="s">
        <v>4461</v>
      </c>
      <c r="E775" s="9" t="s">
        <v>4462</v>
      </c>
      <c r="F775" s="9" t="s">
        <v>4463</v>
      </c>
      <c r="G775" s="9" t="s">
        <v>195</v>
      </c>
      <c r="H775" s="2" t="s">
        <v>60</v>
      </c>
      <c r="I775" s="3">
        <v>34993</v>
      </c>
      <c r="J775" s="9" t="str">
        <f t="shared" ca="1" si="14"/>
        <v>27 ans</v>
      </c>
      <c r="K775" s="2" t="s">
        <v>36</v>
      </c>
      <c r="L775" s="2" t="str">
        <f>"90"</f>
        <v>90</v>
      </c>
      <c r="M775" s="2"/>
      <c r="N775" s="2" t="str">
        <f>"CH DU LAC-BOUCHETTE"</f>
        <v>CH DU LAC-BOUCHETTE</v>
      </c>
      <c r="O775" s="2" t="s">
        <v>3185</v>
      </c>
      <c r="P775" s="9" t="str">
        <f>VLOOKUP($O775,'Liste des Villes'!$B$2:$B$1128,1,FALSE)</f>
        <v>Saint-Jérôme</v>
      </c>
      <c r="Q775" s="9" t="str">
        <f>IFERROR($P775,PROPER(VLOOKUP($O775,'Villes en erreur'!$A$2:$B$72,2,FALSE)))</f>
        <v>Saint-Jérôme</v>
      </c>
      <c r="R775" s="9" t="s">
        <v>3186</v>
      </c>
      <c r="S775" s="9" t="str">
        <f>IF(ISBLANK($R775),"",VLOOKUP($R775,'Liste des Villes'!$B$2:$H$1128,4,FALSE))</f>
        <v>Laurentides</v>
      </c>
      <c r="T775" s="2" t="s">
        <v>3187</v>
      </c>
      <c r="U775" s="2" t="s">
        <v>39</v>
      </c>
      <c r="V775" s="2" t="s">
        <v>40</v>
      </c>
      <c r="W775" s="2" t="s">
        <v>4464</v>
      </c>
      <c r="X775" s="2"/>
      <c r="Y775" s="2"/>
      <c r="Z775" s="2"/>
      <c r="AA775" s="2" t="s">
        <v>3189</v>
      </c>
      <c r="AB775" s="2" t="s">
        <v>53</v>
      </c>
      <c r="AC775" s="4" t="s">
        <v>44</v>
      </c>
    </row>
    <row r="776" spans="1:29" x14ac:dyDescent="0.25">
      <c r="A776" s="1">
        <v>1944</v>
      </c>
      <c r="B776" s="17" t="s">
        <v>4465</v>
      </c>
      <c r="C776" s="2" t="s">
        <v>4466</v>
      </c>
      <c r="D776" s="15" t="s">
        <v>3003</v>
      </c>
      <c r="E776" s="9" t="s">
        <v>685</v>
      </c>
      <c r="F776" s="9" t="s">
        <v>3002</v>
      </c>
      <c r="G776" s="9" t="s">
        <v>179</v>
      </c>
      <c r="H776" s="2" t="s">
        <v>60</v>
      </c>
      <c r="I776" s="3">
        <v>36104</v>
      </c>
      <c r="J776" s="9" t="str">
        <f t="shared" ca="1" si="14"/>
        <v>24 ans</v>
      </c>
      <c r="K776" s="2" t="s">
        <v>123</v>
      </c>
      <c r="L776" s="2" t="str">
        <f>"209"</f>
        <v>209</v>
      </c>
      <c r="M776" s="2"/>
      <c r="N776" s="2" t="str">
        <f>"RTE 148"</f>
        <v>RTE 148</v>
      </c>
      <c r="O776" s="2" t="s">
        <v>3185</v>
      </c>
      <c r="P776" s="9" t="str">
        <f>VLOOKUP($O776,'Liste des Villes'!$B$2:$B$1128,1,FALSE)</f>
        <v>Saint-Jérôme</v>
      </c>
      <c r="Q776" s="9" t="str">
        <f>IFERROR($P776,PROPER(VLOOKUP($O776,'Villes en erreur'!$A$2:$B$72,2,FALSE)))</f>
        <v>Saint-Jérôme</v>
      </c>
      <c r="R776" s="9" t="s">
        <v>3186</v>
      </c>
      <c r="S776" s="9" t="str">
        <f>IF(ISBLANK($R776),"",VLOOKUP($R776,'Liste des Villes'!$B$2:$H$1128,4,FALSE))</f>
        <v>Laurentides</v>
      </c>
      <c r="T776" s="2" t="s">
        <v>4467</v>
      </c>
      <c r="U776" s="2" t="s">
        <v>39</v>
      </c>
      <c r="V776" s="2" t="s">
        <v>40</v>
      </c>
      <c r="W776" s="2" t="s">
        <v>4468</v>
      </c>
      <c r="X776" s="2"/>
      <c r="Y776" s="2"/>
      <c r="Z776" s="2"/>
      <c r="AA776" s="2" t="s">
        <v>832</v>
      </c>
      <c r="AB776" s="2" t="s">
        <v>3221</v>
      </c>
      <c r="AC776" s="4" t="s">
        <v>44</v>
      </c>
    </row>
    <row r="777" spans="1:29" x14ac:dyDescent="0.25">
      <c r="A777" s="1">
        <v>2967</v>
      </c>
      <c r="B777" s="17" t="s">
        <v>4469</v>
      </c>
      <c r="C777" s="2" t="s">
        <v>4470</v>
      </c>
      <c r="D777" s="15" t="s">
        <v>4471</v>
      </c>
      <c r="E777" s="9" t="s">
        <v>2779</v>
      </c>
      <c r="F777" s="9" t="s">
        <v>3341</v>
      </c>
      <c r="G777" s="9" t="s">
        <v>3274</v>
      </c>
      <c r="H777" s="2" t="s">
        <v>35</v>
      </c>
      <c r="I777" s="3">
        <v>35157</v>
      </c>
      <c r="J777" s="9" t="str">
        <f t="shared" ca="1" si="14"/>
        <v>27 ans</v>
      </c>
      <c r="K777" s="2" t="s">
        <v>36</v>
      </c>
      <c r="L777" s="2" t="str">
        <f>"103"</f>
        <v>103</v>
      </c>
      <c r="M777" s="2"/>
      <c r="N777" s="2" t="str">
        <f>"CH SAINT-GERMAIN"</f>
        <v>CH SAINT-GERMAIN</v>
      </c>
      <c r="O777" s="2" t="s">
        <v>3185</v>
      </c>
      <c r="P777" s="9" t="str">
        <f>VLOOKUP($O777,'Liste des Villes'!$B$2:$B$1128,1,FALSE)</f>
        <v>Saint-Jérôme</v>
      </c>
      <c r="Q777" s="9" t="str">
        <f>IFERROR($P777,PROPER(VLOOKUP($O777,'Villes en erreur'!$A$2:$B$72,2,FALSE)))</f>
        <v>Saint-Jérôme</v>
      </c>
      <c r="R777" s="9" t="s">
        <v>3186</v>
      </c>
      <c r="S777" s="9" t="str">
        <f>IF(ISBLANK($R777),"",VLOOKUP($R777,'Liste des Villes'!$B$2:$H$1128,4,FALSE))</f>
        <v>Laurentides</v>
      </c>
      <c r="T777" s="2" t="s">
        <v>3187</v>
      </c>
      <c r="U777" s="2" t="s">
        <v>39</v>
      </c>
      <c r="V777" s="2" t="s">
        <v>40</v>
      </c>
      <c r="W777" s="2" t="s">
        <v>4472</v>
      </c>
      <c r="X777" s="2"/>
      <c r="Y777" s="2"/>
      <c r="Z777" s="2"/>
      <c r="AA777" s="2" t="s">
        <v>3189</v>
      </c>
      <c r="AB777" s="2" t="s">
        <v>3190</v>
      </c>
      <c r="AC777" s="4" t="s">
        <v>44</v>
      </c>
    </row>
    <row r="778" spans="1:29" x14ac:dyDescent="0.25">
      <c r="A778" s="1">
        <v>3624</v>
      </c>
      <c r="B778" s="17" t="s">
        <v>4473</v>
      </c>
      <c r="C778" s="2" t="s">
        <v>4203</v>
      </c>
      <c r="D778" s="15" t="s">
        <v>1794</v>
      </c>
      <c r="E778" s="9" t="s">
        <v>348</v>
      </c>
      <c r="F778" s="9" t="s">
        <v>349</v>
      </c>
      <c r="G778" s="9" t="s">
        <v>4474</v>
      </c>
      <c r="H778" s="2" t="s">
        <v>60</v>
      </c>
      <c r="I778" s="3">
        <v>35941</v>
      </c>
      <c r="J778" s="9" t="str">
        <f t="shared" ca="1" si="14"/>
        <v>25 ans</v>
      </c>
      <c r="K778" s="2" t="s">
        <v>123</v>
      </c>
      <c r="L778" s="2" t="str">
        <f>"165"</f>
        <v>165</v>
      </c>
      <c r="M778" s="2"/>
      <c r="N778" s="2" t="str">
        <f>"MONTEE PAPINEAU N"</f>
        <v>MONTEE PAPINEAU N</v>
      </c>
      <c r="O778" s="2" t="s">
        <v>3186</v>
      </c>
      <c r="P778" s="9" t="str">
        <f>VLOOKUP($O778,'Liste des Villes'!$B$2:$B$1128,1,FALSE)</f>
        <v>Saint-Jérôme</v>
      </c>
      <c r="Q778" s="9" t="str">
        <f>IFERROR($P778,PROPER(VLOOKUP($O778,'Villes en erreur'!$A$2:$B$72,2,FALSE)))</f>
        <v>Saint-Jérôme</v>
      </c>
      <c r="R778" s="9" t="s">
        <v>3186</v>
      </c>
      <c r="S778" s="9" t="str">
        <f>IF(ISBLANK($R778),"",VLOOKUP($R778,'Liste des Villes'!$B$2:$H$1128,4,FALSE))</f>
        <v>Laurentides</v>
      </c>
      <c r="T778" s="2" t="s">
        <v>4475</v>
      </c>
      <c r="U778" s="2" t="s">
        <v>39</v>
      </c>
      <c r="V778" s="2" t="s">
        <v>40</v>
      </c>
      <c r="W778" s="2" t="s">
        <v>4476</v>
      </c>
      <c r="X778" s="2"/>
      <c r="Y778" s="2"/>
      <c r="Z778" s="2"/>
      <c r="AA778" s="2" t="s">
        <v>832</v>
      </c>
      <c r="AB778" s="2" t="s">
        <v>3221</v>
      </c>
      <c r="AC778" s="4" t="s">
        <v>44</v>
      </c>
    </row>
    <row r="779" spans="1:29" x14ac:dyDescent="0.25">
      <c r="A779" s="1">
        <v>3249</v>
      </c>
      <c r="B779" s="17" t="s">
        <v>4477</v>
      </c>
      <c r="C779" s="2" t="s">
        <v>4478</v>
      </c>
      <c r="D779" s="15" t="s">
        <v>4479</v>
      </c>
      <c r="E779" s="9" t="s">
        <v>4480</v>
      </c>
      <c r="F779" s="9" t="s">
        <v>144</v>
      </c>
      <c r="G779" s="9" t="s">
        <v>495</v>
      </c>
      <c r="H779" s="2" t="s">
        <v>35</v>
      </c>
      <c r="I779" s="3">
        <v>34517</v>
      </c>
      <c r="J779" s="9" t="str">
        <f t="shared" ca="1" si="14"/>
        <v>29 ans</v>
      </c>
      <c r="K779" s="2" t="s">
        <v>36</v>
      </c>
      <c r="L779" s="2" t="str">
        <f>"62"</f>
        <v>62</v>
      </c>
      <c r="M779" s="2"/>
      <c r="N779" s="2" t="str">
        <f>"CH DAVID"</f>
        <v>CH DAVID</v>
      </c>
      <c r="O779" s="2" t="s">
        <v>3185</v>
      </c>
      <c r="P779" s="9" t="str">
        <f>VLOOKUP($O779,'Liste des Villes'!$B$2:$B$1128,1,FALSE)</f>
        <v>Saint-Jérôme</v>
      </c>
      <c r="Q779" s="9" t="str">
        <f>IFERROR($P779,PROPER(VLOOKUP($O779,'Villes en erreur'!$A$2:$B$72,2,FALSE)))</f>
        <v>Saint-Jérôme</v>
      </c>
      <c r="R779" s="9" t="s">
        <v>3186</v>
      </c>
      <c r="S779" s="9" t="str">
        <f>IF(ISBLANK($R779),"",VLOOKUP($R779,'Liste des Villes'!$B$2:$H$1128,4,FALSE))</f>
        <v>Laurentides</v>
      </c>
      <c r="T779" s="2" t="s">
        <v>3391</v>
      </c>
      <c r="U779" s="2" t="s">
        <v>39</v>
      </c>
      <c r="V779" s="2" t="s">
        <v>40</v>
      </c>
      <c r="W779" s="2" t="s">
        <v>4481</v>
      </c>
      <c r="X779" s="2"/>
      <c r="Y779" s="2"/>
      <c r="Z779" s="2"/>
      <c r="AA779" s="2" t="s">
        <v>3293</v>
      </c>
      <c r="AB779" s="2" t="s">
        <v>53</v>
      </c>
      <c r="AC779" s="4" t="s">
        <v>44</v>
      </c>
    </row>
    <row r="780" spans="1:29" x14ac:dyDescent="0.25">
      <c r="A780" s="1">
        <v>1303</v>
      </c>
      <c r="B780" s="17" t="s">
        <v>4482</v>
      </c>
      <c r="C780" s="2" t="s">
        <v>4483</v>
      </c>
      <c r="D780" s="15" t="s">
        <v>3341</v>
      </c>
      <c r="E780" s="9" t="s">
        <v>4484</v>
      </c>
      <c r="F780" s="9" t="s">
        <v>3937</v>
      </c>
      <c r="G780" s="9" t="s">
        <v>495</v>
      </c>
      <c r="H780" s="2" t="s">
        <v>35</v>
      </c>
      <c r="I780" s="3">
        <v>34695</v>
      </c>
      <c r="J780" s="9" t="str">
        <f t="shared" ca="1" si="14"/>
        <v>28 ans</v>
      </c>
      <c r="K780" s="2" t="s">
        <v>36</v>
      </c>
      <c r="L780" s="2" t="str">
        <f>"71"</f>
        <v>71</v>
      </c>
      <c r="M780" s="2"/>
      <c r="N780" s="2" t="str">
        <f>"CH DE LA VIEILLE-FERME"</f>
        <v>CH DE LA VIEILLE-FERME</v>
      </c>
      <c r="O780" s="2" t="s">
        <v>3185</v>
      </c>
      <c r="P780" s="9" t="str">
        <f>VLOOKUP($O780,'Liste des Villes'!$B$2:$B$1128,1,FALSE)</f>
        <v>Saint-Jérôme</v>
      </c>
      <c r="Q780" s="9" t="str">
        <f>IFERROR($P780,PROPER(VLOOKUP($O780,'Villes en erreur'!$A$2:$B$72,2,FALSE)))</f>
        <v>Saint-Jérôme</v>
      </c>
      <c r="R780" s="9" t="s">
        <v>3186</v>
      </c>
      <c r="S780" s="9" t="str">
        <f>IF(ISBLANK($R780),"",VLOOKUP($R780,'Liste des Villes'!$B$2:$H$1128,4,FALSE))</f>
        <v>Laurentides</v>
      </c>
      <c r="T780" s="2" t="s">
        <v>4119</v>
      </c>
      <c r="U780" s="2" t="s">
        <v>39</v>
      </c>
      <c r="V780" s="2" t="s">
        <v>40</v>
      </c>
      <c r="W780" s="2" t="s">
        <v>4485</v>
      </c>
      <c r="X780" s="2"/>
      <c r="Y780" s="2"/>
      <c r="Z780" s="2"/>
      <c r="AA780" s="2" t="s">
        <v>3225</v>
      </c>
      <c r="AB780" s="2" t="s">
        <v>53</v>
      </c>
      <c r="AC780" s="4" t="s">
        <v>44</v>
      </c>
    </row>
    <row r="781" spans="1:29" x14ac:dyDescent="0.25">
      <c r="A781" s="1">
        <v>3139</v>
      </c>
      <c r="B781" s="17" t="s">
        <v>4486</v>
      </c>
      <c r="C781" s="2" t="s">
        <v>4487</v>
      </c>
      <c r="D781" s="15" t="s">
        <v>4488</v>
      </c>
      <c r="E781" s="9" t="s">
        <v>2134</v>
      </c>
      <c r="F781" s="9" t="s">
        <v>225</v>
      </c>
      <c r="G781" s="9" t="s">
        <v>1037</v>
      </c>
      <c r="H781" s="2" t="s">
        <v>35</v>
      </c>
      <c r="I781" s="3">
        <v>36067</v>
      </c>
      <c r="J781" s="9" t="str">
        <f t="shared" ca="1" si="14"/>
        <v>24 ans</v>
      </c>
      <c r="K781" s="2" t="s">
        <v>123</v>
      </c>
      <c r="L781" s="2" t="str">
        <f>"195"</f>
        <v>195</v>
      </c>
      <c r="M781" s="2"/>
      <c r="N781" s="2" t="str">
        <f>"RANG MONTCALM"</f>
        <v>RANG MONTCALM</v>
      </c>
      <c r="O781" s="2" t="s">
        <v>3185</v>
      </c>
      <c r="P781" s="9" t="str">
        <f>VLOOKUP($O781,'Liste des Villes'!$B$2:$B$1128,1,FALSE)</f>
        <v>Saint-Jérôme</v>
      </c>
      <c r="Q781" s="9" t="str">
        <f>IFERROR($P781,PROPER(VLOOKUP($O781,'Villes en erreur'!$A$2:$B$72,2,FALSE)))</f>
        <v>Saint-Jérôme</v>
      </c>
      <c r="R781" s="9" t="s">
        <v>3186</v>
      </c>
      <c r="S781" s="9" t="str">
        <f>IF(ISBLANK($R781),"",VLOOKUP($R781,'Liste des Villes'!$B$2:$H$1128,4,FALSE))</f>
        <v>Laurentides</v>
      </c>
      <c r="T781" s="2" t="s">
        <v>4489</v>
      </c>
      <c r="U781" s="2" t="s">
        <v>39</v>
      </c>
      <c r="V781" s="2" t="s">
        <v>40</v>
      </c>
      <c r="W781" s="2" t="s">
        <v>4490</v>
      </c>
      <c r="X781" s="2"/>
      <c r="Y781" s="2"/>
      <c r="Z781" s="2"/>
      <c r="AA781" s="2" t="s">
        <v>832</v>
      </c>
      <c r="AB781" s="2" t="s">
        <v>3221</v>
      </c>
      <c r="AC781" s="4" t="s">
        <v>44</v>
      </c>
    </row>
    <row r="782" spans="1:29" x14ac:dyDescent="0.25">
      <c r="A782" s="1">
        <v>118</v>
      </c>
      <c r="B782" s="17" t="s">
        <v>4491</v>
      </c>
      <c r="C782" s="2" t="s">
        <v>4492</v>
      </c>
      <c r="D782" s="15" t="s">
        <v>4493</v>
      </c>
      <c r="E782" s="9" t="s">
        <v>370</v>
      </c>
      <c r="F782" s="9" t="s">
        <v>4494</v>
      </c>
      <c r="G782" s="9" t="s">
        <v>1162</v>
      </c>
      <c r="H782" s="2" t="s">
        <v>35</v>
      </c>
      <c r="I782" s="3">
        <v>35871</v>
      </c>
      <c r="J782" s="9" t="str">
        <f t="shared" ca="1" si="14"/>
        <v>25 ans</v>
      </c>
      <c r="K782" s="2" t="s">
        <v>123</v>
      </c>
      <c r="L782" s="2" t="str">
        <f>"151"</f>
        <v>151</v>
      </c>
      <c r="M782" s="2"/>
      <c r="N782" s="2" t="str">
        <f>"MAISONNEUVE BLVD"</f>
        <v>MAISONNEUVE BLVD</v>
      </c>
      <c r="O782" s="2" t="s">
        <v>3185</v>
      </c>
      <c r="P782" s="9" t="str">
        <f>VLOOKUP($O782,'Liste des Villes'!$B$2:$B$1128,1,FALSE)</f>
        <v>Saint-Jérôme</v>
      </c>
      <c r="Q782" s="9" t="str">
        <f>IFERROR($P782,PROPER(VLOOKUP($O782,'Villes en erreur'!$A$2:$B$72,2,FALSE)))</f>
        <v>Saint-Jérôme</v>
      </c>
      <c r="R782" s="9" t="s">
        <v>3186</v>
      </c>
      <c r="S782" s="9" t="str">
        <f>IF(ISBLANK($R782),"",VLOOKUP($R782,'Liste des Villes'!$B$2:$H$1128,4,FALSE))</f>
        <v>Laurentides</v>
      </c>
      <c r="T782" s="2" t="s">
        <v>3845</v>
      </c>
      <c r="U782" s="2" t="s">
        <v>39</v>
      </c>
      <c r="V782" s="2" t="s">
        <v>40</v>
      </c>
      <c r="W782" s="2" t="s">
        <v>4495</v>
      </c>
      <c r="X782" s="2"/>
      <c r="Y782" s="2"/>
      <c r="Z782" s="2"/>
      <c r="AA782" s="2" t="s">
        <v>3243</v>
      </c>
      <c r="AB782" s="2" t="s">
        <v>3221</v>
      </c>
      <c r="AC782" s="4" t="s">
        <v>44</v>
      </c>
    </row>
    <row r="783" spans="1:29" x14ac:dyDescent="0.25">
      <c r="A783" s="1">
        <v>1691</v>
      </c>
      <c r="B783" s="17" t="s">
        <v>4496</v>
      </c>
      <c r="C783" s="2" t="s">
        <v>4497</v>
      </c>
      <c r="D783" s="15" t="s">
        <v>4498</v>
      </c>
      <c r="E783" s="9" t="s">
        <v>2217</v>
      </c>
      <c r="F783" s="9" t="s">
        <v>2085</v>
      </c>
      <c r="G783" s="9" t="s">
        <v>179</v>
      </c>
      <c r="H783" s="2" t="s">
        <v>60</v>
      </c>
      <c r="I783" s="3">
        <v>36121</v>
      </c>
      <c r="J783" s="9" t="str">
        <f t="shared" ca="1" si="14"/>
        <v>24 ans</v>
      </c>
      <c r="K783" s="2" t="s">
        <v>123</v>
      </c>
      <c r="L783" s="2" t="str">
        <f>"214"</f>
        <v>214</v>
      </c>
      <c r="M783" s="2"/>
      <c r="N783" s="2" t="str">
        <f>"RTE SAINT-PHILIPPE"</f>
        <v>RTE SAINT-PHILIPPE</v>
      </c>
      <c r="O783" s="2" t="s">
        <v>3185</v>
      </c>
      <c r="P783" s="9" t="str">
        <f>VLOOKUP($O783,'Liste des Villes'!$B$2:$B$1128,1,FALSE)</f>
        <v>Saint-Jérôme</v>
      </c>
      <c r="Q783" s="9" t="str">
        <f>IFERROR($P783,PROPER(VLOOKUP($O783,'Villes en erreur'!$A$2:$B$72,2,FALSE)))</f>
        <v>Saint-Jérôme</v>
      </c>
      <c r="R783" s="9" t="s">
        <v>3186</v>
      </c>
      <c r="S783" s="9" t="str">
        <f>IF(ISBLANK($R783),"",VLOOKUP($R783,'Liste des Villes'!$B$2:$H$1128,4,FALSE))</f>
        <v>Laurentides</v>
      </c>
      <c r="T783" s="2" t="s">
        <v>4499</v>
      </c>
      <c r="U783" s="2" t="s">
        <v>39</v>
      </c>
      <c r="V783" s="2" t="s">
        <v>40</v>
      </c>
      <c r="W783" s="2" t="s">
        <v>4500</v>
      </c>
      <c r="X783" s="2"/>
      <c r="Y783" s="2"/>
      <c r="Z783" s="2"/>
      <c r="AA783" s="2" t="s">
        <v>832</v>
      </c>
      <c r="AB783" s="2" t="s">
        <v>3221</v>
      </c>
      <c r="AC783" s="4" t="s">
        <v>44</v>
      </c>
    </row>
    <row r="784" spans="1:29" x14ac:dyDescent="0.25">
      <c r="A784" s="1">
        <v>4153</v>
      </c>
      <c r="B784" s="17" t="s">
        <v>4501</v>
      </c>
      <c r="C784" s="2" t="s">
        <v>4502</v>
      </c>
      <c r="D784" s="15" t="s">
        <v>1356</v>
      </c>
      <c r="E784" s="9" t="s">
        <v>4503</v>
      </c>
      <c r="F784" s="9" t="s">
        <v>1354</v>
      </c>
      <c r="G784" s="9" t="s">
        <v>1931</v>
      </c>
      <c r="H784" s="2" t="s">
        <v>60</v>
      </c>
      <c r="I784" s="3">
        <v>34220</v>
      </c>
      <c r="J784" s="9" t="str">
        <f t="shared" ca="1" si="14"/>
        <v>29 ans</v>
      </c>
      <c r="K784" s="2" t="s">
        <v>36</v>
      </c>
      <c r="L784" s="2" t="str">
        <f>"49"</f>
        <v>49</v>
      </c>
      <c r="M784" s="2"/>
      <c r="N784" s="2" t="str">
        <f>"BOULEVARD DES HAUTEURS"</f>
        <v>BOULEVARD DES HAUTEURS</v>
      </c>
      <c r="O784" s="2" t="s">
        <v>3185</v>
      </c>
      <c r="P784" s="9" t="str">
        <f>VLOOKUP($O784,'Liste des Villes'!$B$2:$B$1128,1,FALSE)</f>
        <v>Saint-Jérôme</v>
      </c>
      <c r="Q784" s="9" t="str">
        <f>IFERROR($P784,PROPER(VLOOKUP($O784,'Villes en erreur'!$A$2:$B$72,2,FALSE)))</f>
        <v>Saint-Jérôme</v>
      </c>
      <c r="R784" s="9" t="s">
        <v>3186</v>
      </c>
      <c r="S784" s="9" t="str">
        <f>IF(ISBLANK($R784),"",VLOOKUP($R784,'Liste des Villes'!$B$2:$H$1128,4,FALSE))</f>
        <v>Laurentides</v>
      </c>
      <c r="T784" s="2" t="s">
        <v>3520</v>
      </c>
      <c r="U784" s="2" t="s">
        <v>39</v>
      </c>
      <c r="V784" s="2" t="s">
        <v>40</v>
      </c>
      <c r="W784" s="2" t="s">
        <v>4504</v>
      </c>
      <c r="X784" s="2"/>
      <c r="Y784" s="2"/>
      <c r="Z784" s="2"/>
      <c r="AA784" s="2" t="s">
        <v>3360</v>
      </c>
      <c r="AB784" s="2" t="s">
        <v>53</v>
      </c>
      <c r="AC784" s="4" t="s">
        <v>44</v>
      </c>
    </row>
    <row r="785" spans="1:29" x14ac:dyDescent="0.25">
      <c r="A785" s="1">
        <v>4509</v>
      </c>
      <c r="B785" s="17" t="s">
        <v>4505</v>
      </c>
      <c r="C785" s="2" t="s">
        <v>4506</v>
      </c>
      <c r="D785" s="15" t="s">
        <v>3883</v>
      </c>
      <c r="E785" s="9" t="s">
        <v>354</v>
      </c>
      <c r="F785" s="9" t="s">
        <v>4004</v>
      </c>
      <c r="G785" s="9" t="s">
        <v>2796</v>
      </c>
      <c r="H785" s="2" t="s">
        <v>35</v>
      </c>
      <c r="I785" s="3">
        <v>35277</v>
      </c>
      <c r="J785" s="9" t="str">
        <f t="shared" ca="1" si="14"/>
        <v>27 ans</v>
      </c>
      <c r="K785" s="2" t="s">
        <v>36</v>
      </c>
      <c r="L785" s="2" t="str">
        <f>"107"</f>
        <v>107</v>
      </c>
      <c r="M785" s="2"/>
      <c r="N785" s="2" t="str">
        <f>"CHEMIN DE LA RIVIÈRE"</f>
        <v>CHEMIN DE LA RIVIÈRE</v>
      </c>
      <c r="O785" s="2" t="s">
        <v>3185</v>
      </c>
      <c r="P785" s="9" t="str">
        <f>VLOOKUP($O785,'Liste des Villes'!$B$2:$B$1128,1,FALSE)</f>
        <v>Saint-Jérôme</v>
      </c>
      <c r="Q785" s="9" t="str">
        <f>IFERROR($P785,PROPER(VLOOKUP($O785,'Villes en erreur'!$A$2:$B$72,2,FALSE)))</f>
        <v>Saint-Jérôme</v>
      </c>
      <c r="R785" s="9" t="s">
        <v>3186</v>
      </c>
      <c r="S785" s="9" t="str">
        <f>IF(ISBLANK($R785),"",VLOOKUP($R785,'Liste des Villes'!$B$2:$H$1128,4,FALSE))</f>
        <v>Laurentides</v>
      </c>
      <c r="T785" s="2" t="s">
        <v>4507</v>
      </c>
      <c r="U785" s="2" t="s">
        <v>39</v>
      </c>
      <c r="V785" s="2" t="s">
        <v>40</v>
      </c>
      <c r="W785" s="2" t="s">
        <v>4508</v>
      </c>
      <c r="X785" s="2"/>
      <c r="Y785" s="2"/>
      <c r="Z785" s="2"/>
      <c r="AA785" s="2" t="s">
        <v>3189</v>
      </c>
      <c r="AB785" s="2" t="s">
        <v>3190</v>
      </c>
      <c r="AC785" s="4" t="s">
        <v>44</v>
      </c>
    </row>
    <row r="786" spans="1:29" x14ac:dyDescent="0.25">
      <c r="A786" s="1">
        <v>4199</v>
      </c>
      <c r="B786" s="17" t="s">
        <v>4509</v>
      </c>
      <c r="C786" s="2" t="s">
        <v>4510</v>
      </c>
      <c r="D786" s="15" t="s">
        <v>4511</v>
      </c>
      <c r="E786" s="9" t="s">
        <v>85</v>
      </c>
      <c r="F786" s="9" t="s">
        <v>4512</v>
      </c>
      <c r="G786" s="9" t="s">
        <v>4513</v>
      </c>
      <c r="H786" s="2" t="s">
        <v>60</v>
      </c>
      <c r="I786" s="3">
        <v>36215</v>
      </c>
      <c r="J786" s="9" t="str">
        <f t="shared" ca="1" si="14"/>
        <v>24 ans</v>
      </c>
      <c r="K786" s="2" t="s">
        <v>123</v>
      </c>
      <c r="L786" s="2" t="str">
        <f>"250"</f>
        <v>250</v>
      </c>
      <c r="M786" s="2"/>
      <c r="N786" s="2" t="str">
        <f>"RUE BANK"</f>
        <v>RUE BANK</v>
      </c>
      <c r="O786" s="2" t="s">
        <v>3185</v>
      </c>
      <c r="P786" s="9" t="str">
        <f>VLOOKUP($O786,'Liste des Villes'!$B$2:$B$1128,1,FALSE)</f>
        <v>Saint-Jérôme</v>
      </c>
      <c r="Q786" s="9" t="str">
        <f>IFERROR($P786,PROPER(VLOOKUP($O786,'Villes en erreur'!$A$2:$B$72,2,FALSE)))</f>
        <v>Saint-Jérôme</v>
      </c>
      <c r="R786" s="9" t="s">
        <v>3186</v>
      </c>
      <c r="S786" s="9" t="str">
        <f>IF(ISBLANK($R786),"",VLOOKUP($R786,'Liste des Villes'!$B$2:$H$1128,4,FALSE))</f>
        <v>Laurentides</v>
      </c>
      <c r="T786" s="2" t="s">
        <v>4401</v>
      </c>
      <c r="U786" s="2" t="s">
        <v>39</v>
      </c>
      <c r="V786" s="2" t="s">
        <v>40</v>
      </c>
      <c r="W786" s="2" t="s">
        <v>4514</v>
      </c>
      <c r="X786" s="2"/>
      <c r="Y786" s="2"/>
      <c r="Z786" s="2"/>
      <c r="AA786" s="2" t="s">
        <v>832</v>
      </c>
      <c r="AB786" s="2" t="s">
        <v>3288</v>
      </c>
      <c r="AC786" s="4" t="s">
        <v>44</v>
      </c>
    </row>
    <row r="787" spans="1:29" x14ac:dyDescent="0.25">
      <c r="A787" s="1">
        <v>804</v>
      </c>
      <c r="B787" s="17" t="s">
        <v>4515</v>
      </c>
      <c r="C787" s="2" t="s">
        <v>4516</v>
      </c>
      <c r="D787" s="15" t="s">
        <v>582</v>
      </c>
      <c r="E787" s="9" t="s">
        <v>4517</v>
      </c>
      <c r="F787" s="9" t="s">
        <v>4518</v>
      </c>
      <c r="G787" s="9" t="s">
        <v>1246</v>
      </c>
      <c r="H787" s="2" t="s">
        <v>35</v>
      </c>
      <c r="I787" s="3">
        <v>34132</v>
      </c>
      <c r="J787" s="9" t="str">
        <f t="shared" ca="1" si="14"/>
        <v>30 ans</v>
      </c>
      <c r="K787" s="2" t="s">
        <v>36</v>
      </c>
      <c r="L787" s="2" t="str">
        <f>"47"</f>
        <v>47</v>
      </c>
      <c r="M787" s="2"/>
      <c r="N787" s="2" t="str">
        <f>"BOULEVARD DE DEUX-MONTAGNES"</f>
        <v>BOULEVARD DE DEUX-MONTAGNES</v>
      </c>
      <c r="O787" s="2" t="s">
        <v>3186</v>
      </c>
      <c r="P787" s="9" t="str">
        <f>VLOOKUP($O787,'Liste des Villes'!$B$2:$B$1128,1,FALSE)</f>
        <v>Saint-Jérôme</v>
      </c>
      <c r="Q787" s="9" t="str">
        <f>IFERROR($P787,PROPER(VLOOKUP($O787,'Villes en erreur'!$A$2:$B$72,2,FALSE)))</f>
        <v>Saint-Jérôme</v>
      </c>
      <c r="R787" s="9" t="s">
        <v>3186</v>
      </c>
      <c r="S787" s="9" t="str">
        <f>IF(ISBLANK($R787),"",VLOOKUP($R787,'Liste des Villes'!$B$2:$H$1128,4,FALSE))</f>
        <v>Laurentides</v>
      </c>
      <c r="T787" s="2" t="s">
        <v>3358</v>
      </c>
      <c r="U787" s="2" t="s">
        <v>39</v>
      </c>
      <c r="V787" s="2" t="s">
        <v>40</v>
      </c>
      <c r="W787" s="2" t="s">
        <v>4519</v>
      </c>
      <c r="X787" s="2"/>
      <c r="Y787" s="2"/>
      <c r="Z787" s="2"/>
      <c r="AA787" s="2" t="s">
        <v>3360</v>
      </c>
      <c r="AB787" s="2" t="s">
        <v>53</v>
      </c>
      <c r="AC787" s="4" t="s">
        <v>44</v>
      </c>
    </row>
    <row r="788" spans="1:29" x14ac:dyDescent="0.25">
      <c r="A788" s="1">
        <v>7</v>
      </c>
      <c r="B788" s="17" t="s">
        <v>4520</v>
      </c>
      <c r="C788" s="2" t="s">
        <v>4521</v>
      </c>
      <c r="D788" s="15" t="s">
        <v>56</v>
      </c>
      <c r="E788" s="9" t="s">
        <v>154</v>
      </c>
      <c r="F788" s="9" t="s">
        <v>4522</v>
      </c>
      <c r="G788" s="9" t="s">
        <v>1024</v>
      </c>
      <c r="H788" s="2" t="s">
        <v>35</v>
      </c>
      <c r="I788" s="3">
        <v>36175</v>
      </c>
      <c r="J788" s="9" t="str">
        <f t="shared" ca="1" si="14"/>
        <v>24 ans</v>
      </c>
      <c r="K788" s="2" t="s">
        <v>123</v>
      </c>
      <c r="L788" s="2" t="str">
        <f>"233"</f>
        <v>233</v>
      </c>
      <c r="M788" s="2"/>
      <c r="N788" s="2" t="str">
        <f>"RUE ANDRE-PREVOST"</f>
        <v>RUE ANDRE-PREVOST</v>
      </c>
      <c r="O788" s="2" t="s">
        <v>3185</v>
      </c>
      <c r="P788" s="9" t="str">
        <f>VLOOKUP($O788,'Liste des Villes'!$B$2:$B$1128,1,FALSE)</f>
        <v>Saint-Jérôme</v>
      </c>
      <c r="Q788" s="9" t="str">
        <f>IFERROR($P788,PROPER(VLOOKUP($O788,'Villes en erreur'!$A$2:$B$72,2,FALSE)))</f>
        <v>Saint-Jérôme</v>
      </c>
      <c r="R788" s="9" t="s">
        <v>3186</v>
      </c>
      <c r="S788" s="9" t="str">
        <f>IF(ISBLANK($R788),"",VLOOKUP($R788,'Liste des Villes'!$B$2:$H$1128,4,FALSE))</f>
        <v>Laurentides</v>
      </c>
      <c r="T788" s="2" t="s">
        <v>4523</v>
      </c>
      <c r="U788" s="2" t="s">
        <v>39</v>
      </c>
      <c r="V788" s="2" t="s">
        <v>40</v>
      </c>
      <c r="W788" s="2" t="s">
        <v>4524</v>
      </c>
      <c r="X788" s="2"/>
      <c r="Y788" s="2"/>
      <c r="Z788" s="2"/>
      <c r="AA788" s="2" t="s">
        <v>832</v>
      </c>
      <c r="AB788" s="2" t="s">
        <v>3221</v>
      </c>
      <c r="AC788" s="4" t="s">
        <v>44</v>
      </c>
    </row>
    <row r="789" spans="1:29" x14ac:dyDescent="0.25">
      <c r="A789" s="1">
        <v>1883</v>
      </c>
      <c r="B789" s="17" t="s">
        <v>4525</v>
      </c>
      <c r="C789" s="2" t="s">
        <v>4526</v>
      </c>
      <c r="D789" s="15" t="s">
        <v>1489</v>
      </c>
      <c r="E789" s="9" t="s">
        <v>332</v>
      </c>
      <c r="F789" s="9" t="s">
        <v>1923</v>
      </c>
      <c r="G789" s="9" t="s">
        <v>1220</v>
      </c>
      <c r="H789" s="2" t="s">
        <v>60</v>
      </c>
      <c r="I789" s="3">
        <v>34059</v>
      </c>
      <c r="J789" s="9" t="str">
        <f t="shared" ca="1" si="14"/>
        <v>30 ans</v>
      </c>
      <c r="K789" s="2" t="s">
        <v>36</v>
      </c>
      <c r="L789" s="2" t="str">
        <f>"45"</f>
        <v>45</v>
      </c>
      <c r="M789" s="2"/>
      <c r="N789" s="2" t="str">
        <f>"BOUL. DES MILLE-ÎLES EST"</f>
        <v>BOUL. DES MILLE-ÎLES EST</v>
      </c>
      <c r="O789" s="2" t="s">
        <v>3185</v>
      </c>
      <c r="P789" s="9" t="str">
        <f>VLOOKUP($O789,'Liste des Villes'!$B$2:$B$1128,1,FALSE)</f>
        <v>Saint-Jérôme</v>
      </c>
      <c r="Q789" s="9" t="str">
        <f>IFERROR($P789,PROPER(VLOOKUP($O789,'Villes en erreur'!$A$2:$B$72,2,FALSE)))</f>
        <v>Saint-Jérôme</v>
      </c>
      <c r="R789" s="9" t="s">
        <v>3186</v>
      </c>
      <c r="S789" s="9" t="str">
        <f>IF(ISBLANK($R789),"",VLOOKUP($R789,'Liste des Villes'!$B$2:$H$1128,4,FALSE))</f>
        <v>Laurentides</v>
      </c>
      <c r="T789" s="2" t="s">
        <v>3358</v>
      </c>
      <c r="U789" s="2" t="s">
        <v>39</v>
      </c>
      <c r="V789" s="2" t="s">
        <v>40</v>
      </c>
      <c r="W789" s="2" t="s">
        <v>4527</v>
      </c>
      <c r="X789" s="2"/>
      <c r="Y789" s="2"/>
      <c r="Z789" s="2"/>
      <c r="AA789" s="2" t="s">
        <v>3207</v>
      </c>
      <c r="AB789" s="2" t="s">
        <v>53</v>
      </c>
      <c r="AC789" s="4" t="s">
        <v>44</v>
      </c>
    </row>
    <row r="790" spans="1:29" x14ac:dyDescent="0.25">
      <c r="A790" s="1">
        <v>1629</v>
      </c>
      <c r="B790" s="17" t="s">
        <v>4528</v>
      </c>
      <c r="C790" s="2" t="s">
        <v>4394</v>
      </c>
      <c r="D790" s="15" t="s">
        <v>617</v>
      </c>
      <c r="E790" s="9" t="s">
        <v>2404</v>
      </c>
      <c r="F790" s="9" t="s">
        <v>4529</v>
      </c>
      <c r="G790" s="9" t="s">
        <v>92</v>
      </c>
      <c r="H790" s="2" t="s">
        <v>35</v>
      </c>
      <c r="I790" s="3">
        <v>35439</v>
      </c>
      <c r="J790" s="9" t="str">
        <f t="shared" ca="1" si="14"/>
        <v>26 ans</v>
      </c>
      <c r="K790" s="2" t="s">
        <v>36</v>
      </c>
      <c r="L790" s="2" t="str">
        <f>"116"</f>
        <v>116</v>
      </c>
      <c r="M790" s="2"/>
      <c r="N790" s="2" t="str">
        <f>"CHEMIN DU TOUR-DU-LAC"</f>
        <v>CHEMIN DU TOUR-DU-LAC</v>
      </c>
      <c r="O790" s="2" t="s">
        <v>3185</v>
      </c>
      <c r="P790" s="9" t="str">
        <f>VLOOKUP($O790,'Liste des Villes'!$B$2:$B$1128,1,FALSE)</f>
        <v>Saint-Jérôme</v>
      </c>
      <c r="Q790" s="9" t="str">
        <f>IFERROR($P790,PROPER(VLOOKUP($O790,'Villes en erreur'!$A$2:$B$72,2,FALSE)))</f>
        <v>Saint-Jérôme</v>
      </c>
      <c r="R790" s="9" t="s">
        <v>3186</v>
      </c>
      <c r="S790" s="9" t="str">
        <f>IF(ISBLANK($R790),"",VLOOKUP($R790,'Liste des Villes'!$B$2:$H$1128,4,FALSE))</f>
        <v>Laurentides</v>
      </c>
      <c r="T790" s="2" t="s">
        <v>3369</v>
      </c>
      <c r="U790" s="2" t="s">
        <v>39</v>
      </c>
      <c r="V790" s="2" t="s">
        <v>40</v>
      </c>
      <c r="W790" s="2" t="s">
        <v>4530</v>
      </c>
      <c r="X790" s="2"/>
      <c r="Y790" s="2"/>
      <c r="Z790" s="2"/>
      <c r="AA790" s="2" t="s">
        <v>3199</v>
      </c>
      <c r="AB790" s="2" t="s">
        <v>3200</v>
      </c>
      <c r="AC790" s="4" t="s">
        <v>44</v>
      </c>
    </row>
    <row r="791" spans="1:29" x14ac:dyDescent="0.25">
      <c r="A791" s="1">
        <v>4221</v>
      </c>
      <c r="B791" s="17" t="s">
        <v>4531</v>
      </c>
      <c r="C791" s="2" t="s">
        <v>4532</v>
      </c>
      <c r="D791" s="15" t="s">
        <v>726</v>
      </c>
      <c r="E791" s="9" t="s">
        <v>4533</v>
      </c>
      <c r="F791" s="9" t="s">
        <v>4534</v>
      </c>
      <c r="G791" s="9" t="s">
        <v>114</v>
      </c>
      <c r="H791" s="2" t="s">
        <v>60</v>
      </c>
      <c r="I791" s="3">
        <v>36255</v>
      </c>
      <c r="J791" s="9" t="str">
        <f t="shared" ca="1" si="14"/>
        <v>24 ans</v>
      </c>
      <c r="K791" s="2" t="s">
        <v>123</v>
      </c>
      <c r="L791" s="2" t="str">
        <f>"270"</f>
        <v>270</v>
      </c>
      <c r="M791" s="2"/>
      <c r="N791" s="2" t="str">
        <f>"RUE BERNARD"</f>
        <v>RUE BERNARD</v>
      </c>
      <c r="O791" s="2" t="s">
        <v>3185</v>
      </c>
      <c r="P791" s="9" t="str">
        <f>VLOOKUP($O791,'Liste des Villes'!$B$2:$B$1128,1,FALSE)</f>
        <v>Saint-Jérôme</v>
      </c>
      <c r="Q791" s="9" t="str">
        <f>IFERROR($P791,PROPER(VLOOKUP($O791,'Villes en erreur'!$A$2:$B$72,2,FALSE)))</f>
        <v>Saint-Jérôme</v>
      </c>
      <c r="R791" s="9" t="s">
        <v>3186</v>
      </c>
      <c r="S791" s="9" t="str">
        <f>IF(ISBLANK($R791),"",VLOOKUP($R791,'Liste des Villes'!$B$2:$H$1128,4,FALSE))</f>
        <v>Laurentides</v>
      </c>
      <c r="T791" s="2" t="s">
        <v>1238</v>
      </c>
      <c r="U791" s="2" t="s">
        <v>39</v>
      </c>
      <c r="V791" s="2" t="s">
        <v>40</v>
      </c>
      <c r="W791" s="2" t="s">
        <v>4535</v>
      </c>
      <c r="X791" s="2"/>
      <c r="Y791" s="2"/>
      <c r="Z791" s="2"/>
      <c r="AA791" s="2" t="s">
        <v>832</v>
      </c>
      <c r="AB791" s="2" t="s">
        <v>73</v>
      </c>
      <c r="AC791" s="4" t="s">
        <v>44</v>
      </c>
    </row>
    <row r="792" spans="1:29" x14ac:dyDescent="0.25">
      <c r="A792" s="1">
        <v>347</v>
      </c>
      <c r="B792" s="17" t="s">
        <v>4536</v>
      </c>
      <c r="C792" s="2" t="s">
        <v>4537</v>
      </c>
      <c r="D792" s="15" t="s">
        <v>4538</v>
      </c>
      <c r="E792" s="9" t="s">
        <v>4539</v>
      </c>
      <c r="F792" s="9" t="s">
        <v>4087</v>
      </c>
      <c r="G792" s="9" t="s">
        <v>1447</v>
      </c>
      <c r="H792" s="2" t="s">
        <v>60</v>
      </c>
      <c r="I792" s="3">
        <v>35486</v>
      </c>
      <c r="J792" s="9" t="str">
        <f t="shared" ca="1" si="14"/>
        <v>26 ans</v>
      </c>
      <c r="K792" s="2" t="s">
        <v>36</v>
      </c>
      <c r="L792" s="2" t="str">
        <f>"118"</f>
        <v>118</v>
      </c>
      <c r="M792" s="2"/>
      <c r="N792" s="2" t="str">
        <f>"CHEMIN SAINT PHILIPPE"</f>
        <v>CHEMIN SAINT PHILIPPE</v>
      </c>
      <c r="O792" s="2" t="s">
        <v>3185</v>
      </c>
      <c r="P792" s="9" t="str">
        <f>VLOOKUP($O792,'Liste des Villes'!$B$2:$B$1128,1,FALSE)</f>
        <v>Saint-Jérôme</v>
      </c>
      <c r="Q792" s="9" t="str">
        <f>IFERROR($P792,PROPER(VLOOKUP($O792,'Villes en erreur'!$A$2:$B$72,2,FALSE)))</f>
        <v>Saint-Jérôme</v>
      </c>
      <c r="R792" s="9" t="s">
        <v>3186</v>
      </c>
      <c r="S792" s="9" t="str">
        <f>IF(ISBLANK($R792),"",VLOOKUP($R792,'Liste des Villes'!$B$2:$H$1128,4,FALSE))</f>
        <v>Laurentides</v>
      </c>
      <c r="T792" s="2" t="s">
        <v>3532</v>
      </c>
      <c r="U792" s="2" t="s">
        <v>39</v>
      </c>
      <c r="V792" s="2" t="s">
        <v>40</v>
      </c>
      <c r="W792" s="2" t="s">
        <v>4540</v>
      </c>
      <c r="X792" s="2"/>
      <c r="Y792" s="2"/>
      <c r="Z792" s="2"/>
      <c r="AA792" s="2" t="s">
        <v>3199</v>
      </c>
      <c r="AB792" s="2" t="s">
        <v>3200</v>
      </c>
      <c r="AC792" s="4" t="s">
        <v>44</v>
      </c>
    </row>
    <row r="793" spans="1:29" x14ac:dyDescent="0.25">
      <c r="A793" s="1">
        <v>4280</v>
      </c>
      <c r="B793" s="17" t="s">
        <v>4541</v>
      </c>
      <c r="C793" s="2" t="s">
        <v>4542</v>
      </c>
      <c r="D793" s="15" t="s">
        <v>4543</v>
      </c>
      <c r="E793" s="9" t="s">
        <v>989</v>
      </c>
      <c r="F793" s="9" t="s">
        <v>818</v>
      </c>
      <c r="G793" s="9" t="s">
        <v>495</v>
      </c>
      <c r="H793" s="2" t="s">
        <v>35</v>
      </c>
      <c r="I793" s="3">
        <v>34613</v>
      </c>
      <c r="J793" s="9" t="str">
        <f t="shared" ca="1" si="14"/>
        <v>28 ans</v>
      </c>
      <c r="K793" s="2" t="s">
        <v>36</v>
      </c>
      <c r="L793" s="2" t="str">
        <f>"67"</f>
        <v>67</v>
      </c>
      <c r="M793" s="2"/>
      <c r="N793" s="2" t="str">
        <f>"CH DE LA PAIX"</f>
        <v>CH DE LA PAIX</v>
      </c>
      <c r="O793" s="2" t="s">
        <v>3185</v>
      </c>
      <c r="P793" s="9" t="str">
        <f>VLOOKUP($O793,'Liste des Villes'!$B$2:$B$1128,1,FALSE)</f>
        <v>Saint-Jérôme</v>
      </c>
      <c r="Q793" s="9" t="str">
        <f>IFERROR($P793,PROPER(VLOOKUP($O793,'Villes en erreur'!$A$2:$B$72,2,FALSE)))</f>
        <v>Saint-Jérôme</v>
      </c>
      <c r="R793" s="9" t="s">
        <v>3186</v>
      </c>
      <c r="S793" s="9" t="str">
        <f>IF(ISBLANK($R793),"",VLOOKUP($R793,'Liste des Villes'!$B$2:$H$1128,4,FALSE))</f>
        <v>Laurentides</v>
      </c>
      <c r="T793" s="2" t="s">
        <v>3223</v>
      </c>
      <c r="U793" s="2" t="s">
        <v>39</v>
      </c>
      <c r="V793" s="2" t="s">
        <v>40</v>
      </c>
      <c r="W793" s="2" t="s">
        <v>4544</v>
      </c>
      <c r="X793" s="2"/>
      <c r="Y793" s="2"/>
      <c r="Z793" s="2"/>
      <c r="AA793" s="2" t="s">
        <v>3225</v>
      </c>
      <c r="AB793" s="2" t="s">
        <v>53</v>
      </c>
      <c r="AC793" s="4" t="s">
        <v>44</v>
      </c>
    </row>
    <row r="794" spans="1:29" x14ac:dyDescent="0.25">
      <c r="A794" s="1">
        <v>2586</v>
      </c>
      <c r="B794" s="17" t="s">
        <v>4545</v>
      </c>
      <c r="C794" s="2" t="s">
        <v>4546</v>
      </c>
      <c r="D794" s="15" t="s">
        <v>4547</v>
      </c>
      <c r="E794" s="9" t="s">
        <v>1582</v>
      </c>
      <c r="F794" s="9" t="s">
        <v>3133</v>
      </c>
      <c r="G794" s="9" t="s">
        <v>4548</v>
      </c>
      <c r="H794" s="2" t="s">
        <v>60</v>
      </c>
      <c r="I794" s="3">
        <v>33808</v>
      </c>
      <c r="J794" s="9" t="str">
        <f t="shared" ca="1" si="14"/>
        <v>31 ans</v>
      </c>
      <c r="K794" s="2" t="s">
        <v>36</v>
      </c>
      <c r="L794" s="2" t="str">
        <f>"38"</f>
        <v>38</v>
      </c>
      <c r="M794" s="2"/>
      <c r="N794" s="2" t="str">
        <f>"AVENUE DES MÉSANGES"</f>
        <v>AVENUE DES MÉSANGES</v>
      </c>
      <c r="O794" s="2" t="s">
        <v>3185</v>
      </c>
      <c r="P794" s="9" t="str">
        <f>VLOOKUP($O794,'Liste des Villes'!$B$2:$B$1128,1,FALSE)</f>
        <v>Saint-Jérôme</v>
      </c>
      <c r="Q794" s="9" t="str">
        <f>IFERROR($P794,PROPER(VLOOKUP($O794,'Villes en erreur'!$A$2:$B$72,2,FALSE)))</f>
        <v>Saint-Jérôme</v>
      </c>
      <c r="R794" s="9" t="s">
        <v>3186</v>
      </c>
      <c r="S794" s="9" t="str">
        <f>IF(ISBLANK($R794),"",VLOOKUP($R794,'Liste des Villes'!$B$2:$H$1128,4,FALSE))</f>
        <v>Laurentides</v>
      </c>
      <c r="T794" s="2" t="s">
        <v>3093</v>
      </c>
      <c r="U794" s="2" t="s">
        <v>39</v>
      </c>
      <c r="V794" s="2" t="s">
        <v>40</v>
      </c>
      <c r="W794" s="2" t="s">
        <v>4549</v>
      </c>
      <c r="X794" s="2"/>
      <c r="Y794" s="2"/>
      <c r="Z794" s="2"/>
      <c r="AA794" s="2" t="s">
        <v>213</v>
      </c>
      <c r="AB794" s="2" t="s">
        <v>53</v>
      </c>
      <c r="AC794" s="4" t="s">
        <v>44</v>
      </c>
    </row>
    <row r="795" spans="1:29" x14ac:dyDescent="0.25">
      <c r="A795" s="1">
        <v>1730</v>
      </c>
      <c r="B795" s="17" t="s">
        <v>4550</v>
      </c>
      <c r="C795" s="2" t="s">
        <v>2209</v>
      </c>
      <c r="D795" s="15" t="s">
        <v>782</v>
      </c>
      <c r="E795" s="9" t="s">
        <v>2210</v>
      </c>
      <c r="F795" s="9" t="s">
        <v>2693</v>
      </c>
      <c r="G795" s="9" t="s">
        <v>4551</v>
      </c>
      <c r="H795" s="2" t="s">
        <v>60</v>
      </c>
      <c r="I795" s="3">
        <v>34044</v>
      </c>
      <c r="J795" s="9" t="str">
        <f t="shared" ca="1" si="14"/>
        <v>30 ans</v>
      </c>
      <c r="K795" s="2" t="s">
        <v>36</v>
      </c>
      <c r="L795" s="2" t="str">
        <f>"44"</f>
        <v>44</v>
      </c>
      <c r="M795" s="2"/>
      <c r="N795" s="2" t="str">
        <f>"BOUL MAISONNEUVE"</f>
        <v>BOUL MAISONNEUVE</v>
      </c>
      <c r="O795" s="2" t="s">
        <v>3186</v>
      </c>
      <c r="P795" s="9" t="str">
        <f>VLOOKUP($O795,'Liste des Villes'!$B$2:$B$1128,1,FALSE)</f>
        <v>Saint-Jérôme</v>
      </c>
      <c r="Q795" s="9" t="str">
        <f>IFERROR($P795,PROPER(VLOOKUP($O795,'Villes en erreur'!$A$2:$B$72,2,FALSE)))</f>
        <v>Saint-Jérôme</v>
      </c>
      <c r="R795" s="9" t="s">
        <v>3186</v>
      </c>
      <c r="S795" s="9" t="str">
        <f>IF(ISBLANK($R795),"",VLOOKUP($R795,'Liste des Villes'!$B$2:$H$1128,4,FALSE))</f>
        <v>Laurentides</v>
      </c>
      <c r="T795" s="2" t="s">
        <v>3205</v>
      </c>
      <c r="U795" s="2" t="s">
        <v>39</v>
      </c>
      <c r="V795" s="2" t="s">
        <v>40</v>
      </c>
      <c r="W795" s="2" t="s">
        <v>4552</v>
      </c>
      <c r="X795" s="2"/>
      <c r="Y795" s="2"/>
      <c r="Z795" s="2"/>
      <c r="AA795" s="2" t="s">
        <v>3207</v>
      </c>
      <c r="AB795" s="2" t="s">
        <v>53</v>
      </c>
      <c r="AC795" s="4" t="s">
        <v>44</v>
      </c>
    </row>
    <row r="796" spans="1:29" x14ac:dyDescent="0.25">
      <c r="A796" s="1">
        <v>2533</v>
      </c>
      <c r="B796" s="17" t="s">
        <v>4553</v>
      </c>
      <c r="C796" s="2" t="s">
        <v>3120</v>
      </c>
      <c r="D796" s="15" t="s">
        <v>3121</v>
      </c>
      <c r="E796" s="9" t="s">
        <v>107</v>
      </c>
      <c r="F796" s="9" t="s">
        <v>3122</v>
      </c>
      <c r="G796" s="9" t="s">
        <v>2134</v>
      </c>
      <c r="H796" s="2" t="s">
        <v>60</v>
      </c>
      <c r="I796" s="3">
        <v>34773</v>
      </c>
      <c r="J796" s="9" t="str">
        <f t="shared" ca="1" si="14"/>
        <v>28 ans</v>
      </c>
      <c r="K796" s="2" t="s">
        <v>36</v>
      </c>
      <c r="L796" s="2" t="str">
        <f>"75"</f>
        <v>75</v>
      </c>
      <c r="M796" s="2"/>
      <c r="N796" s="2" t="str">
        <f>"CH DES BUIS"</f>
        <v>CH DES BUIS</v>
      </c>
      <c r="O796" s="2" t="s">
        <v>3185</v>
      </c>
      <c r="P796" s="9" t="str">
        <f>VLOOKUP($O796,'Liste des Villes'!$B$2:$B$1128,1,FALSE)</f>
        <v>Saint-Jérôme</v>
      </c>
      <c r="Q796" s="9" t="str">
        <f>IFERROR($P796,PROPER(VLOOKUP($O796,'Villes en erreur'!$A$2:$B$72,2,FALSE)))</f>
        <v>Saint-Jérôme</v>
      </c>
      <c r="R796" s="9" t="s">
        <v>3186</v>
      </c>
      <c r="S796" s="9" t="str">
        <f>IF(ISBLANK($R796),"",VLOOKUP($R796,'Liste des Villes'!$B$2:$H$1128,4,FALSE))</f>
        <v>Laurentides</v>
      </c>
      <c r="T796" s="2" t="s">
        <v>3187</v>
      </c>
      <c r="U796" s="2" t="s">
        <v>39</v>
      </c>
      <c r="V796" s="2" t="s">
        <v>40</v>
      </c>
      <c r="W796" s="2" t="s">
        <v>4554</v>
      </c>
      <c r="X796" s="2"/>
      <c r="Y796" s="2"/>
      <c r="Z796" s="2"/>
      <c r="AA796" s="2" t="s">
        <v>3225</v>
      </c>
      <c r="AB796" s="2" t="s">
        <v>53</v>
      </c>
      <c r="AC796" s="4" t="s">
        <v>44</v>
      </c>
    </row>
    <row r="797" spans="1:29" x14ac:dyDescent="0.25">
      <c r="A797" s="1">
        <v>432</v>
      </c>
      <c r="B797" s="17" t="s">
        <v>4555</v>
      </c>
      <c r="C797" s="2" t="s">
        <v>4556</v>
      </c>
      <c r="D797" s="15" t="s">
        <v>1184</v>
      </c>
      <c r="E797" s="9" t="s">
        <v>4557</v>
      </c>
      <c r="F797" s="9" t="s">
        <v>1182</v>
      </c>
      <c r="G797" s="9" t="s">
        <v>1024</v>
      </c>
      <c r="H797" s="2" t="s">
        <v>35</v>
      </c>
      <c r="I797" s="3">
        <v>36169</v>
      </c>
      <c r="J797" s="9" t="str">
        <f t="shared" ca="1" si="14"/>
        <v>24 ans</v>
      </c>
      <c r="K797" s="2" t="s">
        <v>123</v>
      </c>
      <c r="L797" s="2" t="str">
        <f>"231"</f>
        <v>231</v>
      </c>
      <c r="M797" s="2"/>
      <c r="N797" s="2" t="str">
        <f>"RUE ANDRÉ"</f>
        <v>RUE ANDRÉ</v>
      </c>
      <c r="O797" s="2" t="s">
        <v>3185</v>
      </c>
      <c r="P797" s="9" t="str">
        <f>VLOOKUP($O797,'Liste des Villes'!$B$2:$B$1128,1,FALSE)</f>
        <v>Saint-Jérôme</v>
      </c>
      <c r="Q797" s="9" t="str">
        <f>IFERROR($P797,PROPER(VLOOKUP($O797,'Villes en erreur'!$A$2:$B$72,2,FALSE)))</f>
        <v>Saint-Jérôme</v>
      </c>
      <c r="R797" s="9" t="s">
        <v>3186</v>
      </c>
      <c r="S797" s="9" t="str">
        <f>IF(ISBLANK($R797),"",VLOOKUP($R797,'Liste des Villes'!$B$2:$H$1128,4,FALSE))</f>
        <v>Laurentides</v>
      </c>
      <c r="T797" s="2" t="s">
        <v>4558</v>
      </c>
      <c r="U797" s="2" t="s">
        <v>39</v>
      </c>
      <c r="V797" s="2" t="s">
        <v>40</v>
      </c>
      <c r="W797" s="2" t="s">
        <v>4559</v>
      </c>
      <c r="X797" s="2"/>
      <c r="Y797" s="2"/>
      <c r="Z797" s="2"/>
      <c r="AA797" s="2" t="s">
        <v>832</v>
      </c>
      <c r="AB797" s="2" t="s">
        <v>3221</v>
      </c>
      <c r="AC797" s="4" t="s">
        <v>44</v>
      </c>
    </row>
    <row r="798" spans="1:29" x14ac:dyDescent="0.25">
      <c r="A798" s="1">
        <v>3180</v>
      </c>
      <c r="B798" s="17" t="s">
        <v>4560</v>
      </c>
      <c r="C798" s="2" t="s">
        <v>4561</v>
      </c>
      <c r="D798" s="15" t="s">
        <v>1219</v>
      </c>
      <c r="E798" s="9" t="s">
        <v>3793</v>
      </c>
      <c r="F798" s="9" t="s">
        <v>4562</v>
      </c>
      <c r="G798" s="9" t="s">
        <v>4563</v>
      </c>
      <c r="H798" s="2" t="s">
        <v>60</v>
      </c>
      <c r="I798" s="3">
        <v>35247</v>
      </c>
      <c r="J798" s="9" t="str">
        <f t="shared" ca="1" si="14"/>
        <v>27 ans</v>
      </c>
      <c r="K798" s="2" t="s">
        <v>36</v>
      </c>
      <c r="L798" s="2" t="str">
        <f>"106"</f>
        <v>106</v>
      </c>
      <c r="M798" s="2"/>
      <c r="N798" s="2" t="str">
        <f>"CHEMIN CLÉMENT-PESANT"</f>
        <v>CHEMIN CLÉMENT-PESANT</v>
      </c>
      <c r="O798" s="2" t="s">
        <v>3185</v>
      </c>
      <c r="P798" s="9" t="str">
        <f>VLOOKUP($O798,'Liste des Villes'!$B$2:$B$1128,1,FALSE)</f>
        <v>Saint-Jérôme</v>
      </c>
      <c r="Q798" s="9" t="str">
        <f>IFERROR($P798,PROPER(VLOOKUP($O798,'Villes en erreur'!$A$2:$B$72,2,FALSE)))</f>
        <v>Saint-Jérôme</v>
      </c>
      <c r="R798" s="9" t="s">
        <v>3186</v>
      </c>
      <c r="S798" s="9" t="str">
        <f>IF(ISBLANK($R798),"",VLOOKUP($R798,'Liste des Villes'!$B$2:$H$1128,4,FALSE))</f>
        <v>Laurentides</v>
      </c>
      <c r="T798" s="2" t="s">
        <v>3187</v>
      </c>
      <c r="U798" s="2" t="s">
        <v>39</v>
      </c>
      <c r="V798" s="2" t="s">
        <v>40</v>
      </c>
      <c r="W798" s="2" t="s">
        <v>4564</v>
      </c>
      <c r="X798" s="2"/>
      <c r="Y798" s="2"/>
      <c r="Z798" s="2"/>
      <c r="AA798" s="2" t="s">
        <v>3189</v>
      </c>
      <c r="AB798" s="2" t="s">
        <v>3190</v>
      </c>
      <c r="AC798" s="4" t="s">
        <v>44</v>
      </c>
    </row>
    <row r="799" spans="1:29" x14ac:dyDescent="0.25">
      <c r="A799" s="1">
        <v>1135</v>
      </c>
      <c r="B799" s="17" t="s">
        <v>4565</v>
      </c>
      <c r="C799" s="2" t="s">
        <v>670</v>
      </c>
      <c r="D799" s="15" t="s">
        <v>599</v>
      </c>
      <c r="E799" s="9" t="s">
        <v>671</v>
      </c>
      <c r="F799" s="9" t="s">
        <v>601</v>
      </c>
      <c r="G799" s="9" t="s">
        <v>1037</v>
      </c>
      <c r="H799" s="2" t="s">
        <v>35</v>
      </c>
      <c r="I799" s="3">
        <v>36076</v>
      </c>
      <c r="J799" s="9" t="str">
        <f t="shared" ca="1" si="14"/>
        <v>24 ans</v>
      </c>
      <c r="K799" s="2" t="s">
        <v>123</v>
      </c>
      <c r="L799" s="2" t="str">
        <f>"200"</f>
        <v>200</v>
      </c>
      <c r="M799" s="2"/>
      <c r="N799" s="2" t="str">
        <f>"RANG SAINTE-HENRIETTE"</f>
        <v>RANG SAINTE-HENRIETTE</v>
      </c>
      <c r="O799" s="2" t="s">
        <v>3185</v>
      </c>
      <c r="P799" s="9" t="str">
        <f>VLOOKUP($O799,'Liste des Villes'!$B$2:$B$1128,1,FALSE)</f>
        <v>Saint-Jérôme</v>
      </c>
      <c r="Q799" s="9" t="str">
        <f>IFERROR($P799,PROPER(VLOOKUP($O799,'Villes en erreur'!$A$2:$B$72,2,FALSE)))</f>
        <v>Saint-Jérôme</v>
      </c>
      <c r="R799" s="9" t="s">
        <v>3186</v>
      </c>
      <c r="S799" s="9" t="str">
        <f>IF(ISBLANK($R799),"",VLOOKUP($R799,'Liste des Villes'!$B$2:$H$1128,4,FALSE))</f>
        <v>Laurentides</v>
      </c>
      <c r="T799" s="2" t="s">
        <v>4566</v>
      </c>
      <c r="U799" s="2" t="s">
        <v>39</v>
      </c>
      <c r="V799" s="2" t="s">
        <v>40</v>
      </c>
      <c r="W799" s="2" t="s">
        <v>4567</v>
      </c>
      <c r="X799" s="2"/>
      <c r="Y799" s="2"/>
      <c r="Z799" s="2"/>
      <c r="AA799" s="2" t="s">
        <v>832</v>
      </c>
      <c r="AB799" s="2" t="s">
        <v>3221</v>
      </c>
      <c r="AC799" s="4" t="s">
        <v>44</v>
      </c>
    </row>
    <row r="800" spans="1:29" x14ac:dyDescent="0.25">
      <c r="A800" s="1">
        <v>965</v>
      </c>
      <c r="B800" s="17" t="s">
        <v>4568</v>
      </c>
      <c r="C800" s="2" t="s">
        <v>4569</v>
      </c>
      <c r="D800" s="15" t="s">
        <v>3882</v>
      </c>
      <c r="E800" s="9" t="s">
        <v>211</v>
      </c>
      <c r="F800" s="9" t="s">
        <v>3883</v>
      </c>
      <c r="G800" s="9" t="s">
        <v>1447</v>
      </c>
      <c r="H800" s="2" t="s">
        <v>60</v>
      </c>
      <c r="I800" s="3">
        <v>35487</v>
      </c>
      <c r="J800" s="9" t="str">
        <f t="shared" ca="1" si="14"/>
        <v>26 ans</v>
      </c>
      <c r="K800" s="2" t="s">
        <v>36</v>
      </c>
      <c r="L800" s="2" t="str">
        <f>"118"</f>
        <v>118</v>
      </c>
      <c r="M800" s="2"/>
      <c r="N800" s="2" t="str">
        <f>"CHEMIN SAINT ROCH"</f>
        <v>CHEMIN SAINT ROCH</v>
      </c>
      <c r="O800" s="2" t="s">
        <v>3185</v>
      </c>
      <c r="P800" s="9" t="str">
        <f>VLOOKUP($O800,'Liste des Villes'!$B$2:$B$1128,1,FALSE)</f>
        <v>Saint-Jérôme</v>
      </c>
      <c r="Q800" s="9" t="str">
        <f>IFERROR($P800,PROPER(VLOOKUP($O800,'Villes en erreur'!$A$2:$B$72,2,FALSE)))</f>
        <v>Saint-Jérôme</v>
      </c>
      <c r="R800" s="9" t="s">
        <v>3186</v>
      </c>
      <c r="S800" s="9" t="str">
        <f>IF(ISBLANK($R800),"",VLOOKUP($R800,'Liste des Villes'!$B$2:$H$1128,4,FALSE))</f>
        <v>Laurentides</v>
      </c>
      <c r="T800" s="2" t="s">
        <v>3532</v>
      </c>
      <c r="U800" s="2" t="s">
        <v>39</v>
      </c>
      <c r="V800" s="2" t="s">
        <v>40</v>
      </c>
      <c r="W800" s="2" t="s">
        <v>4570</v>
      </c>
      <c r="X800" s="2"/>
      <c r="Y800" s="2"/>
      <c r="Z800" s="2"/>
      <c r="AA800" s="2" t="s">
        <v>3199</v>
      </c>
      <c r="AB800" s="2" t="s">
        <v>3200</v>
      </c>
      <c r="AC800" s="4" t="s">
        <v>44</v>
      </c>
    </row>
    <row r="801" spans="1:29" x14ac:dyDescent="0.25">
      <c r="A801" s="1">
        <v>704</v>
      </c>
      <c r="B801" s="17" t="s">
        <v>4571</v>
      </c>
      <c r="C801" s="2" t="s">
        <v>960</v>
      </c>
      <c r="D801" s="15" t="s">
        <v>961</v>
      </c>
      <c r="E801" s="9" t="s">
        <v>219</v>
      </c>
      <c r="F801" s="9" t="s">
        <v>3450</v>
      </c>
      <c r="G801" s="9" t="s">
        <v>495</v>
      </c>
      <c r="H801" s="2" t="s">
        <v>35</v>
      </c>
      <c r="I801" s="3">
        <v>34754</v>
      </c>
      <c r="J801" s="9" t="str">
        <f t="shared" ca="1" si="14"/>
        <v>28 ans</v>
      </c>
      <c r="K801" s="2" t="s">
        <v>36</v>
      </c>
      <c r="L801" s="2" t="str">
        <f>"74"</f>
        <v>74</v>
      </c>
      <c r="M801" s="2"/>
      <c r="N801" s="2" t="str">
        <f>"CH DE VAL-ROYAL"</f>
        <v>CH DE VAL-ROYAL</v>
      </c>
      <c r="O801" s="2" t="s">
        <v>3185</v>
      </c>
      <c r="P801" s="9" t="str">
        <f>VLOOKUP($O801,'Liste des Villes'!$B$2:$B$1128,1,FALSE)</f>
        <v>Saint-Jérôme</v>
      </c>
      <c r="Q801" s="9" t="str">
        <f>IFERROR($P801,PROPER(VLOOKUP($O801,'Villes en erreur'!$A$2:$B$72,2,FALSE)))</f>
        <v>Saint-Jérôme</v>
      </c>
      <c r="R801" s="9" t="s">
        <v>3186</v>
      </c>
      <c r="S801" s="9" t="str">
        <f>IF(ISBLANK($R801),"",VLOOKUP($R801,'Liste des Villes'!$B$2:$H$1128,4,FALSE))</f>
        <v>Laurentides</v>
      </c>
      <c r="T801" s="2" t="s">
        <v>3187</v>
      </c>
      <c r="U801" s="2" t="s">
        <v>39</v>
      </c>
      <c r="V801" s="2" t="s">
        <v>40</v>
      </c>
      <c r="W801" s="2" t="s">
        <v>4572</v>
      </c>
      <c r="X801" s="2"/>
      <c r="Y801" s="2"/>
      <c r="Z801" s="2"/>
      <c r="AA801" s="2" t="s">
        <v>3225</v>
      </c>
      <c r="AB801" s="2" t="s">
        <v>53</v>
      </c>
      <c r="AC801" s="4" t="s">
        <v>44</v>
      </c>
    </row>
    <row r="802" spans="1:29" x14ac:dyDescent="0.25">
      <c r="A802" s="1">
        <v>2450</v>
      </c>
      <c r="B802" s="17" t="s">
        <v>4573</v>
      </c>
      <c r="C802" s="2" t="s">
        <v>4574</v>
      </c>
      <c r="D802" s="15" t="s">
        <v>4575</v>
      </c>
      <c r="E802" s="9" t="s">
        <v>4045</v>
      </c>
      <c r="F802" s="9" t="s">
        <v>2139</v>
      </c>
      <c r="G802" s="9" t="s">
        <v>4576</v>
      </c>
      <c r="H802" s="2" t="s">
        <v>60</v>
      </c>
      <c r="I802" s="3">
        <v>36141</v>
      </c>
      <c r="J802" s="9" t="str">
        <f t="shared" ca="1" si="14"/>
        <v>24 ans</v>
      </c>
      <c r="K802" s="2" t="s">
        <v>123</v>
      </c>
      <c r="L802" s="2" t="str">
        <f>"219"</f>
        <v>219</v>
      </c>
      <c r="M802" s="2"/>
      <c r="N802" s="2" t="str">
        <f>"RUE ALBANI"</f>
        <v>RUE ALBANI</v>
      </c>
      <c r="O802" s="2" t="s">
        <v>3185</v>
      </c>
      <c r="P802" s="9" t="str">
        <f>VLOOKUP($O802,'Liste des Villes'!$B$2:$B$1128,1,FALSE)</f>
        <v>Saint-Jérôme</v>
      </c>
      <c r="Q802" s="9" t="str">
        <f>IFERROR($P802,PROPER(VLOOKUP($O802,'Villes en erreur'!$A$2:$B$72,2,FALSE)))</f>
        <v>Saint-Jérôme</v>
      </c>
      <c r="R802" s="9" t="s">
        <v>3186</v>
      </c>
      <c r="S802" s="9" t="str">
        <f>IF(ISBLANK($R802),"",VLOOKUP($R802,'Liste des Villes'!$B$2:$H$1128,4,FALSE))</f>
        <v>Laurentides</v>
      </c>
      <c r="T802" s="2" t="s">
        <v>3347</v>
      </c>
      <c r="U802" s="2" t="s">
        <v>39</v>
      </c>
      <c r="V802" s="2" t="s">
        <v>40</v>
      </c>
      <c r="W802" s="2" t="s">
        <v>4577</v>
      </c>
      <c r="X802" s="2"/>
      <c r="Y802" s="2"/>
      <c r="Z802" s="2"/>
      <c r="AA802" s="2" t="s">
        <v>832</v>
      </c>
      <c r="AB802" s="2" t="s">
        <v>3221</v>
      </c>
      <c r="AC802" s="4" t="s">
        <v>44</v>
      </c>
    </row>
    <row r="803" spans="1:29" x14ac:dyDescent="0.25">
      <c r="A803" s="1">
        <v>2811</v>
      </c>
      <c r="B803" s="17" t="s">
        <v>4578</v>
      </c>
      <c r="C803" s="2" t="s">
        <v>4579</v>
      </c>
      <c r="D803" s="15" t="s">
        <v>4066</v>
      </c>
      <c r="E803" s="9" t="s">
        <v>1473</v>
      </c>
      <c r="F803" s="9" t="s">
        <v>4580</v>
      </c>
      <c r="G803" s="9" t="s">
        <v>577</v>
      </c>
      <c r="H803" s="2" t="s">
        <v>60</v>
      </c>
      <c r="I803" s="3">
        <v>35914</v>
      </c>
      <c r="J803" s="9" t="str">
        <f t="shared" ca="1" si="14"/>
        <v>25 ans</v>
      </c>
      <c r="K803" s="2" t="s">
        <v>123</v>
      </c>
      <c r="L803" s="2" t="str">
        <f>"160"</f>
        <v>160</v>
      </c>
      <c r="M803" s="2"/>
      <c r="N803" s="2" t="str">
        <f>"MONTÉE DU VERSANT SUD"</f>
        <v>MONTÉE DU VERSANT SUD</v>
      </c>
      <c r="O803" s="2" t="s">
        <v>3185</v>
      </c>
      <c r="P803" s="9" t="str">
        <f>VLOOKUP($O803,'Liste des Villes'!$B$2:$B$1128,1,FALSE)</f>
        <v>Saint-Jérôme</v>
      </c>
      <c r="Q803" s="9" t="str">
        <f>IFERROR($P803,PROPER(VLOOKUP($O803,'Villes en erreur'!$A$2:$B$72,2,FALSE)))</f>
        <v>Saint-Jérôme</v>
      </c>
      <c r="R803" s="9" t="s">
        <v>3186</v>
      </c>
      <c r="S803" s="9" t="str">
        <f>IF(ISBLANK($R803),"",VLOOKUP($R803,'Liste des Villes'!$B$2:$H$1128,4,FALSE))</f>
        <v>Laurentides</v>
      </c>
      <c r="T803" s="2" t="s">
        <v>3590</v>
      </c>
      <c r="U803" s="2" t="s">
        <v>39</v>
      </c>
      <c r="V803" s="2" t="s">
        <v>40</v>
      </c>
      <c r="W803" s="2" t="s">
        <v>4581</v>
      </c>
      <c r="X803" s="2"/>
      <c r="Y803" s="2"/>
      <c r="Z803" s="2"/>
      <c r="AA803" s="2" t="s">
        <v>3243</v>
      </c>
      <c r="AB803" s="2" t="s">
        <v>3221</v>
      </c>
      <c r="AC803" s="4" t="s">
        <v>44</v>
      </c>
    </row>
    <row r="804" spans="1:29" x14ac:dyDescent="0.25">
      <c r="A804" s="1">
        <v>292</v>
      </c>
      <c r="B804" s="17" t="s">
        <v>4582</v>
      </c>
      <c r="C804" s="2" t="s">
        <v>4583</v>
      </c>
      <c r="D804" s="15" t="s">
        <v>462</v>
      </c>
      <c r="E804" s="9" t="s">
        <v>4584</v>
      </c>
      <c r="F804" s="9" t="s">
        <v>460</v>
      </c>
      <c r="G804" s="9" t="s">
        <v>495</v>
      </c>
      <c r="H804" s="2" t="s">
        <v>35</v>
      </c>
      <c r="I804" s="3">
        <v>34732</v>
      </c>
      <c r="J804" s="9" t="str">
        <f t="shared" ca="1" si="14"/>
        <v>28 ans</v>
      </c>
      <c r="K804" s="2" t="s">
        <v>36</v>
      </c>
      <c r="L804" s="2" t="str">
        <f>"73"</f>
        <v>73</v>
      </c>
      <c r="M804" s="2"/>
      <c r="N804" s="2" t="str">
        <f>"CH DE RONCHAMP"</f>
        <v>CH DE RONCHAMP</v>
      </c>
      <c r="O804" s="2" t="s">
        <v>3185</v>
      </c>
      <c r="P804" s="9" t="str">
        <f>VLOOKUP($O804,'Liste des Villes'!$B$2:$B$1128,1,FALSE)</f>
        <v>Saint-Jérôme</v>
      </c>
      <c r="Q804" s="9" t="str">
        <f>IFERROR($P804,PROPER(VLOOKUP($O804,'Villes en erreur'!$A$2:$B$72,2,FALSE)))</f>
        <v>Saint-Jérôme</v>
      </c>
      <c r="R804" s="9" t="s">
        <v>3186</v>
      </c>
      <c r="S804" s="9" t="str">
        <f>IF(ISBLANK($R804),"",VLOOKUP($R804,'Liste des Villes'!$B$2:$H$1128,4,FALSE))</f>
        <v>Laurentides</v>
      </c>
      <c r="T804" s="2" t="s">
        <v>3187</v>
      </c>
      <c r="U804" s="2" t="s">
        <v>39</v>
      </c>
      <c r="V804" s="2" t="s">
        <v>40</v>
      </c>
      <c r="W804" s="2" t="s">
        <v>4585</v>
      </c>
      <c r="X804" s="2"/>
      <c r="Y804" s="2"/>
      <c r="Z804" s="2"/>
      <c r="AA804" s="2" t="s">
        <v>3225</v>
      </c>
      <c r="AB804" s="2" t="s">
        <v>53</v>
      </c>
      <c r="AC804" s="4" t="s">
        <v>44</v>
      </c>
    </row>
    <row r="805" spans="1:29" x14ac:dyDescent="0.25">
      <c r="A805" s="1">
        <v>779</v>
      </c>
      <c r="B805" s="17" t="s">
        <v>4586</v>
      </c>
      <c r="C805" s="2" t="s">
        <v>4587</v>
      </c>
      <c r="D805" s="15" t="s">
        <v>957</v>
      </c>
      <c r="E805" s="9" t="s">
        <v>4588</v>
      </c>
      <c r="F805" s="9" t="s">
        <v>955</v>
      </c>
      <c r="G805" s="9" t="s">
        <v>4589</v>
      </c>
      <c r="H805" s="2" t="s">
        <v>60</v>
      </c>
      <c r="I805" s="3">
        <v>35740</v>
      </c>
      <c r="J805" s="9" t="str">
        <f t="shared" ca="1" si="14"/>
        <v>25 ans</v>
      </c>
      <c r="K805" s="2" t="s">
        <v>123</v>
      </c>
      <c r="L805" s="2" t="str">
        <f>"138"</f>
        <v>138</v>
      </c>
      <c r="M805" s="2"/>
      <c r="N805" s="2" t="str">
        <f>"DU CURÉ-LABELLE BLVD"</f>
        <v>DU CURÉ-LABELLE BLVD</v>
      </c>
      <c r="O805" s="2" t="s">
        <v>3185</v>
      </c>
      <c r="P805" s="9" t="str">
        <f>VLOOKUP($O805,'Liste des Villes'!$B$2:$B$1128,1,FALSE)</f>
        <v>Saint-Jérôme</v>
      </c>
      <c r="Q805" s="9" t="str">
        <f>IFERROR($P805,PROPER(VLOOKUP($O805,'Villes en erreur'!$A$2:$B$72,2,FALSE)))</f>
        <v>Saint-Jérôme</v>
      </c>
      <c r="R805" s="9" t="s">
        <v>3186</v>
      </c>
      <c r="S805" s="9" t="str">
        <f>IF(ISBLANK($R805),"",VLOOKUP($R805,'Liste des Villes'!$B$2:$H$1128,4,FALSE))</f>
        <v>Laurentides</v>
      </c>
      <c r="T805" s="2" t="s">
        <v>4590</v>
      </c>
      <c r="U805" s="2" t="s">
        <v>39</v>
      </c>
      <c r="V805" s="2" t="s">
        <v>40</v>
      </c>
      <c r="W805" s="2" t="s">
        <v>4591</v>
      </c>
      <c r="X805" s="2"/>
      <c r="Y805" s="2"/>
      <c r="Z805" s="2"/>
      <c r="AA805" s="2" t="s">
        <v>3243</v>
      </c>
      <c r="AB805" s="2" t="s">
        <v>3221</v>
      </c>
      <c r="AC805" s="4" t="s">
        <v>44</v>
      </c>
    </row>
    <row r="806" spans="1:29" x14ac:dyDescent="0.25">
      <c r="A806" s="1">
        <v>594</v>
      </c>
      <c r="B806" s="17" t="s">
        <v>4592</v>
      </c>
      <c r="C806" s="2" t="s">
        <v>4593</v>
      </c>
      <c r="D806" s="15" t="s">
        <v>788</v>
      </c>
      <c r="E806" s="9" t="s">
        <v>4594</v>
      </c>
      <c r="F806" s="9" t="s">
        <v>750</v>
      </c>
      <c r="G806" s="9" t="s">
        <v>3618</v>
      </c>
      <c r="H806" s="2" t="s">
        <v>60</v>
      </c>
      <c r="I806" s="3">
        <v>36196</v>
      </c>
      <c r="J806" s="9" t="str">
        <f t="shared" ca="1" si="14"/>
        <v>24 ans</v>
      </c>
      <c r="K806" s="2" t="s">
        <v>123</v>
      </c>
      <c r="L806" s="2" t="str">
        <f>"240"</f>
        <v>240</v>
      </c>
      <c r="M806" s="2"/>
      <c r="N806" s="2" t="str">
        <f>"RUE ARMAND"</f>
        <v>RUE ARMAND</v>
      </c>
      <c r="O806" s="2" t="s">
        <v>3185</v>
      </c>
      <c r="P806" s="9" t="str">
        <f>VLOOKUP($O806,'Liste des Villes'!$B$2:$B$1128,1,FALSE)</f>
        <v>Saint-Jérôme</v>
      </c>
      <c r="Q806" s="9" t="str">
        <f>IFERROR($P806,PROPER(VLOOKUP($O806,'Villes en erreur'!$A$2:$B$72,2,FALSE)))</f>
        <v>Saint-Jérôme</v>
      </c>
      <c r="R806" s="9" t="s">
        <v>3186</v>
      </c>
      <c r="S806" s="9" t="str">
        <f>IF(ISBLANK($R806),"",VLOOKUP($R806,'Liste des Villes'!$B$2:$H$1128,4,FALSE))</f>
        <v>Laurentides</v>
      </c>
      <c r="T806" s="2" t="s">
        <v>4595</v>
      </c>
      <c r="U806" s="2" t="s">
        <v>39</v>
      </c>
      <c r="V806" s="2" t="s">
        <v>40</v>
      </c>
      <c r="W806" s="2" t="s">
        <v>4596</v>
      </c>
      <c r="X806" s="2"/>
      <c r="Y806" s="2"/>
      <c r="Z806" s="2"/>
      <c r="AA806" s="2" t="s">
        <v>832</v>
      </c>
      <c r="AB806" s="2" t="s">
        <v>3288</v>
      </c>
      <c r="AC806" s="4" t="s">
        <v>44</v>
      </c>
    </row>
    <row r="807" spans="1:29" x14ac:dyDescent="0.25">
      <c r="A807" s="1">
        <v>2721</v>
      </c>
      <c r="B807" s="17" t="s">
        <v>4597</v>
      </c>
      <c r="C807" s="2" t="s">
        <v>4598</v>
      </c>
      <c r="D807" s="15" t="s">
        <v>1845</v>
      </c>
      <c r="E807" s="9" t="s">
        <v>4599</v>
      </c>
      <c r="F807" s="9" t="s">
        <v>1843</v>
      </c>
      <c r="G807" s="9" t="s">
        <v>1037</v>
      </c>
      <c r="H807" s="2" t="s">
        <v>35</v>
      </c>
      <c r="I807" s="3">
        <v>36051</v>
      </c>
      <c r="J807" s="9" t="str">
        <f t="shared" ca="1" si="14"/>
        <v>24 ans</v>
      </c>
      <c r="K807" s="2" t="s">
        <v>123</v>
      </c>
      <c r="L807" s="2" t="str">
        <f>"189"</f>
        <v>189</v>
      </c>
      <c r="M807" s="2"/>
      <c r="N807" s="2" t="str">
        <f>"PRINCIPALE"</f>
        <v>PRINCIPALE</v>
      </c>
      <c r="O807" s="2" t="s">
        <v>3185</v>
      </c>
      <c r="P807" s="9" t="str">
        <f>VLOOKUP($O807,'Liste des Villes'!$B$2:$B$1128,1,FALSE)</f>
        <v>Saint-Jérôme</v>
      </c>
      <c r="Q807" s="9" t="str">
        <f>IFERROR($P807,PROPER(VLOOKUP($O807,'Villes en erreur'!$A$2:$B$72,2,FALSE)))</f>
        <v>Saint-Jérôme</v>
      </c>
      <c r="R807" s="9" t="s">
        <v>3186</v>
      </c>
      <c r="S807" s="9" t="str">
        <f>IF(ISBLANK($R807),"",VLOOKUP($R807,'Liste des Villes'!$B$2:$H$1128,4,FALSE))</f>
        <v>Laurentides</v>
      </c>
      <c r="T807" s="2" t="s">
        <v>4600</v>
      </c>
      <c r="U807" s="2" t="s">
        <v>39</v>
      </c>
      <c r="V807" s="2" t="s">
        <v>40</v>
      </c>
      <c r="W807" s="2" t="s">
        <v>4601</v>
      </c>
      <c r="X807" s="2"/>
      <c r="Y807" s="2"/>
      <c r="Z807" s="2"/>
      <c r="AA807" s="2" t="s">
        <v>832</v>
      </c>
      <c r="AB807" s="2" t="s">
        <v>3221</v>
      </c>
      <c r="AC807" s="4" t="s">
        <v>44</v>
      </c>
    </row>
    <row r="808" spans="1:29" x14ac:dyDescent="0.25">
      <c r="A808" s="1">
        <v>3238</v>
      </c>
      <c r="B808" s="17" t="s">
        <v>4602</v>
      </c>
      <c r="C808" s="2" t="s">
        <v>4603</v>
      </c>
      <c r="D808" s="15" t="s">
        <v>776</v>
      </c>
      <c r="E808" s="9" t="s">
        <v>2160</v>
      </c>
      <c r="F808" s="9" t="s">
        <v>774</v>
      </c>
      <c r="G808" s="9" t="s">
        <v>4604</v>
      </c>
      <c r="H808" s="2" t="s">
        <v>35</v>
      </c>
      <c r="I808" s="3">
        <v>35508</v>
      </c>
      <c r="J808" s="9" t="str">
        <f t="shared" ca="1" si="14"/>
        <v>26 ans</v>
      </c>
      <c r="K808" s="2" t="s">
        <v>36</v>
      </c>
      <c r="L808" s="2" t="str">
        <f>"120"</f>
        <v>120</v>
      </c>
      <c r="M808" s="2"/>
      <c r="N808" s="2" t="str">
        <f>"CHEMIN VALIQUETTE"</f>
        <v>CHEMIN VALIQUETTE</v>
      </c>
      <c r="O808" s="2" t="s">
        <v>3185</v>
      </c>
      <c r="P808" s="9" t="str">
        <f>VLOOKUP($O808,'Liste des Villes'!$B$2:$B$1128,1,FALSE)</f>
        <v>Saint-Jérôme</v>
      </c>
      <c r="Q808" s="9" t="str">
        <f>IFERROR($P808,PROPER(VLOOKUP($O808,'Villes en erreur'!$A$2:$B$72,2,FALSE)))</f>
        <v>Saint-Jérôme</v>
      </c>
      <c r="R808" s="9" t="s">
        <v>3186</v>
      </c>
      <c r="S808" s="9" t="str">
        <f>IF(ISBLANK($R808),"",VLOOKUP($R808,'Liste des Villes'!$B$2:$H$1128,4,FALSE))</f>
        <v>Laurentides</v>
      </c>
      <c r="T808" s="2" t="s">
        <v>3532</v>
      </c>
      <c r="U808" s="2" t="s">
        <v>39</v>
      </c>
      <c r="V808" s="2" t="s">
        <v>40</v>
      </c>
      <c r="W808" s="2" t="s">
        <v>4605</v>
      </c>
      <c r="X808" s="2"/>
      <c r="Y808" s="2"/>
      <c r="Z808" s="2"/>
      <c r="AA808" s="2" t="s">
        <v>3199</v>
      </c>
      <c r="AB808" s="2" t="s">
        <v>3200</v>
      </c>
      <c r="AC808" s="4" t="s">
        <v>44</v>
      </c>
    </row>
    <row r="809" spans="1:29" x14ac:dyDescent="0.25">
      <c r="A809" s="1">
        <v>3993</v>
      </c>
      <c r="B809" s="17" t="s">
        <v>4606</v>
      </c>
      <c r="C809" s="2" t="s">
        <v>4607</v>
      </c>
      <c r="D809" s="15" t="s">
        <v>4608</v>
      </c>
      <c r="E809" s="9" t="s">
        <v>4609</v>
      </c>
      <c r="F809" s="9" t="s">
        <v>4610</v>
      </c>
      <c r="G809" s="9" t="s">
        <v>3274</v>
      </c>
      <c r="H809" s="2" t="s">
        <v>35</v>
      </c>
      <c r="I809" s="3">
        <v>35160</v>
      </c>
      <c r="J809" s="9" t="str">
        <f t="shared" ca="1" si="14"/>
        <v>27 ans</v>
      </c>
      <c r="K809" s="2" t="s">
        <v>36</v>
      </c>
      <c r="L809" s="2" t="str">
        <f>"104"</f>
        <v>104</v>
      </c>
      <c r="M809" s="2"/>
      <c r="N809" s="2" t="str">
        <f>"CH SAINT-GERMAIN"</f>
        <v>CH SAINT-GERMAIN</v>
      </c>
      <c r="O809" s="2" t="s">
        <v>3185</v>
      </c>
      <c r="P809" s="9" t="str">
        <f>VLOOKUP($O809,'Liste des Villes'!$B$2:$B$1128,1,FALSE)</f>
        <v>Saint-Jérôme</v>
      </c>
      <c r="Q809" s="9" t="str">
        <f>IFERROR($P809,PROPER(VLOOKUP($O809,'Villes en erreur'!$A$2:$B$72,2,FALSE)))</f>
        <v>Saint-Jérôme</v>
      </c>
      <c r="R809" s="9" t="s">
        <v>3186</v>
      </c>
      <c r="S809" s="9" t="str">
        <f>IF(ISBLANK($R809),"",VLOOKUP($R809,'Liste des Villes'!$B$2:$H$1128,4,FALSE))</f>
        <v>Laurentides</v>
      </c>
      <c r="T809" s="2" t="s">
        <v>3187</v>
      </c>
      <c r="U809" s="2" t="s">
        <v>39</v>
      </c>
      <c r="V809" s="2" t="s">
        <v>40</v>
      </c>
      <c r="W809" s="2" t="s">
        <v>4611</v>
      </c>
      <c r="X809" s="2"/>
      <c r="Y809" s="2"/>
      <c r="Z809" s="2"/>
      <c r="AA809" s="2" t="s">
        <v>3189</v>
      </c>
      <c r="AB809" s="2" t="s">
        <v>3190</v>
      </c>
      <c r="AC809" s="4" t="s">
        <v>44</v>
      </c>
    </row>
    <row r="810" spans="1:29" x14ac:dyDescent="0.25">
      <c r="A810" s="1">
        <v>222</v>
      </c>
      <c r="B810" s="17" t="s">
        <v>4612</v>
      </c>
      <c r="C810" s="2" t="s">
        <v>4613</v>
      </c>
      <c r="D810" s="15" t="s">
        <v>4172</v>
      </c>
      <c r="E810" s="9" t="s">
        <v>4614</v>
      </c>
      <c r="F810" s="9" t="s">
        <v>1398</v>
      </c>
      <c r="G810" s="9" t="s">
        <v>600</v>
      </c>
      <c r="H810" s="2" t="s">
        <v>60</v>
      </c>
      <c r="I810" s="3">
        <v>35996</v>
      </c>
      <c r="J810" s="9" t="str">
        <f t="shared" ca="1" si="14"/>
        <v>25 ans</v>
      </c>
      <c r="K810" s="2" t="s">
        <v>123</v>
      </c>
      <c r="L810" s="2" t="str">
        <f>"175"</f>
        <v>175</v>
      </c>
      <c r="M810" s="2"/>
      <c r="N810" s="2" t="str">
        <f>"PLACE DE L'ÉTOURNEAU"</f>
        <v>PLACE DE L'ÉTOURNEAU</v>
      </c>
      <c r="O810" s="2" t="s">
        <v>3185</v>
      </c>
      <c r="P810" s="9" t="str">
        <f>VLOOKUP($O810,'Liste des Villes'!$B$2:$B$1128,1,FALSE)</f>
        <v>Saint-Jérôme</v>
      </c>
      <c r="Q810" s="9" t="str">
        <f>IFERROR($P810,PROPER(VLOOKUP($O810,'Villes en erreur'!$A$2:$B$72,2,FALSE)))</f>
        <v>Saint-Jérôme</v>
      </c>
      <c r="R810" s="9" t="s">
        <v>3186</v>
      </c>
      <c r="S810" s="9" t="str">
        <f>IF(ISBLANK($R810),"",VLOOKUP($R810,'Liste des Villes'!$B$2:$H$1128,4,FALSE))</f>
        <v>Laurentides</v>
      </c>
      <c r="T810" s="2" t="s">
        <v>4615</v>
      </c>
      <c r="U810" s="2" t="s">
        <v>39</v>
      </c>
      <c r="V810" s="2" t="s">
        <v>40</v>
      </c>
      <c r="W810" s="2" t="s">
        <v>4616</v>
      </c>
      <c r="X810" s="2"/>
      <c r="Y810" s="2"/>
      <c r="Z810" s="2"/>
      <c r="AA810" s="2" t="s">
        <v>832</v>
      </c>
      <c r="AB810" s="2" t="s">
        <v>3221</v>
      </c>
      <c r="AC810" s="4" t="s">
        <v>44</v>
      </c>
    </row>
    <row r="811" spans="1:29" x14ac:dyDescent="0.25">
      <c r="A811" s="1">
        <v>1331</v>
      </c>
      <c r="B811" s="17" t="s">
        <v>4617</v>
      </c>
      <c r="C811" s="2" t="s">
        <v>4618</v>
      </c>
      <c r="D811" s="15" t="s">
        <v>4619</v>
      </c>
      <c r="E811" s="9" t="s">
        <v>1330</v>
      </c>
      <c r="F811" s="9" t="s">
        <v>4620</v>
      </c>
      <c r="G811" s="9" t="s">
        <v>1024</v>
      </c>
      <c r="H811" s="2" t="s">
        <v>35</v>
      </c>
      <c r="I811" s="3">
        <v>36188</v>
      </c>
      <c r="J811" s="9" t="str">
        <f t="shared" ca="1" si="14"/>
        <v>24 ans</v>
      </c>
      <c r="K811" s="2" t="s">
        <v>123</v>
      </c>
      <c r="L811" s="2" t="str">
        <f>"236"</f>
        <v>236</v>
      </c>
      <c r="M811" s="2"/>
      <c r="N811" s="2" t="str">
        <f>"RUE ANNE HÉBERT"</f>
        <v>RUE ANNE HÉBERT</v>
      </c>
      <c r="O811" s="2" t="s">
        <v>3185</v>
      </c>
      <c r="P811" s="9" t="str">
        <f>VLOOKUP($O811,'Liste des Villes'!$B$2:$B$1128,1,FALSE)</f>
        <v>Saint-Jérôme</v>
      </c>
      <c r="Q811" s="9" t="str">
        <f>IFERROR($P811,PROPER(VLOOKUP($O811,'Villes en erreur'!$A$2:$B$72,2,FALSE)))</f>
        <v>Saint-Jérôme</v>
      </c>
      <c r="R811" s="9" t="s">
        <v>3186</v>
      </c>
      <c r="S811" s="9" t="str">
        <f>IF(ISBLANK($R811),"",VLOOKUP($R811,'Liste des Villes'!$B$2:$H$1128,4,FALSE))</f>
        <v>Laurentides</v>
      </c>
      <c r="T811" s="2" t="s">
        <v>4621</v>
      </c>
      <c r="U811" s="2" t="s">
        <v>39</v>
      </c>
      <c r="V811" s="2" t="s">
        <v>40</v>
      </c>
      <c r="W811" s="2" t="s">
        <v>4622</v>
      </c>
      <c r="X811" s="2"/>
      <c r="Y811" s="2"/>
      <c r="Z811" s="2"/>
      <c r="AA811" s="2" t="s">
        <v>832</v>
      </c>
      <c r="AB811" s="2" t="s">
        <v>3288</v>
      </c>
      <c r="AC811" s="4" t="s">
        <v>44</v>
      </c>
    </row>
    <row r="812" spans="1:29" x14ac:dyDescent="0.25">
      <c r="A812" s="1">
        <v>4592</v>
      </c>
      <c r="B812" s="17" t="s">
        <v>4623</v>
      </c>
      <c r="C812" s="2" t="s">
        <v>4624</v>
      </c>
      <c r="D812" s="15" t="s">
        <v>1070</v>
      </c>
      <c r="E812" s="9" t="s">
        <v>1236</v>
      </c>
      <c r="F812" s="9" t="s">
        <v>2698</v>
      </c>
      <c r="G812" s="9" t="s">
        <v>1062</v>
      </c>
      <c r="H812" s="2" t="s">
        <v>35</v>
      </c>
      <c r="I812" s="3">
        <v>35649</v>
      </c>
      <c r="J812" s="9" t="str">
        <f t="shared" ca="1" si="14"/>
        <v>26 ans</v>
      </c>
      <c r="K812" s="2" t="s">
        <v>36</v>
      </c>
      <c r="L812" s="2" t="str">
        <f>"131"</f>
        <v>131</v>
      </c>
      <c r="M812" s="2"/>
      <c r="N812" s="2" t="str">
        <f>"DE SAINT-CANUT BLVD"</f>
        <v>DE SAINT-CANUT BLVD</v>
      </c>
      <c r="O812" s="2" t="s">
        <v>3185</v>
      </c>
      <c r="P812" s="9" t="str">
        <f>VLOOKUP($O812,'Liste des Villes'!$B$2:$B$1128,1,FALSE)</f>
        <v>Saint-Jérôme</v>
      </c>
      <c r="Q812" s="9" t="str">
        <f>IFERROR($P812,PROPER(VLOOKUP($O812,'Villes en erreur'!$A$2:$B$72,2,FALSE)))</f>
        <v>Saint-Jérôme</v>
      </c>
      <c r="R812" s="9" t="s">
        <v>3186</v>
      </c>
      <c r="S812" s="9" t="str">
        <f>IF(ISBLANK($R812),"",VLOOKUP($R812,'Liste des Villes'!$B$2:$H$1128,4,FALSE))</f>
        <v>Laurentides</v>
      </c>
      <c r="T812" s="2" t="s">
        <v>3761</v>
      </c>
      <c r="U812" s="2" t="s">
        <v>39</v>
      </c>
      <c r="V812" s="2" t="s">
        <v>40</v>
      </c>
      <c r="W812" s="2" t="s">
        <v>4625</v>
      </c>
      <c r="X812" s="2"/>
      <c r="Y812" s="2"/>
      <c r="Z812" s="2"/>
      <c r="AA812" s="2" t="s">
        <v>3243</v>
      </c>
      <c r="AB812" s="2" t="s">
        <v>3221</v>
      </c>
      <c r="AC812" s="4" t="s">
        <v>44</v>
      </c>
    </row>
    <row r="813" spans="1:29" x14ac:dyDescent="0.25">
      <c r="A813" s="1">
        <v>3401</v>
      </c>
      <c r="B813" s="17" t="s">
        <v>4626</v>
      </c>
      <c r="C813" s="2" t="s">
        <v>4627</v>
      </c>
      <c r="D813" s="15" t="s">
        <v>4628</v>
      </c>
      <c r="E813" s="9" t="s">
        <v>3404</v>
      </c>
      <c r="F813" s="9" t="s">
        <v>1701</v>
      </c>
      <c r="G813" s="9" t="s">
        <v>996</v>
      </c>
      <c r="H813" s="2" t="s">
        <v>60</v>
      </c>
      <c r="I813" s="3">
        <v>35031</v>
      </c>
      <c r="J813" s="9" t="str">
        <f t="shared" ca="1" si="14"/>
        <v>27 ans</v>
      </c>
      <c r="K813" s="2" t="s">
        <v>36</v>
      </c>
      <c r="L813" s="2" t="str">
        <f>"95"</f>
        <v>95</v>
      </c>
      <c r="M813" s="2"/>
      <c r="N813" s="2" t="str">
        <f>"CH DU LAC-VERT"</f>
        <v>CH DU LAC-VERT</v>
      </c>
      <c r="O813" s="2" t="s">
        <v>3185</v>
      </c>
      <c r="P813" s="9" t="str">
        <f>VLOOKUP($O813,'Liste des Villes'!$B$2:$B$1128,1,FALSE)</f>
        <v>Saint-Jérôme</v>
      </c>
      <c r="Q813" s="9" t="str">
        <f>IFERROR($P813,PROPER(VLOOKUP($O813,'Villes en erreur'!$A$2:$B$72,2,FALSE)))</f>
        <v>Saint-Jérôme</v>
      </c>
      <c r="R813" s="9" t="s">
        <v>3186</v>
      </c>
      <c r="S813" s="9" t="str">
        <f>IF(ISBLANK($R813),"",VLOOKUP($R813,'Liste des Villes'!$B$2:$H$1128,4,FALSE))</f>
        <v>Laurentides</v>
      </c>
      <c r="T813" s="2" t="s">
        <v>3187</v>
      </c>
      <c r="U813" s="2" t="s">
        <v>39</v>
      </c>
      <c r="V813" s="2" t="s">
        <v>40</v>
      </c>
      <c r="W813" s="2" t="s">
        <v>4629</v>
      </c>
      <c r="X813" s="2"/>
      <c r="Y813" s="2"/>
      <c r="Z813" s="2"/>
      <c r="AA813" s="2" t="s">
        <v>3189</v>
      </c>
      <c r="AB813" s="2" t="s">
        <v>53</v>
      </c>
      <c r="AC813" s="4" t="s">
        <v>44</v>
      </c>
    </row>
    <row r="814" spans="1:29" x14ac:dyDescent="0.25">
      <c r="A814" s="1">
        <v>1613</v>
      </c>
      <c r="B814" s="17" t="s">
        <v>4630</v>
      </c>
      <c r="C814" s="2" t="s">
        <v>4631</v>
      </c>
      <c r="D814" s="15" t="s">
        <v>4632</v>
      </c>
      <c r="E814" s="9" t="s">
        <v>4633</v>
      </c>
      <c r="F814" s="9" t="s">
        <v>4634</v>
      </c>
      <c r="G814" s="9" t="s">
        <v>495</v>
      </c>
      <c r="H814" s="2" t="s">
        <v>35</v>
      </c>
      <c r="I814" s="3">
        <v>34521</v>
      </c>
      <c r="J814" s="9" t="str">
        <f t="shared" ca="1" si="14"/>
        <v>29 ans</v>
      </c>
      <c r="K814" s="2" t="s">
        <v>36</v>
      </c>
      <c r="L814" s="2" t="str">
        <f>"63"</f>
        <v>63</v>
      </c>
      <c r="M814" s="2"/>
      <c r="N814" s="2" t="str">
        <f>"CH DE DEAUVILLE"</f>
        <v>CH DE DEAUVILLE</v>
      </c>
      <c r="O814" s="2" t="s">
        <v>3185</v>
      </c>
      <c r="P814" s="9" t="str">
        <f>VLOOKUP($O814,'Liste des Villes'!$B$2:$B$1128,1,FALSE)</f>
        <v>Saint-Jérôme</v>
      </c>
      <c r="Q814" s="9" t="str">
        <f>IFERROR($P814,PROPER(VLOOKUP($O814,'Villes en erreur'!$A$2:$B$72,2,FALSE)))</f>
        <v>Saint-Jérôme</v>
      </c>
      <c r="R814" s="9" t="s">
        <v>3186</v>
      </c>
      <c r="S814" s="9" t="str">
        <f>IF(ISBLANK($R814),"",VLOOKUP($R814,'Liste des Villes'!$B$2:$H$1128,4,FALSE))</f>
        <v>Laurentides</v>
      </c>
      <c r="T814" s="2" t="s">
        <v>3391</v>
      </c>
      <c r="U814" s="2" t="s">
        <v>39</v>
      </c>
      <c r="V814" s="2" t="s">
        <v>40</v>
      </c>
      <c r="W814" s="2" t="s">
        <v>4635</v>
      </c>
      <c r="X814" s="2"/>
      <c r="Y814" s="2"/>
      <c r="Z814" s="2"/>
      <c r="AA814" s="2" t="s">
        <v>3225</v>
      </c>
      <c r="AB814" s="2" t="s">
        <v>53</v>
      </c>
      <c r="AC814" s="4" t="s">
        <v>44</v>
      </c>
    </row>
    <row r="815" spans="1:29" x14ac:dyDescent="0.25">
      <c r="A815" s="1">
        <v>1166</v>
      </c>
      <c r="B815" s="17" t="s">
        <v>4636</v>
      </c>
      <c r="C815" s="2" t="s">
        <v>4637</v>
      </c>
      <c r="D815" s="15" t="s">
        <v>2780</v>
      </c>
      <c r="E815" s="9" t="s">
        <v>172</v>
      </c>
      <c r="F815" s="9" t="s">
        <v>4638</v>
      </c>
      <c r="G815" s="9" t="s">
        <v>3218</v>
      </c>
      <c r="H815" s="2" t="s">
        <v>60</v>
      </c>
      <c r="I815" s="3">
        <v>34343</v>
      </c>
      <c r="J815" s="9" t="str">
        <f t="shared" ca="1" si="14"/>
        <v>29 ans</v>
      </c>
      <c r="K815" s="2" t="s">
        <v>36</v>
      </c>
      <c r="L815" s="2" t="str">
        <f>"53"</f>
        <v>53</v>
      </c>
      <c r="M815" s="2"/>
      <c r="N815" s="2" t="str">
        <f>"BOULEVARD RENÉ-LÉVESQUE"</f>
        <v>BOULEVARD RENÉ-LÉVESQUE</v>
      </c>
      <c r="O815" s="2" t="s">
        <v>3185</v>
      </c>
      <c r="P815" s="9" t="str">
        <f>VLOOKUP($O815,'Liste des Villes'!$B$2:$B$1128,1,FALSE)</f>
        <v>Saint-Jérôme</v>
      </c>
      <c r="Q815" s="9" t="str">
        <f>IFERROR($P815,PROPER(VLOOKUP($O815,'Villes en erreur'!$A$2:$B$72,2,FALSE)))</f>
        <v>Saint-Jérôme</v>
      </c>
      <c r="R815" s="9" t="s">
        <v>3186</v>
      </c>
      <c r="S815" s="9" t="str">
        <f>IF(ISBLANK($R815),"",VLOOKUP($R815,'Liste des Villes'!$B$2:$H$1128,4,FALSE))</f>
        <v>Laurentides</v>
      </c>
      <c r="T815" s="2" t="s">
        <v>3291</v>
      </c>
      <c r="U815" s="2" t="s">
        <v>39</v>
      </c>
      <c r="V815" s="2" t="s">
        <v>40</v>
      </c>
      <c r="W815" s="2" t="s">
        <v>4639</v>
      </c>
      <c r="X815" s="2"/>
      <c r="Y815" s="2"/>
      <c r="Z815" s="2"/>
      <c r="AA815" s="2" t="s">
        <v>3360</v>
      </c>
      <c r="AB815" s="2" t="s">
        <v>53</v>
      </c>
      <c r="AC815" s="4" t="s">
        <v>44</v>
      </c>
    </row>
    <row r="816" spans="1:29" x14ac:dyDescent="0.25">
      <c r="A816" s="1">
        <v>3133</v>
      </c>
      <c r="B816" s="17" t="s">
        <v>4640</v>
      </c>
      <c r="C816" s="2" t="s">
        <v>4641</v>
      </c>
      <c r="D816" s="15" t="s">
        <v>4642</v>
      </c>
      <c r="E816" s="9" t="s">
        <v>4390</v>
      </c>
      <c r="F816" s="9" t="s">
        <v>4643</v>
      </c>
      <c r="G816" s="9" t="s">
        <v>3265</v>
      </c>
      <c r="H816" s="2" t="s">
        <v>60</v>
      </c>
      <c r="I816" s="3">
        <v>35923</v>
      </c>
      <c r="J816" s="9" t="str">
        <f t="shared" ca="1" si="14"/>
        <v>25 ans</v>
      </c>
      <c r="K816" s="2" t="s">
        <v>123</v>
      </c>
      <c r="L816" s="2" t="str">
        <f>"161"</f>
        <v>161</v>
      </c>
      <c r="M816" s="2"/>
      <c r="N816" s="2" t="str">
        <f>"MONTÉE GAGNON"</f>
        <v>MONTÉE GAGNON</v>
      </c>
      <c r="O816" s="2" t="s">
        <v>3185</v>
      </c>
      <c r="P816" s="9" t="str">
        <f>VLOOKUP($O816,'Liste des Villes'!$B$2:$B$1128,1,FALSE)</f>
        <v>Saint-Jérôme</v>
      </c>
      <c r="Q816" s="9" t="str">
        <f>IFERROR($P816,PROPER(VLOOKUP($O816,'Villes en erreur'!$A$2:$B$72,2,FALSE)))</f>
        <v>Saint-Jérôme</v>
      </c>
      <c r="R816" s="9" t="s">
        <v>3186</v>
      </c>
      <c r="S816" s="9" t="str">
        <f>IF(ISBLANK($R816),"",VLOOKUP($R816,'Liste des Villes'!$B$2:$H$1128,4,FALSE))</f>
        <v>Laurentides</v>
      </c>
      <c r="T816" s="2" t="s">
        <v>4644</v>
      </c>
      <c r="U816" s="2" t="s">
        <v>39</v>
      </c>
      <c r="V816" s="2" t="s">
        <v>40</v>
      </c>
      <c r="W816" s="2" t="s">
        <v>4645</v>
      </c>
      <c r="X816" s="2"/>
      <c r="Y816" s="2"/>
      <c r="Z816" s="2"/>
      <c r="AA816" s="2" t="s">
        <v>3243</v>
      </c>
      <c r="AB816" s="2" t="s">
        <v>3221</v>
      </c>
      <c r="AC816" s="4" t="s">
        <v>44</v>
      </c>
    </row>
    <row r="817" spans="1:29" x14ac:dyDescent="0.25">
      <c r="A817" s="1">
        <v>4203</v>
      </c>
      <c r="B817" s="17" t="s">
        <v>4646</v>
      </c>
      <c r="C817" s="2" t="s">
        <v>4647</v>
      </c>
      <c r="D817" s="15" t="s">
        <v>4648</v>
      </c>
      <c r="E817" s="9" t="s">
        <v>4649</v>
      </c>
      <c r="F817" s="9" t="s">
        <v>4650</v>
      </c>
      <c r="G817" s="9" t="s">
        <v>332</v>
      </c>
      <c r="H817" s="2" t="s">
        <v>60</v>
      </c>
      <c r="I817" s="3">
        <v>35538</v>
      </c>
      <c r="J817" s="9" t="str">
        <f t="shared" ca="1" si="14"/>
        <v>26 ans</v>
      </c>
      <c r="K817" s="2" t="s">
        <v>36</v>
      </c>
      <c r="L817" s="2" t="str">
        <f>"121"</f>
        <v>121</v>
      </c>
      <c r="M817" s="2"/>
      <c r="N817" s="2" t="str">
        <f>"COTE SAINT-PATRICK"</f>
        <v>COTE SAINT-PATRICK</v>
      </c>
      <c r="O817" s="2" t="s">
        <v>3185</v>
      </c>
      <c r="P817" s="9" t="str">
        <f>VLOOKUP($O817,'Liste des Villes'!$B$2:$B$1128,1,FALSE)</f>
        <v>Saint-Jérôme</v>
      </c>
      <c r="Q817" s="9" t="str">
        <f>IFERROR($P817,PROPER(VLOOKUP($O817,'Villes en erreur'!$A$2:$B$72,2,FALSE)))</f>
        <v>Saint-Jérôme</v>
      </c>
      <c r="R817" s="9" t="s">
        <v>3186</v>
      </c>
      <c r="S817" s="9" t="str">
        <f>IF(ISBLANK($R817),"",VLOOKUP($R817,'Liste des Villes'!$B$2:$H$1128,4,FALSE))</f>
        <v>Laurentides</v>
      </c>
      <c r="T817" s="2" t="s">
        <v>3532</v>
      </c>
      <c r="U817" s="2" t="s">
        <v>39</v>
      </c>
      <c r="V817" s="2" t="s">
        <v>40</v>
      </c>
      <c r="W817" s="2" t="s">
        <v>4651</v>
      </c>
      <c r="X817" s="2"/>
      <c r="Y817" s="2"/>
      <c r="Z817" s="2"/>
      <c r="AA817" s="2" t="s">
        <v>3199</v>
      </c>
      <c r="AB817" s="2" t="s">
        <v>3221</v>
      </c>
      <c r="AC817" s="4" t="s">
        <v>44</v>
      </c>
    </row>
    <row r="818" spans="1:29" x14ac:dyDescent="0.25">
      <c r="A818" s="1">
        <v>512</v>
      </c>
      <c r="B818" s="17" t="s">
        <v>4652</v>
      </c>
      <c r="C818" s="2" t="s">
        <v>4230</v>
      </c>
      <c r="D818" s="15" t="s">
        <v>957</v>
      </c>
      <c r="E818" s="9" t="s">
        <v>4231</v>
      </c>
      <c r="F818" s="9" t="s">
        <v>4653</v>
      </c>
      <c r="G818" s="9" t="s">
        <v>1884</v>
      </c>
      <c r="H818" s="2" t="s">
        <v>60</v>
      </c>
      <c r="I818" s="3">
        <v>35888</v>
      </c>
      <c r="J818" s="9" t="str">
        <f t="shared" ca="1" si="14"/>
        <v>25 ans</v>
      </c>
      <c r="K818" s="2" t="s">
        <v>123</v>
      </c>
      <c r="L818" s="2" t="str">
        <f>"155"</f>
        <v>155</v>
      </c>
      <c r="M818" s="2"/>
      <c r="N818" s="2" t="str">
        <f>"MONTÉE COCHRANE"</f>
        <v>MONTÉE COCHRANE</v>
      </c>
      <c r="O818" s="2" t="s">
        <v>3185</v>
      </c>
      <c r="P818" s="9" t="str">
        <f>VLOOKUP($O818,'Liste des Villes'!$B$2:$B$1128,1,FALSE)</f>
        <v>Saint-Jérôme</v>
      </c>
      <c r="Q818" s="9" t="str">
        <f>IFERROR($P818,PROPER(VLOOKUP($O818,'Villes en erreur'!$A$2:$B$72,2,FALSE)))</f>
        <v>Saint-Jérôme</v>
      </c>
      <c r="R818" s="9" t="s">
        <v>3186</v>
      </c>
      <c r="S818" s="9" t="str">
        <f>IF(ISBLANK($R818),"",VLOOKUP($R818,'Liste des Villes'!$B$2:$H$1128,4,FALSE))</f>
        <v>Laurentides</v>
      </c>
      <c r="T818" s="2" t="s">
        <v>4654</v>
      </c>
      <c r="U818" s="2" t="s">
        <v>39</v>
      </c>
      <c r="V818" s="2" t="s">
        <v>40</v>
      </c>
      <c r="W818" s="2" t="s">
        <v>4655</v>
      </c>
      <c r="X818" s="2"/>
      <c r="Y818" s="2"/>
      <c r="Z818" s="2"/>
      <c r="AA818" s="2" t="s">
        <v>3243</v>
      </c>
      <c r="AB818" s="2" t="s">
        <v>3221</v>
      </c>
      <c r="AC818" s="4" t="s">
        <v>44</v>
      </c>
    </row>
    <row r="819" spans="1:29" x14ac:dyDescent="0.25">
      <c r="A819" s="1">
        <v>3091</v>
      </c>
      <c r="B819" s="17" t="s">
        <v>4656</v>
      </c>
      <c r="C819" s="2" t="s">
        <v>1408</v>
      </c>
      <c r="D819" s="15" t="s">
        <v>1409</v>
      </c>
      <c r="E819" s="9" t="s">
        <v>1410</v>
      </c>
      <c r="F819" s="9" t="s">
        <v>1523</v>
      </c>
      <c r="G819" s="9" t="s">
        <v>3218</v>
      </c>
      <c r="H819" s="2" t="s">
        <v>60</v>
      </c>
      <c r="I819" s="3">
        <v>34318</v>
      </c>
      <c r="J819" s="9" t="str">
        <f t="shared" ca="1" si="14"/>
        <v>29 ans</v>
      </c>
      <c r="K819" s="2" t="s">
        <v>36</v>
      </c>
      <c r="L819" s="2" t="str">
        <f>"52"</f>
        <v>52</v>
      </c>
      <c r="M819" s="2"/>
      <c r="N819" s="2" t="str">
        <f>"BOULEVARD LAJEUNESSE EST"</f>
        <v>BOULEVARD LAJEUNESSE EST</v>
      </c>
      <c r="O819" s="2" t="s">
        <v>3185</v>
      </c>
      <c r="P819" s="9" t="str">
        <f>VLOOKUP($O819,'Liste des Villes'!$B$2:$B$1128,1,FALSE)</f>
        <v>Saint-Jérôme</v>
      </c>
      <c r="Q819" s="9" t="str">
        <f>IFERROR($P819,PROPER(VLOOKUP($O819,'Villes en erreur'!$A$2:$B$72,2,FALSE)))</f>
        <v>Saint-Jérôme</v>
      </c>
      <c r="R819" s="9" t="s">
        <v>3186</v>
      </c>
      <c r="S819" s="9" t="str">
        <f>IF(ISBLANK($R819),"",VLOOKUP($R819,'Liste des Villes'!$B$2:$H$1128,4,FALSE))</f>
        <v>Laurentides</v>
      </c>
      <c r="T819" s="2" t="s">
        <v>3520</v>
      </c>
      <c r="U819" s="2" t="s">
        <v>39</v>
      </c>
      <c r="V819" s="2" t="s">
        <v>40</v>
      </c>
      <c r="W819" s="2" t="s">
        <v>4657</v>
      </c>
      <c r="X819" s="2"/>
      <c r="Y819" s="2"/>
      <c r="Z819" s="2"/>
      <c r="AA819" s="2" t="s">
        <v>3360</v>
      </c>
      <c r="AB819" s="2" t="s">
        <v>53</v>
      </c>
      <c r="AC819" s="4" t="s">
        <v>44</v>
      </c>
    </row>
    <row r="820" spans="1:29" x14ac:dyDescent="0.25">
      <c r="A820" s="1">
        <v>3986</v>
      </c>
      <c r="B820" s="17" t="s">
        <v>4658</v>
      </c>
      <c r="C820" s="2" t="s">
        <v>4659</v>
      </c>
      <c r="D820" s="15" t="s">
        <v>4660</v>
      </c>
      <c r="E820" s="9" t="s">
        <v>348</v>
      </c>
      <c r="F820" s="9" t="s">
        <v>4661</v>
      </c>
      <c r="G820" s="9" t="s">
        <v>1037</v>
      </c>
      <c r="H820" s="2" t="s">
        <v>35</v>
      </c>
      <c r="I820" s="3">
        <v>36065</v>
      </c>
      <c r="J820" s="9" t="str">
        <f t="shared" ca="1" si="14"/>
        <v>24 ans</v>
      </c>
      <c r="K820" s="2" t="s">
        <v>123</v>
      </c>
      <c r="L820" s="2" t="str">
        <f>"194"</f>
        <v>194</v>
      </c>
      <c r="M820" s="2"/>
      <c r="N820" s="2" t="str">
        <f>"RANG DU BAS DE L'ASSOMPTION SUD"</f>
        <v>RANG DU BAS DE L'ASSOMPTION SUD</v>
      </c>
      <c r="O820" s="2" t="s">
        <v>3185</v>
      </c>
      <c r="P820" s="9" t="str">
        <f>VLOOKUP($O820,'Liste des Villes'!$B$2:$B$1128,1,FALSE)</f>
        <v>Saint-Jérôme</v>
      </c>
      <c r="Q820" s="9" t="str">
        <f>IFERROR($P820,PROPER(VLOOKUP($O820,'Villes en erreur'!$A$2:$B$72,2,FALSE)))</f>
        <v>Saint-Jérôme</v>
      </c>
      <c r="R820" s="9" t="s">
        <v>3186</v>
      </c>
      <c r="S820" s="9" t="str">
        <f>IF(ISBLANK($R820),"",VLOOKUP($R820,'Liste des Villes'!$B$2:$H$1128,4,FALSE))</f>
        <v>Laurentides</v>
      </c>
      <c r="T820" s="2" t="s">
        <v>4662</v>
      </c>
      <c r="U820" s="2" t="s">
        <v>39</v>
      </c>
      <c r="V820" s="2" t="s">
        <v>40</v>
      </c>
      <c r="W820" s="2" t="s">
        <v>4663</v>
      </c>
      <c r="X820" s="2"/>
      <c r="Y820" s="2"/>
      <c r="Z820" s="2"/>
      <c r="AA820" s="2" t="s">
        <v>832</v>
      </c>
      <c r="AB820" s="2" t="s">
        <v>3221</v>
      </c>
      <c r="AC820" s="4" t="s">
        <v>44</v>
      </c>
    </row>
    <row r="821" spans="1:29" x14ac:dyDescent="0.25">
      <c r="A821" s="1">
        <v>1310</v>
      </c>
      <c r="B821" s="17" t="s">
        <v>4664</v>
      </c>
      <c r="C821" s="2" t="s">
        <v>4665</v>
      </c>
      <c r="D821" s="15" t="s">
        <v>4666</v>
      </c>
      <c r="E821" s="9" t="s">
        <v>4667</v>
      </c>
      <c r="F821" s="9" t="s">
        <v>1264</v>
      </c>
      <c r="G821" s="9" t="s">
        <v>4614</v>
      </c>
      <c r="H821" s="2" t="s">
        <v>60</v>
      </c>
      <c r="I821" s="3">
        <v>35186</v>
      </c>
      <c r="J821" s="9" t="str">
        <f t="shared" ca="1" si="14"/>
        <v>27 ans</v>
      </c>
      <c r="K821" s="2" t="s">
        <v>36</v>
      </c>
      <c r="L821" s="2" t="str">
        <f>"104"</f>
        <v>104</v>
      </c>
      <c r="M821" s="2"/>
      <c r="N821" s="2" t="str">
        <f>"CH SIFRENA"</f>
        <v>CH SIFRENA</v>
      </c>
      <c r="O821" s="2" t="s">
        <v>3185</v>
      </c>
      <c r="P821" s="9" t="str">
        <f>VLOOKUP($O821,'Liste des Villes'!$B$2:$B$1128,1,FALSE)</f>
        <v>Saint-Jérôme</v>
      </c>
      <c r="Q821" s="9" t="str">
        <f>IFERROR($P821,PROPER(VLOOKUP($O821,'Villes en erreur'!$A$2:$B$72,2,FALSE)))</f>
        <v>Saint-Jérôme</v>
      </c>
      <c r="R821" s="9" t="s">
        <v>3186</v>
      </c>
      <c r="S821" s="9" t="str">
        <f>IF(ISBLANK($R821),"",VLOOKUP($R821,'Liste des Villes'!$B$2:$H$1128,4,FALSE))</f>
        <v>Laurentides</v>
      </c>
      <c r="T821" s="2" t="s">
        <v>3187</v>
      </c>
      <c r="U821" s="2" t="s">
        <v>39</v>
      </c>
      <c r="V821" s="2" t="s">
        <v>40</v>
      </c>
      <c r="W821" s="2" t="s">
        <v>4668</v>
      </c>
      <c r="X821" s="2"/>
      <c r="Y821" s="2"/>
      <c r="Z821" s="2"/>
      <c r="AA821" s="2" t="s">
        <v>3189</v>
      </c>
      <c r="AB821" s="2" t="s">
        <v>3190</v>
      </c>
      <c r="AC821" s="4" t="s">
        <v>44</v>
      </c>
    </row>
    <row r="822" spans="1:29" x14ac:dyDescent="0.25">
      <c r="A822" s="1">
        <v>823</v>
      </c>
      <c r="B822" s="17" t="s">
        <v>4669</v>
      </c>
      <c r="C822" s="2" t="s">
        <v>2320</v>
      </c>
      <c r="D822" s="15" t="s">
        <v>2321</v>
      </c>
      <c r="E822" s="9" t="s">
        <v>348</v>
      </c>
      <c r="F822" s="9" t="s">
        <v>2322</v>
      </c>
      <c r="G822" s="9" t="s">
        <v>4670</v>
      </c>
      <c r="H822" s="2" t="s">
        <v>35</v>
      </c>
      <c r="I822" s="3">
        <v>35744</v>
      </c>
      <c r="J822" s="9" t="str">
        <f t="shared" ca="1" si="14"/>
        <v>25 ans</v>
      </c>
      <c r="K822" s="2" t="s">
        <v>123</v>
      </c>
      <c r="L822" s="2" t="str">
        <f>"139"</f>
        <v>139</v>
      </c>
      <c r="M822" s="2"/>
      <c r="N822" s="2" t="str">
        <f>"DU CURÉ-LABELLE BLVD"</f>
        <v>DU CURÉ-LABELLE BLVD</v>
      </c>
      <c r="O822" s="2" t="s">
        <v>3185</v>
      </c>
      <c r="P822" s="9" t="str">
        <f>VLOOKUP($O822,'Liste des Villes'!$B$2:$B$1128,1,FALSE)</f>
        <v>Saint-Jérôme</v>
      </c>
      <c r="Q822" s="9" t="str">
        <f>IFERROR($P822,PROPER(VLOOKUP($O822,'Villes en erreur'!$A$2:$B$72,2,FALSE)))</f>
        <v>Saint-Jérôme</v>
      </c>
      <c r="R822" s="9" t="s">
        <v>3186</v>
      </c>
      <c r="S822" s="9" t="str">
        <f>IF(ISBLANK($R822),"",VLOOKUP($R822,'Liste des Villes'!$B$2:$H$1128,4,FALSE))</f>
        <v>Laurentides</v>
      </c>
      <c r="T822" s="2" t="s">
        <v>4671</v>
      </c>
      <c r="U822" s="2" t="s">
        <v>39</v>
      </c>
      <c r="V822" s="2" t="s">
        <v>40</v>
      </c>
      <c r="W822" s="2" t="s">
        <v>4672</v>
      </c>
      <c r="X822" s="2"/>
      <c r="Y822" s="2"/>
      <c r="Z822" s="2"/>
      <c r="AA822" s="2" t="s">
        <v>3243</v>
      </c>
      <c r="AB822" s="2" t="s">
        <v>3221</v>
      </c>
      <c r="AC822" s="4" t="s">
        <v>44</v>
      </c>
    </row>
    <row r="823" spans="1:29" x14ac:dyDescent="0.25">
      <c r="A823" s="1">
        <v>3883</v>
      </c>
      <c r="B823" s="17" t="s">
        <v>4673</v>
      </c>
      <c r="C823" s="2" t="s">
        <v>4674</v>
      </c>
      <c r="D823" s="15" t="s">
        <v>488</v>
      </c>
      <c r="E823" s="9" t="s">
        <v>4675</v>
      </c>
      <c r="F823" s="9" t="s">
        <v>486</v>
      </c>
      <c r="G823" s="9" t="s">
        <v>2796</v>
      </c>
      <c r="H823" s="2" t="s">
        <v>35</v>
      </c>
      <c r="I823" s="3">
        <v>35270</v>
      </c>
      <c r="J823" s="9" t="str">
        <f t="shared" ca="1" si="14"/>
        <v>27 ans</v>
      </c>
      <c r="K823" s="2" t="s">
        <v>36</v>
      </c>
      <c r="L823" s="2" t="str">
        <f>"107"</f>
        <v>107</v>
      </c>
      <c r="M823" s="2"/>
      <c r="N823" s="2" t="str">
        <f>"CHEMIN DE LA FERME"</f>
        <v>CHEMIN DE LA FERME</v>
      </c>
      <c r="O823" s="2" t="s">
        <v>3185</v>
      </c>
      <c r="P823" s="9" t="str">
        <f>VLOOKUP($O823,'Liste des Villes'!$B$2:$B$1128,1,FALSE)</f>
        <v>Saint-Jérôme</v>
      </c>
      <c r="Q823" s="9" t="str">
        <f>IFERROR($P823,PROPER(VLOOKUP($O823,'Villes en erreur'!$A$2:$B$72,2,FALSE)))</f>
        <v>Saint-Jérôme</v>
      </c>
      <c r="R823" s="9" t="s">
        <v>3186</v>
      </c>
      <c r="S823" s="9" t="str">
        <f>IF(ISBLANK($R823),"",VLOOKUP($R823,'Liste des Villes'!$B$2:$H$1128,4,FALSE))</f>
        <v>Laurentides</v>
      </c>
      <c r="T823" s="2" t="s">
        <v>3187</v>
      </c>
      <c r="U823" s="2" t="s">
        <v>39</v>
      </c>
      <c r="V823" s="2" t="s">
        <v>40</v>
      </c>
      <c r="W823" s="2" t="s">
        <v>4676</v>
      </c>
      <c r="X823" s="2"/>
      <c r="Y823" s="2"/>
      <c r="Z823" s="2"/>
      <c r="AA823" s="2" t="s">
        <v>3189</v>
      </c>
      <c r="AB823" s="2" t="s">
        <v>3190</v>
      </c>
      <c r="AC823" s="4" t="s">
        <v>44</v>
      </c>
    </row>
    <row r="824" spans="1:29" x14ac:dyDescent="0.25">
      <c r="A824" s="1">
        <v>3402</v>
      </c>
      <c r="B824" s="17" t="s">
        <v>4677</v>
      </c>
      <c r="C824" s="2" t="s">
        <v>4678</v>
      </c>
      <c r="D824" s="15" t="s">
        <v>4679</v>
      </c>
      <c r="E824" s="9" t="s">
        <v>196</v>
      </c>
      <c r="F824" s="9" t="s">
        <v>197</v>
      </c>
      <c r="G824" s="9" t="s">
        <v>4680</v>
      </c>
      <c r="H824" s="2" t="s">
        <v>60</v>
      </c>
      <c r="I824" s="3">
        <v>35009</v>
      </c>
      <c r="J824" s="9" t="str">
        <f t="shared" ca="1" si="14"/>
        <v>27 ans</v>
      </c>
      <c r="K824" s="2" t="s">
        <v>36</v>
      </c>
      <c r="L824" s="2" t="str">
        <f>"93"</f>
        <v>93</v>
      </c>
      <c r="M824" s="2"/>
      <c r="N824" s="2" t="str">
        <f>"CH DU LAC-DES-BECS-SCIE"</f>
        <v>CH DU LAC-DES-BECS-SCIE</v>
      </c>
      <c r="O824" s="2" t="s">
        <v>3185</v>
      </c>
      <c r="P824" s="9" t="str">
        <f>VLOOKUP($O824,'Liste des Villes'!$B$2:$B$1128,1,FALSE)</f>
        <v>Saint-Jérôme</v>
      </c>
      <c r="Q824" s="9" t="str">
        <f>IFERROR($P824,PROPER(VLOOKUP($O824,'Villes en erreur'!$A$2:$B$72,2,FALSE)))</f>
        <v>Saint-Jérôme</v>
      </c>
      <c r="R824" s="9" t="s">
        <v>3186</v>
      </c>
      <c r="S824" s="9" t="str">
        <f>IF(ISBLANK($R824),"",VLOOKUP($R824,'Liste des Villes'!$B$2:$H$1128,4,FALSE))</f>
        <v>Laurentides</v>
      </c>
      <c r="T824" s="2" t="s">
        <v>3187</v>
      </c>
      <c r="U824" s="2" t="s">
        <v>39</v>
      </c>
      <c r="V824" s="2" t="s">
        <v>40</v>
      </c>
      <c r="W824" s="2" t="s">
        <v>4681</v>
      </c>
      <c r="X824" s="2"/>
      <c r="Y824" s="2"/>
      <c r="Z824" s="2"/>
      <c r="AA824" s="2" t="s">
        <v>3189</v>
      </c>
      <c r="AB824" s="2" t="s">
        <v>53</v>
      </c>
      <c r="AC824" s="4" t="s">
        <v>44</v>
      </c>
    </row>
    <row r="825" spans="1:29" x14ac:dyDescent="0.25">
      <c r="A825" s="1">
        <v>4192</v>
      </c>
      <c r="B825" s="17" t="s">
        <v>4682</v>
      </c>
      <c r="C825" s="2" t="s">
        <v>530</v>
      </c>
      <c r="D825" s="15" t="s">
        <v>531</v>
      </c>
      <c r="E825" s="9" t="s">
        <v>532</v>
      </c>
      <c r="F825" s="9" t="s">
        <v>533</v>
      </c>
      <c r="G825" s="9" t="s">
        <v>3844</v>
      </c>
      <c r="H825" s="2" t="s">
        <v>35</v>
      </c>
      <c r="I825" s="3">
        <v>35871</v>
      </c>
      <c r="J825" s="9" t="str">
        <f t="shared" ca="1" si="14"/>
        <v>25 ans</v>
      </c>
      <c r="K825" s="2" t="s">
        <v>123</v>
      </c>
      <c r="L825" s="2" t="str">
        <f>"152"</f>
        <v>152</v>
      </c>
      <c r="M825" s="2"/>
      <c r="N825" s="2" t="str">
        <f>"MAISONNEUVE BLVD"</f>
        <v>MAISONNEUVE BLVD</v>
      </c>
      <c r="O825" s="2" t="s">
        <v>3185</v>
      </c>
      <c r="P825" s="9" t="str">
        <f>VLOOKUP($O825,'Liste des Villes'!$B$2:$B$1128,1,FALSE)</f>
        <v>Saint-Jérôme</v>
      </c>
      <c r="Q825" s="9" t="str">
        <f>IFERROR($P825,PROPER(VLOOKUP($O825,'Villes en erreur'!$A$2:$B$72,2,FALSE)))</f>
        <v>Saint-Jérôme</v>
      </c>
      <c r="R825" s="9" t="s">
        <v>3186</v>
      </c>
      <c r="S825" s="9" t="str">
        <f>IF(ISBLANK($R825),"",VLOOKUP($R825,'Liste des Villes'!$B$2:$H$1128,4,FALSE))</f>
        <v>Laurentides</v>
      </c>
      <c r="T825" s="2" t="s">
        <v>3845</v>
      </c>
      <c r="U825" s="2" t="s">
        <v>39</v>
      </c>
      <c r="V825" s="2" t="s">
        <v>40</v>
      </c>
      <c r="W825" s="2" t="s">
        <v>4683</v>
      </c>
      <c r="X825" s="2"/>
      <c r="Y825" s="2"/>
      <c r="Z825" s="2"/>
      <c r="AA825" s="2" t="s">
        <v>3243</v>
      </c>
      <c r="AB825" s="2" t="s">
        <v>3221</v>
      </c>
      <c r="AC825" s="4" t="s">
        <v>44</v>
      </c>
    </row>
    <row r="826" spans="1:29" x14ac:dyDescent="0.25">
      <c r="A826" s="1">
        <v>2705</v>
      </c>
      <c r="B826" s="17" t="s">
        <v>4684</v>
      </c>
      <c r="C826" s="2" t="s">
        <v>4368</v>
      </c>
      <c r="D826" s="15" t="s">
        <v>4369</v>
      </c>
      <c r="E826" s="9" t="s">
        <v>2049</v>
      </c>
      <c r="F826" s="9" t="s">
        <v>4685</v>
      </c>
      <c r="G826" s="9" t="s">
        <v>4686</v>
      </c>
      <c r="H826" s="2" t="s">
        <v>60</v>
      </c>
      <c r="I826" s="3">
        <v>36090</v>
      </c>
      <c r="J826" s="9" t="str">
        <f t="shared" ca="1" si="14"/>
        <v>24 ans</v>
      </c>
      <c r="K826" s="2" t="s">
        <v>123</v>
      </c>
      <c r="L826" s="2" t="str">
        <f>"205"</f>
        <v>205</v>
      </c>
      <c r="M826" s="2"/>
      <c r="N826" s="2" t="str">
        <f>"RICHELIEU BLVD"</f>
        <v>RICHELIEU BLVD</v>
      </c>
      <c r="O826" s="2" t="s">
        <v>3185</v>
      </c>
      <c r="P826" s="9" t="str">
        <f>VLOOKUP($O826,'Liste des Villes'!$B$2:$B$1128,1,FALSE)</f>
        <v>Saint-Jérôme</v>
      </c>
      <c r="Q826" s="9" t="str">
        <f>IFERROR($P826,PROPER(VLOOKUP($O826,'Villes en erreur'!$A$2:$B$72,2,FALSE)))</f>
        <v>Saint-Jérôme</v>
      </c>
      <c r="R826" s="9" t="s">
        <v>3186</v>
      </c>
      <c r="S826" s="9" t="str">
        <f>IF(ISBLANK($R826),"",VLOOKUP($R826,'Liste des Villes'!$B$2:$H$1128,4,FALSE))</f>
        <v>Laurentides</v>
      </c>
      <c r="T826" s="2" t="s">
        <v>4687</v>
      </c>
      <c r="U826" s="2" t="s">
        <v>39</v>
      </c>
      <c r="V826" s="2" t="s">
        <v>40</v>
      </c>
      <c r="W826" s="2" t="s">
        <v>4688</v>
      </c>
      <c r="X826" s="2"/>
      <c r="Y826" s="2"/>
      <c r="Z826" s="2"/>
      <c r="AA826" s="2" t="s">
        <v>832</v>
      </c>
      <c r="AB826" s="2" t="s">
        <v>3221</v>
      </c>
      <c r="AC826" s="4" t="s">
        <v>44</v>
      </c>
    </row>
    <row r="827" spans="1:29" x14ac:dyDescent="0.25">
      <c r="A827" s="1">
        <v>2585</v>
      </c>
      <c r="B827" s="17" t="s">
        <v>4689</v>
      </c>
      <c r="C827" s="2" t="s">
        <v>4690</v>
      </c>
      <c r="D827" s="15" t="s">
        <v>1076</v>
      </c>
      <c r="E827" s="9" t="s">
        <v>4691</v>
      </c>
      <c r="F827" s="9" t="s">
        <v>839</v>
      </c>
      <c r="G827" s="9" t="s">
        <v>1024</v>
      </c>
      <c r="H827" s="2" t="s">
        <v>35</v>
      </c>
      <c r="I827" s="3">
        <v>36183</v>
      </c>
      <c r="J827" s="9" t="str">
        <f t="shared" ca="1" si="14"/>
        <v>24 ans</v>
      </c>
      <c r="K827" s="2" t="s">
        <v>123</v>
      </c>
      <c r="L827" s="2" t="str">
        <f>"235"</f>
        <v>235</v>
      </c>
      <c r="M827" s="2"/>
      <c r="N827" s="2" t="str">
        <f>"RUE ANGÈLE"</f>
        <v>RUE ANGÈLE</v>
      </c>
      <c r="O827" s="2" t="s">
        <v>3185</v>
      </c>
      <c r="P827" s="9" t="str">
        <f>VLOOKUP($O827,'Liste des Villes'!$B$2:$B$1128,1,FALSE)</f>
        <v>Saint-Jérôme</v>
      </c>
      <c r="Q827" s="9" t="str">
        <f>IFERROR($P827,PROPER(VLOOKUP($O827,'Villes en erreur'!$A$2:$B$72,2,FALSE)))</f>
        <v>Saint-Jérôme</v>
      </c>
      <c r="R827" s="9" t="s">
        <v>3186</v>
      </c>
      <c r="S827" s="9" t="str">
        <f>IF(ISBLANK($R827),"",VLOOKUP($R827,'Liste des Villes'!$B$2:$H$1128,4,FALSE))</f>
        <v>Laurentides</v>
      </c>
      <c r="T827" s="2" t="s">
        <v>3857</v>
      </c>
      <c r="U827" s="2" t="s">
        <v>39</v>
      </c>
      <c r="V827" s="2" t="s">
        <v>40</v>
      </c>
      <c r="W827" s="2" t="s">
        <v>4692</v>
      </c>
      <c r="X827" s="2"/>
      <c r="Y827" s="2"/>
      <c r="Z827" s="2"/>
      <c r="AA827" s="2" t="s">
        <v>832</v>
      </c>
      <c r="AB827" s="2" t="s">
        <v>4693</v>
      </c>
      <c r="AC827" s="4" t="s">
        <v>44</v>
      </c>
    </row>
    <row r="828" spans="1:29" x14ac:dyDescent="0.25">
      <c r="A828" s="1">
        <v>1064</v>
      </c>
      <c r="B828" s="17" t="s">
        <v>4694</v>
      </c>
      <c r="C828" s="2" t="s">
        <v>4695</v>
      </c>
      <c r="D828" s="15" t="s">
        <v>4696</v>
      </c>
      <c r="E828" s="9" t="s">
        <v>4697</v>
      </c>
      <c r="F828" s="9" t="s">
        <v>4698</v>
      </c>
      <c r="G828" s="9" t="s">
        <v>3218</v>
      </c>
      <c r="H828" s="2" t="s">
        <v>60</v>
      </c>
      <c r="I828" s="3">
        <v>34278</v>
      </c>
      <c r="J828" s="9" t="str">
        <f t="shared" ca="1" si="14"/>
        <v>29 ans</v>
      </c>
      <c r="K828" s="2" t="s">
        <v>36</v>
      </c>
      <c r="L828" s="2" t="str">
        <f>"50"</f>
        <v>50</v>
      </c>
      <c r="M828" s="2"/>
      <c r="N828" s="2" t="str">
        <f>"BOULEVARD GIROUARD"</f>
        <v>BOULEVARD GIROUARD</v>
      </c>
      <c r="O828" s="2" t="s">
        <v>3185</v>
      </c>
      <c r="P828" s="9" t="str">
        <f>VLOOKUP($O828,'Liste des Villes'!$B$2:$B$1128,1,FALSE)</f>
        <v>Saint-Jérôme</v>
      </c>
      <c r="Q828" s="9" t="str">
        <f>IFERROR($P828,PROPER(VLOOKUP($O828,'Villes en erreur'!$A$2:$B$72,2,FALSE)))</f>
        <v>Saint-Jérôme</v>
      </c>
      <c r="R828" s="9" t="s">
        <v>3186</v>
      </c>
      <c r="S828" s="9" t="str">
        <f>IF(ISBLANK($R828),"",VLOOKUP($R828,'Liste des Villes'!$B$2:$H$1128,4,FALSE))</f>
        <v>Laurentides</v>
      </c>
      <c r="T828" s="2" t="s">
        <v>3520</v>
      </c>
      <c r="U828" s="2" t="s">
        <v>39</v>
      </c>
      <c r="V828" s="2" t="s">
        <v>40</v>
      </c>
      <c r="W828" s="2" t="s">
        <v>4699</v>
      </c>
      <c r="X828" s="2"/>
      <c r="Y828" s="2"/>
      <c r="Z828" s="2"/>
      <c r="AA828" s="2" t="s">
        <v>3360</v>
      </c>
      <c r="AB828" s="2" t="s">
        <v>53</v>
      </c>
      <c r="AC828" s="4" t="s">
        <v>44</v>
      </c>
    </row>
    <row r="829" spans="1:29" x14ac:dyDescent="0.25">
      <c r="A829" s="1">
        <v>1649</v>
      </c>
      <c r="B829" s="17" t="s">
        <v>4700</v>
      </c>
      <c r="C829" s="2" t="s">
        <v>4701</v>
      </c>
      <c r="D829" s="15" t="s">
        <v>363</v>
      </c>
      <c r="E829" s="9" t="s">
        <v>3695</v>
      </c>
      <c r="F829" s="9" t="s">
        <v>4702</v>
      </c>
      <c r="G829" s="9" t="s">
        <v>635</v>
      </c>
      <c r="H829" s="2" t="s">
        <v>35</v>
      </c>
      <c r="I829" s="3">
        <v>33809</v>
      </c>
      <c r="J829" s="9" t="str">
        <f t="shared" ca="1" si="14"/>
        <v>31 ans</v>
      </c>
      <c r="K829" s="2" t="s">
        <v>36</v>
      </c>
      <c r="L829" s="2" t="str">
        <f>"39"</f>
        <v>39</v>
      </c>
      <c r="M829" s="2"/>
      <c r="N829" s="2" t="str">
        <f>"AVENUE DES MÉSANGES"</f>
        <v>AVENUE DES MÉSANGES</v>
      </c>
      <c r="O829" s="2" t="s">
        <v>3185</v>
      </c>
      <c r="P829" s="9" t="str">
        <f>VLOOKUP($O829,'Liste des Villes'!$B$2:$B$1128,1,FALSE)</f>
        <v>Saint-Jérôme</v>
      </c>
      <c r="Q829" s="9" t="str">
        <f>IFERROR($P829,PROPER(VLOOKUP($O829,'Villes en erreur'!$A$2:$B$72,2,FALSE)))</f>
        <v>Saint-Jérôme</v>
      </c>
      <c r="R829" s="9" t="s">
        <v>3186</v>
      </c>
      <c r="S829" s="9" t="str">
        <f>IF(ISBLANK($R829),"",VLOOKUP($R829,'Liste des Villes'!$B$2:$H$1128,4,FALSE))</f>
        <v>Laurentides</v>
      </c>
      <c r="T829" s="2" t="s">
        <v>3093</v>
      </c>
      <c r="U829" s="2" t="s">
        <v>39</v>
      </c>
      <c r="V829" s="2" t="s">
        <v>40</v>
      </c>
      <c r="W829" s="2" t="s">
        <v>4703</v>
      </c>
      <c r="X829" s="2"/>
      <c r="Y829" s="2"/>
      <c r="Z829" s="2"/>
      <c r="AA829" s="2" t="s">
        <v>3207</v>
      </c>
      <c r="AB829" s="2" t="s">
        <v>53</v>
      </c>
      <c r="AC829" s="4" t="s">
        <v>44</v>
      </c>
    </row>
    <row r="830" spans="1:29" x14ac:dyDescent="0.25">
      <c r="A830" s="1">
        <v>2057</v>
      </c>
      <c r="B830" s="17" t="s">
        <v>4704</v>
      </c>
      <c r="C830" s="2" t="s">
        <v>4705</v>
      </c>
      <c r="D830" s="15" t="s">
        <v>1076</v>
      </c>
      <c r="E830" s="9" t="s">
        <v>4706</v>
      </c>
      <c r="F830" s="9" t="s">
        <v>839</v>
      </c>
      <c r="G830" s="9" t="s">
        <v>3265</v>
      </c>
      <c r="H830" s="2" t="s">
        <v>60</v>
      </c>
      <c r="I830" s="3">
        <v>35927</v>
      </c>
      <c r="J830" s="9" t="str">
        <f t="shared" ca="1" si="14"/>
        <v>25 ans</v>
      </c>
      <c r="K830" s="2" t="s">
        <v>123</v>
      </c>
      <c r="L830" s="2" t="str">
        <f>"163"</f>
        <v>163</v>
      </c>
      <c r="M830" s="2"/>
      <c r="N830" s="2" t="str">
        <f>"MONTEE GIROUARD"</f>
        <v>MONTEE GIROUARD</v>
      </c>
      <c r="O830" s="2" t="s">
        <v>3185</v>
      </c>
      <c r="P830" s="9" t="str">
        <f>VLOOKUP($O830,'Liste des Villes'!$B$2:$B$1128,1,FALSE)</f>
        <v>Saint-Jérôme</v>
      </c>
      <c r="Q830" s="9" t="str">
        <f>IFERROR($P830,PROPER(VLOOKUP($O830,'Villes en erreur'!$A$2:$B$72,2,FALSE)))</f>
        <v>Saint-Jérôme</v>
      </c>
      <c r="R830" s="9" t="s">
        <v>3186</v>
      </c>
      <c r="S830" s="9" t="str">
        <f>IF(ISBLANK($R830),"",VLOOKUP($R830,'Liste des Villes'!$B$2:$H$1128,4,FALSE))</f>
        <v>Laurentides</v>
      </c>
      <c r="T830" s="2" t="s">
        <v>4707</v>
      </c>
      <c r="U830" s="2" t="s">
        <v>39</v>
      </c>
      <c r="V830" s="2" t="s">
        <v>40</v>
      </c>
      <c r="W830" s="2" t="s">
        <v>4708</v>
      </c>
      <c r="X830" s="2"/>
      <c r="Y830" s="2"/>
      <c r="Z830" s="2"/>
      <c r="AA830" s="2" t="s">
        <v>832</v>
      </c>
      <c r="AB830" s="2" t="s">
        <v>3221</v>
      </c>
      <c r="AC830" s="4" t="s">
        <v>44</v>
      </c>
    </row>
    <row r="831" spans="1:29" x14ac:dyDescent="0.25">
      <c r="A831" s="1">
        <v>4596</v>
      </c>
      <c r="B831" s="17" t="s">
        <v>4709</v>
      </c>
      <c r="C831" s="2" t="s">
        <v>4710</v>
      </c>
      <c r="D831" s="15" t="s">
        <v>4711</v>
      </c>
      <c r="E831" s="9" t="s">
        <v>2822</v>
      </c>
      <c r="F831" s="9" t="s">
        <v>4712</v>
      </c>
      <c r="G831" s="9" t="s">
        <v>4513</v>
      </c>
      <c r="H831" s="2" t="s">
        <v>60</v>
      </c>
      <c r="I831" s="3">
        <v>36215</v>
      </c>
      <c r="J831" s="9" t="str">
        <f t="shared" ca="1" si="14"/>
        <v>24 ans</v>
      </c>
      <c r="K831" s="2" t="s">
        <v>123</v>
      </c>
      <c r="L831" s="2" t="str">
        <f>"251"</f>
        <v>251</v>
      </c>
      <c r="M831" s="2"/>
      <c r="N831" s="2" t="str">
        <f>"RUE BASTIEN"</f>
        <v>RUE BASTIEN</v>
      </c>
      <c r="O831" s="2" t="s">
        <v>3185</v>
      </c>
      <c r="P831" s="9" t="str">
        <f>VLOOKUP($O831,'Liste des Villes'!$B$2:$B$1128,1,FALSE)</f>
        <v>Saint-Jérôme</v>
      </c>
      <c r="Q831" s="9" t="str">
        <f>IFERROR($P831,PROPER(VLOOKUP($O831,'Villes en erreur'!$A$2:$B$72,2,FALSE)))</f>
        <v>Saint-Jérôme</v>
      </c>
      <c r="R831" s="9" t="s">
        <v>3186</v>
      </c>
      <c r="S831" s="9" t="str">
        <f>IF(ISBLANK($R831),"",VLOOKUP($R831,'Liste des Villes'!$B$2:$H$1128,4,FALSE))</f>
        <v>Laurentides</v>
      </c>
      <c r="T831" s="2" t="s">
        <v>4401</v>
      </c>
      <c r="U831" s="2" t="s">
        <v>39</v>
      </c>
      <c r="V831" s="2" t="s">
        <v>40</v>
      </c>
      <c r="W831" s="2" t="s">
        <v>4713</v>
      </c>
      <c r="X831" s="2"/>
      <c r="Y831" s="2"/>
      <c r="Z831" s="2"/>
      <c r="AA831" s="2" t="s">
        <v>832</v>
      </c>
      <c r="AB831" s="2" t="s">
        <v>3288</v>
      </c>
      <c r="AC831" s="4" t="s">
        <v>44</v>
      </c>
    </row>
    <row r="832" spans="1:29" x14ac:dyDescent="0.25">
      <c r="A832" s="1">
        <v>855</v>
      </c>
      <c r="B832" s="17" t="s">
        <v>4714</v>
      </c>
      <c r="C832" s="2" t="s">
        <v>4715</v>
      </c>
      <c r="D832" s="15" t="s">
        <v>76</v>
      </c>
      <c r="E832" s="9" t="s">
        <v>4716</v>
      </c>
      <c r="F832" s="9" t="s">
        <v>4717</v>
      </c>
      <c r="G832" s="9" t="s">
        <v>1560</v>
      </c>
      <c r="H832" s="2" t="s">
        <v>35</v>
      </c>
      <c r="I832" s="3">
        <v>35618</v>
      </c>
      <c r="J832" s="9" t="str">
        <f t="shared" ca="1" si="14"/>
        <v>26 ans</v>
      </c>
      <c r="K832" s="2" t="s">
        <v>36</v>
      </c>
      <c r="L832" s="2" t="str">
        <f>"129"</f>
        <v>129</v>
      </c>
      <c r="M832" s="2"/>
      <c r="N832" s="2" t="str">
        <f>"DE LA SALETTE BLVD"</f>
        <v>DE LA SALETTE BLVD</v>
      </c>
      <c r="O832" s="2" t="s">
        <v>3185</v>
      </c>
      <c r="P832" s="9" t="str">
        <f>VLOOKUP($O832,'Liste des Villes'!$B$2:$B$1128,1,FALSE)</f>
        <v>Saint-Jérôme</v>
      </c>
      <c r="Q832" s="9" t="str">
        <f>IFERROR($P832,PROPER(VLOOKUP($O832,'Villes en erreur'!$A$2:$B$72,2,FALSE)))</f>
        <v>Saint-Jérôme</v>
      </c>
      <c r="R832" s="9" t="s">
        <v>3186</v>
      </c>
      <c r="S832" s="9" t="str">
        <f>IF(ISBLANK($R832),"",VLOOKUP($R832,'Liste des Villes'!$B$2:$H$1128,4,FALSE))</f>
        <v>Laurentides</v>
      </c>
      <c r="T832" s="2" t="s">
        <v>3446</v>
      </c>
      <c r="U832" s="2" t="s">
        <v>39</v>
      </c>
      <c r="V832" s="2" t="s">
        <v>40</v>
      </c>
      <c r="W832" s="2" t="s">
        <v>4718</v>
      </c>
      <c r="X832" s="2"/>
      <c r="Y832" s="2"/>
      <c r="Z832" s="2"/>
      <c r="AA832" s="2" t="s">
        <v>3243</v>
      </c>
      <c r="AB832" s="2" t="s">
        <v>3221</v>
      </c>
      <c r="AC832" s="4" t="s">
        <v>44</v>
      </c>
    </row>
    <row r="833" spans="1:29" x14ac:dyDescent="0.25">
      <c r="A833" s="1">
        <v>3251</v>
      </c>
      <c r="B833" s="17" t="s">
        <v>4719</v>
      </c>
      <c r="C833" s="2" t="s">
        <v>4720</v>
      </c>
      <c r="D833" s="15" t="s">
        <v>4721</v>
      </c>
      <c r="E833" s="9" t="s">
        <v>260</v>
      </c>
      <c r="F833" s="9" t="s">
        <v>4722</v>
      </c>
      <c r="G833" s="9" t="s">
        <v>2334</v>
      </c>
      <c r="H833" s="2" t="s">
        <v>60</v>
      </c>
      <c r="I833" s="3">
        <v>35954</v>
      </c>
      <c r="J833" s="9" t="str">
        <f t="shared" ca="1" si="14"/>
        <v>25 ans</v>
      </c>
      <c r="K833" s="2" t="s">
        <v>123</v>
      </c>
      <c r="L833" s="2" t="str">
        <f>"169"</f>
        <v>169</v>
      </c>
      <c r="M833" s="2"/>
      <c r="N833" s="2" t="str">
        <f>"MONTÉE SAINTE-THÉRÈSE"</f>
        <v>MONTÉE SAINTE-THÉRÈSE</v>
      </c>
      <c r="O833" s="2" t="s">
        <v>3185</v>
      </c>
      <c r="P833" s="9" t="str">
        <f>VLOOKUP($O833,'Liste des Villes'!$B$2:$B$1128,1,FALSE)</f>
        <v>Saint-Jérôme</v>
      </c>
      <c r="Q833" s="9" t="str">
        <f>IFERROR($P833,PROPER(VLOOKUP($O833,'Villes en erreur'!$A$2:$B$72,2,FALSE)))</f>
        <v>Saint-Jérôme</v>
      </c>
      <c r="R833" s="9" t="s">
        <v>3186</v>
      </c>
      <c r="S833" s="9" t="str">
        <f>IF(ISBLANK($R833),"",VLOOKUP($R833,'Liste des Villes'!$B$2:$H$1128,4,FALSE))</f>
        <v>Laurentides</v>
      </c>
      <c r="T833" s="2" t="s">
        <v>4723</v>
      </c>
      <c r="U833" s="2" t="s">
        <v>39</v>
      </c>
      <c r="V833" s="2" t="s">
        <v>40</v>
      </c>
      <c r="W833" s="2" t="s">
        <v>4724</v>
      </c>
      <c r="X833" s="2"/>
      <c r="Y833" s="2"/>
      <c r="Z833" s="2"/>
      <c r="AA833" s="2" t="s">
        <v>832</v>
      </c>
      <c r="AB833" s="2" t="s">
        <v>3221</v>
      </c>
      <c r="AC833" s="4" t="s">
        <v>44</v>
      </c>
    </row>
    <row r="834" spans="1:29" x14ac:dyDescent="0.25">
      <c r="A834" s="1">
        <v>283</v>
      </c>
      <c r="B834" s="17" t="s">
        <v>4725</v>
      </c>
      <c r="C834" s="2" t="s">
        <v>3771</v>
      </c>
      <c r="D834" s="15" t="s">
        <v>3772</v>
      </c>
      <c r="E834" s="9" t="s">
        <v>1037</v>
      </c>
      <c r="F834" s="9" t="s">
        <v>3773</v>
      </c>
      <c r="G834" s="9" t="s">
        <v>1162</v>
      </c>
      <c r="H834" s="2" t="s">
        <v>35</v>
      </c>
      <c r="I834" s="3">
        <v>35866</v>
      </c>
      <c r="J834" s="9" t="str">
        <f t="shared" ref="J834:J897" ca="1" si="15">_xlfn.CONCAT(INT((TODAY()-$I834)/365.25)," ans")</f>
        <v>25 ans</v>
      </c>
      <c r="K834" s="2" t="s">
        <v>123</v>
      </c>
      <c r="L834" s="2" t="str">
        <f>"151"</f>
        <v>151</v>
      </c>
      <c r="M834" s="2"/>
      <c r="N834" s="2" t="str">
        <f>"MAISONNEUVE BLVD"</f>
        <v>MAISONNEUVE BLVD</v>
      </c>
      <c r="O834" s="2" t="s">
        <v>3185</v>
      </c>
      <c r="P834" s="9" t="str">
        <f>VLOOKUP($O834,'Liste des Villes'!$B$2:$B$1128,1,FALSE)</f>
        <v>Saint-Jérôme</v>
      </c>
      <c r="Q834" s="9" t="str">
        <f>IFERROR($P834,PROPER(VLOOKUP($O834,'Villes en erreur'!$A$2:$B$72,2,FALSE)))</f>
        <v>Saint-Jérôme</v>
      </c>
      <c r="R834" s="9" t="s">
        <v>3186</v>
      </c>
      <c r="S834" s="9" t="str">
        <f>IF(ISBLANK($R834),"",VLOOKUP($R834,'Liste des Villes'!$B$2:$H$1128,4,FALSE))</f>
        <v>Laurentides</v>
      </c>
      <c r="T834" s="2" t="s">
        <v>4454</v>
      </c>
      <c r="U834" s="2" t="s">
        <v>39</v>
      </c>
      <c r="V834" s="2" t="s">
        <v>40</v>
      </c>
      <c r="W834" s="2" t="s">
        <v>4726</v>
      </c>
      <c r="X834" s="2"/>
      <c r="Y834" s="2"/>
      <c r="Z834" s="2"/>
      <c r="AA834" s="2" t="s">
        <v>3243</v>
      </c>
      <c r="AB834" s="2" t="s">
        <v>3221</v>
      </c>
      <c r="AC834" s="4" t="s">
        <v>44</v>
      </c>
    </row>
    <row r="835" spans="1:29" x14ac:dyDescent="0.25">
      <c r="A835" s="1">
        <v>4235</v>
      </c>
      <c r="B835" s="17" t="s">
        <v>4727</v>
      </c>
      <c r="C835" s="2" t="s">
        <v>4728</v>
      </c>
      <c r="D835" s="15" t="s">
        <v>1649</v>
      </c>
      <c r="E835" s="9" t="s">
        <v>4729</v>
      </c>
      <c r="F835" s="9" t="s">
        <v>4730</v>
      </c>
      <c r="G835" s="9" t="s">
        <v>851</v>
      </c>
      <c r="H835" s="2" t="s">
        <v>35</v>
      </c>
      <c r="I835" s="3">
        <v>36150</v>
      </c>
      <c r="J835" s="9" t="str">
        <f t="shared" ca="1" si="15"/>
        <v>24 ans</v>
      </c>
      <c r="K835" s="2" t="s">
        <v>123</v>
      </c>
      <c r="L835" s="2" t="str">
        <f>"221"</f>
        <v>221</v>
      </c>
      <c r="M835" s="2"/>
      <c r="N835" s="2" t="str">
        <f>"RUE ALBERT-RAYMOND"</f>
        <v>RUE ALBERT-RAYMOND</v>
      </c>
      <c r="O835" s="2" t="s">
        <v>3185</v>
      </c>
      <c r="P835" s="9" t="str">
        <f>VLOOKUP($O835,'Liste des Villes'!$B$2:$B$1128,1,FALSE)</f>
        <v>Saint-Jérôme</v>
      </c>
      <c r="Q835" s="9" t="str">
        <f>IFERROR($P835,PROPER(VLOOKUP($O835,'Villes en erreur'!$A$2:$B$72,2,FALSE)))</f>
        <v>Saint-Jérôme</v>
      </c>
      <c r="R835" s="9" t="s">
        <v>3186</v>
      </c>
      <c r="S835" s="9" t="str">
        <f>IF(ISBLANK($R835),"",VLOOKUP($R835,'Liste des Villes'!$B$2:$H$1128,4,FALSE))</f>
        <v>Laurentides</v>
      </c>
      <c r="T835" s="2" t="s">
        <v>4731</v>
      </c>
      <c r="U835" s="2" t="s">
        <v>39</v>
      </c>
      <c r="V835" s="2" t="s">
        <v>40</v>
      </c>
      <c r="W835" s="2" t="s">
        <v>4732</v>
      </c>
      <c r="X835" s="2"/>
      <c r="Y835" s="2"/>
      <c r="Z835" s="2"/>
      <c r="AA835" s="2" t="s">
        <v>832</v>
      </c>
      <c r="AB835" s="2" t="s">
        <v>3221</v>
      </c>
      <c r="AC835" s="4" t="s">
        <v>44</v>
      </c>
    </row>
    <row r="836" spans="1:29" x14ac:dyDescent="0.25">
      <c r="A836" s="1">
        <v>402</v>
      </c>
      <c r="B836" s="17" t="s">
        <v>4733</v>
      </c>
      <c r="C836" s="2" t="s">
        <v>4734</v>
      </c>
      <c r="D836" s="15" t="s">
        <v>4735</v>
      </c>
      <c r="E836" s="9" t="s">
        <v>85</v>
      </c>
      <c r="F836" s="9" t="s">
        <v>4736</v>
      </c>
      <c r="G836" s="9" t="s">
        <v>577</v>
      </c>
      <c r="H836" s="2" t="s">
        <v>60</v>
      </c>
      <c r="I836" s="3">
        <v>35913</v>
      </c>
      <c r="J836" s="9" t="str">
        <f t="shared" ca="1" si="15"/>
        <v>25 ans</v>
      </c>
      <c r="K836" s="2" t="s">
        <v>123</v>
      </c>
      <c r="L836" s="2" t="str">
        <f>"159"</f>
        <v>159</v>
      </c>
      <c r="M836" s="2"/>
      <c r="N836" s="2" t="str">
        <f>"MONTÉE DU TERROIR"</f>
        <v>MONTÉE DU TERROIR</v>
      </c>
      <c r="O836" s="2" t="s">
        <v>3185</v>
      </c>
      <c r="P836" s="9" t="str">
        <f>VLOOKUP($O836,'Liste des Villes'!$B$2:$B$1128,1,FALSE)</f>
        <v>Saint-Jérôme</v>
      </c>
      <c r="Q836" s="9" t="str">
        <f>IFERROR($P836,PROPER(VLOOKUP($O836,'Villes en erreur'!$A$2:$B$72,2,FALSE)))</f>
        <v>Saint-Jérôme</v>
      </c>
      <c r="R836" s="9" t="s">
        <v>3186</v>
      </c>
      <c r="S836" s="9" t="str">
        <f>IF(ISBLANK($R836),"",VLOOKUP($R836,'Liste des Villes'!$B$2:$H$1128,4,FALSE))</f>
        <v>Laurentides</v>
      </c>
      <c r="T836" s="2" t="s">
        <v>3590</v>
      </c>
      <c r="U836" s="2" t="s">
        <v>39</v>
      </c>
      <c r="V836" s="2" t="s">
        <v>40</v>
      </c>
      <c r="W836" s="2" t="s">
        <v>4737</v>
      </c>
      <c r="X836" s="2"/>
      <c r="Y836" s="2"/>
      <c r="Z836" s="2"/>
      <c r="AA836" s="2" t="s">
        <v>3243</v>
      </c>
      <c r="AB836" s="2" t="s">
        <v>3221</v>
      </c>
      <c r="AC836" s="4" t="s">
        <v>44</v>
      </c>
    </row>
    <row r="837" spans="1:29" x14ac:dyDescent="0.25">
      <c r="A837" s="1">
        <v>913</v>
      </c>
      <c r="B837" s="17" t="s">
        <v>4738</v>
      </c>
      <c r="C837" s="2" t="s">
        <v>2663</v>
      </c>
      <c r="D837" s="15" t="s">
        <v>527</v>
      </c>
      <c r="E837" s="9" t="s">
        <v>2664</v>
      </c>
      <c r="F837" s="9" t="s">
        <v>4739</v>
      </c>
      <c r="G837" s="9" t="s">
        <v>4740</v>
      </c>
      <c r="H837" s="2" t="s">
        <v>60</v>
      </c>
      <c r="I837" s="3">
        <v>35881</v>
      </c>
      <c r="J837" s="9" t="str">
        <f t="shared" ca="1" si="15"/>
        <v>25 ans</v>
      </c>
      <c r="K837" s="2" t="s">
        <v>123</v>
      </c>
      <c r="L837" s="2" t="str">
        <f>"154"</f>
        <v>154</v>
      </c>
      <c r="M837" s="2"/>
      <c r="N837" s="2" t="str">
        <f>"MONTÉE BEAUVAIS"</f>
        <v>MONTÉE BEAUVAIS</v>
      </c>
      <c r="O837" s="2" t="s">
        <v>3185</v>
      </c>
      <c r="P837" s="9" t="str">
        <f>VLOOKUP($O837,'Liste des Villes'!$B$2:$B$1128,1,FALSE)</f>
        <v>Saint-Jérôme</v>
      </c>
      <c r="Q837" s="9" t="str">
        <f>IFERROR($P837,PROPER(VLOOKUP($O837,'Villes en erreur'!$A$2:$B$72,2,FALSE)))</f>
        <v>Saint-Jérôme</v>
      </c>
      <c r="R837" s="9" t="s">
        <v>3186</v>
      </c>
      <c r="S837" s="9" t="str">
        <f>IF(ISBLANK($R837),"",VLOOKUP($R837,'Liste des Villes'!$B$2:$H$1128,4,FALSE))</f>
        <v>Laurentides</v>
      </c>
      <c r="T837" s="2" t="s">
        <v>4741</v>
      </c>
      <c r="U837" s="2" t="s">
        <v>39</v>
      </c>
      <c r="V837" s="2" t="s">
        <v>40</v>
      </c>
      <c r="W837" s="2" t="s">
        <v>4742</v>
      </c>
      <c r="X837" s="2"/>
      <c r="Y837" s="2"/>
      <c r="Z837" s="2"/>
      <c r="AA837" s="2" t="s">
        <v>3243</v>
      </c>
      <c r="AB837" s="2" t="s">
        <v>3221</v>
      </c>
      <c r="AC837" s="4" t="s">
        <v>44</v>
      </c>
    </row>
    <row r="838" spans="1:29" x14ac:dyDescent="0.25">
      <c r="A838" s="1">
        <v>1019</v>
      </c>
      <c r="B838" s="17" t="s">
        <v>4743</v>
      </c>
      <c r="C838" s="2" t="s">
        <v>4744</v>
      </c>
      <c r="D838" s="15" t="s">
        <v>4745</v>
      </c>
      <c r="E838" s="9" t="s">
        <v>929</v>
      </c>
      <c r="F838" s="9" t="s">
        <v>677</v>
      </c>
      <c r="G838" s="9" t="s">
        <v>664</v>
      </c>
      <c r="H838" s="2" t="s">
        <v>60</v>
      </c>
      <c r="I838" s="3">
        <v>36010</v>
      </c>
      <c r="J838" s="9" t="str">
        <f t="shared" ca="1" si="15"/>
        <v>25 ans</v>
      </c>
      <c r="K838" s="2" t="s">
        <v>123</v>
      </c>
      <c r="L838" s="2" t="str">
        <f>"180"</f>
        <v>180</v>
      </c>
      <c r="M838" s="2"/>
      <c r="N838" s="2" t="str">
        <f>"PLACE DU CARDINAL"</f>
        <v>PLACE DU CARDINAL</v>
      </c>
      <c r="O838" s="2" t="s">
        <v>3185</v>
      </c>
      <c r="P838" s="9" t="str">
        <f>VLOOKUP($O838,'Liste des Villes'!$B$2:$B$1128,1,FALSE)</f>
        <v>Saint-Jérôme</v>
      </c>
      <c r="Q838" s="9" t="str">
        <f>IFERROR($P838,PROPER(VLOOKUP($O838,'Villes en erreur'!$A$2:$B$72,2,FALSE)))</f>
        <v>Saint-Jérôme</v>
      </c>
      <c r="R838" s="9" t="s">
        <v>3186</v>
      </c>
      <c r="S838" s="9" t="str">
        <f>IF(ISBLANK($R838),"",VLOOKUP($R838,'Liste des Villes'!$B$2:$H$1128,4,FALSE))</f>
        <v>Laurentides</v>
      </c>
      <c r="T838" s="2" t="s">
        <v>4746</v>
      </c>
      <c r="U838" s="2" t="s">
        <v>39</v>
      </c>
      <c r="V838" s="2" t="s">
        <v>40</v>
      </c>
      <c r="W838" s="2" t="s">
        <v>4747</v>
      </c>
      <c r="X838" s="2"/>
      <c r="Y838" s="2"/>
      <c r="Z838" s="2"/>
      <c r="AA838" s="2" t="s">
        <v>832</v>
      </c>
      <c r="AB838" s="2" t="s">
        <v>3221</v>
      </c>
      <c r="AC838" s="4" t="s">
        <v>44</v>
      </c>
    </row>
    <row r="839" spans="1:29" x14ac:dyDescent="0.25">
      <c r="A839" s="1">
        <v>1411</v>
      </c>
      <c r="B839" s="17" t="s">
        <v>4748</v>
      </c>
      <c r="C839" s="2" t="s">
        <v>4749</v>
      </c>
      <c r="D839" s="15" t="s">
        <v>4750</v>
      </c>
      <c r="E839" s="9" t="s">
        <v>101</v>
      </c>
      <c r="F839" s="9" t="s">
        <v>2018</v>
      </c>
      <c r="G839" s="9" t="s">
        <v>461</v>
      </c>
      <c r="H839" s="2" t="s">
        <v>60</v>
      </c>
      <c r="I839" s="3">
        <v>35224</v>
      </c>
      <c r="J839" s="9" t="str">
        <f t="shared" ca="1" si="15"/>
        <v>27 ans</v>
      </c>
      <c r="K839" s="2" t="s">
        <v>36</v>
      </c>
      <c r="L839" s="2" t="str">
        <f>"105"</f>
        <v>105</v>
      </c>
      <c r="M839" s="2"/>
      <c r="N839" s="2" t="str">
        <f>"CHABOILLEZ OUEST"</f>
        <v>CHABOILLEZ OUEST</v>
      </c>
      <c r="O839" s="2" t="s">
        <v>3185</v>
      </c>
      <c r="P839" s="9" t="str">
        <f>VLOOKUP($O839,'Liste des Villes'!$B$2:$B$1128,1,FALSE)</f>
        <v>Saint-Jérôme</v>
      </c>
      <c r="Q839" s="9" t="str">
        <f>IFERROR($P839,PROPER(VLOOKUP($O839,'Villes en erreur'!$A$2:$B$72,2,FALSE)))</f>
        <v>Saint-Jérôme</v>
      </c>
      <c r="R839" s="9" t="s">
        <v>3186</v>
      </c>
      <c r="S839" s="9" t="str">
        <f>IF(ISBLANK($R839),"",VLOOKUP($R839,'Liste des Villes'!$B$2:$H$1128,4,FALSE))</f>
        <v>Laurentides</v>
      </c>
      <c r="T839" s="2" t="s">
        <v>3187</v>
      </c>
      <c r="U839" s="2" t="s">
        <v>39</v>
      </c>
      <c r="V839" s="2" t="s">
        <v>40</v>
      </c>
      <c r="W839" s="2" t="s">
        <v>4751</v>
      </c>
      <c r="X839" s="2"/>
      <c r="Y839" s="2"/>
      <c r="Z839" s="2"/>
      <c r="AA839" s="2" t="s">
        <v>3189</v>
      </c>
      <c r="AB839" s="2" t="s">
        <v>3190</v>
      </c>
      <c r="AC839" s="4" t="s">
        <v>44</v>
      </c>
    </row>
    <row r="840" spans="1:29" x14ac:dyDescent="0.25">
      <c r="A840" s="1">
        <v>1410</v>
      </c>
      <c r="B840" s="17" t="s">
        <v>4752</v>
      </c>
      <c r="C840" s="2" t="s">
        <v>4753</v>
      </c>
      <c r="D840" s="15" t="s">
        <v>4754</v>
      </c>
      <c r="E840" s="9" t="s">
        <v>4755</v>
      </c>
      <c r="F840" s="9" t="s">
        <v>1145</v>
      </c>
      <c r="G840" s="9" t="s">
        <v>179</v>
      </c>
      <c r="H840" s="2" t="s">
        <v>60</v>
      </c>
      <c r="I840" s="3">
        <v>36137</v>
      </c>
      <c r="J840" s="9" t="str">
        <f t="shared" ca="1" si="15"/>
        <v>24 ans</v>
      </c>
      <c r="K840" s="2" t="s">
        <v>123</v>
      </c>
      <c r="L840" s="2" t="str">
        <f>"218"</f>
        <v>218</v>
      </c>
      <c r="M840" s="2"/>
      <c r="N840" s="2" t="str">
        <f>"RUE ALARIE"</f>
        <v>RUE ALARIE</v>
      </c>
      <c r="O840" s="2" t="s">
        <v>3185</v>
      </c>
      <c r="P840" s="9" t="str">
        <f>VLOOKUP($O840,'Liste des Villes'!$B$2:$B$1128,1,FALSE)</f>
        <v>Saint-Jérôme</v>
      </c>
      <c r="Q840" s="9" t="str">
        <f>IFERROR($P840,PROPER(VLOOKUP($O840,'Villes en erreur'!$A$2:$B$72,2,FALSE)))</f>
        <v>Saint-Jérôme</v>
      </c>
      <c r="R840" s="9" t="s">
        <v>3186</v>
      </c>
      <c r="S840" s="9" t="str">
        <f>IF(ISBLANK($R840),"",VLOOKUP($R840,'Liste des Villes'!$B$2:$H$1128,4,FALSE))</f>
        <v>Laurentides</v>
      </c>
      <c r="T840" s="2" t="s">
        <v>3347</v>
      </c>
      <c r="U840" s="2" t="s">
        <v>39</v>
      </c>
      <c r="V840" s="2" t="s">
        <v>40</v>
      </c>
      <c r="W840" s="2" t="s">
        <v>4756</v>
      </c>
      <c r="X840" s="2"/>
      <c r="Y840" s="2"/>
      <c r="Z840" s="2"/>
      <c r="AA840" s="2" t="s">
        <v>832</v>
      </c>
      <c r="AB840" s="2" t="s">
        <v>3221</v>
      </c>
      <c r="AC840" s="4" t="s">
        <v>44</v>
      </c>
    </row>
    <row r="841" spans="1:29" x14ac:dyDescent="0.25">
      <c r="A841" s="1">
        <v>959</v>
      </c>
      <c r="B841" s="17" t="s">
        <v>4757</v>
      </c>
      <c r="C841" s="2" t="s">
        <v>4758</v>
      </c>
      <c r="D841" s="15" t="s">
        <v>4759</v>
      </c>
      <c r="E841" s="9" t="s">
        <v>4760</v>
      </c>
      <c r="F841" s="9" t="s">
        <v>4761</v>
      </c>
      <c r="G841" s="9" t="s">
        <v>1246</v>
      </c>
      <c r="H841" s="2" t="s">
        <v>35</v>
      </c>
      <c r="I841" s="3">
        <v>34093</v>
      </c>
      <c r="J841" s="9" t="str">
        <f t="shared" ca="1" si="15"/>
        <v>30 ans</v>
      </c>
      <c r="K841" s="2" t="s">
        <v>36</v>
      </c>
      <c r="L841" s="2" t="str">
        <f>"46"</f>
        <v>46</v>
      </c>
      <c r="M841" s="2"/>
      <c r="N841" s="2" t="str">
        <f>"BOULEVARD ARTHUR-SAUVÉ"</f>
        <v>BOULEVARD ARTHUR-SAUVÉ</v>
      </c>
      <c r="O841" s="2" t="s">
        <v>3185</v>
      </c>
      <c r="P841" s="9" t="str">
        <f>VLOOKUP($O841,'Liste des Villes'!$B$2:$B$1128,1,FALSE)</f>
        <v>Saint-Jérôme</v>
      </c>
      <c r="Q841" s="9" t="str">
        <f>IFERROR($P841,PROPER(VLOOKUP($O841,'Villes en erreur'!$A$2:$B$72,2,FALSE)))</f>
        <v>Saint-Jérôme</v>
      </c>
      <c r="R841" s="9" t="s">
        <v>3186</v>
      </c>
      <c r="S841" s="9" t="str">
        <f>IF(ISBLANK($R841),"",VLOOKUP($R841,'Liste des Villes'!$B$2:$H$1128,4,FALSE))</f>
        <v>Laurentides</v>
      </c>
      <c r="T841" s="2" t="s">
        <v>3358</v>
      </c>
      <c r="U841" s="2" t="s">
        <v>39</v>
      </c>
      <c r="V841" s="2" t="s">
        <v>40</v>
      </c>
      <c r="W841" s="2" t="s">
        <v>4762</v>
      </c>
      <c r="X841" s="2"/>
      <c r="Y841" s="2"/>
      <c r="Z841" s="2"/>
      <c r="AA841" s="2" t="s">
        <v>3360</v>
      </c>
      <c r="AB841" s="2" t="s">
        <v>53</v>
      </c>
      <c r="AC841" s="4" t="s">
        <v>44</v>
      </c>
    </row>
    <row r="842" spans="1:29" x14ac:dyDescent="0.25">
      <c r="A842" s="1">
        <v>4080</v>
      </c>
      <c r="B842" s="17" t="s">
        <v>4763</v>
      </c>
      <c r="C842" s="2" t="s">
        <v>954</v>
      </c>
      <c r="D842" s="15" t="s">
        <v>955</v>
      </c>
      <c r="E842" s="9" t="s">
        <v>956</v>
      </c>
      <c r="F842" s="9" t="s">
        <v>957</v>
      </c>
      <c r="G842" s="9" t="s">
        <v>4764</v>
      </c>
      <c r="H842" s="2" t="s">
        <v>35</v>
      </c>
      <c r="I842" s="3">
        <v>35068</v>
      </c>
      <c r="J842" s="9" t="str">
        <f t="shared" ca="1" si="15"/>
        <v>27 ans</v>
      </c>
      <c r="K842" s="2" t="s">
        <v>36</v>
      </c>
      <c r="L842" s="2" t="str">
        <f>"100"</f>
        <v>100</v>
      </c>
      <c r="M842" s="2"/>
      <c r="N842" s="2" t="str">
        <f>"CH DU TRAPPEUR"</f>
        <v>CH DU TRAPPEUR</v>
      </c>
      <c r="O842" s="2" t="s">
        <v>3185</v>
      </c>
      <c r="P842" s="9" t="str">
        <f>VLOOKUP($O842,'Liste des Villes'!$B$2:$B$1128,1,FALSE)</f>
        <v>Saint-Jérôme</v>
      </c>
      <c r="Q842" s="9" t="str">
        <f>IFERROR($P842,PROPER(VLOOKUP($O842,'Villes en erreur'!$A$2:$B$72,2,FALSE)))</f>
        <v>Saint-Jérôme</v>
      </c>
      <c r="R842" s="9" t="s">
        <v>3186</v>
      </c>
      <c r="S842" s="9" t="str">
        <f>IF(ISBLANK($R842),"",VLOOKUP($R842,'Liste des Villes'!$B$2:$H$1128,4,FALSE))</f>
        <v>Laurentides</v>
      </c>
      <c r="T842" s="2" t="s">
        <v>3187</v>
      </c>
      <c r="U842" s="2" t="s">
        <v>39</v>
      </c>
      <c r="V842" s="2" t="s">
        <v>40</v>
      </c>
      <c r="W842" s="2" t="s">
        <v>4765</v>
      </c>
      <c r="X842" s="2"/>
      <c r="Y842" s="2"/>
      <c r="Z842" s="2"/>
      <c r="AA842" s="2" t="s">
        <v>3189</v>
      </c>
      <c r="AB842" s="2" t="s">
        <v>3190</v>
      </c>
      <c r="AC842" s="4" t="s">
        <v>44</v>
      </c>
    </row>
    <row r="843" spans="1:29" x14ac:dyDescent="0.25">
      <c r="A843" s="1">
        <v>929</v>
      </c>
      <c r="B843" s="17" t="s">
        <v>4766</v>
      </c>
      <c r="C843" s="2" t="s">
        <v>4767</v>
      </c>
      <c r="D843" s="15" t="s">
        <v>4768</v>
      </c>
      <c r="E843" s="9" t="s">
        <v>2404</v>
      </c>
      <c r="F843" s="9" t="s">
        <v>4769</v>
      </c>
      <c r="G843" s="9" t="s">
        <v>332</v>
      </c>
      <c r="H843" s="2" t="s">
        <v>60</v>
      </c>
      <c r="I843" s="3">
        <v>35531</v>
      </c>
      <c r="J843" s="9" t="str">
        <f t="shared" ca="1" si="15"/>
        <v>26 ans</v>
      </c>
      <c r="K843" s="2" t="s">
        <v>36</v>
      </c>
      <c r="L843" s="2" t="str">
        <f>"121"</f>
        <v>121</v>
      </c>
      <c r="M843" s="2"/>
      <c r="N843" s="2" t="str">
        <f>"COTE SAINT-ANDRÉ"</f>
        <v>COTE SAINT-ANDRÉ</v>
      </c>
      <c r="O843" s="2" t="s">
        <v>3185</v>
      </c>
      <c r="P843" s="9" t="str">
        <f>VLOOKUP($O843,'Liste des Villes'!$B$2:$B$1128,1,FALSE)</f>
        <v>Saint-Jérôme</v>
      </c>
      <c r="Q843" s="9" t="str">
        <f>IFERROR($P843,PROPER(VLOOKUP($O843,'Villes en erreur'!$A$2:$B$72,2,FALSE)))</f>
        <v>Saint-Jérôme</v>
      </c>
      <c r="R843" s="9" t="s">
        <v>3186</v>
      </c>
      <c r="S843" s="9" t="str">
        <f>IF(ISBLANK($R843),"",VLOOKUP($R843,'Liste des Villes'!$B$2:$H$1128,4,FALSE))</f>
        <v>Laurentides</v>
      </c>
      <c r="T843" s="2" t="s">
        <v>3532</v>
      </c>
      <c r="U843" s="2" t="s">
        <v>39</v>
      </c>
      <c r="V843" s="2" t="s">
        <v>40</v>
      </c>
      <c r="W843" s="2" t="s">
        <v>4770</v>
      </c>
      <c r="X843" s="2"/>
      <c r="Y843" s="2"/>
      <c r="Z843" s="2"/>
      <c r="AA843" s="2" t="s">
        <v>3199</v>
      </c>
      <c r="AB843" s="2" t="s">
        <v>3200</v>
      </c>
      <c r="AC843" s="4" t="s">
        <v>44</v>
      </c>
    </row>
    <row r="844" spans="1:29" x14ac:dyDescent="0.25">
      <c r="A844" s="1">
        <v>161</v>
      </c>
      <c r="B844" s="17" t="s">
        <v>4771</v>
      </c>
      <c r="C844" s="2" t="s">
        <v>4772</v>
      </c>
      <c r="D844" s="15" t="s">
        <v>4773</v>
      </c>
      <c r="E844" s="9" t="s">
        <v>1524</v>
      </c>
      <c r="F844" s="9" t="s">
        <v>4774</v>
      </c>
      <c r="G844" s="9" t="s">
        <v>3218</v>
      </c>
      <c r="H844" s="2" t="s">
        <v>60</v>
      </c>
      <c r="I844" s="3">
        <v>34342</v>
      </c>
      <c r="J844" s="9" t="str">
        <f t="shared" ca="1" si="15"/>
        <v>29 ans</v>
      </c>
      <c r="K844" s="2" t="s">
        <v>36</v>
      </c>
      <c r="L844" s="2" t="str">
        <f>"53"</f>
        <v>53</v>
      </c>
      <c r="M844" s="2"/>
      <c r="N844" s="2" t="str">
        <f>"BOULEVARD RENÉ-A.-ROBERT"</f>
        <v>BOULEVARD RENÉ-A.-ROBERT</v>
      </c>
      <c r="O844" s="2" t="s">
        <v>3185</v>
      </c>
      <c r="P844" s="9" t="str">
        <f>VLOOKUP($O844,'Liste des Villes'!$B$2:$B$1128,1,FALSE)</f>
        <v>Saint-Jérôme</v>
      </c>
      <c r="Q844" s="9" t="str">
        <f>IFERROR($P844,PROPER(VLOOKUP($O844,'Villes en erreur'!$A$2:$B$72,2,FALSE)))</f>
        <v>Saint-Jérôme</v>
      </c>
      <c r="R844" s="9" t="s">
        <v>3186</v>
      </c>
      <c r="S844" s="9" t="str">
        <f>IF(ISBLANK($R844),"",VLOOKUP($R844,'Liste des Villes'!$B$2:$H$1128,4,FALSE))</f>
        <v>Laurentides</v>
      </c>
      <c r="T844" s="2" t="s">
        <v>3291</v>
      </c>
      <c r="U844" s="2" t="s">
        <v>39</v>
      </c>
      <c r="V844" s="2" t="s">
        <v>40</v>
      </c>
      <c r="W844" s="2" t="s">
        <v>4775</v>
      </c>
      <c r="X844" s="2"/>
      <c r="Y844" s="2"/>
      <c r="Z844" s="2"/>
      <c r="AA844" s="2" t="s">
        <v>3360</v>
      </c>
      <c r="AB844" s="2" t="s">
        <v>53</v>
      </c>
      <c r="AC844" s="4" t="s">
        <v>44</v>
      </c>
    </row>
    <row r="845" spans="1:29" x14ac:dyDescent="0.25">
      <c r="A845" s="1">
        <v>1531</v>
      </c>
      <c r="B845" s="17" t="s">
        <v>4776</v>
      </c>
      <c r="C845" s="2" t="s">
        <v>4777</v>
      </c>
      <c r="D845" s="15" t="s">
        <v>2061</v>
      </c>
      <c r="E845" s="9" t="s">
        <v>590</v>
      </c>
      <c r="F845" s="9" t="s">
        <v>4778</v>
      </c>
      <c r="G845" s="9" t="s">
        <v>3274</v>
      </c>
      <c r="H845" s="2" t="s">
        <v>35</v>
      </c>
      <c r="I845" s="3">
        <v>35161</v>
      </c>
      <c r="J845" s="9" t="str">
        <f t="shared" ca="1" si="15"/>
        <v>27 ans</v>
      </c>
      <c r="K845" s="2" t="s">
        <v>36</v>
      </c>
      <c r="L845" s="2" t="str">
        <f>"104"</f>
        <v>104</v>
      </c>
      <c r="M845" s="2"/>
      <c r="N845" s="2" t="str">
        <f>"CH SAINT-GERMAIN"</f>
        <v>CH SAINT-GERMAIN</v>
      </c>
      <c r="O845" s="2" t="s">
        <v>3185</v>
      </c>
      <c r="P845" s="9" t="str">
        <f>VLOOKUP($O845,'Liste des Villes'!$B$2:$B$1128,1,FALSE)</f>
        <v>Saint-Jérôme</v>
      </c>
      <c r="Q845" s="9" t="str">
        <f>IFERROR($P845,PROPER(VLOOKUP($O845,'Villes en erreur'!$A$2:$B$72,2,FALSE)))</f>
        <v>Saint-Jérôme</v>
      </c>
      <c r="R845" s="9" t="s">
        <v>3186</v>
      </c>
      <c r="S845" s="9" t="str">
        <f>IF(ISBLANK($R845),"",VLOOKUP($R845,'Liste des Villes'!$B$2:$H$1128,4,FALSE))</f>
        <v>Laurentides</v>
      </c>
      <c r="T845" s="2" t="s">
        <v>3187</v>
      </c>
      <c r="U845" s="2" t="s">
        <v>39</v>
      </c>
      <c r="V845" s="2" t="s">
        <v>40</v>
      </c>
      <c r="W845" s="2" t="s">
        <v>4779</v>
      </c>
      <c r="X845" s="2"/>
      <c r="Y845" s="2"/>
      <c r="Z845" s="2"/>
      <c r="AA845" s="2" t="s">
        <v>3189</v>
      </c>
      <c r="AB845" s="2" t="s">
        <v>3190</v>
      </c>
      <c r="AC845" s="4" t="s">
        <v>44</v>
      </c>
    </row>
    <row r="846" spans="1:29" x14ac:dyDescent="0.25">
      <c r="A846" s="1">
        <v>2962</v>
      </c>
      <c r="B846" s="17" t="s">
        <v>4780</v>
      </c>
      <c r="C846" s="2" t="s">
        <v>4781</v>
      </c>
      <c r="D846" s="15" t="s">
        <v>4782</v>
      </c>
      <c r="E846" s="9" t="s">
        <v>4783</v>
      </c>
      <c r="F846" s="9" t="s">
        <v>1104</v>
      </c>
      <c r="G846" s="9" t="s">
        <v>2635</v>
      </c>
      <c r="H846" s="2" t="s">
        <v>60</v>
      </c>
      <c r="I846" s="3">
        <v>35769</v>
      </c>
      <c r="J846" s="9" t="str">
        <f t="shared" ca="1" si="15"/>
        <v>25 ans</v>
      </c>
      <c r="K846" s="2" t="s">
        <v>123</v>
      </c>
      <c r="L846" s="2" t="str">
        <f>"141"</f>
        <v>141</v>
      </c>
      <c r="M846" s="2"/>
      <c r="N846" s="2" t="str">
        <f>"FRONTENAC"</f>
        <v>FRONTENAC</v>
      </c>
      <c r="O846" s="2" t="s">
        <v>3185</v>
      </c>
      <c r="P846" s="9" t="str">
        <f>VLOOKUP($O846,'Liste des Villes'!$B$2:$B$1128,1,FALSE)</f>
        <v>Saint-Jérôme</v>
      </c>
      <c r="Q846" s="9" t="str">
        <f>IFERROR($P846,PROPER(VLOOKUP($O846,'Villes en erreur'!$A$2:$B$72,2,FALSE)))</f>
        <v>Saint-Jérôme</v>
      </c>
      <c r="R846" s="9" t="s">
        <v>3186</v>
      </c>
      <c r="S846" s="9" t="str">
        <f>IF(ISBLANK($R846),"",VLOOKUP($R846,'Liste des Villes'!$B$2:$H$1128,4,FALSE))</f>
        <v>Laurentides</v>
      </c>
      <c r="T846" s="2" t="s">
        <v>4784</v>
      </c>
      <c r="U846" s="2" t="s">
        <v>39</v>
      </c>
      <c r="V846" s="2" t="s">
        <v>40</v>
      </c>
      <c r="W846" s="2" t="s">
        <v>4785</v>
      </c>
      <c r="X846" s="2"/>
      <c r="Y846" s="2"/>
      <c r="Z846" s="2"/>
      <c r="AA846" s="2" t="s">
        <v>3243</v>
      </c>
      <c r="AB846" s="2" t="s">
        <v>3221</v>
      </c>
      <c r="AC846" s="4" t="s">
        <v>44</v>
      </c>
    </row>
    <row r="847" spans="1:29" x14ac:dyDescent="0.25">
      <c r="A847" s="1">
        <v>1662</v>
      </c>
      <c r="B847" s="17" t="s">
        <v>4786</v>
      </c>
      <c r="C847" s="2" t="s">
        <v>4787</v>
      </c>
      <c r="D847" s="15" t="s">
        <v>2933</v>
      </c>
      <c r="E847" s="9" t="s">
        <v>4788</v>
      </c>
      <c r="F847" s="9" t="s">
        <v>2932</v>
      </c>
      <c r="G847" s="9" t="s">
        <v>179</v>
      </c>
      <c r="H847" s="2" t="s">
        <v>60</v>
      </c>
      <c r="I847" s="3">
        <v>36106</v>
      </c>
      <c r="J847" s="9" t="str">
        <f t="shared" ca="1" si="15"/>
        <v>24 ans</v>
      </c>
      <c r="K847" s="2" t="s">
        <v>123</v>
      </c>
      <c r="L847" s="2" t="str">
        <f>"209"</f>
        <v>209</v>
      </c>
      <c r="M847" s="2"/>
      <c r="N847" s="2" t="str">
        <f>"RTE 311"</f>
        <v>RTE 311</v>
      </c>
      <c r="O847" s="2" t="s">
        <v>3185</v>
      </c>
      <c r="P847" s="9" t="str">
        <f>VLOOKUP($O847,'Liste des Villes'!$B$2:$B$1128,1,FALSE)</f>
        <v>Saint-Jérôme</v>
      </c>
      <c r="Q847" s="9" t="str">
        <f>IFERROR($P847,PROPER(VLOOKUP($O847,'Villes en erreur'!$A$2:$B$72,2,FALSE)))</f>
        <v>Saint-Jérôme</v>
      </c>
      <c r="R847" s="9" t="s">
        <v>3186</v>
      </c>
      <c r="S847" s="9" t="str">
        <f>IF(ISBLANK($R847),"",VLOOKUP($R847,'Liste des Villes'!$B$2:$H$1128,4,FALSE))</f>
        <v>Laurentides</v>
      </c>
      <c r="T847" s="2" t="s">
        <v>3317</v>
      </c>
      <c r="U847" s="2" t="s">
        <v>39</v>
      </c>
      <c r="V847" s="2" t="s">
        <v>40</v>
      </c>
      <c r="W847" s="2" t="s">
        <v>4789</v>
      </c>
      <c r="X847" s="2"/>
      <c r="Y847" s="2"/>
      <c r="Z847" s="2"/>
      <c r="AA847" s="2" t="s">
        <v>832</v>
      </c>
      <c r="AB847" s="2" t="s">
        <v>3221</v>
      </c>
      <c r="AC847" s="4" t="s">
        <v>44</v>
      </c>
    </row>
    <row r="848" spans="1:29" x14ac:dyDescent="0.25">
      <c r="A848" s="1">
        <v>840</v>
      </c>
      <c r="B848" s="17" t="s">
        <v>4790</v>
      </c>
      <c r="C848" s="2" t="s">
        <v>4791</v>
      </c>
      <c r="D848" s="15" t="s">
        <v>4792</v>
      </c>
      <c r="E848" s="9" t="s">
        <v>4793</v>
      </c>
      <c r="F848" s="9" t="s">
        <v>47</v>
      </c>
      <c r="G848" s="9" t="s">
        <v>3668</v>
      </c>
      <c r="H848" s="2" t="s">
        <v>60</v>
      </c>
      <c r="I848" s="3">
        <v>36222</v>
      </c>
      <c r="J848" s="9" t="str">
        <f t="shared" ca="1" si="15"/>
        <v>24 ans</v>
      </c>
      <c r="K848" s="2" t="s">
        <v>123</v>
      </c>
      <c r="L848" s="2" t="str">
        <f>"255"</f>
        <v>255</v>
      </c>
      <c r="M848" s="2"/>
      <c r="N848" s="2" t="str">
        <f>"RUE BEAULIEU"</f>
        <v>RUE BEAULIEU</v>
      </c>
      <c r="O848" s="2" t="s">
        <v>3186</v>
      </c>
      <c r="P848" s="9" t="str">
        <f>VLOOKUP($O848,'Liste des Villes'!$B$2:$B$1128,1,FALSE)</f>
        <v>Saint-Jérôme</v>
      </c>
      <c r="Q848" s="9" t="str">
        <f>IFERROR($P848,PROPER(VLOOKUP($O848,'Villes en erreur'!$A$2:$B$72,2,FALSE)))</f>
        <v>Saint-Jérôme</v>
      </c>
      <c r="R848" s="9" t="s">
        <v>3186</v>
      </c>
      <c r="S848" s="9" t="str">
        <f>IF(ISBLANK($R848),"",VLOOKUP($R848,'Liste des Villes'!$B$2:$H$1128,4,FALSE))</f>
        <v>Laurentides</v>
      </c>
      <c r="T848" s="2" t="s">
        <v>4794</v>
      </c>
      <c r="U848" s="2" t="s">
        <v>39</v>
      </c>
      <c r="V848" s="2" t="s">
        <v>40</v>
      </c>
      <c r="W848" s="2" t="s">
        <v>4795</v>
      </c>
      <c r="X848" s="2"/>
      <c r="Y848" s="2"/>
      <c r="Z848" s="2"/>
      <c r="AA848" s="2" t="s">
        <v>832</v>
      </c>
      <c r="AB848" s="2" t="s">
        <v>3288</v>
      </c>
      <c r="AC848" s="4" t="s">
        <v>44</v>
      </c>
    </row>
    <row r="849" spans="1:29" x14ac:dyDescent="0.25">
      <c r="A849" s="1">
        <v>2768</v>
      </c>
      <c r="B849" s="17" t="s">
        <v>4796</v>
      </c>
      <c r="C849" s="2" t="s">
        <v>4797</v>
      </c>
      <c r="D849" s="15" t="s">
        <v>1157</v>
      </c>
      <c r="E849" s="9" t="s">
        <v>4798</v>
      </c>
      <c r="F849" s="9" t="s">
        <v>1156</v>
      </c>
      <c r="G849" s="9" t="s">
        <v>4799</v>
      </c>
      <c r="H849" s="2" t="s">
        <v>60</v>
      </c>
      <c r="I849" s="3">
        <v>34923</v>
      </c>
      <c r="J849" s="9" t="str">
        <f t="shared" ca="1" si="15"/>
        <v>28 ans</v>
      </c>
      <c r="K849" s="2" t="s">
        <v>36</v>
      </c>
      <c r="L849" s="2" t="str">
        <f>"84"</f>
        <v>84</v>
      </c>
      <c r="M849" s="2"/>
      <c r="N849" s="2" t="str">
        <f>"CH DU 5E-RANG NORD"</f>
        <v>CH DU 5E-RANG NORD</v>
      </c>
      <c r="O849" s="2" t="s">
        <v>3185</v>
      </c>
      <c r="P849" s="9" t="str">
        <f>VLOOKUP($O849,'Liste des Villes'!$B$2:$B$1128,1,FALSE)</f>
        <v>Saint-Jérôme</v>
      </c>
      <c r="Q849" s="9" t="str">
        <f>IFERROR($P849,PROPER(VLOOKUP($O849,'Villes en erreur'!$A$2:$B$72,2,FALSE)))</f>
        <v>Saint-Jérôme</v>
      </c>
      <c r="R849" s="9" t="s">
        <v>3186</v>
      </c>
      <c r="S849" s="9" t="str">
        <f>IF(ISBLANK($R849),"",VLOOKUP($R849,'Liste des Villes'!$B$2:$H$1128,4,FALSE))</f>
        <v>Laurentides</v>
      </c>
      <c r="T849" s="2" t="s">
        <v>3187</v>
      </c>
      <c r="U849" s="2" t="s">
        <v>39</v>
      </c>
      <c r="V849" s="2" t="s">
        <v>40</v>
      </c>
      <c r="W849" s="2" t="s">
        <v>4800</v>
      </c>
      <c r="X849" s="2"/>
      <c r="Y849" s="2"/>
      <c r="Z849" s="2"/>
      <c r="AA849" s="2" t="s">
        <v>3231</v>
      </c>
      <c r="AB849" s="2" t="s">
        <v>53</v>
      </c>
      <c r="AC849" s="4" t="s">
        <v>44</v>
      </c>
    </row>
    <row r="850" spans="1:29" x14ac:dyDescent="0.25">
      <c r="A850" s="1">
        <v>141</v>
      </c>
      <c r="B850" s="17" t="s">
        <v>4801</v>
      </c>
      <c r="C850" s="2" t="s">
        <v>4802</v>
      </c>
      <c r="D850" s="15" t="s">
        <v>2139</v>
      </c>
      <c r="E850" s="9" t="s">
        <v>4803</v>
      </c>
      <c r="F850" s="9" t="s">
        <v>4575</v>
      </c>
      <c r="G850" s="9" t="s">
        <v>332</v>
      </c>
      <c r="H850" s="2" t="s">
        <v>60</v>
      </c>
      <c r="I850" s="3">
        <v>35542</v>
      </c>
      <c r="J850" s="9" t="str">
        <f t="shared" ca="1" si="15"/>
        <v>26 ans</v>
      </c>
      <c r="K850" s="2" t="s">
        <v>36</v>
      </c>
      <c r="L850" s="2" t="str">
        <f>"122"</f>
        <v>122</v>
      </c>
      <c r="M850" s="2"/>
      <c r="N850" s="2" t="str">
        <f>"COTE SAINT-PAUL"</f>
        <v>COTE SAINT-PAUL</v>
      </c>
      <c r="O850" s="2" t="s">
        <v>3185</v>
      </c>
      <c r="P850" s="9" t="str">
        <f>VLOOKUP($O850,'Liste des Villes'!$B$2:$B$1128,1,FALSE)</f>
        <v>Saint-Jérôme</v>
      </c>
      <c r="Q850" s="9" t="str">
        <f>IFERROR($P850,PROPER(VLOOKUP($O850,'Villes en erreur'!$A$2:$B$72,2,FALSE)))</f>
        <v>Saint-Jérôme</v>
      </c>
      <c r="R850" s="9" t="s">
        <v>3186</v>
      </c>
      <c r="S850" s="9" t="str">
        <f>IF(ISBLANK($R850),"",VLOOKUP($R850,'Liste des Villes'!$B$2:$H$1128,4,FALSE))</f>
        <v>Laurentides</v>
      </c>
      <c r="T850" s="2" t="s">
        <v>4804</v>
      </c>
      <c r="U850" s="2" t="s">
        <v>39</v>
      </c>
      <c r="V850" s="2" t="s">
        <v>40</v>
      </c>
      <c r="W850" s="2" t="s">
        <v>4805</v>
      </c>
      <c r="X850" s="2"/>
      <c r="Y850" s="2"/>
      <c r="Z850" s="2"/>
      <c r="AA850" s="2" t="s">
        <v>3199</v>
      </c>
      <c r="AB850" s="2" t="s">
        <v>3221</v>
      </c>
      <c r="AC850" s="4" t="s">
        <v>44</v>
      </c>
    </row>
    <row r="851" spans="1:29" x14ac:dyDescent="0.25">
      <c r="A851" s="1">
        <v>129</v>
      </c>
      <c r="B851" s="17" t="s">
        <v>4806</v>
      </c>
      <c r="C851" s="2" t="s">
        <v>2009</v>
      </c>
      <c r="D851" s="15" t="s">
        <v>1076</v>
      </c>
      <c r="E851" s="9" t="s">
        <v>332</v>
      </c>
      <c r="F851" s="9" t="s">
        <v>839</v>
      </c>
      <c r="G851" s="9" t="s">
        <v>4807</v>
      </c>
      <c r="H851" s="2" t="s">
        <v>60</v>
      </c>
      <c r="I851" s="3">
        <v>35830</v>
      </c>
      <c r="J851" s="9" t="str">
        <f t="shared" ca="1" si="15"/>
        <v>25 ans</v>
      </c>
      <c r="K851" s="2" t="s">
        <v>123</v>
      </c>
      <c r="L851" s="2" t="str">
        <f>"145"</f>
        <v>145</v>
      </c>
      <c r="M851" s="2"/>
      <c r="N851" s="2" t="str">
        <f>"JÉROBELLE BLVD"</f>
        <v>JÉROBELLE BLVD</v>
      </c>
      <c r="O851" s="2" t="s">
        <v>3185</v>
      </c>
      <c r="P851" s="9" t="str">
        <f>VLOOKUP($O851,'Liste des Villes'!$B$2:$B$1128,1,FALSE)</f>
        <v>Saint-Jérôme</v>
      </c>
      <c r="Q851" s="9" t="str">
        <f>IFERROR($P851,PROPER(VLOOKUP($O851,'Villes en erreur'!$A$2:$B$72,2,FALSE)))</f>
        <v>Saint-Jérôme</v>
      </c>
      <c r="R851" s="9" t="s">
        <v>3186</v>
      </c>
      <c r="S851" s="9" t="str">
        <f>IF(ISBLANK($R851),"",VLOOKUP($R851,'Liste des Villes'!$B$2:$H$1128,4,FALSE))</f>
        <v>Laurentides</v>
      </c>
      <c r="T851" s="2" t="s">
        <v>4808</v>
      </c>
      <c r="U851" s="2" t="s">
        <v>39</v>
      </c>
      <c r="V851" s="2" t="s">
        <v>40</v>
      </c>
      <c r="W851" s="2" t="s">
        <v>4809</v>
      </c>
      <c r="X851" s="2"/>
      <c r="Y851" s="2"/>
      <c r="Z851" s="2"/>
      <c r="AA851" s="2" t="s">
        <v>3243</v>
      </c>
      <c r="AB851" s="2" t="s">
        <v>3221</v>
      </c>
      <c r="AC851" s="4" t="s">
        <v>44</v>
      </c>
    </row>
    <row r="852" spans="1:29" x14ac:dyDescent="0.25">
      <c r="A852" s="1">
        <v>978</v>
      </c>
      <c r="B852" s="17" t="s">
        <v>4810</v>
      </c>
      <c r="C852" s="2" t="s">
        <v>4811</v>
      </c>
      <c r="D852" s="15" t="s">
        <v>4812</v>
      </c>
      <c r="E852" s="9" t="s">
        <v>509</v>
      </c>
      <c r="F852" s="9" t="s">
        <v>2698</v>
      </c>
      <c r="G852" s="9" t="s">
        <v>195</v>
      </c>
      <c r="H852" s="2" t="s">
        <v>60</v>
      </c>
      <c r="I852" s="3">
        <v>35004</v>
      </c>
      <c r="J852" s="9" t="str">
        <f t="shared" ca="1" si="15"/>
        <v>27 ans</v>
      </c>
      <c r="K852" s="2" t="s">
        <v>36</v>
      </c>
      <c r="L852" s="2" t="str">
        <f>"91"</f>
        <v>91</v>
      </c>
      <c r="M852" s="2"/>
      <c r="N852" s="2" t="str">
        <f>"CH DU LAC-CONNELLY"</f>
        <v>CH DU LAC-CONNELLY</v>
      </c>
      <c r="O852" s="2" t="s">
        <v>3185</v>
      </c>
      <c r="P852" s="9" t="str">
        <f>VLOOKUP($O852,'Liste des Villes'!$B$2:$B$1128,1,FALSE)</f>
        <v>Saint-Jérôme</v>
      </c>
      <c r="Q852" s="9" t="str">
        <f>IFERROR($P852,PROPER(VLOOKUP($O852,'Villes en erreur'!$A$2:$B$72,2,FALSE)))</f>
        <v>Saint-Jérôme</v>
      </c>
      <c r="R852" s="9" t="s">
        <v>3186</v>
      </c>
      <c r="S852" s="9" t="str">
        <f>IF(ISBLANK($R852),"",VLOOKUP($R852,'Liste des Villes'!$B$2:$H$1128,4,FALSE))</f>
        <v>Laurentides</v>
      </c>
      <c r="T852" s="2" t="s">
        <v>3187</v>
      </c>
      <c r="U852" s="2" t="s">
        <v>39</v>
      </c>
      <c r="V852" s="2" t="s">
        <v>40</v>
      </c>
      <c r="W852" s="2" t="s">
        <v>4813</v>
      </c>
      <c r="X852" s="2"/>
      <c r="Y852" s="2"/>
      <c r="Z852" s="2"/>
      <c r="AA852" s="2" t="s">
        <v>3189</v>
      </c>
      <c r="AB852" s="2" t="s">
        <v>53</v>
      </c>
      <c r="AC852" s="4" t="s">
        <v>44</v>
      </c>
    </row>
    <row r="853" spans="1:29" x14ac:dyDescent="0.25">
      <c r="A853" s="1">
        <v>3362</v>
      </c>
      <c r="B853" s="17" t="s">
        <v>4814</v>
      </c>
      <c r="C853" s="2" t="s">
        <v>4815</v>
      </c>
      <c r="D853" s="15" t="s">
        <v>4816</v>
      </c>
      <c r="E853" s="9" t="s">
        <v>92</v>
      </c>
      <c r="F853" s="9" t="s">
        <v>944</v>
      </c>
      <c r="G853" s="9" t="s">
        <v>600</v>
      </c>
      <c r="H853" s="2" t="s">
        <v>60</v>
      </c>
      <c r="I853" s="3">
        <v>35990</v>
      </c>
      <c r="J853" s="9" t="str">
        <f t="shared" ca="1" si="15"/>
        <v>25 ans</v>
      </c>
      <c r="K853" s="2" t="s">
        <v>123</v>
      </c>
      <c r="L853" s="2" t="str">
        <f>"173"</f>
        <v>173</v>
      </c>
      <c r="M853" s="2"/>
      <c r="N853" s="2" t="str">
        <f>"PLACE DE LA PRUCHERAIE"</f>
        <v>PLACE DE LA PRUCHERAIE</v>
      </c>
      <c r="O853" s="2" t="s">
        <v>3185</v>
      </c>
      <c r="P853" s="9" t="str">
        <f>VLOOKUP($O853,'Liste des Villes'!$B$2:$B$1128,1,FALSE)</f>
        <v>Saint-Jérôme</v>
      </c>
      <c r="Q853" s="9" t="str">
        <f>IFERROR($P853,PROPER(VLOOKUP($O853,'Villes en erreur'!$A$2:$B$72,2,FALSE)))</f>
        <v>Saint-Jérôme</v>
      </c>
      <c r="R853" s="9" t="s">
        <v>3186</v>
      </c>
      <c r="S853" s="9" t="str">
        <f>IF(ISBLANK($R853),"",VLOOKUP($R853,'Liste des Villes'!$B$2:$H$1128,4,FALSE))</f>
        <v>Laurentides</v>
      </c>
      <c r="T853" s="2" t="s">
        <v>4817</v>
      </c>
      <c r="U853" s="2" t="s">
        <v>39</v>
      </c>
      <c r="V853" s="2" t="s">
        <v>40</v>
      </c>
      <c r="W853" s="2" t="s">
        <v>4818</v>
      </c>
      <c r="X853" s="2"/>
      <c r="Y853" s="2"/>
      <c r="Z853" s="2"/>
      <c r="AA853" s="2" t="s">
        <v>832</v>
      </c>
      <c r="AB853" s="2" t="s">
        <v>3221</v>
      </c>
      <c r="AC853" s="4" t="s">
        <v>44</v>
      </c>
    </row>
    <row r="854" spans="1:29" x14ac:dyDescent="0.25">
      <c r="A854" s="1">
        <v>962</v>
      </c>
      <c r="B854" s="17" t="s">
        <v>4819</v>
      </c>
      <c r="C854" s="2" t="s">
        <v>4820</v>
      </c>
      <c r="D854" s="15" t="s">
        <v>4821</v>
      </c>
      <c r="E854" s="9" t="s">
        <v>4822</v>
      </c>
      <c r="F854" s="9" t="s">
        <v>2898</v>
      </c>
      <c r="G854" s="9" t="s">
        <v>4823</v>
      </c>
      <c r="H854" s="2" t="s">
        <v>60</v>
      </c>
      <c r="I854" s="3">
        <v>35842</v>
      </c>
      <c r="J854" s="9" t="str">
        <f t="shared" ca="1" si="15"/>
        <v>25 ans</v>
      </c>
      <c r="K854" s="2" t="s">
        <v>123</v>
      </c>
      <c r="L854" s="2" t="str">
        <f>"147"</f>
        <v>147</v>
      </c>
      <c r="M854" s="2"/>
      <c r="N854" s="2" t="str">
        <f>"LAMERT"</f>
        <v>LAMERT</v>
      </c>
      <c r="O854" s="2" t="s">
        <v>3185</v>
      </c>
      <c r="P854" s="9" t="str">
        <f>VLOOKUP($O854,'Liste des Villes'!$B$2:$B$1128,1,FALSE)</f>
        <v>Saint-Jérôme</v>
      </c>
      <c r="Q854" s="9" t="str">
        <f>IFERROR($P854,PROPER(VLOOKUP($O854,'Villes en erreur'!$A$2:$B$72,2,FALSE)))</f>
        <v>Saint-Jérôme</v>
      </c>
      <c r="R854" s="9" t="s">
        <v>3186</v>
      </c>
      <c r="S854" s="9" t="str">
        <f>IF(ISBLANK($R854),"",VLOOKUP($R854,'Liste des Villes'!$B$2:$H$1128,4,FALSE))</f>
        <v>Laurentides</v>
      </c>
      <c r="T854" s="2" t="s">
        <v>4824</v>
      </c>
      <c r="U854" s="2" t="s">
        <v>39</v>
      </c>
      <c r="V854" s="2" t="s">
        <v>40</v>
      </c>
      <c r="W854" s="2" t="s">
        <v>4825</v>
      </c>
      <c r="X854" s="2"/>
      <c r="Y854" s="2"/>
      <c r="Z854" s="2"/>
      <c r="AA854" s="2" t="s">
        <v>3243</v>
      </c>
      <c r="AB854" s="2" t="s">
        <v>3221</v>
      </c>
      <c r="AC854" s="4" t="s">
        <v>44</v>
      </c>
    </row>
    <row r="855" spans="1:29" x14ac:dyDescent="0.25">
      <c r="A855" s="1">
        <v>3101</v>
      </c>
      <c r="B855" s="17" t="s">
        <v>4826</v>
      </c>
      <c r="C855" s="2" t="s">
        <v>1831</v>
      </c>
      <c r="D855" s="15" t="s">
        <v>1832</v>
      </c>
      <c r="E855" s="9" t="s">
        <v>698</v>
      </c>
      <c r="F855" s="9" t="s">
        <v>1031</v>
      </c>
      <c r="G855" s="9" t="s">
        <v>1283</v>
      </c>
      <c r="H855" s="2" t="s">
        <v>60</v>
      </c>
      <c r="I855" s="3">
        <v>35811</v>
      </c>
      <c r="J855" s="9" t="str">
        <f t="shared" ca="1" si="15"/>
        <v>25 ans</v>
      </c>
      <c r="K855" s="2" t="s">
        <v>123</v>
      </c>
      <c r="L855" s="2" t="str">
        <f>"144"</f>
        <v>144</v>
      </c>
      <c r="M855" s="2"/>
      <c r="N855" s="2" t="str">
        <f>"HUBERT-AQUIN"</f>
        <v>HUBERT-AQUIN</v>
      </c>
      <c r="O855" s="2" t="s">
        <v>3185</v>
      </c>
      <c r="P855" s="9" t="str">
        <f>VLOOKUP($O855,'Liste des Villes'!$B$2:$B$1128,1,FALSE)</f>
        <v>Saint-Jérôme</v>
      </c>
      <c r="Q855" s="9" t="str">
        <f>IFERROR($P855,PROPER(VLOOKUP($O855,'Villes en erreur'!$A$2:$B$72,2,FALSE)))</f>
        <v>Saint-Jérôme</v>
      </c>
      <c r="R855" s="9" t="s">
        <v>3186</v>
      </c>
      <c r="S855" s="9" t="str">
        <f>IF(ISBLANK($R855),"",VLOOKUP($R855,'Liste des Villes'!$B$2:$H$1128,4,FALSE))</f>
        <v>Laurentides</v>
      </c>
      <c r="T855" s="2" t="s">
        <v>3750</v>
      </c>
      <c r="U855" s="2" t="s">
        <v>39</v>
      </c>
      <c r="V855" s="2" t="s">
        <v>40</v>
      </c>
      <c r="W855" s="2" t="s">
        <v>4827</v>
      </c>
      <c r="X855" s="2"/>
      <c r="Y855" s="2"/>
      <c r="Z855" s="2"/>
      <c r="AA855" s="2" t="s">
        <v>3243</v>
      </c>
      <c r="AB855" s="2" t="s">
        <v>3221</v>
      </c>
      <c r="AC855" s="4" t="s">
        <v>44</v>
      </c>
    </row>
    <row r="856" spans="1:29" x14ac:dyDescent="0.25">
      <c r="A856" s="1">
        <v>3217</v>
      </c>
      <c r="B856" s="17" t="s">
        <v>4828</v>
      </c>
      <c r="C856" s="2" t="s">
        <v>4829</v>
      </c>
      <c r="D856" s="15" t="s">
        <v>4830</v>
      </c>
      <c r="E856" s="9" t="s">
        <v>4831</v>
      </c>
      <c r="F856" s="9" t="s">
        <v>3080</v>
      </c>
      <c r="G856" s="9" t="s">
        <v>3218</v>
      </c>
      <c r="H856" s="2" t="s">
        <v>60</v>
      </c>
      <c r="I856" s="3">
        <v>34281</v>
      </c>
      <c r="J856" s="9" t="str">
        <f t="shared" ca="1" si="15"/>
        <v>29 ans</v>
      </c>
      <c r="K856" s="2" t="s">
        <v>36</v>
      </c>
      <c r="L856" s="2" t="str">
        <f>"51"</f>
        <v>51</v>
      </c>
      <c r="M856" s="2"/>
      <c r="N856" s="2" t="str">
        <f>"BOULEVARD JACQUES DEGEAY"</f>
        <v>BOULEVARD JACQUES DEGEAY</v>
      </c>
      <c r="O856" s="2" t="s">
        <v>3185</v>
      </c>
      <c r="P856" s="9" t="str">
        <f>VLOOKUP($O856,'Liste des Villes'!$B$2:$B$1128,1,FALSE)</f>
        <v>Saint-Jérôme</v>
      </c>
      <c r="Q856" s="9" t="str">
        <f>IFERROR($P856,PROPER(VLOOKUP($O856,'Villes en erreur'!$A$2:$B$72,2,FALSE)))</f>
        <v>Saint-Jérôme</v>
      </c>
      <c r="R856" s="9" t="s">
        <v>3186</v>
      </c>
      <c r="S856" s="9" t="str">
        <f>IF(ISBLANK($R856),"",VLOOKUP($R856,'Liste des Villes'!$B$2:$H$1128,4,FALSE))</f>
        <v>Laurentides</v>
      </c>
      <c r="T856" s="2" t="s">
        <v>3520</v>
      </c>
      <c r="U856" s="2" t="s">
        <v>39</v>
      </c>
      <c r="V856" s="2" t="s">
        <v>40</v>
      </c>
      <c r="W856" s="2" t="s">
        <v>4832</v>
      </c>
      <c r="X856" s="2"/>
      <c r="Y856" s="2"/>
      <c r="Z856" s="2"/>
      <c r="AA856" s="2" t="s">
        <v>3360</v>
      </c>
      <c r="AB856" s="2" t="s">
        <v>53</v>
      </c>
      <c r="AC856" s="4" t="s">
        <v>44</v>
      </c>
    </row>
    <row r="857" spans="1:29" x14ac:dyDescent="0.25">
      <c r="A857" s="1">
        <v>2297</v>
      </c>
      <c r="B857" s="17" t="s">
        <v>4833</v>
      </c>
      <c r="C857" s="2" t="s">
        <v>4834</v>
      </c>
      <c r="D857" s="15" t="s">
        <v>3596</v>
      </c>
      <c r="E857" s="9" t="s">
        <v>3668</v>
      </c>
      <c r="F857" s="9" t="s">
        <v>4835</v>
      </c>
      <c r="G857" s="9" t="s">
        <v>2504</v>
      </c>
      <c r="H857" s="2" t="s">
        <v>60</v>
      </c>
      <c r="I857" s="3">
        <v>35341</v>
      </c>
      <c r="J857" s="9" t="str">
        <f t="shared" ca="1" si="15"/>
        <v>26 ans</v>
      </c>
      <c r="K857" s="2" t="s">
        <v>36</v>
      </c>
      <c r="L857" s="2" t="str">
        <f>"111"</f>
        <v>111</v>
      </c>
      <c r="M857" s="2"/>
      <c r="N857" s="2" t="str">
        <f>"CHEMIN DES MERLES"</f>
        <v>CHEMIN DES MERLES</v>
      </c>
      <c r="O857" s="2" t="s">
        <v>3185</v>
      </c>
      <c r="P857" s="9" t="str">
        <f>VLOOKUP($O857,'Liste des Villes'!$B$2:$B$1128,1,FALSE)</f>
        <v>Saint-Jérôme</v>
      </c>
      <c r="Q857" s="9" t="str">
        <f>IFERROR($P857,PROPER(VLOOKUP($O857,'Villes en erreur'!$A$2:$B$72,2,FALSE)))</f>
        <v>Saint-Jérôme</v>
      </c>
      <c r="R857" s="9" t="s">
        <v>3186</v>
      </c>
      <c r="S857" s="9" t="str">
        <f>IF(ISBLANK($R857),"",VLOOKUP($R857,'Liste des Villes'!$B$2:$H$1128,4,FALSE))</f>
        <v>Laurentides</v>
      </c>
      <c r="T857" s="2" t="s">
        <v>3524</v>
      </c>
      <c r="U857" s="2" t="s">
        <v>39</v>
      </c>
      <c r="V857" s="2" t="s">
        <v>40</v>
      </c>
      <c r="W857" s="2" t="s">
        <v>4836</v>
      </c>
      <c r="X857" s="2"/>
      <c r="Y857" s="2"/>
      <c r="Z857" s="2"/>
      <c r="AA857" s="2" t="s">
        <v>3189</v>
      </c>
      <c r="AB857" s="2" t="s">
        <v>3200</v>
      </c>
      <c r="AC857" s="4" t="s">
        <v>44</v>
      </c>
    </row>
    <row r="858" spans="1:29" x14ac:dyDescent="0.25">
      <c r="A858" s="1">
        <v>2406</v>
      </c>
      <c r="B858" s="17" t="s">
        <v>4837</v>
      </c>
      <c r="C858" s="2" t="s">
        <v>4838</v>
      </c>
      <c r="D858" s="15" t="s">
        <v>4839</v>
      </c>
      <c r="E858" s="9" t="s">
        <v>539</v>
      </c>
      <c r="F858" s="9" t="s">
        <v>4840</v>
      </c>
      <c r="G858" s="9" t="s">
        <v>186</v>
      </c>
      <c r="H858" s="2" t="s">
        <v>60</v>
      </c>
      <c r="I858" s="3">
        <v>34824</v>
      </c>
      <c r="J858" s="9" t="str">
        <f t="shared" ca="1" si="15"/>
        <v>28 ans</v>
      </c>
      <c r="K858" s="2" t="s">
        <v>36</v>
      </c>
      <c r="L858" s="2" t="str">
        <f>"80"</f>
        <v>80</v>
      </c>
      <c r="M858" s="2"/>
      <c r="N858" s="2" t="str">
        <f>"CH DES FAUCONS"</f>
        <v>CH DES FAUCONS</v>
      </c>
      <c r="O858" s="2" t="s">
        <v>3185</v>
      </c>
      <c r="P858" s="9" t="str">
        <f>VLOOKUP($O858,'Liste des Villes'!$B$2:$B$1128,1,FALSE)</f>
        <v>Saint-Jérôme</v>
      </c>
      <c r="Q858" s="9" t="str">
        <f>IFERROR($P858,PROPER(VLOOKUP($O858,'Villes en erreur'!$A$2:$B$72,2,FALSE)))</f>
        <v>Saint-Jérôme</v>
      </c>
      <c r="R858" s="9" t="s">
        <v>3186</v>
      </c>
      <c r="S858" s="9" t="str">
        <f>IF(ISBLANK($R858),"",VLOOKUP($R858,'Liste des Villes'!$B$2:$H$1128,4,FALSE))</f>
        <v>Laurentides</v>
      </c>
      <c r="T858" s="2" t="s">
        <v>3187</v>
      </c>
      <c r="U858" s="2" t="s">
        <v>39</v>
      </c>
      <c r="V858" s="2" t="s">
        <v>40</v>
      </c>
      <c r="W858" s="2" t="s">
        <v>4841</v>
      </c>
      <c r="X858" s="2"/>
      <c r="Y858" s="2"/>
      <c r="Z858" s="2"/>
      <c r="AA858" s="2" t="s">
        <v>3225</v>
      </c>
      <c r="AB858" s="2" t="s">
        <v>53</v>
      </c>
      <c r="AC858" s="4" t="s">
        <v>44</v>
      </c>
    </row>
    <row r="859" spans="1:29" x14ac:dyDescent="0.25">
      <c r="A859" s="1">
        <v>612</v>
      </c>
      <c r="B859" s="17" t="s">
        <v>4842</v>
      </c>
      <c r="C859" s="2" t="s">
        <v>4843</v>
      </c>
      <c r="D859" s="15" t="s">
        <v>934</v>
      </c>
      <c r="E859" s="9" t="s">
        <v>50</v>
      </c>
      <c r="F859" s="9" t="s">
        <v>4844</v>
      </c>
      <c r="G859" s="9" t="s">
        <v>664</v>
      </c>
      <c r="H859" s="2" t="s">
        <v>60</v>
      </c>
      <c r="I859" s="3">
        <v>35998</v>
      </c>
      <c r="J859" s="9" t="str">
        <f t="shared" ca="1" si="15"/>
        <v>25 ans</v>
      </c>
      <c r="K859" s="2" t="s">
        <v>123</v>
      </c>
      <c r="L859" s="2" t="str">
        <f>"176"</f>
        <v>176</v>
      </c>
      <c r="M859" s="2"/>
      <c r="N859" s="2" t="str">
        <f>"PLACE DE TOURAINE"</f>
        <v>PLACE DE TOURAINE</v>
      </c>
      <c r="O859" s="2" t="s">
        <v>3185</v>
      </c>
      <c r="P859" s="9" t="str">
        <f>VLOOKUP($O859,'Liste des Villes'!$B$2:$B$1128,1,FALSE)</f>
        <v>Saint-Jérôme</v>
      </c>
      <c r="Q859" s="9" t="str">
        <f>IFERROR($P859,PROPER(VLOOKUP($O859,'Villes en erreur'!$A$2:$B$72,2,FALSE)))</f>
        <v>Saint-Jérôme</v>
      </c>
      <c r="R859" s="9" t="s">
        <v>3186</v>
      </c>
      <c r="S859" s="9" t="str">
        <f>IF(ISBLANK($R859),"",VLOOKUP($R859,'Liste des Villes'!$B$2:$H$1128,4,FALSE))</f>
        <v>Laurentides</v>
      </c>
      <c r="T859" s="2" t="s">
        <v>4845</v>
      </c>
      <c r="U859" s="2" t="s">
        <v>39</v>
      </c>
      <c r="V859" s="2" t="s">
        <v>40</v>
      </c>
      <c r="W859" s="2" t="s">
        <v>4846</v>
      </c>
      <c r="X859" s="2"/>
      <c r="Y859" s="2"/>
      <c r="Z859" s="2"/>
      <c r="AA859" s="2" t="s">
        <v>832</v>
      </c>
      <c r="AB859" s="2" t="s">
        <v>3221</v>
      </c>
      <c r="AC859" s="4" t="s">
        <v>44</v>
      </c>
    </row>
    <row r="860" spans="1:29" x14ac:dyDescent="0.25">
      <c r="A860" s="1">
        <v>406</v>
      </c>
      <c r="B860" s="17" t="s">
        <v>4847</v>
      </c>
      <c r="C860" s="2" t="s">
        <v>4848</v>
      </c>
      <c r="D860" s="15" t="s">
        <v>4849</v>
      </c>
      <c r="E860" s="9" t="s">
        <v>549</v>
      </c>
      <c r="F860" s="9" t="s">
        <v>4850</v>
      </c>
      <c r="G860" s="9" t="s">
        <v>3196</v>
      </c>
      <c r="H860" s="2" t="s">
        <v>60</v>
      </c>
      <c r="I860" s="3">
        <v>35473</v>
      </c>
      <c r="J860" s="9" t="str">
        <f t="shared" ca="1" si="15"/>
        <v>26 ans</v>
      </c>
      <c r="K860" s="2" t="s">
        <v>36</v>
      </c>
      <c r="L860" s="2" t="str">
        <f>"117"</f>
        <v>117</v>
      </c>
      <c r="M860" s="2"/>
      <c r="N860" s="2" t="str">
        <f>"CHEMIN JOSEPH HUBERT"</f>
        <v>CHEMIN JOSEPH HUBERT</v>
      </c>
      <c r="O860" s="2" t="s">
        <v>3185</v>
      </c>
      <c r="P860" s="9" t="str">
        <f>VLOOKUP($O860,'Liste des Villes'!$B$2:$B$1128,1,FALSE)</f>
        <v>Saint-Jérôme</v>
      </c>
      <c r="Q860" s="9" t="str">
        <f>IFERROR($P860,PROPER(VLOOKUP($O860,'Villes en erreur'!$A$2:$B$72,2,FALSE)))</f>
        <v>Saint-Jérôme</v>
      </c>
      <c r="R860" s="9" t="s">
        <v>3186</v>
      </c>
      <c r="S860" s="9" t="str">
        <f>IF(ISBLANK($R860),"",VLOOKUP($R860,'Liste des Villes'!$B$2:$H$1128,4,FALSE))</f>
        <v>Laurentides</v>
      </c>
      <c r="T860" s="2" t="s">
        <v>3197</v>
      </c>
      <c r="U860" s="2" t="s">
        <v>39</v>
      </c>
      <c r="V860" s="2" t="s">
        <v>40</v>
      </c>
      <c r="W860" s="2" t="s">
        <v>4851</v>
      </c>
      <c r="X860" s="2"/>
      <c r="Y860" s="2"/>
      <c r="Z860" s="2"/>
      <c r="AA860" s="2" t="s">
        <v>3199</v>
      </c>
      <c r="AB860" s="2" t="s">
        <v>3200</v>
      </c>
      <c r="AC860" s="4" t="s">
        <v>44</v>
      </c>
    </row>
    <row r="861" spans="1:29" x14ac:dyDescent="0.25">
      <c r="A861" s="1">
        <v>1407</v>
      </c>
      <c r="B861" s="17" t="s">
        <v>4852</v>
      </c>
      <c r="C861" s="2" t="s">
        <v>4853</v>
      </c>
      <c r="D861" s="15" t="s">
        <v>2010</v>
      </c>
      <c r="E861" s="9" t="s">
        <v>4854</v>
      </c>
      <c r="F861" s="9" t="s">
        <v>1076</v>
      </c>
      <c r="G861" s="9" t="s">
        <v>1037</v>
      </c>
      <c r="H861" s="2" t="s">
        <v>35</v>
      </c>
      <c r="I861" s="3">
        <v>36053</v>
      </c>
      <c r="J861" s="9" t="str">
        <f t="shared" ca="1" si="15"/>
        <v>24 ans</v>
      </c>
      <c r="K861" s="2" t="s">
        <v>123</v>
      </c>
      <c r="L861" s="2" t="str">
        <f>"189"</f>
        <v>189</v>
      </c>
      <c r="M861" s="2"/>
      <c r="N861" s="2" t="str">
        <f>"PROULX BLVD"</f>
        <v>PROULX BLVD</v>
      </c>
      <c r="O861" s="2" t="s">
        <v>3185</v>
      </c>
      <c r="P861" s="9" t="str">
        <f>VLOOKUP($O861,'Liste des Villes'!$B$2:$B$1128,1,FALSE)</f>
        <v>Saint-Jérôme</v>
      </c>
      <c r="Q861" s="9" t="str">
        <f>IFERROR($P861,PROPER(VLOOKUP($O861,'Villes en erreur'!$A$2:$B$72,2,FALSE)))</f>
        <v>Saint-Jérôme</v>
      </c>
      <c r="R861" s="9" t="s">
        <v>3186</v>
      </c>
      <c r="S861" s="9" t="str">
        <f>IF(ISBLANK($R861),"",VLOOKUP($R861,'Liste des Villes'!$B$2:$H$1128,4,FALSE))</f>
        <v>Laurentides</v>
      </c>
      <c r="T861" s="2" t="s">
        <v>4855</v>
      </c>
      <c r="U861" s="2" t="s">
        <v>39</v>
      </c>
      <c r="V861" s="2" t="s">
        <v>40</v>
      </c>
      <c r="W861" s="2" t="s">
        <v>4856</v>
      </c>
      <c r="X861" s="2"/>
      <c r="Y861" s="2"/>
      <c r="Z861" s="2"/>
      <c r="AA861" s="2" t="s">
        <v>832</v>
      </c>
      <c r="AB861" s="2" t="s">
        <v>3221</v>
      </c>
      <c r="AC861" s="4" t="s">
        <v>44</v>
      </c>
    </row>
    <row r="862" spans="1:29" x14ac:dyDescent="0.25">
      <c r="A862" s="1">
        <v>2263</v>
      </c>
      <c r="B862" s="17" t="s">
        <v>4857</v>
      </c>
      <c r="C862" s="2" t="s">
        <v>4858</v>
      </c>
      <c r="D862" s="15" t="s">
        <v>867</v>
      </c>
      <c r="E862" s="9" t="s">
        <v>4859</v>
      </c>
      <c r="F862" s="9" t="s">
        <v>4344</v>
      </c>
      <c r="G862" s="9" t="s">
        <v>4233</v>
      </c>
      <c r="H862" s="2" t="s">
        <v>60</v>
      </c>
      <c r="I862" s="3">
        <v>35939</v>
      </c>
      <c r="J862" s="9" t="str">
        <f t="shared" ca="1" si="15"/>
        <v>25 ans</v>
      </c>
      <c r="K862" s="2" t="s">
        <v>123</v>
      </c>
      <c r="L862" s="2" t="str">
        <f>"164"</f>
        <v>164</v>
      </c>
      <c r="M862" s="2"/>
      <c r="N862" s="2" t="str">
        <f>"MONTÉE MOREL"</f>
        <v>MONTÉE MOREL</v>
      </c>
      <c r="O862" s="2" t="s">
        <v>3185</v>
      </c>
      <c r="P862" s="9" t="str">
        <f>VLOOKUP($O862,'Liste des Villes'!$B$2:$B$1128,1,FALSE)</f>
        <v>Saint-Jérôme</v>
      </c>
      <c r="Q862" s="9" t="str">
        <f>IFERROR($P862,PROPER(VLOOKUP($O862,'Villes en erreur'!$A$2:$B$72,2,FALSE)))</f>
        <v>Saint-Jérôme</v>
      </c>
      <c r="R862" s="9" t="s">
        <v>3186</v>
      </c>
      <c r="S862" s="9" t="str">
        <f>IF(ISBLANK($R862),"",VLOOKUP($R862,'Liste des Villes'!$B$2:$H$1128,4,FALSE))</f>
        <v>Laurentides</v>
      </c>
      <c r="T862" s="2" t="s">
        <v>3632</v>
      </c>
      <c r="U862" s="2" t="s">
        <v>39</v>
      </c>
      <c r="V862" s="2" t="s">
        <v>40</v>
      </c>
      <c r="W862" s="2" t="s">
        <v>4860</v>
      </c>
      <c r="X862" s="2"/>
      <c r="Y862" s="2"/>
      <c r="Z862" s="2"/>
      <c r="AA862" s="2" t="s">
        <v>832</v>
      </c>
      <c r="AB862" s="2" t="s">
        <v>3221</v>
      </c>
      <c r="AC862" s="4" t="s">
        <v>44</v>
      </c>
    </row>
    <row r="863" spans="1:29" x14ac:dyDescent="0.25">
      <c r="A863" s="1">
        <v>1075</v>
      </c>
      <c r="B863" s="17" t="s">
        <v>4861</v>
      </c>
      <c r="C863" s="2" t="s">
        <v>3065</v>
      </c>
      <c r="D863" s="15" t="s">
        <v>1477</v>
      </c>
      <c r="E863" s="9" t="s">
        <v>3066</v>
      </c>
      <c r="F863" s="9" t="s">
        <v>1479</v>
      </c>
      <c r="G863" s="9" t="s">
        <v>3668</v>
      </c>
      <c r="H863" s="2" t="s">
        <v>60</v>
      </c>
      <c r="I863" s="3">
        <v>36221</v>
      </c>
      <c r="J863" s="9" t="str">
        <f t="shared" ca="1" si="15"/>
        <v>24 ans</v>
      </c>
      <c r="K863" s="2" t="s">
        <v>123</v>
      </c>
      <c r="L863" s="2" t="str">
        <f>"255"</f>
        <v>255</v>
      </c>
      <c r="M863" s="2"/>
      <c r="N863" s="2" t="str">
        <f>"RUE BEAUDOIN"</f>
        <v>RUE BEAUDOIN</v>
      </c>
      <c r="O863" s="2" t="s">
        <v>3185</v>
      </c>
      <c r="P863" s="9" t="str">
        <f>VLOOKUP($O863,'Liste des Villes'!$B$2:$B$1128,1,FALSE)</f>
        <v>Saint-Jérôme</v>
      </c>
      <c r="Q863" s="9" t="str">
        <f>IFERROR($P863,PROPER(VLOOKUP($O863,'Villes en erreur'!$A$2:$B$72,2,FALSE)))</f>
        <v>Saint-Jérôme</v>
      </c>
      <c r="R863" s="9" t="s">
        <v>3186</v>
      </c>
      <c r="S863" s="9" t="str">
        <f>IF(ISBLANK($R863),"",VLOOKUP($R863,'Liste des Villes'!$B$2:$H$1128,4,FALSE))</f>
        <v>Laurentides</v>
      </c>
      <c r="T863" s="2" t="s">
        <v>4862</v>
      </c>
      <c r="U863" s="2" t="s">
        <v>39</v>
      </c>
      <c r="V863" s="2" t="s">
        <v>40</v>
      </c>
      <c r="W863" s="2" t="s">
        <v>4863</v>
      </c>
      <c r="X863" s="2"/>
      <c r="Y863" s="2"/>
      <c r="Z863" s="2"/>
      <c r="AA863" s="2" t="s">
        <v>832</v>
      </c>
      <c r="AB863" s="2" t="s">
        <v>3288</v>
      </c>
      <c r="AC863" s="4" t="s">
        <v>44</v>
      </c>
    </row>
    <row r="864" spans="1:29" x14ac:dyDescent="0.25">
      <c r="A864" s="1">
        <v>2790</v>
      </c>
      <c r="B864" s="17" t="s">
        <v>4864</v>
      </c>
      <c r="C864" s="2" t="s">
        <v>4865</v>
      </c>
      <c r="D864" s="15" t="s">
        <v>1270</v>
      </c>
      <c r="E864" s="9" t="s">
        <v>996</v>
      </c>
      <c r="F864" s="9" t="s">
        <v>1268</v>
      </c>
      <c r="G864" s="9" t="s">
        <v>4866</v>
      </c>
      <c r="H864" s="2" t="s">
        <v>35</v>
      </c>
      <c r="I864" s="3">
        <v>36143</v>
      </c>
      <c r="J864" s="9" t="str">
        <f t="shared" ca="1" si="15"/>
        <v>24 ans</v>
      </c>
      <c r="K864" s="2" t="s">
        <v>123</v>
      </c>
      <c r="L864" s="2" t="str">
        <f>"220"</f>
        <v>220</v>
      </c>
      <c r="M864" s="2"/>
      <c r="N864" s="2" t="str">
        <f>"RUE ALBERT"</f>
        <v>RUE ALBERT</v>
      </c>
      <c r="O864" s="2" t="s">
        <v>3185</v>
      </c>
      <c r="P864" s="9" t="str">
        <f>VLOOKUP($O864,'Liste des Villes'!$B$2:$B$1128,1,FALSE)</f>
        <v>Saint-Jérôme</v>
      </c>
      <c r="Q864" s="9" t="str">
        <f>IFERROR($P864,PROPER(VLOOKUP($O864,'Villes en erreur'!$A$2:$B$72,2,FALSE)))</f>
        <v>Saint-Jérôme</v>
      </c>
      <c r="R864" s="9" t="s">
        <v>3186</v>
      </c>
      <c r="S864" s="9" t="str">
        <f>IF(ISBLANK($R864),"",VLOOKUP($R864,'Liste des Villes'!$B$2:$H$1128,4,FALSE))</f>
        <v>Laurentides</v>
      </c>
      <c r="T864" s="2" t="s">
        <v>4867</v>
      </c>
      <c r="U864" s="2" t="s">
        <v>39</v>
      </c>
      <c r="V864" s="2" t="s">
        <v>40</v>
      </c>
      <c r="W864" s="2" t="s">
        <v>4868</v>
      </c>
      <c r="X864" s="2"/>
      <c r="Y864" s="2"/>
      <c r="Z864" s="2"/>
      <c r="AA864" s="2" t="s">
        <v>832</v>
      </c>
      <c r="AB864" s="2" t="s">
        <v>3221</v>
      </c>
      <c r="AC864" s="4" t="s">
        <v>44</v>
      </c>
    </row>
    <row r="865" spans="1:29" x14ac:dyDescent="0.25">
      <c r="A865" s="1">
        <v>2147</v>
      </c>
      <c r="B865" s="17" t="s">
        <v>4869</v>
      </c>
      <c r="C865" s="2" t="s">
        <v>3483</v>
      </c>
      <c r="D865" s="15" t="s">
        <v>3484</v>
      </c>
      <c r="E865" s="9" t="s">
        <v>3485</v>
      </c>
      <c r="F865" s="9" t="s">
        <v>4870</v>
      </c>
      <c r="G865" s="9" t="s">
        <v>2635</v>
      </c>
      <c r="H865" s="2" t="s">
        <v>60</v>
      </c>
      <c r="I865" s="3">
        <v>35780</v>
      </c>
      <c r="J865" s="9" t="str">
        <f t="shared" ca="1" si="15"/>
        <v>25 ans</v>
      </c>
      <c r="K865" s="2" t="s">
        <v>123</v>
      </c>
      <c r="L865" s="2" t="str">
        <f>"141"</f>
        <v>141</v>
      </c>
      <c r="M865" s="2"/>
      <c r="N865" s="2" t="str">
        <f>"GRANDE ALLEE"</f>
        <v>GRANDE ALLEE</v>
      </c>
      <c r="O865" s="2" t="s">
        <v>3185</v>
      </c>
      <c r="P865" s="9" t="str">
        <f>VLOOKUP($O865,'Liste des Villes'!$B$2:$B$1128,1,FALSE)</f>
        <v>Saint-Jérôme</v>
      </c>
      <c r="Q865" s="9" t="str">
        <f>IFERROR($P865,PROPER(VLOOKUP($O865,'Villes en erreur'!$A$2:$B$72,2,FALSE)))</f>
        <v>Saint-Jérôme</v>
      </c>
      <c r="R865" s="9" t="s">
        <v>3186</v>
      </c>
      <c r="S865" s="9" t="str">
        <f>IF(ISBLANK($R865),"",VLOOKUP($R865,'Liste des Villes'!$B$2:$H$1128,4,FALSE))</f>
        <v>Laurentides</v>
      </c>
      <c r="T865" s="2" t="s">
        <v>3670</v>
      </c>
      <c r="U865" s="2" t="s">
        <v>39</v>
      </c>
      <c r="V865" s="2" t="s">
        <v>40</v>
      </c>
      <c r="W865" s="2" t="s">
        <v>4871</v>
      </c>
      <c r="X865" s="2"/>
      <c r="Y865" s="2"/>
      <c r="Z865" s="2"/>
      <c r="AA865" s="2" t="s">
        <v>3243</v>
      </c>
      <c r="AB865" s="2" t="s">
        <v>3221</v>
      </c>
      <c r="AC865" s="4" t="s">
        <v>44</v>
      </c>
    </row>
    <row r="866" spans="1:29" x14ac:dyDescent="0.25">
      <c r="A866" s="1">
        <v>2483</v>
      </c>
      <c r="B866" s="17" t="s">
        <v>4872</v>
      </c>
      <c r="C866" s="2" t="s">
        <v>4873</v>
      </c>
      <c r="D866" s="15" t="s">
        <v>4874</v>
      </c>
      <c r="E866" s="9" t="s">
        <v>956</v>
      </c>
      <c r="F866" s="9" t="s">
        <v>106</v>
      </c>
      <c r="G866" s="9" t="s">
        <v>495</v>
      </c>
      <c r="H866" s="2" t="s">
        <v>35</v>
      </c>
      <c r="I866" s="3">
        <v>34660</v>
      </c>
      <c r="J866" s="9" t="str">
        <f t="shared" ca="1" si="15"/>
        <v>28 ans</v>
      </c>
      <c r="K866" s="2" t="s">
        <v>36</v>
      </c>
      <c r="L866" s="2" t="str">
        <f>"69"</f>
        <v>69</v>
      </c>
      <c r="M866" s="2"/>
      <c r="N866" s="2" t="str">
        <f>"CH DE LA REINE"</f>
        <v>CH DE LA REINE</v>
      </c>
      <c r="O866" s="2" t="s">
        <v>3185</v>
      </c>
      <c r="P866" s="9" t="str">
        <f>VLOOKUP($O866,'Liste des Villes'!$B$2:$B$1128,1,FALSE)</f>
        <v>Saint-Jérôme</v>
      </c>
      <c r="Q866" s="9" t="str">
        <f>IFERROR($P866,PROPER(VLOOKUP($O866,'Villes en erreur'!$A$2:$B$72,2,FALSE)))</f>
        <v>Saint-Jérôme</v>
      </c>
      <c r="R866" s="9" t="s">
        <v>3186</v>
      </c>
      <c r="S866" s="9" t="str">
        <f>IF(ISBLANK($R866),"",VLOOKUP($R866,'Liste des Villes'!$B$2:$H$1128,4,FALSE))</f>
        <v>Laurentides</v>
      </c>
      <c r="T866" s="2" t="s">
        <v>3223</v>
      </c>
      <c r="U866" s="2" t="s">
        <v>39</v>
      </c>
      <c r="V866" s="2" t="s">
        <v>40</v>
      </c>
      <c r="W866" s="2" t="s">
        <v>4875</v>
      </c>
      <c r="X866" s="2"/>
      <c r="Y866" s="2"/>
      <c r="Z866" s="2"/>
      <c r="AA866" s="2" t="s">
        <v>3225</v>
      </c>
      <c r="AB866" s="2" t="s">
        <v>53</v>
      </c>
      <c r="AC866" s="4" t="s">
        <v>44</v>
      </c>
    </row>
    <row r="867" spans="1:29" x14ac:dyDescent="0.25">
      <c r="A867" s="1">
        <v>1445</v>
      </c>
      <c r="B867" s="17" t="s">
        <v>4876</v>
      </c>
      <c r="C867" s="2" t="s">
        <v>3413</v>
      </c>
      <c r="D867" s="15" t="s">
        <v>1016</v>
      </c>
      <c r="E867" s="9" t="s">
        <v>131</v>
      </c>
      <c r="F867" s="9" t="s">
        <v>4877</v>
      </c>
      <c r="G867" s="9" t="s">
        <v>2635</v>
      </c>
      <c r="H867" s="2" t="s">
        <v>60</v>
      </c>
      <c r="I867" s="3">
        <v>35767</v>
      </c>
      <c r="J867" s="9" t="str">
        <f t="shared" ca="1" si="15"/>
        <v>25 ans</v>
      </c>
      <c r="K867" s="2" t="s">
        <v>123</v>
      </c>
      <c r="L867" s="2" t="str">
        <f>"140"</f>
        <v>140</v>
      </c>
      <c r="M867" s="2"/>
      <c r="N867" s="2" t="str">
        <f>"FÉLIX-ANTOINE-SAVARD"</f>
        <v>FÉLIX-ANTOINE-SAVARD</v>
      </c>
      <c r="O867" s="2" t="s">
        <v>3185</v>
      </c>
      <c r="P867" s="9" t="str">
        <f>VLOOKUP($O867,'Liste des Villes'!$B$2:$B$1128,1,FALSE)</f>
        <v>Saint-Jérôme</v>
      </c>
      <c r="Q867" s="9" t="str">
        <f>IFERROR($P867,PROPER(VLOOKUP($O867,'Villes en erreur'!$A$2:$B$72,2,FALSE)))</f>
        <v>Saint-Jérôme</v>
      </c>
      <c r="R867" s="9" t="s">
        <v>3186</v>
      </c>
      <c r="S867" s="9" t="str">
        <f>IF(ISBLANK($R867),"",VLOOKUP($R867,'Liste des Villes'!$B$2:$H$1128,4,FALSE))</f>
        <v>Laurentides</v>
      </c>
      <c r="T867" s="2" t="s">
        <v>4878</v>
      </c>
      <c r="U867" s="2" t="s">
        <v>39</v>
      </c>
      <c r="V867" s="2" t="s">
        <v>40</v>
      </c>
      <c r="W867" s="2" t="s">
        <v>4879</v>
      </c>
      <c r="X867" s="2"/>
      <c r="Y867" s="2"/>
      <c r="Z867" s="2"/>
      <c r="AA867" s="2" t="s">
        <v>3243</v>
      </c>
      <c r="AB867" s="2" t="s">
        <v>3221</v>
      </c>
      <c r="AC867" s="4" t="s">
        <v>44</v>
      </c>
    </row>
    <row r="868" spans="1:29" x14ac:dyDescent="0.25">
      <c r="A868" s="1">
        <v>4576</v>
      </c>
      <c r="B868" s="17" t="s">
        <v>4880</v>
      </c>
      <c r="C868" s="2" t="s">
        <v>177</v>
      </c>
      <c r="D868" s="15" t="s">
        <v>178</v>
      </c>
      <c r="E868" s="9" t="s">
        <v>179</v>
      </c>
      <c r="F868" s="9" t="s">
        <v>4881</v>
      </c>
      <c r="G868" s="9" t="s">
        <v>3844</v>
      </c>
      <c r="H868" s="2" t="s">
        <v>35</v>
      </c>
      <c r="I868" s="3">
        <v>35871</v>
      </c>
      <c r="J868" s="9" t="str">
        <f t="shared" ca="1" si="15"/>
        <v>25 ans</v>
      </c>
      <c r="K868" s="2" t="s">
        <v>123</v>
      </c>
      <c r="L868" s="2" t="str">
        <f>"152"</f>
        <v>152</v>
      </c>
      <c r="M868" s="2"/>
      <c r="N868" s="2" t="str">
        <f>"MAISONNEUVE BLVD"</f>
        <v>MAISONNEUVE BLVD</v>
      </c>
      <c r="O868" s="2" t="s">
        <v>3185</v>
      </c>
      <c r="P868" s="9" t="str">
        <f>VLOOKUP($O868,'Liste des Villes'!$B$2:$B$1128,1,FALSE)</f>
        <v>Saint-Jérôme</v>
      </c>
      <c r="Q868" s="9" t="str">
        <f>IFERROR($P868,PROPER(VLOOKUP($O868,'Villes en erreur'!$A$2:$B$72,2,FALSE)))</f>
        <v>Saint-Jérôme</v>
      </c>
      <c r="R868" s="9" t="s">
        <v>3186</v>
      </c>
      <c r="S868" s="9" t="str">
        <f>IF(ISBLANK($R868),"",VLOOKUP($R868,'Liste des Villes'!$B$2:$H$1128,4,FALSE))</f>
        <v>Laurentides</v>
      </c>
      <c r="T868" s="2" t="s">
        <v>3845</v>
      </c>
      <c r="U868" s="2" t="s">
        <v>39</v>
      </c>
      <c r="V868" s="2" t="s">
        <v>40</v>
      </c>
      <c r="W868" s="2" t="s">
        <v>4882</v>
      </c>
      <c r="X868" s="2"/>
      <c r="Y868" s="2"/>
      <c r="Z868" s="2"/>
      <c r="AA868" s="2" t="s">
        <v>3243</v>
      </c>
      <c r="AB868" s="2" t="s">
        <v>3221</v>
      </c>
      <c r="AC868" s="4" t="s">
        <v>44</v>
      </c>
    </row>
    <row r="869" spans="1:29" x14ac:dyDescent="0.25">
      <c r="A869" s="1">
        <v>2448</v>
      </c>
      <c r="B869" s="17" t="s">
        <v>4883</v>
      </c>
      <c r="C869" s="2" t="s">
        <v>105</v>
      </c>
      <c r="D869" s="15" t="s">
        <v>106</v>
      </c>
      <c r="E869" s="9" t="s">
        <v>107</v>
      </c>
      <c r="F869" s="9" t="s">
        <v>4874</v>
      </c>
      <c r="G869" s="9" t="s">
        <v>1024</v>
      </c>
      <c r="H869" s="2" t="s">
        <v>35</v>
      </c>
      <c r="I869" s="3">
        <v>36184</v>
      </c>
      <c r="J869" s="9" t="str">
        <f t="shared" ca="1" si="15"/>
        <v>24 ans</v>
      </c>
      <c r="K869" s="2" t="s">
        <v>123</v>
      </c>
      <c r="L869" s="2" t="str">
        <f>"235"</f>
        <v>235</v>
      </c>
      <c r="M869" s="2"/>
      <c r="N869" s="2" t="str">
        <f>"RUE ANGÈLE"</f>
        <v>RUE ANGÈLE</v>
      </c>
      <c r="O869" s="2" t="s">
        <v>3186</v>
      </c>
      <c r="P869" s="9" t="str">
        <f>VLOOKUP($O869,'Liste des Villes'!$B$2:$B$1128,1,FALSE)</f>
        <v>Saint-Jérôme</v>
      </c>
      <c r="Q869" s="9" t="str">
        <f>IFERROR($P869,PROPER(VLOOKUP($O869,'Villes en erreur'!$A$2:$B$72,2,FALSE)))</f>
        <v>Saint-Jérôme</v>
      </c>
      <c r="R869" s="9" t="s">
        <v>3186</v>
      </c>
      <c r="S869" s="9" t="str">
        <f>IF(ISBLANK($R869),"",VLOOKUP($R869,'Liste des Villes'!$B$2:$H$1128,4,FALSE))</f>
        <v>Laurentides</v>
      </c>
      <c r="T869" s="2" t="s">
        <v>4884</v>
      </c>
      <c r="U869" s="2" t="s">
        <v>39</v>
      </c>
      <c r="V869" s="2" t="s">
        <v>40</v>
      </c>
      <c r="W869" s="2" t="s">
        <v>4885</v>
      </c>
      <c r="X869" s="2"/>
      <c r="Y869" s="2"/>
      <c r="Z869" s="2"/>
      <c r="AA869" s="2" t="s">
        <v>832</v>
      </c>
      <c r="AB869" s="2" t="s">
        <v>4693</v>
      </c>
      <c r="AC869" s="4" t="s">
        <v>44</v>
      </c>
    </row>
    <row r="870" spans="1:29" x14ac:dyDescent="0.25">
      <c r="A870" s="1">
        <v>3168</v>
      </c>
      <c r="B870" s="17" t="s">
        <v>4886</v>
      </c>
      <c r="C870" s="2" t="s">
        <v>3320</v>
      </c>
      <c r="D870" s="15" t="s">
        <v>1371</v>
      </c>
      <c r="E870" s="9" t="s">
        <v>1091</v>
      </c>
      <c r="F870" s="9" t="s">
        <v>1092</v>
      </c>
      <c r="G870" s="9" t="s">
        <v>4887</v>
      </c>
      <c r="H870" s="2" t="s">
        <v>60</v>
      </c>
      <c r="I870" s="3">
        <v>35379</v>
      </c>
      <c r="J870" s="9" t="str">
        <f t="shared" ca="1" si="15"/>
        <v>26 ans</v>
      </c>
      <c r="K870" s="2" t="s">
        <v>36</v>
      </c>
      <c r="L870" s="2" t="str">
        <f>"112"</f>
        <v>112</v>
      </c>
      <c r="M870" s="2"/>
      <c r="N870" s="2" t="str">
        <f>"CHEMIN DU 5 RANG NORD"</f>
        <v>CHEMIN DU 5 RANG NORD</v>
      </c>
      <c r="O870" s="2" t="s">
        <v>3185</v>
      </c>
      <c r="P870" s="9" t="str">
        <f>VLOOKUP($O870,'Liste des Villes'!$B$2:$B$1128,1,FALSE)</f>
        <v>Saint-Jérôme</v>
      </c>
      <c r="Q870" s="9" t="str">
        <f>IFERROR($P870,PROPER(VLOOKUP($O870,'Villes en erreur'!$A$2:$B$72,2,FALSE)))</f>
        <v>Saint-Jérôme</v>
      </c>
      <c r="R870" s="9" t="s">
        <v>3186</v>
      </c>
      <c r="S870" s="9" t="str">
        <f>IF(ISBLANK($R870),"",VLOOKUP($R870,'Liste des Villes'!$B$2:$H$1128,4,FALSE))</f>
        <v>Laurentides</v>
      </c>
      <c r="T870" s="2" t="s">
        <v>4888</v>
      </c>
      <c r="U870" s="2" t="s">
        <v>39</v>
      </c>
      <c r="V870" s="2" t="s">
        <v>40</v>
      </c>
      <c r="W870" s="2" t="s">
        <v>4889</v>
      </c>
      <c r="X870" s="2"/>
      <c r="Y870" s="2"/>
      <c r="Z870" s="2"/>
      <c r="AA870" s="2" t="s">
        <v>3189</v>
      </c>
      <c r="AB870" s="2" t="s">
        <v>3200</v>
      </c>
      <c r="AC870" s="4" t="s">
        <v>44</v>
      </c>
    </row>
    <row r="871" spans="1:29" x14ac:dyDescent="0.25">
      <c r="A871" s="1">
        <v>670</v>
      </c>
      <c r="B871" s="17" t="s">
        <v>4890</v>
      </c>
      <c r="C871" s="2" t="s">
        <v>4891</v>
      </c>
      <c r="D871" s="15" t="s">
        <v>1136</v>
      </c>
      <c r="E871" s="9" t="s">
        <v>4892</v>
      </c>
      <c r="F871" s="9" t="s">
        <v>4893</v>
      </c>
      <c r="G871" s="9" t="s">
        <v>3721</v>
      </c>
      <c r="H871" s="2" t="s">
        <v>60</v>
      </c>
      <c r="I871" s="3">
        <v>35718</v>
      </c>
      <c r="J871" s="9" t="str">
        <f t="shared" ca="1" si="15"/>
        <v>25 ans</v>
      </c>
      <c r="K871" s="2" t="s">
        <v>123</v>
      </c>
      <c r="L871" s="2" t="str">
        <f>"137"</f>
        <v>137</v>
      </c>
      <c r="M871" s="2"/>
      <c r="N871" s="2" t="str">
        <f>"DOMAINE ROUSSEL"</f>
        <v>DOMAINE ROUSSEL</v>
      </c>
      <c r="O871" s="2" t="s">
        <v>3185</v>
      </c>
      <c r="P871" s="9" t="str">
        <f>VLOOKUP($O871,'Liste des Villes'!$B$2:$B$1128,1,FALSE)</f>
        <v>Saint-Jérôme</v>
      </c>
      <c r="Q871" s="9" t="str">
        <f>IFERROR($P871,PROPER(VLOOKUP($O871,'Villes en erreur'!$A$2:$B$72,2,FALSE)))</f>
        <v>Saint-Jérôme</v>
      </c>
      <c r="R871" s="9" t="s">
        <v>3186</v>
      </c>
      <c r="S871" s="9" t="str">
        <f>IF(ISBLANK($R871),"",VLOOKUP($R871,'Liste des Villes'!$B$2:$H$1128,4,FALSE))</f>
        <v>Laurentides</v>
      </c>
      <c r="T871" s="2" t="s">
        <v>4894</v>
      </c>
      <c r="U871" s="2" t="s">
        <v>39</v>
      </c>
      <c r="V871" s="2" t="s">
        <v>40</v>
      </c>
      <c r="W871" s="2" t="s">
        <v>4895</v>
      </c>
      <c r="X871" s="2"/>
      <c r="Y871" s="2"/>
      <c r="Z871" s="2"/>
      <c r="AA871" s="2" t="s">
        <v>3243</v>
      </c>
      <c r="AB871" s="2" t="s">
        <v>3221</v>
      </c>
      <c r="AC871" s="4" t="s">
        <v>44</v>
      </c>
    </row>
    <row r="872" spans="1:29" x14ac:dyDescent="0.25">
      <c r="A872" s="1">
        <v>259</v>
      </c>
      <c r="B872" s="17" t="s">
        <v>4896</v>
      </c>
      <c r="C872" s="2" t="s">
        <v>4897</v>
      </c>
      <c r="D872" s="15" t="s">
        <v>1477</v>
      </c>
      <c r="E872" s="9" t="s">
        <v>4898</v>
      </c>
      <c r="F872" s="9" t="s">
        <v>1479</v>
      </c>
      <c r="G872" s="9" t="s">
        <v>851</v>
      </c>
      <c r="H872" s="2" t="s">
        <v>35</v>
      </c>
      <c r="I872" s="3">
        <v>36155</v>
      </c>
      <c r="J872" s="9" t="str">
        <f t="shared" ca="1" si="15"/>
        <v>24 ans</v>
      </c>
      <c r="K872" s="2" t="s">
        <v>123</v>
      </c>
      <c r="L872" s="2" t="str">
        <f>"223"</f>
        <v>223</v>
      </c>
      <c r="M872" s="2"/>
      <c r="N872" s="2" t="str">
        <f>"RUE ALDÈGE-BÉLISLE"</f>
        <v>RUE ALDÈGE-BÉLISLE</v>
      </c>
      <c r="O872" s="2" t="s">
        <v>3185</v>
      </c>
      <c r="P872" s="9" t="str">
        <f>VLOOKUP($O872,'Liste des Villes'!$B$2:$B$1128,1,FALSE)</f>
        <v>Saint-Jérôme</v>
      </c>
      <c r="Q872" s="9" t="str">
        <f>IFERROR($P872,PROPER(VLOOKUP($O872,'Villes en erreur'!$A$2:$B$72,2,FALSE)))</f>
        <v>Saint-Jérôme</v>
      </c>
      <c r="R872" s="9" t="s">
        <v>3186</v>
      </c>
      <c r="S872" s="9" t="str">
        <f>IF(ISBLANK($R872),"",VLOOKUP($R872,'Liste des Villes'!$B$2:$H$1128,4,FALSE))</f>
        <v>Laurentides</v>
      </c>
      <c r="T872" s="2" t="s">
        <v>3314</v>
      </c>
      <c r="U872" s="2" t="s">
        <v>39</v>
      </c>
      <c r="V872" s="2" t="s">
        <v>40</v>
      </c>
      <c r="W872" s="2" t="s">
        <v>4899</v>
      </c>
      <c r="X872" s="2"/>
      <c r="Y872" s="2"/>
      <c r="Z872" s="2"/>
      <c r="AA872" s="2" t="s">
        <v>832</v>
      </c>
      <c r="AB872" s="2" t="s">
        <v>3221</v>
      </c>
      <c r="AC872" s="4" t="s">
        <v>44</v>
      </c>
    </row>
    <row r="873" spans="1:29" x14ac:dyDescent="0.25">
      <c r="A873" s="1">
        <v>723</v>
      </c>
      <c r="B873" s="17" t="s">
        <v>4900</v>
      </c>
      <c r="C873" s="2" t="s">
        <v>4901</v>
      </c>
      <c r="D873" s="15" t="s">
        <v>4902</v>
      </c>
      <c r="E873" s="9" t="s">
        <v>4903</v>
      </c>
      <c r="F873" s="9" t="s">
        <v>1076</v>
      </c>
      <c r="G873" s="9" t="s">
        <v>2100</v>
      </c>
      <c r="H873" s="2" t="s">
        <v>60</v>
      </c>
      <c r="I873" s="3">
        <v>34185</v>
      </c>
      <c r="J873" s="9" t="str">
        <f t="shared" ca="1" si="15"/>
        <v>30 ans</v>
      </c>
      <c r="K873" s="2" t="s">
        <v>36</v>
      </c>
      <c r="L873" s="2" t="str">
        <f>"48"</f>
        <v>48</v>
      </c>
      <c r="M873" s="2"/>
      <c r="N873" s="2" t="str">
        <f>"BOULEVARD DE LA SALLETTE"</f>
        <v>BOULEVARD DE LA SALLETTE</v>
      </c>
      <c r="O873" s="2" t="s">
        <v>3185</v>
      </c>
      <c r="P873" s="9" t="str">
        <f>VLOOKUP($O873,'Liste des Villes'!$B$2:$B$1128,1,FALSE)</f>
        <v>Saint-Jérôme</v>
      </c>
      <c r="Q873" s="9" t="str">
        <f>IFERROR($P873,PROPER(VLOOKUP($O873,'Villes en erreur'!$A$2:$B$72,2,FALSE)))</f>
        <v>Saint-Jérôme</v>
      </c>
      <c r="R873" s="9" t="s">
        <v>3186</v>
      </c>
      <c r="S873" s="9" t="str">
        <f>IF(ISBLANK($R873),"",VLOOKUP($R873,'Liste des Villes'!$B$2:$H$1128,4,FALSE))</f>
        <v>Laurentides</v>
      </c>
      <c r="T873" s="2" t="s">
        <v>3358</v>
      </c>
      <c r="U873" s="2" t="s">
        <v>39</v>
      </c>
      <c r="V873" s="2" t="s">
        <v>40</v>
      </c>
      <c r="W873" s="2" t="s">
        <v>4904</v>
      </c>
      <c r="X873" s="2"/>
      <c r="Y873" s="2"/>
      <c r="Z873" s="2"/>
      <c r="AA873" s="2" t="s">
        <v>3360</v>
      </c>
      <c r="AB873" s="2" t="s">
        <v>53</v>
      </c>
      <c r="AC873" s="4" t="s">
        <v>44</v>
      </c>
    </row>
    <row r="874" spans="1:29" x14ac:dyDescent="0.25">
      <c r="A874" s="1">
        <v>34</v>
      </c>
      <c r="B874" s="17" t="s">
        <v>4905</v>
      </c>
      <c r="C874" s="2" t="s">
        <v>4906</v>
      </c>
      <c r="D874" s="15" t="s">
        <v>4907</v>
      </c>
      <c r="E874" s="9" t="s">
        <v>219</v>
      </c>
      <c r="F874" s="9" t="s">
        <v>803</v>
      </c>
      <c r="G874" s="9" t="s">
        <v>600</v>
      </c>
      <c r="H874" s="2" t="s">
        <v>60</v>
      </c>
      <c r="I874" s="3">
        <v>35980</v>
      </c>
      <c r="J874" s="9" t="str">
        <f t="shared" ca="1" si="15"/>
        <v>25 ans</v>
      </c>
      <c r="K874" s="2" t="s">
        <v>123</v>
      </c>
      <c r="L874" s="2" t="str">
        <f>"172"</f>
        <v>172</v>
      </c>
      <c r="M874" s="2"/>
      <c r="N874" s="2" t="str">
        <f>"PLACE BÉLISLE"</f>
        <v>PLACE BÉLISLE</v>
      </c>
      <c r="O874" s="2" t="s">
        <v>3185</v>
      </c>
      <c r="P874" s="9" t="str">
        <f>VLOOKUP($O874,'Liste des Villes'!$B$2:$B$1128,1,FALSE)</f>
        <v>Saint-Jérôme</v>
      </c>
      <c r="Q874" s="9" t="str">
        <f>IFERROR($P874,PROPER(VLOOKUP($O874,'Villes en erreur'!$A$2:$B$72,2,FALSE)))</f>
        <v>Saint-Jérôme</v>
      </c>
      <c r="R874" s="9" t="s">
        <v>3186</v>
      </c>
      <c r="S874" s="9" t="str">
        <f>IF(ISBLANK($R874),"",VLOOKUP($R874,'Liste des Villes'!$B$2:$H$1128,4,FALSE))</f>
        <v>Laurentides</v>
      </c>
      <c r="T874" s="2" t="s">
        <v>4908</v>
      </c>
      <c r="U874" s="2" t="s">
        <v>39</v>
      </c>
      <c r="V874" s="2" t="s">
        <v>40</v>
      </c>
      <c r="W874" s="2" t="s">
        <v>4909</v>
      </c>
      <c r="X874" s="2"/>
      <c r="Y874" s="2"/>
      <c r="Z874" s="2"/>
      <c r="AA874" s="2" t="s">
        <v>832</v>
      </c>
      <c r="AB874" s="2" t="s">
        <v>3221</v>
      </c>
      <c r="AC874" s="4" t="s">
        <v>44</v>
      </c>
    </row>
    <row r="875" spans="1:29" x14ac:dyDescent="0.25">
      <c r="A875" s="1">
        <v>711</v>
      </c>
      <c r="B875" s="17" t="s">
        <v>4910</v>
      </c>
      <c r="C875" s="2" t="s">
        <v>4911</v>
      </c>
      <c r="D875" s="15" t="s">
        <v>957</v>
      </c>
      <c r="E875" s="9" t="s">
        <v>4912</v>
      </c>
      <c r="F875" s="9" t="s">
        <v>955</v>
      </c>
      <c r="G875" s="9" t="s">
        <v>495</v>
      </c>
      <c r="H875" s="2" t="s">
        <v>35</v>
      </c>
      <c r="I875" s="3">
        <v>34679</v>
      </c>
      <c r="J875" s="9" t="str">
        <f t="shared" ca="1" si="15"/>
        <v>28 ans</v>
      </c>
      <c r="K875" s="2" t="s">
        <v>36</v>
      </c>
      <c r="L875" s="2" t="str">
        <f>"70"</f>
        <v>70</v>
      </c>
      <c r="M875" s="2"/>
      <c r="N875" s="2" t="str">
        <f>"CH DE LA SAVANE"</f>
        <v>CH DE LA SAVANE</v>
      </c>
      <c r="O875" s="2" t="s">
        <v>3185</v>
      </c>
      <c r="P875" s="9" t="str">
        <f>VLOOKUP($O875,'Liste des Villes'!$B$2:$B$1128,1,FALSE)</f>
        <v>Saint-Jérôme</v>
      </c>
      <c r="Q875" s="9" t="str">
        <f>IFERROR($P875,PROPER(VLOOKUP($O875,'Villes en erreur'!$A$2:$B$72,2,FALSE)))</f>
        <v>Saint-Jérôme</v>
      </c>
      <c r="R875" s="9" t="s">
        <v>3186</v>
      </c>
      <c r="S875" s="9" t="str">
        <f>IF(ISBLANK($R875),"",VLOOKUP($R875,'Liste des Villes'!$B$2:$H$1128,4,FALSE))</f>
        <v>Laurentides</v>
      </c>
      <c r="T875" s="2" t="s">
        <v>4119</v>
      </c>
      <c r="U875" s="2" t="s">
        <v>39</v>
      </c>
      <c r="V875" s="2" t="s">
        <v>40</v>
      </c>
      <c r="W875" s="2" t="s">
        <v>4913</v>
      </c>
      <c r="X875" s="2"/>
      <c r="Y875" s="2"/>
      <c r="Z875" s="2"/>
      <c r="AA875" s="2" t="s">
        <v>3225</v>
      </c>
      <c r="AB875" s="2" t="s">
        <v>53</v>
      </c>
      <c r="AC875" s="4" t="s">
        <v>44</v>
      </c>
    </row>
    <row r="876" spans="1:29" x14ac:dyDescent="0.25">
      <c r="A876" s="1">
        <v>364</v>
      </c>
      <c r="B876" s="17" t="s">
        <v>4914</v>
      </c>
      <c r="C876" s="2" t="s">
        <v>4915</v>
      </c>
      <c r="D876" s="15" t="s">
        <v>4067</v>
      </c>
      <c r="E876" s="9" t="s">
        <v>4916</v>
      </c>
      <c r="F876" s="9" t="s">
        <v>4066</v>
      </c>
      <c r="G876" s="9" t="s">
        <v>4917</v>
      </c>
      <c r="H876" s="2" t="s">
        <v>60</v>
      </c>
      <c r="I876" s="3">
        <v>35839</v>
      </c>
      <c r="J876" s="9" t="str">
        <f t="shared" ca="1" si="15"/>
        <v>25 ans</v>
      </c>
      <c r="K876" s="2" t="s">
        <v>123</v>
      </c>
      <c r="L876" s="2" t="str">
        <f>"146"</f>
        <v>146</v>
      </c>
      <c r="M876" s="2"/>
      <c r="N876" s="2" t="str">
        <f>"LAFONTAINE BLVD"</f>
        <v>LAFONTAINE BLVD</v>
      </c>
      <c r="O876" s="2" t="s">
        <v>3186</v>
      </c>
      <c r="P876" s="9" t="str">
        <f>VLOOKUP($O876,'Liste des Villes'!$B$2:$B$1128,1,FALSE)</f>
        <v>Saint-Jérôme</v>
      </c>
      <c r="Q876" s="9" t="str">
        <f>IFERROR($P876,PROPER(VLOOKUP($O876,'Villes en erreur'!$A$2:$B$72,2,FALSE)))</f>
        <v>Saint-Jérôme</v>
      </c>
      <c r="R876" s="9" t="s">
        <v>3186</v>
      </c>
      <c r="S876" s="9" t="str">
        <f>IF(ISBLANK($R876),"",VLOOKUP($R876,'Liste des Villes'!$B$2:$H$1128,4,FALSE))</f>
        <v>Laurentides</v>
      </c>
      <c r="T876" s="2" t="s">
        <v>4918</v>
      </c>
      <c r="U876" s="2" t="s">
        <v>39</v>
      </c>
      <c r="V876" s="2" t="s">
        <v>40</v>
      </c>
      <c r="W876" s="2" t="s">
        <v>4919</v>
      </c>
      <c r="X876" s="2"/>
      <c r="Y876" s="2"/>
      <c r="Z876" s="2"/>
      <c r="AA876" s="2" t="s">
        <v>3243</v>
      </c>
      <c r="AB876" s="2" t="s">
        <v>3221</v>
      </c>
      <c r="AC876" s="4" t="s">
        <v>44</v>
      </c>
    </row>
    <row r="877" spans="1:29" x14ac:dyDescent="0.25">
      <c r="A877" s="1">
        <v>1936</v>
      </c>
      <c r="B877" s="17" t="s">
        <v>4920</v>
      </c>
      <c r="C877" s="2" t="s">
        <v>4921</v>
      </c>
      <c r="D877" s="15" t="s">
        <v>4922</v>
      </c>
      <c r="E877" s="9" t="s">
        <v>775</v>
      </c>
      <c r="F877" s="9" t="s">
        <v>2085</v>
      </c>
      <c r="G877" s="9" t="s">
        <v>380</v>
      </c>
      <c r="H877" s="2" t="s">
        <v>60</v>
      </c>
      <c r="I877" s="3">
        <v>34384</v>
      </c>
      <c r="J877" s="9" t="str">
        <f t="shared" ca="1" si="15"/>
        <v>29 ans</v>
      </c>
      <c r="K877" s="2" t="s">
        <v>36</v>
      </c>
      <c r="L877" s="2" t="str">
        <f>"56"</f>
        <v>56</v>
      </c>
      <c r="M877" s="2"/>
      <c r="N877" s="2" t="str">
        <f>"BRUNO NANTEL"</f>
        <v>BRUNO NANTEL</v>
      </c>
      <c r="O877" s="2" t="s">
        <v>3185</v>
      </c>
      <c r="P877" s="9" t="str">
        <f>VLOOKUP($O877,'Liste des Villes'!$B$2:$B$1128,1,FALSE)</f>
        <v>Saint-Jérôme</v>
      </c>
      <c r="Q877" s="9" t="str">
        <f>IFERROR($P877,PROPER(VLOOKUP($O877,'Villes en erreur'!$A$2:$B$72,2,FALSE)))</f>
        <v>Saint-Jérôme</v>
      </c>
      <c r="R877" s="9" t="s">
        <v>3186</v>
      </c>
      <c r="S877" s="9" t="str">
        <f>IF(ISBLANK($R877),"",VLOOKUP($R877,'Liste des Villes'!$B$2:$H$1128,4,FALSE))</f>
        <v>Laurentides</v>
      </c>
      <c r="T877" s="2" t="s">
        <v>3291</v>
      </c>
      <c r="U877" s="2" t="s">
        <v>39</v>
      </c>
      <c r="V877" s="2" t="s">
        <v>40</v>
      </c>
      <c r="W877" s="2" t="s">
        <v>4923</v>
      </c>
      <c r="X877" s="2"/>
      <c r="Y877" s="2"/>
      <c r="Z877" s="2"/>
      <c r="AA877" s="2" t="s">
        <v>3293</v>
      </c>
      <c r="AB877" s="2" t="s">
        <v>53</v>
      </c>
      <c r="AC877" s="4" t="s">
        <v>44</v>
      </c>
    </row>
    <row r="878" spans="1:29" x14ac:dyDescent="0.25">
      <c r="A878" s="1">
        <v>4585</v>
      </c>
      <c r="B878" s="17" t="s">
        <v>4924</v>
      </c>
      <c r="C878" s="2" t="s">
        <v>4457</v>
      </c>
      <c r="D878" s="15" t="s">
        <v>1808</v>
      </c>
      <c r="E878" s="9" t="s">
        <v>2381</v>
      </c>
      <c r="F878" s="9" t="s">
        <v>1807</v>
      </c>
      <c r="G878" s="9" t="s">
        <v>4925</v>
      </c>
      <c r="H878" s="2" t="s">
        <v>60</v>
      </c>
      <c r="I878" s="3">
        <v>35732</v>
      </c>
      <c r="J878" s="9" t="str">
        <f t="shared" ca="1" si="15"/>
        <v>25 ans</v>
      </c>
      <c r="K878" s="2" t="s">
        <v>123</v>
      </c>
      <c r="L878" s="2" t="str">
        <f>"138"</f>
        <v>138</v>
      </c>
      <c r="M878" s="2"/>
      <c r="N878" s="2" t="str">
        <f>"DU CURÉ-LABELLE BLVD"</f>
        <v>DU CURÉ-LABELLE BLVD</v>
      </c>
      <c r="O878" s="2" t="s">
        <v>3185</v>
      </c>
      <c r="P878" s="9" t="str">
        <f>VLOOKUP($O878,'Liste des Villes'!$B$2:$B$1128,1,FALSE)</f>
        <v>Saint-Jérôme</v>
      </c>
      <c r="Q878" s="9" t="str">
        <f>IFERROR($P878,PROPER(VLOOKUP($O878,'Villes en erreur'!$A$2:$B$72,2,FALSE)))</f>
        <v>Saint-Jérôme</v>
      </c>
      <c r="R878" s="9" t="s">
        <v>3186</v>
      </c>
      <c r="S878" s="9" t="str">
        <f>IF(ISBLANK($R878),"",VLOOKUP($R878,'Liste des Villes'!$B$2:$H$1128,4,FALSE))</f>
        <v>Laurentides</v>
      </c>
      <c r="T878" s="2" t="s">
        <v>4926</v>
      </c>
      <c r="U878" s="2" t="s">
        <v>39</v>
      </c>
      <c r="V878" s="2" t="s">
        <v>40</v>
      </c>
      <c r="W878" s="2" t="s">
        <v>4927</v>
      </c>
      <c r="X878" s="2"/>
      <c r="Y878" s="2"/>
      <c r="Z878" s="2"/>
      <c r="AA878" s="2" t="s">
        <v>3243</v>
      </c>
      <c r="AB878" s="2" t="s">
        <v>3221</v>
      </c>
      <c r="AC878" s="4" t="s">
        <v>44</v>
      </c>
    </row>
    <row r="879" spans="1:29" x14ac:dyDescent="0.25">
      <c r="A879" s="1">
        <v>289</v>
      </c>
      <c r="B879" s="17" t="s">
        <v>4928</v>
      </c>
      <c r="C879" s="2" t="s">
        <v>947</v>
      </c>
      <c r="D879" s="15" t="s">
        <v>948</v>
      </c>
      <c r="E879" s="9" t="s">
        <v>949</v>
      </c>
      <c r="F879" s="9" t="s">
        <v>3783</v>
      </c>
      <c r="G879" s="9" t="s">
        <v>2796</v>
      </c>
      <c r="H879" s="2" t="s">
        <v>35</v>
      </c>
      <c r="I879" s="3">
        <v>35270</v>
      </c>
      <c r="J879" s="9" t="str">
        <f t="shared" ca="1" si="15"/>
        <v>27 ans</v>
      </c>
      <c r="K879" s="2" t="s">
        <v>36</v>
      </c>
      <c r="L879" s="2" t="str">
        <f>"107"</f>
        <v>107</v>
      </c>
      <c r="M879" s="2"/>
      <c r="N879" s="2" t="str">
        <f>"CHEMIN DE LA CÔTE SUD"</f>
        <v>CHEMIN DE LA CÔTE SUD</v>
      </c>
      <c r="O879" s="2" t="s">
        <v>3185</v>
      </c>
      <c r="P879" s="9" t="str">
        <f>VLOOKUP($O879,'Liste des Villes'!$B$2:$B$1128,1,FALSE)</f>
        <v>Saint-Jérôme</v>
      </c>
      <c r="Q879" s="9" t="str">
        <f>IFERROR($P879,PROPER(VLOOKUP($O879,'Villes en erreur'!$A$2:$B$72,2,FALSE)))</f>
        <v>Saint-Jérôme</v>
      </c>
      <c r="R879" s="9" t="s">
        <v>3186</v>
      </c>
      <c r="S879" s="9" t="str">
        <f>IF(ISBLANK($R879),"",VLOOKUP($R879,'Liste des Villes'!$B$2:$H$1128,4,FALSE))</f>
        <v>Laurentides</v>
      </c>
      <c r="T879" s="2" t="s">
        <v>3187</v>
      </c>
      <c r="U879" s="2" t="s">
        <v>39</v>
      </c>
      <c r="V879" s="2" t="s">
        <v>40</v>
      </c>
      <c r="W879" s="2" t="s">
        <v>4929</v>
      </c>
      <c r="X879" s="2"/>
      <c r="Y879" s="2"/>
      <c r="Z879" s="2"/>
      <c r="AA879" s="2" t="s">
        <v>3189</v>
      </c>
      <c r="AB879" s="2" t="s">
        <v>3190</v>
      </c>
      <c r="AC879" s="4" t="s">
        <v>44</v>
      </c>
    </row>
    <row r="880" spans="1:29" x14ac:dyDescent="0.25">
      <c r="A880" s="1">
        <v>4150</v>
      </c>
      <c r="B880" s="17" t="s">
        <v>4930</v>
      </c>
      <c r="C880" s="2" t="s">
        <v>4931</v>
      </c>
      <c r="D880" s="15" t="s">
        <v>495</v>
      </c>
      <c r="E880" s="9" t="s">
        <v>610</v>
      </c>
      <c r="F880" s="9" t="s">
        <v>4932</v>
      </c>
      <c r="G880" s="9" t="s">
        <v>1162</v>
      </c>
      <c r="H880" s="2" t="s">
        <v>35</v>
      </c>
      <c r="I880" s="3">
        <v>35870</v>
      </c>
      <c r="J880" s="9" t="str">
        <f t="shared" ca="1" si="15"/>
        <v>25 ans</v>
      </c>
      <c r="K880" s="2" t="s">
        <v>123</v>
      </c>
      <c r="L880" s="2" t="str">
        <f>"151"</f>
        <v>151</v>
      </c>
      <c r="M880" s="2"/>
      <c r="N880" s="2" t="str">
        <f>"MAISONNEUVE BLVD"</f>
        <v>MAISONNEUVE BLVD</v>
      </c>
      <c r="O880" s="2" t="s">
        <v>3185</v>
      </c>
      <c r="P880" s="9" t="str">
        <f>VLOOKUP($O880,'Liste des Villes'!$B$2:$B$1128,1,FALSE)</f>
        <v>Saint-Jérôme</v>
      </c>
      <c r="Q880" s="9" t="str">
        <f>IFERROR($P880,PROPER(VLOOKUP($O880,'Villes en erreur'!$A$2:$B$72,2,FALSE)))</f>
        <v>Saint-Jérôme</v>
      </c>
      <c r="R880" s="9" t="s">
        <v>3186</v>
      </c>
      <c r="S880" s="9" t="str">
        <f>IF(ISBLANK($R880),"",VLOOKUP($R880,'Liste des Villes'!$B$2:$H$1128,4,FALSE))</f>
        <v>Laurentides</v>
      </c>
      <c r="T880" s="2" t="s">
        <v>4933</v>
      </c>
      <c r="U880" s="2" t="s">
        <v>39</v>
      </c>
      <c r="V880" s="2" t="s">
        <v>40</v>
      </c>
      <c r="W880" s="2" t="s">
        <v>4934</v>
      </c>
      <c r="X880" s="2"/>
      <c r="Y880" s="2"/>
      <c r="Z880" s="2"/>
      <c r="AA880" s="2" t="s">
        <v>3243</v>
      </c>
      <c r="AB880" s="2" t="s">
        <v>3221</v>
      </c>
      <c r="AC880" s="4" t="s">
        <v>44</v>
      </c>
    </row>
    <row r="881" spans="1:29" x14ac:dyDescent="0.25">
      <c r="A881" s="1">
        <v>4138</v>
      </c>
      <c r="B881" s="17" t="s">
        <v>4935</v>
      </c>
      <c r="C881" s="2" t="s">
        <v>4936</v>
      </c>
      <c r="D881" s="15" t="s">
        <v>1802</v>
      </c>
      <c r="E881" s="9" t="s">
        <v>3964</v>
      </c>
      <c r="F881" s="9" t="s">
        <v>1800</v>
      </c>
      <c r="G881" s="9" t="s">
        <v>1246</v>
      </c>
      <c r="H881" s="2" t="s">
        <v>35</v>
      </c>
      <c r="I881" s="3">
        <v>34142</v>
      </c>
      <c r="J881" s="9" t="str">
        <f t="shared" ca="1" si="15"/>
        <v>30 ans</v>
      </c>
      <c r="K881" s="2" t="s">
        <v>36</v>
      </c>
      <c r="L881" s="2" t="str">
        <f>"47"</f>
        <v>47</v>
      </c>
      <c r="M881" s="2"/>
      <c r="N881" s="2" t="str">
        <f>"BOULEVARD DE DEUX-MONTAGNES"</f>
        <v>BOULEVARD DE DEUX-MONTAGNES</v>
      </c>
      <c r="O881" s="2" t="s">
        <v>3185</v>
      </c>
      <c r="P881" s="9" t="str">
        <f>VLOOKUP($O881,'Liste des Villes'!$B$2:$B$1128,1,FALSE)</f>
        <v>Saint-Jérôme</v>
      </c>
      <c r="Q881" s="9" t="str">
        <f>IFERROR($P881,PROPER(VLOOKUP($O881,'Villes en erreur'!$A$2:$B$72,2,FALSE)))</f>
        <v>Saint-Jérôme</v>
      </c>
      <c r="R881" s="9" t="s">
        <v>3186</v>
      </c>
      <c r="S881" s="9" t="str">
        <f>IF(ISBLANK($R881),"",VLOOKUP($R881,'Liste des Villes'!$B$2:$H$1128,4,FALSE))</f>
        <v>Laurentides</v>
      </c>
      <c r="T881" s="2" t="s">
        <v>3358</v>
      </c>
      <c r="U881" s="2" t="s">
        <v>39</v>
      </c>
      <c r="V881" s="2" t="s">
        <v>40</v>
      </c>
      <c r="W881" s="2" t="s">
        <v>4937</v>
      </c>
      <c r="X881" s="2"/>
      <c r="Y881" s="2"/>
      <c r="Z881" s="2"/>
      <c r="AA881" s="2" t="s">
        <v>3360</v>
      </c>
      <c r="AB881" s="2" t="s">
        <v>53</v>
      </c>
      <c r="AC881" s="4" t="s">
        <v>44</v>
      </c>
    </row>
    <row r="882" spans="1:29" x14ac:dyDescent="0.25">
      <c r="A882" s="1">
        <v>1885</v>
      </c>
      <c r="B882" s="17" t="s">
        <v>4938</v>
      </c>
      <c r="C882" s="2" t="s">
        <v>4939</v>
      </c>
      <c r="D882" s="15" t="s">
        <v>1378</v>
      </c>
      <c r="E882" s="9" t="s">
        <v>4940</v>
      </c>
      <c r="F882" s="9" t="s">
        <v>4941</v>
      </c>
      <c r="G882" s="9" t="s">
        <v>4942</v>
      </c>
      <c r="H882" s="2" t="s">
        <v>60</v>
      </c>
      <c r="I882" s="3">
        <v>36237</v>
      </c>
      <c r="J882" s="9" t="str">
        <f t="shared" ca="1" si="15"/>
        <v>24 ans</v>
      </c>
      <c r="K882" s="2" t="s">
        <v>123</v>
      </c>
      <c r="L882" s="2" t="str">
        <f>"262"</f>
        <v>262</v>
      </c>
      <c r="M882" s="2"/>
      <c r="N882" s="2" t="str">
        <f>"RUE BÉLAIR"</f>
        <v>RUE BÉLAIR</v>
      </c>
      <c r="O882" s="2" t="s">
        <v>3185</v>
      </c>
      <c r="P882" s="9" t="str">
        <f>VLOOKUP($O882,'Liste des Villes'!$B$2:$B$1128,1,FALSE)</f>
        <v>Saint-Jérôme</v>
      </c>
      <c r="Q882" s="9" t="str">
        <f>IFERROR($P882,PROPER(VLOOKUP($O882,'Villes en erreur'!$A$2:$B$72,2,FALSE)))</f>
        <v>Saint-Jérôme</v>
      </c>
      <c r="R882" s="9" t="s">
        <v>3186</v>
      </c>
      <c r="S882" s="9" t="str">
        <f>IF(ISBLANK($R882),"",VLOOKUP($R882,'Liste des Villes'!$B$2:$H$1128,4,FALSE))</f>
        <v>Laurentides</v>
      </c>
      <c r="T882" s="2" t="s">
        <v>3598</v>
      </c>
      <c r="U882" s="2" t="s">
        <v>39</v>
      </c>
      <c r="V882" s="2" t="s">
        <v>40</v>
      </c>
      <c r="W882" s="2" t="s">
        <v>3599</v>
      </c>
      <c r="X882" s="2"/>
      <c r="Y882" s="2"/>
      <c r="Z882" s="2"/>
      <c r="AA882" s="2" t="s">
        <v>832</v>
      </c>
      <c r="AB882" s="2" t="s">
        <v>73</v>
      </c>
      <c r="AC882" s="4" t="s">
        <v>44</v>
      </c>
    </row>
    <row r="883" spans="1:29" x14ac:dyDescent="0.25">
      <c r="A883" s="1">
        <v>2779</v>
      </c>
      <c r="B883" s="17" t="s">
        <v>4943</v>
      </c>
      <c r="C883" s="2" t="s">
        <v>4230</v>
      </c>
      <c r="D883" s="15" t="s">
        <v>957</v>
      </c>
      <c r="E883" s="9" t="s">
        <v>4231</v>
      </c>
      <c r="F883" s="9" t="s">
        <v>4944</v>
      </c>
      <c r="G883" s="9" t="s">
        <v>3274</v>
      </c>
      <c r="H883" s="2" t="s">
        <v>35</v>
      </c>
      <c r="I883" s="3">
        <v>35145</v>
      </c>
      <c r="J883" s="9" t="str">
        <f t="shared" ca="1" si="15"/>
        <v>27 ans</v>
      </c>
      <c r="K883" s="2" t="s">
        <v>36</v>
      </c>
      <c r="L883" s="2" t="str">
        <f>"102"</f>
        <v>102</v>
      </c>
      <c r="M883" s="2"/>
      <c r="N883" s="2" t="str">
        <f>"CH PRINCIPAL"</f>
        <v>CH PRINCIPAL</v>
      </c>
      <c r="O883" s="2" t="s">
        <v>3185</v>
      </c>
      <c r="P883" s="9" t="str">
        <f>VLOOKUP($O883,'Liste des Villes'!$B$2:$B$1128,1,FALSE)</f>
        <v>Saint-Jérôme</v>
      </c>
      <c r="Q883" s="9" t="str">
        <f>IFERROR($P883,PROPER(VLOOKUP($O883,'Villes en erreur'!$A$2:$B$72,2,FALSE)))</f>
        <v>Saint-Jérôme</v>
      </c>
      <c r="R883" s="9" t="s">
        <v>3186</v>
      </c>
      <c r="S883" s="9" t="str">
        <f>IF(ISBLANK($R883),"",VLOOKUP($R883,'Liste des Villes'!$B$2:$H$1128,4,FALSE))</f>
        <v>Laurentides</v>
      </c>
      <c r="T883" s="2" t="s">
        <v>3187</v>
      </c>
      <c r="U883" s="2" t="s">
        <v>39</v>
      </c>
      <c r="V883" s="2" t="s">
        <v>40</v>
      </c>
      <c r="W883" s="2" t="s">
        <v>4945</v>
      </c>
      <c r="X883" s="2"/>
      <c r="Y883" s="2"/>
      <c r="Z883" s="2"/>
      <c r="AA883" s="2" t="s">
        <v>3189</v>
      </c>
      <c r="AB883" s="2" t="s">
        <v>3190</v>
      </c>
      <c r="AC883" s="4" t="s">
        <v>44</v>
      </c>
    </row>
    <row r="884" spans="1:29" x14ac:dyDescent="0.25">
      <c r="A884" s="1">
        <v>3290</v>
      </c>
      <c r="B884" s="17" t="s">
        <v>4946</v>
      </c>
      <c r="C884" s="2" t="s">
        <v>4947</v>
      </c>
      <c r="D884" s="15" t="s">
        <v>4948</v>
      </c>
      <c r="E884" s="9" t="s">
        <v>4949</v>
      </c>
      <c r="F884" s="9" t="s">
        <v>3705</v>
      </c>
      <c r="G884" s="9" t="s">
        <v>303</v>
      </c>
      <c r="H884" s="2" t="s">
        <v>60</v>
      </c>
      <c r="I884" s="3">
        <v>34468</v>
      </c>
      <c r="J884" s="9" t="str">
        <f t="shared" ca="1" si="15"/>
        <v>29 ans</v>
      </c>
      <c r="K884" s="2" t="s">
        <v>36</v>
      </c>
      <c r="L884" s="2" t="str">
        <f>"60"</f>
        <v>60</v>
      </c>
      <c r="M884" s="2"/>
      <c r="N884" s="2" t="str">
        <f>"CÉLORON BLVD"</f>
        <v>CÉLORON BLVD</v>
      </c>
      <c r="O884" s="2" t="s">
        <v>3185</v>
      </c>
      <c r="P884" s="9" t="str">
        <f>VLOOKUP($O884,'Liste des Villes'!$B$2:$B$1128,1,FALSE)</f>
        <v>Saint-Jérôme</v>
      </c>
      <c r="Q884" s="9" t="str">
        <f>IFERROR($P884,PROPER(VLOOKUP($O884,'Villes en erreur'!$A$2:$B$72,2,FALSE)))</f>
        <v>Saint-Jérôme</v>
      </c>
      <c r="R884" s="9" t="s">
        <v>3186</v>
      </c>
      <c r="S884" s="9" t="str">
        <f>IF(ISBLANK($R884),"",VLOOKUP($R884,'Liste des Villes'!$B$2:$H$1128,4,FALSE))</f>
        <v>Laurentides</v>
      </c>
      <c r="T884" s="2" t="s">
        <v>3507</v>
      </c>
      <c r="U884" s="2" t="s">
        <v>39</v>
      </c>
      <c r="V884" s="2" t="s">
        <v>40</v>
      </c>
      <c r="W884" s="2" t="s">
        <v>4950</v>
      </c>
      <c r="X884" s="2"/>
      <c r="Y884" s="2"/>
      <c r="Z884" s="2"/>
      <c r="AA884" s="2" t="s">
        <v>3293</v>
      </c>
      <c r="AB884" s="2" t="s">
        <v>53</v>
      </c>
      <c r="AC884" s="4" t="s">
        <v>44</v>
      </c>
    </row>
    <row r="885" spans="1:29" x14ac:dyDescent="0.25">
      <c r="A885" s="1">
        <v>2209</v>
      </c>
      <c r="B885" s="17" t="s">
        <v>4951</v>
      </c>
      <c r="C885" s="2" t="s">
        <v>4952</v>
      </c>
      <c r="D885" s="15" t="s">
        <v>4953</v>
      </c>
      <c r="E885" s="9" t="s">
        <v>425</v>
      </c>
      <c r="F885" s="9" t="s">
        <v>4954</v>
      </c>
      <c r="G885" s="9" t="s">
        <v>4955</v>
      </c>
      <c r="H885" s="2" t="s">
        <v>60</v>
      </c>
      <c r="I885" s="3">
        <v>34046</v>
      </c>
      <c r="J885" s="9" t="str">
        <f t="shared" ca="1" si="15"/>
        <v>30 ans</v>
      </c>
      <c r="K885" s="2" t="s">
        <v>36</v>
      </c>
      <c r="L885" s="2" t="str">
        <f>"44"</f>
        <v>44</v>
      </c>
      <c r="M885" s="2"/>
      <c r="N885" s="2" t="str">
        <f>"BOUL ROLAND-DURAND"</f>
        <v>BOUL ROLAND-DURAND</v>
      </c>
      <c r="O885" s="2" t="s">
        <v>3185</v>
      </c>
      <c r="P885" s="9" t="str">
        <f>VLOOKUP($O885,'Liste des Villes'!$B$2:$B$1128,1,FALSE)</f>
        <v>Saint-Jérôme</v>
      </c>
      <c r="Q885" s="9" t="str">
        <f>IFERROR($P885,PROPER(VLOOKUP($O885,'Villes en erreur'!$A$2:$B$72,2,FALSE)))</f>
        <v>Saint-Jérôme</v>
      </c>
      <c r="R885" s="9" t="s">
        <v>3186</v>
      </c>
      <c r="S885" s="9" t="str">
        <f>IF(ISBLANK($R885),"",VLOOKUP($R885,'Liste des Villes'!$B$2:$H$1128,4,FALSE))</f>
        <v>Laurentides</v>
      </c>
      <c r="T885" s="2" t="s">
        <v>3205</v>
      </c>
      <c r="U885" s="2" t="s">
        <v>39</v>
      </c>
      <c r="V885" s="2" t="s">
        <v>40</v>
      </c>
      <c r="W885" s="2" t="s">
        <v>4956</v>
      </c>
      <c r="X885" s="2"/>
      <c r="Y885" s="2"/>
      <c r="Z885" s="2"/>
      <c r="AA885" s="2" t="s">
        <v>3207</v>
      </c>
      <c r="AB885" s="2" t="s">
        <v>53</v>
      </c>
      <c r="AC885" s="4" t="s">
        <v>44</v>
      </c>
    </row>
    <row r="886" spans="1:29" x14ac:dyDescent="0.25">
      <c r="A886" s="1">
        <v>338</v>
      </c>
      <c r="B886" s="17" t="s">
        <v>4957</v>
      </c>
      <c r="C886" s="2" t="s">
        <v>4958</v>
      </c>
      <c r="D886" s="15" t="s">
        <v>1677</v>
      </c>
      <c r="E886" s="9" t="s">
        <v>2175</v>
      </c>
      <c r="F886" s="9" t="s">
        <v>164</v>
      </c>
      <c r="G886" s="9" t="s">
        <v>600</v>
      </c>
      <c r="H886" s="2" t="s">
        <v>60</v>
      </c>
      <c r="I886" s="3">
        <v>35973</v>
      </c>
      <c r="J886" s="9" t="str">
        <f t="shared" ca="1" si="15"/>
        <v>25 ans</v>
      </c>
      <c r="K886" s="2" t="s">
        <v>123</v>
      </c>
      <c r="L886" s="2" t="str">
        <f>"171"</f>
        <v>171</v>
      </c>
      <c r="M886" s="2"/>
      <c r="N886" s="2" t="str">
        <f>"PERCE-NEIGE"</f>
        <v>PERCE-NEIGE</v>
      </c>
      <c r="O886" s="2" t="s">
        <v>3185</v>
      </c>
      <c r="P886" s="9" t="str">
        <f>VLOOKUP($O886,'Liste des Villes'!$B$2:$B$1128,1,FALSE)</f>
        <v>Saint-Jérôme</v>
      </c>
      <c r="Q886" s="9" t="str">
        <f>IFERROR($P886,PROPER(VLOOKUP($O886,'Villes en erreur'!$A$2:$B$72,2,FALSE)))</f>
        <v>Saint-Jérôme</v>
      </c>
      <c r="R886" s="9" t="s">
        <v>3186</v>
      </c>
      <c r="S886" s="9" t="str">
        <f>IF(ISBLANK($R886),"",VLOOKUP($R886,'Liste des Villes'!$B$2:$H$1128,4,FALSE))</f>
        <v>Laurentides</v>
      </c>
      <c r="T886" s="2" t="s">
        <v>4959</v>
      </c>
      <c r="U886" s="2" t="s">
        <v>39</v>
      </c>
      <c r="V886" s="2" t="s">
        <v>40</v>
      </c>
      <c r="W886" s="2" t="s">
        <v>4960</v>
      </c>
      <c r="X886" s="2"/>
      <c r="Y886" s="2"/>
      <c r="Z886" s="2"/>
      <c r="AA886" s="2" t="s">
        <v>832</v>
      </c>
      <c r="AB886" s="2" t="s">
        <v>3221</v>
      </c>
      <c r="AC886" s="4" t="s">
        <v>44</v>
      </c>
    </row>
    <row r="887" spans="1:29" x14ac:dyDescent="0.25">
      <c r="A887" s="1">
        <v>145</v>
      </c>
      <c r="B887" s="17" t="s">
        <v>4961</v>
      </c>
      <c r="C887" s="2" t="s">
        <v>960</v>
      </c>
      <c r="D887" s="15" t="s">
        <v>961</v>
      </c>
      <c r="E887" s="9" t="s">
        <v>219</v>
      </c>
      <c r="F887" s="9" t="s">
        <v>4962</v>
      </c>
      <c r="G887" s="9" t="s">
        <v>2796</v>
      </c>
      <c r="H887" s="2" t="s">
        <v>35</v>
      </c>
      <c r="I887" s="3">
        <v>35275</v>
      </c>
      <c r="J887" s="9" t="str">
        <f t="shared" ca="1" si="15"/>
        <v>27 ans</v>
      </c>
      <c r="K887" s="2" t="s">
        <v>36</v>
      </c>
      <c r="L887" s="2" t="str">
        <f>"107"</f>
        <v>107</v>
      </c>
      <c r="M887" s="2"/>
      <c r="N887" s="2" t="str">
        <f>"CHEMIN DE LA NORMANDIE"</f>
        <v>CHEMIN DE LA NORMANDIE</v>
      </c>
      <c r="O887" s="2" t="s">
        <v>3185</v>
      </c>
      <c r="P887" s="9" t="str">
        <f>VLOOKUP($O887,'Liste des Villes'!$B$2:$B$1128,1,FALSE)</f>
        <v>Saint-Jérôme</v>
      </c>
      <c r="Q887" s="9" t="str">
        <f>IFERROR($P887,PROPER(VLOOKUP($O887,'Villes en erreur'!$A$2:$B$72,2,FALSE)))</f>
        <v>Saint-Jérôme</v>
      </c>
      <c r="R887" s="9" t="s">
        <v>3186</v>
      </c>
      <c r="S887" s="9" t="str">
        <f>IF(ISBLANK($R887),"",VLOOKUP($R887,'Liste des Villes'!$B$2:$H$1128,4,FALSE))</f>
        <v>Laurentides</v>
      </c>
      <c r="T887" s="2" t="s">
        <v>4963</v>
      </c>
      <c r="U887" s="2" t="s">
        <v>39</v>
      </c>
      <c r="V887" s="2" t="s">
        <v>40</v>
      </c>
      <c r="W887" s="2" t="s">
        <v>4964</v>
      </c>
      <c r="X887" s="2"/>
      <c r="Y887" s="2"/>
      <c r="Z887" s="2"/>
      <c r="AA887" s="2" t="s">
        <v>3189</v>
      </c>
      <c r="AB887" s="2" t="s">
        <v>3190</v>
      </c>
      <c r="AC887" s="4" t="s">
        <v>44</v>
      </c>
    </row>
    <row r="888" spans="1:29" x14ac:dyDescent="0.25">
      <c r="A888" s="1">
        <v>3652</v>
      </c>
      <c r="B888" s="17" t="s">
        <v>4965</v>
      </c>
      <c r="C888" s="2" t="s">
        <v>4966</v>
      </c>
      <c r="D888" s="15" t="s">
        <v>4967</v>
      </c>
      <c r="E888" s="9" t="s">
        <v>4968</v>
      </c>
      <c r="F888" s="9" t="s">
        <v>569</v>
      </c>
      <c r="G888" s="9" t="s">
        <v>92</v>
      </c>
      <c r="H888" s="2" t="s">
        <v>35</v>
      </c>
      <c r="I888" s="3">
        <v>35423</v>
      </c>
      <c r="J888" s="9" t="str">
        <f t="shared" ca="1" si="15"/>
        <v>26 ans</v>
      </c>
      <c r="K888" s="2" t="s">
        <v>36</v>
      </c>
      <c r="L888" s="2" t="str">
        <f>"114"</f>
        <v>114</v>
      </c>
      <c r="M888" s="2"/>
      <c r="N888" s="2" t="str">
        <f>"CHEMIN DU LAC QUENOUILLE"</f>
        <v>CHEMIN DU LAC QUENOUILLE</v>
      </c>
      <c r="O888" s="2" t="s">
        <v>3185</v>
      </c>
      <c r="P888" s="9" t="str">
        <f>VLOOKUP($O888,'Liste des Villes'!$B$2:$B$1128,1,FALSE)</f>
        <v>Saint-Jérôme</v>
      </c>
      <c r="Q888" s="9" t="str">
        <f>IFERROR($P888,PROPER(VLOOKUP($O888,'Villes en erreur'!$A$2:$B$72,2,FALSE)))</f>
        <v>Saint-Jérôme</v>
      </c>
      <c r="R888" s="9" t="s">
        <v>3186</v>
      </c>
      <c r="S888" s="9" t="str">
        <f>IF(ISBLANK($R888),"",VLOOKUP($R888,'Liste des Villes'!$B$2:$H$1128,4,FALSE))</f>
        <v>Laurentides</v>
      </c>
      <c r="T888" s="2" t="s">
        <v>4032</v>
      </c>
      <c r="U888" s="2" t="s">
        <v>39</v>
      </c>
      <c r="V888" s="2" t="s">
        <v>40</v>
      </c>
      <c r="W888" s="2" t="s">
        <v>4969</v>
      </c>
      <c r="X888" s="2"/>
      <c r="Y888" s="2"/>
      <c r="Z888" s="2"/>
      <c r="AA888" s="2" t="s">
        <v>3199</v>
      </c>
      <c r="AB888" s="2" t="s">
        <v>3200</v>
      </c>
      <c r="AC888" s="4" t="s">
        <v>44</v>
      </c>
    </row>
    <row r="889" spans="1:29" x14ac:dyDescent="0.25">
      <c r="A889" s="1">
        <v>3595</v>
      </c>
      <c r="B889" s="17" t="s">
        <v>4970</v>
      </c>
      <c r="C889" s="2" t="s">
        <v>4971</v>
      </c>
      <c r="D889" s="15" t="s">
        <v>4972</v>
      </c>
      <c r="E889" s="9" t="s">
        <v>2370</v>
      </c>
      <c r="F889" s="9" t="s">
        <v>178</v>
      </c>
      <c r="G889" s="9" t="s">
        <v>179</v>
      </c>
      <c r="H889" s="2" t="s">
        <v>60</v>
      </c>
      <c r="I889" s="3">
        <v>36118</v>
      </c>
      <c r="J889" s="9" t="str">
        <f t="shared" ca="1" si="15"/>
        <v>24 ans</v>
      </c>
      <c r="K889" s="2" t="s">
        <v>123</v>
      </c>
      <c r="L889" s="2" t="str">
        <f>"213"</f>
        <v>213</v>
      </c>
      <c r="M889" s="2"/>
      <c r="N889" s="2" t="str">
        <f>"RTE DU LAC-ROND"</f>
        <v>RTE DU LAC-ROND</v>
      </c>
      <c r="O889" s="2" t="s">
        <v>3185</v>
      </c>
      <c r="P889" s="9" t="str">
        <f>VLOOKUP($O889,'Liste des Villes'!$B$2:$B$1128,1,FALSE)</f>
        <v>Saint-Jérôme</v>
      </c>
      <c r="Q889" s="9" t="str">
        <f>IFERROR($P889,PROPER(VLOOKUP($O889,'Villes en erreur'!$A$2:$B$72,2,FALSE)))</f>
        <v>Saint-Jérôme</v>
      </c>
      <c r="R889" s="9" t="s">
        <v>3186</v>
      </c>
      <c r="S889" s="9" t="str">
        <f>IF(ISBLANK($R889),"",VLOOKUP($R889,'Liste des Villes'!$B$2:$H$1128,4,FALSE))</f>
        <v>Laurentides</v>
      </c>
      <c r="T889" s="2" t="s">
        <v>4973</v>
      </c>
      <c r="U889" s="2" t="s">
        <v>39</v>
      </c>
      <c r="V889" s="2" t="s">
        <v>40</v>
      </c>
      <c r="W889" s="2" t="s">
        <v>4974</v>
      </c>
      <c r="X889" s="2"/>
      <c r="Y889" s="2"/>
      <c r="Z889" s="2"/>
      <c r="AA889" s="2" t="s">
        <v>832</v>
      </c>
      <c r="AB889" s="2" t="s">
        <v>3221</v>
      </c>
      <c r="AC889" s="4" t="s">
        <v>44</v>
      </c>
    </row>
    <row r="890" spans="1:29" x14ac:dyDescent="0.25">
      <c r="A890" s="1">
        <v>2855</v>
      </c>
      <c r="B890" s="17" t="s">
        <v>4975</v>
      </c>
      <c r="C890" s="2" t="s">
        <v>4976</v>
      </c>
      <c r="D890" s="15" t="s">
        <v>4977</v>
      </c>
      <c r="E890" s="9" t="s">
        <v>219</v>
      </c>
      <c r="F890" s="9" t="s">
        <v>4978</v>
      </c>
      <c r="G890" s="9" t="s">
        <v>2086</v>
      </c>
      <c r="H890" s="2" t="s">
        <v>60</v>
      </c>
      <c r="I890" s="3">
        <v>36022</v>
      </c>
      <c r="J890" s="9" t="str">
        <f t="shared" ca="1" si="15"/>
        <v>25 ans</v>
      </c>
      <c r="K890" s="2" t="s">
        <v>123</v>
      </c>
      <c r="L890" s="2" t="str">
        <f>"182"</f>
        <v>182</v>
      </c>
      <c r="M890" s="2"/>
      <c r="N890" s="2" t="str">
        <f>"PLACE GATINE"</f>
        <v>PLACE GATINE</v>
      </c>
      <c r="O890" s="2" t="s">
        <v>3185</v>
      </c>
      <c r="P890" s="9" t="str">
        <f>VLOOKUP($O890,'Liste des Villes'!$B$2:$B$1128,1,FALSE)</f>
        <v>Saint-Jérôme</v>
      </c>
      <c r="Q890" s="9" t="str">
        <f>IFERROR($P890,PROPER(VLOOKUP($O890,'Villes en erreur'!$A$2:$B$72,2,FALSE)))</f>
        <v>Saint-Jérôme</v>
      </c>
      <c r="R890" s="9" t="s">
        <v>3186</v>
      </c>
      <c r="S890" s="9" t="str">
        <f>IF(ISBLANK($R890),"",VLOOKUP($R890,'Liste des Villes'!$B$2:$H$1128,4,FALSE))</f>
        <v>Laurentides</v>
      </c>
      <c r="T890" s="2" t="s">
        <v>4168</v>
      </c>
      <c r="U890" s="2" t="s">
        <v>39</v>
      </c>
      <c r="V890" s="2" t="s">
        <v>40</v>
      </c>
      <c r="W890" s="2" t="s">
        <v>4979</v>
      </c>
      <c r="X890" s="2"/>
      <c r="Y890" s="2"/>
      <c r="Z890" s="2"/>
      <c r="AA890" s="2" t="s">
        <v>832</v>
      </c>
      <c r="AB890" s="2" t="s">
        <v>3221</v>
      </c>
      <c r="AC890" s="4" t="s">
        <v>44</v>
      </c>
    </row>
    <row r="891" spans="1:29" x14ac:dyDescent="0.25">
      <c r="A891" s="1">
        <v>1291</v>
      </c>
      <c r="B891" s="17" t="s">
        <v>4980</v>
      </c>
      <c r="C891" s="2" t="s">
        <v>4981</v>
      </c>
      <c r="D891" s="15" t="s">
        <v>4982</v>
      </c>
      <c r="E891" s="9" t="s">
        <v>3218</v>
      </c>
      <c r="F891" s="9" t="s">
        <v>4983</v>
      </c>
      <c r="G891" s="9" t="s">
        <v>4984</v>
      </c>
      <c r="H891" s="2" t="s">
        <v>35</v>
      </c>
      <c r="I891" s="3">
        <v>36049</v>
      </c>
      <c r="J891" s="9" t="str">
        <f t="shared" ca="1" si="15"/>
        <v>24 ans</v>
      </c>
      <c r="K891" s="2" t="s">
        <v>123</v>
      </c>
      <c r="L891" s="2" t="str">
        <f>"189"</f>
        <v>189</v>
      </c>
      <c r="M891" s="2"/>
      <c r="N891" s="2" t="str">
        <f>"PRINCIPALE"</f>
        <v>PRINCIPALE</v>
      </c>
      <c r="O891" s="2" t="s">
        <v>3185</v>
      </c>
      <c r="P891" s="9" t="str">
        <f>VLOOKUP($O891,'Liste des Villes'!$B$2:$B$1128,1,FALSE)</f>
        <v>Saint-Jérôme</v>
      </c>
      <c r="Q891" s="9" t="str">
        <f>IFERROR($P891,PROPER(VLOOKUP($O891,'Villes en erreur'!$A$2:$B$72,2,FALSE)))</f>
        <v>Saint-Jérôme</v>
      </c>
      <c r="R891" s="9" t="s">
        <v>3186</v>
      </c>
      <c r="S891" s="9" t="str">
        <f>IF(ISBLANK($R891),"",VLOOKUP($R891,'Liste des Villes'!$B$2:$H$1128,4,FALSE))</f>
        <v>Laurentides</v>
      </c>
      <c r="T891" s="2" t="s">
        <v>4600</v>
      </c>
      <c r="U891" s="2" t="s">
        <v>39</v>
      </c>
      <c r="V891" s="2" t="s">
        <v>40</v>
      </c>
      <c r="W891" s="2" t="s">
        <v>4985</v>
      </c>
      <c r="X891" s="2"/>
      <c r="Y891" s="2"/>
      <c r="Z891" s="2"/>
      <c r="AA891" s="2" t="s">
        <v>832</v>
      </c>
      <c r="AB891" s="2" t="s">
        <v>3221</v>
      </c>
      <c r="AC891" s="4" t="s">
        <v>44</v>
      </c>
    </row>
    <row r="892" spans="1:29" x14ac:dyDescent="0.25">
      <c r="A892" s="1">
        <v>2999</v>
      </c>
      <c r="B892" s="17" t="s">
        <v>4986</v>
      </c>
      <c r="C892" s="2" t="s">
        <v>4987</v>
      </c>
      <c r="D892" s="15" t="s">
        <v>1068</v>
      </c>
      <c r="E892" s="9" t="s">
        <v>4988</v>
      </c>
      <c r="F892" s="9" t="s">
        <v>1070</v>
      </c>
      <c r="G892" s="9" t="s">
        <v>4989</v>
      </c>
      <c r="H892" s="2" t="s">
        <v>60</v>
      </c>
      <c r="I892" s="3">
        <v>35759</v>
      </c>
      <c r="J892" s="9" t="str">
        <f t="shared" ca="1" si="15"/>
        <v>25 ans</v>
      </c>
      <c r="K892" s="2" t="s">
        <v>123</v>
      </c>
      <c r="L892" s="2" t="str">
        <f>"140"</f>
        <v>140</v>
      </c>
      <c r="M892" s="2"/>
      <c r="N892" s="2" t="str">
        <f>"DU SÉMINAIRE BLVD"</f>
        <v>DU SÉMINAIRE BLVD</v>
      </c>
      <c r="O892" s="2" t="s">
        <v>3185</v>
      </c>
      <c r="P892" s="9" t="str">
        <f>VLOOKUP($O892,'Liste des Villes'!$B$2:$B$1128,1,FALSE)</f>
        <v>Saint-Jérôme</v>
      </c>
      <c r="Q892" s="9" t="str">
        <f>IFERROR($P892,PROPER(VLOOKUP($O892,'Villes en erreur'!$A$2:$B$72,2,FALSE)))</f>
        <v>Saint-Jérôme</v>
      </c>
      <c r="R892" s="9" t="s">
        <v>3186</v>
      </c>
      <c r="S892" s="9" t="str">
        <f>IF(ISBLANK($R892),"",VLOOKUP($R892,'Liste des Villes'!$B$2:$H$1128,4,FALSE))</f>
        <v>Laurentides</v>
      </c>
      <c r="T892" s="2" t="s">
        <v>4990</v>
      </c>
      <c r="U892" s="2" t="s">
        <v>39</v>
      </c>
      <c r="V892" s="2" t="s">
        <v>40</v>
      </c>
      <c r="W892" s="2" t="s">
        <v>4991</v>
      </c>
      <c r="X892" s="2"/>
      <c r="Y892" s="2"/>
      <c r="Z892" s="2"/>
      <c r="AA892" s="2" t="s">
        <v>3243</v>
      </c>
      <c r="AB892" s="2" t="s">
        <v>3221</v>
      </c>
      <c r="AC892" s="4" t="s">
        <v>44</v>
      </c>
    </row>
    <row r="893" spans="1:29" x14ac:dyDescent="0.25">
      <c r="A893" s="1">
        <v>3932</v>
      </c>
      <c r="B893" s="17" t="s">
        <v>4992</v>
      </c>
      <c r="C893" s="2" t="s">
        <v>4993</v>
      </c>
      <c r="D893" s="15" t="s">
        <v>2690</v>
      </c>
      <c r="E893" s="9" t="s">
        <v>4994</v>
      </c>
      <c r="F893" s="9" t="s">
        <v>1548</v>
      </c>
      <c r="G893" s="9" t="s">
        <v>3218</v>
      </c>
      <c r="H893" s="2" t="s">
        <v>60</v>
      </c>
      <c r="I893" s="3">
        <v>34321</v>
      </c>
      <c r="J893" s="9" t="str">
        <f t="shared" ca="1" si="15"/>
        <v>29 ans</v>
      </c>
      <c r="K893" s="2" t="s">
        <v>36</v>
      </c>
      <c r="L893" s="2" t="str">
        <f>"52"</f>
        <v>52</v>
      </c>
      <c r="M893" s="2"/>
      <c r="N893" s="2" t="str">
        <f>"BOULEVARD LAJEUNESSE OUEST"</f>
        <v>BOULEVARD LAJEUNESSE OUEST</v>
      </c>
      <c r="O893" s="2" t="s">
        <v>3185</v>
      </c>
      <c r="P893" s="9" t="str">
        <f>VLOOKUP($O893,'Liste des Villes'!$B$2:$B$1128,1,FALSE)</f>
        <v>Saint-Jérôme</v>
      </c>
      <c r="Q893" s="9" t="str">
        <f>IFERROR($P893,PROPER(VLOOKUP($O893,'Villes en erreur'!$A$2:$B$72,2,FALSE)))</f>
        <v>Saint-Jérôme</v>
      </c>
      <c r="R893" s="9" t="s">
        <v>3186</v>
      </c>
      <c r="S893" s="9" t="str">
        <f>IF(ISBLANK($R893),"",VLOOKUP($R893,'Liste des Villes'!$B$2:$H$1128,4,FALSE))</f>
        <v>Laurentides</v>
      </c>
      <c r="T893" s="2" t="s">
        <v>3520</v>
      </c>
      <c r="U893" s="2" t="s">
        <v>39</v>
      </c>
      <c r="V893" s="2" t="s">
        <v>40</v>
      </c>
      <c r="W893" s="2" t="s">
        <v>4995</v>
      </c>
      <c r="X893" s="2"/>
      <c r="Y893" s="2"/>
      <c r="Z893" s="2"/>
      <c r="AA893" s="2" t="s">
        <v>3360</v>
      </c>
      <c r="AB893" s="2" t="s">
        <v>53</v>
      </c>
      <c r="AC893" s="4" t="s">
        <v>44</v>
      </c>
    </row>
    <row r="894" spans="1:29" x14ac:dyDescent="0.25">
      <c r="A894" s="1">
        <v>2253</v>
      </c>
      <c r="B894" s="17" t="s">
        <v>4996</v>
      </c>
      <c r="C894" s="2" t="s">
        <v>4997</v>
      </c>
      <c r="D894" s="15" t="s">
        <v>4998</v>
      </c>
      <c r="E894" s="9" t="s">
        <v>92</v>
      </c>
      <c r="F894" s="9" t="s">
        <v>1371</v>
      </c>
      <c r="G894" s="9" t="s">
        <v>4686</v>
      </c>
      <c r="H894" s="2" t="s">
        <v>35</v>
      </c>
      <c r="I894" s="3">
        <v>36086</v>
      </c>
      <c r="J894" s="9" t="str">
        <f t="shared" ca="1" si="15"/>
        <v>24 ans</v>
      </c>
      <c r="K894" s="2" t="s">
        <v>123</v>
      </c>
      <c r="L894" s="2" t="str">
        <f>"205"</f>
        <v>205</v>
      </c>
      <c r="M894" s="2"/>
      <c r="N894" s="2" t="str">
        <f>"RENÉ-LÉVESQUE BLVD"</f>
        <v>RENÉ-LÉVESQUE BLVD</v>
      </c>
      <c r="O894" s="2" t="s">
        <v>3185</v>
      </c>
      <c r="P894" s="9" t="str">
        <f>VLOOKUP($O894,'Liste des Villes'!$B$2:$B$1128,1,FALSE)</f>
        <v>Saint-Jérôme</v>
      </c>
      <c r="Q894" s="9" t="str">
        <f>IFERROR($P894,PROPER(VLOOKUP($O894,'Villes en erreur'!$A$2:$B$72,2,FALSE)))</f>
        <v>Saint-Jérôme</v>
      </c>
      <c r="R894" s="9" t="s">
        <v>3186</v>
      </c>
      <c r="S894" s="9" t="str">
        <f>IF(ISBLANK($R894),"",VLOOKUP($R894,'Liste des Villes'!$B$2:$H$1128,4,FALSE))</f>
        <v>Laurentides</v>
      </c>
      <c r="T894" s="2" t="s">
        <v>4999</v>
      </c>
      <c r="U894" s="2" t="s">
        <v>39</v>
      </c>
      <c r="V894" s="2" t="s">
        <v>40</v>
      </c>
      <c r="W894" s="2" t="s">
        <v>5000</v>
      </c>
      <c r="X894" s="2"/>
      <c r="Y894" s="2"/>
      <c r="Z894" s="2"/>
      <c r="AA894" s="2" t="s">
        <v>832</v>
      </c>
      <c r="AB894" s="2" t="s">
        <v>3221</v>
      </c>
      <c r="AC894" s="4" t="s">
        <v>44</v>
      </c>
    </row>
    <row r="895" spans="1:29" x14ac:dyDescent="0.25">
      <c r="A895" s="1">
        <v>3655</v>
      </c>
      <c r="B895" s="17" t="s">
        <v>5001</v>
      </c>
      <c r="C895" s="2" t="s">
        <v>5002</v>
      </c>
      <c r="D895" s="15" t="s">
        <v>5003</v>
      </c>
      <c r="E895" s="9" t="s">
        <v>425</v>
      </c>
      <c r="F895" s="9" t="s">
        <v>4954</v>
      </c>
      <c r="G895" s="9" t="s">
        <v>495</v>
      </c>
      <c r="H895" s="2" t="s">
        <v>35</v>
      </c>
      <c r="I895" s="3">
        <v>34548</v>
      </c>
      <c r="J895" s="9" t="str">
        <f t="shared" ca="1" si="15"/>
        <v>29 ans</v>
      </c>
      <c r="K895" s="2" t="s">
        <v>36</v>
      </c>
      <c r="L895" s="2" t="str">
        <f>"65"</f>
        <v>65</v>
      </c>
      <c r="M895" s="2"/>
      <c r="N895" s="2" t="str">
        <f>"CH DE LA CÔTE-GEORGES"</f>
        <v>CH DE LA CÔTE-GEORGES</v>
      </c>
      <c r="O895" s="2" t="s">
        <v>3185</v>
      </c>
      <c r="P895" s="9" t="str">
        <f>VLOOKUP($O895,'Liste des Villes'!$B$2:$B$1128,1,FALSE)</f>
        <v>Saint-Jérôme</v>
      </c>
      <c r="Q895" s="9" t="str">
        <f>IFERROR($P895,PROPER(VLOOKUP($O895,'Villes en erreur'!$A$2:$B$72,2,FALSE)))</f>
        <v>Saint-Jérôme</v>
      </c>
      <c r="R895" s="9" t="s">
        <v>3186</v>
      </c>
      <c r="S895" s="9" t="str">
        <f>IF(ISBLANK($R895),"",VLOOKUP($R895,'Liste des Villes'!$B$2:$H$1128,4,FALSE))</f>
        <v>Laurentides</v>
      </c>
      <c r="T895" s="2" t="s">
        <v>3954</v>
      </c>
      <c r="U895" s="2" t="s">
        <v>39</v>
      </c>
      <c r="V895" s="2" t="s">
        <v>40</v>
      </c>
      <c r="W895" s="2" t="s">
        <v>5004</v>
      </c>
      <c r="X895" s="2"/>
      <c r="Y895" s="2"/>
      <c r="Z895" s="2"/>
      <c r="AA895" s="2" t="s">
        <v>3225</v>
      </c>
      <c r="AB895" s="2" t="s">
        <v>53</v>
      </c>
      <c r="AC895" s="4" t="s">
        <v>44</v>
      </c>
    </row>
    <row r="896" spans="1:29" x14ac:dyDescent="0.25">
      <c r="A896" s="1">
        <v>3926</v>
      </c>
      <c r="B896" s="17" t="s">
        <v>5005</v>
      </c>
      <c r="C896" s="2" t="s">
        <v>3988</v>
      </c>
      <c r="D896" s="15" t="s">
        <v>3989</v>
      </c>
      <c r="E896" s="9" t="s">
        <v>1410</v>
      </c>
      <c r="F896" s="9" t="s">
        <v>1523</v>
      </c>
      <c r="G896" s="9" t="s">
        <v>5006</v>
      </c>
      <c r="H896" s="2" t="s">
        <v>60</v>
      </c>
      <c r="I896" s="3">
        <v>34220</v>
      </c>
      <c r="J896" s="9" t="str">
        <f t="shared" ca="1" si="15"/>
        <v>29 ans</v>
      </c>
      <c r="K896" s="2" t="s">
        <v>36</v>
      </c>
      <c r="L896" s="2" t="str">
        <f>"49"</f>
        <v>49</v>
      </c>
      <c r="M896" s="2"/>
      <c r="N896" s="2" t="str">
        <f>"BOULEVARD DE SAINTE-ADÈLE"</f>
        <v>BOULEVARD DE SAINTE-ADÈLE</v>
      </c>
      <c r="O896" s="2" t="s">
        <v>3185</v>
      </c>
      <c r="P896" s="9" t="str">
        <f>VLOOKUP($O896,'Liste des Villes'!$B$2:$B$1128,1,FALSE)</f>
        <v>Saint-Jérôme</v>
      </c>
      <c r="Q896" s="9" t="str">
        <f>IFERROR($P896,PROPER(VLOOKUP($O896,'Villes en erreur'!$A$2:$B$72,2,FALSE)))</f>
        <v>Saint-Jérôme</v>
      </c>
      <c r="R896" s="9" t="s">
        <v>3186</v>
      </c>
      <c r="S896" s="9" t="str">
        <f>IF(ISBLANK($R896),"",VLOOKUP($R896,'Liste des Villes'!$B$2:$H$1128,4,FALSE))</f>
        <v>Laurentides</v>
      </c>
      <c r="T896" s="2" t="s">
        <v>5007</v>
      </c>
      <c r="U896" s="2" t="s">
        <v>39</v>
      </c>
      <c r="V896" s="2" t="s">
        <v>40</v>
      </c>
      <c r="W896" s="2" t="s">
        <v>5008</v>
      </c>
      <c r="X896" s="2"/>
      <c r="Y896" s="2"/>
      <c r="Z896" s="2"/>
      <c r="AA896" s="2" t="s">
        <v>3360</v>
      </c>
      <c r="AB896" s="2" t="s">
        <v>53</v>
      </c>
      <c r="AC896" s="4" t="s">
        <v>44</v>
      </c>
    </row>
    <row r="897" spans="1:29" x14ac:dyDescent="0.25">
      <c r="A897" s="1">
        <v>3729</v>
      </c>
      <c r="B897" s="17" t="s">
        <v>5009</v>
      </c>
      <c r="C897" s="2" t="s">
        <v>5010</v>
      </c>
      <c r="D897" s="15" t="s">
        <v>1657</v>
      </c>
      <c r="E897" s="9" t="s">
        <v>5011</v>
      </c>
      <c r="F897" s="9" t="s">
        <v>1659</v>
      </c>
      <c r="G897" s="9" t="s">
        <v>179</v>
      </c>
      <c r="H897" s="2" t="s">
        <v>60</v>
      </c>
      <c r="I897" s="3">
        <v>36097</v>
      </c>
      <c r="J897" s="9" t="str">
        <f t="shared" ca="1" si="15"/>
        <v>24 ans</v>
      </c>
      <c r="K897" s="2" t="s">
        <v>123</v>
      </c>
      <c r="L897" s="2" t="str">
        <f>"207"</f>
        <v>207</v>
      </c>
      <c r="M897" s="2"/>
      <c r="N897" s="2" t="str">
        <f>"ROUTE DES OUTAOUAIS"</f>
        <v>ROUTE DES OUTAOUAIS</v>
      </c>
      <c r="O897" s="2" t="s">
        <v>3185</v>
      </c>
      <c r="P897" s="9" t="str">
        <f>VLOOKUP($O897,'Liste des Villes'!$B$2:$B$1128,1,FALSE)</f>
        <v>Saint-Jérôme</v>
      </c>
      <c r="Q897" s="9" t="str">
        <f>IFERROR($P897,PROPER(VLOOKUP($O897,'Villes en erreur'!$A$2:$B$72,2,FALSE)))</f>
        <v>Saint-Jérôme</v>
      </c>
      <c r="R897" s="9" t="s">
        <v>3186</v>
      </c>
      <c r="S897" s="9" t="str">
        <f>IF(ISBLANK($R897),"",VLOOKUP($R897,'Liste des Villes'!$B$2:$H$1128,4,FALSE))</f>
        <v>Laurentides</v>
      </c>
      <c r="T897" s="2" t="s">
        <v>5012</v>
      </c>
      <c r="U897" s="2" t="s">
        <v>39</v>
      </c>
      <c r="V897" s="2" t="s">
        <v>40</v>
      </c>
      <c r="W897" s="2" t="s">
        <v>5013</v>
      </c>
      <c r="X897" s="2"/>
      <c r="Y897" s="2"/>
      <c r="Z897" s="2"/>
      <c r="AA897" s="2" t="s">
        <v>832</v>
      </c>
      <c r="AB897" s="2" t="s">
        <v>3221</v>
      </c>
      <c r="AC897" s="4" t="s">
        <v>44</v>
      </c>
    </row>
    <row r="898" spans="1:29" x14ac:dyDescent="0.25">
      <c r="A898" s="1">
        <v>4376</v>
      </c>
      <c r="B898" s="17" t="s">
        <v>5014</v>
      </c>
      <c r="C898" s="2" t="s">
        <v>5015</v>
      </c>
      <c r="D898" s="15" t="s">
        <v>623</v>
      </c>
      <c r="E898" s="9" t="s">
        <v>348</v>
      </c>
      <c r="F898" s="9" t="s">
        <v>621</v>
      </c>
      <c r="G898" s="9" t="s">
        <v>5016</v>
      </c>
      <c r="H898" s="2" t="s">
        <v>60</v>
      </c>
      <c r="I898" s="3">
        <v>36028</v>
      </c>
      <c r="J898" s="9" t="str">
        <f t="shared" ref="J898:J961" ca="1" si="16">_xlfn.CONCAT(INT((TODAY()-$I898)/365.25)," ans")</f>
        <v>25 ans</v>
      </c>
      <c r="K898" s="2" t="s">
        <v>123</v>
      </c>
      <c r="L898" s="2" t="str">
        <f>"184"</f>
        <v>184</v>
      </c>
      <c r="M898" s="2"/>
      <c r="N898" s="2" t="str">
        <f>"PLACE LABRIE"</f>
        <v>PLACE LABRIE</v>
      </c>
      <c r="O898" s="2" t="s">
        <v>3185</v>
      </c>
      <c r="P898" s="9" t="str">
        <f>VLOOKUP($O898,'Liste des Villes'!$B$2:$B$1128,1,FALSE)</f>
        <v>Saint-Jérôme</v>
      </c>
      <c r="Q898" s="9" t="str">
        <f>IFERROR($P898,PROPER(VLOOKUP($O898,'Villes en erreur'!$A$2:$B$72,2,FALSE)))</f>
        <v>Saint-Jérôme</v>
      </c>
      <c r="R898" s="9" t="s">
        <v>3186</v>
      </c>
      <c r="S898" s="9" t="str">
        <f>IF(ISBLANK($R898),"",VLOOKUP($R898,'Liste des Villes'!$B$2:$H$1128,4,FALSE))</f>
        <v>Laurentides</v>
      </c>
      <c r="T898" s="2" t="s">
        <v>5017</v>
      </c>
      <c r="U898" s="2" t="s">
        <v>39</v>
      </c>
      <c r="V898" s="2" t="s">
        <v>40</v>
      </c>
      <c r="W898" s="2" t="s">
        <v>5018</v>
      </c>
      <c r="X898" s="2"/>
      <c r="Y898" s="2"/>
      <c r="Z898" s="2"/>
      <c r="AA898" s="2" t="s">
        <v>832</v>
      </c>
      <c r="AB898" s="2" t="s">
        <v>3221</v>
      </c>
      <c r="AC898" s="4" t="s">
        <v>44</v>
      </c>
    </row>
    <row r="899" spans="1:29" x14ac:dyDescent="0.25">
      <c r="A899" s="1">
        <v>1382</v>
      </c>
      <c r="B899" s="17" t="s">
        <v>5019</v>
      </c>
      <c r="C899" s="2" t="s">
        <v>5020</v>
      </c>
      <c r="D899" s="15" t="s">
        <v>5021</v>
      </c>
      <c r="E899" s="9" t="s">
        <v>196</v>
      </c>
      <c r="F899" s="9" t="s">
        <v>5022</v>
      </c>
      <c r="G899" s="9" t="s">
        <v>2086</v>
      </c>
      <c r="H899" s="2" t="s">
        <v>60</v>
      </c>
      <c r="I899" s="3">
        <v>36026</v>
      </c>
      <c r="J899" s="9" t="str">
        <f t="shared" ca="1" si="16"/>
        <v>25 ans</v>
      </c>
      <c r="K899" s="2" t="s">
        <v>123</v>
      </c>
      <c r="L899" s="2" t="str">
        <f>"184"</f>
        <v>184</v>
      </c>
      <c r="M899" s="2"/>
      <c r="N899" s="2" t="str">
        <f>"PLACE JUAN"</f>
        <v>PLACE JUAN</v>
      </c>
      <c r="O899" s="2" t="s">
        <v>3185</v>
      </c>
      <c r="P899" s="9" t="str">
        <f>VLOOKUP($O899,'Liste des Villes'!$B$2:$B$1128,1,FALSE)</f>
        <v>Saint-Jérôme</v>
      </c>
      <c r="Q899" s="9" t="str">
        <f>IFERROR($P899,PROPER(VLOOKUP($O899,'Villes en erreur'!$A$2:$B$72,2,FALSE)))</f>
        <v>Saint-Jérôme</v>
      </c>
      <c r="R899" s="9" t="s">
        <v>3186</v>
      </c>
      <c r="S899" s="9" t="str">
        <f>IF(ISBLANK($R899),"",VLOOKUP($R899,'Liste des Villes'!$B$2:$H$1128,4,FALSE))</f>
        <v>Laurentides</v>
      </c>
      <c r="T899" s="2" t="s">
        <v>5017</v>
      </c>
      <c r="U899" s="2" t="s">
        <v>39</v>
      </c>
      <c r="V899" s="2" t="s">
        <v>40</v>
      </c>
      <c r="W899" s="2" t="s">
        <v>5023</v>
      </c>
      <c r="X899" s="2"/>
      <c r="Y899" s="2"/>
      <c r="Z899" s="2"/>
      <c r="AA899" s="2" t="s">
        <v>832</v>
      </c>
      <c r="AB899" s="2" t="s">
        <v>3221</v>
      </c>
      <c r="AC899" s="4" t="s">
        <v>44</v>
      </c>
    </row>
    <row r="900" spans="1:29" x14ac:dyDescent="0.25">
      <c r="A900" s="1">
        <v>599</v>
      </c>
      <c r="B900" s="17" t="s">
        <v>5024</v>
      </c>
      <c r="C900" s="2" t="s">
        <v>5025</v>
      </c>
      <c r="D900" s="15" t="s">
        <v>5026</v>
      </c>
      <c r="E900" s="9" t="s">
        <v>5027</v>
      </c>
      <c r="F900" s="9" t="s">
        <v>4050</v>
      </c>
      <c r="G900" s="9" t="s">
        <v>1037</v>
      </c>
      <c r="H900" s="2" t="s">
        <v>35</v>
      </c>
      <c r="I900" s="3">
        <v>36067</v>
      </c>
      <c r="J900" s="9" t="str">
        <f t="shared" ca="1" si="16"/>
        <v>24 ans</v>
      </c>
      <c r="K900" s="2" t="s">
        <v>123</v>
      </c>
      <c r="L900" s="2" t="str">
        <f>"195"</f>
        <v>195</v>
      </c>
      <c r="M900" s="2"/>
      <c r="N900" s="2" t="str">
        <f>"RANG SAINT DOMINIQUE"</f>
        <v>RANG SAINT DOMINIQUE</v>
      </c>
      <c r="O900" s="2" t="s">
        <v>3185</v>
      </c>
      <c r="P900" s="9" t="str">
        <f>VLOOKUP($O900,'Liste des Villes'!$B$2:$B$1128,1,FALSE)</f>
        <v>Saint-Jérôme</v>
      </c>
      <c r="Q900" s="9" t="str">
        <f>IFERROR($P900,PROPER(VLOOKUP($O900,'Villes en erreur'!$A$2:$B$72,2,FALSE)))</f>
        <v>Saint-Jérôme</v>
      </c>
      <c r="R900" s="9" t="s">
        <v>3186</v>
      </c>
      <c r="S900" s="9" t="str">
        <f>IF(ISBLANK($R900),"",VLOOKUP($R900,'Liste des Villes'!$B$2:$H$1128,4,FALSE))</f>
        <v>Laurentides</v>
      </c>
      <c r="T900" s="2" t="s">
        <v>3517</v>
      </c>
      <c r="U900" s="2" t="s">
        <v>39</v>
      </c>
      <c r="V900" s="2" t="s">
        <v>40</v>
      </c>
      <c r="W900" s="2" t="s">
        <v>5028</v>
      </c>
      <c r="X900" s="2"/>
      <c r="Y900" s="2"/>
      <c r="Z900" s="2"/>
      <c r="AA900" s="2" t="s">
        <v>832</v>
      </c>
      <c r="AB900" s="2" t="s">
        <v>3221</v>
      </c>
      <c r="AC900" s="4" t="s">
        <v>44</v>
      </c>
    </row>
    <row r="901" spans="1:29" x14ac:dyDescent="0.25">
      <c r="A901" s="1">
        <v>3905</v>
      </c>
      <c r="B901" s="17" t="s">
        <v>5029</v>
      </c>
      <c r="C901" s="2" t="s">
        <v>5030</v>
      </c>
      <c r="D901" s="15" t="s">
        <v>5031</v>
      </c>
      <c r="E901" s="9" t="s">
        <v>3486</v>
      </c>
      <c r="F901" s="9" t="s">
        <v>5032</v>
      </c>
      <c r="G901" s="9" t="s">
        <v>5033</v>
      </c>
      <c r="H901" s="2" t="s">
        <v>60</v>
      </c>
      <c r="I901" s="3">
        <v>35128</v>
      </c>
      <c r="J901" s="9" t="str">
        <f t="shared" ca="1" si="16"/>
        <v>27 ans</v>
      </c>
      <c r="K901" s="2" t="s">
        <v>36</v>
      </c>
      <c r="L901" s="2" t="str">
        <f>"101"</f>
        <v>101</v>
      </c>
      <c r="M901" s="2"/>
      <c r="N901" s="2" t="str">
        <f>"CH NOTRE-DAME"</f>
        <v>CH NOTRE-DAME</v>
      </c>
      <c r="O901" s="2" t="s">
        <v>3185</v>
      </c>
      <c r="P901" s="9" t="str">
        <f>VLOOKUP($O901,'Liste des Villes'!$B$2:$B$1128,1,FALSE)</f>
        <v>Saint-Jérôme</v>
      </c>
      <c r="Q901" s="9" t="str">
        <f>IFERROR($P901,PROPER(VLOOKUP($O901,'Villes en erreur'!$A$2:$B$72,2,FALSE)))</f>
        <v>Saint-Jérôme</v>
      </c>
      <c r="R901" s="9" t="s">
        <v>3186</v>
      </c>
      <c r="S901" s="9" t="str">
        <f>IF(ISBLANK($R901),"",VLOOKUP($R901,'Liste des Villes'!$B$2:$H$1128,4,FALSE))</f>
        <v>Laurentides</v>
      </c>
      <c r="T901" s="2" t="s">
        <v>3187</v>
      </c>
      <c r="U901" s="2" t="s">
        <v>39</v>
      </c>
      <c r="V901" s="2" t="s">
        <v>40</v>
      </c>
      <c r="W901" s="2" t="s">
        <v>5034</v>
      </c>
      <c r="X901" s="2"/>
      <c r="Y901" s="2"/>
      <c r="Z901" s="2"/>
      <c r="AA901" s="2" t="s">
        <v>3189</v>
      </c>
      <c r="AB901" s="2" t="s">
        <v>3190</v>
      </c>
      <c r="AC901" s="4" t="s">
        <v>44</v>
      </c>
    </row>
    <row r="902" spans="1:29" x14ac:dyDescent="0.25">
      <c r="A902" s="1">
        <v>4468</v>
      </c>
      <c r="B902" s="17" t="s">
        <v>5035</v>
      </c>
      <c r="C902" s="2" t="s">
        <v>5036</v>
      </c>
      <c r="D902" s="15" t="s">
        <v>5037</v>
      </c>
      <c r="E902" s="9" t="s">
        <v>253</v>
      </c>
      <c r="F902" s="9" t="s">
        <v>726</v>
      </c>
      <c r="G902" s="9" t="s">
        <v>5038</v>
      </c>
      <c r="H902" s="2" t="s">
        <v>35</v>
      </c>
      <c r="I902" s="3">
        <v>34160</v>
      </c>
      <c r="J902" s="9" t="str">
        <f t="shared" ca="1" si="16"/>
        <v>30 ans</v>
      </c>
      <c r="K902" s="2" t="s">
        <v>36</v>
      </c>
      <c r="L902" s="2" t="str">
        <f>"47"</f>
        <v>47</v>
      </c>
      <c r="M902" s="2"/>
      <c r="N902" s="2" t="str">
        <f>"BOULEVARD DE LA SALETTE"</f>
        <v>BOULEVARD DE LA SALETTE</v>
      </c>
      <c r="O902" s="2" t="s">
        <v>3185</v>
      </c>
      <c r="P902" s="9" t="str">
        <f>VLOOKUP($O902,'Liste des Villes'!$B$2:$B$1128,1,FALSE)</f>
        <v>Saint-Jérôme</v>
      </c>
      <c r="Q902" s="9" t="str">
        <f>IFERROR($P902,PROPER(VLOOKUP($O902,'Villes en erreur'!$A$2:$B$72,2,FALSE)))</f>
        <v>Saint-Jérôme</v>
      </c>
      <c r="R902" s="9" t="s">
        <v>3186</v>
      </c>
      <c r="S902" s="9" t="str">
        <f>IF(ISBLANK($R902),"",VLOOKUP($R902,'Liste des Villes'!$B$2:$H$1128,4,FALSE))</f>
        <v>Laurentides</v>
      </c>
      <c r="T902" s="2" t="s">
        <v>3358</v>
      </c>
      <c r="U902" s="2" t="s">
        <v>39</v>
      </c>
      <c r="V902" s="2" t="s">
        <v>40</v>
      </c>
      <c r="W902" s="2" t="s">
        <v>5039</v>
      </c>
      <c r="X902" s="2"/>
      <c r="Y902" s="2"/>
      <c r="Z902" s="2"/>
      <c r="AA902" s="2" t="s">
        <v>3360</v>
      </c>
      <c r="AB902" s="2" t="s">
        <v>53</v>
      </c>
      <c r="AC902" s="4" t="s">
        <v>44</v>
      </c>
    </row>
    <row r="903" spans="1:29" x14ac:dyDescent="0.25">
      <c r="A903" s="1">
        <v>3580</v>
      </c>
      <c r="B903" s="17" t="s">
        <v>5040</v>
      </c>
      <c r="C903" s="2" t="s">
        <v>5041</v>
      </c>
      <c r="D903" s="15" t="s">
        <v>4066</v>
      </c>
      <c r="E903" s="9" t="s">
        <v>34</v>
      </c>
      <c r="F903" s="9" t="s">
        <v>5042</v>
      </c>
      <c r="G903" s="9" t="s">
        <v>380</v>
      </c>
      <c r="H903" s="2" t="s">
        <v>60</v>
      </c>
      <c r="I903" s="3">
        <v>34459</v>
      </c>
      <c r="J903" s="9" t="str">
        <f t="shared" ca="1" si="16"/>
        <v>29 ans</v>
      </c>
      <c r="K903" s="2" t="s">
        <v>36</v>
      </c>
      <c r="L903" s="2" t="str">
        <f>"59"</f>
        <v>59</v>
      </c>
      <c r="M903" s="2"/>
      <c r="N903" s="2" t="str">
        <f>"Castonguay"</f>
        <v>Castonguay</v>
      </c>
      <c r="O903" s="2" t="s">
        <v>3185</v>
      </c>
      <c r="P903" s="9" t="str">
        <f>VLOOKUP($O903,'Liste des Villes'!$B$2:$B$1128,1,FALSE)</f>
        <v>Saint-Jérôme</v>
      </c>
      <c r="Q903" s="9" t="str">
        <f>IFERROR($P903,PROPER(VLOOKUP($O903,'Villes en erreur'!$A$2:$B$72,2,FALSE)))</f>
        <v>Saint-Jérôme</v>
      </c>
      <c r="R903" s="9" t="s">
        <v>3186</v>
      </c>
      <c r="S903" s="9" t="str">
        <f>IF(ISBLANK($R903),"",VLOOKUP($R903,'Liste des Villes'!$B$2:$H$1128,4,FALSE))</f>
        <v>Laurentides</v>
      </c>
      <c r="T903" s="2" t="s">
        <v>3507</v>
      </c>
      <c r="U903" s="2" t="s">
        <v>39</v>
      </c>
      <c r="V903" s="2" t="s">
        <v>40</v>
      </c>
      <c r="W903" s="2" t="s">
        <v>5043</v>
      </c>
      <c r="X903" s="2"/>
      <c r="Y903" s="2"/>
      <c r="Z903" s="2"/>
      <c r="AA903" s="2" t="s">
        <v>3293</v>
      </c>
      <c r="AB903" s="2" t="s">
        <v>53</v>
      </c>
      <c r="AC903" s="4" t="s">
        <v>44</v>
      </c>
    </row>
    <row r="904" spans="1:29" x14ac:dyDescent="0.25">
      <c r="A904" s="1">
        <v>2176</v>
      </c>
      <c r="B904" s="17" t="s">
        <v>5044</v>
      </c>
      <c r="C904" s="2" t="s">
        <v>5045</v>
      </c>
      <c r="D904" s="15" t="s">
        <v>2984</v>
      </c>
      <c r="E904" s="9" t="s">
        <v>1945</v>
      </c>
      <c r="F904" s="9" t="s">
        <v>2983</v>
      </c>
      <c r="G904" s="9" t="s">
        <v>996</v>
      </c>
      <c r="H904" s="2" t="s">
        <v>60</v>
      </c>
      <c r="I904" s="3">
        <v>35026</v>
      </c>
      <c r="J904" s="9" t="str">
        <f t="shared" ca="1" si="16"/>
        <v>27 ans</v>
      </c>
      <c r="K904" s="2" t="s">
        <v>36</v>
      </c>
      <c r="L904" s="2" t="str">
        <f>"94"</f>
        <v>94</v>
      </c>
      <c r="M904" s="2"/>
      <c r="N904" s="2" t="str">
        <f>"CH DU LAC-MILLETTE"</f>
        <v>CH DU LAC-MILLETTE</v>
      </c>
      <c r="O904" s="2" t="s">
        <v>3185</v>
      </c>
      <c r="P904" s="9" t="str">
        <f>VLOOKUP($O904,'Liste des Villes'!$B$2:$B$1128,1,FALSE)</f>
        <v>Saint-Jérôme</v>
      </c>
      <c r="Q904" s="9" t="str">
        <f>IFERROR($P904,PROPER(VLOOKUP($O904,'Villes en erreur'!$A$2:$B$72,2,FALSE)))</f>
        <v>Saint-Jérôme</v>
      </c>
      <c r="R904" s="9" t="s">
        <v>3186</v>
      </c>
      <c r="S904" s="9" t="str">
        <f>IF(ISBLANK($R904),"",VLOOKUP($R904,'Liste des Villes'!$B$2:$H$1128,4,FALSE))</f>
        <v>Laurentides</v>
      </c>
      <c r="T904" s="2" t="s">
        <v>3187</v>
      </c>
      <c r="U904" s="2" t="s">
        <v>39</v>
      </c>
      <c r="V904" s="2" t="s">
        <v>40</v>
      </c>
      <c r="W904" s="2" t="s">
        <v>5046</v>
      </c>
      <c r="X904" s="2"/>
      <c r="Y904" s="2"/>
      <c r="Z904" s="2"/>
      <c r="AA904" s="2" t="s">
        <v>3189</v>
      </c>
      <c r="AB904" s="2" t="s">
        <v>53</v>
      </c>
      <c r="AC904" s="4" t="s">
        <v>44</v>
      </c>
    </row>
    <row r="905" spans="1:29" x14ac:dyDescent="0.25">
      <c r="A905" s="1">
        <v>2130</v>
      </c>
      <c r="B905" s="17" t="s">
        <v>5047</v>
      </c>
      <c r="C905" s="2" t="s">
        <v>5048</v>
      </c>
      <c r="D905" s="15" t="s">
        <v>5049</v>
      </c>
      <c r="E905" s="9" t="s">
        <v>219</v>
      </c>
      <c r="F905" s="9" t="s">
        <v>5050</v>
      </c>
      <c r="G905" s="9" t="s">
        <v>3274</v>
      </c>
      <c r="H905" s="2" t="s">
        <v>35</v>
      </c>
      <c r="I905" s="3">
        <v>35153</v>
      </c>
      <c r="J905" s="9" t="str">
        <f t="shared" ca="1" si="16"/>
        <v>27 ans</v>
      </c>
      <c r="K905" s="2" t="s">
        <v>36</v>
      </c>
      <c r="L905" s="2" t="str">
        <f>"103"</f>
        <v>103</v>
      </c>
      <c r="M905" s="2"/>
      <c r="N905" s="2" t="str">
        <f>"CH RODGERS"</f>
        <v>CH RODGERS</v>
      </c>
      <c r="O905" s="2" t="s">
        <v>3185</v>
      </c>
      <c r="P905" s="9" t="str">
        <f>VLOOKUP($O905,'Liste des Villes'!$B$2:$B$1128,1,FALSE)</f>
        <v>Saint-Jérôme</v>
      </c>
      <c r="Q905" s="9" t="str">
        <f>IFERROR($P905,PROPER(VLOOKUP($O905,'Villes en erreur'!$A$2:$B$72,2,FALSE)))</f>
        <v>Saint-Jérôme</v>
      </c>
      <c r="R905" s="9" t="s">
        <v>3186</v>
      </c>
      <c r="S905" s="9" t="str">
        <f>IF(ISBLANK($R905),"",VLOOKUP($R905,'Liste des Villes'!$B$2:$H$1128,4,FALSE))</f>
        <v>Laurentides</v>
      </c>
      <c r="T905" s="2" t="s">
        <v>3187</v>
      </c>
      <c r="U905" s="2" t="s">
        <v>39</v>
      </c>
      <c r="V905" s="2" t="s">
        <v>40</v>
      </c>
      <c r="W905" s="2" t="s">
        <v>5051</v>
      </c>
      <c r="X905" s="2"/>
      <c r="Y905" s="2"/>
      <c r="Z905" s="2"/>
      <c r="AA905" s="2" t="s">
        <v>3189</v>
      </c>
      <c r="AB905" s="2" t="s">
        <v>3190</v>
      </c>
      <c r="AC905" s="4" t="s">
        <v>44</v>
      </c>
    </row>
    <row r="906" spans="1:29" x14ac:dyDescent="0.25">
      <c r="A906" s="1">
        <v>266</v>
      </c>
      <c r="B906" s="17" t="s">
        <v>5052</v>
      </c>
      <c r="C906" s="2" t="s">
        <v>5053</v>
      </c>
      <c r="D906" s="15" t="s">
        <v>5054</v>
      </c>
      <c r="E906" s="9" t="s">
        <v>3013</v>
      </c>
      <c r="F906" s="9" t="s">
        <v>5055</v>
      </c>
      <c r="G906" s="9" t="s">
        <v>3351</v>
      </c>
      <c r="H906" s="2" t="s">
        <v>35</v>
      </c>
      <c r="I906" s="3">
        <v>35851</v>
      </c>
      <c r="J906" s="9" t="str">
        <f t="shared" ca="1" si="16"/>
        <v>25 ans</v>
      </c>
      <c r="K906" s="2" t="s">
        <v>123</v>
      </c>
      <c r="L906" s="2" t="str">
        <f>"149"</f>
        <v>149</v>
      </c>
      <c r="M906" s="2"/>
      <c r="N906" s="2" t="str">
        <f>"LEMIRE"</f>
        <v>LEMIRE</v>
      </c>
      <c r="O906" s="2" t="s">
        <v>3185</v>
      </c>
      <c r="P906" s="9" t="str">
        <f>VLOOKUP($O906,'Liste des Villes'!$B$2:$B$1128,1,FALSE)</f>
        <v>Saint-Jérôme</v>
      </c>
      <c r="Q906" s="9" t="str">
        <f>IFERROR($P906,PROPER(VLOOKUP($O906,'Villes en erreur'!$A$2:$B$72,2,FALSE)))</f>
        <v>Saint-Jérôme</v>
      </c>
      <c r="R906" s="9" t="s">
        <v>3186</v>
      </c>
      <c r="S906" s="9" t="str">
        <f>IF(ISBLANK($R906),"",VLOOKUP($R906,'Liste des Villes'!$B$2:$H$1128,4,FALSE))</f>
        <v>Laurentides</v>
      </c>
      <c r="T906" s="2" t="s">
        <v>5056</v>
      </c>
      <c r="U906" s="2" t="s">
        <v>39</v>
      </c>
      <c r="V906" s="2" t="s">
        <v>40</v>
      </c>
      <c r="W906" s="2" t="s">
        <v>5057</v>
      </c>
      <c r="X906" s="2"/>
      <c r="Y906" s="2"/>
      <c r="Z906" s="2"/>
      <c r="AA906" s="2" t="s">
        <v>3243</v>
      </c>
      <c r="AB906" s="2" t="s">
        <v>3221</v>
      </c>
      <c r="AC906" s="4" t="s">
        <v>44</v>
      </c>
    </row>
    <row r="907" spans="1:29" x14ac:dyDescent="0.25">
      <c r="A907" s="1">
        <v>2892</v>
      </c>
      <c r="B907" s="17" t="s">
        <v>5058</v>
      </c>
      <c r="C907" s="2" t="s">
        <v>5059</v>
      </c>
      <c r="D907" s="15" t="s">
        <v>5026</v>
      </c>
      <c r="E907" s="9" t="s">
        <v>5060</v>
      </c>
      <c r="F907" s="9" t="s">
        <v>4050</v>
      </c>
      <c r="G907" s="9" t="s">
        <v>92</v>
      </c>
      <c r="H907" s="2" t="s">
        <v>35</v>
      </c>
      <c r="I907" s="3">
        <v>35384</v>
      </c>
      <c r="J907" s="9" t="str">
        <f t="shared" ca="1" si="16"/>
        <v>26 ans</v>
      </c>
      <c r="K907" s="2" t="s">
        <v>36</v>
      </c>
      <c r="L907" s="2" t="str">
        <f>"112"</f>
        <v>112</v>
      </c>
      <c r="M907" s="2"/>
      <c r="N907" s="2" t="str">
        <f>"CHEMIN DU BASSIN"</f>
        <v>CHEMIN DU BASSIN</v>
      </c>
      <c r="O907" s="2" t="s">
        <v>3185</v>
      </c>
      <c r="P907" s="9" t="str">
        <f>VLOOKUP($O907,'Liste des Villes'!$B$2:$B$1128,1,FALSE)</f>
        <v>Saint-Jérôme</v>
      </c>
      <c r="Q907" s="9" t="str">
        <f>IFERROR($P907,PROPER(VLOOKUP($O907,'Villes en erreur'!$A$2:$B$72,2,FALSE)))</f>
        <v>Saint-Jérôme</v>
      </c>
      <c r="R907" s="9" t="s">
        <v>3186</v>
      </c>
      <c r="S907" s="9" t="str">
        <f>IF(ISBLANK($R907),"",VLOOKUP($R907,'Liste des Villes'!$B$2:$H$1128,4,FALSE))</f>
        <v>Laurentides</v>
      </c>
      <c r="T907" s="2" t="s">
        <v>3827</v>
      </c>
      <c r="U907" s="2" t="s">
        <v>39</v>
      </c>
      <c r="V907" s="2" t="s">
        <v>40</v>
      </c>
      <c r="W907" s="2" t="s">
        <v>5061</v>
      </c>
      <c r="X907" s="2"/>
      <c r="Y907" s="2"/>
      <c r="Z907" s="2"/>
      <c r="AA907" s="2" t="s">
        <v>3189</v>
      </c>
      <c r="AB907" s="2" t="s">
        <v>3200</v>
      </c>
      <c r="AC907" s="4" t="s">
        <v>44</v>
      </c>
    </row>
    <row r="908" spans="1:29" x14ac:dyDescent="0.25">
      <c r="A908" s="1">
        <v>2839</v>
      </c>
      <c r="B908" s="17" t="s">
        <v>5062</v>
      </c>
      <c r="C908" s="2" t="s">
        <v>3449</v>
      </c>
      <c r="D908" s="15" t="s">
        <v>3450</v>
      </c>
      <c r="E908" s="9" t="s">
        <v>3451</v>
      </c>
      <c r="F908" s="9" t="s">
        <v>961</v>
      </c>
      <c r="G908" s="9" t="s">
        <v>332</v>
      </c>
      <c r="H908" s="2" t="s">
        <v>60</v>
      </c>
      <c r="I908" s="3">
        <v>35544</v>
      </c>
      <c r="J908" s="9" t="str">
        <f t="shared" ca="1" si="16"/>
        <v>26 ans</v>
      </c>
      <c r="K908" s="2" t="s">
        <v>36</v>
      </c>
      <c r="L908" s="2" t="str">
        <f>"123"</f>
        <v>123</v>
      </c>
      <c r="M908" s="2"/>
      <c r="N908" s="2" t="str">
        <f>"CÔTE SAINT-PAUL"</f>
        <v>CÔTE SAINT-PAUL</v>
      </c>
      <c r="O908" s="2" t="s">
        <v>3185</v>
      </c>
      <c r="P908" s="9" t="str">
        <f>VLOOKUP($O908,'Liste des Villes'!$B$2:$B$1128,1,FALSE)</f>
        <v>Saint-Jérôme</v>
      </c>
      <c r="Q908" s="9" t="str">
        <f>IFERROR($P908,PROPER(VLOOKUP($O908,'Villes en erreur'!$A$2:$B$72,2,FALSE)))</f>
        <v>Saint-Jérôme</v>
      </c>
      <c r="R908" s="9" t="s">
        <v>3186</v>
      </c>
      <c r="S908" s="9" t="str">
        <f>IF(ISBLANK($R908),"",VLOOKUP($R908,'Liste des Villes'!$B$2:$H$1128,4,FALSE))</f>
        <v>Laurentides</v>
      </c>
      <c r="T908" s="2" t="s">
        <v>3740</v>
      </c>
      <c r="U908" s="2" t="s">
        <v>39</v>
      </c>
      <c r="V908" s="2" t="s">
        <v>40</v>
      </c>
      <c r="W908" s="2" t="s">
        <v>5063</v>
      </c>
      <c r="X908" s="2"/>
      <c r="Y908" s="2"/>
      <c r="Z908" s="2"/>
      <c r="AA908" s="2" t="s">
        <v>3199</v>
      </c>
      <c r="AB908" s="2" t="s">
        <v>3221</v>
      </c>
      <c r="AC908" s="4" t="s">
        <v>44</v>
      </c>
    </row>
    <row r="909" spans="1:29" x14ac:dyDescent="0.25">
      <c r="A909" s="1">
        <v>640</v>
      </c>
      <c r="B909" s="17" t="s">
        <v>5064</v>
      </c>
      <c r="C909" s="2" t="s">
        <v>5065</v>
      </c>
      <c r="D909" s="15" t="s">
        <v>4284</v>
      </c>
      <c r="E909" s="9" t="s">
        <v>2339</v>
      </c>
      <c r="F909" s="9" t="s">
        <v>875</v>
      </c>
      <c r="G909" s="9" t="s">
        <v>5066</v>
      </c>
      <c r="H909" s="2" t="s">
        <v>60</v>
      </c>
      <c r="I909" s="3">
        <v>34170</v>
      </c>
      <c r="J909" s="9" t="str">
        <f t="shared" ca="1" si="16"/>
        <v>30 ans</v>
      </c>
      <c r="K909" s="2" t="s">
        <v>36</v>
      </c>
      <c r="L909" s="2" t="str">
        <f>"48"</f>
        <v>48</v>
      </c>
      <c r="M909" s="2"/>
      <c r="N909" s="2" t="str">
        <f>"BOULEVARD DE LA SALETTE"</f>
        <v>BOULEVARD DE LA SALETTE</v>
      </c>
      <c r="O909" s="2" t="s">
        <v>3185</v>
      </c>
      <c r="P909" s="9" t="str">
        <f>VLOOKUP($O909,'Liste des Villes'!$B$2:$B$1128,1,FALSE)</f>
        <v>Saint-Jérôme</v>
      </c>
      <c r="Q909" s="9" t="str">
        <f>IFERROR($P909,PROPER(VLOOKUP($O909,'Villes en erreur'!$A$2:$B$72,2,FALSE)))</f>
        <v>Saint-Jérôme</v>
      </c>
      <c r="R909" s="9" t="s">
        <v>3186</v>
      </c>
      <c r="S909" s="9" t="str">
        <f>IF(ISBLANK($R909),"",VLOOKUP($R909,'Liste des Villes'!$B$2:$H$1128,4,FALSE))</f>
        <v>Laurentides</v>
      </c>
      <c r="T909" s="2" t="s">
        <v>3358</v>
      </c>
      <c r="U909" s="2" t="s">
        <v>39</v>
      </c>
      <c r="V909" s="2" t="s">
        <v>40</v>
      </c>
      <c r="W909" s="2" t="s">
        <v>5067</v>
      </c>
      <c r="X909" s="2"/>
      <c r="Y909" s="2"/>
      <c r="Z909" s="2"/>
      <c r="AA909" s="2" t="s">
        <v>3360</v>
      </c>
      <c r="AB909" s="2" t="s">
        <v>53</v>
      </c>
      <c r="AC909" s="4" t="s">
        <v>44</v>
      </c>
    </row>
    <row r="910" spans="1:29" x14ac:dyDescent="0.25">
      <c r="A910" s="1">
        <v>2132</v>
      </c>
      <c r="B910" s="17" t="s">
        <v>5068</v>
      </c>
      <c r="C910" s="2" t="s">
        <v>5069</v>
      </c>
      <c r="D910" s="15" t="s">
        <v>4417</v>
      </c>
      <c r="E910" s="9" t="s">
        <v>685</v>
      </c>
      <c r="F910" s="9" t="s">
        <v>4416</v>
      </c>
      <c r="G910" s="9" t="s">
        <v>5070</v>
      </c>
      <c r="H910" s="2" t="s">
        <v>35</v>
      </c>
      <c r="I910" s="3">
        <v>35947</v>
      </c>
      <c r="J910" s="9" t="str">
        <f t="shared" ca="1" si="16"/>
        <v>25 ans</v>
      </c>
      <c r="K910" s="2" t="s">
        <v>123</v>
      </c>
      <c r="L910" s="2" t="str">
        <f>"168"</f>
        <v>168</v>
      </c>
      <c r="M910" s="2"/>
      <c r="N910" s="2" t="str">
        <f>"MONTEE SAINTE-THÉRÈSE"</f>
        <v>MONTEE SAINTE-THÉRÈSE</v>
      </c>
      <c r="O910" s="2" t="s">
        <v>3185</v>
      </c>
      <c r="P910" s="9" t="str">
        <f>VLOOKUP($O910,'Liste des Villes'!$B$2:$B$1128,1,FALSE)</f>
        <v>Saint-Jérôme</v>
      </c>
      <c r="Q910" s="9" t="str">
        <f>IFERROR($P910,PROPER(VLOOKUP($O910,'Villes en erreur'!$A$2:$B$72,2,FALSE)))</f>
        <v>Saint-Jérôme</v>
      </c>
      <c r="R910" s="9" t="s">
        <v>3186</v>
      </c>
      <c r="S910" s="9" t="str">
        <f>IF(ISBLANK($R910),"",VLOOKUP($R910,'Liste des Villes'!$B$2:$H$1128,4,FALSE))</f>
        <v>Laurentides</v>
      </c>
      <c r="T910" s="2" t="s">
        <v>4723</v>
      </c>
      <c r="U910" s="2" t="s">
        <v>39</v>
      </c>
      <c r="V910" s="2" t="s">
        <v>40</v>
      </c>
      <c r="W910" s="2" t="s">
        <v>5071</v>
      </c>
      <c r="X910" s="2"/>
      <c r="Y910" s="2"/>
      <c r="Z910" s="2"/>
      <c r="AA910" s="2" t="s">
        <v>832</v>
      </c>
      <c r="AB910" s="2" t="s">
        <v>3221</v>
      </c>
      <c r="AC910" s="4" t="s">
        <v>44</v>
      </c>
    </row>
    <row r="911" spans="1:29" x14ac:dyDescent="0.25">
      <c r="A911" s="1">
        <v>1747</v>
      </c>
      <c r="B911" s="17" t="s">
        <v>5072</v>
      </c>
      <c r="C911" s="2" t="s">
        <v>3681</v>
      </c>
      <c r="D911" s="15" t="s">
        <v>540</v>
      </c>
      <c r="E911" s="9" t="s">
        <v>3682</v>
      </c>
      <c r="F911" s="9" t="s">
        <v>2056</v>
      </c>
      <c r="G911" s="9" t="s">
        <v>179</v>
      </c>
      <c r="H911" s="2" t="s">
        <v>60</v>
      </c>
      <c r="I911" s="3">
        <v>36097</v>
      </c>
      <c r="J911" s="9" t="str">
        <f t="shared" ca="1" si="16"/>
        <v>24 ans</v>
      </c>
      <c r="K911" s="2" t="s">
        <v>123</v>
      </c>
      <c r="L911" s="2" t="str">
        <f>"207"</f>
        <v>207</v>
      </c>
      <c r="M911" s="2"/>
      <c r="N911" s="2" t="str">
        <f>"ROUTE DES SEIGNEURS"</f>
        <v>ROUTE DES SEIGNEURS</v>
      </c>
      <c r="O911" s="2" t="s">
        <v>3185</v>
      </c>
      <c r="P911" s="9" t="str">
        <f>VLOOKUP($O911,'Liste des Villes'!$B$2:$B$1128,1,FALSE)</f>
        <v>Saint-Jérôme</v>
      </c>
      <c r="Q911" s="9" t="str">
        <f>IFERROR($P911,PROPER(VLOOKUP($O911,'Villes en erreur'!$A$2:$B$72,2,FALSE)))</f>
        <v>Saint-Jérôme</v>
      </c>
      <c r="R911" s="9" t="s">
        <v>3186</v>
      </c>
      <c r="S911" s="9" t="str">
        <f>IF(ISBLANK($R911),"",VLOOKUP($R911,'Liste des Villes'!$B$2:$H$1128,4,FALSE))</f>
        <v>Laurentides</v>
      </c>
      <c r="T911" s="2" t="s">
        <v>5073</v>
      </c>
      <c r="U911" s="2" t="s">
        <v>39</v>
      </c>
      <c r="V911" s="2" t="s">
        <v>40</v>
      </c>
      <c r="W911" s="2" t="s">
        <v>5074</v>
      </c>
      <c r="X911" s="2"/>
      <c r="Y911" s="2"/>
      <c r="Z911" s="2"/>
      <c r="AA911" s="2" t="s">
        <v>832</v>
      </c>
      <c r="AB911" s="2" t="s">
        <v>3221</v>
      </c>
      <c r="AC911" s="4" t="s">
        <v>44</v>
      </c>
    </row>
    <row r="912" spans="1:29" x14ac:dyDescent="0.25">
      <c r="A912" s="1">
        <v>4356</v>
      </c>
      <c r="B912" s="17" t="s">
        <v>5075</v>
      </c>
      <c r="C912" s="2" t="s">
        <v>4315</v>
      </c>
      <c r="D912" s="15" t="s">
        <v>4316</v>
      </c>
      <c r="E912" s="9" t="s">
        <v>541</v>
      </c>
      <c r="F912" s="9" t="s">
        <v>3705</v>
      </c>
      <c r="G912" s="9" t="s">
        <v>495</v>
      </c>
      <c r="H912" s="2" t="s">
        <v>35</v>
      </c>
      <c r="I912" s="3">
        <v>34662</v>
      </c>
      <c r="J912" s="9" t="str">
        <f t="shared" ca="1" si="16"/>
        <v>28 ans</v>
      </c>
      <c r="K912" s="2" t="s">
        <v>36</v>
      </c>
      <c r="L912" s="2" t="str">
        <f>"69"</f>
        <v>69</v>
      </c>
      <c r="M912" s="2"/>
      <c r="N912" s="2" t="str">
        <f>"CH DE LA RÉSERVE"</f>
        <v>CH DE LA RÉSERVE</v>
      </c>
      <c r="O912" s="2" t="s">
        <v>3185</v>
      </c>
      <c r="P912" s="9" t="str">
        <f>VLOOKUP($O912,'Liste des Villes'!$B$2:$B$1128,1,FALSE)</f>
        <v>Saint-Jérôme</v>
      </c>
      <c r="Q912" s="9" t="str">
        <f>IFERROR($P912,PROPER(VLOOKUP($O912,'Villes en erreur'!$A$2:$B$72,2,FALSE)))</f>
        <v>Saint-Jérôme</v>
      </c>
      <c r="R912" s="9" t="s">
        <v>3186</v>
      </c>
      <c r="S912" s="9" t="str">
        <f>IF(ISBLANK($R912),"",VLOOKUP($R912,'Liste des Villes'!$B$2:$H$1128,4,FALSE))</f>
        <v>Laurentides</v>
      </c>
      <c r="T912" s="2" t="s">
        <v>3470</v>
      </c>
      <c r="U912" s="2" t="s">
        <v>39</v>
      </c>
      <c r="V912" s="2" t="s">
        <v>40</v>
      </c>
      <c r="W912" s="2" t="s">
        <v>5076</v>
      </c>
      <c r="X912" s="2"/>
      <c r="Y912" s="2"/>
      <c r="Z912" s="2"/>
      <c r="AA912" s="2" t="s">
        <v>3225</v>
      </c>
      <c r="AB912" s="2" t="s">
        <v>53</v>
      </c>
      <c r="AC912" s="4" t="s">
        <v>44</v>
      </c>
    </row>
    <row r="913" spans="1:29" x14ac:dyDescent="0.25">
      <c r="A913" s="1">
        <v>4415</v>
      </c>
      <c r="B913" s="17" t="s">
        <v>5077</v>
      </c>
      <c r="C913" s="2" t="s">
        <v>5078</v>
      </c>
      <c r="D913" s="15" t="s">
        <v>5079</v>
      </c>
      <c r="E913" s="9" t="s">
        <v>2404</v>
      </c>
      <c r="F913" s="9" t="s">
        <v>5080</v>
      </c>
      <c r="G913" s="9" t="s">
        <v>671</v>
      </c>
      <c r="H913" s="2" t="s">
        <v>60</v>
      </c>
      <c r="I913" s="3">
        <v>35964</v>
      </c>
      <c r="J913" s="9" t="str">
        <f t="shared" ca="1" si="16"/>
        <v>25 ans</v>
      </c>
      <c r="K913" s="2" t="s">
        <v>123</v>
      </c>
      <c r="L913" s="2" t="str">
        <f>"170"</f>
        <v>170</v>
      </c>
      <c r="M913" s="2"/>
      <c r="N913" s="2" t="str">
        <f>"PATON PROM"</f>
        <v>PATON PROM</v>
      </c>
      <c r="O913" s="2" t="s">
        <v>3185</v>
      </c>
      <c r="P913" s="9" t="str">
        <f>VLOOKUP($O913,'Liste des Villes'!$B$2:$B$1128,1,FALSE)</f>
        <v>Saint-Jérôme</v>
      </c>
      <c r="Q913" s="9" t="str">
        <f>IFERROR($P913,PROPER(VLOOKUP($O913,'Villes en erreur'!$A$2:$B$72,2,FALSE)))</f>
        <v>Saint-Jérôme</v>
      </c>
      <c r="R913" s="9" t="s">
        <v>3186</v>
      </c>
      <c r="S913" s="9" t="str">
        <f>IF(ISBLANK($R913),"",VLOOKUP($R913,'Liste des Villes'!$B$2:$H$1128,4,FALSE))</f>
        <v>Laurentides</v>
      </c>
      <c r="T913" s="2" t="s">
        <v>5081</v>
      </c>
      <c r="U913" s="2" t="s">
        <v>39</v>
      </c>
      <c r="V913" s="2" t="s">
        <v>40</v>
      </c>
      <c r="W913" s="2" t="s">
        <v>5082</v>
      </c>
      <c r="X913" s="2"/>
      <c r="Y913" s="2"/>
      <c r="Z913" s="2"/>
      <c r="AA913" s="2" t="s">
        <v>832</v>
      </c>
      <c r="AB913" s="2" t="s">
        <v>3221</v>
      </c>
      <c r="AC913" s="4" t="s">
        <v>44</v>
      </c>
    </row>
    <row r="914" spans="1:29" x14ac:dyDescent="0.25">
      <c r="A914" s="1">
        <v>4319</v>
      </c>
      <c r="B914" s="17" t="s">
        <v>5083</v>
      </c>
      <c r="C914" s="2" t="s">
        <v>5084</v>
      </c>
      <c r="D914" s="15" t="s">
        <v>3567</v>
      </c>
      <c r="E914" s="9" t="s">
        <v>5085</v>
      </c>
      <c r="F914" s="9" t="s">
        <v>5086</v>
      </c>
      <c r="G914" s="9" t="s">
        <v>5087</v>
      </c>
      <c r="H914" s="2" t="s">
        <v>35</v>
      </c>
      <c r="I914" s="3">
        <v>35760</v>
      </c>
      <c r="J914" s="9" t="str">
        <f t="shared" ca="1" si="16"/>
        <v>25 ans</v>
      </c>
      <c r="K914" s="2" t="s">
        <v>123</v>
      </c>
      <c r="L914" s="2" t="str">
        <f>"140"</f>
        <v>140</v>
      </c>
      <c r="M914" s="2"/>
      <c r="N914" s="2" t="str">
        <f>"DU SOUVENIR BLVD"</f>
        <v>DU SOUVENIR BLVD</v>
      </c>
      <c r="O914" s="2" t="s">
        <v>3185</v>
      </c>
      <c r="P914" s="9" t="str">
        <f>VLOOKUP($O914,'Liste des Villes'!$B$2:$B$1128,1,FALSE)</f>
        <v>Saint-Jérôme</v>
      </c>
      <c r="Q914" s="9" t="str">
        <f>IFERROR($P914,PROPER(VLOOKUP($O914,'Villes en erreur'!$A$2:$B$72,2,FALSE)))</f>
        <v>Saint-Jérôme</v>
      </c>
      <c r="R914" s="9" t="s">
        <v>3186</v>
      </c>
      <c r="S914" s="9" t="str">
        <f>IF(ISBLANK($R914),"",VLOOKUP($R914,'Liste des Villes'!$B$2:$H$1128,4,FALSE))</f>
        <v>Laurentides</v>
      </c>
      <c r="T914" s="2" t="s">
        <v>5088</v>
      </c>
      <c r="U914" s="2" t="s">
        <v>39</v>
      </c>
      <c r="V914" s="2" t="s">
        <v>40</v>
      </c>
      <c r="W914" s="2" t="s">
        <v>5089</v>
      </c>
      <c r="X914" s="2"/>
      <c r="Y914" s="2"/>
      <c r="Z914" s="2"/>
      <c r="AA914" s="2" t="s">
        <v>3243</v>
      </c>
      <c r="AB914" s="2" t="s">
        <v>3221</v>
      </c>
      <c r="AC914" s="4" t="s">
        <v>44</v>
      </c>
    </row>
    <row r="915" spans="1:29" x14ac:dyDescent="0.25">
      <c r="A915" s="1">
        <v>2333</v>
      </c>
      <c r="B915" s="17" t="s">
        <v>5090</v>
      </c>
      <c r="C915" s="2" t="s">
        <v>5091</v>
      </c>
      <c r="D915" s="15" t="s">
        <v>852</v>
      </c>
      <c r="E915" s="9" t="s">
        <v>590</v>
      </c>
      <c r="F915" s="9" t="s">
        <v>850</v>
      </c>
      <c r="G915" s="9" t="s">
        <v>5027</v>
      </c>
      <c r="H915" s="2" t="s">
        <v>60</v>
      </c>
      <c r="I915" s="3">
        <v>35794</v>
      </c>
      <c r="J915" s="9" t="str">
        <f t="shared" ca="1" si="16"/>
        <v>25 ans</v>
      </c>
      <c r="K915" s="2" t="s">
        <v>123</v>
      </c>
      <c r="L915" s="2" t="str">
        <f>"144"</f>
        <v>144</v>
      </c>
      <c r="M915" s="2"/>
      <c r="N915" s="2" t="str">
        <f>"Guenette"</f>
        <v>Guenette</v>
      </c>
      <c r="O915" s="2" t="s">
        <v>3185</v>
      </c>
      <c r="P915" s="9" t="str">
        <f>VLOOKUP($O915,'Liste des Villes'!$B$2:$B$1128,1,FALSE)</f>
        <v>Saint-Jérôme</v>
      </c>
      <c r="Q915" s="9" t="str">
        <f>IFERROR($P915,PROPER(VLOOKUP($O915,'Villes en erreur'!$A$2:$B$72,2,FALSE)))</f>
        <v>Saint-Jérôme</v>
      </c>
      <c r="R915" s="9" t="s">
        <v>3186</v>
      </c>
      <c r="S915" s="9" t="str">
        <f>IF(ISBLANK($R915),"",VLOOKUP($R915,'Liste des Villes'!$B$2:$H$1128,4,FALSE))</f>
        <v>Laurentides</v>
      </c>
      <c r="T915" s="2" t="s">
        <v>5092</v>
      </c>
      <c r="U915" s="2" t="s">
        <v>39</v>
      </c>
      <c r="V915" s="2" t="s">
        <v>40</v>
      </c>
      <c r="W915" s="2" t="s">
        <v>5093</v>
      </c>
      <c r="X915" s="2"/>
      <c r="Y915" s="2"/>
      <c r="Z915" s="2"/>
      <c r="AA915" s="2" t="s">
        <v>3243</v>
      </c>
      <c r="AB915" s="2" t="s">
        <v>3221</v>
      </c>
      <c r="AC915" s="4" t="s">
        <v>44</v>
      </c>
    </row>
    <row r="916" spans="1:29" x14ac:dyDescent="0.25">
      <c r="A916" s="1">
        <v>2072</v>
      </c>
      <c r="B916" s="17" t="s">
        <v>5094</v>
      </c>
      <c r="C916" s="2" t="s">
        <v>410</v>
      </c>
      <c r="D916" s="15" t="s">
        <v>411</v>
      </c>
      <c r="E916" s="9" t="s">
        <v>85</v>
      </c>
      <c r="F916" s="9" t="s">
        <v>1576</v>
      </c>
      <c r="G916" s="9" t="s">
        <v>3695</v>
      </c>
      <c r="H916" s="2" t="s">
        <v>60</v>
      </c>
      <c r="I916" s="3">
        <v>35719</v>
      </c>
      <c r="J916" s="9" t="str">
        <f t="shared" ca="1" si="16"/>
        <v>25 ans</v>
      </c>
      <c r="K916" s="2" t="s">
        <v>123</v>
      </c>
      <c r="L916" s="2" t="str">
        <f>"137"</f>
        <v>137</v>
      </c>
      <c r="M916" s="2"/>
      <c r="N916" s="2" t="str">
        <f>"DOMAINE ROUSSEL"</f>
        <v>DOMAINE ROUSSEL</v>
      </c>
      <c r="O916" s="2" t="s">
        <v>3185</v>
      </c>
      <c r="P916" s="9" t="str">
        <f>VLOOKUP($O916,'Liste des Villes'!$B$2:$B$1128,1,FALSE)</f>
        <v>Saint-Jérôme</v>
      </c>
      <c r="Q916" s="9" t="str">
        <f>IFERROR($P916,PROPER(VLOOKUP($O916,'Villes en erreur'!$A$2:$B$72,2,FALSE)))</f>
        <v>Saint-Jérôme</v>
      </c>
      <c r="R916" s="9" t="s">
        <v>3186</v>
      </c>
      <c r="S916" s="9" t="str">
        <f>IF(ISBLANK($R916),"",VLOOKUP($R916,'Liste des Villes'!$B$2:$H$1128,4,FALSE))</f>
        <v>Laurentides</v>
      </c>
      <c r="T916" s="2" t="s">
        <v>5095</v>
      </c>
      <c r="U916" s="2" t="s">
        <v>39</v>
      </c>
      <c r="V916" s="2" t="s">
        <v>40</v>
      </c>
      <c r="W916" s="2" t="s">
        <v>5096</v>
      </c>
      <c r="X916" s="2"/>
      <c r="Y916" s="2"/>
      <c r="Z916" s="2"/>
      <c r="AA916" s="2" t="s">
        <v>3243</v>
      </c>
      <c r="AB916" s="2" t="s">
        <v>3221</v>
      </c>
      <c r="AC916" s="4" t="s">
        <v>44</v>
      </c>
    </row>
    <row r="917" spans="1:29" x14ac:dyDescent="0.25">
      <c r="A917" s="1">
        <v>1860</v>
      </c>
      <c r="B917" s="17" t="s">
        <v>5097</v>
      </c>
      <c r="C917" s="2" t="s">
        <v>5098</v>
      </c>
      <c r="D917" s="15" t="s">
        <v>5099</v>
      </c>
      <c r="E917" s="9" t="s">
        <v>1838</v>
      </c>
      <c r="F917" s="9" t="s">
        <v>5100</v>
      </c>
      <c r="G917" s="9" t="s">
        <v>209</v>
      </c>
      <c r="H917" s="2" t="s">
        <v>60</v>
      </c>
      <c r="I917" s="3">
        <v>34237</v>
      </c>
      <c r="J917" s="9" t="str">
        <f t="shared" ca="1" si="16"/>
        <v>29 ans</v>
      </c>
      <c r="K917" s="2" t="s">
        <v>36</v>
      </c>
      <c r="L917" s="2" t="str">
        <f>"50"</f>
        <v>50</v>
      </c>
      <c r="M917" s="2"/>
      <c r="N917" s="2" t="str">
        <f>"BOULEVARD DES OISEAUX"</f>
        <v>BOULEVARD DES OISEAUX</v>
      </c>
      <c r="O917" s="2" t="s">
        <v>3185</v>
      </c>
      <c r="P917" s="9" t="str">
        <f>VLOOKUP($O917,'Liste des Villes'!$B$2:$B$1128,1,FALSE)</f>
        <v>Saint-Jérôme</v>
      </c>
      <c r="Q917" s="9" t="str">
        <f>IFERROR($P917,PROPER(VLOOKUP($O917,'Villes en erreur'!$A$2:$B$72,2,FALSE)))</f>
        <v>Saint-Jérôme</v>
      </c>
      <c r="R917" s="9" t="s">
        <v>3186</v>
      </c>
      <c r="S917" s="9" t="str">
        <f>IF(ISBLANK($R917),"",VLOOKUP($R917,'Liste des Villes'!$B$2:$H$1128,4,FALSE))</f>
        <v>Laurentides</v>
      </c>
      <c r="T917" s="2" t="s">
        <v>3520</v>
      </c>
      <c r="U917" s="2" t="s">
        <v>39</v>
      </c>
      <c r="V917" s="2" t="s">
        <v>40</v>
      </c>
      <c r="W917" s="2" t="s">
        <v>5101</v>
      </c>
      <c r="X917" s="2"/>
      <c r="Y917" s="2"/>
      <c r="Z917" s="2"/>
      <c r="AA917" s="2" t="s">
        <v>3360</v>
      </c>
      <c r="AB917" s="2" t="s">
        <v>53</v>
      </c>
      <c r="AC917" s="4" t="s">
        <v>44</v>
      </c>
    </row>
    <row r="918" spans="1:29" x14ac:dyDescent="0.25">
      <c r="A918" s="1">
        <v>820</v>
      </c>
      <c r="B918" s="17" t="s">
        <v>5102</v>
      </c>
      <c r="C918" s="2" t="s">
        <v>5103</v>
      </c>
      <c r="D918" s="2" t="s">
        <v>5104</v>
      </c>
      <c r="E918" s="9" t="s">
        <v>5105</v>
      </c>
      <c r="F918" s="9" t="s">
        <v>5106</v>
      </c>
      <c r="G918" s="9" t="s">
        <v>2796</v>
      </c>
      <c r="H918" s="2" t="s">
        <v>35</v>
      </c>
      <c r="I918" s="3">
        <v>35279</v>
      </c>
      <c r="J918" s="9" t="str">
        <f t="shared" ca="1" si="16"/>
        <v>27 ans</v>
      </c>
      <c r="K918" s="2" t="s">
        <v>36</v>
      </c>
      <c r="L918" s="2" t="str">
        <f>"108"</f>
        <v>108</v>
      </c>
      <c r="M918" s="2"/>
      <c r="N918" s="2" t="str">
        <f>"CHEMIN DE LA RIVIÈRE-CACHÉE"</f>
        <v>CHEMIN DE LA RIVIÈRE-CACHÉE</v>
      </c>
      <c r="O918" s="2" t="s">
        <v>3185</v>
      </c>
      <c r="P918" s="9" t="str">
        <f>VLOOKUP($O918,'Liste des Villes'!$B$2:$B$1128,1,FALSE)</f>
        <v>Saint-Jérôme</v>
      </c>
      <c r="Q918" s="9" t="str">
        <f>IFERROR($P918,PROPER(VLOOKUP($O918,'Villes en erreur'!$A$2:$B$72,2,FALSE)))</f>
        <v>Saint-Jérôme</v>
      </c>
      <c r="R918" s="9" t="s">
        <v>3186</v>
      </c>
      <c r="S918" s="9" t="str">
        <f>IF(ISBLANK($R918),"",VLOOKUP($R918,'Liste des Villes'!$B$2:$H$1128,4,FALSE))</f>
        <v>Laurentides</v>
      </c>
      <c r="T918" s="2" t="s">
        <v>3213</v>
      </c>
      <c r="U918" s="2" t="s">
        <v>39</v>
      </c>
      <c r="V918" s="2" t="s">
        <v>40</v>
      </c>
      <c r="W918" s="2" t="s">
        <v>5107</v>
      </c>
      <c r="X918" s="2"/>
      <c r="Y918" s="2"/>
      <c r="Z918" s="2"/>
      <c r="AA918" s="2" t="s">
        <v>3189</v>
      </c>
      <c r="AB918" s="2" t="s">
        <v>3190</v>
      </c>
      <c r="AC918" s="4" t="s">
        <v>44</v>
      </c>
    </row>
    <row r="919" spans="1:29" x14ac:dyDescent="0.25">
      <c r="A919" s="1">
        <v>1208</v>
      </c>
      <c r="B919" s="17" t="s">
        <v>5108</v>
      </c>
      <c r="C919" s="2" t="s">
        <v>5109</v>
      </c>
      <c r="D919" s="15" t="s">
        <v>2139</v>
      </c>
      <c r="E919" s="9" t="s">
        <v>325</v>
      </c>
      <c r="F919" s="9" t="s">
        <v>3097</v>
      </c>
      <c r="G919" s="9" t="s">
        <v>495</v>
      </c>
      <c r="H919" s="2" t="s">
        <v>35</v>
      </c>
      <c r="I919" s="3">
        <v>34577</v>
      </c>
      <c r="J919" s="9" t="str">
        <f t="shared" ca="1" si="16"/>
        <v>28 ans</v>
      </c>
      <c r="K919" s="2" t="s">
        <v>36</v>
      </c>
      <c r="L919" s="2" t="str">
        <f>"66"</f>
        <v>66</v>
      </c>
      <c r="M919" s="2"/>
      <c r="N919" s="2" t="str">
        <f>"CH DE LA MACAZA"</f>
        <v>CH DE LA MACAZA</v>
      </c>
      <c r="O919" s="2" t="s">
        <v>3185</v>
      </c>
      <c r="P919" s="9" t="str">
        <f>VLOOKUP($O919,'Liste des Villes'!$B$2:$B$1128,1,FALSE)</f>
        <v>Saint-Jérôme</v>
      </c>
      <c r="Q919" s="9" t="str">
        <f>IFERROR($P919,PROPER(VLOOKUP($O919,'Villes en erreur'!$A$2:$B$72,2,FALSE)))</f>
        <v>Saint-Jérôme</v>
      </c>
      <c r="R919" s="9" t="s">
        <v>3186</v>
      </c>
      <c r="S919" s="9" t="str">
        <f>IF(ISBLANK($R919),"",VLOOKUP($R919,'Liste des Villes'!$B$2:$H$1128,4,FALSE))</f>
        <v>Laurentides</v>
      </c>
      <c r="T919" s="2" t="s">
        <v>3954</v>
      </c>
      <c r="U919" s="2" t="s">
        <v>39</v>
      </c>
      <c r="V919" s="2" t="s">
        <v>40</v>
      </c>
      <c r="W919" s="2" t="s">
        <v>5110</v>
      </c>
      <c r="X919" s="2"/>
      <c r="Y919" s="2"/>
      <c r="Z919" s="2"/>
      <c r="AA919" s="2" t="s">
        <v>3225</v>
      </c>
      <c r="AB919" s="2" t="s">
        <v>53</v>
      </c>
      <c r="AC919" s="4" t="s">
        <v>44</v>
      </c>
    </row>
    <row r="920" spans="1:29" x14ac:dyDescent="0.25">
      <c r="A920" s="1">
        <v>750</v>
      </c>
      <c r="B920" s="17" t="s">
        <v>5111</v>
      </c>
      <c r="C920" s="2" t="s">
        <v>2009</v>
      </c>
      <c r="D920" s="15" t="s">
        <v>1076</v>
      </c>
      <c r="E920" s="9" t="s">
        <v>332</v>
      </c>
      <c r="F920" s="9" t="s">
        <v>2010</v>
      </c>
      <c r="G920" s="9" t="s">
        <v>5112</v>
      </c>
      <c r="H920" s="2" t="s">
        <v>35</v>
      </c>
      <c r="I920" s="3">
        <v>35227</v>
      </c>
      <c r="J920" s="9" t="str">
        <f t="shared" ca="1" si="16"/>
        <v>27 ans</v>
      </c>
      <c r="K920" s="2" t="s">
        <v>36</v>
      </c>
      <c r="L920" s="2" t="str">
        <f>"105"</f>
        <v>105</v>
      </c>
      <c r="M920" s="2"/>
      <c r="N920" s="2" t="str">
        <f>"CHEMIN BEATTIE"</f>
        <v>CHEMIN BEATTIE</v>
      </c>
      <c r="O920" s="2" t="s">
        <v>3185</v>
      </c>
      <c r="P920" s="9" t="str">
        <f>VLOOKUP($O920,'Liste des Villes'!$B$2:$B$1128,1,FALSE)</f>
        <v>Saint-Jérôme</v>
      </c>
      <c r="Q920" s="9" t="str">
        <f>IFERROR($P920,PROPER(VLOOKUP($O920,'Villes en erreur'!$A$2:$B$72,2,FALSE)))</f>
        <v>Saint-Jérôme</v>
      </c>
      <c r="R920" s="9" t="s">
        <v>3186</v>
      </c>
      <c r="S920" s="9" t="str">
        <f>IF(ISBLANK($R920),"",VLOOKUP($R920,'Liste des Villes'!$B$2:$H$1128,4,FALSE))</f>
        <v>Laurentides</v>
      </c>
      <c r="T920" s="2" t="s">
        <v>3187</v>
      </c>
      <c r="U920" s="2" t="s">
        <v>39</v>
      </c>
      <c r="V920" s="2" t="s">
        <v>40</v>
      </c>
      <c r="W920" s="2" t="s">
        <v>5113</v>
      </c>
      <c r="X920" s="2"/>
      <c r="Y920" s="2"/>
      <c r="Z920" s="2"/>
      <c r="AA920" s="2" t="s">
        <v>3189</v>
      </c>
      <c r="AB920" s="2" t="s">
        <v>3190</v>
      </c>
      <c r="AC920" s="4" t="s">
        <v>44</v>
      </c>
    </row>
    <row r="921" spans="1:29" x14ac:dyDescent="0.25">
      <c r="A921" s="1">
        <v>1346</v>
      </c>
      <c r="B921" s="17" t="s">
        <v>5114</v>
      </c>
      <c r="C921" s="2" t="s">
        <v>5115</v>
      </c>
      <c r="D921" s="15" t="s">
        <v>1617</v>
      </c>
      <c r="E921" s="9" t="s">
        <v>5116</v>
      </c>
      <c r="F921" s="9" t="s">
        <v>1615</v>
      </c>
      <c r="G921" s="9" t="s">
        <v>1560</v>
      </c>
      <c r="H921" s="2" t="s">
        <v>35</v>
      </c>
      <c r="I921" s="3">
        <v>35606</v>
      </c>
      <c r="J921" s="9" t="str">
        <f t="shared" ca="1" si="16"/>
        <v>26 ans</v>
      </c>
      <c r="K921" s="2" t="s">
        <v>36</v>
      </c>
      <c r="L921" s="2" t="str">
        <f>"129"</f>
        <v>129</v>
      </c>
      <c r="M921" s="2"/>
      <c r="N921" s="2" t="str">
        <f>"DE LA RENAISSANCE BLVD"</f>
        <v>DE LA RENAISSANCE BLVD</v>
      </c>
      <c r="O921" s="2" t="s">
        <v>3185</v>
      </c>
      <c r="P921" s="9" t="str">
        <f>VLOOKUP($O921,'Liste des Villes'!$B$2:$B$1128,1,FALSE)</f>
        <v>Saint-Jérôme</v>
      </c>
      <c r="Q921" s="9" t="str">
        <f>IFERROR($P921,PROPER(VLOOKUP($O921,'Villes en erreur'!$A$2:$B$72,2,FALSE)))</f>
        <v>Saint-Jérôme</v>
      </c>
      <c r="R921" s="9" t="s">
        <v>3186</v>
      </c>
      <c r="S921" s="9" t="str">
        <f>IF(ISBLANK($R921),"",VLOOKUP($R921,'Liste des Villes'!$B$2:$H$1128,4,FALSE))</f>
        <v>Laurentides</v>
      </c>
      <c r="T921" s="2" t="s">
        <v>5117</v>
      </c>
      <c r="U921" s="2" t="s">
        <v>39</v>
      </c>
      <c r="V921" s="2" t="s">
        <v>40</v>
      </c>
      <c r="W921" s="2" t="s">
        <v>5118</v>
      </c>
      <c r="X921" s="2"/>
      <c r="Y921" s="2"/>
      <c r="Z921" s="2"/>
      <c r="AA921" s="2" t="s">
        <v>3243</v>
      </c>
      <c r="AB921" s="2" t="s">
        <v>3221</v>
      </c>
      <c r="AC921" s="4" t="s">
        <v>44</v>
      </c>
    </row>
    <row r="922" spans="1:29" x14ac:dyDescent="0.25">
      <c r="A922" s="1">
        <v>1756</v>
      </c>
      <c r="B922" s="17" t="s">
        <v>5119</v>
      </c>
      <c r="C922" s="2" t="s">
        <v>5120</v>
      </c>
      <c r="D922" s="15" t="s">
        <v>2700</v>
      </c>
      <c r="E922" s="9" t="s">
        <v>509</v>
      </c>
      <c r="F922" s="9" t="s">
        <v>2698</v>
      </c>
      <c r="G922" s="9" t="s">
        <v>2822</v>
      </c>
      <c r="H922" s="2" t="s">
        <v>60</v>
      </c>
      <c r="I922" s="3">
        <v>35093</v>
      </c>
      <c r="J922" s="9" t="str">
        <f t="shared" ca="1" si="16"/>
        <v>27 ans</v>
      </c>
      <c r="K922" s="2" t="s">
        <v>36</v>
      </c>
      <c r="L922" s="2" t="str">
        <f>"100"</f>
        <v>100</v>
      </c>
      <c r="M922" s="2"/>
      <c r="N922" s="2" t="str">
        <f>"CH DUBOIS"</f>
        <v>CH DUBOIS</v>
      </c>
      <c r="O922" s="2" t="s">
        <v>3185</v>
      </c>
      <c r="P922" s="9" t="str">
        <f>VLOOKUP($O922,'Liste des Villes'!$B$2:$B$1128,1,FALSE)</f>
        <v>Saint-Jérôme</v>
      </c>
      <c r="Q922" s="9" t="str">
        <f>IFERROR($P922,PROPER(VLOOKUP($O922,'Villes en erreur'!$A$2:$B$72,2,FALSE)))</f>
        <v>Saint-Jérôme</v>
      </c>
      <c r="R922" s="9" t="s">
        <v>3186</v>
      </c>
      <c r="S922" s="9" t="str">
        <f>IF(ISBLANK($R922),"",VLOOKUP($R922,'Liste des Villes'!$B$2:$H$1128,4,FALSE))</f>
        <v>Laurentides</v>
      </c>
      <c r="T922" s="2" t="s">
        <v>3187</v>
      </c>
      <c r="U922" s="2" t="s">
        <v>39</v>
      </c>
      <c r="V922" s="2" t="s">
        <v>40</v>
      </c>
      <c r="W922" s="2" t="s">
        <v>5121</v>
      </c>
      <c r="X922" s="2"/>
      <c r="Y922" s="2"/>
      <c r="Z922" s="2"/>
      <c r="AA922" s="2" t="s">
        <v>3189</v>
      </c>
      <c r="AB922" s="2" t="s">
        <v>3190</v>
      </c>
      <c r="AC922" s="4" t="s">
        <v>44</v>
      </c>
    </row>
    <row r="923" spans="1:29" x14ac:dyDescent="0.25">
      <c r="A923" s="1">
        <v>1818</v>
      </c>
      <c r="B923" s="17" t="s">
        <v>5122</v>
      </c>
      <c r="C923" s="2" t="s">
        <v>3430</v>
      </c>
      <c r="D923" s="15" t="s">
        <v>3431</v>
      </c>
      <c r="E923" s="9" t="s">
        <v>3432</v>
      </c>
      <c r="F923" s="9" t="s">
        <v>3433</v>
      </c>
      <c r="G923" s="9" t="s">
        <v>635</v>
      </c>
      <c r="H923" s="2" t="s">
        <v>35</v>
      </c>
      <c r="I923" s="3">
        <v>33879</v>
      </c>
      <c r="J923" s="9" t="str">
        <f t="shared" ca="1" si="16"/>
        <v>30 ans</v>
      </c>
      <c r="K923" s="2" t="s">
        <v>36</v>
      </c>
      <c r="L923" s="2" t="str">
        <f>"40"</f>
        <v>40</v>
      </c>
      <c r="M923" s="2"/>
      <c r="N923" s="2" t="str">
        <f>"AVENUE FORGET"</f>
        <v>AVENUE FORGET</v>
      </c>
      <c r="O923" s="2" t="s">
        <v>3185</v>
      </c>
      <c r="P923" s="9" t="str">
        <f>VLOOKUP($O923,'Liste des Villes'!$B$2:$B$1128,1,FALSE)</f>
        <v>Saint-Jérôme</v>
      </c>
      <c r="Q923" s="9" t="str">
        <f>IFERROR($P923,PROPER(VLOOKUP($O923,'Villes en erreur'!$A$2:$B$72,2,FALSE)))</f>
        <v>Saint-Jérôme</v>
      </c>
      <c r="R923" s="9" t="s">
        <v>3186</v>
      </c>
      <c r="S923" s="9" t="str">
        <f>IF(ISBLANK($R923),"",VLOOKUP($R923,'Liste des Villes'!$B$2:$H$1128,4,FALSE))</f>
        <v>Laurentides</v>
      </c>
      <c r="T923" s="2" t="s">
        <v>3093</v>
      </c>
      <c r="U923" s="2" t="s">
        <v>39</v>
      </c>
      <c r="V923" s="2" t="s">
        <v>40</v>
      </c>
      <c r="W923" s="2" t="s">
        <v>5123</v>
      </c>
      <c r="X923" s="2"/>
      <c r="Y923" s="2"/>
      <c r="Z923" s="2"/>
      <c r="AA923" s="2" t="s">
        <v>3207</v>
      </c>
      <c r="AB923" s="2" t="s">
        <v>53</v>
      </c>
      <c r="AC923" s="4" t="s">
        <v>44</v>
      </c>
    </row>
    <row r="924" spans="1:29" x14ac:dyDescent="0.25">
      <c r="A924" s="1">
        <v>11</v>
      </c>
      <c r="B924" s="17" t="s">
        <v>5124</v>
      </c>
      <c r="C924" s="2" t="s">
        <v>2451</v>
      </c>
      <c r="D924" s="15" t="s">
        <v>504</v>
      </c>
      <c r="E924" s="9" t="s">
        <v>1673</v>
      </c>
      <c r="F924" s="9" t="s">
        <v>5125</v>
      </c>
      <c r="G924" s="9" t="s">
        <v>1715</v>
      </c>
      <c r="H924" s="2" t="s">
        <v>60</v>
      </c>
      <c r="I924" s="3">
        <v>35703</v>
      </c>
      <c r="J924" s="9" t="str">
        <f t="shared" ca="1" si="16"/>
        <v>25 ans</v>
      </c>
      <c r="K924" s="2" t="s">
        <v>123</v>
      </c>
      <c r="L924" s="2" t="str">
        <f>"136"</f>
        <v>136</v>
      </c>
      <c r="M924" s="2"/>
      <c r="N924" s="2" t="str">
        <f>"DES ROSIERS"</f>
        <v>DES ROSIERS</v>
      </c>
      <c r="O924" s="2" t="s">
        <v>3185</v>
      </c>
      <c r="P924" s="9" t="str">
        <f>VLOOKUP($O924,'Liste des Villes'!$B$2:$B$1128,1,FALSE)</f>
        <v>Saint-Jérôme</v>
      </c>
      <c r="Q924" s="9" t="str">
        <f>IFERROR($P924,PROPER(VLOOKUP($O924,'Villes en erreur'!$A$2:$B$72,2,FALSE)))</f>
        <v>Saint-Jérôme</v>
      </c>
      <c r="R924" s="9" t="s">
        <v>3186</v>
      </c>
      <c r="S924" s="9" t="str">
        <f>IF(ISBLANK($R924),"",VLOOKUP($R924,'Liste des Villes'!$B$2:$H$1128,4,FALSE))</f>
        <v>Laurentides</v>
      </c>
      <c r="T924" s="2" t="s">
        <v>3745</v>
      </c>
      <c r="U924" s="2" t="s">
        <v>39</v>
      </c>
      <c r="V924" s="2" t="s">
        <v>40</v>
      </c>
      <c r="W924" s="2" t="s">
        <v>5126</v>
      </c>
      <c r="X924" s="2"/>
      <c r="Y924" s="2"/>
      <c r="Z924" s="2"/>
      <c r="AA924" s="2" t="s">
        <v>3243</v>
      </c>
      <c r="AB924" s="2" t="s">
        <v>3221</v>
      </c>
      <c r="AC924" s="4" t="s">
        <v>44</v>
      </c>
    </row>
    <row r="925" spans="1:29" x14ac:dyDescent="0.25">
      <c r="A925" s="1">
        <v>955</v>
      </c>
      <c r="B925" s="17" t="s">
        <v>5127</v>
      </c>
      <c r="C925" s="2" t="s">
        <v>152</v>
      </c>
      <c r="D925" s="15" t="s">
        <v>153</v>
      </c>
      <c r="E925" s="9" t="s">
        <v>154</v>
      </c>
      <c r="F925" s="9" t="s">
        <v>5128</v>
      </c>
      <c r="G925" s="9" t="s">
        <v>4783</v>
      </c>
      <c r="H925" s="2" t="s">
        <v>35</v>
      </c>
      <c r="I925" s="3">
        <v>34920</v>
      </c>
      <c r="J925" s="9" t="str">
        <f t="shared" ca="1" si="16"/>
        <v>28 ans</v>
      </c>
      <c r="K925" s="2" t="s">
        <v>36</v>
      </c>
      <c r="L925" s="2" t="str">
        <f>"84"</f>
        <v>84</v>
      </c>
      <c r="M925" s="2"/>
      <c r="N925" s="2" t="str">
        <f>"CH DU 3E-RANG"</f>
        <v>CH DU 3E-RANG</v>
      </c>
      <c r="O925" s="2" t="s">
        <v>3185</v>
      </c>
      <c r="P925" s="9" t="str">
        <f>VLOOKUP($O925,'Liste des Villes'!$B$2:$B$1128,1,FALSE)</f>
        <v>Saint-Jérôme</v>
      </c>
      <c r="Q925" s="9" t="str">
        <f>IFERROR($P925,PROPER(VLOOKUP($O925,'Villes en erreur'!$A$2:$B$72,2,FALSE)))</f>
        <v>Saint-Jérôme</v>
      </c>
      <c r="R925" s="9" t="s">
        <v>3186</v>
      </c>
      <c r="S925" s="9" t="str">
        <f>IF(ISBLANK($R925),"",VLOOKUP($R925,'Liste des Villes'!$B$2:$H$1128,4,FALSE))</f>
        <v>Laurentides</v>
      </c>
      <c r="T925" s="2" t="s">
        <v>3187</v>
      </c>
      <c r="U925" s="2" t="s">
        <v>39</v>
      </c>
      <c r="V925" s="2" t="s">
        <v>40</v>
      </c>
      <c r="W925" s="2" t="s">
        <v>5129</v>
      </c>
      <c r="X925" s="2"/>
      <c r="Y925" s="2"/>
      <c r="Z925" s="2"/>
      <c r="AA925" s="2" t="s">
        <v>3231</v>
      </c>
      <c r="AB925" s="2" t="s">
        <v>53</v>
      </c>
      <c r="AC925" s="4" t="s">
        <v>44</v>
      </c>
    </row>
    <row r="926" spans="1:29" x14ac:dyDescent="0.25">
      <c r="A926" s="1">
        <v>501</v>
      </c>
      <c r="B926" s="17" t="s">
        <v>5130</v>
      </c>
      <c r="C926" s="2" t="s">
        <v>3320</v>
      </c>
      <c r="D926" s="15" t="s">
        <v>1371</v>
      </c>
      <c r="E926" s="9" t="s">
        <v>1091</v>
      </c>
      <c r="F926" s="9" t="s">
        <v>5131</v>
      </c>
      <c r="G926" s="9" t="s">
        <v>2160</v>
      </c>
      <c r="H926" s="2" t="s">
        <v>60</v>
      </c>
      <c r="I926" s="3">
        <v>36045</v>
      </c>
      <c r="J926" s="9" t="str">
        <f t="shared" ca="1" si="16"/>
        <v>24 ans</v>
      </c>
      <c r="K926" s="2" t="s">
        <v>123</v>
      </c>
      <c r="L926" s="2" t="str">
        <f>"187"</f>
        <v>187</v>
      </c>
      <c r="M926" s="2"/>
      <c r="N926" s="2" t="str">
        <f>"PLACE RENÉ-COITEUX"</f>
        <v>PLACE RENÉ-COITEUX</v>
      </c>
      <c r="O926" s="2" t="s">
        <v>3185</v>
      </c>
      <c r="P926" s="9" t="str">
        <f>VLOOKUP($O926,'Liste des Villes'!$B$2:$B$1128,1,FALSE)</f>
        <v>Saint-Jérôme</v>
      </c>
      <c r="Q926" s="9" t="str">
        <f>IFERROR($P926,PROPER(VLOOKUP($O926,'Villes en erreur'!$A$2:$B$72,2,FALSE)))</f>
        <v>Saint-Jérôme</v>
      </c>
      <c r="R926" s="9" t="s">
        <v>3186</v>
      </c>
      <c r="S926" s="9" t="str">
        <f>IF(ISBLANK($R926),"",VLOOKUP($R926,'Liste des Villes'!$B$2:$H$1128,4,FALSE))</f>
        <v>Laurentides</v>
      </c>
      <c r="T926" s="2" t="s">
        <v>4205</v>
      </c>
      <c r="U926" s="2" t="s">
        <v>39</v>
      </c>
      <c r="V926" s="2" t="s">
        <v>40</v>
      </c>
      <c r="W926" s="2" t="s">
        <v>5132</v>
      </c>
      <c r="X926" s="2"/>
      <c r="Y926" s="2"/>
      <c r="Z926" s="2"/>
      <c r="AA926" s="2" t="s">
        <v>832</v>
      </c>
      <c r="AB926" s="2" t="s">
        <v>3221</v>
      </c>
      <c r="AC926" s="4" t="s">
        <v>44</v>
      </c>
    </row>
    <row r="927" spans="1:29" x14ac:dyDescent="0.25">
      <c r="A927" s="1">
        <v>2220</v>
      </c>
      <c r="B927" s="17" t="s">
        <v>5133</v>
      </c>
      <c r="C927" s="2" t="s">
        <v>749</v>
      </c>
      <c r="D927" s="15" t="s">
        <v>750</v>
      </c>
      <c r="E927" s="9" t="s">
        <v>751</v>
      </c>
      <c r="F927" s="9" t="s">
        <v>121</v>
      </c>
      <c r="G927" s="9" t="s">
        <v>1162</v>
      </c>
      <c r="H927" s="2" t="s">
        <v>35</v>
      </c>
      <c r="I927" s="3">
        <v>35866</v>
      </c>
      <c r="J927" s="9" t="str">
        <f t="shared" ca="1" si="16"/>
        <v>25 ans</v>
      </c>
      <c r="K927" s="2" t="s">
        <v>123</v>
      </c>
      <c r="L927" s="2" t="str">
        <f>"151"</f>
        <v>151</v>
      </c>
      <c r="M927" s="2"/>
      <c r="N927" s="2" t="str">
        <f>"MAISONNEUVE BLVD"</f>
        <v>MAISONNEUVE BLVD</v>
      </c>
      <c r="O927" s="2" t="s">
        <v>3185</v>
      </c>
      <c r="P927" s="9" t="str">
        <f>VLOOKUP($O927,'Liste des Villes'!$B$2:$B$1128,1,FALSE)</f>
        <v>Saint-Jérôme</v>
      </c>
      <c r="Q927" s="9" t="str">
        <f>IFERROR($P927,PROPER(VLOOKUP($O927,'Villes en erreur'!$A$2:$B$72,2,FALSE)))</f>
        <v>Saint-Jérôme</v>
      </c>
      <c r="R927" s="9" t="s">
        <v>3186</v>
      </c>
      <c r="S927" s="9" t="str">
        <f>IF(ISBLANK($R927),"",VLOOKUP($R927,'Liste des Villes'!$B$2:$H$1128,4,FALSE))</f>
        <v>Laurentides</v>
      </c>
      <c r="T927" s="2" t="s">
        <v>5134</v>
      </c>
      <c r="U927" s="2" t="s">
        <v>39</v>
      </c>
      <c r="V927" s="2" t="s">
        <v>40</v>
      </c>
      <c r="W927" s="2" t="s">
        <v>5135</v>
      </c>
      <c r="X927" s="2"/>
      <c r="Y927" s="2"/>
      <c r="Z927" s="2"/>
      <c r="AA927" s="2" t="s">
        <v>3243</v>
      </c>
      <c r="AB927" s="2" t="s">
        <v>3221</v>
      </c>
      <c r="AC927" s="4" t="s">
        <v>44</v>
      </c>
    </row>
    <row r="928" spans="1:29" x14ac:dyDescent="0.25">
      <c r="A928" s="1">
        <v>590</v>
      </c>
      <c r="B928" s="17" t="s">
        <v>5136</v>
      </c>
      <c r="C928" s="2" t="s">
        <v>5137</v>
      </c>
      <c r="D928" s="15" t="s">
        <v>861</v>
      </c>
      <c r="E928" s="9" t="s">
        <v>332</v>
      </c>
      <c r="F928" s="9" t="s">
        <v>5138</v>
      </c>
      <c r="G928" s="9" t="s">
        <v>635</v>
      </c>
      <c r="H928" s="2" t="s">
        <v>35</v>
      </c>
      <c r="I928" s="3">
        <v>33817</v>
      </c>
      <c r="J928" s="9" t="str">
        <f t="shared" ca="1" si="16"/>
        <v>31 ans</v>
      </c>
      <c r="K928" s="2" t="s">
        <v>36</v>
      </c>
      <c r="L928" s="2" t="str">
        <f>"39"</f>
        <v>39</v>
      </c>
      <c r="M928" s="2"/>
      <c r="N928" s="2" t="str">
        <f>"AVENUE DES MÉSANGES"</f>
        <v>AVENUE DES MÉSANGES</v>
      </c>
      <c r="O928" s="2" t="s">
        <v>3185</v>
      </c>
      <c r="P928" s="9" t="str">
        <f>VLOOKUP($O928,'Liste des Villes'!$B$2:$B$1128,1,FALSE)</f>
        <v>Saint-Jérôme</v>
      </c>
      <c r="Q928" s="9" t="str">
        <f>IFERROR($P928,PROPER(VLOOKUP($O928,'Villes en erreur'!$A$2:$B$72,2,FALSE)))</f>
        <v>Saint-Jérôme</v>
      </c>
      <c r="R928" s="9" t="s">
        <v>3186</v>
      </c>
      <c r="S928" s="9" t="str">
        <f>IF(ISBLANK($R928),"",VLOOKUP($R928,'Liste des Villes'!$B$2:$H$1128,4,FALSE))</f>
        <v>Laurentides</v>
      </c>
      <c r="T928" s="2" t="s">
        <v>3093</v>
      </c>
      <c r="U928" s="2" t="s">
        <v>39</v>
      </c>
      <c r="V928" s="2" t="s">
        <v>40</v>
      </c>
      <c r="W928" s="2" t="s">
        <v>5139</v>
      </c>
      <c r="X928" s="2"/>
      <c r="Y928" s="2"/>
      <c r="Z928" s="2"/>
      <c r="AA928" s="2" t="s">
        <v>3207</v>
      </c>
      <c r="AB928" s="2" t="s">
        <v>53</v>
      </c>
      <c r="AC928" s="4" t="s">
        <v>44</v>
      </c>
    </row>
    <row r="929" spans="1:29" x14ac:dyDescent="0.25">
      <c r="A929" s="1">
        <v>3481</v>
      </c>
      <c r="B929" s="17" t="s">
        <v>5140</v>
      </c>
      <c r="C929" s="2" t="s">
        <v>5141</v>
      </c>
      <c r="D929" s="15" t="s">
        <v>3350</v>
      </c>
      <c r="E929" s="9" t="s">
        <v>5142</v>
      </c>
      <c r="F929" s="9" t="s">
        <v>164</v>
      </c>
      <c r="G929" s="9" t="s">
        <v>5143</v>
      </c>
      <c r="H929" s="2" t="s">
        <v>60</v>
      </c>
      <c r="I929" s="3">
        <v>34043</v>
      </c>
      <c r="J929" s="9" t="str">
        <f t="shared" ca="1" si="16"/>
        <v>30 ans</v>
      </c>
      <c r="K929" s="2" t="s">
        <v>36</v>
      </c>
      <c r="L929" s="2" t="str">
        <f>"44"</f>
        <v>44</v>
      </c>
      <c r="M929" s="2"/>
      <c r="N929" s="2" t="str">
        <f>"BOUL LAVALLÉE"</f>
        <v>BOUL LAVALLÉE</v>
      </c>
      <c r="O929" s="2" t="s">
        <v>3185</v>
      </c>
      <c r="P929" s="9" t="str">
        <f>VLOOKUP($O929,'Liste des Villes'!$B$2:$B$1128,1,FALSE)</f>
        <v>Saint-Jérôme</v>
      </c>
      <c r="Q929" s="9" t="str">
        <f>IFERROR($P929,PROPER(VLOOKUP($O929,'Villes en erreur'!$A$2:$B$72,2,FALSE)))</f>
        <v>Saint-Jérôme</v>
      </c>
      <c r="R929" s="9" t="s">
        <v>3186</v>
      </c>
      <c r="S929" s="9" t="str">
        <f>IF(ISBLANK($R929),"",VLOOKUP($R929,'Liste des Villes'!$B$2:$H$1128,4,FALSE))</f>
        <v>Laurentides</v>
      </c>
      <c r="T929" s="2" t="s">
        <v>3205</v>
      </c>
      <c r="U929" s="2" t="s">
        <v>39</v>
      </c>
      <c r="V929" s="2" t="s">
        <v>40</v>
      </c>
      <c r="W929" s="2" t="s">
        <v>5144</v>
      </c>
      <c r="X929" s="2"/>
      <c r="Y929" s="2"/>
      <c r="Z929" s="2"/>
      <c r="AA929" s="2" t="s">
        <v>3207</v>
      </c>
      <c r="AB929" s="2" t="s">
        <v>53</v>
      </c>
      <c r="AC929" s="4" t="s">
        <v>44</v>
      </c>
    </row>
    <row r="930" spans="1:29" x14ac:dyDescent="0.25">
      <c r="A930" s="1">
        <v>503</v>
      </c>
      <c r="B930" s="17" t="s">
        <v>5145</v>
      </c>
      <c r="C930" s="2" t="s">
        <v>633</v>
      </c>
      <c r="D930" s="15" t="s">
        <v>634</v>
      </c>
      <c r="E930" s="9" t="s">
        <v>635</v>
      </c>
      <c r="F930" s="9" t="s">
        <v>5146</v>
      </c>
      <c r="G930" s="9" t="s">
        <v>1037</v>
      </c>
      <c r="H930" s="2" t="s">
        <v>35</v>
      </c>
      <c r="I930" s="3">
        <v>36081</v>
      </c>
      <c r="J930" s="9" t="str">
        <f t="shared" ca="1" si="16"/>
        <v>24 ans</v>
      </c>
      <c r="K930" s="2" t="s">
        <v>123</v>
      </c>
      <c r="L930" s="2" t="str">
        <f>"201"</f>
        <v>201</v>
      </c>
      <c r="M930" s="2"/>
      <c r="N930" s="2" t="str">
        <f>"RANG SAINTE-MARIE"</f>
        <v>RANG SAINTE-MARIE</v>
      </c>
      <c r="O930" s="2" t="s">
        <v>3185</v>
      </c>
      <c r="P930" s="9" t="str">
        <f>VLOOKUP($O930,'Liste des Villes'!$B$2:$B$1128,1,FALSE)</f>
        <v>Saint-Jérôme</v>
      </c>
      <c r="Q930" s="9" t="str">
        <f>IFERROR($P930,PROPER(VLOOKUP($O930,'Villes en erreur'!$A$2:$B$72,2,FALSE)))</f>
        <v>Saint-Jérôme</v>
      </c>
      <c r="R930" s="9" t="s">
        <v>3186</v>
      </c>
      <c r="S930" s="9" t="str">
        <f>IF(ISBLANK($R930),"",VLOOKUP($R930,'Liste des Villes'!$B$2:$H$1128,4,FALSE))</f>
        <v>Laurentides</v>
      </c>
      <c r="T930" s="2" t="s">
        <v>5147</v>
      </c>
      <c r="U930" s="2" t="s">
        <v>39</v>
      </c>
      <c r="V930" s="2" t="s">
        <v>40</v>
      </c>
      <c r="W930" s="2" t="s">
        <v>5148</v>
      </c>
      <c r="X930" s="2"/>
      <c r="Y930" s="2"/>
      <c r="Z930" s="2"/>
      <c r="AA930" s="2" t="s">
        <v>832</v>
      </c>
      <c r="AB930" s="2" t="s">
        <v>3221</v>
      </c>
      <c r="AC930" s="4" t="s">
        <v>44</v>
      </c>
    </row>
    <row r="931" spans="1:29" x14ac:dyDescent="0.25">
      <c r="A931" s="1">
        <v>679</v>
      </c>
      <c r="B931" s="17" t="s">
        <v>5149</v>
      </c>
      <c r="C931" s="2" t="s">
        <v>5150</v>
      </c>
      <c r="D931" s="15" t="s">
        <v>2101</v>
      </c>
      <c r="E931" s="9" t="s">
        <v>5151</v>
      </c>
      <c r="F931" s="9" t="s">
        <v>2099</v>
      </c>
      <c r="G931" s="9" t="s">
        <v>179</v>
      </c>
      <c r="H931" s="2" t="s">
        <v>60</v>
      </c>
      <c r="I931" s="3">
        <v>36136</v>
      </c>
      <c r="J931" s="9" t="str">
        <f t="shared" ca="1" si="16"/>
        <v>24 ans</v>
      </c>
      <c r="K931" s="2" t="s">
        <v>123</v>
      </c>
      <c r="L931" s="2" t="str">
        <f>"218"</f>
        <v>218</v>
      </c>
      <c r="M931" s="2"/>
      <c r="N931" s="2" t="str">
        <f>"RUE ALARIE"</f>
        <v>RUE ALARIE</v>
      </c>
      <c r="O931" s="2" t="s">
        <v>3185</v>
      </c>
      <c r="P931" s="9" t="str">
        <f>VLOOKUP($O931,'Liste des Villes'!$B$2:$B$1128,1,FALSE)</f>
        <v>Saint-Jérôme</v>
      </c>
      <c r="Q931" s="9" t="str">
        <f>IFERROR($P931,PROPER(VLOOKUP($O931,'Villes en erreur'!$A$2:$B$72,2,FALSE)))</f>
        <v>Saint-Jérôme</v>
      </c>
      <c r="R931" s="9" t="s">
        <v>3186</v>
      </c>
      <c r="S931" s="9" t="str">
        <f>IF(ISBLANK($R931),"",VLOOKUP($R931,'Liste des Villes'!$B$2:$H$1128,4,FALSE))</f>
        <v>Laurentides</v>
      </c>
      <c r="T931" s="2" t="s">
        <v>3347</v>
      </c>
      <c r="U931" s="2" t="s">
        <v>39</v>
      </c>
      <c r="V931" s="2" t="s">
        <v>40</v>
      </c>
      <c r="W931" s="2" t="s">
        <v>5152</v>
      </c>
      <c r="X931" s="2"/>
      <c r="Y931" s="2"/>
      <c r="Z931" s="2"/>
      <c r="AA931" s="2" t="s">
        <v>832</v>
      </c>
      <c r="AB931" s="2" t="s">
        <v>3221</v>
      </c>
      <c r="AC931" s="4" t="s">
        <v>44</v>
      </c>
    </row>
    <row r="932" spans="1:29" x14ac:dyDescent="0.25">
      <c r="A932" s="1">
        <v>1429</v>
      </c>
      <c r="B932" s="17" t="s">
        <v>5153</v>
      </c>
      <c r="C932" s="2" t="s">
        <v>2982</v>
      </c>
      <c r="D932" s="15" t="s">
        <v>2983</v>
      </c>
      <c r="E932" s="9" t="s">
        <v>370</v>
      </c>
      <c r="F932" s="9" t="s">
        <v>5154</v>
      </c>
      <c r="G932" s="9" t="s">
        <v>1037</v>
      </c>
      <c r="H932" s="2" t="s">
        <v>35</v>
      </c>
      <c r="I932" s="3">
        <v>36069</v>
      </c>
      <c r="J932" s="9" t="str">
        <f t="shared" ca="1" si="16"/>
        <v>24 ans</v>
      </c>
      <c r="K932" s="2" t="s">
        <v>123</v>
      </c>
      <c r="L932" s="2" t="str">
        <f>"197"</f>
        <v>197</v>
      </c>
      <c r="M932" s="2"/>
      <c r="N932" s="2" t="str">
        <f>"RANG SAINT VINCENT"</f>
        <v>RANG SAINT VINCENT</v>
      </c>
      <c r="O932" s="2" t="s">
        <v>3185</v>
      </c>
      <c r="P932" s="9" t="str">
        <f>VLOOKUP($O932,'Liste des Villes'!$B$2:$B$1128,1,FALSE)</f>
        <v>Saint-Jérôme</v>
      </c>
      <c r="Q932" s="9" t="str">
        <f>IFERROR($P932,PROPER(VLOOKUP($O932,'Villes en erreur'!$A$2:$B$72,2,FALSE)))</f>
        <v>Saint-Jérôme</v>
      </c>
      <c r="R932" s="9" t="s">
        <v>3186</v>
      </c>
      <c r="S932" s="9" t="str">
        <f>IF(ISBLANK($R932),"",VLOOKUP($R932,'Liste des Villes'!$B$2:$H$1128,4,FALSE))</f>
        <v>Laurentides</v>
      </c>
      <c r="T932" s="2" t="s">
        <v>5155</v>
      </c>
      <c r="U932" s="2" t="s">
        <v>39</v>
      </c>
      <c r="V932" s="2" t="s">
        <v>40</v>
      </c>
      <c r="W932" s="2" t="s">
        <v>5156</v>
      </c>
      <c r="X932" s="2"/>
      <c r="Y932" s="2"/>
      <c r="Z932" s="2"/>
      <c r="AA932" s="2" t="s">
        <v>832</v>
      </c>
      <c r="AB932" s="2" t="s">
        <v>3221</v>
      </c>
      <c r="AC932" s="4" t="s">
        <v>44</v>
      </c>
    </row>
    <row r="933" spans="1:29" x14ac:dyDescent="0.25">
      <c r="A933" s="1">
        <v>1163</v>
      </c>
      <c r="B933" s="17" t="s">
        <v>5157</v>
      </c>
      <c r="C933" s="2" t="s">
        <v>5158</v>
      </c>
      <c r="D933" s="15" t="s">
        <v>699</v>
      </c>
      <c r="E933" s="9" t="s">
        <v>3274</v>
      </c>
      <c r="F933" s="9" t="s">
        <v>697</v>
      </c>
      <c r="G933" s="9" t="s">
        <v>2504</v>
      </c>
      <c r="H933" s="2" t="s">
        <v>60</v>
      </c>
      <c r="I933" s="3">
        <v>35346</v>
      </c>
      <c r="J933" s="9" t="str">
        <f t="shared" ca="1" si="16"/>
        <v>26 ans</v>
      </c>
      <c r="K933" s="2" t="s">
        <v>36</v>
      </c>
      <c r="L933" s="2" t="str">
        <f>"111"</f>
        <v>111</v>
      </c>
      <c r="M933" s="2"/>
      <c r="N933" s="2" t="str">
        <f>"CHEMIN DES MONTAGNES"</f>
        <v>CHEMIN DES MONTAGNES</v>
      </c>
      <c r="O933" s="2" t="s">
        <v>3185</v>
      </c>
      <c r="P933" s="9" t="str">
        <f>VLOOKUP($O933,'Liste des Villes'!$B$2:$B$1128,1,FALSE)</f>
        <v>Saint-Jérôme</v>
      </c>
      <c r="Q933" s="9" t="str">
        <f>IFERROR($P933,PROPER(VLOOKUP($O933,'Villes en erreur'!$A$2:$B$72,2,FALSE)))</f>
        <v>Saint-Jérôme</v>
      </c>
      <c r="R933" s="9" t="s">
        <v>3186</v>
      </c>
      <c r="S933" s="9" t="str">
        <f>IF(ISBLANK($R933),"",VLOOKUP($R933,'Liste des Villes'!$B$2:$H$1128,4,FALSE))</f>
        <v>Laurentides</v>
      </c>
      <c r="T933" s="2" t="s">
        <v>3524</v>
      </c>
      <c r="U933" s="2" t="s">
        <v>39</v>
      </c>
      <c r="V933" s="2" t="s">
        <v>40</v>
      </c>
      <c r="W933" s="2" t="s">
        <v>5159</v>
      </c>
      <c r="X933" s="2"/>
      <c r="Y933" s="2"/>
      <c r="Z933" s="2"/>
      <c r="AA933" s="2" t="s">
        <v>3189</v>
      </c>
      <c r="AB933" s="2" t="s">
        <v>3200</v>
      </c>
      <c r="AC933" s="4" t="s">
        <v>44</v>
      </c>
    </row>
    <row r="934" spans="1:29" x14ac:dyDescent="0.25">
      <c r="A934" s="1">
        <v>1270</v>
      </c>
      <c r="B934" s="17" t="s">
        <v>5160</v>
      </c>
      <c r="C934" s="2" t="s">
        <v>5161</v>
      </c>
      <c r="D934" s="15" t="s">
        <v>1479</v>
      </c>
      <c r="E934" s="9" t="s">
        <v>5162</v>
      </c>
      <c r="F934" s="9" t="s">
        <v>1477</v>
      </c>
      <c r="G934" s="9" t="s">
        <v>1447</v>
      </c>
      <c r="H934" s="2" t="s">
        <v>60</v>
      </c>
      <c r="I934" s="3">
        <v>35492</v>
      </c>
      <c r="J934" s="9" t="str">
        <f t="shared" ca="1" si="16"/>
        <v>26 ans</v>
      </c>
      <c r="K934" s="2" t="s">
        <v>36</v>
      </c>
      <c r="L934" s="2" t="str">
        <f>"119"</f>
        <v>119</v>
      </c>
      <c r="M934" s="2"/>
      <c r="N934" s="2" t="str">
        <f>"CHEMIN SAINT-CHARLES"</f>
        <v>CHEMIN SAINT-CHARLES</v>
      </c>
      <c r="O934" s="2" t="s">
        <v>3185</v>
      </c>
      <c r="P934" s="9" t="str">
        <f>VLOOKUP($O934,'Liste des Villes'!$B$2:$B$1128,1,FALSE)</f>
        <v>Saint-Jérôme</v>
      </c>
      <c r="Q934" s="9" t="str">
        <f>IFERROR($P934,PROPER(VLOOKUP($O934,'Villes en erreur'!$A$2:$B$72,2,FALSE)))</f>
        <v>Saint-Jérôme</v>
      </c>
      <c r="R934" s="9" t="s">
        <v>3186</v>
      </c>
      <c r="S934" s="9" t="str">
        <f>IF(ISBLANK($R934),"",VLOOKUP($R934,'Liste des Villes'!$B$2:$H$1128,4,FALSE))</f>
        <v>Laurentides</v>
      </c>
      <c r="T934" s="2" t="s">
        <v>3532</v>
      </c>
      <c r="U934" s="2" t="s">
        <v>39</v>
      </c>
      <c r="V934" s="2" t="s">
        <v>40</v>
      </c>
      <c r="W934" s="2" t="s">
        <v>5163</v>
      </c>
      <c r="X934" s="2"/>
      <c r="Y934" s="2"/>
      <c r="Z934" s="2"/>
      <c r="AA934" s="2" t="s">
        <v>3199</v>
      </c>
      <c r="AB934" s="2" t="s">
        <v>3200</v>
      </c>
      <c r="AC934" s="4" t="s">
        <v>44</v>
      </c>
    </row>
    <row r="935" spans="1:29" x14ac:dyDescent="0.25">
      <c r="A935" s="1">
        <v>3414</v>
      </c>
      <c r="B935" s="17" t="s">
        <v>5164</v>
      </c>
      <c r="C935" s="2" t="s">
        <v>5165</v>
      </c>
      <c r="D935" s="15" t="s">
        <v>1502</v>
      </c>
      <c r="E935" s="9" t="s">
        <v>5166</v>
      </c>
      <c r="F935" s="9" t="s">
        <v>292</v>
      </c>
      <c r="G935" s="9" t="s">
        <v>186</v>
      </c>
      <c r="H935" s="2" t="s">
        <v>60</v>
      </c>
      <c r="I935" s="3">
        <v>34825</v>
      </c>
      <c r="J935" s="9" t="str">
        <f t="shared" ca="1" si="16"/>
        <v>28 ans</v>
      </c>
      <c r="K935" s="2" t="s">
        <v>36</v>
      </c>
      <c r="L935" s="2" t="str">
        <f>"80"</f>
        <v>80</v>
      </c>
      <c r="M935" s="2"/>
      <c r="N935" s="2" t="str">
        <f>"CH DES GRANDES-CÔTES"</f>
        <v>CH DES GRANDES-CÔTES</v>
      </c>
      <c r="O935" s="2" t="s">
        <v>3185</v>
      </c>
      <c r="P935" s="9" t="str">
        <f>VLOOKUP($O935,'Liste des Villes'!$B$2:$B$1128,1,FALSE)</f>
        <v>Saint-Jérôme</v>
      </c>
      <c r="Q935" s="9" t="str">
        <f>IFERROR($P935,PROPER(VLOOKUP($O935,'Villes en erreur'!$A$2:$B$72,2,FALSE)))</f>
        <v>Saint-Jérôme</v>
      </c>
      <c r="R935" s="9" t="s">
        <v>3186</v>
      </c>
      <c r="S935" s="9" t="str">
        <f>IF(ISBLANK($R935),"",VLOOKUP($R935,'Liste des Villes'!$B$2:$H$1128,4,FALSE))</f>
        <v>Laurentides</v>
      </c>
      <c r="T935" s="2" t="s">
        <v>3187</v>
      </c>
      <c r="U935" s="2" t="s">
        <v>39</v>
      </c>
      <c r="V935" s="2" t="s">
        <v>40</v>
      </c>
      <c r="W935" s="2" t="s">
        <v>5167</v>
      </c>
      <c r="X935" s="2"/>
      <c r="Y935" s="2"/>
      <c r="Z935" s="2"/>
      <c r="AA935" s="2" t="s">
        <v>3225</v>
      </c>
      <c r="AB935" s="2" t="s">
        <v>53</v>
      </c>
      <c r="AC935" s="4" t="s">
        <v>44</v>
      </c>
    </row>
    <row r="936" spans="1:29" x14ac:dyDescent="0.25">
      <c r="A936" s="1">
        <v>4160</v>
      </c>
      <c r="B936" s="17" t="s">
        <v>5168</v>
      </c>
      <c r="C936" s="2" t="s">
        <v>5169</v>
      </c>
      <c r="D936" s="15" t="s">
        <v>5170</v>
      </c>
      <c r="E936" s="9" t="s">
        <v>3457</v>
      </c>
      <c r="F936" s="9" t="s">
        <v>2216</v>
      </c>
      <c r="G936" s="9" t="s">
        <v>380</v>
      </c>
      <c r="H936" s="2" t="s">
        <v>60</v>
      </c>
      <c r="I936" s="3">
        <v>34395</v>
      </c>
      <c r="J936" s="9" t="str">
        <f t="shared" ca="1" si="16"/>
        <v>29 ans</v>
      </c>
      <c r="K936" s="2" t="s">
        <v>36</v>
      </c>
      <c r="L936" s="2" t="str">
        <f>"57"</f>
        <v>57</v>
      </c>
      <c r="M936" s="2"/>
      <c r="N936" s="2" t="str">
        <f>"CAR DE TERREBONNE"</f>
        <v>CAR DE TERREBONNE</v>
      </c>
      <c r="O936" s="2" t="s">
        <v>3185</v>
      </c>
      <c r="P936" s="9" t="str">
        <f>VLOOKUP($O936,'Liste des Villes'!$B$2:$B$1128,1,FALSE)</f>
        <v>Saint-Jérôme</v>
      </c>
      <c r="Q936" s="9" t="str">
        <f>IFERROR($P936,PROPER(VLOOKUP($O936,'Villes en erreur'!$A$2:$B$72,2,FALSE)))</f>
        <v>Saint-Jérôme</v>
      </c>
      <c r="R936" s="9" t="s">
        <v>3186</v>
      </c>
      <c r="S936" s="9" t="str">
        <f>IF(ISBLANK($R936),"",VLOOKUP($R936,'Liste des Villes'!$B$2:$H$1128,4,FALSE))</f>
        <v>Laurentides</v>
      </c>
      <c r="T936" s="2" t="s">
        <v>3291</v>
      </c>
      <c r="U936" s="2" t="s">
        <v>39</v>
      </c>
      <c r="V936" s="2" t="s">
        <v>40</v>
      </c>
      <c r="W936" s="2" t="s">
        <v>5171</v>
      </c>
      <c r="X936" s="2"/>
      <c r="Y936" s="2"/>
      <c r="Z936" s="2"/>
      <c r="AA936" s="2" t="s">
        <v>3293</v>
      </c>
      <c r="AB936" s="2" t="s">
        <v>53</v>
      </c>
      <c r="AC936" s="4" t="s">
        <v>44</v>
      </c>
    </row>
    <row r="937" spans="1:29" x14ac:dyDescent="0.25">
      <c r="A937" s="1">
        <v>4046</v>
      </c>
      <c r="B937" s="17" t="s">
        <v>5172</v>
      </c>
      <c r="C937" s="2" t="s">
        <v>4237</v>
      </c>
      <c r="D937" s="15" t="s">
        <v>100</v>
      </c>
      <c r="E937" s="9" t="s">
        <v>4238</v>
      </c>
      <c r="F937" s="9" t="s">
        <v>1436</v>
      </c>
      <c r="G937" s="9" t="s">
        <v>5173</v>
      </c>
      <c r="H937" s="2" t="s">
        <v>35</v>
      </c>
      <c r="I937" s="3">
        <v>35498</v>
      </c>
      <c r="J937" s="9" t="str">
        <f t="shared" ca="1" si="16"/>
        <v>26 ans</v>
      </c>
      <c r="K937" s="2" t="s">
        <v>36</v>
      </c>
      <c r="L937" s="2" t="str">
        <f>"119"</f>
        <v>119</v>
      </c>
      <c r="M937" s="2"/>
      <c r="N937" s="2" t="str">
        <f>"CHEMIN SIFRENA"</f>
        <v>CHEMIN SIFRENA</v>
      </c>
      <c r="O937" s="2" t="s">
        <v>3185</v>
      </c>
      <c r="P937" s="9" t="str">
        <f>VLOOKUP($O937,'Liste des Villes'!$B$2:$B$1128,1,FALSE)</f>
        <v>Saint-Jérôme</v>
      </c>
      <c r="Q937" s="9" t="str">
        <f>IFERROR($P937,PROPER(VLOOKUP($O937,'Villes en erreur'!$A$2:$B$72,2,FALSE)))</f>
        <v>Saint-Jérôme</v>
      </c>
      <c r="R937" s="9" t="s">
        <v>3186</v>
      </c>
      <c r="S937" s="9" t="str">
        <f>IF(ISBLANK($R937),"",VLOOKUP($R937,'Liste des Villes'!$B$2:$H$1128,4,FALSE))</f>
        <v>Laurentides</v>
      </c>
      <c r="T937" s="2" t="s">
        <v>3532</v>
      </c>
      <c r="U937" s="2" t="s">
        <v>39</v>
      </c>
      <c r="V937" s="2" t="s">
        <v>40</v>
      </c>
      <c r="W937" s="2" t="s">
        <v>5174</v>
      </c>
      <c r="X937" s="2"/>
      <c r="Y937" s="2"/>
      <c r="Z937" s="2"/>
      <c r="AA937" s="2" t="s">
        <v>3199</v>
      </c>
      <c r="AB937" s="2" t="s">
        <v>3200</v>
      </c>
      <c r="AC937" s="4" t="s">
        <v>44</v>
      </c>
    </row>
    <row r="938" spans="1:29" x14ac:dyDescent="0.25">
      <c r="A938" s="1">
        <v>4336</v>
      </c>
      <c r="B938" s="17" t="s">
        <v>5175</v>
      </c>
      <c r="C938" s="2" t="s">
        <v>5176</v>
      </c>
      <c r="D938" s="15" t="s">
        <v>5177</v>
      </c>
      <c r="E938" s="9" t="s">
        <v>3668</v>
      </c>
      <c r="F938" s="9" t="s">
        <v>3810</v>
      </c>
      <c r="G938" s="9" t="s">
        <v>380</v>
      </c>
      <c r="H938" s="2" t="s">
        <v>60</v>
      </c>
      <c r="I938" s="3">
        <v>34389</v>
      </c>
      <c r="J938" s="9" t="str">
        <f t="shared" ca="1" si="16"/>
        <v>29 ans</v>
      </c>
      <c r="K938" s="2" t="s">
        <v>36</v>
      </c>
      <c r="L938" s="2" t="str">
        <f>"56"</f>
        <v>56</v>
      </c>
      <c r="M938" s="2"/>
      <c r="N938" s="2" t="str">
        <f>"BRUNO-DION"</f>
        <v>BRUNO-DION</v>
      </c>
      <c r="O938" s="2" t="s">
        <v>3185</v>
      </c>
      <c r="P938" s="9" t="str">
        <f>VLOOKUP($O938,'Liste des Villes'!$B$2:$B$1128,1,FALSE)</f>
        <v>Saint-Jérôme</v>
      </c>
      <c r="Q938" s="9" t="str">
        <f>IFERROR($P938,PROPER(VLOOKUP($O938,'Villes en erreur'!$A$2:$B$72,2,FALSE)))</f>
        <v>Saint-Jérôme</v>
      </c>
      <c r="R938" s="9" t="s">
        <v>3186</v>
      </c>
      <c r="S938" s="9" t="str">
        <f>IF(ISBLANK($R938),"",VLOOKUP($R938,'Liste des Villes'!$B$2:$H$1128,4,FALSE))</f>
        <v>Laurentides</v>
      </c>
      <c r="T938" s="2" t="s">
        <v>3291</v>
      </c>
      <c r="U938" s="2" t="s">
        <v>39</v>
      </c>
      <c r="V938" s="2" t="s">
        <v>40</v>
      </c>
      <c r="W938" s="2" t="s">
        <v>5178</v>
      </c>
      <c r="X938" s="2"/>
      <c r="Y938" s="2"/>
      <c r="Z938" s="2"/>
      <c r="AA938" s="2" t="s">
        <v>3293</v>
      </c>
      <c r="AB938" s="2" t="s">
        <v>53</v>
      </c>
      <c r="AC938" s="4" t="s">
        <v>44</v>
      </c>
    </row>
    <row r="939" spans="1:29" x14ac:dyDescent="0.25">
      <c r="A939" s="1">
        <v>2802</v>
      </c>
      <c r="B939" s="17" t="s">
        <v>5179</v>
      </c>
      <c r="C939" s="2" t="s">
        <v>5180</v>
      </c>
      <c r="D939" s="15" t="s">
        <v>5181</v>
      </c>
      <c r="E939" s="9" t="s">
        <v>107</v>
      </c>
      <c r="F939" s="9" t="s">
        <v>5182</v>
      </c>
      <c r="G939" s="9" t="s">
        <v>5183</v>
      </c>
      <c r="H939" s="2" t="s">
        <v>35</v>
      </c>
      <c r="I939" s="3">
        <v>35051</v>
      </c>
      <c r="J939" s="9" t="str">
        <f t="shared" ca="1" si="16"/>
        <v>27 ans</v>
      </c>
      <c r="K939" s="2" t="s">
        <v>36</v>
      </c>
      <c r="L939" s="2" t="str">
        <f>"99"</f>
        <v>99</v>
      </c>
      <c r="M939" s="2"/>
      <c r="N939" s="2" t="str">
        <f>"CH DU PONT-COUVERT"</f>
        <v>CH DU PONT-COUVERT</v>
      </c>
      <c r="O939" s="2" t="s">
        <v>3185</v>
      </c>
      <c r="P939" s="9" t="str">
        <f>VLOOKUP($O939,'Liste des Villes'!$B$2:$B$1128,1,FALSE)</f>
        <v>Saint-Jérôme</v>
      </c>
      <c r="Q939" s="9" t="str">
        <f>IFERROR($P939,PROPER(VLOOKUP($O939,'Villes en erreur'!$A$2:$B$72,2,FALSE)))</f>
        <v>Saint-Jérôme</v>
      </c>
      <c r="R939" s="9" t="s">
        <v>3186</v>
      </c>
      <c r="S939" s="9" t="str">
        <f>IF(ISBLANK($R939),"",VLOOKUP($R939,'Liste des Villes'!$B$2:$H$1128,4,FALSE))</f>
        <v>Laurentides</v>
      </c>
      <c r="T939" s="2" t="s">
        <v>3187</v>
      </c>
      <c r="U939" s="2" t="s">
        <v>39</v>
      </c>
      <c r="V939" s="2" t="s">
        <v>40</v>
      </c>
      <c r="W939" s="2" t="s">
        <v>5184</v>
      </c>
      <c r="X939" s="2"/>
      <c r="Y939" s="2"/>
      <c r="Z939" s="2"/>
      <c r="AA939" s="2" t="s">
        <v>3189</v>
      </c>
      <c r="AB939" s="2" t="s">
        <v>3443</v>
      </c>
      <c r="AC939" s="4" t="s">
        <v>44</v>
      </c>
    </row>
    <row r="940" spans="1:29" x14ac:dyDescent="0.25">
      <c r="A940" s="1">
        <v>3165</v>
      </c>
      <c r="B940" s="17" t="s">
        <v>5185</v>
      </c>
      <c r="C940" s="2" t="s">
        <v>5186</v>
      </c>
      <c r="D940" s="15" t="s">
        <v>719</v>
      </c>
      <c r="E940" s="9" t="s">
        <v>5187</v>
      </c>
      <c r="F940" s="9" t="s">
        <v>718</v>
      </c>
      <c r="G940" s="9" t="s">
        <v>2504</v>
      </c>
      <c r="H940" s="2" t="s">
        <v>60</v>
      </c>
      <c r="I940" s="3">
        <v>35335</v>
      </c>
      <c r="J940" s="9" t="str">
        <f t="shared" ca="1" si="16"/>
        <v>26 ans</v>
      </c>
      <c r="K940" s="2" t="s">
        <v>36</v>
      </c>
      <c r="L940" s="2" t="str">
        <f>"110"</f>
        <v>110</v>
      </c>
      <c r="M940" s="2"/>
      <c r="N940" s="2" t="str">
        <f>"CHEMIN DES HAUTEURS"</f>
        <v>CHEMIN DES HAUTEURS</v>
      </c>
      <c r="O940" s="2" t="s">
        <v>3185</v>
      </c>
      <c r="P940" s="9" t="str">
        <f>VLOOKUP($O940,'Liste des Villes'!$B$2:$B$1128,1,FALSE)</f>
        <v>Saint-Jérôme</v>
      </c>
      <c r="Q940" s="9" t="str">
        <f>IFERROR($P940,PROPER(VLOOKUP($O940,'Villes en erreur'!$A$2:$B$72,2,FALSE)))</f>
        <v>Saint-Jérôme</v>
      </c>
      <c r="R940" s="9" t="s">
        <v>3186</v>
      </c>
      <c r="S940" s="9" t="str">
        <f>IF(ISBLANK($R940),"",VLOOKUP($R940,'Liste des Villes'!$B$2:$H$1128,4,FALSE))</f>
        <v>Laurentides</v>
      </c>
      <c r="T940" s="2" t="s">
        <v>3524</v>
      </c>
      <c r="U940" s="2" t="s">
        <v>39</v>
      </c>
      <c r="V940" s="2" t="s">
        <v>40</v>
      </c>
      <c r="W940" s="2" t="s">
        <v>5188</v>
      </c>
      <c r="X940" s="2"/>
      <c r="Y940" s="2"/>
      <c r="Z940" s="2"/>
      <c r="AA940" s="2" t="s">
        <v>3189</v>
      </c>
      <c r="AB940" s="2" t="s">
        <v>3200</v>
      </c>
      <c r="AC940" s="4" t="s">
        <v>44</v>
      </c>
    </row>
    <row r="941" spans="1:29" x14ac:dyDescent="0.25">
      <c r="A941" s="1">
        <v>3612</v>
      </c>
      <c r="B941" s="17" t="s">
        <v>5189</v>
      </c>
      <c r="C941" s="2" t="s">
        <v>960</v>
      </c>
      <c r="D941" s="15" t="s">
        <v>961</v>
      </c>
      <c r="E941" s="9" t="s">
        <v>219</v>
      </c>
      <c r="F941" s="9" t="s">
        <v>5190</v>
      </c>
      <c r="G941" s="9" t="s">
        <v>1560</v>
      </c>
      <c r="H941" s="2" t="s">
        <v>35</v>
      </c>
      <c r="I941" s="3">
        <v>35612</v>
      </c>
      <c r="J941" s="9" t="str">
        <f t="shared" ca="1" si="16"/>
        <v>26 ans</v>
      </c>
      <c r="K941" s="2" t="s">
        <v>36</v>
      </c>
      <c r="L941" s="2" t="str">
        <f>"129"</f>
        <v>129</v>
      </c>
      <c r="M941" s="2"/>
      <c r="N941" s="2" t="str">
        <f>"DE LA SALETTE BLVD"</f>
        <v>DE LA SALETTE BLVD</v>
      </c>
      <c r="O941" s="2" t="s">
        <v>3185</v>
      </c>
      <c r="P941" s="9" t="str">
        <f>VLOOKUP($O941,'Liste des Villes'!$B$2:$B$1128,1,FALSE)</f>
        <v>Saint-Jérôme</v>
      </c>
      <c r="Q941" s="9" t="str">
        <f>IFERROR($P941,PROPER(VLOOKUP($O941,'Villes en erreur'!$A$2:$B$72,2,FALSE)))</f>
        <v>Saint-Jérôme</v>
      </c>
      <c r="R941" s="9" t="s">
        <v>3186</v>
      </c>
      <c r="S941" s="9" t="str">
        <f>IF(ISBLANK($R941),"",VLOOKUP($R941,'Liste des Villes'!$B$2:$H$1128,4,FALSE))</f>
        <v>Laurentides</v>
      </c>
      <c r="T941" s="2" t="s">
        <v>3446</v>
      </c>
      <c r="U941" s="2" t="s">
        <v>39</v>
      </c>
      <c r="V941" s="2" t="s">
        <v>40</v>
      </c>
      <c r="W941" s="2" t="s">
        <v>5191</v>
      </c>
      <c r="X941" s="2"/>
      <c r="Y941" s="2"/>
      <c r="Z941" s="2"/>
      <c r="AA941" s="2" t="s">
        <v>3243</v>
      </c>
      <c r="AB941" s="2" t="s">
        <v>3221</v>
      </c>
      <c r="AC941" s="4" t="s">
        <v>44</v>
      </c>
    </row>
    <row r="942" spans="1:29" x14ac:dyDescent="0.25">
      <c r="A942" s="1">
        <v>3171</v>
      </c>
      <c r="B942" s="17" t="s">
        <v>5192</v>
      </c>
      <c r="C942" s="2" t="s">
        <v>670</v>
      </c>
      <c r="D942" s="15" t="s">
        <v>599</v>
      </c>
      <c r="E942" s="9" t="s">
        <v>671</v>
      </c>
      <c r="F942" s="9" t="s">
        <v>601</v>
      </c>
      <c r="G942" s="9" t="s">
        <v>2822</v>
      </c>
      <c r="H942" s="2" t="s">
        <v>60</v>
      </c>
      <c r="I942" s="3">
        <v>35093</v>
      </c>
      <c r="J942" s="9" t="str">
        <f t="shared" ca="1" si="16"/>
        <v>27 ans</v>
      </c>
      <c r="K942" s="2" t="s">
        <v>36</v>
      </c>
      <c r="L942" s="2" t="str">
        <f>"100"</f>
        <v>100</v>
      </c>
      <c r="M942" s="2"/>
      <c r="N942" s="2" t="str">
        <f>"CH ÉTIENNE"</f>
        <v>CH ÉTIENNE</v>
      </c>
      <c r="O942" s="2" t="s">
        <v>3185</v>
      </c>
      <c r="P942" s="9" t="str">
        <f>VLOOKUP($O942,'Liste des Villes'!$B$2:$B$1128,1,FALSE)</f>
        <v>Saint-Jérôme</v>
      </c>
      <c r="Q942" s="9" t="str">
        <f>IFERROR($P942,PROPER(VLOOKUP($O942,'Villes en erreur'!$A$2:$B$72,2,FALSE)))</f>
        <v>Saint-Jérôme</v>
      </c>
      <c r="R942" s="9" t="s">
        <v>3186</v>
      </c>
      <c r="S942" s="9" t="str">
        <f>IF(ISBLANK($R942),"",VLOOKUP($R942,'Liste des Villes'!$B$2:$H$1128,4,FALSE))</f>
        <v>Laurentides</v>
      </c>
      <c r="T942" s="2" t="s">
        <v>3187</v>
      </c>
      <c r="U942" s="2" t="s">
        <v>39</v>
      </c>
      <c r="V942" s="2" t="s">
        <v>40</v>
      </c>
      <c r="W942" s="2" t="s">
        <v>5193</v>
      </c>
      <c r="X942" s="2"/>
      <c r="Y942" s="2"/>
      <c r="Z942" s="2"/>
      <c r="AA942" s="2" t="s">
        <v>3189</v>
      </c>
      <c r="AB942" s="2" t="s">
        <v>3190</v>
      </c>
      <c r="AC942" s="4" t="s">
        <v>44</v>
      </c>
    </row>
    <row r="943" spans="1:29" x14ac:dyDescent="0.25">
      <c r="A943" s="1">
        <v>1088</v>
      </c>
      <c r="B943" s="17" t="s">
        <v>5194</v>
      </c>
      <c r="C943" s="2" t="s">
        <v>5195</v>
      </c>
      <c r="D943" s="15" t="s">
        <v>5196</v>
      </c>
      <c r="E943" s="9" t="s">
        <v>5197</v>
      </c>
      <c r="F943" s="9" t="s">
        <v>2139</v>
      </c>
      <c r="G943" s="9" t="s">
        <v>3246</v>
      </c>
      <c r="H943" s="2" t="s">
        <v>35</v>
      </c>
      <c r="I943" s="3">
        <v>36149</v>
      </c>
      <c r="J943" s="9" t="str">
        <f t="shared" ca="1" si="16"/>
        <v>24 ans</v>
      </c>
      <c r="K943" s="2" t="s">
        <v>123</v>
      </c>
      <c r="L943" s="2" t="str">
        <f>"221"</f>
        <v>221</v>
      </c>
      <c r="M943" s="2"/>
      <c r="N943" s="2" t="str">
        <f>"RUE ALBERT-GINGRAS"</f>
        <v>RUE ALBERT-GINGRAS</v>
      </c>
      <c r="O943" s="2" t="s">
        <v>3185</v>
      </c>
      <c r="P943" s="9" t="str">
        <f>VLOOKUP($O943,'Liste des Villes'!$B$2:$B$1128,1,FALSE)</f>
        <v>Saint-Jérôme</v>
      </c>
      <c r="Q943" s="9" t="str">
        <f>IFERROR($P943,PROPER(VLOOKUP($O943,'Villes en erreur'!$A$2:$B$72,2,FALSE)))</f>
        <v>Saint-Jérôme</v>
      </c>
      <c r="R943" s="9" t="s">
        <v>3186</v>
      </c>
      <c r="S943" s="9" t="str">
        <f>IF(ISBLANK($R943),"",VLOOKUP($R943,'Liste des Villes'!$B$2:$H$1128,4,FALSE))</f>
        <v>Laurentides</v>
      </c>
      <c r="T943" s="2" t="s">
        <v>5198</v>
      </c>
      <c r="U943" s="2" t="s">
        <v>39</v>
      </c>
      <c r="V943" s="2" t="s">
        <v>40</v>
      </c>
      <c r="W943" s="2" t="s">
        <v>5199</v>
      </c>
      <c r="X943" s="2"/>
      <c r="Y943" s="2"/>
      <c r="Z943" s="2"/>
      <c r="AA943" s="2" t="s">
        <v>832</v>
      </c>
      <c r="AB943" s="2" t="s">
        <v>3221</v>
      </c>
      <c r="AC943" s="4" t="s">
        <v>44</v>
      </c>
    </row>
    <row r="944" spans="1:29" x14ac:dyDescent="0.25">
      <c r="A944" s="1">
        <v>1834</v>
      </c>
      <c r="B944" s="17" t="s">
        <v>5200</v>
      </c>
      <c r="C944" s="2" t="s">
        <v>5201</v>
      </c>
      <c r="D944" s="15" t="s">
        <v>2713</v>
      </c>
      <c r="E944" s="9" t="s">
        <v>1666</v>
      </c>
      <c r="F944" s="9" t="s">
        <v>2711</v>
      </c>
      <c r="G944" s="9" t="s">
        <v>5202</v>
      </c>
      <c r="H944" s="2" t="s">
        <v>35</v>
      </c>
      <c r="I944" s="3">
        <v>35854</v>
      </c>
      <c r="J944" s="9" t="str">
        <f t="shared" ca="1" si="16"/>
        <v>25 ans</v>
      </c>
      <c r="K944" s="2" t="s">
        <v>123</v>
      </c>
      <c r="L944" s="2" t="str">
        <f>"150"</f>
        <v>150</v>
      </c>
      <c r="M944" s="2"/>
      <c r="N944" s="2" t="str">
        <f>"LOUISE"</f>
        <v>LOUISE</v>
      </c>
      <c r="O944" s="2" t="s">
        <v>3185</v>
      </c>
      <c r="P944" s="9" t="str">
        <f>VLOOKUP($O944,'Liste des Villes'!$B$2:$B$1128,1,FALSE)</f>
        <v>Saint-Jérôme</v>
      </c>
      <c r="Q944" s="9" t="str">
        <f>IFERROR($P944,PROPER(VLOOKUP($O944,'Villes en erreur'!$A$2:$B$72,2,FALSE)))</f>
        <v>Saint-Jérôme</v>
      </c>
      <c r="R944" s="9" t="s">
        <v>3186</v>
      </c>
      <c r="S944" s="9" t="str">
        <f>IF(ISBLANK($R944),"",VLOOKUP($R944,'Liste des Villes'!$B$2:$H$1128,4,FALSE))</f>
        <v>Laurentides</v>
      </c>
      <c r="T944" s="2" t="s">
        <v>5203</v>
      </c>
      <c r="U944" s="2" t="s">
        <v>39</v>
      </c>
      <c r="V944" s="2" t="s">
        <v>40</v>
      </c>
      <c r="W944" s="2" t="s">
        <v>5204</v>
      </c>
      <c r="X944" s="2"/>
      <c r="Y944" s="2"/>
      <c r="Z944" s="2"/>
      <c r="AA944" s="2" t="s">
        <v>3243</v>
      </c>
      <c r="AB944" s="2" t="s">
        <v>3221</v>
      </c>
      <c r="AC944" s="4" t="s">
        <v>44</v>
      </c>
    </row>
    <row r="945" spans="1:29" x14ac:dyDescent="0.25">
      <c r="A945" s="1">
        <v>2200</v>
      </c>
      <c r="B945" s="17" t="s">
        <v>5205</v>
      </c>
      <c r="C945" s="2" t="s">
        <v>5206</v>
      </c>
      <c r="D945" s="15" t="s">
        <v>3035</v>
      </c>
      <c r="E945" s="9" t="s">
        <v>59</v>
      </c>
      <c r="F945" s="9" t="s">
        <v>657</v>
      </c>
      <c r="G945" s="9" t="s">
        <v>3265</v>
      </c>
      <c r="H945" s="2" t="s">
        <v>60</v>
      </c>
      <c r="I945" s="3">
        <v>35930</v>
      </c>
      <c r="J945" s="9" t="str">
        <f t="shared" ca="1" si="16"/>
        <v>25 ans</v>
      </c>
      <c r="K945" s="2" t="s">
        <v>123</v>
      </c>
      <c r="L945" s="2" t="str">
        <f>"164"</f>
        <v>164</v>
      </c>
      <c r="M945" s="2"/>
      <c r="N945" s="2" t="str">
        <f>"MONTEE HALL"</f>
        <v>MONTEE HALL</v>
      </c>
      <c r="O945" s="2" t="s">
        <v>3185</v>
      </c>
      <c r="P945" s="9" t="str">
        <f>VLOOKUP($O945,'Liste des Villes'!$B$2:$B$1128,1,FALSE)</f>
        <v>Saint-Jérôme</v>
      </c>
      <c r="Q945" s="9" t="str">
        <f>IFERROR($P945,PROPER(VLOOKUP($O945,'Villes en erreur'!$A$2:$B$72,2,FALSE)))</f>
        <v>Saint-Jérôme</v>
      </c>
      <c r="R945" s="9" t="s">
        <v>3186</v>
      </c>
      <c r="S945" s="9" t="str">
        <f>IF(ISBLANK($R945),"",VLOOKUP($R945,'Liste des Villes'!$B$2:$H$1128,4,FALSE))</f>
        <v>Laurentides</v>
      </c>
      <c r="T945" s="2" t="s">
        <v>5207</v>
      </c>
      <c r="U945" s="2" t="s">
        <v>39</v>
      </c>
      <c r="V945" s="2" t="s">
        <v>40</v>
      </c>
      <c r="W945" s="2" t="s">
        <v>5208</v>
      </c>
      <c r="X945" s="2"/>
      <c r="Y945" s="2"/>
      <c r="Z945" s="2"/>
      <c r="AA945" s="2" t="s">
        <v>832</v>
      </c>
      <c r="AB945" s="2" t="s">
        <v>3221</v>
      </c>
      <c r="AC945" s="4" t="s">
        <v>44</v>
      </c>
    </row>
    <row r="946" spans="1:29" x14ac:dyDescent="0.25">
      <c r="A946" s="1">
        <v>1877</v>
      </c>
      <c r="B946" s="17" t="s">
        <v>5209</v>
      </c>
      <c r="C946" s="2" t="s">
        <v>3065</v>
      </c>
      <c r="D946" s="15" t="s">
        <v>1477</v>
      </c>
      <c r="E946" s="9" t="s">
        <v>3066</v>
      </c>
      <c r="F946" s="9" t="s">
        <v>1479</v>
      </c>
      <c r="G946" s="9" t="s">
        <v>2796</v>
      </c>
      <c r="H946" s="2" t="s">
        <v>35</v>
      </c>
      <c r="I946" s="3">
        <v>35257</v>
      </c>
      <c r="J946" s="9" t="str">
        <f t="shared" ca="1" si="16"/>
        <v>27 ans</v>
      </c>
      <c r="K946" s="2" t="s">
        <v>36</v>
      </c>
      <c r="L946" s="2" t="str">
        <f>"106"</f>
        <v>106</v>
      </c>
      <c r="M946" s="2"/>
      <c r="N946" s="2" t="str">
        <f>"CHEMIN DE CHRISTIEVILLE"</f>
        <v>CHEMIN DE CHRISTIEVILLE</v>
      </c>
      <c r="O946" s="2" t="s">
        <v>3185</v>
      </c>
      <c r="P946" s="9" t="str">
        <f>VLOOKUP($O946,'Liste des Villes'!$B$2:$B$1128,1,FALSE)</f>
        <v>Saint-Jérôme</v>
      </c>
      <c r="Q946" s="9" t="str">
        <f>IFERROR($P946,PROPER(VLOOKUP($O946,'Villes en erreur'!$A$2:$B$72,2,FALSE)))</f>
        <v>Saint-Jérôme</v>
      </c>
      <c r="R946" s="9" t="s">
        <v>3186</v>
      </c>
      <c r="S946" s="9" t="str">
        <f>IF(ISBLANK($R946),"",VLOOKUP($R946,'Liste des Villes'!$B$2:$H$1128,4,FALSE))</f>
        <v>Laurentides</v>
      </c>
      <c r="T946" s="2" t="s">
        <v>3187</v>
      </c>
      <c r="U946" s="2" t="s">
        <v>39</v>
      </c>
      <c r="V946" s="2" t="s">
        <v>40</v>
      </c>
      <c r="W946" s="2" t="s">
        <v>5210</v>
      </c>
      <c r="X946" s="2"/>
      <c r="Y946" s="2"/>
      <c r="Z946" s="2"/>
      <c r="AA946" s="2" t="s">
        <v>3189</v>
      </c>
      <c r="AB946" s="2" t="s">
        <v>3190</v>
      </c>
      <c r="AC946" s="4" t="s">
        <v>44</v>
      </c>
    </row>
    <row r="947" spans="1:29" x14ac:dyDescent="0.25">
      <c r="A947" s="1">
        <v>2298</v>
      </c>
      <c r="B947" s="17" t="s">
        <v>5211</v>
      </c>
      <c r="C947" s="2" t="s">
        <v>5212</v>
      </c>
      <c r="D947" s="15" t="s">
        <v>5213</v>
      </c>
      <c r="E947" s="9" t="s">
        <v>698</v>
      </c>
      <c r="F947" s="9" t="s">
        <v>5214</v>
      </c>
      <c r="G947" s="9" t="s">
        <v>2397</v>
      </c>
      <c r="H947" s="2" t="s">
        <v>60</v>
      </c>
      <c r="I947" s="3">
        <v>35102</v>
      </c>
      <c r="J947" s="9" t="str">
        <f t="shared" ca="1" si="16"/>
        <v>27 ans</v>
      </c>
      <c r="K947" s="2" t="s">
        <v>36</v>
      </c>
      <c r="L947" s="2" t="str">
        <f>"101"</f>
        <v>101</v>
      </c>
      <c r="M947" s="2"/>
      <c r="N947" s="2" t="str">
        <f>"CH GUENETTE"</f>
        <v>CH GUENETTE</v>
      </c>
      <c r="O947" s="2" t="s">
        <v>3185</v>
      </c>
      <c r="P947" s="9" t="str">
        <f>VLOOKUP($O947,'Liste des Villes'!$B$2:$B$1128,1,FALSE)</f>
        <v>Saint-Jérôme</v>
      </c>
      <c r="Q947" s="9" t="str">
        <f>IFERROR($P947,PROPER(VLOOKUP($O947,'Villes en erreur'!$A$2:$B$72,2,FALSE)))</f>
        <v>Saint-Jérôme</v>
      </c>
      <c r="R947" s="9" t="s">
        <v>3186</v>
      </c>
      <c r="S947" s="9" t="str">
        <f>IF(ISBLANK($R947),"",VLOOKUP($R947,'Liste des Villes'!$B$2:$H$1128,4,FALSE))</f>
        <v>Laurentides</v>
      </c>
      <c r="T947" s="2" t="s">
        <v>3187</v>
      </c>
      <c r="U947" s="2" t="s">
        <v>39</v>
      </c>
      <c r="V947" s="2" t="s">
        <v>40</v>
      </c>
      <c r="W947" s="2" t="s">
        <v>5215</v>
      </c>
      <c r="X947" s="2"/>
      <c r="Y947" s="2"/>
      <c r="Z947" s="2"/>
      <c r="AA947" s="2" t="s">
        <v>3189</v>
      </c>
      <c r="AB947" s="2" t="s">
        <v>3190</v>
      </c>
      <c r="AC947" s="4" t="s">
        <v>44</v>
      </c>
    </row>
    <row r="948" spans="1:29" x14ac:dyDescent="0.25">
      <c r="A948" s="1">
        <v>320</v>
      </c>
      <c r="B948" s="17" t="s">
        <v>5216</v>
      </c>
      <c r="C948" s="2" t="s">
        <v>5217</v>
      </c>
      <c r="D948" s="15" t="s">
        <v>5218</v>
      </c>
      <c r="E948" s="9" t="s">
        <v>698</v>
      </c>
      <c r="F948" s="9" t="s">
        <v>5219</v>
      </c>
      <c r="G948" s="9" t="s">
        <v>114</v>
      </c>
      <c r="H948" s="2" t="s">
        <v>60</v>
      </c>
      <c r="I948" s="3">
        <v>36256</v>
      </c>
      <c r="J948" s="9" t="str">
        <f t="shared" ca="1" si="16"/>
        <v>24 ans</v>
      </c>
      <c r="K948" s="2" t="s">
        <v>123</v>
      </c>
      <c r="L948" s="2" t="str">
        <f>"271"</f>
        <v>271</v>
      </c>
      <c r="M948" s="2"/>
      <c r="N948" s="2" t="str">
        <f>"RUE BERNARD"</f>
        <v>RUE BERNARD</v>
      </c>
      <c r="O948" s="2" t="s">
        <v>3185</v>
      </c>
      <c r="P948" s="9" t="str">
        <f>VLOOKUP($O948,'Liste des Villes'!$B$2:$B$1128,1,FALSE)</f>
        <v>Saint-Jérôme</v>
      </c>
      <c r="Q948" s="9" t="str">
        <f>IFERROR($P948,PROPER(VLOOKUP($O948,'Villes en erreur'!$A$2:$B$72,2,FALSE)))</f>
        <v>Saint-Jérôme</v>
      </c>
      <c r="R948" s="9" t="s">
        <v>3186</v>
      </c>
      <c r="S948" s="9" t="str">
        <f>IF(ISBLANK($R948),"",VLOOKUP($R948,'Liste des Villes'!$B$2:$H$1128,4,FALSE))</f>
        <v>Laurentides</v>
      </c>
      <c r="T948" s="2" t="s">
        <v>1238</v>
      </c>
      <c r="U948" s="2" t="s">
        <v>39</v>
      </c>
      <c r="V948" s="2" t="s">
        <v>40</v>
      </c>
      <c r="W948" s="2" t="s">
        <v>5220</v>
      </c>
      <c r="X948" s="2"/>
      <c r="Y948" s="2"/>
      <c r="Z948" s="2"/>
      <c r="AA948" s="2" t="s">
        <v>832</v>
      </c>
      <c r="AB948" s="2" t="s">
        <v>73</v>
      </c>
      <c r="AC948" s="4" t="s">
        <v>44</v>
      </c>
    </row>
    <row r="949" spans="1:29" x14ac:dyDescent="0.25">
      <c r="A949" s="1">
        <v>2767</v>
      </c>
      <c r="B949" s="17" t="s">
        <v>5221</v>
      </c>
      <c r="C949" s="2" t="s">
        <v>5222</v>
      </c>
      <c r="D949" s="15" t="s">
        <v>5223</v>
      </c>
      <c r="E949" s="9" t="s">
        <v>1735</v>
      </c>
      <c r="F949" s="9" t="s">
        <v>5224</v>
      </c>
      <c r="G949" s="9" t="s">
        <v>5202</v>
      </c>
      <c r="H949" s="2" t="s">
        <v>35</v>
      </c>
      <c r="I949" s="3">
        <v>35854</v>
      </c>
      <c r="J949" s="9" t="str">
        <f t="shared" ca="1" si="16"/>
        <v>25 ans</v>
      </c>
      <c r="K949" s="2" t="s">
        <v>123</v>
      </c>
      <c r="L949" s="2" t="str">
        <f>"150"</f>
        <v>150</v>
      </c>
      <c r="M949" s="2"/>
      <c r="N949" s="2" t="str">
        <f>"LOUIS"</f>
        <v>LOUIS</v>
      </c>
      <c r="O949" s="2" t="s">
        <v>3185</v>
      </c>
      <c r="P949" s="9" t="str">
        <f>VLOOKUP($O949,'Liste des Villes'!$B$2:$B$1128,1,FALSE)</f>
        <v>Saint-Jérôme</v>
      </c>
      <c r="Q949" s="9" t="str">
        <f>IFERROR($P949,PROPER(VLOOKUP($O949,'Villes en erreur'!$A$2:$B$72,2,FALSE)))</f>
        <v>Saint-Jérôme</v>
      </c>
      <c r="R949" s="9" t="s">
        <v>3186</v>
      </c>
      <c r="S949" s="9" t="str">
        <f>IF(ISBLANK($R949),"",VLOOKUP($R949,'Liste des Villes'!$B$2:$H$1128,4,FALSE))</f>
        <v>Laurentides</v>
      </c>
      <c r="T949" s="2" t="s">
        <v>5225</v>
      </c>
      <c r="U949" s="2" t="s">
        <v>39</v>
      </c>
      <c r="V949" s="2" t="s">
        <v>40</v>
      </c>
      <c r="W949" s="2" t="s">
        <v>5226</v>
      </c>
      <c r="X949" s="2"/>
      <c r="Y949" s="2"/>
      <c r="Z949" s="2"/>
      <c r="AA949" s="2" t="s">
        <v>3243</v>
      </c>
      <c r="AB949" s="2" t="s">
        <v>3221</v>
      </c>
      <c r="AC949" s="4" t="s">
        <v>44</v>
      </c>
    </row>
    <row r="950" spans="1:29" x14ac:dyDescent="0.25">
      <c r="A950" s="1">
        <v>654</v>
      </c>
      <c r="B950" s="17" t="s">
        <v>5227</v>
      </c>
      <c r="C950" s="2" t="s">
        <v>2769</v>
      </c>
      <c r="D950" s="15" t="s">
        <v>2770</v>
      </c>
      <c r="E950" s="9" t="s">
        <v>956</v>
      </c>
      <c r="F950" s="9" t="s">
        <v>106</v>
      </c>
      <c r="G950" s="9" t="s">
        <v>5228</v>
      </c>
      <c r="H950" s="2" t="s">
        <v>35</v>
      </c>
      <c r="I950" s="3">
        <v>35170</v>
      </c>
      <c r="J950" s="9" t="str">
        <f t="shared" ca="1" si="16"/>
        <v>27 ans</v>
      </c>
      <c r="K950" s="2" t="s">
        <v>36</v>
      </c>
      <c r="L950" s="2" t="str">
        <f>"104"</f>
        <v>104</v>
      </c>
      <c r="M950" s="2"/>
      <c r="N950" s="2" t="str">
        <f>"CH SAINT-GUILLAUME"</f>
        <v>CH SAINT-GUILLAUME</v>
      </c>
      <c r="O950" s="2" t="s">
        <v>3185</v>
      </c>
      <c r="P950" s="9" t="str">
        <f>VLOOKUP($O950,'Liste des Villes'!$B$2:$B$1128,1,FALSE)</f>
        <v>Saint-Jérôme</v>
      </c>
      <c r="Q950" s="9" t="str">
        <f>IFERROR($P950,PROPER(VLOOKUP($O950,'Villes en erreur'!$A$2:$B$72,2,FALSE)))</f>
        <v>Saint-Jérôme</v>
      </c>
      <c r="R950" s="9" t="s">
        <v>3186</v>
      </c>
      <c r="S950" s="9" t="str">
        <f>IF(ISBLANK($R950),"",VLOOKUP($R950,'Liste des Villes'!$B$2:$H$1128,4,FALSE))</f>
        <v>Laurentides</v>
      </c>
      <c r="T950" s="2" t="s">
        <v>3187</v>
      </c>
      <c r="U950" s="2" t="s">
        <v>39</v>
      </c>
      <c r="V950" s="2" t="s">
        <v>40</v>
      </c>
      <c r="W950" s="2" t="s">
        <v>5229</v>
      </c>
      <c r="X950" s="2"/>
      <c r="Y950" s="2"/>
      <c r="Z950" s="2"/>
      <c r="AA950" s="2" t="s">
        <v>3189</v>
      </c>
      <c r="AB950" s="2" t="s">
        <v>3190</v>
      </c>
      <c r="AC950" s="4" t="s">
        <v>44</v>
      </c>
    </row>
    <row r="951" spans="1:29" x14ac:dyDescent="0.25">
      <c r="A951" s="1">
        <v>1693</v>
      </c>
      <c r="B951" s="17" t="s">
        <v>5230</v>
      </c>
      <c r="C951" s="2" t="s">
        <v>5231</v>
      </c>
      <c r="D951" s="15" t="s">
        <v>3345</v>
      </c>
      <c r="E951" s="9" t="s">
        <v>1190</v>
      </c>
      <c r="F951" s="9" t="s">
        <v>1191</v>
      </c>
      <c r="G951" s="9" t="s">
        <v>495</v>
      </c>
      <c r="H951" s="2" t="s">
        <v>35</v>
      </c>
      <c r="I951" s="3">
        <v>34725</v>
      </c>
      <c r="J951" s="9" t="str">
        <f t="shared" ca="1" si="16"/>
        <v>28 ans</v>
      </c>
      <c r="K951" s="2" t="s">
        <v>36</v>
      </c>
      <c r="L951" s="2" t="str">
        <f>"72"</f>
        <v>72</v>
      </c>
      <c r="M951" s="2"/>
      <c r="N951" s="2" t="str">
        <f>"CH DE MILLE-ISLES"</f>
        <v>CH DE MILLE-ISLES</v>
      </c>
      <c r="O951" s="2" t="s">
        <v>3185</v>
      </c>
      <c r="P951" s="9" t="str">
        <f>VLOOKUP($O951,'Liste des Villes'!$B$2:$B$1128,1,FALSE)</f>
        <v>Saint-Jérôme</v>
      </c>
      <c r="Q951" s="9" t="str">
        <f>IFERROR($P951,PROPER(VLOOKUP($O951,'Villes en erreur'!$A$2:$B$72,2,FALSE)))</f>
        <v>Saint-Jérôme</v>
      </c>
      <c r="R951" s="9" t="s">
        <v>3186</v>
      </c>
      <c r="S951" s="9" t="str">
        <f>IF(ISBLANK($R951),"",VLOOKUP($R951,'Liste des Villes'!$B$2:$H$1128,4,FALSE))</f>
        <v>Laurentides</v>
      </c>
      <c r="T951" s="2" t="s">
        <v>3187</v>
      </c>
      <c r="U951" s="2" t="s">
        <v>39</v>
      </c>
      <c r="V951" s="2" t="s">
        <v>40</v>
      </c>
      <c r="W951" s="2" t="s">
        <v>5232</v>
      </c>
      <c r="X951" s="2"/>
      <c r="Y951" s="2"/>
      <c r="Z951" s="2"/>
      <c r="AA951" s="2" t="s">
        <v>3225</v>
      </c>
      <c r="AB951" s="2" t="s">
        <v>53</v>
      </c>
      <c r="AC951" s="4" t="s">
        <v>44</v>
      </c>
    </row>
    <row r="952" spans="1:29" x14ac:dyDescent="0.25">
      <c r="A952" s="1">
        <v>2956</v>
      </c>
      <c r="B952" s="17" t="s">
        <v>5233</v>
      </c>
      <c r="C952" s="2" t="s">
        <v>5234</v>
      </c>
      <c r="D952" s="15" t="s">
        <v>5235</v>
      </c>
      <c r="E952" s="9" t="s">
        <v>397</v>
      </c>
      <c r="F952" s="9" t="s">
        <v>3341</v>
      </c>
      <c r="G952" s="9" t="s">
        <v>2086</v>
      </c>
      <c r="H952" s="2" t="s">
        <v>60</v>
      </c>
      <c r="I952" s="3">
        <v>36024</v>
      </c>
      <c r="J952" s="9" t="str">
        <f t="shared" ca="1" si="16"/>
        <v>25 ans</v>
      </c>
      <c r="K952" s="2" t="s">
        <v>123</v>
      </c>
      <c r="L952" s="2" t="str">
        <f>"182"</f>
        <v>182</v>
      </c>
      <c r="M952" s="2"/>
      <c r="N952" s="2" t="str">
        <f>"PLACE JEAN-FRANÇOIS"</f>
        <v>PLACE JEAN-FRANÇOIS</v>
      </c>
      <c r="O952" s="2" t="s">
        <v>3185</v>
      </c>
      <c r="P952" s="9" t="str">
        <f>VLOOKUP($O952,'Liste des Villes'!$B$2:$B$1128,1,FALSE)</f>
        <v>Saint-Jérôme</v>
      </c>
      <c r="Q952" s="9" t="str">
        <f>IFERROR($P952,PROPER(VLOOKUP($O952,'Villes en erreur'!$A$2:$B$72,2,FALSE)))</f>
        <v>Saint-Jérôme</v>
      </c>
      <c r="R952" s="9" t="s">
        <v>3186</v>
      </c>
      <c r="S952" s="9" t="str">
        <f>IF(ISBLANK($R952),"",VLOOKUP($R952,'Liste des Villes'!$B$2:$H$1128,4,FALSE))</f>
        <v>Laurentides</v>
      </c>
      <c r="T952" s="2" t="s">
        <v>4168</v>
      </c>
      <c r="U952" s="2" t="s">
        <v>39</v>
      </c>
      <c r="V952" s="2" t="s">
        <v>40</v>
      </c>
      <c r="W952" s="2" t="s">
        <v>5236</v>
      </c>
      <c r="X952" s="2"/>
      <c r="Y952" s="2"/>
      <c r="Z952" s="2"/>
      <c r="AA952" s="2" t="s">
        <v>832</v>
      </c>
      <c r="AB952" s="2" t="s">
        <v>3221</v>
      </c>
      <c r="AC952" s="4" t="s">
        <v>44</v>
      </c>
    </row>
    <row r="953" spans="1:29" x14ac:dyDescent="0.25">
      <c r="A953" s="1">
        <v>3644</v>
      </c>
      <c r="B953" s="17" t="s">
        <v>5237</v>
      </c>
      <c r="C953" s="2" t="s">
        <v>5238</v>
      </c>
      <c r="D953" s="15" t="s">
        <v>518</v>
      </c>
      <c r="E953" s="9" t="s">
        <v>1190</v>
      </c>
      <c r="F953" s="9" t="s">
        <v>520</v>
      </c>
      <c r="G953" s="9" t="s">
        <v>495</v>
      </c>
      <c r="H953" s="2" t="s">
        <v>35</v>
      </c>
      <c r="I953" s="3">
        <v>34520</v>
      </c>
      <c r="J953" s="9" t="str">
        <f t="shared" ca="1" si="16"/>
        <v>29 ans</v>
      </c>
      <c r="K953" s="2" t="s">
        <v>36</v>
      </c>
      <c r="L953" s="2" t="str">
        <f>"63"</f>
        <v>63</v>
      </c>
      <c r="M953" s="2"/>
      <c r="N953" s="2" t="str">
        <f>"CH DE CHÂTENAY"</f>
        <v>CH DE CHÂTENAY</v>
      </c>
      <c r="O953" s="2" t="s">
        <v>3185</v>
      </c>
      <c r="P953" s="9" t="str">
        <f>VLOOKUP($O953,'Liste des Villes'!$B$2:$B$1128,1,FALSE)</f>
        <v>Saint-Jérôme</v>
      </c>
      <c r="Q953" s="9" t="str">
        <f>IFERROR($P953,PROPER(VLOOKUP($O953,'Villes en erreur'!$A$2:$B$72,2,FALSE)))</f>
        <v>Saint-Jérôme</v>
      </c>
      <c r="R953" s="9" t="s">
        <v>3186</v>
      </c>
      <c r="S953" s="9" t="str">
        <f>IF(ISBLANK($R953),"",VLOOKUP($R953,'Liste des Villes'!$B$2:$H$1128,4,FALSE))</f>
        <v>Laurentides</v>
      </c>
      <c r="T953" s="2" t="s">
        <v>3391</v>
      </c>
      <c r="U953" s="2" t="s">
        <v>39</v>
      </c>
      <c r="V953" s="2" t="s">
        <v>40</v>
      </c>
      <c r="W953" s="2" t="s">
        <v>5239</v>
      </c>
      <c r="X953" s="2"/>
      <c r="Y953" s="2"/>
      <c r="Z953" s="2"/>
      <c r="AA953" s="2" t="s">
        <v>3225</v>
      </c>
      <c r="AB953" s="2" t="s">
        <v>53</v>
      </c>
      <c r="AC953" s="4" t="s">
        <v>44</v>
      </c>
    </row>
    <row r="954" spans="1:29" x14ac:dyDescent="0.25">
      <c r="A954" s="1">
        <v>1721</v>
      </c>
      <c r="B954" s="17" t="s">
        <v>5240</v>
      </c>
      <c r="C954" s="2" t="s">
        <v>5241</v>
      </c>
      <c r="D954" s="15" t="s">
        <v>4944</v>
      </c>
      <c r="E954" s="9" t="s">
        <v>956</v>
      </c>
      <c r="F954" s="9" t="s">
        <v>957</v>
      </c>
      <c r="G954" s="9" t="s">
        <v>5242</v>
      </c>
      <c r="H954" s="2" t="s">
        <v>60</v>
      </c>
      <c r="I954" s="3">
        <v>34179</v>
      </c>
      <c r="J954" s="9" t="str">
        <f t="shared" ca="1" si="16"/>
        <v>30 ans</v>
      </c>
      <c r="K954" s="2" t="s">
        <v>36</v>
      </c>
      <c r="L954" s="2" t="str">
        <f>"48"</f>
        <v>48</v>
      </c>
      <c r="M954" s="2"/>
      <c r="N954" s="2" t="str">
        <f>"BOULEVARD DE LA SALETTE"</f>
        <v>BOULEVARD DE LA SALETTE</v>
      </c>
      <c r="O954" s="2" t="s">
        <v>3185</v>
      </c>
      <c r="P954" s="9" t="str">
        <f>VLOOKUP($O954,'Liste des Villes'!$B$2:$B$1128,1,FALSE)</f>
        <v>Saint-Jérôme</v>
      </c>
      <c r="Q954" s="9" t="str">
        <f>IFERROR($P954,PROPER(VLOOKUP($O954,'Villes en erreur'!$A$2:$B$72,2,FALSE)))</f>
        <v>Saint-Jérôme</v>
      </c>
      <c r="R954" s="9" t="s">
        <v>3186</v>
      </c>
      <c r="S954" s="9" t="str">
        <f>IF(ISBLANK($R954),"",VLOOKUP($R954,'Liste des Villes'!$B$2:$H$1128,4,FALSE))</f>
        <v>Laurentides</v>
      </c>
      <c r="T954" s="2" t="s">
        <v>3358</v>
      </c>
      <c r="U954" s="2" t="s">
        <v>39</v>
      </c>
      <c r="V954" s="2" t="s">
        <v>40</v>
      </c>
      <c r="W954" s="2" t="s">
        <v>5243</v>
      </c>
      <c r="X954" s="2"/>
      <c r="Y954" s="2"/>
      <c r="Z954" s="2"/>
      <c r="AA954" s="2" t="s">
        <v>3360</v>
      </c>
      <c r="AB954" s="2" t="s">
        <v>53</v>
      </c>
      <c r="AC954" s="4" t="s">
        <v>44</v>
      </c>
    </row>
    <row r="955" spans="1:29" x14ac:dyDescent="0.25">
      <c r="A955" s="1">
        <v>4091</v>
      </c>
      <c r="B955" s="17" t="s">
        <v>5244</v>
      </c>
      <c r="C955" s="2" t="s">
        <v>5245</v>
      </c>
      <c r="D955" s="15" t="s">
        <v>460</v>
      </c>
      <c r="E955" s="9" t="s">
        <v>5246</v>
      </c>
      <c r="F955" s="9" t="s">
        <v>462</v>
      </c>
      <c r="G955" s="9" t="s">
        <v>1560</v>
      </c>
      <c r="H955" s="2" t="s">
        <v>35</v>
      </c>
      <c r="I955" s="3">
        <v>35625</v>
      </c>
      <c r="J955" s="9" t="str">
        <f t="shared" ca="1" si="16"/>
        <v>26 ans</v>
      </c>
      <c r="K955" s="2" t="s">
        <v>36</v>
      </c>
      <c r="L955" s="2" t="str">
        <f>"130"</f>
        <v>130</v>
      </c>
      <c r="M955" s="2"/>
      <c r="N955" s="2" t="str">
        <f>"DE LA SAVANE"</f>
        <v>DE LA SAVANE</v>
      </c>
      <c r="O955" s="2" t="s">
        <v>3185</v>
      </c>
      <c r="P955" s="9" t="str">
        <f>VLOOKUP($O955,'Liste des Villes'!$B$2:$B$1128,1,FALSE)</f>
        <v>Saint-Jérôme</v>
      </c>
      <c r="Q955" s="9" t="str">
        <f>IFERROR($P955,PROPER(VLOOKUP($O955,'Villes en erreur'!$A$2:$B$72,2,FALSE)))</f>
        <v>Saint-Jérôme</v>
      </c>
      <c r="R955" s="9" t="s">
        <v>3186</v>
      </c>
      <c r="S955" s="9" t="str">
        <f>IF(ISBLANK($R955),"",VLOOKUP($R955,'Liste des Villes'!$B$2:$H$1128,4,FALSE))</f>
        <v>Laurentides</v>
      </c>
      <c r="T955" s="2" t="s">
        <v>3446</v>
      </c>
      <c r="U955" s="2" t="s">
        <v>39</v>
      </c>
      <c r="V955" s="2" t="s">
        <v>40</v>
      </c>
      <c r="W955" s="2" t="s">
        <v>5247</v>
      </c>
      <c r="X955" s="2"/>
      <c r="Y955" s="2"/>
      <c r="Z955" s="2"/>
      <c r="AA955" s="2" t="s">
        <v>3243</v>
      </c>
      <c r="AB955" s="2" t="s">
        <v>3221</v>
      </c>
      <c r="AC955" s="4" t="s">
        <v>44</v>
      </c>
    </row>
    <row r="956" spans="1:29" x14ac:dyDescent="0.25">
      <c r="A956" s="1">
        <v>2856</v>
      </c>
      <c r="B956" s="17" t="s">
        <v>5248</v>
      </c>
      <c r="C956" s="2" t="s">
        <v>2273</v>
      </c>
      <c r="D956" s="15" t="s">
        <v>582</v>
      </c>
      <c r="E956" s="9" t="s">
        <v>2274</v>
      </c>
      <c r="F956" s="9" t="s">
        <v>2001</v>
      </c>
      <c r="G956" s="9" t="s">
        <v>179</v>
      </c>
      <c r="H956" s="2" t="s">
        <v>60</v>
      </c>
      <c r="I956" s="3">
        <v>36111</v>
      </c>
      <c r="J956" s="9" t="str">
        <f t="shared" ca="1" si="16"/>
        <v>24 ans</v>
      </c>
      <c r="K956" s="2" t="s">
        <v>123</v>
      </c>
      <c r="L956" s="2" t="str">
        <f>"211"</f>
        <v>211</v>
      </c>
      <c r="M956" s="2"/>
      <c r="N956" s="2" t="str">
        <f>"RTE 335"</f>
        <v>RTE 335</v>
      </c>
      <c r="O956" s="2" t="s">
        <v>3185</v>
      </c>
      <c r="P956" s="9" t="str">
        <f>VLOOKUP($O956,'Liste des Villes'!$B$2:$B$1128,1,FALSE)</f>
        <v>Saint-Jérôme</v>
      </c>
      <c r="Q956" s="9" t="str">
        <f>IFERROR($P956,PROPER(VLOOKUP($O956,'Villes en erreur'!$A$2:$B$72,2,FALSE)))</f>
        <v>Saint-Jérôme</v>
      </c>
      <c r="R956" s="9" t="s">
        <v>3186</v>
      </c>
      <c r="S956" s="9" t="str">
        <f>IF(ISBLANK($R956),"",VLOOKUP($R956,'Liste des Villes'!$B$2:$H$1128,4,FALSE))</f>
        <v>Laurentides</v>
      </c>
      <c r="T956" s="2" t="s">
        <v>3603</v>
      </c>
      <c r="U956" s="2" t="s">
        <v>39</v>
      </c>
      <c r="V956" s="2" t="s">
        <v>40</v>
      </c>
      <c r="W956" s="2" t="s">
        <v>5249</v>
      </c>
      <c r="X956" s="2"/>
      <c r="Y956" s="2"/>
      <c r="Z956" s="2"/>
      <c r="AA956" s="2" t="s">
        <v>832</v>
      </c>
      <c r="AB956" s="2" t="s">
        <v>3221</v>
      </c>
      <c r="AC956" s="4" t="s">
        <v>44</v>
      </c>
    </row>
    <row r="957" spans="1:29" x14ac:dyDescent="0.25">
      <c r="A957" s="1">
        <v>404</v>
      </c>
      <c r="B957" s="17" t="s">
        <v>5250</v>
      </c>
      <c r="C957" s="2" t="s">
        <v>5251</v>
      </c>
      <c r="D957" s="15" t="s">
        <v>5252</v>
      </c>
      <c r="E957" s="9" t="s">
        <v>5253</v>
      </c>
      <c r="F957" s="9" t="s">
        <v>56</v>
      </c>
      <c r="G957" s="9" t="s">
        <v>4686</v>
      </c>
      <c r="H957" s="2" t="s">
        <v>35</v>
      </c>
      <c r="I957" s="3">
        <v>36087</v>
      </c>
      <c r="J957" s="9" t="str">
        <f t="shared" ca="1" si="16"/>
        <v>24 ans</v>
      </c>
      <c r="K957" s="2" t="s">
        <v>123</v>
      </c>
      <c r="L957" s="2" t="str">
        <f>"205"</f>
        <v>205</v>
      </c>
      <c r="M957" s="2"/>
      <c r="N957" s="2" t="str">
        <f>"RENÉ-LÉVESQUE BLVD"</f>
        <v>RENÉ-LÉVESQUE BLVD</v>
      </c>
      <c r="O957" s="2" t="s">
        <v>3185</v>
      </c>
      <c r="P957" s="9" t="str">
        <f>VLOOKUP($O957,'Liste des Villes'!$B$2:$B$1128,1,FALSE)</f>
        <v>Saint-Jérôme</v>
      </c>
      <c r="Q957" s="9" t="str">
        <f>IFERROR($P957,PROPER(VLOOKUP($O957,'Villes en erreur'!$A$2:$B$72,2,FALSE)))</f>
        <v>Saint-Jérôme</v>
      </c>
      <c r="R957" s="9" t="s">
        <v>3186</v>
      </c>
      <c r="S957" s="9" t="str">
        <f>IF(ISBLANK($R957),"",VLOOKUP($R957,'Liste des Villes'!$B$2:$H$1128,4,FALSE))</f>
        <v>Laurentides</v>
      </c>
      <c r="T957" s="2" t="s">
        <v>4999</v>
      </c>
      <c r="U957" s="2" t="s">
        <v>39</v>
      </c>
      <c r="V957" s="2" t="s">
        <v>40</v>
      </c>
      <c r="W957" s="2" t="s">
        <v>5254</v>
      </c>
      <c r="X957" s="2"/>
      <c r="Y957" s="2"/>
      <c r="Z957" s="2"/>
      <c r="AA957" s="2" t="s">
        <v>832</v>
      </c>
      <c r="AB957" s="2" t="s">
        <v>3221</v>
      </c>
      <c r="AC957" s="4" t="s">
        <v>44</v>
      </c>
    </row>
    <row r="958" spans="1:29" x14ac:dyDescent="0.25">
      <c r="A958" s="1">
        <v>3598</v>
      </c>
      <c r="B958" s="17" t="s">
        <v>5255</v>
      </c>
      <c r="C958" s="2" t="s">
        <v>5256</v>
      </c>
      <c r="D958" s="15" t="s">
        <v>5257</v>
      </c>
      <c r="E958" s="9" t="s">
        <v>956</v>
      </c>
      <c r="F958" s="9" t="s">
        <v>106</v>
      </c>
      <c r="G958" s="9" t="s">
        <v>468</v>
      </c>
      <c r="H958" s="2" t="s">
        <v>35</v>
      </c>
      <c r="I958" s="3">
        <v>35661</v>
      </c>
      <c r="J958" s="9" t="str">
        <f t="shared" ca="1" si="16"/>
        <v>26 ans</v>
      </c>
      <c r="K958" s="2" t="s">
        <v>36</v>
      </c>
      <c r="L958" s="2" t="str">
        <f>"132"</f>
        <v>132</v>
      </c>
      <c r="M958" s="2"/>
      <c r="N958" s="2" t="str">
        <f>"DE SAINTE-MARCELLE BLVD"</f>
        <v>DE SAINTE-MARCELLE BLVD</v>
      </c>
      <c r="O958" s="2" t="s">
        <v>3185</v>
      </c>
      <c r="P958" s="9" t="str">
        <f>VLOOKUP($O958,'Liste des Villes'!$B$2:$B$1128,1,FALSE)</f>
        <v>Saint-Jérôme</v>
      </c>
      <c r="Q958" s="9" t="str">
        <f>IFERROR($P958,PROPER(VLOOKUP($O958,'Villes en erreur'!$A$2:$B$72,2,FALSE)))</f>
        <v>Saint-Jérôme</v>
      </c>
      <c r="R958" s="9" t="s">
        <v>3186</v>
      </c>
      <c r="S958" s="9" t="str">
        <f>IF(ISBLANK($R958),"",VLOOKUP($R958,'Liste des Villes'!$B$2:$H$1128,4,FALSE))</f>
        <v>Laurentides</v>
      </c>
      <c r="T958" s="2" t="s">
        <v>3761</v>
      </c>
      <c r="U958" s="2" t="s">
        <v>39</v>
      </c>
      <c r="V958" s="2" t="s">
        <v>40</v>
      </c>
      <c r="W958" s="2" t="s">
        <v>5258</v>
      </c>
      <c r="X958" s="2"/>
      <c r="Y958" s="2"/>
      <c r="Z958" s="2"/>
      <c r="AA958" s="2" t="s">
        <v>3243</v>
      </c>
      <c r="AB958" s="2" t="s">
        <v>3221</v>
      </c>
      <c r="AC958" s="4" t="s">
        <v>44</v>
      </c>
    </row>
    <row r="959" spans="1:29" x14ac:dyDescent="0.25">
      <c r="A959" s="1">
        <v>678</v>
      </c>
      <c r="B959" s="17" t="s">
        <v>5259</v>
      </c>
      <c r="C959" s="2" t="s">
        <v>5260</v>
      </c>
      <c r="D959" s="15" t="s">
        <v>4279</v>
      </c>
      <c r="E959" s="9" t="s">
        <v>5261</v>
      </c>
      <c r="F959" s="9" t="s">
        <v>4066</v>
      </c>
      <c r="G959" s="9" t="s">
        <v>4989</v>
      </c>
      <c r="H959" s="2" t="s">
        <v>60</v>
      </c>
      <c r="I959" s="3">
        <v>35760</v>
      </c>
      <c r="J959" s="9" t="str">
        <f t="shared" ca="1" si="16"/>
        <v>25 ans</v>
      </c>
      <c r="K959" s="2" t="s">
        <v>123</v>
      </c>
      <c r="L959" s="2" t="str">
        <f>"140"</f>
        <v>140</v>
      </c>
      <c r="M959" s="2"/>
      <c r="N959" s="2" t="str">
        <f>"DU SÉMINAIRE BLVD"</f>
        <v>DU SÉMINAIRE BLVD</v>
      </c>
      <c r="O959" s="2" t="s">
        <v>3185</v>
      </c>
      <c r="P959" s="9" t="str">
        <f>VLOOKUP($O959,'Liste des Villes'!$B$2:$B$1128,1,FALSE)</f>
        <v>Saint-Jérôme</v>
      </c>
      <c r="Q959" s="9" t="str">
        <f>IFERROR($P959,PROPER(VLOOKUP($O959,'Villes en erreur'!$A$2:$B$72,2,FALSE)))</f>
        <v>Saint-Jérôme</v>
      </c>
      <c r="R959" s="9" t="s">
        <v>3186</v>
      </c>
      <c r="S959" s="9" t="str">
        <f>IF(ISBLANK($R959),"",VLOOKUP($R959,'Liste des Villes'!$B$2:$H$1128,4,FALSE))</f>
        <v>Laurentides</v>
      </c>
      <c r="T959" s="2" t="s">
        <v>5262</v>
      </c>
      <c r="U959" s="2" t="s">
        <v>39</v>
      </c>
      <c r="V959" s="2" t="s">
        <v>40</v>
      </c>
      <c r="W959" s="2" t="s">
        <v>5263</v>
      </c>
      <c r="X959" s="2"/>
      <c r="Y959" s="2"/>
      <c r="Z959" s="2"/>
      <c r="AA959" s="2" t="s">
        <v>3243</v>
      </c>
      <c r="AB959" s="2" t="s">
        <v>3221</v>
      </c>
      <c r="AC959" s="4" t="s">
        <v>44</v>
      </c>
    </row>
    <row r="960" spans="1:29" x14ac:dyDescent="0.25">
      <c r="A960" s="1">
        <v>3998</v>
      </c>
      <c r="B960" s="17" t="s">
        <v>5264</v>
      </c>
      <c r="C960" s="2" t="s">
        <v>5265</v>
      </c>
      <c r="D960" s="15" t="s">
        <v>5266</v>
      </c>
      <c r="E960" s="9" t="s">
        <v>956</v>
      </c>
      <c r="F960" s="9" t="s">
        <v>106</v>
      </c>
      <c r="G960" s="9" t="s">
        <v>3668</v>
      </c>
      <c r="H960" s="2" t="s">
        <v>60</v>
      </c>
      <c r="I960" s="3">
        <v>36226</v>
      </c>
      <c r="J960" s="9" t="str">
        <f t="shared" ca="1" si="16"/>
        <v>24 ans</v>
      </c>
      <c r="K960" s="2" t="s">
        <v>123</v>
      </c>
      <c r="L960" s="2" t="str">
        <f>"257"</f>
        <v>257</v>
      </c>
      <c r="M960" s="2"/>
      <c r="N960" s="2" t="str">
        <f>"RUE BEAUSITE"</f>
        <v>RUE BEAUSITE</v>
      </c>
      <c r="O960" s="2" t="s">
        <v>3185</v>
      </c>
      <c r="P960" s="9" t="str">
        <f>VLOOKUP($O960,'Liste des Villes'!$B$2:$B$1128,1,FALSE)</f>
        <v>Saint-Jérôme</v>
      </c>
      <c r="Q960" s="9" t="str">
        <f>IFERROR($P960,PROPER(VLOOKUP($O960,'Villes en erreur'!$A$2:$B$72,2,FALSE)))</f>
        <v>Saint-Jérôme</v>
      </c>
      <c r="R960" s="9" t="s">
        <v>3186</v>
      </c>
      <c r="S960" s="9" t="str">
        <f>IF(ISBLANK($R960),"",VLOOKUP($R960,'Liste des Villes'!$B$2:$H$1128,4,FALSE))</f>
        <v>Laurentides</v>
      </c>
      <c r="T960" s="2" t="s">
        <v>5267</v>
      </c>
      <c r="U960" s="2" t="s">
        <v>39</v>
      </c>
      <c r="V960" s="2" t="s">
        <v>40</v>
      </c>
      <c r="W960" s="2" t="s">
        <v>5268</v>
      </c>
      <c r="X960" s="2"/>
      <c r="Y960" s="2"/>
      <c r="Z960" s="2"/>
      <c r="AA960" s="2" t="s">
        <v>832</v>
      </c>
      <c r="AB960" s="2" t="s">
        <v>3288</v>
      </c>
      <c r="AC960" s="4" t="s">
        <v>44</v>
      </c>
    </row>
    <row r="961" spans="1:29" x14ac:dyDescent="0.25">
      <c r="A961" s="1">
        <v>3455</v>
      </c>
      <c r="B961" s="17" t="s">
        <v>5269</v>
      </c>
      <c r="C961" s="2" t="s">
        <v>5270</v>
      </c>
      <c r="D961" s="15" t="s">
        <v>5271</v>
      </c>
      <c r="E961" s="9" t="s">
        <v>1377</v>
      </c>
      <c r="F961" s="9" t="s">
        <v>5272</v>
      </c>
      <c r="G961" s="9" t="s">
        <v>4053</v>
      </c>
      <c r="H961" s="2" t="s">
        <v>60</v>
      </c>
      <c r="I961" s="3">
        <v>34014</v>
      </c>
      <c r="J961" s="9" t="str">
        <f t="shared" ca="1" si="16"/>
        <v>30 ans</v>
      </c>
      <c r="K961" s="2" t="s">
        <v>36</v>
      </c>
      <c r="L961" s="2" t="str">
        <f>"43"</f>
        <v>43</v>
      </c>
      <c r="M961" s="2"/>
      <c r="N961" s="2" t="str">
        <f>"BOUL DU CURÉ-LABELLE"</f>
        <v>BOUL DU CURÉ-LABELLE</v>
      </c>
      <c r="O961" s="2" t="s">
        <v>3185</v>
      </c>
      <c r="P961" s="9" t="str">
        <f>VLOOKUP($O961,'Liste des Villes'!$B$2:$B$1128,1,FALSE)</f>
        <v>Saint-Jérôme</v>
      </c>
      <c r="Q961" s="9" t="str">
        <f>IFERROR($P961,PROPER(VLOOKUP($O961,'Villes en erreur'!$A$2:$B$72,2,FALSE)))</f>
        <v>Saint-Jérôme</v>
      </c>
      <c r="R961" s="9" t="s">
        <v>3186</v>
      </c>
      <c r="S961" s="9" t="str">
        <f>IF(ISBLANK($R961),"",VLOOKUP($R961,'Liste des Villes'!$B$2:$H$1128,4,FALSE))</f>
        <v>Laurentides</v>
      </c>
      <c r="T961" s="2" t="s">
        <v>3205</v>
      </c>
      <c r="U961" s="2" t="s">
        <v>39</v>
      </c>
      <c r="V961" s="2" t="s">
        <v>40</v>
      </c>
      <c r="W961" s="2" t="s">
        <v>5273</v>
      </c>
      <c r="X961" s="2"/>
      <c r="Y961" s="2"/>
      <c r="Z961" s="2"/>
      <c r="AA961" s="2" t="s">
        <v>3207</v>
      </c>
      <c r="AB961" s="2" t="s">
        <v>53</v>
      </c>
      <c r="AC961" s="4" t="s">
        <v>44</v>
      </c>
    </row>
    <row r="962" spans="1:29" x14ac:dyDescent="0.25">
      <c r="A962" s="1">
        <v>4035</v>
      </c>
      <c r="B962" s="17" t="s">
        <v>5274</v>
      </c>
      <c r="C962" s="2" t="s">
        <v>5275</v>
      </c>
      <c r="D962" s="15" t="s">
        <v>4580</v>
      </c>
      <c r="E962" s="9" t="s">
        <v>5276</v>
      </c>
      <c r="F962" s="9" t="s">
        <v>4066</v>
      </c>
      <c r="G962" s="9" t="s">
        <v>4124</v>
      </c>
      <c r="H962" s="2" t="s">
        <v>60</v>
      </c>
      <c r="I962" s="3">
        <v>35672</v>
      </c>
      <c r="J962" s="9" t="str">
        <f t="shared" ref="J962:J1025" ca="1" si="17">_xlfn.CONCAT(INT((TODAY()-$I962)/365.25)," ans")</f>
        <v>25 ans</v>
      </c>
      <c r="K962" s="2" t="s">
        <v>123</v>
      </c>
      <c r="L962" s="2" t="str">
        <f>"133"</f>
        <v>133</v>
      </c>
      <c r="M962" s="2"/>
      <c r="N962" s="2" t="str">
        <f>"Des Chardonnerets"</f>
        <v>Des Chardonnerets</v>
      </c>
      <c r="O962" s="2" t="s">
        <v>3185</v>
      </c>
      <c r="P962" s="9" t="str">
        <f>VLOOKUP($O962,'Liste des Villes'!$B$2:$B$1128,1,FALSE)</f>
        <v>Saint-Jérôme</v>
      </c>
      <c r="Q962" s="9" t="str">
        <f>IFERROR($P962,PROPER(VLOOKUP($O962,'Villes en erreur'!$A$2:$B$72,2,FALSE)))</f>
        <v>Saint-Jérôme</v>
      </c>
      <c r="R962" s="9" t="s">
        <v>3186</v>
      </c>
      <c r="S962" s="9" t="str">
        <f>IF(ISBLANK($R962),"",VLOOKUP($R962,'Liste des Villes'!$B$2:$H$1128,4,FALSE))</f>
        <v>Laurentides</v>
      </c>
      <c r="T962" s="2" t="s">
        <v>5277</v>
      </c>
      <c r="U962" s="2" t="s">
        <v>39</v>
      </c>
      <c r="V962" s="2" t="s">
        <v>40</v>
      </c>
      <c r="W962" s="2" t="s">
        <v>5278</v>
      </c>
      <c r="X962" s="2"/>
      <c r="Y962" s="2"/>
      <c r="Z962" s="2"/>
      <c r="AA962" s="2" t="s">
        <v>3243</v>
      </c>
      <c r="AB962" s="2" t="s">
        <v>3221</v>
      </c>
      <c r="AC962" s="4" t="s">
        <v>44</v>
      </c>
    </row>
    <row r="963" spans="1:29" x14ac:dyDescent="0.25">
      <c r="A963" s="1">
        <v>3429</v>
      </c>
      <c r="B963" s="17" t="s">
        <v>5279</v>
      </c>
      <c r="C963" s="2" t="s">
        <v>5280</v>
      </c>
      <c r="D963" s="15" t="s">
        <v>5281</v>
      </c>
      <c r="E963" s="9" t="s">
        <v>380</v>
      </c>
      <c r="F963" s="9" t="s">
        <v>5282</v>
      </c>
      <c r="G963" s="9" t="s">
        <v>2796</v>
      </c>
      <c r="H963" s="2" t="s">
        <v>35</v>
      </c>
      <c r="I963" s="3">
        <v>35278</v>
      </c>
      <c r="J963" s="9" t="str">
        <f t="shared" ca="1" si="17"/>
        <v>27 ans</v>
      </c>
      <c r="K963" s="2" t="s">
        <v>36</v>
      </c>
      <c r="L963" s="2" t="str">
        <f>"107"</f>
        <v>107</v>
      </c>
      <c r="M963" s="2"/>
      <c r="N963" s="2" t="str">
        <f>"CHEMIN DE LA RIVIÈRE DU NORD"</f>
        <v>CHEMIN DE LA RIVIÈRE DU NORD</v>
      </c>
      <c r="O963" s="2" t="s">
        <v>3185</v>
      </c>
      <c r="P963" s="9" t="str">
        <f>VLOOKUP($O963,'Liste des Villes'!$B$2:$B$1128,1,FALSE)</f>
        <v>Saint-Jérôme</v>
      </c>
      <c r="Q963" s="9" t="str">
        <f>IFERROR($P963,PROPER(VLOOKUP($O963,'Villes en erreur'!$A$2:$B$72,2,FALSE)))</f>
        <v>Saint-Jérôme</v>
      </c>
      <c r="R963" s="9" t="s">
        <v>3186</v>
      </c>
      <c r="S963" s="9" t="str">
        <f>IF(ISBLANK($R963),"",VLOOKUP($R963,'Liste des Villes'!$B$2:$H$1128,4,FALSE))</f>
        <v>Laurentides</v>
      </c>
      <c r="T963" s="2" t="s">
        <v>5283</v>
      </c>
      <c r="U963" s="2" t="s">
        <v>39</v>
      </c>
      <c r="V963" s="2" t="s">
        <v>40</v>
      </c>
      <c r="W963" s="2" t="s">
        <v>5284</v>
      </c>
      <c r="X963" s="2"/>
      <c r="Y963" s="2"/>
      <c r="Z963" s="2"/>
      <c r="AA963" s="2" t="s">
        <v>3189</v>
      </c>
      <c r="AB963" s="2" t="s">
        <v>3190</v>
      </c>
      <c r="AC963" s="4" t="s">
        <v>44</v>
      </c>
    </row>
    <row r="964" spans="1:29" x14ac:dyDescent="0.25">
      <c r="A964" s="1">
        <v>3867</v>
      </c>
      <c r="B964" s="17" t="s">
        <v>5285</v>
      </c>
      <c r="C964" s="2" t="s">
        <v>5286</v>
      </c>
      <c r="D964" s="15" t="s">
        <v>2139</v>
      </c>
      <c r="E964" s="9" t="s">
        <v>5287</v>
      </c>
      <c r="F964" s="9" t="s">
        <v>3097</v>
      </c>
      <c r="G964" s="9" t="s">
        <v>5288</v>
      </c>
      <c r="H964" s="2" t="s">
        <v>60</v>
      </c>
      <c r="I964" s="3">
        <v>35832</v>
      </c>
      <c r="J964" s="9" t="str">
        <f t="shared" ca="1" si="17"/>
        <v>25 ans</v>
      </c>
      <c r="K964" s="2" t="s">
        <v>123</v>
      </c>
      <c r="L964" s="2" t="str">
        <f>"146"</f>
        <v>146</v>
      </c>
      <c r="M964" s="2"/>
      <c r="N964" s="2" t="str">
        <f>"LAFONTAINE BLVD"</f>
        <v>LAFONTAINE BLVD</v>
      </c>
      <c r="O964" s="2" t="s">
        <v>3185</v>
      </c>
      <c r="P964" s="9" t="str">
        <f>VLOOKUP($O964,'Liste des Villes'!$B$2:$B$1128,1,FALSE)</f>
        <v>Saint-Jérôme</v>
      </c>
      <c r="Q964" s="9" t="str">
        <f>IFERROR($P964,PROPER(VLOOKUP($O964,'Villes en erreur'!$A$2:$B$72,2,FALSE)))</f>
        <v>Saint-Jérôme</v>
      </c>
      <c r="R964" s="9" t="s">
        <v>3186</v>
      </c>
      <c r="S964" s="9" t="str">
        <f>IF(ISBLANK($R964),"",VLOOKUP($R964,'Liste des Villes'!$B$2:$H$1128,4,FALSE))</f>
        <v>Laurentides</v>
      </c>
      <c r="T964" s="2" t="s">
        <v>5289</v>
      </c>
      <c r="U964" s="2" t="s">
        <v>39</v>
      </c>
      <c r="V964" s="2" t="s">
        <v>40</v>
      </c>
      <c r="W964" s="2" t="s">
        <v>5290</v>
      </c>
      <c r="X964" s="2"/>
      <c r="Y964" s="2"/>
      <c r="Z964" s="2"/>
      <c r="AA964" s="2" t="s">
        <v>3243</v>
      </c>
      <c r="AB964" s="2" t="s">
        <v>3221</v>
      </c>
      <c r="AC964" s="4" t="s">
        <v>44</v>
      </c>
    </row>
    <row r="965" spans="1:29" x14ac:dyDescent="0.25">
      <c r="A965" s="1">
        <v>401</v>
      </c>
      <c r="B965" s="17" t="s">
        <v>5291</v>
      </c>
      <c r="C965" s="2" t="s">
        <v>5292</v>
      </c>
      <c r="D965" s="15" t="s">
        <v>997</v>
      </c>
      <c r="E965" s="9" t="s">
        <v>1341</v>
      </c>
      <c r="F965" s="9" t="s">
        <v>995</v>
      </c>
      <c r="G965" s="9" t="s">
        <v>195</v>
      </c>
      <c r="H965" s="2" t="s">
        <v>60</v>
      </c>
      <c r="I965" s="3">
        <v>35006</v>
      </c>
      <c r="J965" s="9" t="str">
        <f t="shared" ca="1" si="17"/>
        <v>27 ans</v>
      </c>
      <c r="K965" s="2" t="s">
        <v>36</v>
      </c>
      <c r="L965" s="2" t="str">
        <f>"92"</f>
        <v>92</v>
      </c>
      <c r="M965" s="2"/>
      <c r="N965" s="2" t="str">
        <f>"CH DU LAC-CROCHE E"</f>
        <v>CH DU LAC-CROCHE E</v>
      </c>
      <c r="O965" s="2" t="s">
        <v>3185</v>
      </c>
      <c r="P965" s="9" t="str">
        <f>VLOOKUP($O965,'Liste des Villes'!$B$2:$B$1128,1,FALSE)</f>
        <v>Saint-Jérôme</v>
      </c>
      <c r="Q965" s="9" t="str">
        <f>IFERROR($P965,PROPER(VLOOKUP($O965,'Villes en erreur'!$A$2:$B$72,2,FALSE)))</f>
        <v>Saint-Jérôme</v>
      </c>
      <c r="R965" s="9" t="s">
        <v>3186</v>
      </c>
      <c r="S965" s="9" t="str">
        <f>IF(ISBLANK($R965),"",VLOOKUP($R965,'Liste des Villes'!$B$2:$H$1128,4,FALSE))</f>
        <v>Laurentides</v>
      </c>
      <c r="T965" s="2" t="s">
        <v>3187</v>
      </c>
      <c r="U965" s="2" t="s">
        <v>39</v>
      </c>
      <c r="V965" s="2" t="s">
        <v>40</v>
      </c>
      <c r="W965" s="2" t="s">
        <v>5293</v>
      </c>
      <c r="X965" s="2"/>
      <c r="Y965" s="2"/>
      <c r="Z965" s="2"/>
      <c r="AA965" s="2" t="s">
        <v>3189</v>
      </c>
      <c r="AB965" s="2" t="s">
        <v>53</v>
      </c>
      <c r="AC965" s="4" t="s">
        <v>44</v>
      </c>
    </row>
    <row r="966" spans="1:29" x14ac:dyDescent="0.25">
      <c r="A966" s="1">
        <v>433</v>
      </c>
      <c r="B966" s="17" t="s">
        <v>5294</v>
      </c>
      <c r="C966" s="2" t="s">
        <v>988</v>
      </c>
      <c r="D966" s="15" t="s">
        <v>121</v>
      </c>
      <c r="E966" s="9" t="s">
        <v>989</v>
      </c>
      <c r="F966" s="9" t="s">
        <v>119</v>
      </c>
      <c r="G966" s="9" t="s">
        <v>996</v>
      </c>
      <c r="H966" s="2" t="s">
        <v>60</v>
      </c>
      <c r="I966" s="3">
        <v>35032</v>
      </c>
      <c r="J966" s="9" t="str">
        <f t="shared" ca="1" si="17"/>
        <v>27 ans</v>
      </c>
      <c r="K966" s="2" t="s">
        <v>36</v>
      </c>
      <c r="L966" s="2" t="str">
        <f>"96"</f>
        <v>96</v>
      </c>
      <c r="M966" s="2"/>
      <c r="N966" s="2" t="str">
        <f>"CH DU MONT-SAINTE-ANNE"</f>
        <v>CH DU MONT-SAINTE-ANNE</v>
      </c>
      <c r="O966" s="2" t="s">
        <v>3185</v>
      </c>
      <c r="P966" s="9" t="str">
        <f>VLOOKUP($O966,'Liste des Villes'!$B$2:$B$1128,1,FALSE)</f>
        <v>Saint-Jérôme</v>
      </c>
      <c r="Q966" s="9" t="str">
        <f>IFERROR($P966,PROPER(VLOOKUP($O966,'Villes en erreur'!$A$2:$B$72,2,FALSE)))</f>
        <v>Saint-Jérôme</v>
      </c>
      <c r="R966" s="9" t="s">
        <v>3186</v>
      </c>
      <c r="S966" s="9" t="str">
        <f>IF(ISBLANK($R966),"",VLOOKUP($R966,'Liste des Villes'!$B$2:$H$1128,4,FALSE))</f>
        <v>Laurentides</v>
      </c>
      <c r="T966" s="2" t="s">
        <v>3187</v>
      </c>
      <c r="U966" s="2" t="s">
        <v>39</v>
      </c>
      <c r="V966" s="2" t="s">
        <v>40</v>
      </c>
      <c r="W966" s="2" t="s">
        <v>5295</v>
      </c>
      <c r="X966" s="2"/>
      <c r="Y966" s="2"/>
      <c r="Z966" s="2"/>
      <c r="AA966" s="2" t="s">
        <v>3189</v>
      </c>
      <c r="AB966" s="2" t="s">
        <v>53</v>
      </c>
      <c r="AC966" s="4" t="s">
        <v>44</v>
      </c>
    </row>
    <row r="967" spans="1:29" x14ac:dyDescent="0.25">
      <c r="A967" s="1">
        <v>2545</v>
      </c>
      <c r="B967" s="17" t="s">
        <v>5296</v>
      </c>
      <c r="C967" s="2" t="s">
        <v>5297</v>
      </c>
      <c r="D967" s="15" t="s">
        <v>533</v>
      </c>
      <c r="E967" s="9" t="s">
        <v>495</v>
      </c>
      <c r="F967" s="9" t="s">
        <v>531</v>
      </c>
      <c r="G967" s="9" t="s">
        <v>4887</v>
      </c>
      <c r="H967" s="2" t="s">
        <v>60</v>
      </c>
      <c r="I967" s="3">
        <v>35377</v>
      </c>
      <c r="J967" s="9" t="str">
        <f t="shared" ca="1" si="17"/>
        <v>26 ans</v>
      </c>
      <c r="K967" s="2" t="s">
        <v>36</v>
      </c>
      <c r="L967" s="2" t="str">
        <f>"112"</f>
        <v>112</v>
      </c>
      <c r="M967" s="2"/>
      <c r="N967" s="2" t="str">
        <f>"CHEMIN D'OKA"</f>
        <v>CHEMIN D'OKA</v>
      </c>
      <c r="O967" s="2" t="s">
        <v>3185</v>
      </c>
      <c r="P967" s="9" t="str">
        <f>VLOOKUP($O967,'Liste des Villes'!$B$2:$B$1128,1,FALSE)</f>
        <v>Saint-Jérôme</v>
      </c>
      <c r="Q967" s="9" t="str">
        <f>IFERROR($P967,PROPER(VLOOKUP($O967,'Villes en erreur'!$A$2:$B$72,2,FALSE)))</f>
        <v>Saint-Jérôme</v>
      </c>
      <c r="R967" s="9" t="s">
        <v>3186</v>
      </c>
      <c r="S967" s="9" t="str">
        <f>IF(ISBLANK($R967),"",VLOOKUP($R967,'Liste des Villes'!$B$2:$H$1128,4,FALSE))</f>
        <v>Laurentides</v>
      </c>
      <c r="T967" s="2" t="s">
        <v>4888</v>
      </c>
      <c r="U967" s="2" t="s">
        <v>39</v>
      </c>
      <c r="V967" s="2" t="s">
        <v>40</v>
      </c>
      <c r="W967" s="2" t="s">
        <v>5298</v>
      </c>
      <c r="X967" s="2"/>
      <c r="Y967" s="2"/>
      <c r="Z967" s="2"/>
      <c r="AA967" s="2" t="s">
        <v>3189</v>
      </c>
      <c r="AB967" s="2" t="s">
        <v>3200</v>
      </c>
      <c r="AC967" s="4" t="s">
        <v>44</v>
      </c>
    </row>
    <row r="968" spans="1:29" x14ac:dyDescent="0.25">
      <c r="A968" s="1">
        <v>3172</v>
      </c>
      <c r="B968" s="17" t="s">
        <v>5299</v>
      </c>
      <c r="C968" s="2" t="s">
        <v>5300</v>
      </c>
      <c r="D968" s="15" t="s">
        <v>1024</v>
      </c>
      <c r="E968" s="9" t="s">
        <v>5301</v>
      </c>
      <c r="F968" s="9" t="s">
        <v>2128</v>
      </c>
      <c r="G968" s="9" t="s">
        <v>495</v>
      </c>
      <c r="H968" s="2" t="s">
        <v>35</v>
      </c>
      <c r="I968" s="3">
        <v>34663</v>
      </c>
      <c r="J968" s="9" t="str">
        <f t="shared" ca="1" si="17"/>
        <v>28 ans</v>
      </c>
      <c r="K968" s="2" t="s">
        <v>36</v>
      </c>
      <c r="L968" s="2" t="str">
        <f>"69"</f>
        <v>69</v>
      </c>
      <c r="M968" s="2"/>
      <c r="N968" s="2" t="str">
        <f>"CH DE LA RIVIÈRE"</f>
        <v>CH DE LA RIVIÈRE</v>
      </c>
      <c r="O968" s="2" t="s">
        <v>3185</v>
      </c>
      <c r="P968" s="9" t="str">
        <f>VLOOKUP($O968,'Liste des Villes'!$B$2:$B$1128,1,FALSE)</f>
        <v>Saint-Jérôme</v>
      </c>
      <c r="Q968" s="9" t="str">
        <f>IFERROR($P968,PROPER(VLOOKUP($O968,'Villes en erreur'!$A$2:$B$72,2,FALSE)))</f>
        <v>Saint-Jérôme</v>
      </c>
      <c r="R968" s="9" t="s">
        <v>3186</v>
      </c>
      <c r="S968" s="9" t="str">
        <f>IF(ISBLANK($R968),"",VLOOKUP($R968,'Liste des Villes'!$B$2:$H$1128,4,FALSE))</f>
        <v>Laurentides</v>
      </c>
      <c r="T968" s="2" t="s">
        <v>3470</v>
      </c>
      <c r="U968" s="2" t="s">
        <v>39</v>
      </c>
      <c r="V968" s="2" t="s">
        <v>40</v>
      </c>
      <c r="W968" s="2" t="s">
        <v>5302</v>
      </c>
      <c r="X968" s="2"/>
      <c r="Y968" s="2"/>
      <c r="Z968" s="2"/>
      <c r="AA968" s="2" t="s">
        <v>3225</v>
      </c>
      <c r="AB968" s="2" t="s">
        <v>53</v>
      </c>
      <c r="AC968" s="4" t="s">
        <v>44</v>
      </c>
    </row>
    <row r="969" spans="1:29" x14ac:dyDescent="0.25">
      <c r="A969" s="1">
        <v>2644</v>
      </c>
      <c r="B969" s="17" t="s">
        <v>5303</v>
      </c>
      <c r="C969" s="2" t="s">
        <v>177</v>
      </c>
      <c r="D969" s="15" t="s">
        <v>178</v>
      </c>
      <c r="E969" s="9" t="s">
        <v>179</v>
      </c>
      <c r="F969" s="9" t="s">
        <v>1682</v>
      </c>
      <c r="G969" s="9" t="s">
        <v>3668</v>
      </c>
      <c r="H969" s="2" t="s">
        <v>60</v>
      </c>
      <c r="I969" s="3">
        <v>36231</v>
      </c>
      <c r="J969" s="9" t="str">
        <f t="shared" ca="1" si="17"/>
        <v>24 ans</v>
      </c>
      <c r="K969" s="2" t="s">
        <v>123</v>
      </c>
      <c r="L969" s="2" t="str">
        <f>"260"</f>
        <v>260</v>
      </c>
      <c r="M969" s="2"/>
      <c r="N969" s="2" t="str">
        <f>"RUE BEAUSITE"</f>
        <v>RUE BEAUSITE</v>
      </c>
      <c r="O969" s="2" t="s">
        <v>3185</v>
      </c>
      <c r="P969" s="9" t="str">
        <f>VLOOKUP($O969,'Liste des Villes'!$B$2:$B$1128,1,FALSE)</f>
        <v>Saint-Jérôme</v>
      </c>
      <c r="Q969" s="9" t="str">
        <f>IFERROR($P969,PROPER(VLOOKUP($O969,'Villes en erreur'!$A$2:$B$72,2,FALSE)))</f>
        <v>Saint-Jérôme</v>
      </c>
      <c r="R969" s="9" t="s">
        <v>3186</v>
      </c>
      <c r="S969" s="9" t="str">
        <f>IF(ISBLANK($R969),"",VLOOKUP($R969,'Liste des Villes'!$B$2:$H$1128,4,FALSE))</f>
        <v>Laurentides</v>
      </c>
      <c r="T969" s="2" t="s">
        <v>5304</v>
      </c>
      <c r="U969" s="2" t="s">
        <v>39</v>
      </c>
      <c r="V969" s="2" t="s">
        <v>40</v>
      </c>
      <c r="W969" s="2" t="s">
        <v>5305</v>
      </c>
      <c r="X969" s="2"/>
      <c r="Y969" s="2"/>
      <c r="Z969" s="2"/>
      <c r="AA969" s="2" t="s">
        <v>832</v>
      </c>
      <c r="AB969" s="2" t="s">
        <v>3288</v>
      </c>
      <c r="AC969" s="4" t="s">
        <v>44</v>
      </c>
    </row>
    <row r="970" spans="1:29" x14ac:dyDescent="0.25">
      <c r="A970" s="1">
        <v>2300</v>
      </c>
      <c r="B970" s="17" t="s">
        <v>5306</v>
      </c>
      <c r="C970" s="2" t="s">
        <v>5307</v>
      </c>
      <c r="D970" s="15" t="s">
        <v>5308</v>
      </c>
      <c r="E970" s="9" t="s">
        <v>1024</v>
      </c>
      <c r="F970" s="9" t="s">
        <v>5309</v>
      </c>
      <c r="G970" s="9" t="s">
        <v>92</v>
      </c>
      <c r="H970" s="2" t="s">
        <v>35</v>
      </c>
      <c r="I970" s="3">
        <v>35467</v>
      </c>
      <c r="J970" s="9" t="str">
        <f t="shared" ca="1" si="17"/>
        <v>26 ans</v>
      </c>
      <c r="K970" s="2" t="s">
        <v>36</v>
      </c>
      <c r="L970" s="2" t="str">
        <f>"116"</f>
        <v>116</v>
      </c>
      <c r="M970" s="2"/>
      <c r="N970" s="2" t="str">
        <f>"CHEMIN GUÉNETTE"</f>
        <v>CHEMIN GUÉNETTE</v>
      </c>
      <c r="O970" s="2" t="s">
        <v>3185</v>
      </c>
      <c r="P970" s="9" t="str">
        <f>VLOOKUP($O970,'Liste des Villes'!$B$2:$B$1128,1,FALSE)</f>
        <v>Saint-Jérôme</v>
      </c>
      <c r="Q970" s="9" t="str">
        <f>IFERROR($P970,PROPER(VLOOKUP($O970,'Villes en erreur'!$A$2:$B$72,2,FALSE)))</f>
        <v>Saint-Jérôme</v>
      </c>
      <c r="R970" s="9" t="s">
        <v>3186</v>
      </c>
      <c r="S970" s="9" t="str">
        <f>IF(ISBLANK($R970),"",VLOOKUP($R970,'Liste des Villes'!$B$2:$H$1128,4,FALSE))</f>
        <v>Laurentides</v>
      </c>
      <c r="T970" s="2" t="s">
        <v>3197</v>
      </c>
      <c r="U970" s="2" t="s">
        <v>39</v>
      </c>
      <c r="V970" s="2" t="s">
        <v>40</v>
      </c>
      <c r="W970" s="2" t="s">
        <v>5310</v>
      </c>
      <c r="X970" s="2"/>
      <c r="Y970" s="2"/>
      <c r="Z970" s="2"/>
      <c r="AA970" s="2" t="s">
        <v>3199</v>
      </c>
      <c r="AB970" s="2" t="s">
        <v>3200</v>
      </c>
      <c r="AC970" s="4" t="s">
        <v>44</v>
      </c>
    </row>
    <row r="971" spans="1:29" x14ac:dyDescent="0.25">
      <c r="A971" s="1">
        <v>4521</v>
      </c>
      <c r="B971" s="17" t="s">
        <v>5311</v>
      </c>
      <c r="C971" s="2" t="s">
        <v>2222</v>
      </c>
      <c r="D971" s="15" t="s">
        <v>462</v>
      </c>
      <c r="E971" s="9" t="s">
        <v>2223</v>
      </c>
      <c r="F971" s="9" t="s">
        <v>460</v>
      </c>
      <c r="G971" s="9" t="s">
        <v>495</v>
      </c>
      <c r="H971" s="2" t="s">
        <v>35</v>
      </c>
      <c r="I971" s="3">
        <v>34704</v>
      </c>
      <c r="J971" s="9" t="str">
        <f t="shared" ca="1" si="17"/>
        <v>28 ans</v>
      </c>
      <c r="K971" s="2" t="s">
        <v>36</v>
      </c>
      <c r="L971" s="2" t="str">
        <f>"71"</f>
        <v>71</v>
      </c>
      <c r="M971" s="2"/>
      <c r="N971" s="2" t="str">
        <f>"CH DE L'ALBATROS"</f>
        <v>CH DE L'ALBATROS</v>
      </c>
      <c r="O971" s="2" t="s">
        <v>3185</v>
      </c>
      <c r="P971" s="9" t="str">
        <f>VLOOKUP($O971,'Liste des Villes'!$B$2:$B$1128,1,FALSE)</f>
        <v>Saint-Jérôme</v>
      </c>
      <c r="Q971" s="9" t="str">
        <f>IFERROR($P971,PROPER(VLOOKUP($O971,'Villes en erreur'!$A$2:$B$72,2,FALSE)))</f>
        <v>Saint-Jérôme</v>
      </c>
      <c r="R971" s="9" t="s">
        <v>3186</v>
      </c>
      <c r="S971" s="9" t="str">
        <f>IF(ISBLANK($R971),"",VLOOKUP($R971,'Liste des Villes'!$B$2:$H$1128,4,FALSE))</f>
        <v>Laurentides</v>
      </c>
      <c r="T971" s="2" t="s">
        <v>4119</v>
      </c>
      <c r="U971" s="2" t="s">
        <v>39</v>
      </c>
      <c r="V971" s="2" t="s">
        <v>40</v>
      </c>
      <c r="W971" s="2" t="s">
        <v>5312</v>
      </c>
      <c r="X971" s="2"/>
      <c r="Y971" s="2"/>
      <c r="Z971" s="2"/>
      <c r="AA971" s="2" t="s">
        <v>3225</v>
      </c>
      <c r="AB971" s="2" t="s">
        <v>53</v>
      </c>
      <c r="AC971" s="4" t="s">
        <v>44</v>
      </c>
    </row>
    <row r="972" spans="1:29" x14ac:dyDescent="0.25">
      <c r="A972" s="1">
        <v>75</v>
      </c>
      <c r="B972" s="17" t="s">
        <v>5313</v>
      </c>
      <c r="C972" s="2" t="s">
        <v>5314</v>
      </c>
      <c r="D972" s="15" t="s">
        <v>957</v>
      </c>
      <c r="E972" s="9" t="s">
        <v>5315</v>
      </c>
      <c r="F972" s="9" t="s">
        <v>955</v>
      </c>
      <c r="G972" s="9" t="s">
        <v>5143</v>
      </c>
      <c r="H972" s="2" t="s">
        <v>60</v>
      </c>
      <c r="I972" s="3">
        <v>34033</v>
      </c>
      <c r="J972" s="9" t="str">
        <f t="shared" ca="1" si="17"/>
        <v>30 ans</v>
      </c>
      <c r="K972" s="2" t="s">
        <v>36</v>
      </c>
      <c r="L972" s="2" t="str">
        <f>"44"</f>
        <v>44</v>
      </c>
      <c r="M972" s="2"/>
      <c r="N972" s="2" t="str">
        <f>"BOUL LAFONTAINE"</f>
        <v>BOUL LAFONTAINE</v>
      </c>
      <c r="O972" s="2" t="s">
        <v>3185</v>
      </c>
      <c r="P972" s="9" t="str">
        <f>VLOOKUP($O972,'Liste des Villes'!$B$2:$B$1128,1,FALSE)</f>
        <v>Saint-Jérôme</v>
      </c>
      <c r="Q972" s="9" t="str">
        <f>IFERROR($P972,PROPER(VLOOKUP($O972,'Villes en erreur'!$A$2:$B$72,2,FALSE)))</f>
        <v>Saint-Jérôme</v>
      </c>
      <c r="R972" s="9" t="s">
        <v>3186</v>
      </c>
      <c r="S972" s="9" t="str">
        <f>IF(ISBLANK($R972),"",VLOOKUP($R972,'Liste des Villes'!$B$2:$H$1128,4,FALSE))</f>
        <v>Laurentides</v>
      </c>
      <c r="T972" s="2" t="s">
        <v>3205</v>
      </c>
      <c r="U972" s="2" t="s">
        <v>39</v>
      </c>
      <c r="V972" s="2" t="s">
        <v>40</v>
      </c>
      <c r="W972" s="2" t="s">
        <v>5316</v>
      </c>
      <c r="X972" s="2"/>
      <c r="Y972" s="2"/>
      <c r="Z972" s="2"/>
      <c r="AA972" s="2" t="s">
        <v>3207</v>
      </c>
      <c r="AB972" s="2" t="s">
        <v>53</v>
      </c>
      <c r="AC972" s="4" t="s">
        <v>44</v>
      </c>
    </row>
    <row r="973" spans="1:29" x14ac:dyDescent="0.25">
      <c r="A973" s="1">
        <v>3412</v>
      </c>
      <c r="B973" s="17" t="s">
        <v>5317</v>
      </c>
      <c r="C973" s="2" t="s">
        <v>5318</v>
      </c>
      <c r="D973" s="15" t="s">
        <v>5170</v>
      </c>
      <c r="E973" s="9" t="s">
        <v>664</v>
      </c>
      <c r="F973" s="9" t="s">
        <v>2216</v>
      </c>
      <c r="G973" s="9" t="s">
        <v>186</v>
      </c>
      <c r="H973" s="2" t="s">
        <v>60</v>
      </c>
      <c r="I973" s="3">
        <v>34811</v>
      </c>
      <c r="J973" s="9" t="str">
        <f t="shared" ca="1" si="17"/>
        <v>28 ans</v>
      </c>
      <c r="K973" s="2" t="s">
        <v>36</v>
      </c>
      <c r="L973" s="2" t="str">
        <f>"79"</f>
        <v>79</v>
      </c>
      <c r="M973" s="2"/>
      <c r="N973" s="2" t="str">
        <f>"CH DES CYPRÈS"</f>
        <v>CH DES CYPRÈS</v>
      </c>
      <c r="O973" s="2" t="s">
        <v>3185</v>
      </c>
      <c r="P973" s="9" t="str">
        <f>VLOOKUP($O973,'Liste des Villes'!$B$2:$B$1128,1,FALSE)</f>
        <v>Saint-Jérôme</v>
      </c>
      <c r="Q973" s="9" t="str">
        <f>IFERROR($P973,PROPER(VLOOKUP($O973,'Villes en erreur'!$A$2:$B$72,2,FALSE)))</f>
        <v>Saint-Jérôme</v>
      </c>
      <c r="R973" s="9" t="s">
        <v>3186</v>
      </c>
      <c r="S973" s="9" t="str">
        <f>IF(ISBLANK($R973),"",VLOOKUP($R973,'Liste des Villes'!$B$2:$H$1128,4,FALSE))</f>
        <v>Laurentides</v>
      </c>
      <c r="T973" s="2" t="s">
        <v>3187</v>
      </c>
      <c r="U973" s="2" t="s">
        <v>39</v>
      </c>
      <c r="V973" s="2" t="s">
        <v>40</v>
      </c>
      <c r="W973" s="2" t="s">
        <v>5319</v>
      </c>
      <c r="X973" s="2"/>
      <c r="Y973" s="2"/>
      <c r="Z973" s="2"/>
      <c r="AA973" s="2" t="s">
        <v>3225</v>
      </c>
      <c r="AB973" s="2" t="s">
        <v>53</v>
      </c>
      <c r="AC973" s="4" t="s">
        <v>44</v>
      </c>
    </row>
    <row r="974" spans="1:29" x14ac:dyDescent="0.25">
      <c r="A974" s="1">
        <v>3159</v>
      </c>
      <c r="B974" s="17" t="s">
        <v>5320</v>
      </c>
      <c r="C974" s="2" t="s">
        <v>5321</v>
      </c>
      <c r="D974" s="15" t="s">
        <v>4353</v>
      </c>
      <c r="E974" s="9" t="s">
        <v>179</v>
      </c>
      <c r="F974" s="9" t="s">
        <v>5322</v>
      </c>
      <c r="G974" s="9" t="s">
        <v>1560</v>
      </c>
      <c r="H974" s="2" t="s">
        <v>35</v>
      </c>
      <c r="I974" s="3">
        <v>35626</v>
      </c>
      <c r="J974" s="9" t="str">
        <f t="shared" ca="1" si="17"/>
        <v>26 ans</v>
      </c>
      <c r="K974" s="2" t="s">
        <v>36</v>
      </c>
      <c r="L974" s="2" t="str">
        <f>"130"</f>
        <v>130</v>
      </c>
      <c r="M974" s="2"/>
      <c r="N974" s="2" t="str">
        <f>"De la Seigneurie"</f>
        <v>De la Seigneurie</v>
      </c>
      <c r="O974" s="2" t="s">
        <v>3185</v>
      </c>
      <c r="P974" s="9" t="str">
        <f>VLOOKUP($O974,'Liste des Villes'!$B$2:$B$1128,1,FALSE)</f>
        <v>Saint-Jérôme</v>
      </c>
      <c r="Q974" s="9" t="str">
        <f>IFERROR($P974,PROPER(VLOOKUP($O974,'Villes en erreur'!$A$2:$B$72,2,FALSE)))</f>
        <v>Saint-Jérôme</v>
      </c>
      <c r="R974" s="9" t="s">
        <v>3186</v>
      </c>
      <c r="S974" s="9" t="str">
        <f>IF(ISBLANK($R974),"",VLOOKUP($R974,'Liste des Villes'!$B$2:$H$1128,4,FALSE))</f>
        <v>Laurentides</v>
      </c>
      <c r="T974" s="2" t="s">
        <v>3839</v>
      </c>
      <c r="U974" s="2" t="s">
        <v>39</v>
      </c>
      <c r="V974" s="2" t="s">
        <v>40</v>
      </c>
      <c r="W974" s="2" t="s">
        <v>5323</v>
      </c>
      <c r="X974" s="2"/>
      <c r="Y974" s="2"/>
      <c r="Z974" s="2"/>
      <c r="AA974" s="2" t="s">
        <v>3243</v>
      </c>
      <c r="AB974" s="2" t="s">
        <v>3221</v>
      </c>
      <c r="AC974" s="4" t="s">
        <v>44</v>
      </c>
    </row>
    <row r="975" spans="1:29" x14ac:dyDescent="0.25">
      <c r="A975" s="1">
        <v>4041</v>
      </c>
      <c r="B975" s="17" t="s">
        <v>5324</v>
      </c>
      <c r="C975" s="2" t="s">
        <v>5325</v>
      </c>
      <c r="D975" s="15" t="s">
        <v>4978</v>
      </c>
      <c r="E975" s="9" t="s">
        <v>3451</v>
      </c>
      <c r="F975" s="9" t="s">
        <v>961</v>
      </c>
      <c r="G975" s="9" t="s">
        <v>241</v>
      </c>
      <c r="H975" s="2" t="s">
        <v>35</v>
      </c>
      <c r="I975" s="3">
        <v>35680</v>
      </c>
      <c r="J975" s="9" t="str">
        <f t="shared" ca="1" si="17"/>
        <v>25 ans</v>
      </c>
      <c r="K975" s="2" t="s">
        <v>123</v>
      </c>
      <c r="L975" s="2" t="str">
        <f>"134"</f>
        <v>134</v>
      </c>
      <c r="M975" s="2"/>
      <c r="N975" s="2" t="str">
        <f>"DES FONDEURS"</f>
        <v>DES FONDEURS</v>
      </c>
      <c r="O975" s="2" t="s">
        <v>3185</v>
      </c>
      <c r="P975" s="9" t="str">
        <f>VLOOKUP($O975,'Liste des Villes'!$B$2:$B$1128,1,FALSE)</f>
        <v>Saint-Jérôme</v>
      </c>
      <c r="Q975" s="9" t="str">
        <f>IFERROR($P975,PROPER(VLOOKUP($O975,'Villes en erreur'!$A$2:$B$72,2,FALSE)))</f>
        <v>Saint-Jérôme</v>
      </c>
      <c r="R975" s="9" t="s">
        <v>3186</v>
      </c>
      <c r="S975" s="9" t="str">
        <f>IF(ISBLANK($R975),"",VLOOKUP($R975,'Liste des Villes'!$B$2:$H$1128,4,FALSE))</f>
        <v>Laurentides</v>
      </c>
      <c r="T975" s="2" t="s">
        <v>5326</v>
      </c>
      <c r="U975" s="2" t="s">
        <v>39</v>
      </c>
      <c r="V975" s="2" t="s">
        <v>40</v>
      </c>
      <c r="W975" s="2" t="s">
        <v>5327</v>
      </c>
      <c r="X975" s="2"/>
      <c r="Y975" s="2"/>
      <c r="Z975" s="2"/>
      <c r="AA975" s="2" t="s">
        <v>3243</v>
      </c>
      <c r="AB975" s="2" t="s">
        <v>3221</v>
      </c>
      <c r="AC975" s="4" t="s">
        <v>44</v>
      </c>
    </row>
    <row r="976" spans="1:29" x14ac:dyDescent="0.25">
      <c r="A976" s="1">
        <v>4068</v>
      </c>
      <c r="B976" s="17" t="s">
        <v>5328</v>
      </c>
      <c r="C976" s="2" t="s">
        <v>5329</v>
      </c>
      <c r="D976" s="15" t="s">
        <v>180</v>
      </c>
      <c r="E976" s="9" t="s">
        <v>3626</v>
      </c>
      <c r="F976" s="9" t="s">
        <v>178</v>
      </c>
      <c r="G976" s="9" t="s">
        <v>179</v>
      </c>
      <c r="H976" s="2" t="s">
        <v>60</v>
      </c>
      <c r="I976" s="3">
        <v>36122</v>
      </c>
      <c r="J976" s="9" t="str">
        <f t="shared" ca="1" si="17"/>
        <v>24 ans</v>
      </c>
      <c r="K976" s="2" t="s">
        <v>123</v>
      </c>
      <c r="L976" s="2" t="str">
        <f>"215"</f>
        <v>215</v>
      </c>
      <c r="M976" s="2"/>
      <c r="N976" s="2" t="str">
        <f>"RTE SIR-WILFRID-LAURIER"</f>
        <v>RTE SIR-WILFRID-LAURIER</v>
      </c>
      <c r="O976" s="2" t="s">
        <v>3185</v>
      </c>
      <c r="P976" s="9" t="str">
        <f>VLOOKUP($O976,'Liste des Villes'!$B$2:$B$1128,1,FALSE)</f>
        <v>Saint-Jérôme</v>
      </c>
      <c r="Q976" s="9" t="str">
        <f>IFERROR($P976,PROPER(VLOOKUP($O976,'Villes en erreur'!$A$2:$B$72,2,FALSE)))</f>
        <v>Saint-Jérôme</v>
      </c>
      <c r="R976" s="9" t="s">
        <v>3186</v>
      </c>
      <c r="S976" s="9" t="str">
        <f>IF(ISBLANK($R976),"",VLOOKUP($R976,'Liste des Villes'!$B$2:$H$1128,4,FALSE))</f>
        <v>Laurentides</v>
      </c>
      <c r="T976" s="2" t="s">
        <v>5330</v>
      </c>
      <c r="U976" s="2" t="s">
        <v>39</v>
      </c>
      <c r="V976" s="2" t="s">
        <v>40</v>
      </c>
      <c r="W976" s="2" t="s">
        <v>5331</v>
      </c>
      <c r="X976" s="2"/>
      <c r="Y976" s="2"/>
      <c r="Z976" s="2"/>
      <c r="AA976" s="2" t="s">
        <v>832</v>
      </c>
      <c r="AB976" s="2" t="s">
        <v>3221</v>
      </c>
      <c r="AC976" s="4" t="s">
        <v>44</v>
      </c>
    </row>
    <row r="977" spans="1:29" x14ac:dyDescent="0.25">
      <c r="A977" s="1">
        <v>1097</v>
      </c>
      <c r="B977" s="17" t="s">
        <v>5332</v>
      </c>
      <c r="C977" s="2" t="s">
        <v>5333</v>
      </c>
      <c r="D977" s="15" t="s">
        <v>1477</v>
      </c>
      <c r="E977" s="9" t="s">
        <v>5334</v>
      </c>
      <c r="F977" s="9" t="s">
        <v>1479</v>
      </c>
      <c r="G977" s="9" t="s">
        <v>5335</v>
      </c>
      <c r="H977" s="2" t="s">
        <v>35</v>
      </c>
      <c r="I977" s="3">
        <v>34934</v>
      </c>
      <c r="J977" s="9" t="str">
        <f t="shared" ca="1" si="17"/>
        <v>28 ans</v>
      </c>
      <c r="K977" s="2" t="s">
        <v>36</v>
      </c>
      <c r="L977" s="2" t="str">
        <f>"85"</f>
        <v>85</v>
      </c>
      <c r="M977" s="2"/>
      <c r="N977" s="2" t="str">
        <f>"CH DU 8E-RANG S"</f>
        <v>CH DU 8E-RANG S</v>
      </c>
      <c r="O977" s="2" t="s">
        <v>3185</v>
      </c>
      <c r="P977" s="9" t="str">
        <f>VLOOKUP($O977,'Liste des Villes'!$B$2:$B$1128,1,FALSE)</f>
        <v>Saint-Jérôme</v>
      </c>
      <c r="Q977" s="9" t="str">
        <f>IFERROR($P977,PROPER(VLOOKUP($O977,'Villes en erreur'!$A$2:$B$72,2,FALSE)))</f>
        <v>Saint-Jérôme</v>
      </c>
      <c r="R977" s="9" t="s">
        <v>3186</v>
      </c>
      <c r="S977" s="9" t="str">
        <f>IF(ISBLANK($R977),"",VLOOKUP($R977,'Liste des Villes'!$B$2:$H$1128,4,FALSE))</f>
        <v>Laurentides</v>
      </c>
      <c r="T977" s="2" t="s">
        <v>3187</v>
      </c>
      <c r="U977" s="2" t="s">
        <v>39</v>
      </c>
      <c r="V977" s="2" t="s">
        <v>40</v>
      </c>
      <c r="W977" s="2" t="s">
        <v>5336</v>
      </c>
      <c r="X977" s="2"/>
      <c r="Y977" s="2"/>
      <c r="Z977" s="2"/>
      <c r="AA977" s="2" t="s">
        <v>3231</v>
      </c>
      <c r="AB977" s="2" t="s">
        <v>53</v>
      </c>
      <c r="AC977" s="4" t="s">
        <v>44</v>
      </c>
    </row>
    <row r="978" spans="1:29" x14ac:dyDescent="0.25">
      <c r="A978" s="1">
        <v>2005</v>
      </c>
      <c r="B978" s="17" t="s">
        <v>5337</v>
      </c>
      <c r="C978" s="2" t="s">
        <v>4583</v>
      </c>
      <c r="D978" s="15" t="s">
        <v>462</v>
      </c>
      <c r="E978" s="9" t="s">
        <v>4584</v>
      </c>
      <c r="F978" s="9" t="s">
        <v>460</v>
      </c>
      <c r="G978" s="9" t="s">
        <v>2086</v>
      </c>
      <c r="H978" s="2" t="s">
        <v>60</v>
      </c>
      <c r="I978" s="3">
        <v>36015</v>
      </c>
      <c r="J978" s="9" t="str">
        <f t="shared" ca="1" si="17"/>
        <v>25 ans</v>
      </c>
      <c r="K978" s="2" t="s">
        <v>123</v>
      </c>
      <c r="L978" s="2" t="str">
        <f>"181"</f>
        <v>181</v>
      </c>
      <c r="M978" s="2"/>
      <c r="N978" s="2" t="str">
        <f>"PLACE DU GOLF DE MONT GABRIEL"</f>
        <v>PLACE DU GOLF DE MONT GABRIEL</v>
      </c>
      <c r="O978" s="2" t="s">
        <v>3185</v>
      </c>
      <c r="P978" s="9" t="str">
        <f>VLOOKUP($O978,'Liste des Villes'!$B$2:$B$1128,1,FALSE)</f>
        <v>Saint-Jérôme</v>
      </c>
      <c r="Q978" s="9" t="str">
        <f>IFERROR($P978,PROPER(VLOOKUP($O978,'Villes en erreur'!$A$2:$B$72,2,FALSE)))</f>
        <v>Saint-Jérôme</v>
      </c>
      <c r="R978" s="9" t="s">
        <v>3186</v>
      </c>
      <c r="S978" s="9" t="str">
        <f>IF(ISBLANK($R978),"",VLOOKUP($R978,'Liste des Villes'!$B$2:$H$1128,4,FALSE))</f>
        <v>Laurentides</v>
      </c>
      <c r="T978" s="2" t="s">
        <v>3279</v>
      </c>
      <c r="U978" s="2" t="s">
        <v>39</v>
      </c>
      <c r="V978" s="2" t="s">
        <v>40</v>
      </c>
      <c r="W978" s="2" t="s">
        <v>5338</v>
      </c>
      <c r="X978" s="2"/>
      <c r="Y978" s="2"/>
      <c r="Z978" s="2"/>
      <c r="AA978" s="2" t="s">
        <v>832</v>
      </c>
      <c r="AB978" s="2" t="s">
        <v>3221</v>
      </c>
      <c r="AC978" s="4" t="s">
        <v>44</v>
      </c>
    </row>
    <row r="979" spans="1:29" x14ac:dyDescent="0.25">
      <c r="A979" s="1">
        <v>436</v>
      </c>
      <c r="B979" s="17" t="s">
        <v>5339</v>
      </c>
      <c r="C979" s="2" t="s">
        <v>5340</v>
      </c>
      <c r="D979" s="15" t="s">
        <v>5341</v>
      </c>
      <c r="E979" s="9" t="s">
        <v>5342</v>
      </c>
      <c r="F979" s="9" t="s">
        <v>100</v>
      </c>
      <c r="G979" s="9" t="s">
        <v>1024</v>
      </c>
      <c r="H979" s="2" t="s">
        <v>35</v>
      </c>
      <c r="I979" s="3">
        <v>36165</v>
      </c>
      <c r="J979" s="9" t="str">
        <f t="shared" ca="1" si="17"/>
        <v>24 ans</v>
      </c>
      <c r="K979" s="2" t="s">
        <v>123</v>
      </c>
      <c r="L979" s="2" t="str">
        <f>"227"</f>
        <v>227</v>
      </c>
      <c r="M979" s="2"/>
      <c r="N979" s="2" t="str">
        <f>"RUE AMBROISE-FILION"</f>
        <v>RUE AMBROISE-FILION</v>
      </c>
      <c r="O979" s="2" t="s">
        <v>3185</v>
      </c>
      <c r="P979" s="9" t="str">
        <f>VLOOKUP($O979,'Liste des Villes'!$B$2:$B$1128,1,FALSE)</f>
        <v>Saint-Jérôme</v>
      </c>
      <c r="Q979" s="9" t="str">
        <f>IFERROR($P979,PROPER(VLOOKUP($O979,'Villes en erreur'!$A$2:$B$72,2,FALSE)))</f>
        <v>Saint-Jérôme</v>
      </c>
      <c r="R979" s="9" t="s">
        <v>3186</v>
      </c>
      <c r="S979" s="9" t="str">
        <f>IF(ISBLANK($R979),"",VLOOKUP($R979,'Liste des Villes'!$B$2:$H$1128,4,FALSE))</f>
        <v>Laurentides</v>
      </c>
      <c r="T979" s="2" t="s">
        <v>5343</v>
      </c>
      <c r="U979" s="2" t="s">
        <v>39</v>
      </c>
      <c r="V979" s="2" t="s">
        <v>40</v>
      </c>
      <c r="W979" s="2" t="s">
        <v>5344</v>
      </c>
      <c r="X979" s="2"/>
      <c r="Y979" s="2"/>
      <c r="Z979" s="2"/>
      <c r="AA979" s="2" t="s">
        <v>832</v>
      </c>
      <c r="AB979" s="2" t="s">
        <v>3221</v>
      </c>
      <c r="AC979" s="4" t="s">
        <v>44</v>
      </c>
    </row>
    <row r="980" spans="1:29" x14ac:dyDescent="0.25">
      <c r="A980" s="1">
        <v>1680</v>
      </c>
      <c r="B980" s="17" t="s">
        <v>5345</v>
      </c>
      <c r="C980" s="2" t="s">
        <v>5346</v>
      </c>
      <c r="D980" s="15" t="s">
        <v>982</v>
      </c>
      <c r="E980" s="9" t="s">
        <v>370</v>
      </c>
      <c r="F980" s="9" t="s">
        <v>5347</v>
      </c>
      <c r="G980" s="9" t="s">
        <v>2086</v>
      </c>
      <c r="H980" s="2" t="s">
        <v>60</v>
      </c>
      <c r="I980" s="3">
        <v>36018</v>
      </c>
      <c r="J980" s="9" t="str">
        <f t="shared" ca="1" si="17"/>
        <v>25 ans</v>
      </c>
      <c r="K980" s="2" t="s">
        <v>123</v>
      </c>
      <c r="L980" s="2" t="str">
        <f>"181"</f>
        <v>181</v>
      </c>
      <c r="M980" s="2"/>
      <c r="N980" s="2" t="str">
        <f>"PLACE DU PRINCE"</f>
        <v>PLACE DU PRINCE</v>
      </c>
      <c r="O980" s="2" t="s">
        <v>3185</v>
      </c>
      <c r="P980" s="9" t="str">
        <f>VLOOKUP($O980,'Liste des Villes'!$B$2:$B$1128,1,FALSE)</f>
        <v>Saint-Jérôme</v>
      </c>
      <c r="Q980" s="9" t="str">
        <f>IFERROR($P980,PROPER(VLOOKUP($O980,'Villes en erreur'!$A$2:$B$72,2,FALSE)))</f>
        <v>Saint-Jérôme</v>
      </c>
      <c r="R980" s="9" t="s">
        <v>3186</v>
      </c>
      <c r="S980" s="9" t="str">
        <f>IF(ISBLANK($R980),"",VLOOKUP($R980,'Liste des Villes'!$B$2:$H$1128,4,FALSE))</f>
        <v>Laurentides</v>
      </c>
      <c r="T980" s="2" t="s">
        <v>3279</v>
      </c>
      <c r="U980" s="2" t="s">
        <v>39</v>
      </c>
      <c r="V980" s="2" t="s">
        <v>40</v>
      </c>
      <c r="W980" s="2" t="s">
        <v>5348</v>
      </c>
      <c r="X980" s="2"/>
      <c r="Y980" s="2"/>
      <c r="Z980" s="2"/>
      <c r="AA980" s="2" t="s">
        <v>832</v>
      </c>
      <c r="AB980" s="2" t="s">
        <v>3221</v>
      </c>
      <c r="AC980" s="4" t="s">
        <v>44</v>
      </c>
    </row>
    <row r="981" spans="1:29" x14ac:dyDescent="0.25">
      <c r="A981" s="1">
        <v>389</v>
      </c>
      <c r="B981" s="17" t="s">
        <v>5349</v>
      </c>
      <c r="C981" s="2" t="s">
        <v>5350</v>
      </c>
      <c r="D981" s="15" t="s">
        <v>5351</v>
      </c>
      <c r="E981" s="9" t="s">
        <v>2877</v>
      </c>
      <c r="F981" s="9" t="s">
        <v>5352</v>
      </c>
      <c r="G981" s="9" t="s">
        <v>3265</v>
      </c>
      <c r="H981" s="2" t="s">
        <v>60</v>
      </c>
      <c r="I981" s="3">
        <v>35929</v>
      </c>
      <c r="J981" s="9" t="str">
        <f t="shared" ca="1" si="17"/>
        <v>25 ans</v>
      </c>
      <c r="K981" s="2" t="s">
        <v>123</v>
      </c>
      <c r="L981" s="2" t="str">
        <f>"163"</f>
        <v>163</v>
      </c>
      <c r="M981" s="2"/>
      <c r="N981" s="2" t="str">
        <f>"MONTÉE GIROUARD"</f>
        <v>MONTÉE GIROUARD</v>
      </c>
      <c r="O981" s="2" t="s">
        <v>3185</v>
      </c>
      <c r="P981" s="9" t="str">
        <f>VLOOKUP($O981,'Liste des Villes'!$B$2:$B$1128,1,FALSE)</f>
        <v>Saint-Jérôme</v>
      </c>
      <c r="Q981" s="9" t="str">
        <f>IFERROR($P981,PROPER(VLOOKUP($O981,'Villes en erreur'!$A$2:$B$72,2,FALSE)))</f>
        <v>Saint-Jérôme</v>
      </c>
      <c r="R981" s="9" t="s">
        <v>3186</v>
      </c>
      <c r="S981" s="9" t="str">
        <f>IF(ISBLANK($R981),"",VLOOKUP($R981,'Liste des Villes'!$B$2:$H$1128,4,FALSE))</f>
        <v>Laurentides</v>
      </c>
      <c r="T981" s="2" t="s">
        <v>4707</v>
      </c>
      <c r="U981" s="2" t="s">
        <v>39</v>
      </c>
      <c r="V981" s="2" t="s">
        <v>40</v>
      </c>
      <c r="W981" s="2" t="s">
        <v>5353</v>
      </c>
      <c r="X981" s="2"/>
      <c r="Y981" s="2"/>
      <c r="Z981" s="2"/>
      <c r="AA981" s="2" t="s">
        <v>832</v>
      </c>
      <c r="AB981" s="2" t="s">
        <v>3221</v>
      </c>
      <c r="AC981" s="4" t="s">
        <v>44</v>
      </c>
    </row>
    <row r="982" spans="1:29" x14ac:dyDescent="0.25">
      <c r="A982" s="1">
        <v>4239</v>
      </c>
      <c r="B982" s="17" t="s">
        <v>5354</v>
      </c>
      <c r="C982" s="2" t="s">
        <v>5355</v>
      </c>
      <c r="D982" s="15" t="s">
        <v>3450</v>
      </c>
      <c r="E982" s="9" t="s">
        <v>5356</v>
      </c>
      <c r="F982" s="9" t="s">
        <v>961</v>
      </c>
      <c r="G982" s="9" t="s">
        <v>5357</v>
      </c>
      <c r="H982" s="2" t="s">
        <v>60</v>
      </c>
      <c r="I982" s="3">
        <v>35740</v>
      </c>
      <c r="J982" s="9" t="str">
        <f t="shared" ca="1" si="17"/>
        <v>25 ans</v>
      </c>
      <c r="K982" s="2" t="s">
        <v>123</v>
      </c>
      <c r="L982" s="2" t="str">
        <f>"138"</f>
        <v>138</v>
      </c>
      <c r="M982" s="2"/>
      <c r="N982" s="2" t="str">
        <f>"DU CURÉ-LABELLE BLVD"</f>
        <v>DU CURÉ-LABELLE BLVD</v>
      </c>
      <c r="O982" s="2" t="s">
        <v>3185</v>
      </c>
      <c r="P982" s="9" t="str">
        <f>VLOOKUP($O982,'Liste des Villes'!$B$2:$B$1128,1,FALSE)</f>
        <v>Saint-Jérôme</v>
      </c>
      <c r="Q982" s="9" t="str">
        <f>IFERROR($P982,PROPER(VLOOKUP($O982,'Villes en erreur'!$A$2:$B$72,2,FALSE)))</f>
        <v>Saint-Jérôme</v>
      </c>
      <c r="R982" s="9" t="s">
        <v>3186</v>
      </c>
      <c r="S982" s="9" t="str">
        <f>IF(ISBLANK($R982),"",VLOOKUP($R982,'Liste des Villes'!$B$2:$H$1128,4,FALSE))</f>
        <v>Laurentides</v>
      </c>
      <c r="T982" s="2" t="s">
        <v>5358</v>
      </c>
      <c r="U982" s="2" t="s">
        <v>39</v>
      </c>
      <c r="V982" s="2" t="s">
        <v>40</v>
      </c>
      <c r="W982" s="2" t="s">
        <v>5359</v>
      </c>
      <c r="X982" s="2"/>
      <c r="Y982" s="2"/>
      <c r="Z982" s="2"/>
      <c r="AA982" s="2" t="s">
        <v>3243</v>
      </c>
      <c r="AB982" s="2" t="s">
        <v>3221</v>
      </c>
      <c r="AC982" s="4" t="s">
        <v>44</v>
      </c>
    </row>
    <row r="983" spans="1:29" x14ac:dyDescent="0.25">
      <c r="A983" s="1">
        <v>2505</v>
      </c>
      <c r="B983" s="17" t="s">
        <v>5360</v>
      </c>
      <c r="C983" s="2" t="s">
        <v>5361</v>
      </c>
      <c r="D983" s="15" t="s">
        <v>5362</v>
      </c>
      <c r="E983" s="9" t="s">
        <v>1702</v>
      </c>
      <c r="F983" s="9" t="s">
        <v>5363</v>
      </c>
      <c r="G983" s="9" t="s">
        <v>1246</v>
      </c>
      <c r="H983" s="2" t="s">
        <v>35</v>
      </c>
      <c r="I983" s="3">
        <v>34088</v>
      </c>
      <c r="J983" s="9" t="str">
        <f t="shared" ca="1" si="17"/>
        <v>30 ans</v>
      </c>
      <c r="K983" s="2" t="s">
        <v>36</v>
      </c>
      <c r="L983" s="2" t="str">
        <f>"46"</f>
        <v>46</v>
      </c>
      <c r="M983" s="2"/>
      <c r="N983" s="2" t="str">
        <f>"BOULEVARD ANTOINE-SÉGUIN"</f>
        <v>BOULEVARD ANTOINE-SÉGUIN</v>
      </c>
      <c r="O983" s="2" t="s">
        <v>3185</v>
      </c>
      <c r="P983" s="9" t="str">
        <f>VLOOKUP($O983,'Liste des Villes'!$B$2:$B$1128,1,FALSE)</f>
        <v>Saint-Jérôme</v>
      </c>
      <c r="Q983" s="9" t="str">
        <f>IFERROR($P983,PROPER(VLOOKUP($O983,'Villes en erreur'!$A$2:$B$72,2,FALSE)))</f>
        <v>Saint-Jérôme</v>
      </c>
      <c r="R983" s="9" t="s">
        <v>3186</v>
      </c>
      <c r="S983" s="9" t="str">
        <f>IF(ISBLANK($R983),"",VLOOKUP($R983,'Liste des Villes'!$B$2:$H$1128,4,FALSE))</f>
        <v>Laurentides</v>
      </c>
      <c r="T983" s="2" t="s">
        <v>3358</v>
      </c>
      <c r="U983" s="2" t="s">
        <v>39</v>
      </c>
      <c r="V983" s="2" t="s">
        <v>40</v>
      </c>
      <c r="W983" s="2" t="s">
        <v>5364</v>
      </c>
      <c r="X983" s="2"/>
      <c r="Y983" s="2"/>
      <c r="Z983" s="2"/>
      <c r="AA983" s="2" t="s">
        <v>3360</v>
      </c>
      <c r="AB983" s="2" t="s">
        <v>53</v>
      </c>
      <c r="AC983" s="4" t="s">
        <v>44</v>
      </c>
    </row>
    <row r="984" spans="1:29" x14ac:dyDescent="0.25">
      <c r="A984" s="1">
        <v>2686</v>
      </c>
      <c r="B984" s="17" t="s">
        <v>5365</v>
      </c>
      <c r="C984" s="2" t="s">
        <v>1292</v>
      </c>
      <c r="D984" s="15" t="s">
        <v>1293</v>
      </c>
      <c r="E984" s="9" t="s">
        <v>450</v>
      </c>
      <c r="F984" s="9" t="s">
        <v>5366</v>
      </c>
      <c r="G984" s="9" t="s">
        <v>425</v>
      </c>
      <c r="H984" s="2" t="s">
        <v>60</v>
      </c>
      <c r="I984" s="3">
        <v>35361</v>
      </c>
      <c r="J984" s="9" t="str">
        <f t="shared" ca="1" si="17"/>
        <v>26 ans</v>
      </c>
      <c r="K984" s="2" t="s">
        <v>36</v>
      </c>
      <c r="L984" s="2" t="str">
        <f>"111"</f>
        <v>111</v>
      </c>
      <c r="M984" s="2"/>
      <c r="N984" s="2" t="str">
        <f>"CHEMIN DES PINS"</f>
        <v>CHEMIN DES PINS</v>
      </c>
      <c r="O984" s="2" t="s">
        <v>3185</v>
      </c>
      <c r="P984" s="9" t="str">
        <f>VLOOKUP($O984,'Liste des Villes'!$B$2:$B$1128,1,FALSE)</f>
        <v>Saint-Jérôme</v>
      </c>
      <c r="Q984" s="9" t="str">
        <f>IFERROR($P984,PROPER(VLOOKUP($O984,'Villes en erreur'!$A$2:$B$72,2,FALSE)))</f>
        <v>Saint-Jérôme</v>
      </c>
      <c r="R984" s="9" t="s">
        <v>3186</v>
      </c>
      <c r="S984" s="9" t="str">
        <f>IF(ISBLANK($R984),"",VLOOKUP($R984,'Liste des Villes'!$B$2:$H$1128,4,FALSE))</f>
        <v>Laurentides</v>
      </c>
      <c r="T984" s="2" t="s">
        <v>3524</v>
      </c>
      <c r="U984" s="2" t="s">
        <v>39</v>
      </c>
      <c r="V984" s="2" t="s">
        <v>40</v>
      </c>
      <c r="W984" s="2" t="s">
        <v>5367</v>
      </c>
      <c r="X984" s="2"/>
      <c r="Y984" s="2"/>
      <c r="Z984" s="2"/>
      <c r="AA984" s="2" t="s">
        <v>3189</v>
      </c>
      <c r="AB984" s="2" t="s">
        <v>3200</v>
      </c>
      <c r="AC984" s="4" t="s">
        <v>44</v>
      </c>
    </row>
    <row r="985" spans="1:29" x14ac:dyDescent="0.25">
      <c r="A985" s="1">
        <v>3613</v>
      </c>
      <c r="B985" s="17" t="s">
        <v>5368</v>
      </c>
      <c r="C985" s="2" t="s">
        <v>5369</v>
      </c>
      <c r="D985" s="15" t="s">
        <v>5370</v>
      </c>
      <c r="E985" s="9" t="s">
        <v>2779</v>
      </c>
      <c r="F985" s="9" t="s">
        <v>2093</v>
      </c>
      <c r="G985" s="9" t="s">
        <v>5371</v>
      </c>
      <c r="H985" s="2" t="s">
        <v>60</v>
      </c>
      <c r="I985" s="3">
        <v>33948</v>
      </c>
      <c r="J985" s="9" t="str">
        <f t="shared" ca="1" si="17"/>
        <v>30 ans</v>
      </c>
      <c r="K985" s="2" t="s">
        <v>36</v>
      </c>
      <c r="L985" s="2" t="str">
        <f>"42"</f>
        <v>42</v>
      </c>
      <c r="M985" s="2"/>
      <c r="N985" s="2" t="str">
        <f>"BÉLANGER"</f>
        <v>BÉLANGER</v>
      </c>
      <c r="O985" s="2" t="s">
        <v>3185</v>
      </c>
      <c r="P985" s="9" t="str">
        <f>VLOOKUP($O985,'Liste des Villes'!$B$2:$B$1128,1,FALSE)</f>
        <v>Saint-Jérôme</v>
      </c>
      <c r="Q985" s="9" t="str">
        <f>IFERROR($P985,PROPER(VLOOKUP($O985,'Villes en erreur'!$A$2:$B$72,2,FALSE)))</f>
        <v>Saint-Jérôme</v>
      </c>
      <c r="R985" s="9" t="s">
        <v>3186</v>
      </c>
      <c r="S985" s="9" t="str">
        <f>IF(ISBLANK($R985),"",VLOOKUP($R985,'Liste des Villes'!$B$2:$H$1128,4,FALSE))</f>
        <v>Laurentides</v>
      </c>
      <c r="T985" s="2" t="s">
        <v>3093</v>
      </c>
      <c r="U985" s="2" t="s">
        <v>39</v>
      </c>
      <c r="V985" s="2" t="s">
        <v>40</v>
      </c>
      <c r="W985" s="2" t="s">
        <v>5372</v>
      </c>
      <c r="X985" s="2"/>
      <c r="Y985" s="2"/>
      <c r="Z985" s="2"/>
      <c r="AA985" s="2" t="s">
        <v>3207</v>
      </c>
      <c r="AB985" s="2" t="s">
        <v>53</v>
      </c>
      <c r="AC985" s="4" t="s">
        <v>44</v>
      </c>
    </row>
    <row r="986" spans="1:29" x14ac:dyDescent="0.25">
      <c r="A986" s="1">
        <v>2990</v>
      </c>
      <c r="B986" s="17" t="s">
        <v>5373</v>
      </c>
      <c r="C986" s="2" t="s">
        <v>5374</v>
      </c>
      <c r="D986" s="15" t="s">
        <v>260</v>
      </c>
      <c r="E986" s="9" t="s">
        <v>253</v>
      </c>
      <c r="F986" s="9" t="s">
        <v>5375</v>
      </c>
      <c r="G986" s="9" t="s">
        <v>92</v>
      </c>
      <c r="H986" s="2" t="s">
        <v>35</v>
      </c>
      <c r="I986" s="3">
        <v>35429</v>
      </c>
      <c r="J986" s="9" t="str">
        <f t="shared" ca="1" si="17"/>
        <v>26 ans</v>
      </c>
      <c r="K986" s="2" t="s">
        <v>36</v>
      </c>
      <c r="L986" s="2" t="str">
        <f>"114"</f>
        <v>114</v>
      </c>
      <c r="M986" s="2"/>
      <c r="N986" s="2" t="str">
        <f>"CHEMIN DU MONT MARIBOU"</f>
        <v>CHEMIN DU MONT MARIBOU</v>
      </c>
      <c r="O986" s="2" t="s">
        <v>3185</v>
      </c>
      <c r="P986" s="9" t="str">
        <f>VLOOKUP($O986,'Liste des Villes'!$B$2:$B$1128,1,FALSE)</f>
        <v>Saint-Jérôme</v>
      </c>
      <c r="Q986" s="9" t="str">
        <f>IFERROR($P986,PROPER(VLOOKUP($O986,'Villes en erreur'!$A$2:$B$72,2,FALSE)))</f>
        <v>Saint-Jérôme</v>
      </c>
      <c r="R986" s="9" t="s">
        <v>3186</v>
      </c>
      <c r="S986" s="9" t="str">
        <f>IF(ISBLANK($R986),"",VLOOKUP($R986,'Liste des Villes'!$B$2:$H$1128,4,FALSE))</f>
        <v>Laurentides</v>
      </c>
      <c r="T986" s="2" t="s">
        <v>4032</v>
      </c>
      <c r="U986" s="2" t="s">
        <v>39</v>
      </c>
      <c r="V986" s="2" t="s">
        <v>40</v>
      </c>
      <c r="W986" s="2" t="s">
        <v>5376</v>
      </c>
      <c r="X986" s="2"/>
      <c r="Y986" s="2"/>
      <c r="Z986" s="2"/>
      <c r="AA986" s="2" t="s">
        <v>3199</v>
      </c>
      <c r="AB986" s="2" t="s">
        <v>3200</v>
      </c>
      <c r="AC986" s="4" t="s">
        <v>44</v>
      </c>
    </row>
    <row r="987" spans="1:29" x14ac:dyDescent="0.25">
      <c r="A987" s="1">
        <v>3987</v>
      </c>
      <c r="B987" s="17" t="s">
        <v>5377</v>
      </c>
      <c r="C987" s="2" t="s">
        <v>5378</v>
      </c>
      <c r="D987" s="15" t="s">
        <v>3229</v>
      </c>
      <c r="E987" s="9" t="s">
        <v>929</v>
      </c>
      <c r="F987" s="9" t="s">
        <v>3228</v>
      </c>
      <c r="G987" s="9" t="s">
        <v>5379</v>
      </c>
      <c r="H987" s="2" t="s">
        <v>60</v>
      </c>
      <c r="I987" s="3">
        <v>35863</v>
      </c>
      <c r="J987" s="9" t="str">
        <f t="shared" ca="1" si="17"/>
        <v>25 ans</v>
      </c>
      <c r="K987" s="2" t="s">
        <v>123</v>
      </c>
      <c r="L987" s="2" t="str">
        <f>"150"</f>
        <v>150</v>
      </c>
      <c r="M987" s="2"/>
      <c r="N987" s="2" t="str">
        <f>"MAGLOIRE-LAVALLÉE"</f>
        <v>MAGLOIRE-LAVALLÉE</v>
      </c>
      <c r="O987" s="2" t="s">
        <v>3185</v>
      </c>
      <c r="P987" s="9" t="str">
        <f>VLOOKUP($O987,'Liste des Villes'!$B$2:$B$1128,1,FALSE)</f>
        <v>Saint-Jérôme</v>
      </c>
      <c r="Q987" s="9" t="str">
        <f>IFERROR($P987,PROPER(VLOOKUP($O987,'Villes en erreur'!$A$2:$B$72,2,FALSE)))</f>
        <v>Saint-Jérôme</v>
      </c>
      <c r="R987" s="9" t="s">
        <v>3186</v>
      </c>
      <c r="S987" s="9" t="str">
        <f>IF(ISBLANK($R987),"",VLOOKUP($R987,'Liste des Villes'!$B$2:$H$1128,4,FALSE))</f>
        <v>Laurentides</v>
      </c>
      <c r="T987" s="2" t="s">
        <v>5380</v>
      </c>
      <c r="U987" s="2" t="s">
        <v>39</v>
      </c>
      <c r="V987" s="2" t="s">
        <v>40</v>
      </c>
      <c r="W987" s="2" t="s">
        <v>5381</v>
      </c>
      <c r="X987" s="2"/>
      <c r="Y987" s="2"/>
      <c r="Z987" s="2"/>
      <c r="AA987" s="2" t="s">
        <v>3243</v>
      </c>
      <c r="AB987" s="2" t="s">
        <v>3221</v>
      </c>
      <c r="AC987" s="4" t="s">
        <v>44</v>
      </c>
    </row>
    <row r="988" spans="1:29" x14ac:dyDescent="0.25">
      <c r="A988" s="1">
        <v>2904</v>
      </c>
      <c r="B988" s="17" t="s">
        <v>5382</v>
      </c>
      <c r="C988" s="2" t="s">
        <v>5383</v>
      </c>
      <c r="D988" s="15" t="s">
        <v>5384</v>
      </c>
      <c r="E988" s="9" t="s">
        <v>1560</v>
      </c>
      <c r="F988" s="9" t="s">
        <v>867</v>
      </c>
      <c r="G988" s="9" t="s">
        <v>5385</v>
      </c>
      <c r="H988" s="2" t="s">
        <v>60</v>
      </c>
      <c r="I988" s="3">
        <v>34052</v>
      </c>
      <c r="J988" s="9" t="str">
        <f t="shared" ca="1" si="17"/>
        <v>30 ans</v>
      </c>
      <c r="K988" s="2" t="s">
        <v>36</v>
      </c>
      <c r="L988" s="2" t="str">
        <f>"44"</f>
        <v>44</v>
      </c>
      <c r="M988" s="2"/>
      <c r="N988" s="2" t="str">
        <f>"BOUL. ALBINY-PAQUETTE"</f>
        <v>BOUL. ALBINY-PAQUETTE</v>
      </c>
      <c r="O988" s="2" t="s">
        <v>3185</v>
      </c>
      <c r="P988" s="9" t="str">
        <f>VLOOKUP($O988,'Liste des Villes'!$B$2:$B$1128,1,FALSE)</f>
        <v>Saint-Jérôme</v>
      </c>
      <c r="Q988" s="9" t="str">
        <f>IFERROR($P988,PROPER(VLOOKUP($O988,'Villes en erreur'!$A$2:$B$72,2,FALSE)))</f>
        <v>Saint-Jérôme</v>
      </c>
      <c r="R988" s="9" t="s">
        <v>3186</v>
      </c>
      <c r="S988" s="9" t="str">
        <f>IF(ISBLANK($R988),"",VLOOKUP($R988,'Liste des Villes'!$B$2:$H$1128,4,FALSE))</f>
        <v>Laurentides</v>
      </c>
      <c r="T988" s="2" t="s">
        <v>3205</v>
      </c>
      <c r="U988" s="2" t="s">
        <v>39</v>
      </c>
      <c r="V988" s="2" t="s">
        <v>40</v>
      </c>
      <c r="W988" s="2" t="s">
        <v>5386</v>
      </c>
      <c r="X988" s="2"/>
      <c r="Y988" s="2"/>
      <c r="Z988" s="2"/>
      <c r="AA988" s="2" t="s">
        <v>3207</v>
      </c>
      <c r="AB988" s="2" t="s">
        <v>53</v>
      </c>
      <c r="AC988" s="4" t="s">
        <v>44</v>
      </c>
    </row>
    <row r="989" spans="1:29" x14ac:dyDescent="0.25">
      <c r="A989" s="1">
        <v>794</v>
      </c>
      <c r="B989" s="17" t="s">
        <v>5387</v>
      </c>
      <c r="C989" s="2" t="s">
        <v>5388</v>
      </c>
      <c r="D989" s="15" t="s">
        <v>5389</v>
      </c>
      <c r="E989" s="9" t="s">
        <v>271</v>
      </c>
      <c r="F989" s="9" t="s">
        <v>4256</v>
      </c>
      <c r="G989" s="9" t="s">
        <v>5390</v>
      </c>
      <c r="H989" s="2" t="s">
        <v>60</v>
      </c>
      <c r="I989" s="3">
        <v>35107</v>
      </c>
      <c r="J989" s="9" t="str">
        <f t="shared" ca="1" si="17"/>
        <v>27 ans</v>
      </c>
      <c r="K989" s="2" t="s">
        <v>36</v>
      </c>
      <c r="L989" s="2" t="str">
        <f>"101"</f>
        <v>101</v>
      </c>
      <c r="M989" s="2"/>
      <c r="N989" s="2" t="str">
        <f>"CH LAURIN"</f>
        <v>CH LAURIN</v>
      </c>
      <c r="O989" s="2" t="s">
        <v>3185</v>
      </c>
      <c r="P989" s="9" t="str">
        <f>VLOOKUP($O989,'Liste des Villes'!$B$2:$B$1128,1,FALSE)</f>
        <v>Saint-Jérôme</v>
      </c>
      <c r="Q989" s="9" t="str">
        <f>IFERROR($P989,PROPER(VLOOKUP($O989,'Villes en erreur'!$A$2:$B$72,2,FALSE)))</f>
        <v>Saint-Jérôme</v>
      </c>
      <c r="R989" s="9" t="s">
        <v>3186</v>
      </c>
      <c r="S989" s="9" t="str">
        <f>IF(ISBLANK($R989),"",VLOOKUP($R989,'Liste des Villes'!$B$2:$H$1128,4,FALSE))</f>
        <v>Laurentides</v>
      </c>
      <c r="T989" s="2" t="s">
        <v>3187</v>
      </c>
      <c r="U989" s="2" t="s">
        <v>39</v>
      </c>
      <c r="V989" s="2" t="s">
        <v>40</v>
      </c>
      <c r="W989" s="2" t="s">
        <v>5391</v>
      </c>
      <c r="X989" s="2"/>
      <c r="Y989" s="2"/>
      <c r="Z989" s="2"/>
      <c r="AA989" s="2" t="s">
        <v>3189</v>
      </c>
      <c r="AB989" s="2" t="s">
        <v>3190</v>
      </c>
      <c r="AC989" s="4" t="s">
        <v>44</v>
      </c>
    </row>
    <row r="990" spans="1:29" x14ac:dyDescent="0.25">
      <c r="A990" s="1">
        <v>1682</v>
      </c>
      <c r="B990" s="17" t="s">
        <v>5392</v>
      </c>
      <c r="C990" s="2" t="s">
        <v>5393</v>
      </c>
      <c r="D990" s="15" t="s">
        <v>2698</v>
      </c>
      <c r="E990" s="9" t="s">
        <v>4988</v>
      </c>
      <c r="F990" s="9" t="s">
        <v>5394</v>
      </c>
      <c r="G990" s="9" t="s">
        <v>495</v>
      </c>
      <c r="H990" s="2" t="s">
        <v>35</v>
      </c>
      <c r="I990" s="3">
        <v>34654</v>
      </c>
      <c r="J990" s="9" t="str">
        <f t="shared" ca="1" si="17"/>
        <v>28 ans</v>
      </c>
      <c r="K990" s="2" t="s">
        <v>36</v>
      </c>
      <c r="L990" s="2" t="str">
        <f>"69"</f>
        <v>69</v>
      </c>
      <c r="M990" s="2"/>
      <c r="N990" s="2" t="str">
        <f>"CH DE LA PRUCHERAIE"</f>
        <v>CH DE LA PRUCHERAIE</v>
      </c>
      <c r="O990" s="2" t="s">
        <v>3185</v>
      </c>
      <c r="P990" s="9" t="str">
        <f>VLOOKUP($O990,'Liste des Villes'!$B$2:$B$1128,1,FALSE)</f>
        <v>Saint-Jérôme</v>
      </c>
      <c r="Q990" s="9" t="str">
        <f>IFERROR($P990,PROPER(VLOOKUP($O990,'Villes en erreur'!$A$2:$B$72,2,FALSE)))</f>
        <v>Saint-Jérôme</v>
      </c>
      <c r="R990" s="9" t="s">
        <v>3186</v>
      </c>
      <c r="S990" s="9" t="str">
        <f>IF(ISBLANK($R990),"",VLOOKUP($R990,'Liste des Villes'!$B$2:$H$1128,4,FALSE))</f>
        <v>Laurentides</v>
      </c>
      <c r="T990" s="2" t="s">
        <v>3223</v>
      </c>
      <c r="U990" s="2" t="s">
        <v>39</v>
      </c>
      <c r="V990" s="2" t="s">
        <v>40</v>
      </c>
      <c r="W990" s="2" t="s">
        <v>5395</v>
      </c>
      <c r="X990" s="2"/>
      <c r="Y990" s="2"/>
      <c r="Z990" s="2"/>
      <c r="AA990" s="2" t="s">
        <v>3225</v>
      </c>
      <c r="AB990" s="2" t="s">
        <v>53</v>
      </c>
      <c r="AC990" s="4" t="s">
        <v>44</v>
      </c>
    </row>
    <row r="991" spans="1:29" x14ac:dyDescent="0.25">
      <c r="A991" s="1">
        <v>45</v>
      </c>
      <c r="B991" s="17" t="s">
        <v>5396</v>
      </c>
      <c r="C991" s="2" t="s">
        <v>5397</v>
      </c>
      <c r="D991" s="15" t="s">
        <v>5398</v>
      </c>
      <c r="E991" s="9" t="s">
        <v>5399</v>
      </c>
      <c r="F991" s="9" t="s">
        <v>750</v>
      </c>
      <c r="G991" s="9" t="s">
        <v>600</v>
      </c>
      <c r="H991" s="2" t="s">
        <v>60</v>
      </c>
      <c r="I991" s="3">
        <v>35981</v>
      </c>
      <c r="J991" s="9" t="str">
        <f t="shared" ca="1" si="17"/>
        <v>25 ans</v>
      </c>
      <c r="K991" s="2" t="s">
        <v>123</v>
      </c>
      <c r="L991" s="2" t="str">
        <f>"172"</f>
        <v>172</v>
      </c>
      <c r="M991" s="2"/>
      <c r="N991" s="2" t="str">
        <f>"PLACE BROSSEAU"</f>
        <v>PLACE BROSSEAU</v>
      </c>
      <c r="O991" s="2" t="s">
        <v>3185</v>
      </c>
      <c r="P991" s="9" t="str">
        <f>VLOOKUP($O991,'Liste des Villes'!$B$2:$B$1128,1,FALSE)</f>
        <v>Saint-Jérôme</v>
      </c>
      <c r="Q991" s="9" t="str">
        <f>IFERROR($P991,PROPER(VLOOKUP($O991,'Villes en erreur'!$A$2:$B$72,2,FALSE)))</f>
        <v>Saint-Jérôme</v>
      </c>
      <c r="R991" s="9" t="s">
        <v>3186</v>
      </c>
      <c r="S991" s="9" t="str">
        <f>IF(ISBLANK($R991),"",VLOOKUP($R991,'Liste des Villes'!$B$2:$H$1128,4,FALSE))</f>
        <v>Laurentides</v>
      </c>
      <c r="T991" s="2" t="s">
        <v>5400</v>
      </c>
      <c r="U991" s="2" t="s">
        <v>39</v>
      </c>
      <c r="V991" s="2" t="s">
        <v>40</v>
      </c>
      <c r="W991" s="2" t="s">
        <v>5401</v>
      </c>
      <c r="X991" s="2"/>
      <c r="Y991" s="2"/>
      <c r="Z991" s="2"/>
      <c r="AA991" s="2" t="s">
        <v>832</v>
      </c>
      <c r="AB991" s="2" t="s">
        <v>3221</v>
      </c>
      <c r="AC991" s="4" t="s">
        <v>44</v>
      </c>
    </row>
    <row r="992" spans="1:29" x14ac:dyDescent="0.25">
      <c r="A992" s="1">
        <v>3479</v>
      </c>
      <c r="B992" s="17" t="s">
        <v>5402</v>
      </c>
      <c r="C992" s="2" t="s">
        <v>5403</v>
      </c>
      <c r="D992" s="15" t="s">
        <v>5404</v>
      </c>
      <c r="E992" s="9" t="s">
        <v>1004</v>
      </c>
      <c r="F992" s="9" t="s">
        <v>203</v>
      </c>
      <c r="G992" s="9" t="s">
        <v>1037</v>
      </c>
      <c r="H992" s="2" t="s">
        <v>35</v>
      </c>
      <c r="I992" s="3">
        <v>36081</v>
      </c>
      <c r="J992" s="9" t="str">
        <f t="shared" ca="1" si="17"/>
        <v>24 ans</v>
      </c>
      <c r="K992" s="2" t="s">
        <v>123</v>
      </c>
      <c r="L992" s="2" t="str">
        <f>"202"</f>
        <v>202</v>
      </c>
      <c r="M992" s="2"/>
      <c r="N992" s="2" t="str">
        <f>"RANG SAINT-ESPRIT"</f>
        <v>RANG SAINT-ESPRIT</v>
      </c>
      <c r="O992" s="2" t="s">
        <v>3185</v>
      </c>
      <c r="P992" s="9" t="str">
        <f>VLOOKUP($O992,'Liste des Villes'!$B$2:$B$1128,1,FALSE)</f>
        <v>Saint-Jérôme</v>
      </c>
      <c r="Q992" s="9" t="str">
        <f>IFERROR($P992,PROPER(VLOOKUP($O992,'Villes en erreur'!$A$2:$B$72,2,FALSE)))</f>
        <v>Saint-Jérôme</v>
      </c>
      <c r="R992" s="9" t="s">
        <v>3186</v>
      </c>
      <c r="S992" s="9" t="str">
        <f>IF(ISBLANK($R992),"",VLOOKUP($R992,'Liste des Villes'!$B$2:$H$1128,4,FALSE))</f>
        <v>Laurentides</v>
      </c>
      <c r="T992" s="2" t="s">
        <v>5405</v>
      </c>
      <c r="U992" s="2" t="s">
        <v>39</v>
      </c>
      <c r="V992" s="2" t="s">
        <v>40</v>
      </c>
      <c r="W992" s="2" t="s">
        <v>5406</v>
      </c>
      <c r="X992" s="2"/>
      <c r="Y992" s="2"/>
      <c r="Z992" s="2"/>
      <c r="AA992" s="2" t="s">
        <v>832</v>
      </c>
      <c r="AB992" s="2" t="s">
        <v>3221</v>
      </c>
      <c r="AC992" s="4" t="s">
        <v>44</v>
      </c>
    </row>
    <row r="993" spans="1:29" x14ac:dyDescent="0.25">
      <c r="A993" s="1">
        <v>3497</v>
      </c>
      <c r="B993" s="17" t="s">
        <v>5407</v>
      </c>
      <c r="C993" s="2" t="s">
        <v>5408</v>
      </c>
      <c r="D993" s="15" t="s">
        <v>66</v>
      </c>
      <c r="E993" s="9" t="s">
        <v>5409</v>
      </c>
      <c r="F993" s="9" t="s">
        <v>5410</v>
      </c>
      <c r="G993" s="9" t="s">
        <v>671</v>
      </c>
      <c r="H993" s="2" t="s">
        <v>60</v>
      </c>
      <c r="I993" s="3">
        <v>35961</v>
      </c>
      <c r="J993" s="9" t="str">
        <f t="shared" ca="1" si="17"/>
        <v>25 ans</v>
      </c>
      <c r="K993" s="2" t="s">
        <v>123</v>
      </c>
      <c r="L993" s="2" t="str">
        <f>"170"</f>
        <v>170</v>
      </c>
      <c r="M993" s="2"/>
      <c r="N993" s="2" t="str">
        <f>"PARTHENAIS"</f>
        <v>PARTHENAIS</v>
      </c>
      <c r="O993" s="2" t="s">
        <v>3185</v>
      </c>
      <c r="P993" s="9" t="str">
        <f>VLOOKUP($O993,'Liste des Villes'!$B$2:$B$1128,1,FALSE)</f>
        <v>Saint-Jérôme</v>
      </c>
      <c r="Q993" s="9" t="str">
        <f>IFERROR($P993,PROPER(VLOOKUP($O993,'Villes en erreur'!$A$2:$B$72,2,FALSE)))</f>
        <v>Saint-Jérôme</v>
      </c>
      <c r="R993" s="9" t="s">
        <v>3186</v>
      </c>
      <c r="S993" s="9" t="str">
        <f>IF(ISBLANK($R993),"",VLOOKUP($R993,'Liste des Villes'!$B$2:$H$1128,4,FALSE))</f>
        <v>Laurentides</v>
      </c>
      <c r="T993" s="2" t="s">
        <v>5411</v>
      </c>
      <c r="U993" s="2" t="s">
        <v>39</v>
      </c>
      <c r="V993" s="2" t="s">
        <v>40</v>
      </c>
      <c r="W993" s="2" t="s">
        <v>5412</v>
      </c>
      <c r="X993" s="2"/>
      <c r="Y993" s="2"/>
      <c r="Z993" s="2"/>
      <c r="AA993" s="2" t="s">
        <v>832</v>
      </c>
      <c r="AB993" s="2" t="s">
        <v>3221</v>
      </c>
      <c r="AC993" s="4" t="s">
        <v>44</v>
      </c>
    </row>
    <row r="994" spans="1:29" x14ac:dyDescent="0.25">
      <c r="A994" s="1">
        <v>591</v>
      </c>
      <c r="B994" s="17" t="s">
        <v>5413</v>
      </c>
      <c r="C994" s="2" t="s">
        <v>5414</v>
      </c>
      <c r="D994" s="15" t="s">
        <v>4357</v>
      </c>
      <c r="E994" s="9" t="s">
        <v>3626</v>
      </c>
      <c r="F994" s="9" t="s">
        <v>3783</v>
      </c>
      <c r="G994" s="9" t="s">
        <v>179</v>
      </c>
      <c r="H994" s="2" t="s">
        <v>60</v>
      </c>
      <c r="I994" s="3">
        <v>36126</v>
      </c>
      <c r="J994" s="9" t="str">
        <f t="shared" ca="1" si="17"/>
        <v>24 ans</v>
      </c>
      <c r="K994" s="2" t="s">
        <v>123</v>
      </c>
      <c r="L994" s="2" t="str">
        <f>"215"</f>
        <v>215</v>
      </c>
      <c r="M994" s="2"/>
      <c r="N994" s="2" t="str">
        <f>"RUE ADONIS"</f>
        <v>RUE ADONIS</v>
      </c>
      <c r="O994" s="2" t="s">
        <v>3185</v>
      </c>
      <c r="P994" s="9" t="str">
        <f>VLOOKUP($O994,'Liste des Villes'!$B$2:$B$1128,1,FALSE)</f>
        <v>Saint-Jérôme</v>
      </c>
      <c r="Q994" s="9" t="str">
        <f>IFERROR($P994,PROPER(VLOOKUP($O994,'Villes en erreur'!$A$2:$B$72,2,FALSE)))</f>
        <v>Saint-Jérôme</v>
      </c>
      <c r="R994" s="9" t="s">
        <v>3186</v>
      </c>
      <c r="S994" s="9" t="str">
        <f>IF(ISBLANK($R994),"",VLOOKUP($R994,'Liste des Villes'!$B$2:$H$1128,4,FALSE))</f>
        <v>Laurentides</v>
      </c>
      <c r="T994" s="2" t="s">
        <v>5415</v>
      </c>
      <c r="U994" s="2" t="s">
        <v>39</v>
      </c>
      <c r="V994" s="2" t="s">
        <v>40</v>
      </c>
      <c r="W994" s="2" t="s">
        <v>5416</v>
      </c>
      <c r="X994" s="2"/>
      <c r="Y994" s="2"/>
      <c r="Z994" s="2"/>
      <c r="AA994" s="2" t="s">
        <v>832</v>
      </c>
      <c r="AB994" s="2" t="s">
        <v>3221</v>
      </c>
      <c r="AC994" s="4" t="s">
        <v>44</v>
      </c>
    </row>
    <row r="995" spans="1:29" x14ac:dyDescent="0.25">
      <c r="A995" s="1">
        <v>3873</v>
      </c>
      <c r="B995" s="17" t="s">
        <v>5417</v>
      </c>
      <c r="C995" s="2" t="s">
        <v>5418</v>
      </c>
      <c r="D995" s="15" t="s">
        <v>5419</v>
      </c>
      <c r="E995" s="9" t="s">
        <v>4297</v>
      </c>
      <c r="F995" s="9" t="s">
        <v>5420</v>
      </c>
      <c r="G995" s="9" t="s">
        <v>495</v>
      </c>
      <c r="H995" s="2" t="s">
        <v>35</v>
      </c>
      <c r="I995" s="3">
        <v>34746</v>
      </c>
      <c r="J995" s="9" t="str">
        <f t="shared" ca="1" si="17"/>
        <v>28 ans</v>
      </c>
      <c r="K995" s="2" t="s">
        <v>36</v>
      </c>
      <c r="L995" s="2" t="str">
        <f>"73"</f>
        <v>73</v>
      </c>
      <c r="M995" s="2"/>
      <c r="N995" s="2" t="str">
        <f>"CH DE VAL-DES-LACS"</f>
        <v>CH DE VAL-DES-LACS</v>
      </c>
      <c r="O995" s="2" t="s">
        <v>3185</v>
      </c>
      <c r="P995" s="9" t="str">
        <f>VLOOKUP($O995,'Liste des Villes'!$B$2:$B$1128,1,FALSE)</f>
        <v>Saint-Jérôme</v>
      </c>
      <c r="Q995" s="9" t="str">
        <f>IFERROR($P995,PROPER(VLOOKUP($O995,'Villes en erreur'!$A$2:$B$72,2,FALSE)))</f>
        <v>Saint-Jérôme</v>
      </c>
      <c r="R995" s="9" t="s">
        <v>3186</v>
      </c>
      <c r="S995" s="9" t="str">
        <f>IF(ISBLANK($R995),"",VLOOKUP($R995,'Liste des Villes'!$B$2:$H$1128,4,FALSE))</f>
        <v>Laurentides</v>
      </c>
      <c r="T995" s="2" t="s">
        <v>3187</v>
      </c>
      <c r="U995" s="2" t="s">
        <v>39</v>
      </c>
      <c r="V995" s="2" t="s">
        <v>40</v>
      </c>
      <c r="W995" s="2" t="s">
        <v>5421</v>
      </c>
      <c r="X995" s="2"/>
      <c r="Y995" s="2"/>
      <c r="Z995" s="2"/>
      <c r="AA995" s="2" t="s">
        <v>3225</v>
      </c>
      <c r="AB995" s="2" t="s">
        <v>53</v>
      </c>
      <c r="AC995" s="4" t="s">
        <v>44</v>
      </c>
    </row>
    <row r="996" spans="1:29" x14ac:dyDescent="0.25">
      <c r="A996" s="1">
        <v>3027</v>
      </c>
      <c r="B996" s="17" t="s">
        <v>5422</v>
      </c>
      <c r="C996" s="2" t="s">
        <v>5423</v>
      </c>
      <c r="D996" s="15" t="s">
        <v>5424</v>
      </c>
      <c r="E996" s="9" t="s">
        <v>1037</v>
      </c>
      <c r="F996" s="9" t="s">
        <v>5425</v>
      </c>
      <c r="G996" s="9" t="s">
        <v>5426</v>
      </c>
      <c r="H996" s="2" t="s">
        <v>60</v>
      </c>
      <c r="I996" s="3">
        <v>35588</v>
      </c>
      <c r="J996" s="9" t="str">
        <f t="shared" ca="1" si="17"/>
        <v>26 ans</v>
      </c>
      <c r="K996" s="2" t="s">
        <v>36</v>
      </c>
      <c r="L996" s="2" t="str">
        <f>"127"</f>
        <v>127</v>
      </c>
      <c r="M996" s="2"/>
      <c r="N996" s="2" t="str">
        <f>"DE CLICHY"</f>
        <v>DE CLICHY</v>
      </c>
      <c r="O996" s="2" t="s">
        <v>3185</v>
      </c>
      <c r="P996" s="9" t="str">
        <f>VLOOKUP($O996,'Liste des Villes'!$B$2:$B$1128,1,FALSE)</f>
        <v>Saint-Jérôme</v>
      </c>
      <c r="Q996" s="9" t="str">
        <f>IFERROR($P996,PROPER(VLOOKUP($O996,'Villes en erreur'!$A$2:$B$72,2,FALSE)))</f>
        <v>Saint-Jérôme</v>
      </c>
      <c r="R996" s="9" t="s">
        <v>3186</v>
      </c>
      <c r="S996" s="9" t="str">
        <f>IF(ISBLANK($R996),"",VLOOKUP($R996,'Liste des Villes'!$B$2:$H$1128,4,FALSE))</f>
        <v>Laurentides</v>
      </c>
      <c r="T996" s="2" t="s">
        <v>3576</v>
      </c>
      <c r="U996" s="2" t="s">
        <v>39</v>
      </c>
      <c r="V996" s="2" t="s">
        <v>40</v>
      </c>
      <c r="W996" s="2" t="s">
        <v>5427</v>
      </c>
      <c r="X996" s="2"/>
      <c r="Y996" s="2"/>
      <c r="Z996" s="2"/>
      <c r="AA996" s="2" t="s">
        <v>3243</v>
      </c>
      <c r="AB996" s="2" t="s">
        <v>3221</v>
      </c>
      <c r="AC996" s="4" t="s">
        <v>44</v>
      </c>
    </row>
    <row r="997" spans="1:29" x14ac:dyDescent="0.25">
      <c r="A997" s="1">
        <v>1016</v>
      </c>
      <c r="B997" s="17" t="s">
        <v>5428</v>
      </c>
      <c r="C997" s="2" t="s">
        <v>5429</v>
      </c>
      <c r="D997" s="15" t="s">
        <v>518</v>
      </c>
      <c r="E997" s="9" t="s">
        <v>5430</v>
      </c>
      <c r="F997" s="9" t="s">
        <v>520</v>
      </c>
      <c r="G997" s="9" t="s">
        <v>3457</v>
      </c>
      <c r="H997" s="2" t="s">
        <v>60</v>
      </c>
      <c r="I997" s="3">
        <v>35998</v>
      </c>
      <c r="J997" s="9" t="str">
        <f t="shared" ca="1" si="17"/>
        <v>25 ans</v>
      </c>
      <c r="K997" s="2" t="s">
        <v>123</v>
      </c>
      <c r="L997" s="2" t="str">
        <f>"175"</f>
        <v>175</v>
      </c>
      <c r="M997" s="2"/>
      <c r="N997" s="2" t="str">
        <f>"PLACE DE SAINT-MIHIEL"</f>
        <v>PLACE DE SAINT-MIHIEL</v>
      </c>
      <c r="O997" s="2" t="s">
        <v>3185</v>
      </c>
      <c r="P997" s="9" t="str">
        <f>VLOOKUP($O997,'Liste des Villes'!$B$2:$B$1128,1,FALSE)</f>
        <v>Saint-Jérôme</v>
      </c>
      <c r="Q997" s="9" t="str">
        <f>IFERROR($P997,PROPER(VLOOKUP($O997,'Villes en erreur'!$A$2:$B$72,2,FALSE)))</f>
        <v>Saint-Jérôme</v>
      </c>
      <c r="R997" s="9" t="s">
        <v>3186</v>
      </c>
      <c r="S997" s="9" t="str">
        <f>IF(ISBLANK($R997),"",VLOOKUP($R997,'Liste des Villes'!$B$2:$H$1128,4,FALSE))</f>
        <v>Laurentides</v>
      </c>
      <c r="T997" s="2" t="s">
        <v>4845</v>
      </c>
      <c r="U997" s="2" t="s">
        <v>39</v>
      </c>
      <c r="V997" s="2" t="s">
        <v>40</v>
      </c>
      <c r="W997" s="2" t="s">
        <v>5431</v>
      </c>
      <c r="X997" s="2"/>
      <c r="Y997" s="2"/>
      <c r="Z997" s="2"/>
      <c r="AA997" s="2" t="s">
        <v>832</v>
      </c>
      <c r="AB997" s="2" t="s">
        <v>3221</v>
      </c>
      <c r="AC997" s="4" t="s">
        <v>44</v>
      </c>
    </row>
    <row r="998" spans="1:29" x14ac:dyDescent="0.25">
      <c r="A998" s="1">
        <v>3807</v>
      </c>
      <c r="B998" s="17" t="s">
        <v>5432</v>
      </c>
      <c r="C998" s="2" t="s">
        <v>5433</v>
      </c>
      <c r="D998" s="15" t="s">
        <v>5434</v>
      </c>
      <c r="E998" s="9" t="s">
        <v>85</v>
      </c>
      <c r="F998" s="9" t="s">
        <v>5435</v>
      </c>
      <c r="G998" s="9" t="s">
        <v>996</v>
      </c>
      <c r="H998" s="2" t="s">
        <v>60</v>
      </c>
      <c r="I998" s="3">
        <v>35026</v>
      </c>
      <c r="J998" s="9" t="str">
        <f t="shared" ca="1" si="17"/>
        <v>27 ans</v>
      </c>
      <c r="K998" s="2" t="s">
        <v>36</v>
      </c>
      <c r="L998" s="2" t="str">
        <f>"95"</f>
        <v>95</v>
      </c>
      <c r="M998" s="2"/>
      <c r="N998" s="2" t="str">
        <f>"CH DU LAC-MORENCY"</f>
        <v>CH DU LAC-MORENCY</v>
      </c>
      <c r="O998" s="2" t="s">
        <v>3185</v>
      </c>
      <c r="P998" s="9" t="str">
        <f>VLOOKUP($O998,'Liste des Villes'!$B$2:$B$1128,1,FALSE)</f>
        <v>Saint-Jérôme</v>
      </c>
      <c r="Q998" s="9" t="str">
        <f>IFERROR($P998,PROPER(VLOOKUP($O998,'Villes en erreur'!$A$2:$B$72,2,FALSE)))</f>
        <v>Saint-Jérôme</v>
      </c>
      <c r="R998" s="9" t="s">
        <v>3186</v>
      </c>
      <c r="S998" s="9" t="str">
        <f>IF(ISBLANK($R998),"",VLOOKUP($R998,'Liste des Villes'!$B$2:$H$1128,4,FALSE))</f>
        <v>Laurentides</v>
      </c>
      <c r="T998" s="2" t="s">
        <v>3187</v>
      </c>
      <c r="U998" s="2" t="s">
        <v>39</v>
      </c>
      <c r="V998" s="2" t="s">
        <v>40</v>
      </c>
      <c r="W998" s="2" t="s">
        <v>5436</v>
      </c>
      <c r="X998" s="2"/>
      <c r="Y998" s="2"/>
      <c r="Z998" s="2"/>
      <c r="AA998" s="2" t="s">
        <v>3189</v>
      </c>
      <c r="AB998" s="2" t="s">
        <v>53</v>
      </c>
      <c r="AC998" s="4" t="s">
        <v>44</v>
      </c>
    </row>
    <row r="999" spans="1:29" x14ac:dyDescent="0.25">
      <c r="A999" s="1">
        <v>3144</v>
      </c>
      <c r="B999" s="17" t="s">
        <v>5437</v>
      </c>
      <c r="C999" s="2" t="s">
        <v>5438</v>
      </c>
      <c r="D999" s="15" t="s">
        <v>5439</v>
      </c>
      <c r="E999" s="9" t="s">
        <v>610</v>
      </c>
      <c r="F999" s="9" t="s">
        <v>208</v>
      </c>
      <c r="G999" s="9" t="s">
        <v>5440</v>
      </c>
      <c r="H999" s="2" t="s">
        <v>60</v>
      </c>
      <c r="I999" s="3">
        <v>34794</v>
      </c>
      <c r="J999" s="9" t="str">
        <f t="shared" ca="1" si="17"/>
        <v>28 ans</v>
      </c>
      <c r="K999" s="2" t="s">
        <v>36</v>
      </c>
      <c r="L999" s="2" t="str">
        <f>"77"</f>
        <v>77</v>
      </c>
      <c r="M999" s="2"/>
      <c r="N999" s="2" t="str">
        <f>"CH DES CIMES"</f>
        <v>CH DES CIMES</v>
      </c>
      <c r="O999" s="2" t="s">
        <v>3185</v>
      </c>
      <c r="P999" s="9" t="str">
        <f>VLOOKUP($O999,'Liste des Villes'!$B$2:$B$1128,1,FALSE)</f>
        <v>Saint-Jérôme</v>
      </c>
      <c r="Q999" s="9" t="str">
        <f>IFERROR($P999,PROPER(VLOOKUP($O999,'Villes en erreur'!$A$2:$B$72,2,FALSE)))</f>
        <v>Saint-Jérôme</v>
      </c>
      <c r="R999" s="9" t="s">
        <v>3186</v>
      </c>
      <c r="S999" s="9" t="str">
        <f>IF(ISBLANK($R999),"",VLOOKUP($R999,'Liste des Villes'!$B$2:$H$1128,4,FALSE))</f>
        <v>Laurentides</v>
      </c>
      <c r="T999" s="2" t="s">
        <v>3187</v>
      </c>
      <c r="U999" s="2" t="s">
        <v>39</v>
      </c>
      <c r="V999" s="2" t="s">
        <v>40</v>
      </c>
      <c r="W999" s="2" t="s">
        <v>5441</v>
      </c>
      <c r="X999" s="2"/>
      <c r="Y999" s="2"/>
      <c r="Z999" s="2"/>
      <c r="AA999" s="2" t="s">
        <v>3225</v>
      </c>
      <c r="AB999" s="2" t="s">
        <v>53</v>
      </c>
      <c r="AC999" s="4" t="s">
        <v>44</v>
      </c>
    </row>
    <row r="1000" spans="1:29" x14ac:dyDescent="0.25">
      <c r="A1000" s="1">
        <v>2218</v>
      </c>
      <c r="B1000" s="17" t="s">
        <v>5442</v>
      </c>
      <c r="C1000" s="2" t="s">
        <v>5443</v>
      </c>
      <c r="D1000" s="15" t="s">
        <v>3705</v>
      </c>
      <c r="E1000" s="9" t="s">
        <v>5444</v>
      </c>
      <c r="F1000" s="9" t="s">
        <v>3654</v>
      </c>
      <c r="G1000" s="9" t="s">
        <v>332</v>
      </c>
      <c r="H1000" s="2" t="s">
        <v>60</v>
      </c>
      <c r="I1000" s="3">
        <v>35572</v>
      </c>
      <c r="J1000" s="9" t="str">
        <f t="shared" ca="1" si="17"/>
        <v>26 ans</v>
      </c>
      <c r="K1000" s="2" t="s">
        <v>36</v>
      </c>
      <c r="L1000" s="2" t="str">
        <f>"125"</f>
        <v>125</v>
      </c>
      <c r="M1000" s="2"/>
      <c r="N1000" s="2" t="str">
        <f>"CROIS JEAN-ROUGEAU"</f>
        <v>CROIS JEAN-ROUGEAU</v>
      </c>
      <c r="O1000" s="2" t="s">
        <v>3185</v>
      </c>
      <c r="P1000" s="9" t="str">
        <f>VLOOKUP($O1000,'Liste des Villes'!$B$2:$B$1128,1,FALSE)</f>
        <v>Saint-Jérôme</v>
      </c>
      <c r="Q1000" s="9" t="str">
        <f>IFERROR($P1000,PROPER(VLOOKUP($O1000,'Villes en erreur'!$A$2:$B$72,2,FALSE)))</f>
        <v>Saint-Jérôme</v>
      </c>
      <c r="R1000" s="9" t="s">
        <v>3186</v>
      </c>
      <c r="S1000" s="9" t="str">
        <f>IF(ISBLANK($R1000),"",VLOOKUP($R1000,'Liste des Villes'!$B$2:$H$1128,4,FALSE))</f>
        <v>Laurentides</v>
      </c>
      <c r="T1000" s="2" t="s">
        <v>5445</v>
      </c>
      <c r="U1000" s="2" t="s">
        <v>39</v>
      </c>
      <c r="V1000" s="2" t="s">
        <v>40</v>
      </c>
      <c r="W1000" s="2" t="s">
        <v>5446</v>
      </c>
      <c r="X1000" s="2"/>
      <c r="Y1000" s="2"/>
      <c r="Z1000" s="2"/>
      <c r="AA1000" s="2" t="s">
        <v>3199</v>
      </c>
      <c r="AB1000" s="2" t="s">
        <v>3221</v>
      </c>
      <c r="AC1000" s="4" t="s">
        <v>44</v>
      </c>
    </row>
    <row r="1001" spans="1:29" x14ac:dyDescent="0.25">
      <c r="A1001" s="1">
        <v>53</v>
      </c>
      <c r="B1001" s="17" t="s">
        <v>5447</v>
      </c>
      <c r="C1001" s="2" t="s">
        <v>786</v>
      </c>
      <c r="D1001" s="15" t="s">
        <v>750</v>
      </c>
      <c r="E1001" s="9" t="s">
        <v>787</v>
      </c>
      <c r="F1001" s="9" t="s">
        <v>788</v>
      </c>
      <c r="G1001" s="9" t="s">
        <v>5448</v>
      </c>
      <c r="H1001" s="2" t="s">
        <v>60</v>
      </c>
      <c r="I1001" s="3">
        <v>36215</v>
      </c>
      <c r="J1001" s="9" t="str">
        <f t="shared" ca="1" si="17"/>
        <v>24 ans</v>
      </c>
      <c r="K1001" s="2" t="s">
        <v>123</v>
      </c>
      <c r="L1001" s="2" t="str">
        <f>"251"</f>
        <v>251</v>
      </c>
      <c r="M1001" s="2"/>
      <c r="N1001" s="2" t="str">
        <f>"RUE BAUDELAIRE"</f>
        <v>RUE BAUDELAIRE</v>
      </c>
      <c r="O1001" s="2" t="s">
        <v>3185</v>
      </c>
      <c r="P1001" s="9" t="str">
        <f>VLOOKUP($O1001,'Liste des Villes'!$B$2:$B$1128,1,FALSE)</f>
        <v>Saint-Jérôme</v>
      </c>
      <c r="Q1001" s="9" t="str">
        <f>IFERROR($P1001,PROPER(VLOOKUP($O1001,'Villes en erreur'!$A$2:$B$72,2,FALSE)))</f>
        <v>Saint-Jérôme</v>
      </c>
      <c r="R1001" s="9" t="s">
        <v>3186</v>
      </c>
      <c r="S1001" s="9" t="str">
        <f>IF(ISBLANK($R1001),"",VLOOKUP($R1001,'Liste des Villes'!$B$2:$H$1128,4,FALSE))</f>
        <v>Laurentides</v>
      </c>
      <c r="T1001" s="2" t="s">
        <v>4401</v>
      </c>
      <c r="U1001" s="2" t="s">
        <v>39</v>
      </c>
      <c r="V1001" s="2" t="s">
        <v>40</v>
      </c>
      <c r="W1001" s="2" t="s">
        <v>5449</v>
      </c>
      <c r="X1001" s="2"/>
      <c r="Y1001" s="2"/>
      <c r="Z1001" s="2"/>
      <c r="AA1001" s="2" t="s">
        <v>832</v>
      </c>
      <c r="AB1001" s="2" t="s">
        <v>3288</v>
      </c>
      <c r="AC1001" s="4" t="s">
        <v>44</v>
      </c>
    </row>
    <row r="1002" spans="1:29" x14ac:dyDescent="0.25">
      <c r="A1002" s="1">
        <v>3630</v>
      </c>
      <c r="B1002" s="17" t="s">
        <v>5450</v>
      </c>
      <c r="C1002" s="2" t="s">
        <v>4483</v>
      </c>
      <c r="D1002" s="15" t="s">
        <v>3341</v>
      </c>
      <c r="E1002" s="9" t="s">
        <v>4484</v>
      </c>
      <c r="F1002" s="9" t="s">
        <v>5451</v>
      </c>
      <c r="G1002" s="9" t="s">
        <v>577</v>
      </c>
      <c r="H1002" s="2" t="s">
        <v>60</v>
      </c>
      <c r="I1002" s="3">
        <v>35909</v>
      </c>
      <c r="J1002" s="9" t="str">
        <f t="shared" ca="1" si="17"/>
        <v>25 ans</v>
      </c>
      <c r="K1002" s="2" t="s">
        <v>123</v>
      </c>
      <c r="L1002" s="2" t="str">
        <f>"158"</f>
        <v>158</v>
      </c>
      <c r="M1002" s="2"/>
      <c r="N1002" s="2" t="str">
        <f>"MONTEE DU COTEAU"</f>
        <v>MONTEE DU COTEAU</v>
      </c>
      <c r="O1002" s="2" t="s">
        <v>3185</v>
      </c>
      <c r="P1002" s="9" t="str">
        <f>VLOOKUP($O1002,'Liste des Villes'!$B$2:$B$1128,1,FALSE)</f>
        <v>Saint-Jérôme</v>
      </c>
      <c r="Q1002" s="9" t="str">
        <f>IFERROR($P1002,PROPER(VLOOKUP($O1002,'Villes en erreur'!$A$2:$B$72,2,FALSE)))</f>
        <v>Saint-Jérôme</v>
      </c>
      <c r="R1002" s="9" t="s">
        <v>3186</v>
      </c>
      <c r="S1002" s="9" t="str">
        <f>IF(ISBLANK($R1002),"",VLOOKUP($R1002,'Liste des Villes'!$B$2:$H$1128,4,FALSE))</f>
        <v>Laurentides</v>
      </c>
      <c r="T1002" s="2" t="s">
        <v>5452</v>
      </c>
      <c r="U1002" s="2" t="s">
        <v>39</v>
      </c>
      <c r="V1002" s="2" t="s">
        <v>40</v>
      </c>
      <c r="W1002" s="2" t="s">
        <v>5453</v>
      </c>
      <c r="X1002" s="2"/>
      <c r="Y1002" s="2"/>
      <c r="Z1002" s="2"/>
      <c r="AA1002" s="2" t="s">
        <v>3243</v>
      </c>
      <c r="AB1002" s="2" t="s">
        <v>3221</v>
      </c>
      <c r="AC1002" s="4" t="s">
        <v>44</v>
      </c>
    </row>
    <row r="1003" spans="1:29" x14ac:dyDescent="0.25">
      <c r="A1003" s="1">
        <v>3483</v>
      </c>
      <c r="B1003" s="17" t="s">
        <v>5454</v>
      </c>
      <c r="C1003" s="2" t="s">
        <v>5455</v>
      </c>
      <c r="D1003" s="15" t="s">
        <v>5456</v>
      </c>
      <c r="E1003" s="9" t="s">
        <v>1673</v>
      </c>
      <c r="F1003" s="9" t="s">
        <v>5457</v>
      </c>
      <c r="G1003" s="9" t="s">
        <v>1135</v>
      </c>
      <c r="H1003" s="2" t="s">
        <v>60</v>
      </c>
      <c r="I1003" s="3">
        <v>36237</v>
      </c>
      <c r="J1003" s="9" t="str">
        <f t="shared" ca="1" si="17"/>
        <v>24 ans</v>
      </c>
      <c r="K1003" s="2" t="s">
        <v>123</v>
      </c>
      <c r="L1003" s="2" t="str">
        <f>"262"</f>
        <v>262</v>
      </c>
      <c r="M1003" s="2"/>
      <c r="N1003" s="2" t="str">
        <f>"RUE BÉLAIR"</f>
        <v>RUE BÉLAIR</v>
      </c>
      <c r="O1003" s="2" t="s">
        <v>3185</v>
      </c>
      <c r="P1003" s="9" t="str">
        <f>VLOOKUP($O1003,'Liste des Villes'!$B$2:$B$1128,1,FALSE)</f>
        <v>Saint-Jérôme</v>
      </c>
      <c r="Q1003" s="9" t="str">
        <f>IFERROR($P1003,PROPER(VLOOKUP($O1003,'Villes en erreur'!$A$2:$B$72,2,FALSE)))</f>
        <v>Saint-Jérôme</v>
      </c>
      <c r="R1003" s="9" t="s">
        <v>3186</v>
      </c>
      <c r="S1003" s="9" t="str">
        <f>IF(ISBLANK($R1003),"",VLOOKUP($R1003,'Liste des Villes'!$B$2:$H$1128,4,FALSE))</f>
        <v>Laurentides</v>
      </c>
      <c r="T1003" s="2" t="s">
        <v>3598</v>
      </c>
      <c r="U1003" s="2" t="s">
        <v>39</v>
      </c>
      <c r="V1003" s="2" t="s">
        <v>40</v>
      </c>
      <c r="W1003" s="2" t="s">
        <v>5458</v>
      </c>
      <c r="X1003" s="2"/>
      <c r="Y1003" s="2"/>
      <c r="Z1003" s="2"/>
      <c r="AA1003" s="2" t="s">
        <v>832</v>
      </c>
      <c r="AB1003" s="2" t="s">
        <v>73</v>
      </c>
      <c r="AC1003" s="4" t="s">
        <v>44</v>
      </c>
    </row>
    <row r="1004" spans="1:29" x14ac:dyDescent="0.25">
      <c r="A1004" s="1">
        <v>4245</v>
      </c>
      <c r="B1004" s="17" t="s">
        <v>5459</v>
      </c>
      <c r="C1004" s="2" t="s">
        <v>5460</v>
      </c>
      <c r="D1004" s="15" t="s">
        <v>5461</v>
      </c>
      <c r="E1004" s="9" t="s">
        <v>2210</v>
      </c>
      <c r="F1004" s="9" t="s">
        <v>34</v>
      </c>
      <c r="G1004" s="9" t="s">
        <v>5462</v>
      </c>
      <c r="H1004" s="2" t="s">
        <v>60</v>
      </c>
      <c r="I1004" s="3">
        <v>36195</v>
      </c>
      <c r="J1004" s="9" t="str">
        <f t="shared" ca="1" si="17"/>
        <v>24 ans</v>
      </c>
      <c r="K1004" s="2" t="s">
        <v>123</v>
      </c>
      <c r="L1004" s="2" t="str">
        <f>"238"</f>
        <v>238</v>
      </c>
      <c r="M1004" s="2"/>
      <c r="N1004" s="2" t="str">
        <f>"RUE ANTONINE-MAILLET"</f>
        <v>RUE ANTONINE-MAILLET</v>
      </c>
      <c r="O1004" s="2" t="s">
        <v>3185</v>
      </c>
      <c r="P1004" s="9" t="str">
        <f>VLOOKUP($O1004,'Liste des Villes'!$B$2:$B$1128,1,FALSE)</f>
        <v>Saint-Jérôme</v>
      </c>
      <c r="Q1004" s="9" t="str">
        <f>IFERROR($P1004,PROPER(VLOOKUP($O1004,'Villes en erreur'!$A$2:$B$72,2,FALSE)))</f>
        <v>Saint-Jérôme</v>
      </c>
      <c r="R1004" s="9" t="s">
        <v>3186</v>
      </c>
      <c r="S1004" s="9" t="str">
        <f>IF(ISBLANK($R1004),"",VLOOKUP($R1004,'Liste des Villes'!$B$2:$H$1128,4,FALSE))</f>
        <v>Laurentides</v>
      </c>
      <c r="T1004" s="2" t="s">
        <v>5463</v>
      </c>
      <c r="U1004" s="2" t="s">
        <v>39</v>
      </c>
      <c r="V1004" s="2" t="s">
        <v>40</v>
      </c>
      <c r="W1004" s="2" t="s">
        <v>5464</v>
      </c>
      <c r="X1004" s="2"/>
      <c r="Y1004" s="2"/>
      <c r="Z1004" s="2"/>
      <c r="AA1004" s="2" t="s">
        <v>832</v>
      </c>
      <c r="AB1004" s="2" t="s">
        <v>3288</v>
      </c>
      <c r="AC1004" s="4" t="s">
        <v>44</v>
      </c>
    </row>
    <row r="1005" spans="1:29" x14ac:dyDescent="0.25">
      <c r="A1005" s="1">
        <v>3537</v>
      </c>
      <c r="B1005" s="17" t="s">
        <v>5465</v>
      </c>
      <c r="C1005" s="2" t="s">
        <v>5466</v>
      </c>
      <c r="D1005" s="15" t="s">
        <v>488</v>
      </c>
      <c r="E1005" s="9" t="s">
        <v>5467</v>
      </c>
      <c r="F1005" s="9" t="s">
        <v>486</v>
      </c>
      <c r="G1005" s="9" t="s">
        <v>186</v>
      </c>
      <c r="H1005" s="2" t="s">
        <v>60</v>
      </c>
      <c r="I1005" s="3">
        <v>34851</v>
      </c>
      <c r="J1005" s="9" t="str">
        <f t="shared" ca="1" si="17"/>
        <v>28 ans</v>
      </c>
      <c r="K1005" s="2" t="s">
        <v>36</v>
      </c>
      <c r="L1005" s="2" t="str">
        <f>"80"</f>
        <v>80</v>
      </c>
      <c r="M1005" s="2"/>
      <c r="N1005" s="2" t="str">
        <f>"CH DES MALARDS"</f>
        <v>CH DES MALARDS</v>
      </c>
      <c r="O1005" s="2" t="s">
        <v>3186</v>
      </c>
      <c r="P1005" s="9" t="str">
        <f>VLOOKUP($O1005,'Liste des Villes'!$B$2:$B$1128,1,FALSE)</f>
        <v>Saint-Jérôme</v>
      </c>
      <c r="Q1005" s="9" t="str">
        <f>IFERROR($P1005,PROPER(VLOOKUP($O1005,'Villes en erreur'!$A$2:$B$72,2,FALSE)))</f>
        <v>Saint-Jérôme</v>
      </c>
      <c r="R1005" s="9" t="s">
        <v>3186</v>
      </c>
      <c r="S1005" s="9" t="str">
        <f>IF(ISBLANK($R1005),"",VLOOKUP($R1005,'Liste des Villes'!$B$2:$H$1128,4,FALSE))</f>
        <v>Laurentides</v>
      </c>
      <c r="T1005" s="2" t="s">
        <v>3187</v>
      </c>
      <c r="U1005" s="2" t="s">
        <v>39</v>
      </c>
      <c r="V1005" s="2" t="s">
        <v>40</v>
      </c>
      <c r="W1005" s="2" t="s">
        <v>5468</v>
      </c>
      <c r="X1005" s="2"/>
      <c r="Y1005" s="2"/>
      <c r="Z1005" s="2"/>
      <c r="AA1005" s="2" t="s">
        <v>3231</v>
      </c>
      <c r="AB1005" s="2" t="s">
        <v>53</v>
      </c>
      <c r="AC1005" s="4" t="s">
        <v>44</v>
      </c>
    </row>
    <row r="1006" spans="1:29" x14ac:dyDescent="0.25">
      <c r="A1006" s="1">
        <v>643</v>
      </c>
      <c r="B1006" s="17" t="s">
        <v>5469</v>
      </c>
      <c r="C1006" s="2" t="s">
        <v>5470</v>
      </c>
      <c r="D1006" s="15" t="s">
        <v>5471</v>
      </c>
      <c r="E1006" s="9" t="s">
        <v>3218</v>
      </c>
      <c r="F1006" s="9" t="s">
        <v>5472</v>
      </c>
      <c r="G1006" s="9" t="s">
        <v>3531</v>
      </c>
      <c r="H1006" s="2" t="s">
        <v>60</v>
      </c>
      <c r="I1006" s="3">
        <v>35513</v>
      </c>
      <c r="J1006" s="9" t="str">
        <f t="shared" ca="1" si="17"/>
        <v>26 ans</v>
      </c>
      <c r="K1006" s="2" t="s">
        <v>36</v>
      </c>
      <c r="L1006" s="2" t="str">
        <f>"120"</f>
        <v>120</v>
      </c>
      <c r="M1006" s="2"/>
      <c r="N1006" s="2" t="str">
        <f>"CLAVEAU"</f>
        <v>CLAVEAU</v>
      </c>
      <c r="O1006" s="2" t="s">
        <v>3185</v>
      </c>
      <c r="P1006" s="9" t="str">
        <f>VLOOKUP($O1006,'Liste des Villes'!$B$2:$B$1128,1,FALSE)</f>
        <v>Saint-Jérôme</v>
      </c>
      <c r="Q1006" s="9" t="str">
        <f>IFERROR($P1006,PROPER(VLOOKUP($O1006,'Villes en erreur'!$A$2:$B$72,2,FALSE)))</f>
        <v>Saint-Jérôme</v>
      </c>
      <c r="R1006" s="9" t="s">
        <v>3186</v>
      </c>
      <c r="S1006" s="9" t="str">
        <f>IF(ISBLANK($R1006),"",VLOOKUP($R1006,'Liste des Villes'!$B$2:$H$1128,4,FALSE))</f>
        <v>Laurentides</v>
      </c>
      <c r="T1006" s="2" t="s">
        <v>3532</v>
      </c>
      <c r="U1006" s="2" t="s">
        <v>39</v>
      </c>
      <c r="V1006" s="2" t="s">
        <v>40</v>
      </c>
      <c r="W1006" s="2" t="s">
        <v>5473</v>
      </c>
      <c r="X1006" s="2"/>
      <c r="Y1006" s="2"/>
      <c r="Z1006" s="2"/>
      <c r="AA1006" s="2" t="s">
        <v>3199</v>
      </c>
      <c r="AB1006" s="2" t="s">
        <v>3200</v>
      </c>
      <c r="AC1006" s="4" t="s">
        <v>44</v>
      </c>
    </row>
    <row r="1007" spans="1:29" x14ac:dyDescent="0.25">
      <c r="A1007" s="1">
        <v>2158</v>
      </c>
      <c r="B1007" s="17" t="s">
        <v>5474</v>
      </c>
      <c r="C1007" s="2" t="s">
        <v>5475</v>
      </c>
      <c r="D1007" s="15" t="s">
        <v>5476</v>
      </c>
      <c r="E1007" s="9" t="s">
        <v>2339</v>
      </c>
      <c r="F1007" s="9" t="s">
        <v>875</v>
      </c>
      <c r="G1007" s="9" t="s">
        <v>1514</v>
      </c>
      <c r="H1007" s="2" t="s">
        <v>35</v>
      </c>
      <c r="I1007" s="3">
        <v>35586</v>
      </c>
      <c r="J1007" s="9" t="str">
        <f t="shared" ca="1" si="17"/>
        <v>26 ans</v>
      </c>
      <c r="K1007" s="2" t="s">
        <v>36</v>
      </c>
      <c r="L1007" s="2" t="str">
        <f>"127"</f>
        <v>127</v>
      </c>
      <c r="M1007" s="2"/>
      <c r="N1007" s="2" t="str">
        <f>"DAGENAIS BLVD E"</f>
        <v>DAGENAIS BLVD E</v>
      </c>
      <c r="O1007" s="2" t="s">
        <v>3186</v>
      </c>
      <c r="P1007" s="9" t="str">
        <f>VLOOKUP($O1007,'Liste des Villes'!$B$2:$B$1128,1,FALSE)</f>
        <v>Saint-Jérôme</v>
      </c>
      <c r="Q1007" s="9" t="str">
        <f>IFERROR($P1007,PROPER(VLOOKUP($O1007,'Villes en erreur'!$A$2:$B$72,2,FALSE)))</f>
        <v>Saint-Jérôme</v>
      </c>
      <c r="R1007" s="9" t="s">
        <v>3186</v>
      </c>
      <c r="S1007" s="9" t="str">
        <f>IF(ISBLANK($R1007),"",VLOOKUP($R1007,'Liste des Villes'!$B$2:$H$1128,4,FALSE))</f>
        <v>Laurentides</v>
      </c>
      <c r="T1007" s="2" t="s">
        <v>3576</v>
      </c>
      <c r="U1007" s="2" t="s">
        <v>39</v>
      </c>
      <c r="V1007" s="2" t="s">
        <v>40</v>
      </c>
      <c r="W1007" s="2" t="s">
        <v>5477</v>
      </c>
      <c r="X1007" s="2"/>
      <c r="Y1007" s="2"/>
      <c r="Z1007" s="2"/>
      <c r="AA1007" s="2" t="s">
        <v>3243</v>
      </c>
      <c r="AB1007" s="2" t="s">
        <v>3221</v>
      </c>
      <c r="AC1007" s="4" t="s">
        <v>44</v>
      </c>
    </row>
    <row r="1008" spans="1:29" x14ac:dyDescent="0.25">
      <c r="A1008" s="1">
        <v>2305</v>
      </c>
      <c r="B1008" s="17" t="s">
        <v>5478</v>
      </c>
      <c r="C1008" s="2" t="s">
        <v>1842</v>
      </c>
      <c r="D1008" s="15" t="s">
        <v>1843</v>
      </c>
      <c r="E1008" s="9" t="s">
        <v>1844</v>
      </c>
      <c r="F1008" s="9" t="s">
        <v>1845</v>
      </c>
      <c r="G1008" s="9" t="s">
        <v>2339</v>
      </c>
      <c r="H1008" s="2" t="s">
        <v>35</v>
      </c>
      <c r="I1008" s="3">
        <v>35846</v>
      </c>
      <c r="J1008" s="9" t="str">
        <f t="shared" ca="1" si="17"/>
        <v>25 ans</v>
      </c>
      <c r="K1008" s="2" t="s">
        <v>123</v>
      </c>
      <c r="L1008" s="2" t="str">
        <f>"148"</f>
        <v>148</v>
      </c>
      <c r="M1008" s="2"/>
      <c r="N1008" s="2" t="str">
        <f>"LAURIER BLVD"</f>
        <v>LAURIER BLVD</v>
      </c>
      <c r="O1008" s="2" t="s">
        <v>3185</v>
      </c>
      <c r="P1008" s="9" t="str">
        <f>VLOOKUP($O1008,'Liste des Villes'!$B$2:$B$1128,1,FALSE)</f>
        <v>Saint-Jérôme</v>
      </c>
      <c r="Q1008" s="9" t="str">
        <f>IFERROR($P1008,PROPER(VLOOKUP($O1008,'Villes en erreur'!$A$2:$B$72,2,FALSE)))</f>
        <v>Saint-Jérôme</v>
      </c>
      <c r="R1008" s="9" t="s">
        <v>3186</v>
      </c>
      <c r="S1008" s="9" t="str">
        <f>IF(ISBLANK($R1008),"",VLOOKUP($R1008,'Liste des Villes'!$B$2:$H$1128,4,FALSE))</f>
        <v>Laurentides</v>
      </c>
      <c r="T1008" s="2" t="s">
        <v>5479</v>
      </c>
      <c r="U1008" s="2" t="s">
        <v>39</v>
      </c>
      <c r="V1008" s="2" t="s">
        <v>40</v>
      </c>
      <c r="W1008" s="2" t="s">
        <v>5480</v>
      </c>
      <c r="X1008" s="2"/>
      <c r="Y1008" s="2"/>
      <c r="Z1008" s="2"/>
      <c r="AA1008" s="2" t="s">
        <v>3243</v>
      </c>
      <c r="AB1008" s="2" t="s">
        <v>3221</v>
      </c>
      <c r="AC1008" s="4" t="s">
        <v>44</v>
      </c>
    </row>
    <row r="1009" spans="1:29" x14ac:dyDescent="0.25">
      <c r="A1009" s="1">
        <v>102</v>
      </c>
      <c r="B1009" s="17" t="s">
        <v>5481</v>
      </c>
      <c r="C1009" s="2" t="s">
        <v>5482</v>
      </c>
      <c r="D1009" s="15" t="s">
        <v>208</v>
      </c>
      <c r="E1009" s="9" t="s">
        <v>5006</v>
      </c>
      <c r="F1009" s="9" t="s">
        <v>1932</v>
      </c>
      <c r="G1009" s="9" t="s">
        <v>495</v>
      </c>
      <c r="H1009" s="2" t="s">
        <v>35</v>
      </c>
      <c r="I1009" s="3">
        <v>34530</v>
      </c>
      <c r="J1009" s="9" t="str">
        <f t="shared" ca="1" si="17"/>
        <v>29 ans</v>
      </c>
      <c r="K1009" s="2" t="s">
        <v>36</v>
      </c>
      <c r="L1009" s="2" t="str">
        <f>"65"</f>
        <v>65</v>
      </c>
      <c r="M1009" s="2"/>
      <c r="N1009" s="2" t="str">
        <f>"CH DE LA BAIE-DE-L'OURS N"</f>
        <v>CH DE LA BAIE-DE-L'OURS N</v>
      </c>
      <c r="O1009" s="2" t="s">
        <v>3185</v>
      </c>
      <c r="P1009" s="9" t="str">
        <f>VLOOKUP($O1009,'Liste des Villes'!$B$2:$B$1128,1,FALSE)</f>
        <v>Saint-Jérôme</v>
      </c>
      <c r="Q1009" s="9" t="str">
        <f>IFERROR($P1009,PROPER(VLOOKUP($O1009,'Villes en erreur'!$A$2:$B$72,2,FALSE)))</f>
        <v>Saint-Jérôme</v>
      </c>
      <c r="R1009" s="9" t="s">
        <v>3186</v>
      </c>
      <c r="S1009" s="9" t="str">
        <f>IF(ISBLANK($R1009),"",VLOOKUP($R1009,'Liste des Villes'!$B$2:$H$1128,4,FALSE))</f>
        <v>Laurentides</v>
      </c>
      <c r="T1009" s="2" t="s">
        <v>3954</v>
      </c>
      <c r="U1009" s="2" t="s">
        <v>39</v>
      </c>
      <c r="V1009" s="2" t="s">
        <v>40</v>
      </c>
      <c r="W1009" s="2" t="s">
        <v>5483</v>
      </c>
      <c r="X1009" s="2"/>
      <c r="Y1009" s="2"/>
      <c r="Z1009" s="2"/>
      <c r="AA1009" s="2" t="s">
        <v>3225</v>
      </c>
      <c r="AB1009" s="2" t="s">
        <v>53</v>
      </c>
      <c r="AC1009" s="4" t="s">
        <v>44</v>
      </c>
    </row>
    <row r="1010" spans="1:29" x14ac:dyDescent="0.25">
      <c r="A1010" s="1">
        <v>3574</v>
      </c>
      <c r="B1010" s="17" t="s">
        <v>5484</v>
      </c>
      <c r="C1010" s="2" t="s">
        <v>5485</v>
      </c>
      <c r="D1010" s="15" t="s">
        <v>4309</v>
      </c>
      <c r="E1010" s="9" t="s">
        <v>5486</v>
      </c>
      <c r="F1010" s="9" t="s">
        <v>4308</v>
      </c>
      <c r="G1010" s="9" t="s">
        <v>179</v>
      </c>
      <c r="H1010" s="2" t="s">
        <v>60</v>
      </c>
      <c r="I1010" s="3">
        <v>36127</v>
      </c>
      <c r="J1010" s="9" t="str">
        <f t="shared" ca="1" si="17"/>
        <v>24 ans</v>
      </c>
      <c r="K1010" s="2" t="s">
        <v>123</v>
      </c>
      <c r="L1010" s="2" t="str">
        <f>"216"</f>
        <v>216</v>
      </c>
      <c r="M1010" s="2"/>
      <c r="N1010" s="2" t="str">
        <f>"RUE ADRIEN"</f>
        <v>RUE ADRIEN</v>
      </c>
      <c r="O1010" s="2" t="s">
        <v>3185</v>
      </c>
      <c r="P1010" s="9" t="str">
        <f>VLOOKUP($O1010,'Liste des Villes'!$B$2:$B$1128,1,FALSE)</f>
        <v>Saint-Jérôme</v>
      </c>
      <c r="Q1010" s="9" t="str">
        <f>IFERROR($P1010,PROPER(VLOOKUP($O1010,'Villes en erreur'!$A$2:$B$72,2,FALSE)))</f>
        <v>Saint-Jérôme</v>
      </c>
      <c r="R1010" s="9" t="s">
        <v>3186</v>
      </c>
      <c r="S1010" s="9" t="str">
        <f>IF(ISBLANK($R1010),"",VLOOKUP($R1010,'Liste des Villes'!$B$2:$H$1128,4,FALSE))</f>
        <v>Laurentides</v>
      </c>
      <c r="T1010" s="2" t="s">
        <v>5487</v>
      </c>
      <c r="U1010" s="2" t="s">
        <v>39</v>
      </c>
      <c r="V1010" s="2" t="s">
        <v>40</v>
      </c>
      <c r="W1010" s="2" t="s">
        <v>5488</v>
      </c>
      <c r="X1010" s="2"/>
      <c r="Y1010" s="2"/>
      <c r="Z1010" s="2"/>
      <c r="AA1010" s="2" t="s">
        <v>832</v>
      </c>
      <c r="AB1010" s="2" t="s">
        <v>3221</v>
      </c>
      <c r="AC1010" s="4" t="s">
        <v>44</v>
      </c>
    </row>
    <row r="1011" spans="1:29" x14ac:dyDescent="0.25">
      <c r="A1011" s="1">
        <v>1924</v>
      </c>
      <c r="B1011" s="17" t="s">
        <v>5489</v>
      </c>
      <c r="C1011" s="2" t="s">
        <v>5490</v>
      </c>
      <c r="D1011" s="15" t="s">
        <v>2827</v>
      </c>
      <c r="E1011" s="9" t="s">
        <v>341</v>
      </c>
      <c r="F1011" s="9" t="s">
        <v>1753</v>
      </c>
      <c r="G1011" s="9" t="s">
        <v>179</v>
      </c>
      <c r="H1011" s="2" t="s">
        <v>60</v>
      </c>
      <c r="I1011" s="3">
        <v>36137</v>
      </c>
      <c r="J1011" s="9" t="str">
        <f t="shared" ca="1" si="17"/>
        <v>24 ans</v>
      </c>
      <c r="K1011" s="2" t="s">
        <v>123</v>
      </c>
      <c r="L1011" s="2" t="str">
        <f>"219"</f>
        <v>219</v>
      </c>
      <c r="M1011" s="2"/>
      <c r="N1011" s="2" t="str">
        <f>"RUE ALARY"</f>
        <v>RUE ALARY</v>
      </c>
      <c r="O1011" s="2" t="s">
        <v>3185</v>
      </c>
      <c r="P1011" s="9" t="str">
        <f>VLOOKUP($O1011,'Liste des Villes'!$B$2:$B$1128,1,FALSE)</f>
        <v>Saint-Jérôme</v>
      </c>
      <c r="Q1011" s="9" t="str">
        <f>IFERROR($P1011,PROPER(VLOOKUP($O1011,'Villes en erreur'!$A$2:$B$72,2,FALSE)))</f>
        <v>Saint-Jérôme</v>
      </c>
      <c r="R1011" s="9" t="s">
        <v>3186</v>
      </c>
      <c r="S1011" s="9" t="str">
        <f>IF(ISBLANK($R1011),"",VLOOKUP($R1011,'Liste des Villes'!$B$2:$H$1128,4,FALSE))</f>
        <v>Laurentides</v>
      </c>
      <c r="T1011" s="2" t="s">
        <v>3347</v>
      </c>
      <c r="U1011" s="2" t="s">
        <v>39</v>
      </c>
      <c r="V1011" s="2" t="s">
        <v>40</v>
      </c>
      <c r="W1011" s="2" t="s">
        <v>5491</v>
      </c>
      <c r="X1011" s="2"/>
      <c r="Y1011" s="2"/>
      <c r="Z1011" s="2"/>
      <c r="AA1011" s="2" t="s">
        <v>832</v>
      </c>
      <c r="AB1011" s="2" t="s">
        <v>3221</v>
      </c>
      <c r="AC1011" s="4" t="s">
        <v>44</v>
      </c>
    </row>
    <row r="1012" spans="1:29" x14ac:dyDescent="0.25">
      <c r="A1012" s="1">
        <v>2861</v>
      </c>
      <c r="B1012" s="17" t="s">
        <v>5492</v>
      </c>
      <c r="C1012" s="2" t="s">
        <v>5493</v>
      </c>
      <c r="D1012" s="15" t="s">
        <v>5494</v>
      </c>
      <c r="E1012" s="9" t="s">
        <v>1754</v>
      </c>
      <c r="F1012" s="9" t="s">
        <v>2728</v>
      </c>
      <c r="G1012" s="9" t="s">
        <v>179</v>
      </c>
      <c r="H1012" s="2" t="s">
        <v>60</v>
      </c>
      <c r="I1012" s="3">
        <v>36127</v>
      </c>
      <c r="J1012" s="9" t="str">
        <f t="shared" ca="1" si="17"/>
        <v>24 ans</v>
      </c>
      <c r="K1012" s="2" t="s">
        <v>123</v>
      </c>
      <c r="L1012" s="2" t="str">
        <f>"216"</f>
        <v>216</v>
      </c>
      <c r="M1012" s="2"/>
      <c r="N1012" s="2" t="str">
        <f>"RUE ADRIEN"</f>
        <v>RUE ADRIEN</v>
      </c>
      <c r="O1012" s="2" t="s">
        <v>3185</v>
      </c>
      <c r="P1012" s="9" t="str">
        <f>VLOOKUP($O1012,'Liste des Villes'!$B$2:$B$1128,1,FALSE)</f>
        <v>Saint-Jérôme</v>
      </c>
      <c r="Q1012" s="9" t="str">
        <f>IFERROR($P1012,PROPER(VLOOKUP($O1012,'Villes en erreur'!$A$2:$B$72,2,FALSE)))</f>
        <v>Saint-Jérôme</v>
      </c>
      <c r="R1012" s="9" t="s">
        <v>3186</v>
      </c>
      <c r="S1012" s="9" t="str">
        <f>IF(ISBLANK($R1012),"",VLOOKUP($R1012,'Liste des Villes'!$B$2:$H$1128,4,FALSE))</f>
        <v>Laurentides</v>
      </c>
      <c r="T1012" s="2" t="s">
        <v>5415</v>
      </c>
      <c r="U1012" s="2" t="s">
        <v>39</v>
      </c>
      <c r="V1012" s="2" t="s">
        <v>40</v>
      </c>
      <c r="W1012" s="2" t="s">
        <v>5495</v>
      </c>
      <c r="X1012" s="2"/>
      <c r="Y1012" s="2"/>
      <c r="Z1012" s="2"/>
      <c r="AA1012" s="2" t="s">
        <v>832</v>
      </c>
      <c r="AB1012" s="2" t="s">
        <v>3221</v>
      </c>
      <c r="AC1012" s="4" t="s">
        <v>44</v>
      </c>
    </row>
    <row r="1013" spans="1:29" x14ac:dyDescent="0.25">
      <c r="A1013" s="1">
        <v>2217</v>
      </c>
      <c r="B1013" s="17" t="s">
        <v>5496</v>
      </c>
      <c r="C1013" s="2" t="s">
        <v>5497</v>
      </c>
      <c r="D1013" s="15" t="s">
        <v>2263</v>
      </c>
      <c r="E1013" s="9" t="s">
        <v>1560</v>
      </c>
      <c r="F1013" s="9" t="s">
        <v>867</v>
      </c>
      <c r="G1013" s="9" t="s">
        <v>635</v>
      </c>
      <c r="H1013" s="2" t="s">
        <v>35</v>
      </c>
      <c r="I1013" s="3">
        <v>33869</v>
      </c>
      <c r="J1013" s="9" t="str">
        <f t="shared" ca="1" si="17"/>
        <v>30 ans</v>
      </c>
      <c r="K1013" s="2" t="s">
        <v>36</v>
      </c>
      <c r="L1013" s="2" t="str">
        <f>"39"</f>
        <v>39</v>
      </c>
      <c r="M1013" s="2"/>
      <c r="N1013" s="2" t="str">
        <f>"AVENUE FÉLIX LECLERC"</f>
        <v>AVENUE FÉLIX LECLERC</v>
      </c>
      <c r="O1013" s="2" t="s">
        <v>3185</v>
      </c>
      <c r="P1013" s="9" t="str">
        <f>VLOOKUP($O1013,'Liste des Villes'!$B$2:$B$1128,1,FALSE)</f>
        <v>Saint-Jérôme</v>
      </c>
      <c r="Q1013" s="9" t="str">
        <f>IFERROR($P1013,PROPER(VLOOKUP($O1013,'Villes en erreur'!$A$2:$B$72,2,FALSE)))</f>
        <v>Saint-Jérôme</v>
      </c>
      <c r="R1013" s="9" t="s">
        <v>3186</v>
      </c>
      <c r="S1013" s="9" t="str">
        <f>IF(ISBLANK($R1013),"",VLOOKUP($R1013,'Liste des Villes'!$B$2:$H$1128,4,FALSE))</f>
        <v>Laurentides</v>
      </c>
      <c r="T1013" s="2" t="s">
        <v>3093</v>
      </c>
      <c r="U1013" s="2" t="s">
        <v>39</v>
      </c>
      <c r="V1013" s="2" t="s">
        <v>40</v>
      </c>
      <c r="W1013" s="2" t="s">
        <v>5498</v>
      </c>
      <c r="X1013" s="2"/>
      <c r="Y1013" s="2"/>
      <c r="Z1013" s="2"/>
      <c r="AA1013" s="2" t="s">
        <v>3207</v>
      </c>
      <c r="AB1013" s="2" t="s">
        <v>53</v>
      </c>
      <c r="AC1013" s="4" t="s">
        <v>44</v>
      </c>
    </row>
    <row r="1014" spans="1:29" x14ac:dyDescent="0.25">
      <c r="A1014" s="1">
        <v>1363</v>
      </c>
      <c r="B1014" s="17" t="s">
        <v>5499</v>
      </c>
      <c r="C1014" s="2" t="s">
        <v>5500</v>
      </c>
      <c r="D1014" s="15" t="s">
        <v>2806</v>
      </c>
      <c r="E1014" s="9" t="s">
        <v>5501</v>
      </c>
      <c r="F1014" s="9" t="s">
        <v>153</v>
      </c>
      <c r="G1014" s="9" t="s">
        <v>3397</v>
      </c>
      <c r="H1014" s="2" t="s">
        <v>60</v>
      </c>
      <c r="I1014" s="3">
        <v>35306</v>
      </c>
      <c r="J1014" s="9" t="str">
        <f t="shared" ca="1" si="17"/>
        <v>26 ans</v>
      </c>
      <c r="K1014" s="2" t="s">
        <v>36</v>
      </c>
      <c r="L1014" s="2" t="str">
        <f>"108"</f>
        <v>108</v>
      </c>
      <c r="M1014" s="2"/>
      <c r="N1014" s="2" t="str">
        <f>"CHEMIN DES BOULEAUX"</f>
        <v>CHEMIN DES BOULEAUX</v>
      </c>
      <c r="O1014" s="2" t="s">
        <v>3185</v>
      </c>
      <c r="P1014" s="9" t="str">
        <f>VLOOKUP($O1014,'Liste des Villes'!$B$2:$B$1128,1,FALSE)</f>
        <v>Saint-Jérôme</v>
      </c>
      <c r="Q1014" s="9" t="str">
        <f>IFERROR($P1014,PROPER(VLOOKUP($O1014,'Villes en erreur'!$A$2:$B$72,2,FALSE)))</f>
        <v>Saint-Jérôme</v>
      </c>
      <c r="R1014" s="9" t="s">
        <v>3186</v>
      </c>
      <c r="S1014" s="9" t="str">
        <f>IF(ISBLANK($R1014),"",VLOOKUP($R1014,'Liste des Villes'!$B$2:$H$1128,4,FALSE))</f>
        <v>Laurentides</v>
      </c>
      <c r="T1014" s="2" t="s">
        <v>3398</v>
      </c>
      <c r="U1014" s="2" t="s">
        <v>39</v>
      </c>
      <c r="V1014" s="2" t="s">
        <v>40</v>
      </c>
      <c r="W1014" s="2" t="s">
        <v>5502</v>
      </c>
      <c r="X1014" s="2"/>
      <c r="Y1014" s="2"/>
      <c r="Z1014" s="2"/>
      <c r="AA1014" s="2" t="s">
        <v>3189</v>
      </c>
      <c r="AB1014" s="2" t="s">
        <v>3200</v>
      </c>
      <c r="AC1014" s="4" t="s">
        <v>44</v>
      </c>
    </row>
    <row r="1015" spans="1:29" x14ac:dyDescent="0.25">
      <c r="A1015" s="1">
        <v>3615</v>
      </c>
      <c r="B1015" s="17" t="s">
        <v>5503</v>
      </c>
      <c r="C1015" s="2" t="s">
        <v>5497</v>
      </c>
      <c r="D1015" s="15" t="s">
        <v>2263</v>
      </c>
      <c r="E1015" s="9" t="s">
        <v>1560</v>
      </c>
      <c r="F1015" s="9" t="s">
        <v>867</v>
      </c>
      <c r="G1015" s="9" t="s">
        <v>664</v>
      </c>
      <c r="H1015" s="2" t="s">
        <v>60</v>
      </c>
      <c r="I1015" s="3">
        <v>36006</v>
      </c>
      <c r="J1015" s="9" t="str">
        <f t="shared" ca="1" si="17"/>
        <v>25 ans</v>
      </c>
      <c r="K1015" s="2" t="s">
        <v>123</v>
      </c>
      <c r="L1015" s="2" t="str">
        <f>"179"</f>
        <v>179</v>
      </c>
      <c r="M1015" s="2"/>
      <c r="N1015" s="2" t="str">
        <f>"PLACE DU CAMPAGNOL"</f>
        <v>PLACE DU CAMPAGNOL</v>
      </c>
      <c r="O1015" s="2" t="s">
        <v>3185</v>
      </c>
      <c r="P1015" s="9" t="str">
        <f>VLOOKUP($O1015,'Liste des Villes'!$B$2:$B$1128,1,FALSE)</f>
        <v>Saint-Jérôme</v>
      </c>
      <c r="Q1015" s="9" t="str">
        <f>IFERROR($P1015,PROPER(VLOOKUP($O1015,'Villes en erreur'!$A$2:$B$72,2,FALSE)))</f>
        <v>Saint-Jérôme</v>
      </c>
      <c r="R1015" s="9" t="s">
        <v>3186</v>
      </c>
      <c r="S1015" s="9" t="str">
        <f>IF(ISBLANK($R1015),"",VLOOKUP($R1015,'Liste des Villes'!$B$2:$H$1128,4,FALSE))</f>
        <v>Laurentides</v>
      </c>
      <c r="T1015" s="2" t="s">
        <v>4337</v>
      </c>
      <c r="U1015" s="2" t="s">
        <v>39</v>
      </c>
      <c r="V1015" s="2" t="s">
        <v>40</v>
      </c>
      <c r="W1015" s="2" t="s">
        <v>5504</v>
      </c>
      <c r="X1015" s="2"/>
      <c r="Y1015" s="2"/>
      <c r="Z1015" s="2"/>
      <c r="AA1015" s="2" t="s">
        <v>832</v>
      </c>
      <c r="AB1015" s="2" t="s">
        <v>3221</v>
      </c>
      <c r="AC1015" s="4" t="s">
        <v>44</v>
      </c>
    </row>
    <row r="1016" spans="1:29" x14ac:dyDescent="0.25">
      <c r="A1016" s="1">
        <v>1193</v>
      </c>
      <c r="B1016" s="17" t="s">
        <v>5505</v>
      </c>
      <c r="C1016" s="2" t="s">
        <v>5506</v>
      </c>
      <c r="D1016" s="15" t="s">
        <v>4941</v>
      </c>
      <c r="E1016" s="9" t="s">
        <v>1377</v>
      </c>
      <c r="F1016" s="9" t="s">
        <v>1378</v>
      </c>
      <c r="G1016" s="9" t="s">
        <v>3397</v>
      </c>
      <c r="H1016" s="2" t="s">
        <v>60</v>
      </c>
      <c r="I1016" s="3">
        <v>35308</v>
      </c>
      <c r="J1016" s="9" t="str">
        <f t="shared" ca="1" si="17"/>
        <v>26 ans</v>
      </c>
      <c r="K1016" s="2" t="s">
        <v>36</v>
      </c>
      <c r="L1016" s="2" t="str">
        <f>"108"</f>
        <v>108</v>
      </c>
      <c r="M1016" s="2"/>
      <c r="N1016" s="2" t="str">
        <f>"CHEMIN DES BUTTES"</f>
        <v>CHEMIN DES BUTTES</v>
      </c>
      <c r="O1016" s="2" t="s">
        <v>3185</v>
      </c>
      <c r="P1016" s="9" t="str">
        <f>VLOOKUP($O1016,'Liste des Villes'!$B$2:$B$1128,1,FALSE)</f>
        <v>Saint-Jérôme</v>
      </c>
      <c r="Q1016" s="9" t="str">
        <f>IFERROR($P1016,PROPER(VLOOKUP($O1016,'Villes en erreur'!$A$2:$B$72,2,FALSE)))</f>
        <v>Saint-Jérôme</v>
      </c>
      <c r="R1016" s="9" t="s">
        <v>3186</v>
      </c>
      <c r="S1016" s="9" t="str">
        <f>IF(ISBLANK($R1016),"",VLOOKUP($R1016,'Liste des Villes'!$B$2:$H$1128,4,FALSE))</f>
        <v>Laurentides</v>
      </c>
      <c r="T1016" s="2" t="s">
        <v>3398</v>
      </c>
      <c r="U1016" s="2" t="s">
        <v>39</v>
      </c>
      <c r="V1016" s="2" t="s">
        <v>40</v>
      </c>
      <c r="W1016" s="2" t="s">
        <v>5507</v>
      </c>
      <c r="X1016" s="2"/>
      <c r="Y1016" s="2"/>
      <c r="Z1016" s="2"/>
      <c r="AA1016" s="2" t="s">
        <v>3189</v>
      </c>
      <c r="AB1016" s="2" t="s">
        <v>3200</v>
      </c>
      <c r="AC1016" s="4" t="s">
        <v>44</v>
      </c>
    </row>
    <row r="1017" spans="1:29" x14ac:dyDescent="0.25">
      <c r="A1017" s="1">
        <v>3437</v>
      </c>
      <c r="B1017" s="17" t="s">
        <v>5508</v>
      </c>
      <c r="C1017" s="2" t="s">
        <v>5509</v>
      </c>
      <c r="D1017" s="15" t="s">
        <v>5510</v>
      </c>
      <c r="E1017" s="9" t="s">
        <v>5511</v>
      </c>
      <c r="F1017" s="9" t="s">
        <v>718</v>
      </c>
      <c r="G1017" s="9" t="s">
        <v>468</v>
      </c>
      <c r="H1017" s="2" t="s">
        <v>35</v>
      </c>
      <c r="I1017" s="3">
        <v>35657</v>
      </c>
      <c r="J1017" s="9" t="str">
        <f t="shared" ca="1" si="17"/>
        <v>26 ans</v>
      </c>
      <c r="K1017" s="2" t="s">
        <v>36</v>
      </c>
      <c r="L1017" s="2" t="str">
        <f>"131"</f>
        <v>131</v>
      </c>
      <c r="M1017" s="2"/>
      <c r="N1017" s="2" t="str">
        <f>"DE SAINT-CANUT BLVD"</f>
        <v>DE SAINT-CANUT BLVD</v>
      </c>
      <c r="O1017" s="2" t="s">
        <v>3185</v>
      </c>
      <c r="P1017" s="9" t="str">
        <f>VLOOKUP($O1017,'Liste des Villes'!$B$2:$B$1128,1,FALSE)</f>
        <v>Saint-Jérôme</v>
      </c>
      <c r="Q1017" s="9" t="str">
        <f>IFERROR($P1017,PROPER(VLOOKUP($O1017,'Villes en erreur'!$A$2:$B$72,2,FALSE)))</f>
        <v>Saint-Jérôme</v>
      </c>
      <c r="R1017" s="9" t="s">
        <v>3186</v>
      </c>
      <c r="S1017" s="9" t="str">
        <f>IF(ISBLANK($R1017),"",VLOOKUP($R1017,'Liste des Villes'!$B$2:$H$1128,4,FALSE))</f>
        <v>Laurentides</v>
      </c>
      <c r="T1017" s="2" t="s">
        <v>3761</v>
      </c>
      <c r="U1017" s="2" t="s">
        <v>39</v>
      </c>
      <c r="V1017" s="2" t="s">
        <v>40</v>
      </c>
      <c r="W1017" s="2" t="s">
        <v>5512</v>
      </c>
      <c r="X1017" s="2"/>
      <c r="Y1017" s="2"/>
      <c r="Z1017" s="2"/>
      <c r="AA1017" s="2" t="s">
        <v>3243</v>
      </c>
      <c r="AB1017" s="2" t="s">
        <v>3221</v>
      </c>
      <c r="AC1017" s="4" t="s">
        <v>44</v>
      </c>
    </row>
    <row r="1018" spans="1:29" x14ac:dyDescent="0.25">
      <c r="A1018" s="1">
        <v>1858</v>
      </c>
      <c r="B1018" s="17" t="s">
        <v>5513</v>
      </c>
      <c r="C1018" s="2" t="s">
        <v>5514</v>
      </c>
      <c r="D1018" s="15" t="s">
        <v>675</v>
      </c>
      <c r="E1018" s="9" t="s">
        <v>2300</v>
      </c>
      <c r="F1018" s="9" t="s">
        <v>5515</v>
      </c>
      <c r="G1018" s="9" t="s">
        <v>431</v>
      </c>
      <c r="H1018" s="2" t="s">
        <v>60</v>
      </c>
      <c r="I1018" s="3">
        <v>35898</v>
      </c>
      <c r="J1018" s="9" t="str">
        <f t="shared" ca="1" si="17"/>
        <v>25 ans</v>
      </c>
      <c r="K1018" s="2" t="s">
        <v>123</v>
      </c>
      <c r="L1018" s="2" t="str">
        <f>"156"</f>
        <v>156</v>
      </c>
      <c r="M1018" s="2"/>
      <c r="N1018" s="2" t="str">
        <f>"MONTÉE DE LA CARRIÈRE"</f>
        <v>MONTÉE DE LA CARRIÈRE</v>
      </c>
      <c r="O1018" s="2" t="s">
        <v>3185</v>
      </c>
      <c r="P1018" s="9" t="str">
        <f>VLOOKUP($O1018,'Liste des Villes'!$B$2:$B$1128,1,FALSE)</f>
        <v>Saint-Jérôme</v>
      </c>
      <c r="Q1018" s="9" t="str">
        <f>IFERROR($P1018,PROPER(VLOOKUP($O1018,'Villes en erreur'!$A$2:$B$72,2,FALSE)))</f>
        <v>Saint-Jérôme</v>
      </c>
      <c r="R1018" s="9" t="s">
        <v>3186</v>
      </c>
      <c r="S1018" s="9" t="str">
        <f>IF(ISBLANK($R1018),"",VLOOKUP($R1018,'Liste des Villes'!$B$2:$H$1128,4,FALSE))</f>
        <v>Laurentides</v>
      </c>
      <c r="T1018" s="2" t="s">
        <v>5516</v>
      </c>
      <c r="U1018" s="2" t="s">
        <v>39</v>
      </c>
      <c r="V1018" s="2" t="s">
        <v>40</v>
      </c>
      <c r="W1018" s="2" t="s">
        <v>5517</v>
      </c>
      <c r="X1018" s="2"/>
      <c r="Y1018" s="2"/>
      <c r="Z1018" s="2"/>
      <c r="AA1018" s="2" t="s">
        <v>3243</v>
      </c>
      <c r="AB1018" s="2" t="s">
        <v>3221</v>
      </c>
      <c r="AC1018" s="4" t="s">
        <v>44</v>
      </c>
    </row>
    <row r="1019" spans="1:29" x14ac:dyDescent="0.25">
      <c r="A1019" s="1">
        <v>2820</v>
      </c>
      <c r="B1019" s="17" t="s">
        <v>5518</v>
      </c>
      <c r="C1019" s="2" t="s">
        <v>5519</v>
      </c>
      <c r="D1019" s="15" t="s">
        <v>5520</v>
      </c>
      <c r="E1019" s="9" t="s">
        <v>1099</v>
      </c>
      <c r="F1019" s="9" t="s">
        <v>5521</v>
      </c>
      <c r="G1019" s="9" t="s">
        <v>1397</v>
      </c>
      <c r="H1019" s="2" t="s">
        <v>60</v>
      </c>
      <c r="I1019" s="3">
        <v>35218</v>
      </c>
      <c r="J1019" s="9" t="str">
        <f t="shared" ca="1" si="17"/>
        <v>27 ans</v>
      </c>
      <c r="K1019" s="2" t="s">
        <v>36</v>
      </c>
      <c r="L1019" s="2" t="str">
        <f>"105"</f>
        <v>105</v>
      </c>
      <c r="M1019" s="2"/>
      <c r="N1019" s="2" t="str">
        <f>"CH,DES BOISÉS CHAMPÊTRES"</f>
        <v>CH,DES BOISÉS CHAMPÊTRES</v>
      </c>
      <c r="O1019" s="2" t="s">
        <v>3185</v>
      </c>
      <c r="P1019" s="9" t="str">
        <f>VLOOKUP($O1019,'Liste des Villes'!$B$2:$B$1128,1,FALSE)</f>
        <v>Saint-Jérôme</v>
      </c>
      <c r="Q1019" s="9" t="str">
        <f>IFERROR($P1019,PROPER(VLOOKUP($O1019,'Villes en erreur'!$A$2:$B$72,2,FALSE)))</f>
        <v>Saint-Jérôme</v>
      </c>
      <c r="R1019" s="9" t="s">
        <v>3186</v>
      </c>
      <c r="S1019" s="9" t="str">
        <f>IF(ISBLANK($R1019),"",VLOOKUP($R1019,'Liste des Villes'!$B$2:$H$1128,4,FALSE))</f>
        <v>Laurentides</v>
      </c>
      <c r="T1019" s="2" t="s">
        <v>3187</v>
      </c>
      <c r="U1019" s="2" t="s">
        <v>39</v>
      </c>
      <c r="V1019" s="2" t="s">
        <v>40</v>
      </c>
      <c r="W1019" s="2" t="s">
        <v>5522</v>
      </c>
      <c r="X1019" s="2"/>
      <c r="Y1019" s="2"/>
      <c r="Z1019" s="2"/>
      <c r="AA1019" s="2" t="s">
        <v>3189</v>
      </c>
      <c r="AB1019" s="2" t="s">
        <v>3190</v>
      </c>
      <c r="AC1019" s="4" t="s">
        <v>44</v>
      </c>
    </row>
    <row r="1020" spans="1:29" x14ac:dyDescent="0.25">
      <c r="A1020" s="1">
        <v>3192</v>
      </c>
      <c r="B1020" s="17" t="s">
        <v>5523</v>
      </c>
      <c r="C1020" s="2" t="s">
        <v>1551</v>
      </c>
      <c r="D1020" s="15" t="s">
        <v>1552</v>
      </c>
      <c r="E1020" s="9" t="s">
        <v>1553</v>
      </c>
      <c r="F1020" s="9" t="s">
        <v>2075</v>
      </c>
      <c r="G1020" s="9" t="s">
        <v>851</v>
      </c>
      <c r="H1020" s="2" t="s">
        <v>35</v>
      </c>
      <c r="I1020" s="3">
        <v>36153</v>
      </c>
      <c r="J1020" s="9" t="str">
        <f t="shared" ca="1" si="17"/>
        <v>24 ans</v>
      </c>
      <c r="K1020" s="2" t="s">
        <v>123</v>
      </c>
      <c r="L1020" s="2" t="str">
        <f>"222"</f>
        <v>222</v>
      </c>
      <c r="M1020" s="2"/>
      <c r="N1020" s="2" t="str">
        <f>"RUE ALDÈGE BÉLISLE"</f>
        <v>RUE ALDÈGE BÉLISLE</v>
      </c>
      <c r="O1020" s="2" t="s">
        <v>3185</v>
      </c>
      <c r="P1020" s="9" t="str">
        <f>VLOOKUP($O1020,'Liste des Villes'!$B$2:$B$1128,1,FALSE)</f>
        <v>Saint-Jérôme</v>
      </c>
      <c r="Q1020" s="9" t="str">
        <f>IFERROR($P1020,PROPER(VLOOKUP($O1020,'Villes en erreur'!$A$2:$B$72,2,FALSE)))</f>
        <v>Saint-Jérôme</v>
      </c>
      <c r="R1020" s="9" t="s">
        <v>3186</v>
      </c>
      <c r="S1020" s="9" t="str">
        <f>IF(ISBLANK($R1020),"",VLOOKUP($R1020,'Liste des Villes'!$B$2:$H$1128,4,FALSE))</f>
        <v>Laurentides</v>
      </c>
      <c r="T1020" s="2" t="s">
        <v>5524</v>
      </c>
      <c r="U1020" s="2" t="s">
        <v>39</v>
      </c>
      <c r="V1020" s="2" t="s">
        <v>40</v>
      </c>
      <c r="W1020" s="2" t="s">
        <v>5525</v>
      </c>
      <c r="X1020" s="2"/>
      <c r="Y1020" s="2"/>
      <c r="Z1020" s="2"/>
      <c r="AA1020" s="2" t="s">
        <v>832</v>
      </c>
      <c r="AB1020" s="2" t="s">
        <v>3221</v>
      </c>
      <c r="AC1020" s="4" t="s">
        <v>44</v>
      </c>
    </row>
    <row r="1021" spans="1:29" x14ac:dyDescent="0.25">
      <c r="A1021" s="1">
        <v>1395</v>
      </c>
      <c r="B1021" s="17" t="s">
        <v>5526</v>
      </c>
      <c r="C1021" s="2" t="s">
        <v>5527</v>
      </c>
      <c r="D1021" s="15" t="s">
        <v>562</v>
      </c>
      <c r="E1021" s="9" t="s">
        <v>5528</v>
      </c>
      <c r="F1021" s="9" t="s">
        <v>2333</v>
      </c>
      <c r="G1021" s="9" t="s">
        <v>1037</v>
      </c>
      <c r="H1021" s="2" t="s">
        <v>35</v>
      </c>
      <c r="I1021" s="3">
        <v>36066</v>
      </c>
      <c r="J1021" s="9" t="str">
        <f t="shared" ca="1" si="17"/>
        <v>24 ans</v>
      </c>
      <c r="K1021" s="2" t="s">
        <v>123</v>
      </c>
      <c r="L1021" s="2" t="str">
        <f>"194"</f>
        <v>194</v>
      </c>
      <c r="M1021" s="2"/>
      <c r="N1021" s="2" t="str">
        <f>"RANG GIROUX"</f>
        <v>RANG GIROUX</v>
      </c>
      <c r="O1021" s="2" t="s">
        <v>3185</v>
      </c>
      <c r="P1021" s="9" t="str">
        <f>VLOOKUP($O1021,'Liste des Villes'!$B$2:$B$1128,1,FALSE)</f>
        <v>Saint-Jérôme</v>
      </c>
      <c r="Q1021" s="9" t="str">
        <f>IFERROR($P1021,PROPER(VLOOKUP($O1021,'Villes en erreur'!$A$2:$B$72,2,FALSE)))</f>
        <v>Saint-Jérôme</v>
      </c>
      <c r="R1021" s="9" t="s">
        <v>3186</v>
      </c>
      <c r="S1021" s="9" t="str">
        <f>IF(ISBLANK($R1021),"",VLOOKUP($R1021,'Liste des Villes'!$B$2:$H$1128,4,FALSE))</f>
        <v>Laurentides</v>
      </c>
      <c r="T1021" s="2" t="s">
        <v>5529</v>
      </c>
      <c r="U1021" s="2" t="s">
        <v>39</v>
      </c>
      <c r="V1021" s="2" t="s">
        <v>40</v>
      </c>
      <c r="W1021" s="2" t="s">
        <v>5530</v>
      </c>
      <c r="X1021" s="2"/>
      <c r="Y1021" s="2"/>
      <c r="Z1021" s="2"/>
      <c r="AA1021" s="2" t="s">
        <v>832</v>
      </c>
      <c r="AB1021" s="2" t="s">
        <v>3221</v>
      </c>
      <c r="AC1021" s="4" t="s">
        <v>44</v>
      </c>
    </row>
    <row r="1022" spans="1:29" x14ac:dyDescent="0.25">
      <c r="A1022" s="1">
        <v>2631</v>
      </c>
      <c r="B1022" s="17" t="s">
        <v>5531</v>
      </c>
      <c r="C1022" s="2" t="s">
        <v>5532</v>
      </c>
      <c r="D1022" s="15" t="s">
        <v>5533</v>
      </c>
      <c r="E1022" s="9" t="s">
        <v>5534</v>
      </c>
      <c r="F1022" s="9" t="s">
        <v>2910</v>
      </c>
      <c r="G1022" s="9" t="s">
        <v>635</v>
      </c>
      <c r="H1022" s="2" t="s">
        <v>35</v>
      </c>
      <c r="I1022" s="3">
        <v>33903</v>
      </c>
      <c r="J1022" s="9" t="str">
        <f t="shared" ca="1" si="17"/>
        <v>30 ans</v>
      </c>
      <c r="K1022" s="2" t="s">
        <v>36</v>
      </c>
      <c r="L1022" s="2" t="str">
        <f>"40"</f>
        <v>40</v>
      </c>
      <c r="M1022" s="2"/>
      <c r="N1022" s="2" t="str">
        <f>"AVENUE HOCHAR"</f>
        <v>AVENUE HOCHAR</v>
      </c>
      <c r="O1022" s="2" t="s">
        <v>3185</v>
      </c>
      <c r="P1022" s="9" t="str">
        <f>VLOOKUP($O1022,'Liste des Villes'!$B$2:$B$1128,1,FALSE)</f>
        <v>Saint-Jérôme</v>
      </c>
      <c r="Q1022" s="9" t="str">
        <f>IFERROR($P1022,PROPER(VLOOKUP($O1022,'Villes en erreur'!$A$2:$B$72,2,FALSE)))</f>
        <v>Saint-Jérôme</v>
      </c>
      <c r="R1022" s="9" t="s">
        <v>3186</v>
      </c>
      <c r="S1022" s="9" t="str">
        <f>IF(ISBLANK($R1022),"",VLOOKUP($R1022,'Liste des Villes'!$B$2:$H$1128,4,FALSE))</f>
        <v>Laurentides</v>
      </c>
      <c r="T1022" s="2" t="s">
        <v>3093</v>
      </c>
      <c r="U1022" s="2" t="s">
        <v>39</v>
      </c>
      <c r="V1022" s="2" t="s">
        <v>40</v>
      </c>
      <c r="W1022" s="2" t="s">
        <v>5535</v>
      </c>
      <c r="X1022" s="2"/>
      <c r="Y1022" s="2"/>
      <c r="Z1022" s="2"/>
      <c r="AA1022" s="2" t="s">
        <v>3207</v>
      </c>
      <c r="AB1022" s="2" t="s">
        <v>53</v>
      </c>
      <c r="AC1022" s="4" t="s">
        <v>44</v>
      </c>
    </row>
    <row r="1023" spans="1:29" x14ac:dyDescent="0.25">
      <c r="A1023" s="1">
        <v>885</v>
      </c>
      <c r="B1023" s="17" t="s">
        <v>5536</v>
      </c>
      <c r="C1023" s="2" t="s">
        <v>5537</v>
      </c>
      <c r="D1023" s="15" t="s">
        <v>5538</v>
      </c>
      <c r="E1023" s="9" t="s">
        <v>1236</v>
      </c>
      <c r="F1023" s="9" t="s">
        <v>5539</v>
      </c>
      <c r="G1023" s="9" t="s">
        <v>5540</v>
      </c>
      <c r="H1023" s="2" t="s">
        <v>35</v>
      </c>
      <c r="I1023" s="3">
        <v>35851</v>
      </c>
      <c r="J1023" s="9" t="str">
        <f t="shared" ca="1" si="17"/>
        <v>25 ans</v>
      </c>
      <c r="K1023" s="2" t="s">
        <v>123</v>
      </c>
      <c r="L1023" s="2" t="str">
        <f>"150"</f>
        <v>150</v>
      </c>
      <c r="M1023" s="2"/>
      <c r="N1023" s="2" t="str">
        <f>"LESSARD"</f>
        <v>LESSARD</v>
      </c>
      <c r="O1023" s="2" t="s">
        <v>3185</v>
      </c>
      <c r="P1023" s="9" t="str">
        <f>VLOOKUP($O1023,'Liste des Villes'!$B$2:$B$1128,1,FALSE)</f>
        <v>Saint-Jérôme</v>
      </c>
      <c r="Q1023" s="9" t="str">
        <f>IFERROR($P1023,PROPER(VLOOKUP($O1023,'Villes en erreur'!$A$2:$B$72,2,FALSE)))</f>
        <v>Saint-Jérôme</v>
      </c>
      <c r="R1023" s="9" t="s">
        <v>3186</v>
      </c>
      <c r="S1023" s="9" t="str">
        <f>IF(ISBLANK($R1023),"",VLOOKUP($R1023,'Liste des Villes'!$B$2:$H$1128,4,FALSE))</f>
        <v>Laurentides</v>
      </c>
      <c r="T1023" s="2" t="s">
        <v>5541</v>
      </c>
      <c r="U1023" s="2" t="s">
        <v>39</v>
      </c>
      <c r="V1023" s="2" t="s">
        <v>40</v>
      </c>
      <c r="W1023" s="2" t="s">
        <v>5542</v>
      </c>
      <c r="X1023" s="2"/>
      <c r="Y1023" s="2"/>
      <c r="Z1023" s="2"/>
      <c r="AA1023" s="2" t="s">
        <v>3243</v>
      </c>
      <c r="AB1023" s="2" t="s">
        <v>3221</v>
      </c>
      <c r="AC1023" s="4" t="s">
        <v>44</v>
      </c>
    </row>
    <row r="1024" spans="1:29" x14ac:dyDescent="0.25">
      <c r="A1024" s="1">
        <v>837</v>
      </c>
      <c r="B1024" s="17" t="s">
        <v>5543</v>
      </c>
      <c r="C1024" s="2" t="s">
        <v>3401</v>
      </c>
      <c r="D1024" s="15" t="s">
        <v>3402</v>
      </c>
      <c r="E1024" s="9" t="s">
        <v>277</v>
      </c>
      <c r="F1024" s="9" t="s">
        <v>5544</v>
      </c>
      <c r="G1024" s="9" t="s">
        <v>179</v>
      </c>
      <c r="H1024" s="2" t="s">
        <v>60</v>
      </c>
      <c r="I1024" s="3">
        <v>36127</v>
      </c>
      <c r="J1024" s="9" t="str">
        <f t="shared" ca="1" si="17"/>
        <v>24 ans</v>
      </c>
      <c r="K1024" s="2" t="s">
        <v>123</v>
      </c>
      <c r="L1024" s="2" t="str">
        <f>"216"</f>
        <v>216</v>
      </c>
      <c r="M1024" s="2"/>
      <c r="N1024" s="2" t="str">
        <f>"RUE ADONIS"</f>
        <v>RUE ADONIS</v>
      </c>
      <c r="O1024" s="2" t="s">
        <v>3185</v>
      </c>
      <c r="P1024" s="9" t="str">
        <f>VLOOKUP($O1024,'Liste des Villes'!$B$2:$B$1128,1,FALSE)</f>
        <v>Saint-Jérôme</v>
      </c>
      <c r="Q1024" s="9" t="str">
        <f>IFERROR($P1024,PROPER(VLOOKUP($O1024,'Villes en erreur'!$A$2:$B$72,2,FALSE)))</f>
        <v>Saint-Jérôme</v>
      </c>
      <c r="R1024" s="9" t="s">
        <v>3186</v>
      </c>
      <c r="S1024" s="9" t="str">
        <f>IF(ISBLANK($R1024),"",VLOOKUP($R1024,'Liste des Villes'!$B$2:$H$1128,4,FALSE))</f>
        <v>Laurentides</v>
      </c>
      <c r="T1024" s="2" t="s">
        <v>5415</v>
      </c>
      <c r="U1024" s="2" t="s">
        <v>39</v>
      </c>
      <c r="V1024" s="2" t="s">
        <v>40</v>
      </c>
      <c r="W1024" s="2" t="s">
        <v>5545</v>
      </c>
      <c r="X1024" s="2"/>
      <c r="Y1024" s="2"/>
      <c r="Z1024" s="2"/>
      <c r="AA1024" s="2" t="s">
        <v>832</v>
      </c>
      <c r="AB1024" s="2" t="s">
        <v>3221</v>
      </c>
      <c r="AC1024" s="4" t="s">
        <v>44</v>
      </c>
    </row>
    <row r="1025" spans="1:29" x14ac:dyDescent="0.25">
      <c r="A1025" s="1">
        <v>197</v>
      </c>
      <c r="B1025" s="17" t="s">
        <v>5546</v>
      </c>
      <c r="C1025" s="2" t="s">
        <v>5414</v>
      </c>
      <c r="D1025" s="15" t="s">
        <v>4357</v>
      </c>
      <c r="E1025" s="9" t="s">
        <v>3626</v>
      </c>
      <c r="F1025" s="9" t="s">
        <v>3783</v>
      </c>
      <c r="G1025" s="9" t="s">
        <v>2339</v>
      </c>
      <c r="H1025" s="2" t="s">
        <v>35</v>
      </c>
      <c r="I1025" s="3">
        <v>35843</v>
      </c>
      <c r="J1025" s="9" t="str">
        <f t="shared" ca="1" si="17"/>
        <v>25 ans</v>
      </c>
      <c r="K1025" s="2" t="s">
        <v>123</v>
      </c>
      <c r="L1025" s="2" t="str">
        <f>"147"</f>
        <v>147</v>
      </c>
      <c r="M1025" s="2"/>
      <c r="N1025" s="2" t="str">
        <f>"LARRIVIÈRE"</f>
        <v>LARRIVIÈRE</v>
      </c>
      <c r="O1025" s="2" t="s">
        <v>3185</v>
      </c>
      <c r="P1025" s="9" t="str">
        <f>VLOOKUP($O1025,'Liste des Villes'!$B$2:$B$1128,1,FALSE)</f>
        <v>Saint-Jérôme</v>
      </c>
      <c r="Q1025" s="9" t="str">
        <f>IFERROR($P1025,PROPER(VLOOKUP($O1025,'Villes en erreur'!$A$2:$B$72,2,FALSE)))</f>
        <v>Saint-Jérôme</v>
      </c>
      <c r="R1025" s="9" t="s">
        <v>3186</v>
      </c>
      <c r="S1025" s="9" t="str">
        <f>IF(ISBLANK($R1025),"",VLOOKUP($R1025,'Liste des Villes'!$B$2:$H$1128,4,FALSE))</f>
        <v>Laurentides</v>
      </c>
      <c r="T1025" s="2" t="s">
        <v>5547</v>
      </c>
      <c r="U1025" s="2" t="s">
        <v>39</v>
      </c>
      <c r="V1025" s="2" t="s">
        <v>40</v>
      </c>
      <c r="W1025" s="2" t="s">
        <v>5548</v>
      </c>
      <c r="X1025" s="2"/>
      <c r="Y1025" s="2"/>
      <c r="Z1025" s="2"/>
      <c r="AA1025" s="2" t="s">
        <v>3243</v>
      </c>
      <c r="AB1025" s="2" t="s">
        <v>3221</v>
      </c>
      <c r="AC1025" s="4" t="s">
        <v>44</v>
      </c>
    </row>
    <row r="1026" spans="1:29" x14ac:dyDescent="0.25">
      <c r="A1026" s="1">
        <v>2500</v>
      </c>
      <c r="B1026" s="17" t="s">
        <v>5549</v>
      </c>
      <c r="C1026" s="2" t="s">
        <v>2727</v>
      </c>
      <c r="D1026" s="15" t="s">
        <v>2728</v>
      </c>
      <c r="E1026" s="9" t="s">
        <v>341</v>
      </c>
      <c r="F1026" s="9" t="s">
        <v>5494</v>
      </c>
      <c r="G1026" s="9" t="s">
        <v>3668</v>
      </c>
      <c r="H1026" s="2" t="s">
        <v>60</v>
      </c>
      <c r="I1026" s="3">
        <v>36228</v>
      </c>
      <c r="J1026" s="9" t="str">
        <f t="shared" ref="J1026:J1089" ca="1" si="18">_xlfn.CONCAT(INT((TODAY()-$I1026)/365.25)," ans")</f>
        <v>24 ans</v>
      </c>
      <c r="K1026" s="2" t="s">
        <v>123</v>
      </c>
      <c r="L1026" s="2" t="str">
        <f>"259"</f>
        <v>259</v>
      </c>
      <c r="M1026" s="2"/>
      <c r="N1026" s="2" t="str">
        <f>"RUE BEAUSITE"</f>
        <v>RUE BEAUSITE</v>
      </c>
      <c r="O1026" s="2" t="s">
        <v>3185</v>
      </c>
      <c r="P1026" s="9" t="str">
        <f>VLOOKUP($O1026,'Liste des Villes'!$B$2:$B$1128,1,FALSE)</f>
        <v>Saint-Jérôme</v>
      </c>
      <c r="Q1026" s="9" t="str">
        <f>IFERROR($P1026,PROPER(VLOOKUP($O1026,'Villes en erreur'!$A$2:$B$72,2,FALSE)))</f>
        <v>Saint-Jérôme</v>
      </c>
      <c r="R1026" s="9" t="s">
        <v>3186</v>
      </c>
      <c r="S1026" s="9" t="str">
        <f>IF(ISBLANK($R1026),"",VLOOKUP($R1026,'Liste des Villes'!$B$2:$H$1128,4,FALSE))</f>
        <v>Laurentides</v>
      </c>
      <c r="T1026" s="2" t="s">
        <v>4257</v>
      </c>
      <c r="U1026" s="2" t="s">
        <v>39</v>
      </c>
      <c r="V1026" s="2" t="s">
        <v>40</v>
      </c>
      <c r="W1026" s="2" t="s">
        <v>5550</v>
      </c>
      <c r="X1026" s="2"/>
      <c r="Y1026" s="2"/>
      <c r="Z1026" s="2"/>
      <c r="AA1026" s="2" t="s">
        <v>832</v>
      </c>
      <c r="AB1026" s="2" t="s">
        <v>3288</v>
      </c>
      <c r="AC1026" s="4" t="s">
        <v>44</v>
      </c>
    </row>
    <row r="1027" spans="1:29" x14ac:dyDescent="0.25">
      <c r="A1027" s="1">
        <v>2716</v>
      </c>
      <c r="B1027" s="17" t="s">
        <v>5551</v>
      </c>
      <c r="C1027" s="2" t="s">
        <v>5552</v>
      </c>
      <c r="D1027" s="15" t="s">
        <v>2898</v>
      </c>
      <c r="E1027" s="9" t="s">
        <v>704</v>
      </c>
      <c r="F1027" s="9" t="s">
        <v>5553</v>
      </c>
      <c r="G1027" s="9" t="s">
        <v>179</v>
      </c>
      <c r="H1027" s="2" t="s">
        <v>60</v>
      </c>
      <c r="I1027" s="3">
        <v>36139</v>
      </c>
      <c r="J1027" s="9" t="str">
        <f t="shared" ca="1" si="18"/>
        <v>24 ans</v>
      </c>
      <c r="K1027" s="2" t="s">
        <v>123</v>
      </c>
      <c r="L1027" s="2" t="str">
        <f>"219"</f>
        <v>219</v>
      </c>
      <c r="M1027" s="2"/>
      <c r="N1027" s="2" t="str">
        <f>"RUE ALBAN"</f>
        <v>RUE ALBAN</v>
      </c>
      <c r="O1027" s="2" t="s">
        <v>3185</v>
      </c>
      <c r="P1027" s="9" t="str">
        <f>VLOOKUP($O1027,'Liste des Villes'!$B$2:$B$1128,1,FALSE)</f>
        <v>Saint-Jérôme</v>
      </c>
      <c r="Q1027" s="9" t="str">
        <f>IFERROR($P1027,PROPER(VLOOKUP($O1027,'Villes en erreur'!$A$2:$B$72,2,FALSE)))</f>
        <v>Saint-Jérôme</v>
      </c>
      <c r="R1027" s="9" t="s">
        <v>3186</v>
      </c>
      <c r="S1027" s="9" t="str">
        <f>IF(ISBLANK($R1027),"",VLOOKUP($R1027,'Liste des Villes'!$B$2:$H$1128,4,FALSE))</f>
        <v>Laurentides</v>
      </c>
      <c r="T1027" s="2" t="s">
        <v>3347</v>
      </c>
      <c r="U1027" s="2" t="s">
        <v>39</v>
      </c>
      <c r="V1027" s="2" t="s">
        <v>40</v>
      </c>
      <c r="W1027" s="2" t="s">
        <v>5554</v>
      </c>
      <c r="X1027" s="2"/>
      <c r="Y1027" s="2"/>
      <c r="Z1027" s="2"/>
      <c r="AA1027" s="2" t="s">
        <v>832</v>
      </c>
      <c r="AB1027" s="2" t="s">
        <v>3221</v>
      </c>
      <c r="AC1027" s="4" t="s">
        <v>44</v>
      </c>
    </row>
    <row r="1028" spans="1:29" x14ac:dyDescent="0.25">
      <c r="A1028" s="1">
        <v>3728</v>
      </c>
      <c r="B1028" s="17" t="s">
        <v>5555</v>
      </c>
      <c r="C1028" s="2" t="s">
        <v>5556</v>
      </c>
      <c r="D1028" s="15" t="s">
        <v>5557</v>
      </c>
      <c r="E1028" s="9" t="s">
        <v>1037</v>
      </c>
      <c r="F1028" s="9" t="s">
        <v>5558</v>
      </c>
      <c r="G1028" s="9" t="s">
        <v>5559</v>
      </c>
      <c r="H1028" s="2" t="s">
        <v>60</v>
      </c>
      <c r="I1028" s="3">
        <v>36201</v>
      </c>
      <c r="J1028" s="9" t="str">
        <f t="shared" ca="1" si="18"/>
        <v>24 ans</v>
      </c>
      <c r="K1028" s="2" t="s">
        <v>123</v>
      </c>
      <c r="L1028" s="2" t="str">
        <f>"243"</f>
        <v>243</v>
      </c>
      <c r="M1028" s="2"/>
      <c r="N1028" s="2" t="str">
        <f>"RUE ARTHUR NADON"</f>
        <v>RUE ARTHUR NADON</v>
      </c>
      <c r="O1028" s="2" t="s">
        <v>3185</v>
      </c>
      <c r="P1028" s="9" t="str">
        <f>VLOOKUP($O1028,'Liste des Villes'!$B$2:$B$1128,1,FALSE)</f>
        <v>Saint-Jérôme</v>
      </c>
      <c r="Q1028" s="9" t="str">
        <f>IFERROR($P1028,PROPER(VLOOKUP($O1028,'Villes en erreur'!$A$2:$B$72,2,FALSE)))</f>
        <v>Saint-Jérôme</v>
      </c>
      <c r="R1028" s="9" t="s">
        <v>3186</v>
      </c>
      <c r="S1028" s="9" t="str">
        <f>IF(ISBLANK($R1028),"",VLOOKUP($R1028,'Liste des Villes'!$B$2:$H$1128,4,FALSE))</f>
        <v>Laurentides</v>
      </c>
      <c r="T1028" s="2" t="s">
        <v>3487</v>
      </c>
      <c r="U1028" s="2" t="s">
        <v>39</v>
      </c>
      <c r="V1028" s="2" t="s">
        <v>40</v>
      </c>
      <c r="W1028" s="2" t="s">
        <v>5560</v>
      </c>
      <c r="X1028" s="2"/>
      <c r="Y1028" s="2"/>
      <c r="Z1028" s="2"/>
      <c r="AA1028" s="2" t="s">
        <v>832</v>
      </c>
      <c r="AB1028" s="2" t="s">
        <v>3288</v>
      </c>
      <c r="AC1028" s="4" t="s">
        <v>44</v>
      </c>
    </row>
    <row r="1029" spans="1:29" x14ac:dyDescent="0.25">
      <c r="A1029" s="1">
        <v>4605</v>
      </c>
      <c r="B1029" s="17" t="s">
        <v>5561</v>
      </c>
      <c r="C1029" s="2" t="s">
        <v>5562</v>
      </c>
      <c r="D1029" s="15" t="s">
        <v>460</v>
      </c>
      <c r="E1029" s="9" t="s">
        <v>4563</v>
      </c>
      <c r="F1029" s="9" t="s">
        <v>5563</v>
      </c>
      <c r="G1029" s="9" t="s">
        <v>495</v>
      </c>
      <c r="H1029" s="2" t="s">
        <v>35</v>
      </c>
      <c r="I1029" s="3">
        <v>34572</v>
      </c>
      <c r="J1029" s="9" t="str">
        <f t="shared" ca="1" si="18"/>
        <v>28 ans</v>
      </c>
      <c r="K1029" s="2" t="s">
        <v>36</v>
      </c>
      <c r="L1029" s="2" t="str">
        <f>"66"</f>
        <v>66</v>
      </c>
      <c r="M1029" s="2"/>
      <c r="N1029" s="2" t="str">
        <f>"CH DE LA LIÈVRE N"</f>
        <v>CH DE LA LIÈVRE N</v>
      </c>
      <c r="O1029" s="2" t="s">
        <v>3185</v>
      </c>
      <c r="P1029" s="9" t="str">
        <f>VLOOKUP($O1029,'Liste des Villes'!$B$2:$B$1128,1,FALSE)</f>
        <v>Saint-Jérôme</v>
      </c>
      <c r="Q1029" s="9" t="str">
        <f>IFERROR($P1029,PROPER(VLOOKUP($O1029,'Villes en erreur'!$A$2:$B$72,2,FALSE)))</f>
        <v>Saint-Jérôme</v>
      </c>
      <c r="R1029" s="9" t="s">
        <v>3186</v>
      </c>
      <c r="S1029" s="9" t="str">
        <f>IF(ISBLANK($R1029),"",VLOOKUP($R1029,'Liste des Villes'!$B$2:$H$1128,4,FALSE))</f>
        <v>Laurentides</v>
      </c>
      <c r="T1029" s="2" t="s">
        <v>3954</v>
      </c>
      <c r="U1029" s="2" t="s">
        <v>39</v>
      </c>
      <c r="V1029" s="2" t="s">
        <v>40</v>
      </c>
      <c r="W1029" s="2" t="s">
        <v>5564</v>
      </c>
      <c r="X1029" s="2"/>
      <c r="Y1029" s="2"/>
      <c r="Z1029" s="2"/>
      <c r="AA1029" s="2" t="s">
        <v>3225</v>
      </c>
      <c r="AB1029" s="2" t="s">
        <v>53</v>
      </c>
      <c r="AC1029" s="4" t="s">
        <v>44</v>
      </c>
    </row>
    <row r="1030" spans="1:29" x14ac:dyDescent="0.25">
      <c r="A1030" s="1">
        <v>3498</v>
      </c>
      <c r="B1030" s="17" t="s">
        <v>5565</v>
      </c>
      <c r="C1030" s="2" t="s">
        <v>2578</v>
      </c>
      <c r="D1030" s="15" t="s">
        <v>34</v>
      </c>
      <c r="E1030" s="9" t="s">
        <v>2579</v>
      </c>
      <c r="F1030" s="9" t="s">
        <v>2580</v>
      </c>
      <c r="G1030" s="9" t="s">
        <v>3265</v>
      </c>
      <c r="H1030" s="2" t="s">
        <v>60</v>
      </c>
      <c r="I1030" s="3">
        <v>35930</v>
      </c>
      <c r="J1030" s="9" t="str">
        <f t="shared" ca="1" si="18"/>
        <v>25 ans</v>
      </c>
      <c r="K1030" s="2" t="s">
        <v>123</v>
      </c>
      <c r="L1030" s="2" t="str">
        <f>"164"</f>
        <v>164</v>
      </c>
      <c r="M1030" s="2"/>
      <c r="N1030" s="2" t="str">
        <f>"MONTÉE HÉROUX"</f>
        <v>MONTÉE HÉROUX</v>
      </c>
      <c r="O1030" s="2" t="s">
        <v>3185</v>
      </c>
      <c r="P1030" s="9" t="str">
        <f>VLOOKUP($O1030,'Liste des Villes'!$B$2:$B$1128,1,FALSE)</f>
        <v>Saint-Jérôme</v>
      </c>
      <c r="Q1030" s="9" t="str">
        <f>IFERROR($P1030,PROPER(VLOOKUP($O1030,'Villes en erreur'!$A$2:$B$72,2,FALSE)))</f>
        <v>Saint-Jérôme</v>
      </c>
      <c r="R1030" s="9" t="s">
        <v>3186</v>
      </c>
      <c r="S1030" s="9" t="str">
        <f>IF(ISBLANK($R1030),"",VLOOKUP($R1030,'Liste des Villes'!$B$2:$H$1128,4,FALSE))</f>
        <v>Laurentides</v>
      </c>
      <c r="T1030" s="2" t="s">
        <v>5566</v>
      </c>
      <c r="U1030" s="2" t="s">
        <v>39</v>
      </c>
      <c r="V1030" s="2" t="s">
        <v>40</v>
      </c>
      <c r="W1030" s="2" t="s">
        <v>5567</v>
      </c>
      <c r="X1030" s="2"/>
      <c r="Y1030" s="2"/>
      <c r="Z1030" s="2"/>
      <c r="AA1030" s="2" t="s">
        <v>832</v>
      </c>
      <c r="AB1030" s="2" t="s">
        <v>3221</v>
      </c>
      <c r="AC1030" s="4" t="s">
        <v>44</v>
      </c>
    </row>
    <row r="1031" spans="1:29" x14ac:dyDescent="0.25">
      <c r="A1031" s="1">
        <v>766</v>
      </c>
      <c r="B1031" s="17" t="s">
        <v>5568</v>
      </c>
      <c r="C1031" s="2" t="s">
        <v>2856</v>
      </c>
      <c r="D1031" s="15" t="s">
        <v>1264</v>
      </c>
      <c r="E1031" s="9" t="s">
        <v>826</v>
      </c>
      <c r="F1031" s="9" t="s">
        <v>766</v>
      </c>
      <c r="G1031" s="9" t="s">
        <v>5569</v>
      </c>
      <c r="H1031" s="2" t="s">
        <v>60</v>
      </c>
      <c r="I1031" s="3">
        <v>36204</v>
      </c>
      <c r="J1031" s="9" t="str">
        <f t="shared" ca="1" si="18"/>
        <v>24 ans</v>
      </c>
      <c r="K1031" s="2" t="s">
        <v>123</v>
      </c>
      <c r="L1031" s="2" t="str">
        <f>"244"</f>
        <v>244</v>
      </c>
      <c r="M1031" s="2"/>
      <c r="N1031" s="2" t="str">
        <f>"RUE AU BOIS-DORMANT"</f>
        <v>RUE AU BOIS-DORMANT</v>
      </c>
      <c r="O1031" s="2" t="s">
        <v>3185</v>
      </c>
      <c r="P1031" s="9" t="str">
        <f>VLOOKUP($O1031,'Liste des Villes'!$B$2:$B$1128,1,FALSE)</f>
        <v>Saint-Jérôme</v>
      </c>
      <c r="Q1031" s="9" t="str">
        <f>IFERROR($P1031,PROPER(VLOOKUP($O1031,'Villes en erreur'!$A$2:$B$72,2,FALSE)))</f>
        <v>Saint-Jérôme</v>
      </c>
      <c r="R1031" s="9" t="s">
        <v>3186</v>
      </c>
      <c r="S1031" s="9" t="str">
        <f>IF(ISBLANK($R1031),"",VLOOKUP($R1031,'Liste des Villes'!$B$2:$H$1128,4,FALSE))</f>
        <v>Laurentides</v>
      </c>
      <c r="T1031" s="2" t="s">
        <v>3914</v>
      </c>
      <c r="U1031" s="2" t="s">
        <v>39</v>
      </c>
      <c r="V1031" s="2" t="s">
        <v>40</v>
      </c>
      <c r="W1031" s="2" t="s">
        <v>5570</v>
      </c>
      <c r="X1031" s="2"/>
      <c r="Y1031" s="2"/>
      <c r="Z1031" s="2"/>
      <c r="AA1031" s="2" t="s">
        <v>832</v>
      </c>
      <c r="AB1031" s="2" t="s">
        <v>3288</v>
      </c>
      <c r="AC1031" s="4" t="s">
        <v>44</v>
      </c>
    </row>
    <row r="1032" spans="1:29" x14ac:dyDescent="0.25">
      <c r="A1032" s="1">
        <v>2909</v>
      </c>
      <c r="B1032" s="17" t="s">
        <v>5571</v>
      </c>
      <c r="C1032" s="2" t="s">
        <v>5572</v>
      </c>
      <c r="D1032" s="15" t="s">
        <v>4347</v>
      </c>
      <c r="E1032" s="9" t="s">
        <v>380</v>
      </c>
      <c r="F1032" s="9" t="s">
        <v>304</v>
      </c>
      <c r="G1032" s="9" t="s">
        <v>5573</v>
      </c>
      <c r="H1032" s="2" t="s">
        <v>35</v>
      </c>
      <c r="I1032" s="3">
        <v>35251</v>
      </c>
      <c r="J1032" s="9" t="str">
        <f t="shared" ca="1" si="18"/>
        <v>27 ans</v>
      </c>
      <c r="K1032" s="2" t="s">
        <v>36</v>
      </c>
      <c r="L1032" s="2" t="str">
        <f>"106"</f>
        <v>106</v>
      </c>
      <c r="M1032" s="2"/>
      <c r="N1032" s="2" t="str">
        <f>"CHEMIN CLÉMENT-PESANT"</f>
        <v>CHEMIN CLÉMENT-PESANT</v>
      </c>
      <c r="O1032" s="2" t="s">
        <v>3185</v>
      </c>
      <c r="P1032" s="9" t="str">
        <f>VLOOKUP($O1032,'Liste des Villes'!$B$2:$B$1128,1,FALSE)</f>
        <v>Saint-Jérôme</v>
      </c>
      <c r="Q1032" s="9" t="str">
        <f>IFERROR($P1032,PROPER(VLOOKUP($O1032,'Villes en erreur'!$A$2:$B$72,2,FALSE)))</f>
        <v>Saint-Jérôme</v>
      </c>
      <c r="R1032" s="9" t="s">
        <v>3186</v>
      </c>
      <c r="S1032" s="9" t="str">
        <f>IF(ISBLANK($R1032),"",VLOOKUP($R1032,'Liste des Villes'!$B$2:$H$1128,4,FALSE))</f>
        <v>Laurentides</v>
      </c>
      <c r="T1032" s="2" t="s">
        <v>3187</v>
      </c>
      <c r="U1032" s="2" t="s">
        <v>39</v>
      </c>
      <c r="V1032" s="2" t="s">
        <v>40</v>
      </c>
      <c r="W1032" s="2" t="s">
        <v>5574</v>
      </c>
      <c r="X1032" s="2"/>
      <c r="Y1032" s="2"/>
      <c r="Z1032" s="2"/>
      <c r="AA1032" s="2" t="s">
        <v>3189</v>
      </c>
      <c r="AB1032" s="2" t="s">
        <v>3190</v>
      </c>
      <c r="AC1032" s="4" t="s">
        <v>44</v>
      </c>
    </row>
    <row r="1033" spans="1:29" x14ac:dyDescent="0.25">
      <c r="A1033" s="1">
        <v>1817</v>
      </c>
      <c r="B1033" s="17" t="s">
        <v>5575</v>
      </c>
      <c r="C1033" s="2" t="s">
        <v>5576</v>
      </c>
      <c r="D1033" s="15" t="s">
        <v>2099</v>
      </c>
      <c r="E1033" s="9" t="s">
        <v>5066</v>
      </c>
      <c r="F1033" s="9" t="s">
        <v>2497</v>
      </c>
      <c r="G1033" s="9" t="s">
        <v>3404</v>
      </c>
      <c r="H1033" s="2" t="s">
        <v>35</v>
      </c>
      <c r="I1033" s="3">
        <v>35681</v>
      </c>
      <c r="J1033" s="9" t="str">
        <f t="shared" ca="1" si="18"/>
        <v>25 ans</v>
      </c>
      <c r="K1033" s="2" t="s">
        <v>123</v>
      </c>
      <c r="L1033" s="2" t="str">
        <f>"134"</f>
        <v>134</v>
      </c>
      <c r="M1033" s="2"/>
      <c r="N1033" s="2" t="str">
        <f>"DES FRÊNES"</f>
        <v>DES FRÊNES</v>
      </c>
      <c r="O1033" s="2" t="s">
        <v>3185</v>
      </c>
      <c r="P1033" s="9" t="str">
        <f>VLOOKUP($O1033,'Liste des Villes'!$B$2:$B$1128,1,FALSE)</f>
        <v>Saint-Jérôme</v>
      </c>
      <c r="Q1033" s="9" t="str">
        <f>IFERROR($P1033,PROPER(VLOOKUP($O1033,'Villes en erreur'!$A$2:$B$72,2,FALSE)))</f>
        <v>Saint-Jérôme</v>
      </c>
      <c r="R1033" s="9" t="s">
        <v>3186</v>
      </c>
      <c r="S1033" s="9" t="str">
        <f>IF(ISBLANK($R1033),"",VLOOKUP($R1033,'Liste des Villes'!$B$2:$H$1128,4,FALSE))</f>
        <v>Laurentides</v>
      </c>
      <c r="T1033" s="2" t="s">
        <v>5577</v>
      </c>
      <c r="U1033" s="2" t="s">
        <v>39</v>
      </c>
      <c r="V1033" s="2" t="s">
        <v>40</v>
      </c>
      <c r="W1033" s="2" t="s">
        <v>5578</v>
      </c>
      <c r="X1033" s="2"/>
      <c r="Y1033" s="2"/>
      <c r="Z1033" s="2"/>
      <c r="AA1033" s="2" t="s">
        <v>3243</v>
      </c>
      <c r="AB1033" s="2" t="s">
        <v>3221</v>
      </c>
      <c r="AC1033" s="4" t="s">
        <v>44</v>
      </c>
    </row>
    <row r="1034" spans="1:29" x14ac:dyDescent="0.25">
      <c r="A1034" s="1">
        <v>2038</v>
      </c>
      <c r="B1034" s="17" t="s">
        <v>5579</v>
      </c>
      <c r="C1034" s="2" t="s">
        <v>696</v>
      </c>
      <c r="D1034" s="15" t="s">
        <v>697</v>
      </c>
      <c r="E1034" s="9" t="s">
        <v>698</v>
      </c>
      <c r="F1034" s="9" t="s">
        <v>5580</v>
      </c>
      <c r="G1034" s="9" t="s">
        <v>2686</v>
      </c>
      <c r="H1034" s="2" t="s">
        <v>60</v>
      </c>
      <c r="I1034" s="3">
        <v>34958</v>
      </c>
      <c r="J1034" s="9" t="str">
        <f t="shared" ca="1" si="18"/>
        <v>27 ans</v>
      </c>
      <c r="K1034" s="2" t="s">
        <v>36</v>
      </c>
      <c r="L1034" s="2" t="str">
        <f>"87"</f>
        <v>87</v>
      </c>
      <c r="M1034" s="2"/>
      <c r="N1034" s="2" t="str">
        <f>"CH DU GOLF"</f>
        <v>CH DU GOLF</v>
      </c>
      <c r="O1034" s="2" t="s">
        <v>3185</v>
      </c>
      <c r="P1034" s="9" t="str">
        <f>VLOOKUP($O1034,'Liste des Villes'!$B$2:$B$1128,1,FALSE)</f>
        <v>Saint-Jérôme</v>
      </c>
      <c r="Q1034" s="9" t="str">
        <f>IFERROR($P1034,PROPER(VLOOKUP($O1034,'Villes en erreur'!$A$2:$B$72,2,FALSE)))</f>
        <v>Saint-Jérôme</v>
      </c>
      <c r="R1034" s="9" t="s">
        <v>3186</v>
      </c>
      <c r="S1034" s="9" t="str">
        <f>IF(ISBLANK($R1034),"",VLOOKUP($R1034,'Liste des Villes'!$B$2:$H$1128,4,FALSE))</f>
        <v>Laurentides</v>
      </c>
      <c r="T1034" s="2" t="s">
        <v>3187</v>
      </c>
      <c r="U1034" s="2" t="s">
        <v>39</v>
      </c>
      <c r="V1034" s="2" t="s">
        <v>40</v>
      </c>
      <c r="W1034" s="2" t="s">
        <v>5581</v>
      </c>
      <c r="X1034" s="2"/>
      <c r="Y1034" s="2"/>
      <c r="Z1034" s="2"/>
      <c r="AA1034" s="2" t="s">
        <v>3231</v>
      </c>
      <c r="AB1034" s="2" t="s">
        <v>53</v>
      </c>
      <c r="AC1034" s="4" t="s">
        <v>44</v>
      </c>
    </row>
    <row r="1035" spans="1:29" x14ac:dyDescent="0.25">
      <c r="A1035" s="1">
        <v>3450</v>
      </c>
      <c r="B1035" s="17" t="s">
        <v>5582</v>
      </c>
      <c r="C1035" s="2" t="s">
        <v>5583</v>
      </c>
      <c r="D1035" s="15" t="s">
        <v>5584</v>
      </c>
      <c r="E1035" s="9" t="s">
        <v>5585</v>
      </c>
      <c r="F1035" s="9" t="s">
        <v>164</v>
      </c>
      <c r="G1035" s="9" t="s">
        <v>495</v>
      </c>
      <c r="H1035" s="2" t="s">
        <v>35</v>
      </c>
      <c r="I1035" s="3">
        <v>34702</v>
      </c>
      <c r="J1035" s="9" t="str">
        <f t="shared" ca="1" si="18"/>
        <v>28 ans</v>
      </c>
      <c r="K1035" s="2" t="s">
        <v>36</v>
      </c>
      <c r="L1035" s="2" t="str">
        <f>"71"</f>
        <v>71</v>
      </c>
      <c r="M1035" s="2"/>
      <c r="N1035" s="2" t="str">
        <f>"CH DE L'ACAJOU"</f>
        <v>CH DE L'ACAJOU</v>
      </c>
      <c r="O1035" s="2" t="s">
        <v>3185</v>
      </c>
      <c r="P1035" s="9" t="str">
        <f>VLOOKUP($O1035,'Liste des Villes'!$B$2:$B$1128,1,FALSE)</f>
        <v>Saint-Jérôme</v>
      </c>
      <c r="Q1035" s="9" t="str">
        <f>IFERROR($P1035,PROPER(VLOOKUP($O1035,'Villes en erreur'!$A$2:$B$72,2,FALSE)))</f>
        <v>Saint-Jérôme</v>
      </c>
      <c r="R1035" s="9" t="s">
        <v>3186</v>
      </c>
      <c r="S1035" s="9" t="str">
        <f>IF(ISBLANK($R1035),"",VLOOKUP($R1035,'Liste des Villes'!$B$2:$H$1128,4,FALSE))</f>
        <v>Laurentides</v>
      </c>
      <c r="T1035" s="2" t="s">
        <v>4119</v>
      </c>
      <c r="U1035" s="2" t="s">
        <v>39</v>
      </c>
      <c r="V1035" s="2" t="s">
        <v>40</v>
      </c>
      <c r="W1035" s="2" t="s">
        <v>5586</v>
      </c>
      <c r="X1035" s="2"/>
      <c r="Y1035" s="2"/>
      <c r="Z1035" s="2"/>
      <c r="AA1035" s="2" t="s">
        <v>3225</v>
      </c>
      <c r="AB1035" s="2" t="s">
        <v>53</v>
      </c>
      <c r="AC1035" s="4" t="s">
        <v>44</v>
      </c>
    </row>
    <row r="1036" spans="1:29" x14ac:dyDescent="0.25">
      <c r="A1036" s="1">
        <v>1968</v>
      </c>
      <c r="B1036" s="17" t="s">
        <v>5587</v>
      </c>
      <c r="C1036" s="2" t="s">
        <v>5588</v>
      </c>
      <c r="D1036" s="15" t="s">
        <v>5589</v>
      </c>
      <c r="E1036" s="9" t="s">
        <v>1308</v>
      </c>
      <c r="F1036" s="9" t="s">
        <v>5590</v>
      </c>
      <c r="G1036" s="9" t="s">
        <v>332</v>
      </c>
      <c r="H1036" s="2" t="s">
        <v>60</v>
      </c>
      <c r="I1036" s="3">
        <v>35530</v>
      </c>
      <c r="J1036" s="9" t="str">
        <f t="shared" ca="1" si="18"/>
        <v>26 ans</v>
      </c>
      <c r="K1036" s="2" t="s">
        <v>36</v>
      </c>
      <c r="L1036" s="2" t="str">
        <f>"121"</f>
        <v>121</v>
      </c>
      <c r="M1036" s="2"/>
      <c r="N1036" s="2" t="str">
        <f>"COTE SAINT-ANDRÉ"</f>
        <v>COTE SAINT-ANDRÉ</v>
      </c>
      <c r="O1036" s="2" t="s">
        <v>3185</v>
      </c>
      <c r="P1036" s="9" t="str">
        <f>VLOOKUP($O1036,'Liste des Villes'!$B$2:$B$1128,1,FALSE)</f>
        <v>Saint-Jérôme</v>
      </c>
      <c r="Q1036" s="9" t="str">
        <f>IFERROR($P1036,PROPER(VLOOKUP($O1036,'Villes en erreur'!$A$2:$B$72,2,FALSE)))</f>
        <v>Saint-Jérôme</v>
      </c>
      <c r="R1036" s="9" t="s">
        <v>3186</v>
      </c>
      <c r="S1036" s="9" t="str">
        <f>IF(ISBLANK($R1036),"",VLOOKUP($R1036,'Liste des Villes'!$B$2:$H$1128,4,FALSE))</f>
        <v>Laurentides</v>
      </c>
      <c r="T1036" s="2" t="s">
        <v>3532</v>
      </c>
      <c r="U1036" s="2" t="s">
        <v>39</v>
      </c>
      <c r="V1036" s="2" t="s">
        <v>40</v>
      </c>
      <c r="W1036" s="2" t="s">
        <v>5591</v>
      </c>
      <c r="X1036" s="2"/>
      <c r="Y1036" s="2"/>
      <c r="Z1036" s="2"/>
      <c r="AA1036" s="2" t="s">
        <v>3199</v>
      </c>
      <c r="AB1036" s="2" t="s">
        <v>3200</v>
      </c>
      <c r="AC1036" s="4" t="s">
        <v>44</v>
      </c>
    </row>
    <row r="1037" spans="1:29" x14ac:dyDescent="0.25">
      <c r="A1037" s="1">
        <v>1646</v>
      </c>
      <c r="B1037" s="17" t="s">
        <v>5592</v>
      </c>
      <c r="C1037" s="2" t="s">
        <v>5593</v>
      </c>
      <c r="D1037" s="15" t="s">
        <v>1716</v>
      </c>
      <c r="E1037" s="9" t="s">
        <v>3235</v>
      </c>
      <c r="F1037" s="9" t="s">
        <v>31</v>
      </c>
      <c r="G1037" s="9" t="s">
        <v>1118</v>
      </c>
      <c r="H1037" s="2" t="s">
        <v>35</v>
      </c>
      <c r="I1037" s="3">
        <v>35104</v>
      </c>
      <c r="J1037" s="9" t="str">
        <f t="shared" ca="1" si="18"/>
        <v>27 ans</v>
      </c>
      <c r="K1037" s="2" t="s">
        <v>36</v>
      </c>
      <c r="L1037" s="2" t="str">
        <f>"101"</f>
        <v>101</v>
      </c>
      <c r="M1037" s="2"/>
      <c r="N1037" s="2" t="str">
        <f>"CH KOESTER"</f>
        <v>CH KOESTER</v>
      </c>
      <c r="O1037" s="2" t="s">
        <v>3185</v>
      </c>
      <c r="P1037" s="9" t="str">
        <f>VLOOKUP($O1037,'Liste des Villes'!$B$2:$B$1128,1,FALSE)</f>
        <v>Saint-Jérôme</v>
      </c>
      <c r="Q1037" s="9" t="str">
        <f>IFERROR($P1037,PROPER(VLOOKUP($O1037,'Villes en erreur'!$A$2:$B$72,2,FALSE)))</f>
        <v>Saint-Jérôme</v>
      </c>
      <c r="R1037" s="9" t="s">
        <v>3186</v>
      </c>
      <c r="S1037" s="9" t="str">
        <f>IF(ISBLANK($R1037),"",VLOOKUP($R1037,'Liste des Villes'!$B$2:$H$1128,4,FALSE))</f>
        <v>Laurentides</v>
      </c>
      <c r="T1037" s="2" t="s">
        <v>3187</v>
      </c>
      <c r="U1037" s="2" t="s">
        <v>39</v>
      </c>
      <c r="V1037" s="2" t="s">
        <v>40</v>
      </c>
      <c r="W1037" s="2" t="s">
        <v>5594</v>
      </c>
      <c r="X1037" s="2"/>
      <c r="Y1037" s="2"/>
      <c r="Z1037" s="2"/>
      <c r="AA1037" s="2" t="s">
        <v>3189</v>
      </c>
      <c r="AB1037" s="2" t="s">
        <v>3190</v>
      </c>
      <c r="AC1037" s="4" t="s">
        <v>44</v>
      </c>
    </row>
    <row r="1038" spans="1:29" x14ac:dyDescent="0.25">
      <c r="A1038" s="1">
        <v>1857</v>
      </c>
      <c r="B1038" s="17" t="s">
        <v>5595</v>
      </c>
      <c r="C1038" s="2" t="s">
        <v>5346</v>
      </c>
      <c r="D1038" s="15" t="s">
        <v>982</v>
      </c>
      <c r="E1038" s="9" t="s">
        <v>370</v>
      </c>
      <c r="F1038" s="9" t="s">
        <v>5596</v>
      </c>
      <c r="G1038" s="9" t="s">
        <v>2552</v>
      </c>
      <c r="H1038" s="2" t="s">
        <v>60</v>
      </c>
      <c r="I1038" s="3">
        <v>35957</v>
      </c>
      <c r="J1038" s="9" t="str">
        <f t="shared" ca="1" si="18"/>
        <v>25 ans</v>
      </c>
      <c r="K1038" s="2" t="s">
        <v>123</v>
      </c>
      <c r="L1038" s="2" t="str">
        <f>"169"</f>
        <v>169</v>
      </c>
      <c r="M1038" s="2"/>
      <c r="N1038" s="2" t="str">
        <f>"MOUNTAIN VIEW"</f>
        <v>MOUNTAIN VIEW</v>
      </c>
      <c r="O1038" s="2" t="s">
        <v>3185</v>
      </c>
      <c r="P1038" s="9" t="str">
        <f>VLOOKUP($O1038,'Liste des Villes'!$B$2:$B$1128,1,FALSE)</f>
        <v>Saint-Jérôme</v>
      </c>
      <c r="Q1038" s="9" t="str">
        <f>IFERROR($P1038,PROPER(VLOOKUP($O1038,'Villes en erreur'!$A$2:$B$72,2,FALSE)))</f>
        <v>Saint-Jérôme</v>
      </c>
      <c r="R1038" s="9" t="s">
        <v>3186</v>
      </c>
      <c r="S1038" s="9" t="str">
        <f>IF(ISBLANK($R1038),"",VLOOKUP($R1038,'Liste des Villes'!$B$2:$H$1128,4,FALSE))</f>
        <v>Laurentides</v>
      </c>
      <c r="T1038" s="2" t="s">
        <v>5597</v>
      </c>
      <c r="U1038" s="2" t="s">
        <v>39</v>
      </c>
      <c r="V1038" s="2" t="s">
        <v>40</v>
      </c>
      <c r="W1038" s="2" t="s">
        <v>5598</v>
      </c>
      <c r="X1038" s="2"/>
      <c r="Y1038" s="2"/>
      <c r="Z1038" s="2"/>
      <c r="AA1038" s="2" t="s">
        <v>832</v>
      </c>
      <c r="AB1038" s="2" t="s">
        <v>3221</v>
      </c>
      <c r="AC1038" s="4" t="s">
        <v>44</v>
      </c>
    </row>
    <row r="1039" spans="1:29" x14ac:dyDescent="0.25">
      <c r="A1039" s="1">
        <v>3449</v>
      </c>
      <c r="B1039" s="17" t="s">
        <v>5599</v>
      </c>
      <c r="C1039" s="2" t="s">
        <v>5600</v>
      </c>
      <c r="D1039" s="15" t="s">
        <v>304</v>
      </c>
      <c r="E1039" s="9" t="s">
        <v>5601</v>
      </c>
      <c r="F1039" s="9" t="s">
        <v>2257</v>
      </c>
      <c r="G1039" s="9" t="s">
        <v>1447</v>
      </c>
      <c r="H1039" s="2" t="s">
        <v>60</v>
      </c>
      <c r="I1039" s="3">
        <v>35494</v>
      </c>
      <c r="J1039" s="9" t="str">
        <f t="shared" ca="1" si="18"/>
        <v>26 ans</v>
      </c>
      <c r="K1039" s="2" t="s">
        <v>36</v>
      </c>
      <c r="L1039" s="2" t="str">
        <f>"119"</f>
        <v>119</v>
      </c>
      <c r="M1039" s="2"/>
      <c r="N1039" s="2" t="str">
        <f>"CHEMIN SCRAIRE"</f>
        <v>CHEMIN SCRAIRE</v>
      </c>
      <c r="O1039" s="2" t="s">
        <v>3185</v>
      </c>
      <c r="P1039" s="9" t="str">
        <f>VLOOKUP($O1039,'Liste des Villes'!$B$2:$B$1128,1,FALSE)</f>
        <v>Saint-Jérôme</v>
      </c>
      <c r="Q1039" s="9" t="str">
        <f>IFERROR($P1039,PROPER(VLOOKUP($O1039,'Villes en erreur'!$A$2:$B$72,2,FALSE)))</f>
        <v>Saint-Jérôme</v>
      </c>
      <c r="R1039" s="9" t="s">
        <v>3186</v>
      </c>
      <c r="S1039" s="9" t="str">
        <f>IF(ISBLANK($R1039),"",VLOOKUP($R1039,'Liste des Villes'!$B$2:$H$1128,4,FALSE))</f>
        <v>Laurentides</v>
      </c>
      <c r="T1039" s="2" t="s">
        <v>3532</v>
      </c>
      <c r="U1039" s="2" t="s">
        <v>39</v>
      </c>
      <c r="V1039" s="2" t="s">
        <v>40</v>
      </c>
      <c r="W1039" s="2" t="s">
        <v>5602</v>
      </c>
      <c r="X1039" s="2"/>
      <c r="Y1039" s="2"/>
      <c r="Z1039" s="2"/>
      <c r="AA1039" s="2" t="s">
        <v>3199</v>
      </c>
      <c r="AB1039" s="2" t="s">
        <v>3200</v>
      </c>
      <c r="AC1039" s="4" t="s">
        <v>44</v>
      </c>
    </row>
    <row r="1040" spans="1:29" x14ac:dyDescent="0.25">
      <c r="A1040" s="1">
        <v>1745</v>
      </c>
      <c r="B1040" s="17" t="s">
        <v>5603</v>
      </c>
      <c r="C1040" s="2" t="s">
        <v>3835</v>
      </c>
      <c r="D1040" s="15" t="s">
        <v>1031</v>
      </c>
      <c r="E1040" s="9" t="s">
        <v>1397</v>
      </c>
      <c r="F1040" s="9" t="s">
        <v>1030</v>
      </c>
      <c r="G1040" s="9" t="s">
        <v>3265</v>
      </c>
      <c r="H1040" s="2" t="s">
        <v>60</v>
      </c>
      <c r="I1040" s="3">
        <v>35933</v>
      </c>
      <c r="J1040" s="9" t="str">
        <f t="shared" ca="1" si="18"/>
        <v>25 ans</v>
      </c>
      <c r="K1040" s="2" t="s">
        <v>123</v>
      </c>
      <c r="L1040" s="2" t="str">
        <f>"164"</f>
        <v>164</v>
      </c>
      <c r="M1040" s="2"/>
      <c r="N1040" s="2" t="str">
        <f>"MONTEE LA BRANCHE"</f>
        <v>MONTEE LA BRANCHE</v>
      </c>
      <c r="O1040" s="2" t="s">
        <v>3185</v>
      </c>
      <c r="P1040" s="9" t="str">
        <f>VLOOKUP($O1040,'Liste des Villes'!$B$2:$B$1128,1,FALSE)</f>
        <v>Saint-Jérôme</v>
      </c>
      <c r="Q1040" s="9" t="str">
        <f>IFERROR($P1040,PROPER(VLOOKUP($O1040,'Villes en erreur'!$A$2:$B$72,2,FALSE)))</f>
        <v>Saint-Jérôme</v>
      </c>
      <c r="R1040" s="9" t="s">
        <v>3186</v>
      </c>
      <c r="S1040" s="9" t="str">
        <f>IF(ISBLANK($R1040),"",VLOOKUP($R1040,'Liste des Villes'!$B$2:$H$1128,4,FALSE))</f>
        <v>Laurentides</v>
      </c>
      <c r="T1040" s="2" t="s">
        <v>5566</v>
      </c>
      <c r="U1040" s="2" t="s">
        <v>39</v>
      </c>
      <c r="V1040" s="2" t="s">
        <v>40</v>
      </c>
      <c r="W1040" s="2" t="s">
        <v>5604</v>
      </c>
      <c r="X1040" s="2"/>
      <c r="Y1040" s="2"/>
      <c r="Z1040" s="2"/>
      <c r="AA1040" s="2" t="s">
        <v>832</v>
      </c>
      <c r="AB1040" s="2" t="s">
        <v>3221</v>
      </c>
      <c r="AC1040" s="4" t="s">
        <v>44</v>
      </c>
    </row>
    <row r="1041" spans="1:29" x14ac:dyDescent="0.25">
      <c r="A1041" s="1">
        <v>3974</v>
      </c>
      <c r="B1041" s="17" t="s">
        <v>5605</v>
      </c>
      <c r="C1041" s="2" t="s">
        <v>5606</v>
      </c>
      <c r="D1041" s="15" t="s">
        <v>292</v>
      </c>
      <c r="E1041" s="9" t="s">
        <v>5607</v>
      </c>
      <c r="F1041" s="9" t="s">
        <v>1502</v>
      </c>
      <c r="G1041" s="9" t="s">
        <v>1560</v>
      </c>
      <c r="H1041" s="2" t="s">
        <v>35</v>
      </c>
      <c r="I1041" s="3">
        <v>35622</v>
      </c>
      <c r="J1041" s="9" t="str">
        <f t="shared" ca="1" si="18"/>
        <v>26 ans</v>
      </c>
      <c r="K1041" s="2" t="s">
        <v>36</v>
      </c>
      <c r="L1041" s="2" t="str">
        <f>"129"</f>
        <v>129</v>
      </c>
      <c r="M1041" s="2"/>
      <c r="N1041" s="2" t="str">
        <f>"DE LA SALETTE BLVD"</f>
        <v>DE LA SALETTE BLVD</v>
      </c>
      <c r="O1041" s="2" t="s">
        <v>3185</v>
      </c>
      <c r="P1041" s="9" t="str">
        <f>VLOOKUP($O1041,'Liste des Villes'!$B$2:$B$1128,1,FALSE)</f>
        <v>Saint-Jérôme</v>
      </c>
      <c r="Q1041" s="9" t="str">
        <f>IFERROR($P1041,PROPER(VLOOKUP($O1041,'Villes en erreur'!$A$2:$B$72,2,FALSE)))</f>
        <v>Saint-Jérôme</v>
      </c>
      <c r="R1041" s="9" t="s">
        <v>3186</v>
      </c>
      <c r="S1041" s="9" t="str">
        <f>IF(ISBLANK($R1041),"",VLOOKUP($R1041,'Liste des Villes'!$B$2:$H$1128,4,FALSE))</f>
        <v>Laurentides</v>
      </c>
      <c r="T1041" s="2" t="s">
        <v>3446</v>
      </c>
      <c r="U1041" s="2" t="s">
        <v>39</v>
      </c>
      <c r="V1041" s="2" t="s">
        <v>40</v>
      </c>
      <c r="W1041" s="2" t="s">
        <v>5608</v>
      </c>
      <c r="X1041" s="2"/>
      <c r="Y1041" s="2"/>
      <c r="Z1041" s="2"/>
      <c r="AA1041" s="2" t="s">
        <v>3243</v>
      </c>
      <c r="AB1041" s="2" t="s">
        <v>3221</v>
      </c>
      <c r="AC1041" s="4" t="s">
        <v>44</v>
      </c>
    </row>
    <row r="1042" spans="1:29" x14ac:dyDescent="0.25">
      <c r="A1042" s="1">
        <v>1196</v>
      </c>
      <c r="B1042" s="17" t="s">
        <v>5609</v>
      </c>
      <c r="C1042" s="2" t="s">
        <v>5610</v>
      </c>
      <c r="D1042" s="15" t="s">
        <v>5611</v>
      </c>
      <c r="E1042" s="9" t="s">
        <v>737</v>
      </c>
      <c r="F1042" s="9" t="s">
        <v>738</v>
      </c>
      <c r="G1042" s="9" t="s">
        <v>5612</v>
      </c>
      <c r="H1042" s="2" t="s">
        <v>60</v>
      </c>
      <c r="I1042" s="3">
        <v>35057</v>
      </c>
      <c r="J1042" s="9" t="str">
        <f t="shared" ca="1" si="18"/>
        <v>27 ans</v>
      </c>
      <c r="K1042" s="2" t="s">
        <v>36</v>
      </c>
      <c r="L1042" s="2" t="str">
        <f>"100"</f>
        <v>100</v>
      </c>
      <c r="M1042" s="2"/>
      <c r="N1042" s="2" t="str">
        <f>"CH DU ROI"</f>
        <v>CH DU ROI</v>
      </c>
      <c r="O1042" s="2" t="s">
        <v>3185</v>
      </c>
      <c r="P1042" s="9" t="str">
        <f>VLOOKUP($O1042,'Liste des Villes'!$B$2:$B$1128,1,FALSE)</f>
        <v>Saint-Jérôme</v>
      </c>
      <c r="Q1042" s="9" t="str">
        <f>IFERROR($P1042,PROPER(VLOOKUP($O1042,'Villes en erreur'!$A$2:$B$72,2,FALSE)))</f>
        <v>Saint-Jérôme</v>
      </c>
      <c r="R1042" s="9" t="s">
        <v>3186</v>
      </c>
      <c r="S1042" s="9" t="str">
        <f>IF(ISBLANK($R1042),"",VLOOKUP($R1042,'Liste des Villes'!$B$2:$H$1128,4,FALSE))</f>
        <v>Laurentides</v>
      </c>
      <c r="T1042" s="2" t="s">
        <v>3187</v>
      </c>
      <c r="U1042" s="2" t="s">
        <v>39</v>
      </c>
      <c r="V1042" s="2" t="s">
        <v>40</v>
      </c>
      <c r="W1042" s="2" t="s">
        <v>5613</v>
      </c>
      <c r="X1042" s="2"/>
      <c r="Y1042" s="2"/>
      <c r="Z1042" s="2"/>
      <c r="AA1042" s="2" t="s">
        <v>3189</v>
      </c>
      <c r="AB1042" s="2" t="s">
        <v>3190</v>
      </c>
      <c r="AC1042" s="4" t="s">
        <v>44</v>
      </c>
    </row>
    <row r="1043" spans="1:29" x14ac:dyDescent="0.25">
      <c r="A1043" s="1">
        <v>1185</v>
      </c>
      <c r="B1043" s="17" t="s">
        <v>5614</v>
      </c>
      <c r="C1043" s="2" t="s">
        <v>5615</v>
      </c>
      <c r="D1043" s="15" t="s">
        <v>1324</v>
      </c>
      <c r="E1043" s="9" t="s">
        <v>1355</v>
      </c>
      <c r="F1043" s="9" t="s">
        <v>5616</v>
      </c>
      <c r="G1043" s="9" t="s">
        <v>3404</v>
      </c>
      <c r="H1043" s="2" t="s">
        <v>35</v>
      </c>
      <c r="I1043" s="3">
        <v>35686</v>
      </c>
      <c r="J1043" s="9" t="str">
        <f t="shared" ca="1" si="18"/>
        <v>25 ans</v>
      </c>
      <c r="K1043" s="2" t="s">
        <v>123</v>
      </c>
      <c r="L1043" s="2" t="str">
        <f>"135"</f>
        <v>135</v>
      </c>
      <c r="M1043" s="2"/>
      <c r="N1043" s="2" t="str">
        <f>"DES MANDOLINES"</f>
        <v>DES MANDOLINES</v>
      </c>
      <c r="O1043" s="2" t="s">
        <v>3185</v>
      </c>
      <c r="P1043" s="9" t="str">
        <f>VLOOKUP($O1043,'Liste des Villes'!$B$2:$B$1128,1,FALSE)</f>
        <v>Saint-Jérôme</v>
      </c>
      <c r="Q1043" s="9" t="str">
        <f>IFERROR($P1043,PROPER(VLOOKUP($O1043,'Villes en erreur'!$A$2:$B$72,2,FALSE)))</f>
        <v>Saint-Jérôme</v>
      </c>
      <c r="R1043" s="9" t="s">
        <v>3186</v>
      </c>
      <c r="S1043" s="9" t="str">
        <f>IF(ISBLANK($R1043),"",VLOOKUP($R1043,'Liste des Villes'!$B$2:$H$1128,4,FALSE))</f>
        <v>Laurentides</v>
      </c>
      <c r="T1043" s="2" t="s">
        <v>5617</v>
      </c>
      <c r="U1043" s="2" t="s">
        <v>39</v>
      </c>
      <c r="V1043" s="2" t="s">
        <v>40</v>
      </c>
      <c r="W1043" s="2" t="s">
        <v>5618</v>
      </c>
      <c r="X1043" s="2"/>
      <c r="Y1043" s="2"/>
      <c r="Z1043" s="2"/>
      <c r="AA1043" s="2" t="s">
        <v>3243</v>
      </c>
      <c r="AB1043" s="2" t="s">
        <v>3221</v>
      </c>
      <c r="AC1043" s="4" t="s">
        <v>44</v>
      </c>
    </row>
    <row r="1044" spans="1:29" x14ac:dyDescent="0.25">
      <c r="A1044" s="1">
        <v>26</v>
      </c>
      <c r="B1044" s="17" t="s">
        <v>5619</v>
      </c>
      <c r="C1044" s="2" t="s">
        <v>1395</v>
      </c>
      <c r="D1044" s="15" t="s">
        <v>1396</v>
      </c>
      <c r="E1044" s="9" t="s">
        <v>1397</v>
      </c>
      <c r="F1044" s="9" t="s">
        <v>1398</v>
      </c>
      <c r="G1044" s="9" t="s">
        <v>1037</v>
      </c>
      <c r="H1044" s="2" t="s">
        <v>35</v>
      </c>
      <c r="I1044" s="3">
        <v>36053</v>
      </c>
      <c r="J1044" s="9" t="str">
        <f t="shared" ca="1" si="18"/>
        <v>24 ans</v>
      </c>
      <c r="K1044" s="2" t="s">
        <v>123</v>
      </c>
      <c r="L1044" s="2" t="str">
        <f>"189"</f>
        <v>189</v>
      </c>
      <c r="M1044" s="2"/>
      <c r="N1044" s="2" t="str">
        <f>"QUÉBEC 309"</f>
        <v>QUÉBEC 309</v>
      </c>
      <c r="O1044" s="2" t="s">
        <v>3185</v>
      </c>
      <c r="P1044" s="9" t="str">
        <f>VLOOKUP($O1044,'Liste des Villes'!$B$2:$B$1128,1,FALSE)</f>
        <v>Saint-Jérôme</v>
      </c>
      <c r="Q1044" s="9" t="str">
        <f>IFERROR($P1044,PROPER(VLOOKUP($O1044,'Villes en erreur'!$A$2:$B$72,2,FALSE)))</f>
        <v>Saint-Jérôme</v>
      </c>
      <c r="R1044" s="9" t="s">
        <v>3186</v>
      </c>
      <c r="S1044" s="9" t="str">
        <f>IF(ISBLANK($R1044),"",VLOOKUP($R1044,'Liste des Villes'!$B$2:$H$1128,4,FALSE))</f>
        <v>Laurentides</v>
      </c>
      <c r="T1044" s="2" t="s">
        <v>4855</v>
      </c>
      <c r="U1044" s="2" t="s">
        <v>39</v>
      </c>
      <c r="V1044" s="2" t="s">
        <v>40</v>
      </c>
      <c r="W1044" s="2" t="s">
        <v>5620</v>
      </c>
      <c r="X1044" s="2"/>
      <c r="Y1044" s="2"/>
      <c r="Z1044" s="2"/>
      <c r="AA1044" s="2" t="s">
        <v>832</v>
      </c>
      <c r="AB1044" s="2" t="s">
        <v>3221</v>
      </c>
      <c r="AC1044" s="4" t="s">
        <v>44</v>
      </c>
    </row>
    <row r="1045" spans="1:29" x14ac:dyDescent="0.25">
      <c r="A1045" s="1">
        <v>13</v>
      </c>
      <c r="B1045" s="17" t="s">
        <v>5621</v>
      </c>
      <c r="C1045" s="2" t="s">
        <v>5622</v>
      </c>
      <c r="D1045" s="15" t="s">
        <v>5623</v>
      </c>
      <c r="E1045" s="9" t="s">
        <v>5624</v>
      </c>
      <c r="F1045" s="9" t="s">
        <v>1098</v>
      </c>
      <c r="G1045" s="9" t="s">
        <v>332</v>
      </c>
      <c r="H1045" s="2" t="s">
        <v>60</v>
      </c>
      <c r="I1045" s="3">
        <v>35552</v>
      </c>
      <c r="J1045" s="9" t="str">
        <f t="shared" ca="1" si="18"/>
        <v>26 ans</v>
      </c>
      <c r="K1045" s="2" t="s">
        <v>36</v>
      </c>
      <c r="L1045" s="2" t="str">
        <f>"124"</f>
        <v>124</v>
      </c>
      <c r="M1045" s="2"/>
      <c r="N1045" s="2" t="str">
        <f>"CROIS DANIEL-JOHNSON"</f>
        <v>CROIS DANIEL-JOHNSON</v>
      </c>
      <c r="O1045" s="2" t="s">
        <v>3185</v>
      </c>
      <c r="P1045" s="9" t="str">
        <f>VLOOKUP($O1045,'Liste des Villes'!$B$2:$B$1128,1,FALSE)</f>
        <v>Saint-Jérôme</v>
      </c>
      <c r="Q1045" s="9" t="str">
        <f>IFERROR($P1045,PROPER(VLOOKUP($O1045,'Villes en erreur'!$A$2:$B$72,2,FALSE)))</f>
        <v>Saint-Jérôme</v>
      </c>
      <c r="R1045" s="9" t="s">
        <v>3186</v>
      </c>
      <c r="S1045" s="9" t="str">
        <f>IF(ISBLANK($R1045),"",VLOOKUP($R1045,'Liste des Villes'!$B$2:$H$1128,4,FALSE))</f>
        <v>Laurentides</v>
      </c>
      <c r="T1045" s="2" t="s">
        <v>3740</v>
      </c>
      <c r="U1045" s="2" t="s">
        <v>39</v>
      </c>
      <c r="V1045" s="2" t="s">
        <v>40</v>
      </c>
      <c r="W1045" s="2" t="s">
        <v>5625</v>
      </c>
      <c r="X1045" s="2"/>
      <c r="Y1045" s="2"/>
      <c r="Z1045" s="2"/>
      <c r="AA1045" s="2" t="s">
        <v>3199</v>
      </c>
      <c r="AB1045" s="2" t="s">
        <v>3221</v>
      </c>
      <c r="AC1045" s="4" t="s">
        <v>44</v>
      </c>
    </row>
    <row r="1046" spans="1:29" x14ac:dyDescent="0.25">
      <c r="A1046" s="1">
        <v>2345</v>
      </c>
      <c r="B1046" s="17" t="s">
        <v>5626</v>
      </c>
      <c r="C1046" s="2" t="s">
        <v>5627</v>
      </c>
      <c r="D1046" s="15" t="s">
        <v>5628</v>
      </c>
      <c r="E1046" s="9" t="s">
        <v>5629</v>
      </c>
      <c r="F1046" s="9" t="s">
        <v>5630</v>
      </c>
      <c r="G1046" s="9" t="s">
        <v>4320</v>
      </c>
      <c r="H1046" s="2" t="s">
        <v>35</v>
      </c>
      <c r="I1046" s="3">
        <v>35315</v>
      </c>
      <c r="J1046" s="9" t="str">
        <f t="shared" ca="1" si="18"/>
        <v>26 ans</v>
      </c>
      <c r="K1046" s="2" t="s">
        <v>36</v>
      </c>
      <c r="L1046" s="2" t="str">
        <f>"110"</f>
        <v>110</v>
      </c>
      <c r="M1046" s="2"/>
      <c r="N1046" s="2" t="str">
        <f>"CHEMIN DES COLIBRIS"</f>
        <v>CHEMIN DES COLIBRIS</v>
      </c>
      <c r="O1046" s="2" t="s">
        <v>3185</v>
      </c>
      <c r="P1046" s="9" t="str">
        <f>VLOOKUP($O1046,'Liste des Villes'!$B$2:$B$1128,1,FALSE)</f>
        <v>Saint-Jérôme</v>
      </c>
      <c r="Q1046" s="9" t="str">
        <f>IFERROR($P1046,PROPER(VLOOKUP($O1046,'Villes en erreur'!$A$2:$B$72,2,FALSE)))</f>
        <v>Saint-Jérôme</v>
      </c>
      <c r="R1046" s="9" t="s">
        <v>3186</v>
      </c>
      <c r="S1046" s="9" t="str">
        <f>IF(ISBLANK($R1046),"",VLOOKUP($R1046,'Liste des Villes'!$B$2:$H$1128,4,FALSE))</f>
        <v>Laurentides</v>
      </c>
      <c r="T1046" s="2" t="s">
        <v>4321</v>
      </c>
      <c r="U1046" s="2" t="s">
        <v>39</v>
      </c>
      <c r="V1046" s="2" t="s">
        <v>40</v>
      </c>
      <c r="W1046" s="2" t="s">
        <v>5631</v>
      </c>
      <c r="X1046" s="2"/>
      <c r="Y1046" s="2"/>
      <c r="Z1046" s="2"/>
      <c r="AA1046" s="2" t="s">
        <v>3189</v>
      </c>
      <c r="AB1046" s="2" t="s">
        <v>3200</v>
      </c>
      <c r="AC1046" s="4" t="s">
        <v>44</v>
      </c>
    </row>
    <row r="1047" spans="1:29" x14ac:dyDescent="0.25">
      <c r="A1047" s="1">
        <v>1874</v>
      </c>
      <c r="B1047" s="17" t="s">
        <v>5632</v>
      </c>
      <c r="C1047" s="2" t="s">
        <v>5633</v>
      </c>
      <c r="D1047" s="15" t="s">
        <v>5634</v>
      </c>
      <c r="E1047" s="9" t="s">
        <v>4320</v>
      </c>
      <c r="F1047" s="9" t="s">
        <v>5635</v>
      </c>
      <c r="G1047" s="9" t="s">
        <v>4788</v>
      </c>
      <c r="H1047" s="2" t="s">
        <v>60</v>
      </c>
      <c r="I1047" s="3">
        <v>36244</v>
      </c>
      <c r="J1047" s="9" t="str">
        <f t="shared" ca="1" si="18"/>
        <v>24 ans</v>
      </c>
      <c r="K1047" s="2" t="s">
        <v>123</v>
      </c>
      <c r="L1047" s="2" t="str">
        <f>"265"</f>
        <v>265</v>
      </c>
      <c r="M1047" s="2"/>
      <c r="N1047" s="2" t="str">
        <f>"RUE BÉLANGER"</f>
        <v>RUE BÉLANGER</v>
      </c>
      <c r="O1047" s="2" t="s">
        <v>3185</v>
      </c>
      <c r="P1047" s="9" t="str">
        <f>VLOOKUP($O1047,'Liste des Villes'!$B$2:$B$1128,1,FALSE)</f>
        <v>Saint-Jérôme</v>
      </c>
      <c r="Q1047" s="9" t="str">
        <f>IFERROR($P1047,PROPER(VLOOKUP($O1047,'Villes en erreur'!$A$2:$B$72,2,FALSE)))</f>
        <v>Saint-Jérôme</v>
      </c>
      <c r="R1047" s="9" t="s">
        <v>3186</v>
      </c>
      <c r="S1047" s="9" t="str">
        <f>IF(ISBLANK($R1047),"",VLOOKUP($R1047,'Liste des Villes'!$B$2:$H$1128,4,FALSE))</f>
        <v>Laurentides</v>
      </c>
      <c r="T1047" s="2" t="s">
        <v>3930</v>
      </c>
      <c r="U1047" s="2" t="s">
        <v>39</v>
      </c>
      <c r="V1047" s="2" t="s">
        <v>40</v>
      </c>
      <c r="W1047" s="2" t="s">
        <v>5636</v>
      </c>
      <c r="X1047" s="2"/>
      <c r="Y1047" s="2"/>
      <c r="Z1047" s="2"/>
      <c r="AA1047" s="2" t="s">
        <v>832</v>
      </c>
      <c r="AB1047" s="2" t="s">
        <v>73</v>
      </c>
      <c r="AC1047" s="4" t="s">
        <v>44</v>
      </c>
    </row>
    <row r="1048" spans="1:29" x14ac:dyDescent="0.25">
      <c r="A1048" s="1">
        <v>3396</v>
      </c>
      <c r="B1048" s="17" t="s">
        <v>5637</v>
      </c>
      <c r="C1048" s="2" t="s">
        <v>5638</v>
      </c>
      <c r="D1048" s="15" t="s">
        <v>5639</v>
      </c>
      <c r="E1048" s="9" t="s">
        <v>131</v>
      </c>
      <c r="F1048" s="9" t="s">
        <v>5640</v>
      </c>
      <c r="G1048" s="9" t="s">
        <v>3958</v>
      </c>
      <c r="H1048" s="2" t="s">
        <v>60</v>
      </c>
      <c r="I1048" s="3">
        <v>33996</v>
      </c>
      <c r="J1048" s="9" t="str">
        <f t="shared" ca="1" si="18"/>
        <v>30 ans</v>
      </c>
      <c r="K1048" s="2" t="s">
        <v>36</v>
      </c>
      <c r="L1048" s="2" t="str">
        <f>"43"</f>
        <v>43</v>
      </c>
      <c r="M1048" s="2"/>
      <c r="N1048" s="2" t="str">
        <f>"BOUL DES FLEURS"</f>
        <v>BOUL DES FLEURS</v>
      </c>
      <c r="O1048" s="2" t="s">
        <v>3185</v>
      </c>
      <c r="P1048" s="9" t="str">
        <f>VLOOKUP($O1048,'Liste des Villes'!$B$2:$B$1128,1,FALSE)</f>
        <v>Saint-Jérôme</v>
      </c>
      <c r="Q1048" s="9" t="str">
        <f>IFERROR($P1048,PROPER(VLOOKUP($O1048,'Villes en erreur'!$A$2:$B$72,2,FALSE)))</f>
        <v>Saint-Jérôme</v>
      </c>
      <c r="R1048" s="9" t="s">
        <v>3186</v>
      </c>
      <c r="S1048" s="9" t="str">
        <f>IF(ISBLANK($R1048),"",VLOOKUP($R1048,'Liste des Villes'!$B$2:$H$1128,4,FALSE))</f>
        <v>Laurentides</v>
      </c>
      <c r="T1048" s="2" t="s">
        <v>3205</v>
      </c>
      <c r="U1048" s="2" t="s">
        <v>39</v>
      </c>
      <c r="V1048" s="2" t="s">
        <v>40</v>
      </c>
      <c r="W1048" s="2" t="s">
        <v>5641</v>
      </c>
      <c r="X1048" s="2"/>
      <c r="Y1048" s="2"/>
      <c r="Z1048" s="2"/>
      <c r="AA1048" s="2" t="s">
        <v>3207</v>
      </c>
      <c r="AB1048" s="2" t="s">
        <v>53</v>
      </c>
      <c r="AC1048" s="4" t="s">
        <v>44</v>
      </c>
    </row>
    <row r="1049" spans="1:29" x14ac:dyDescent="0.25">
      <c r="A1049" s="1">
        <v>1396</v>
      </c>
      <c r="B1049" s="17" t="s">
        <v>5642</v>
      </c>
      <c r="C1049" s="2" t="s">
        <v>5643</v>
      </c>
      <c r="D1049" s="15" t="s">
        <v>363</v>
      </c>
      <c r="E1049" s="9" t="s">
        <v>3721</v>
      </c>
      <c r="F1049" s="9" t="s">
        <v>3617</v>
      </c>
      <c r="G1049" s="9" t="s">
        <v>1037</v>
      </c>
      <c r="H1049" s="2" t="s">
        <v>35</v>
      </c>
      <c r="I1049" s="3">
        <v>36073</v>
      </c>
      <c r="J1049" s="9" t="str">
        <f t="shared" ca="1" si="18"/>
        <v>24 ans</v>
      </c>
      <c r="K1049" s="2" t="s">
        <v>123</v>
      </c>
      <c r="L1049" s="2" t="str">
        <f>"199"</f>
        <v>199</v>
      </c>
      <c r="M1049" s="2"/>
      <c r="N1049" s="2" t="str">
        <f>"RANG SAINTE MARIE"</f>
        <v>RANG SAINTE MARIE</v>
      </c>
      <c r="O1049" s="2" t="s">
        <v>3185</v>
      </c>
      <c r="P1049" s="9" t="str">
        <f>VLOOKUP($O1049,'Liste des Villes'!$B$2:$B$1128,1,FALSE)</f>
        <v>Saint-Jérôme</v>
      </c>
      <c r="Q1049" s="9" t="str">
        <f>IFERROR($P1049,PROPER(VLOOKUP($O1049,'Villes en erreur'!$A$2:$B$72,2,FALSE)))</f>
        <v>Saint-Jérôme</v>
      </c>
      <c r="R1049" s="9" t="s">
        <v>3186</v>
      </c>
      <c r="S1049" s="9" t="str">
        <f>IF(ISBLANK($R1049),"",VLOOKUP($R1049,'Liste des Villes'!$B$2:$H$1128,4,FALSE))</f>
        <v>Laurentides</v>
      </c>
      <c r="T1049" s="2" t="s">
        <v>5644</v>
      </c>
      <c r="U1049" s="2" t="s">
        <v>39</v>
      </c>
      <c r="V1049" s="2" t="s">
        <v>40</v>
      </c>
      <c r="W1049" s="2" t="s">
        <v>5645</v>
      </c>
      <c r="X1049" s="2"/>
      <c r="Y1049" s="2"/>
      <c r="Z1049" s="2"/>
      <c r="AA1049" s="2" t="s">
        <v>832</v>
      </c>
      <c r="AB1049" s="2" t="s">
        <v>3221</v>
      </c>
      <c r="AC1049" s="4" t="s">
        <v>44</v>
      </c>
    </row>
    <row r="1050" spans="1:29" x14ac:dyDescent="0.25">
      <c r="A1050" s="1">
        <v>3081</v>
      </c>
      <c r="B1050" s="17" t="s">
        <v>5646</v>
      </c>
      <c r="C1050" s="2" t="s">
        <v>5647</v>
      </c>
      <c r="D1050" s="15" t="s">
        <v>1789</v>
      </c>
      <c r="E1050" s="9" t="s">
        <v>1673</v>
      </c>
      <c r="F1050" s="9" t="s">
        <v>1787</v>
      </c>
      <c r="G1050" s="9" t="s">
        <v>5648</v>
      </c>
      <c r="H1050" s="2" t="s">
        <v>60</v>
      </c>
      <c r="I1050" s="3">
        <v>35353</v>
      </c>
      <c r="J1050" s="9" t="str">
        <f t="shared" ca="1" si="18"/>
        <v>26 ans</v>
      </c>
      <c r="K1050" s="2" t="s">
        <v>36</v>
      </c>
      <c r="L1050" s="2" t="str">
        <f>"111"</f>
        <v>111</v>
      </c>
      <c r="M1050" s="2"/>
      <c r="N1050" s="2" t="str">
        <f>"CHEMIN DES OLIVIERS"</f>
        <v>CHEMIN DES OLIVIERS</v>
      </c>
      <c r="O1050" s="2" t="s">
        <v>3185</v>
      </c>
      <c r="P1050" s="9" t="str">
        <f>VLOOKUP($O1050,'Liste des Villes'!$B$2:$B$1128,1,FALSE)</f>
        <v>Saint-Jérôme</v>
      </c>
      <c r="Q1050" s="9" t="str">
        <f>IFERROR($P1050,PROPER(VLOOKUP($O1050,'Villes en erreur'!$A$2:$B$72,2,FALSE)))</f>
        <v>Saint-Jérôme</v>
      </c>
      <c r="R1050" s="9" t="s">
        <v>3186</v>
      </c>
      <c r="S1050" s="9" t="str">
        <f>IF(ISBLANK($R1050),"",VLOOKUP($R1050,'Liste des Villes'!$B$2:$H$1128,4,FALSE))</f>
        <v>Laurentides</v>
      </c>
      <c r="T1050" s="2" t="s">
        <v>3524</v>
      </c>
      <c r="U1050" s="2" t="s">
        <v>39</v>
      </c>
      <c r="V1050" s="2" t="s">
        <v>40</v>
      </c>
      <c r="W1050" s="2" t="s">
        <v>5649</v>
      </c>
      <c r="X1050" s="2"/>
      <c r="Y1050" s="2"/>
      <c r="Z1050" s="2"/>
      <c r="AA1050" s="2" t="s">
        <v>3189</v>
      </c>
      <c r="AB1050" s="2" t="s">
        <v>3200</v>
      </c>
      <c r="AC1050" s="4" t="s">
        <v>44</v>
      </c>
    </row>
    <row r="1051" spans="1:29" x14ac:dyDescent="0.25">
      <c r="A1051" s="1">
        <v>2986</v>
      </c>
      <c r="B1051" s="17" t="s">
        <v>5650</v>
      </c>
      <c r="C1051" s="2" t="s">
        <v>5651</v>
      </c>
      <c r="D1051" s="15" t="s">
        <v>766</v>
      </c>
      <c r="E1051" s="9" t="s">
        <v>5652</v>
      </c>
      <c r="F1051" s="9" t="s">
        <v>5653</v>
      </c>
      <c r="G1051" s="9" t="s">
        <v>380</v>
      </c>
      <c r="H1051" s="2" t="s">
        <v>60</v>
      </c>
      <c r="I1051" s="3">
        <v>34417</v>
      </c>
      <c r="J1051" s="9" t="str">
        <f t="shared" ca="1" si="18"/>
        <v>29 ans</v>
      </c>
      <c r="K1051" s="2" t="s">
        <v>36</v>
      </c>
      <c r="L1051" s="2" t="str">
        <f>"58"</f>
        <v>58</v>
      </c>
      <c r="M1051" s="2"/>
      <c r="N1051" s="2" t="str">
        <f>"CAR ÉTIENNE-BLYTH"</f>
        <v>CAR ÉTIENNE-BLYTH</v>
      </c>
      <c r="O1051" s="2" t="s">
        <v>3185</v>
      </c>
      <c r="P1051" s="9" t="str">
        <f>VLOOKUP($O1051,'Liste des Villes'!$B$2:$B$1128,1,FALSE)</f>
        <v>Saint-Jérôme</v>
      </c>
      <c r="Q1051" s="9" t="str">
        <f>IFERROR($P1051,PROPER(VLOOKUP($O1051,'Villes en erreur'!$A$2:$B$72,2,FALSE)))</f>
        <v>Saint-Jérôme</v>
      </c>
      <c r="R1051" s="9" t="s">
        <v>3186</v>
      </c>
      <c r="S1051" s="9" t="str">
        <f>IF(ISBLANK($R1051),"",VLOOKUP($R1051,'Liste des Villes'!$B$2:$H$1128,4,FALSE))</f>
        <v>Laurentides</v>
      </c>
      <c r="T1051" s="2" t="s">
        <v>5654</v>
      </c>
      <c r="U1051" s="2" t="s">
        <v>39</v>
      </c>
      <c r="V1051" s="2" t="s">
        <v>40</v>
      </c>
      <c r="W1051" s="2" t="s">
        <v>5655</v>
      </c>
      <c r="X1051" s="2"/>
      <c r="Y1051" s="2"/>
      <c r="Z1051" s="2"/>
      <c r="AA1051" s="2" t="s">
        <v>3293</v>
      </c>
      <c r="AB1051" s="2" t="s">
        <v>53</v>
      </c>
      <c r="AC1051" s="4" t="s">
        <v>44</v>
      </c>
    </row>
    <row r="1052" spans="1:29" x14ac:dyDescent="0.25">
      <c r="A1052" s="1">
        <v>4352</v>
      </c>
      <c r="B1052" s="17" t="s">
        <v>5656</v>
      </c>
      <c r="C1052" s="2" t="s">
        <v>4797</v>
      </c>
      <c r="D1052" s="15" t="s">
        <v>1157</v>
      </c>
      <c r="E1052" s="9" t="s">
        <v>4798</v>
      </c>
      <c r="F1052" s="9" t="s">
        <v>1156</v>
      </c>
      <c r="G1052" s="9" t="s">
        <v>186</v>
      </c>
      <c r="H1052" s="2" t="s">
        <v>60</v>
      </c>
      <c r="I1052" s="3">
        <v>34852</v>
      </c>
      <c r="J1052" s="9" t="str">
        <f t="shared" ca="1" si="18"/>
        <v>28 ans</v>
      </c>
      <c r="K1052" s="2" t="s">
        <v>36</v>
      </c>
      <c r="L1052" s="2" t="str">
        <f>"80"</f>
        <v>80</v>
      </c>
      <c r="M1052" s="2"/>
      <c r="N1052" s="2" t="str">
        <f>"CH DES MONTAGNES"</f>
        <v>CH DES MONTAGNES</v>
      </c>
      <c r="O1052" s="2" t="s">
        <v>3185</v>
      </c>
      <c r="P1052" s="9" t="str">
        <f>VLOOKUP($O1052,'Liste des Villes'!$B$2:$B$1128,1,FALSE)</f>
        <v>Saint-Jérôme</v>
      </c>
      <c r="Q1052" s="9" t="str">
        <f>IFERROR($P1052,PROPER(VLOOKUP($O1052,'Villes en erreur'!$A$2:$B$72,2,FALSE)))</f>
        <v>Saint-Jérôme</v>
      </c>
      <c r="R1052" s="9" t="s">
        <v>3186</v>
      </c>
      <c r="S1052" s="9" t="str">
        <f>IF(ISBLANK($R1052),"",VLOOKUP($R1052,'Liste des Villes'!$B$2:$H$1128,4,FALSE))</f>
        <v>Laurentides</v>
      </c>
      <c r="T1052" s="2" t="s">
        <v>3187</v>
      </c>
      <c r="U1052" s="2" t="s">
        <v>39</v>
      </c>
      <c r="V1052" s="2" t="s">
        <v>40</v>
      </c>
      <c r="W1052" s="2" t="s">
        <v>5657</v>
      </c>
      <c r="X1052" s="2"/>
      <c r="Y1052" s="2"/>
      <c r="Z1052" s="2"/>
      <c r="AA1052" s="2" t="s">
        <v>3231</v>
      </c>
      <c r="AB1052" s="2" t="s">
        <v>53</v>
      </c>
      <c r="AC1052" s="4" t="s">
        <v>44</v>
      </c>
    </row>
    <row r="1053" spans="1:29" x14ac:dyDescent="0.25">
      <c r="A1053" s="1">
        <v>450</v>
      </c>
      <c r="B1053" s="17" t="s">
        <v>5658</v>
      </c>
      <c r="C1053" s="2" t="s">
        <v>5659</v>
      </c>
      <c r="D1053" s="15" t="s">
        <v>3073</v>
      </c>
      <c r="E1053" s="9" t="s">
        <v>5660</v>
      </c>
      <c r="F1053" s="9" t="s">
        <v>5661</v>
      </c>
      <c r="G1053" s="9" t="s">
        <v>600</v>
      </c>
      <c r="H1053" s="2" t="s">
        <v>60</v>
      </c>
      <c r="I1053" s="3">
        <v>35970</v>
      </c>
      <c r="J1053" s="9" t="str">
        <f t="shared" ca="1" si="18"/>
        <v>25 ans</v>
      </c>
      <c r="K1053" s="2" t="s">
        <v>123</v>
      </c>
      <c r="L1053" s="2" t="str">
        <f>"171"</f>
        <v>171</v>
      </c>
      <c r="M1053" s="2"/>
      <c r="N1053" s="2" t="str">
        <f>"PAUL-ÉMILE LAPERRIÈRE"</f>
        <v>PAUL-ÉMILE LAPERRIÈRE</v>
      </c>
      <c r="O1053" s="2" t="s">
        <v>3185</v>
      </c>
      <c r="P1053" s="9" t="str">
        <f>VLOOKUP($O1053,'Liste des Villes'!$B$2:$B$1128,1,FALSE)</f>
        <v>Saint-Jérôme</v>
      </c>
      <c r="Q1053" s="9" t="str">
        <f>IFERROR($P1053,PROPER(VLOOKUP($O1053,'Villes en erreur'!$A$2:$B$72,2,FALSE)))</f>
        <v>Saint-Jérôme</v>
      </c>
      <c r="R1053" s="9" t="s">
        <v>3186</v>
      </c>
      <c r="S1053" s="9" t="str">
        <f>IF(ISBLANK($R1053),"",VLOOKUP($R1053,'Liste des Villes'!$B$2:$H$1128,4,FALSE))</f>
        <v>Laurentides</v>
      </c>
      <c r="T1053" s="2" t="s">
        <v>5662</v>
      </c>
      <c r="U1053" s="2" t="s">
        <v>39</v>
      </c>
      <c r="V1053" s="2" t="s">
        <v>40</v>
      </c>
      <c r="W1053" s="2" t="s">
        <v>5663</v>
      </c>
      <c r="X1053" s="2"/>
      <c r="Y1053" s="2"/>
      <c r="Z1053" s="2"/>
      <c r="AA1053" s="2" t="s">
        <v>832</v>
      </c>
      <c r="AB1053" s="2" t="s">
        <v>3221</v>
      </c>
      <c r="AC1053" s="4" t="s">
        <v>44</v>
      </c>
    </row>
    <row r="1054" spans="1:29" x14ac:dyDescent="0.25">
      <c r="A1054" s="1">
        <v>37</v>
      </c>
      <c r="B1054" s="17" t="s">
        <v>5664</v>
      </c>
      <c r="C1054" s="2" t="s">
        <v>5665</v>
      </c>
      <c r="D1054" s="15" t="s">
        <v>5666</v>
      </c>
      <c r="E1054" s="9" t="s">
        <v>354</v>
      </c>
      <c r="F1054" s="9" t="s">
        <v>144</v>
      </c>
      <c r="G1054" s="9" t="s">
        <v>851</v>
      </c>
      <c r="H1054" s="2" t="s">
        <v>35</v>
      </c>
      <c r="I1054" s="3">
        <v>36152</v>
      </c>
      <c r="J1054" s="9" t="str">
        <f t="shared" ca="1" si="18"/>
        <v>24 ans</v>
      </c>
      <c r="K1054" s="2" t="s">
        <v>123</v>
      </c>
      <c r="L1054" s="2" t="str">
        <f>"222"</f>
        <v>222</v>
      </c>
      <c r="M1054" s="2"/>
      <c r="N1054" s="2" t="str">
        <f>"RUE ALBERT-RAYMOND"</f>
        <v>RUE ALBERT-RAYMOND</v>
      </c>
      <c r="O1054" s="2" t="s">
        <v>3185</v>
      </c>
      <c r="P1054" s="9" t="str">
        <f>VLOOKUP($O1054,'Liste des Villes'!$B$2:$B$1128,1,FALSE)</f>
        <v>Saint-Jérôme</v>
      </c>
      <c r="Q1054" s="9" t="str">
        <f>IFERROR($P1054,PROPER(VLOOKUP($O1054,'Villes en erreur'!$A$2:$B$72,2,FALSE)))</f>
        <v>Saint-Jérôme</v>
      </c>
      <c r="R1054" s="9" t="s">
        <v>3186</v>
      </c>
      <c r="S1054" s="9" t="str">
        <f>IF(ISBLANK($R1054),"",VLOOKUP($R1054,'Liste des Villes'!$B$2:$H$1128,4,FALSE))</f>
        <v>Laurentides</v>
      </c>
      <c r="T1054" s="2" t="s">
        <v>5667</v>
      </c>
      <c r="U1054" s="2" t="s">
        <v>39</v>
      </c>
      <c r="V1054" s="2" t="s">
        <v>40</v>
      </c>
      <c r="W1054" s="2" t="s">
        <v>5668</v>
      </c>
      <c r="X1054" s="2"/>
      <c r="Y1054" s="2"/>
      <c r="Z1054" s="2"/>
      <c r="AA1054" s="2" t="s">
        <v>832</v>
      </c>
      <c r="AB1054" s="2" t="s">
        <v>3221</v>
      </c>
      <c r="AC1054" s="4" t="s">
        <v>44</v>
      </c>
    </row>
    <row r="1055" spans="1:29" x14ac:dyDescent="0.25">
      <c r="A1055" s="1">
        <v>2642</v>
      </c>
      <c r="B1055" s="17" t="s">
        <v>5669</v>
      </c>
      <c r="C1055" s="2" t="s">
        <v>5670</v>
      </c>
      <c r="D1055" s="15" t="s">
        <v>2321</v>
      </c>
      <c r="E1055" s="9" t="s">
        <v>5671</v>
      </c>
      <c r="F1055" s="9" t="s">
        <v>5672</v>
      </c>
      <c r="G1055" s="9" t="s">
        <v>1024</v>
      </c>
      <c r="H1055" s="2" t="s">
        <v>35</v>
      </c>
      <c r="I1055" s="3">
        <v>36184</v>
      </c>
      <c r="J1055" s="9" t="str">
        <f t="shared" ca="1" si="18"/>
        <v>24 ans</v>
      </c>
      <c r="K1055" s="2" t="s">
        <v>123</v>
      </c>
      <c r="L1055" s="2" t="str">
        <f>"235"</f>
        <v>235</v>
      </c>
      <c r="M1055" s="2"/>
      <c r="N1055" s="2" t="str">
        <f>"RUE ANGÈLE"</f>
        <v>RUE ANGÈLE</v>
      </c>
      <c r="O1055" s="2" t="s">
        <v>3185</v>
      </c>
      <c r="P1055" s="9" t="str">
        <f>VLOOKUP($O1055,'Liste des Villes'!$B$2:$B$1128,1,FALSE)</f>
        <v>Saint-Jérôme</v>
      </c>
      <c r="Q1055" s="9" t="str">
        <f>IFERROR($P1055,PROPER(VLOOKUP($O1055,'Villes en erreur'!$A$2:$B$72,2,FALSE)))</f>
        <v>Saint-Jérôme</v>
      </c>
      <c r="R1055" s="9" t="s">
        <v>3186</v>
      </c>
      <c r="S1055" s="9" t="str">
        <f>IF(ISBLANK($R1055),"",VLOOKUP($R1055,'Liste des Villes'!$B$2:$H$1128,4,FALSE))</f>
        <v>Laurentides</v>
      </c>
      <c r="T1055" s="2" t="s">
        <v>5673</v>
      </c>
      <c r="U1055" s="2" t="s">
        <v>39</v>
      </c>
      <c r="V1055" s="2" t="s">
        <v>40</v>
      </c>
      <c r="W1055" s="2" t="s">
        <v>5674</v>
      </c>
      <c r="X1055" s="2"/>
      <c r="Y1055" s="2"/>
      <c r="Z1055" s="2"/>
      <c r="AA1055" s="2" t="s">
        <v>832</v>
      </c>
      <c r="AB1055" s="2" t="s">
        <v>4693</v>
      </c>
      <c r="AC1055" s="4" t="s">
        <v>44</v>
      </c>
    </row>
    <row r="1056" spans="1:29" x14ac:dyDescent="0.25">
      <c r="A1056" s="1">
        <v>792</v>
      </c>
      <c r="B1056" s="17" t="s">
        <v>5675</v>
      </c>
      <c r="C1056" s="2" t="s">
        <v>4526</v>
      </c>
      <c r="D1056" s="15" t="s">
        <v>1489</v>
      </c>
      <c r="E1056" s="9" t="s">
        <v>332</v>
      </c>
      <c r="F1056" s="9" t="s">
        <v>2871</v>
      </c>
      <c r="G1056" s="9" t="s">
        <v>5676</v>
      </c>
      <c r="H1056" s="2" t="s">
        <v>60</v>
      </c>
      <c r="I1056" s="3">
        <v>36216</v>
      </c>
      <c r="J1056" s="9" t="str">
        <f t="shared" ca="1" si="18"/>
        <v>24 ans</v>
      </c>
      <c r="K1056" s="2" t="s">
        <v>123</v>
      </c>
      <c r="L1056" s="2" t="str">
        <f>"252"</f>
        <v>252</v>
      </c>
      <c r="M1056" s="2"/>
      <c r="N1056" s="2" t="str">
        <f>"RUE BEAUCHAMP"</f>
        <v>RUE BEAUCHAMP</v>
      </c>
      <c r="O1056" s="2" t="s">
        <v>3185</v>
      </c>
      <c r="P1056" s="9" t="str">
        <f>VLOOKUP($O1056,'Liste des Villes'!$B$2:$B$1128,1,FALSE)</f>
        <v>Saint-Jérôme</v>
      </c>
      <c r="Q1056" s="9" t="str">
        <f>IFERROR($P1056,PROPER(VLOOKUP($O1056,'Villes en erreur'!$A$2:$B$72,2,FALSE)))</f>
        <v>Saint-Jérôme</v>
      </c>
      <c r="R1056" s="9" t="s">
        <v>3186</v>
      </c>
      <c r="S1056" s="9" t="str">
        <f>IF(ISBLANK($R1056),"",VLOOKUP($R1056,'Liste des Villes'!$B$2:$H$1128,4,FALSE))</f>
        <v>Laurentides</v>
      </c>
      <c r="T1056" s="2" t="s">
        <v>5677</v>
      </c>
      <c r="U1056" s="2" t="s">
        <v>39</v>
      </c>
      <c r="V1056" s="2" t="s">
        <v>40</v>
      </c>
      <c r="W1056" s="2" t="s">
        <v>4402</v>
      </c>
      <c r="X1056" s="2"/>
      <c r="Y1056" s="2"/>
      <c r="Z1056" s="2"/>
      <c r="AA1056" s="2" t="s">
        <v>832</v>
      </c>
      <c r="AB1056" s="2" t="s">
        <v>3288</v>
      </c>
      <c r="AC1056" s="4" t="s">
        <v>44</v>
      </c>
    </row>
    <row r="1057" spans="1:29" x14ac:dyDescent="0.25">
      <c r="A1057" s="1">
        <v>285</v>
      </c>
      <c r="B1057" s="17" t="s">
        <v>5678</v>
      </c>
      <c r="C1057" s="2" t="s">
        <v>5679</v>
      </c>
      <c r="D1057" s="15" t="s">
        <v>1800</v>
      </c>
      <c r="E1057" s="9" t="s">
        <v>5680</v>
      </c>
      <c r="F1057" s="9" t="s">
        <v>1802</v>
      </c>
      <c r="G1057" s="9" t="s">
        <v>5681</v>
      </c>
      <c r="H1057" s="2" t="s">
        <v>35</v>
      </c>
      <c r="I1057" s="3">
        <v>35750</v>
      </c>
      <c r="J1057" s="9" t="str">
        <f t="shared" ca="1" si="18"/>
        <v>25 ans</v>
      </c>
      <c r="K1057" s="2" t="s">
        <v>123</v>
      </c>
      <c r="L1057" s="2" t="str">
        <f>"139"</f>
        <v>139</v>
      </c>
      <c r="M1057" s="2"/>
      <c r="N1057" s="2" t="str">
        <f>"DU HAVRE"</f>
        <v>DU HAVRE</v>
      </c>
      <c r="O1057" s="2" t="s">
        <v>3185</v>
      </c>
      <c r="P1057" s="9" t="str">
        <f>VLOOKUP($O1057,'Liste des Villes'!$B$2:$B$1128,1,FALSE)</f>
        <v>Saint-Jérôme</v>
      </c>
      <c r="Q1057" s="9" t="str">
        <f>IFERROR($P1057,PROPER(VLOOKUP($O1057,'Villes en erreur'!$A$2:$B$72,2,FALSE)))</f>
        <v>Saint-Jérôme</v>
      </c>
      <c r="R1057" s="9" t="s">
        <v>3186</v>
      </c>
      <c r="S1057" s="9" t="str">
        <f>IF(ISBLANK($R1057),"",VLOOKUP($R1057,'Liste des Villes'!$B$2:$H$1128,4,FALSE))</f>
        <v>Laurentides</v>
      </c>
      <c r="T1057" s="2" t="s">
        <v>5682</v>
      </c>
      <c r="U1057" s="2" t="s">
        <v>39</v>
      </c>
      <c r="V1057" s="2" t="s">
        <v>40</v>
      </c>
      <c r="W1057" s="2" t="s">
        <v>5683</v>
      </c>
      <c r="X1057" s="2"/>
      <c r="Y1057" s="2"/>
      <c r="Z1057" s="2"/>
      <c r="AA1057" s="2" t="s">
        <v>3243</v>
      </c>
      <c r="AB1057" s="2" t="s">
        <v>3221</v>
      </c>
      <c r="AC1057" s="4" t="s">
        <v>44</v>
      </c>
    </row>
    <row r="1058" spans="1:29" x14ac:dyDescent="0.25">
      <c r="A1058" s="1">
        <v>1842</v>
      </c>
      <c r="B1058" s="17" t="s">
        <v>5684</v>
      </c>
      <c r="C1058" s="2" t="s">
        <v>5685</v>
      </c>
      <c r="D1058" s="15" t="s">
        <v>5686</v>
      </c>
      <c r="E1058" s="9" t="s">
        <v>3523</v>
      </c>
      <c r="F1058" s="9" t="s">
        <v>5687</v>
      </c>
      <c r="G1058" s="9" t="s">
        <v>92</v>
      </c>
      <c r="H1058" s="2" t="s">
        <v>35</v>
      </c>
      <c r="I1058" s="3">
        <v>35462</v>
      </c>
      <c r="J1058" s="9" t="str">
        <f t="shared" ca="1" si="18"/>
        <v>26 ans</v>
      </c>
      <c r="K1058" s="2" t="s">
        <v>36</v>
      </c>
      <c r="L1058" s="2" t="str">
        <f>"116"</f>
        <v>116</v>
      </c>
      <c r="M1058" s="2"/>
      <c r="N1058" s="2" t="str">
        <f>"CHEMIN GRANDE-COTE"</f>
        <v>CHEMIN GRANDE-COTE</v>
      </c>
      <c r="O1058" s="2" t="s">
        <v>3185</v>
      </c>
      <c r="P1058" s="9" t="str">
        <f>VLOOKUP($O1058,'Liste des Villes'!$B$2:$B$1128,1,FALSE)</f>
        <v>Saint-Jérôme</v>
      </c>
      <c r="Q1058" s="9" t="str">
        <f>IFERROR($P1058,PROPER(VLOOKUP($O1058,'Villes en erreur'!$A$2:$B$72,2,FALSE)))</f>
        <v>Saint-Jérôme</v>
      </c>
      <c r="R1058" s="9" t="s">
        <v>3186</v>
      </c>
      <c r="S1058" s="9" t="str">
        <f>IF(ISBLANK($R1058),"",VLOOKUP($R1058,'Liste des Villes'!$B$2:$H$1128,4,FALSE))</f>
        <v>Laurentides</v>
      </c>
      <c r="T1058" s="2" t="s">
        <v>3236</v>
      </c>
      <c r="U1058" s="2" t="s">
        <v>39</v>
      </c>
      <c r="V1058" s="2" t="s">
        <v>40</v>
      </c>
      <c r="W1058" s="2" t="s">
        <v>5688</v>
      </c>
      <c r="X1058" s="2"/>
      <c r="Y1058" s="2"/>
      <c r="Z1058" s="2"/>
      <c r="AA1058" s="2" t="s">
        <v>3199</v>
      </c>
      <c r="AB1058" s="2" t="s">
        <v>3200</v>
      </c>
      <c r="AC1058" s="4" t="s">
        <v>44</v>
      </c>
    </row>
    <row r="1059" spans="1:29" x14ac:dyDescent="0.25">
      <c r="A1059" s="1">
        <v>2772</v>
      </c>
      <c r="B1059" s="17" t="s">
        <v>5689</v>
      </c>
      <c r="C1059" s="2" t="s">
        <v>5690</v>
      </c>
      <c r="D1059" s="15" t="s">
        <v>4620</v>
      </c>
      <c r="E1059" s="9" t="s">
        <v>1315</v>
      </c>
      <c r="F1059" s="9" t="s">
        <v>1329</v>
      </c>
      <c r="G1059" s="9" t="s">
        <v>996</v>
      </c>
      <c r="H1059" s="2" t="s">
        <v>60</v>
      </c>
      <c r="I1059" s="3">
        <v>35030</v>
      </c>
      <c r="J1059" s="9" t="str">
        <f t="shared" ca="1" si="18"/>
        <v>27 ans</v>
      </c>
      <c r="K1059" s="2" t="s">
        <v>36</v>
      </c>
      <c r="L1059" s="2" t="str">
        <f>"95"</f>
        <v>95</v>
      </c>
      <c r="M1059" s="2"/>
      <c r="N1059" s="2" t="str">
        <f>"CH DU LAC-RENÉ"</f>
        <v>CH DU LAC-RENÉ</v>
      </c>
      <c r="O1059" s="2" t="s">
        <v>3185</v>
      </c>
      <c r="P1059" s="9" t="str">
        <f>VLOOKUP($O1059,'Liste des Villes'!$B$2:$B$1128,1,FALSE)</f>
        <v>Saint-Jérôme</v>
      </c>
      <c r="Q1059" s="9" t="str">
        <f>IFERROR($P1059,PROPER(VLOOKUP($O1059,'Villes en erreur'!$A$2:$B$72,2,FALSE)))</f>
        <v>Saint-Jérôme</v>
      </c>
      <c r="R1059" s="9" t="s">
        <v>3186</v>
      </c>
      <c r="S1059" s="9" t="str">
        <f>IF(ISBLANK($R1059),"",VLOOKUP($R1059,'Liste des Villes'!$B$2:$H$1128,4,FALSE))</f>
        <v>Laurentides</v>
      </c>
      <c r="T1059" s="2" t="s">
        <v>3187</v>
      </c>
      <c r="U1059" s="2" t="s">
        <v>39</v>
      </c>
      <c r="V1059" s="2" t="s">
        <v>40</v>
      </c>
      <c r="W1059" s="2" t="s">
        <v>5691</v>
      </c>
      <c r="X1059" s="2"/>
      <c r="Y1059" s="2"/>
      <c r="Z1059" s="2"/>
      <c r="AA1059" s="2" t="s">
        <v>3189</v>
      </c>
      <c r="AB1059" s="2" t="s">
        <v>53</v>
      </c>
      <c r="AC1059" s="4" t="s">
        <v>44</v>
      </c>
    </row>
    <row r="1060" spans="1:29" x14ac:dyDescent="0.25">
      <c r="A1060" s="1">
        <v>3711</v>
      </c>
      <c r="B1060" s="17" t="s">
        <v>5692</v>
      </c>
      <c r="C1060" s="2" t="s">
        <v>5693</v>
      </c>
      <c r="D1060" s="15" t="s">
        <v>2942</v>
      </c>
      <c r="E1060" s="9" t="s">
        <v>600</v>
      </c>
      <c r="F1060" s="9" t="s">
        <v>2941</v>
      </c>
      <c r="G1060" s="9" t="s">
        <v>114</v>
      </c>
      <c r="H1060" s="2" t="s">
        <v>60</v>
      </c>
      <c r="I1060" s="3">
        <v>36248</v>
      </c>
      <c r="J1060" s="9" t="str">
        <f t="shared" ca="1" si="18"/>
        <v>24 ans</v>
      </c>
      <c r="K1060" s="2" t="s">
        <v>123</v>
      </c>
      <c r="L1060" s="2" t="str">
        <f>"266"</f>
        <v>266</v>
      </c>
      <c r="M1060" s="2"/>
      <c r="N1060" s="2" t="str">
        <f>"RUE BÉLISLE"</f>
        <v>RUE BÉLISLE</v>
      </c>
      <c r="O1060" s="2" t="s">
        <v>3185</v>
      </c>
      <c r="P1060" s="9" t="str">
        <f>VLOOKUP($O1060,'Liste des Villes'!$B$2:$B$1128,1,FALSE)</f>
        <v>Saint-Jérôme</v>
      </c>
      <c r="Q1060" s="9" t="str">
        <f>IFERROR($P1060,PROPER(VLOOKUP($O1060,'Villes en erreur'!$A$2:$B$72,2,FALSE)))</f>
        <v>Saint-Jérôme</v>
      </c>
      <c r="R1060" s="9" t="s">
        <v>3186</v>
      </c>
      <c r="S1060" s="9" t="str">
        <f>IF(ISBLANK($R1060),"",VLOOKUP($R1060,'Liste des Villes'!$B$2:$H$1128,4,FALSE))</f>
        <v>Laurentides</v>
      </c>
      <c r="T1060" s="2" t="s">
        <v>5694</v>
      </c>
      <c r="U1060" s="2" t="s">
        <v>39</v>
      </c>
      <c r="V1060" s="2" t="s">
        <v>40</v>
      </c>
      <c r="W1060" s="2" t="s">
        <v>3309</v>
      </c>
      <c r="X1060" s="2"/>
      <c r="Y1060" s="2"/>
      <c r="Z1060" s="2"/>
      <c r="AA1060" s="2" t="s">
        <v>832</v>
      </c>
      <c r="AB1060" s="2" t="s">
        <v>73</v>
      </c>
      <c r="AC1060" s="4" t="s">
        <v>44</v>
      </c>
    </row>
    <row r="1061" spans="1:29" x14ac:dyDescent="0.25">
      <c r="A1061" s="1">
        <v>190</v>
      </c>
      <c r="B1061" s="17" t="s">
        <v>5695</v>
      </c>
      <c r="C1061" s="2" t="s">
        <v>5696</v>
      </c>
      <c r="D1061" s="15" t="s">
        <v>197</v>
      </c>
      <c r="E1061" s="9" t="s">
        <v>495</v>
      </c>
      <c r="F1061" s="9" t="s">
        <v>4679</v>
      </c>
      <c r="G1061" s="9" t="s">
        <v>332</v>
      </c>
      <c r="H1061" s="2" t="s">
        <v>60</v>
      </c>
      <c r="I1061" s="3">
        <v>35578</v>
      </c>
      <c r="J1061" s="9" t="str">
        <f t="shared" ca="1" si="18"/>
        <v>26 ans</v>
      </c>
      <c r="K1061" s="2" t="s">
        <v>36</v>
      </c>
      <c r="L1061" s="2" t="str">
        <f>"126"</f>
        <v>126</v>
      </c>
      <c r="M1061" s="2"/>
      <c r="N1061" s="2" t="str">
        <f>"CROISSANT CHANTOVENT"</f>
        <v>CROISSANT CHANTOVENT</v>
      </c>
      <c r="O1061" s="2" t="s">
        <v>3185</v>
      </c>
      <c r="P1061" s="9" t="str">
        <f>VLOOKUP($O1061,'Liste des Villes'!$B$2:$B$1128,1,FALSE)</f>
        <v>Saint-Jérôme</v>
      </c>
      <c r="Q1061" s="9" t="str">
        <f>IFERROR($P1061,PROPER(VLOOKUP($O1061,'Villes en erreur'!$A$2:$B$72,2,FALSE)))</f>
        <v>Saint-Jérôme</v>
      </c>
      <c r="R1061" s="9" t="s">
        <v>3186</v>
      </c>
      <c r="S1061" s="9" t="str">
        <f>IF(ISBLANK($R1061),"",VLOOKUP($R1061,'Liste des Villes'!$B$2:$H$1128,4,FALSE))</f>
        <v>Laurentides</v>
      </c>
      <c r="T1061" s="2" t="s">
        <v>5697</v>
      </c>
      <c r="U1061" s="2" t="s">
        <v>39</v>
      </c>
      <c r="V1061" s="2" t="s">
        <v>40</v>
      </c>
      <c r="W1061" s="2" t="s">
        <v>5698</v>
      </c>
      <c r="X1061" s="2"/>
      <c r="Y1061" s="2"/>
      <c r="Z1061" s="2"/>
      <c r="AA1061" s="2" t="s">
        <v>3199</v>
      </c>
      <c r="AB1061" s="2" t="s">
        <v>3221</v>
      </c>
      <c r="AC1061" s="4" t="s">
        <v>44</v>
      </c>
    </row>
    <row r="1062" spans="1:29" x14ac:dyDescent="0.25">
      <c r="A1062" s="1">
        <v>4148</v>
      </c>
      <c r="B1062" s="17" t="s">
        <v>5699</v>
      </c>
      <c r="C1062" s="2" t="s">
        <v>1359</v>
      </c>
      <c r="D1062" s="15" t="s">
        <v>1360</v>
      </c>
      <c r="E1062" s="9" t="s">
        <v>1361</v>
      </c>
      <c r="F1062" s="9" t="s">
        <v>5700</v>
      </c>
      <c r="G1062" s="9" t="s">
        <v>1560</v>
      </c>
      <c r="H1062" s="2" t="s">
        <v>35</v>
      </c>
      <c r="I1062" s="3">
        <v>35593</v>
      </c>
      <c r="J1062" s="9" t="str">
        <f t="shared" ca="1" si="18"/>
        <v>26 ans</v>
      </c>
      <c r="K1062" s="2" t="s">
        <v>36</v>
      </c>
      <c r="L1062" s="2" t="str">
        <f>"128"</f>
        <v>128</v>
      </c>
      <c r="M1062" s="2"/>
      <c r="N1062" s="2" t="str">
        <f>"DE LA FILEUSE"</f>
        <v>DE LA FILEUSE</v>
      </c>
      <c r="O1062" s="2" t="s">
        <v>3185</v>
      </c>
      <c r="P1062" s="9" t="str">
        <f>VLOOKUP($O1062,'Liste des Villes'!$B$2:$B$1128,1,FALSE)</f>
        <v>Saint-Jérôme</v>
      </c>
      <c r="Q1062" s="9" t="str">
        <f>IFERROR($P1062,PROPER(VLOOKUP($O1062,'Villes en erreur'!$A$2:$B$72,2,FALSE)))</f>
        <v>Saint-Jérôme</v>
      </c>
      <c r="R1062" s="9" t="s">
        <v>3186</v>
      </c>
      <c r="S1062" s="9" t="str">
        <f>IF(ISBLANK($R1062),"",VLOOKUP($R1062,'Liste des Villes'!$B$2:$H$1128,4,FALSE))</f>
        <v>Laurentides</v>
      </c>
      <c r="T1062" s="2" t="s">
        <v>3576</v>
      </c>
      <c r="U1062" s="2" t="s">
        <v>39</v>
      </c>
      <c r="V1062" s="2" t="s">
        <v>40</v>
      </c>
      <c r="W1062" s="2" t="s">
        <v>5701</v>
      </c>
      <c r="X1062" s="2"/>
      <c r="Y1062" s="2"/>
      <c r="Z1062" s="2"/>
      <c r="AA1062" s="2" t="s">
        <v>3243</v>
      </c>
      <c r="AB1062" s="2" t="s">
        <v>3221</v>
      </c>
      <c r="AC1062" s="4" t="s">
        <v>44</v>
      </c>
    </row>
    <row r="1063" spans="1:29" x14ac:dyDescent="0.25">
      <c r="A1063" s="1">
        <v>3944</v>
      </c>
      <c r="B1063" s="17" t="s">
        <v>5702</v>
      </c>
      <c r="C1063" s="2" t="s">
        <v>5703</v>
      </c>
      <c r="D1063" s="15" t="s">
        <v>957</v>
      </c>
      <c r="E1063" s="9" t="s">
        <v>5704</v>
      </c>
      <c r="F1063" s="9" t="s">
        <v>955</v>
      </c>
      <c r="G1063" s="9" t="s">
        <v>5705</v>
      </c>
      <c r="H1063" s="2" t="s">
        <v>60</v>
      </c>
      <c r="I1063" s="3">
        <v>34984</v>
      </c>
      <c r="J1063" s="9" t="str">
        <f t="shared" ca="1" si="18"/>
        <v>27 ans</v>
      </c>
      <c r="K1063" s="2" t="s">
        <v>36</v>
      </c>
      <c r="L1063" s="2" t="str">
        <f>"88"</f>
        <v>88</v>
      </c>
      <c r="M1063" s="2"/>
      <c r="N1063" s="2" t="str">
        <f>"CH DU LAC-BERTRAND"</f>
        <v>CH DU LAC-BERTRAND</v>
      </c>
      <c r="O1063" s="2" t="s">
        <v>3185</v>
      </c>
      <c r="P1063" s="9" t="str">
        <f>VLOOKUP($O1063,'Liste des Villes'!$B$2:$B$1128,1,FALSE)</f>
        <v>Saint-Jérôme</v>
      </c>
      <c r="Q1063" s="9" t="str">
        <f>IFERROR($P1063,PROPER(VLOOKUP($O1063,'Villes en erreur'!$A$2:$B$72,2,FALSE)))</f>
        <v>Saint-Jérôme</v>
      </c>
      <c r="R1063" s="9" t="s">
        <v>3186</v>
      </c>
      <c r="S1063" s="9" t="str">
        <f>IF(ISBLANK($R1063),"",VLOOKUP($R1063,'Liste des Villes'!$B$2:$H$1128,4,FALSE))</f>
        <v>Laurentides</v>
      </c>
      <c r="T1063" s="2" t="s">
        <v>3187</v>
      </c>
      <c r="U1063" s="2" t="s">
        <v>39</v>
      </c>
      <c r="V1063" s="2" t="s">
        <v>40</v>
      </c>
      <c r="W1063" s="2" t="s">
        <v>5706</v>
      </c>
      <c r="X1063" s="2"/>
      <c r="Y1063" s="2"/>
      <c r="Z1063" s="2"/>
      <c r="AA1063" s="2" t="s">
        <v>3189</v>
      </c>
      <c r="AB1063" s="2" t="s">
        <v>53</v>
      </c>
      <c r="AC1063" s="4" t="s">
        <v>44</v>
      </c>
    </row>
    <row r="1064" spans="1:29" x14ac:dyDescent="0.25">
      <c r="A1064" s="1">
        <v>786</v>
      </c>
      <c r="B1064" s="17" t="s">
        <v>5707</v>
      </c>
      <c r="C1064" s="2" t="s">
        <v>5708</v>
      </c>
      <c r="D1064" s="15" t="s">
        <v>5709</v>
      </c>
      <c r="E1064" s="9" t="s">
        <v>4329</v>
      </c>
      <c r="F1064" s="9" t="s">
        <v>4330</v>
      </c>
      <c r="G1064" s="9" t="s">
        <v>851</v>
      </c>
      <c r="H1064" s="2" t="s">
        <v>35</v>
      </c>
      <c r="I1064" s="3">
        <v>36152</v>
      </c>
      <c r="J1064" s="9" t="str">
        <f t="shared" ca="1" si="18"/>
        <v>24 ans</v>
      </c>
      <c r="K1064" s="2" t="s">
        <v>123</v>
      </c>
      <c r="L1064" s="2" t="str">
        <f>"222"</f>
        <v>222</v>
      </c>
      <c r="M1064" s="2"/>
      <c r="N1064" s="2" t="str">
        <f>"RUE ALCIDE FORGET"</f>
        <v>RUE ALCIDE FORGET</v>
      </c>
      <c r="O1064" s="2" t="s">
        <v>3185</v>
      </c>
      <c r="P1064" s="9" t="str">
        <f>VLOOKUP($O1064,'Liste des Villes'!$B$2:$B$1128,1,FALSE)</f>
        <v>Saint-Jérôme</v>
      </c>
      <c r="Q1064" s="9" t="str">
        <f>IFERROR($P1064,PROPER(VLOOKUP($O1064,'Villes en erreur'!$A$2:$B$72,2,FALSE)))</f>
        <v>Saint-Jérôme</v>
      </c>
      <c r="R1064" s="9" t="s">
        <v>3186</v>
      </c>
      <c r="S1064" s="9" t="str">
        <f>IF(ISBLANK($R1064),"",VLOOKUP($R1064,'Liste des Villes'!$B$2:$H$1128,4,FALSE))</f>
        <v>Laurentides</v>
      </c>
      <c r="T1064" s="2" t="s">
        <v>5710</v>
      </c>
      <c r="U1064" s="2" t="s">
        <v>39</v>
      </c>
      <c r="V1064" s="2" t="s">
        <v>40</v>
      </c>
      <c r="W1064" s="2" t="s">
        <v>5711</v>
      </c>
      <c r="X1064" s="2"/>
      <c r="Y1064" s="2"/>
      <c r="Z1064" s="2"/>
      <c r="AA1064" s="2" t="s">
        <v>832</v>
      </c>
      <c r="AB1064" s="2" t="s">
        <v>3221</v>
      </c>
      <c r="AC1064" s="4" t="s">
        <v>44</v>
      </c>
    </row>
    <row r="1065" spans="1:29" x14ac:dyDescent="0.25">
      <c r="A1065" s="1">
        <v>2602</v>
      </c>
      <c r="B1065" s="17" t="s">
        <v>5712</v>
      </c>
      <c r="C1065" s="2" t="s">
        <v>3610</v>
      </c>
      <c r="D1065" s="15" t="s">
        <v>569</v>
      </c>
      <c r="E1065" s="9" t="s">
        <v>1295</v>
      </c>
      <c r="F1065" s="9" t="s">
        <v>5713</v>
      </c>
      <c r="G1065" s="9" t="s">
        <v>3274</v>
      </c>
      <c r="H1065" s="2" t="s">
        <v>35</v>
      </c>
      <c r="I1065" s="3">
        <v>35130</v>
      </c>
      <c r="J1065" s="9" t="str">
        <f t="shared" ca="1" si="18"/>
        <v>27 ans</v>
      </c>
      <c r="K1065" s="2" t="s">
        <v>36</v>
      </c>
      <c r="L1065" s="2" t="str">
        <f>"101"</f>
        <v>101</v>
      </c>
      <c r="M1065" s="2"/>
      <c r="N1065" s="2" t="str">
        <f>"CH NOTRE-DAME"</f>
        <v>CH NOTRE-DAME</v>
      </c>
      <c r="O1065" s="2" t="s">
        <v>3185</v>
      </c>
      <c r="P1065" s="9" t="str">
        <f>VLOOKUP($O1065,'Liste des Villes'!$B$2:$B$1128,1,FALSE)</f>
        <v>Saint-Jérôme</v>
      </c>
      <c r="Q1065" s="9" t="str">
        <f>IFERROR($P1065,PROPER(VLOOKUP($O1065,'Villes en erreur'!$A$2:$B$72,2,FALSE)))</f>
        <v>Saint-Jérôme</v>
      </c>
      <c r="R1065" s="9" t="s">
        <v>3186</v>
      </c>
      <c r="S1065" s="9" t="str">
        <f>IF(ISBLANK($R1065),"",VLOOKUP($R1065,'Liste des Villes'!$B$2:$H$1128,4,FALSE))</f>
        <v>Laurentides</v>
      </c>
      <c r="T1065" s="2" t="s">
        <v>3187</v>
      </c>
      <c r="U1065" s="2" t="s">
        <v>39</v>
      </c>
      <c r="V1065" s="2" t="s">
        <v>40</v>
      </c>
      <c r="W1065" s="2" t="s">
        <v>5714</v>
      </c>
      <c r="X1065" s="2"/>
      <c r="Y1065" s="2"/>
      <c r="Z1065" s="2"/>
      <c r="AA1065" s="2" t="s">
        <v>3189</v>
      </c>
      <c r="AB1065" s="2" t="s">
        <v>3190</v>
      </c>
      <c r="AC1065" s="4" t="s">
        <v>44</v>
      </c>
    </row>
    <row r="1066" spans="1:29" x14ac:dyDescent="0.25">
      <c r="A1066" s="1">
        <v>2268</v>
      </c>
      <c r="B1066" s="17" t="s">
        <v>5715</v>
      </c>
      <c r="C1066" s="2" t="s">
        <v>5716</v>
      </c>
      <c r="D1066" s="15" t="s">
        <v>5717</v>
      </c>
      <c r="E1066" s="9" t="s">
        <v>1162</v>
      </c>
      <c r="F1066" s="9" t="s">
        <v>5718</v>
      </c>
      <c r="G1066" s="9" t="s">
        <v>600</v>
      </c>
      <c r="H1066" s="2" t="s">
        <v>60</v>
      </c>
      <c r="I1066" s="3">
        <v>35986</v>
      </c>
      <c r="J1066" s="9" t="str">
        <f t="shared" ca="1" si="18"/>
        <v>25 ans</v>
      </c>
      <c r="K1066" s="2" t="s">
        <v>123</v>
      </c>
      <c r="L1066" s="2" t="str">
        <f>"173"</f>
        <v>173</v>
      </c>
      <c r="M1066" s="2"/>
      <c r="N1066" s="2" t="str">
        <f>"PLACE CASAVANT"</f>
        <v>PLACE CASAVANT</v>
      </c>
      <c r="O1066" s="2" t="s">
        <v>3185</v>
      </c>
      <c r="P1066" s="9" t="str">
        <f>VLOOKUP($O1066,'Liste des Villes'!$B$2:$B$1128,1,FALSE)</f>
        <v>Saint-Jérôme</v>
      </c>
      <c r="Q1066" s="9" t="str">
        <f>IFERROR($P1066,PROPER(VLOOKUP($O1066,'Villes en erreur'!$A$2:$B$72,2,FALSE)))</f>
        <v>Saint-Jérôme</v>
      </c>
      <c r="R1066" s="9" t="s">
        <v>3186</v>
      </c>
      <c r="S1066" s="9" t="str">
        <f>IF(ISBLANK($R1066),"",VLOOKUP($R1066,'Liste des Villes'!$B$2:$H$1128,4,FALSE))</f>
        <v>Laurentides</v>
      </c>
      <c r="T1066" s="2" t="s">
        <v>5719</v>
      </c>
      <c r="U1066" s="2" t="s">
        <v>39</v>
      </c>
      <c r="V1066" s="2" t="s">
        <v>40</v>
      </c>
      <c r="W1066" s="2" t="s">
        <v>5720</v>
      </c>
      <c r="X1066" s="2"/>
      <c r="Y1066" s="2"/>
      <c r="Z1066" s="2"/>
      <c r="AA1066" s="2" t="s">
        <v>832</v>
      </c>
      <c r="AB1066" s="2" t="s">
        <v>3221</v>
      </c>
      <c r="AC1066" s="4" t="s">
        <v>44</v>
      </c>
    </row>
    <row r="1067" spans="1:29" x14ac:dyDescent="0.25">
      <c r="A1067" s="1">
        <v>126</v>
      </c>
      <c r="B1067" s="17" t="s">
        <v>5721</v>
      </c>
      <c r="C1067" s="2" t="s">
        <v>2982</v>
      </c>
      <c r="D1067" s="15" t="s">
        <v>2983</v>
      </c>
      <c r="E1067" s="9" t="s">
        <v>370</v>
      </c>
      <c r="F1067" s="9" t="s">
        <v>5154</v>
      </c>
      <c r="G1067" s="9" t="s">
        <v>1560</v>
      </c>
      <c r="H1067" s="2" t="s">
        <v>35</v>
      </c>
      <c r="I1067" s="3">
        <v>35603</v>
      </c>
      <c r="J1067" s="9" t="str">
        <f t="shared" ca="1" si="18"/>
        <v>26 ans</v>
      </c>
      <c r="K1067" s="2" t="s">
        <v>36</v>
      </c>
      <c r="L1067" s="2" t="str">
        <f>"128"</f>
        <v>128</v>
      </c>
      <c r="M1067" s="2"/>
      <c r="N1067" s="2" t="str">
        <f>"DE LA PASSION"</f>
        <v>DE LA PASSION</v>
      </c>
      <c r="O1067" s="2" t="s">
        <v>3185</v>
      </c>
      <c r="P1067" s="9" t="str">
        <f>VLOOKUP($O1067,'Liste des Villes'!$B$2:$B$1128,1,FALSE)</f>
        <v>Saint-Jérôme</v>
      </c>
      <c r="Q1067" s="9" t="str">
        <f>IFERROR($P1067,PROPER(VLOOKUP($O1067,'Villes en erreur'!$A$2:$B$72,2,FALSE)))</f>
        <v>Saint-Jérôme</v>
      </c>
      <c r="R1067" s="9" t="s">
        <v>3186</v>
      </c>
      <c r="S1067" s="9" t="str">
        <f>IF(ISBLANK($R1067),"",VLOOKUP($R1067,'Liste des Villes'!$B$2:$H$1128,4,FALSE))</f>
        <v>Laurentides</v>
      </c>
      <c r="T1067" s="2" t="s">
        <v>5722</v>
      </c>
      <c r="U1067" s="2" t="s">
        <v>39</v>
      </c>
      <c r="V1067" s="2" t="s">
        <v>40</v>
      </c>
      <c r="W1067" s="2" t="s">
        <v>5723</v>
      </c>
      <c r="X1067" s="2"/>
      <c r="Y1067" s="2"/>
      <c r="Z1067" s="2"/>
      <c r="AA1067" s="2" t="s">
        <v>3243</v>
      </c>
      <c r="AB1067" s="2" t="s">
        <v>3221</v>
      </c>
      <c r="AC1067" s="4" t="s">
        <v>44</v>
      </c>
    </row>
    <row r="1068" spans="1:29" x14ac:dyDescent="0.25">
      <c r="A1068" s="1">
        <v>3076</v>
      </c>
      <c r="B1068" s="17" t="s">
        <v>5724</v>
      </c>
      <c r="C1068" s="2" t="s">
        <v>5725</v>
      </c>
      <c r="D1068" s="15" t="s">
        <v>5726</v>
      </c>
      <c r="E1068" s="9" t="s">
        <v>2049</v>
      </c>
      <c r="F1068" s="9" t="s">
        <v>5727</v>
      </c>
      <c r="G1068" s="9" t="s">
        <v>3668</v>
      </c>
      <c r="H1068" s="2" t="s">
        <v>60</v>
      </c>
      <c r="I1068" s="3">
        <v>36224</v>
      </c>
      <c r="J1068" s="9" t="str">
        <f t="shared" ca="1" si="18"/>
        <v>24 ans</v>
      </c>
      <c r="K1068" s="2" t="s">
        <v>123</v>
      </c>
      <c r="L1068" s="2" t="str">
        <f>"257"</f>
        <v>257</v>
      </c>
      <c r="M1068" s="2"/>
      <c r="N1068" s="2" t="str">
        <f>"RUE BEAUSITE"</f>
        <v>RUE BEAUSITE</v>
      </c>
      <c r="O1068" s="2" t="s">
        <v>3185</v>
      </c>
      <c r="P1068" s="9" t="str">
        <f>VLOOKUP($O1068,'Liste des Villes'!$B$2:$B$1128,1,FALSE)</f>
        <v>Saint-Jérôme</v>
      </c>
      <c r="Q1068" s="9" t="str">
        <f>IFERROR($P1068,PROPER(VLOOKUP($O1068,'Villes en erreur'!$A$2:$B$72,2,FALSE)))</f>
        <v>Saint-Jérôme</v>
      </c>
      <c r="R1068" s="9" t="s">
        <v>3186</v>
      </c>
      <c r="S1068" s="9" t="str">
        <f>IF(ISBLANK($R1068),"",VLOOKUP($R1068,'Liste des Villes'!$B$2:$H$1128,4,FALSE))</f>
        <v>Laurentides</v>
      </c>
      <c r="T1068" s="2" t="s">
        <v>5728</v>
      </c>
      <c r="U1068" s="2" t="s">
        <v>39</v>
      </c>
      <c r="V1068" s="2" t="s">
        <v>40</v>
      </c>
      <c r="W1068" s="2" t="s">
        <v>5729</v>
      </c>
      <c r="X1068" s="2"/>
      <c r="Y1068" s="2"/>
      <c r="Z1068" s="2"/>
      <c r="AA1068" s="2" t="s">
        <v>832</v>
      </c>
      <c r="AB1068" s="2" t="s">
        <v>3288</v>
      </c>
      <c r="AC1068" s="4" t="s">
        <v>44</v>
      </c>
    </row>
    <row r="1069" spans="1:29" x14ac:dyDescent="0.25">
      <c r="A1069" s="1">
        <v>2142</v>
      </c>
      <c r="B1069" s="17" t="s">
        <v>5730</v>
      </c>
      <c r="C1069" s="2" t="s">
        <v>5731</v>
      </c>
      <c r="D1069" s="15" t="s">
        <v>5732</v>
      </c>
      <c r="E1069" s="9" t="s">
        <v>271</v>
      </c>
      <c r="F1069" s="9" t="s">
        <v>4256</v>
      </c>
      <c r="G1069" s="9" t="s">
        <v>92</v>
      </c>
      <c r="H1069" s="2" t="s">
        <v>35</v>
      </c>
      <c r="I1069" s="3">
        <v>35395</v>
      </c>
      <c r="J1069" s="9" t="str">
        <f t="shared" ca="1" si="18"/>
        <v>26 ans</v>
      </c>
      <c r="K1069" s="2" t="s">
        <v>36</v>
      </c>
      <c r="L1069" s="2" t="str">
        <f>"113"</f>
        <v>113</v>
      </c>
      <c r="M1069" s="2"/>
      <c r="N1069" s="2" t="str">
        <f>"CHEMIN DU LAC CHEVREUIL"</f>
        <v>CHEMIN DU LAC CHEVREUIL</v>
      </c>
      <c r="O1069" s="2" t="s">
        <v>3185</v>
      </c>
      <c r="P1069" s="9" t="str">
        <f>VLOOKUP($O1069,'Liste des Villes'!$B$2:$B$1128,1,FALSE)</f>
        <v>Saint-Jérôme</v>
      </c>
      <c r="Q1069" s="9" t="str">
        <f>IFERROR($P1069,PROPER(VLOOKUP($O1069,'Villes en erreur'!$A$2:$B$72,2,FALSE)))</f>
        <v>Saint-Jérôme</v>
      </c>
      <c r="R1069" s="9" t="s">
        <v>3186</v>
      </c>
      <c r="S1069" s="9" t="str">
        <f>IF(ISBLANK($R1069),"",VLOOKUP($R1069,'Liste des Villes'!$B$2:$H$1128,4,FALSE))</f>
        <v>Laurentides</v>
      </c>
      <c r="T1069" s="2" t="s">
        <v>5733</v>
      </c>
      <c r="U1069" s="2" t="s">
        <v>39</v>
      </c>
      <c r="V1069" s="2" t="s">
        <v>40</v>
      </c>
      <c r="W1069" s="2" t="s">
        <v>5734</v>
      </c>
      <c r="X1069" s="2"/>
      <c r="Y1069" s="2"/>
      <c r="Z1069" s="2"/>
      <c r="AA1069" s="2" t="s">
        <v>3199</v>
      </c>
      <c r="AB1069" s="2" t="s">
        <v>3200</v>
      </c>
      <c r="AC1069" s="4" t="s">
        <v>44</v>
      </c>
    </row>
    <row r="1070" spans="1:29" x14ac:dyDescent="0.25">
      <c r="A1070" s="1">
        <v>3467</v>
      </c>
      <c r="B1070" s="17" t="s">
        <v>5735</v>
      </c>
      <c r="C1070" s="2" t="s">
        <v>5736</v>
      </c>
      <c r="D1070" s="15" t="s">
        <v>438</v>
      </c>
      <c r="E1070" s="9" t="s">
        <v>5737</v>
      </c>
      <c r="F1070" s="9" t="s">
        <v>5738</v>
      </c>
      <c r="G1070" s="9" t="s">
        <v>3218</v>
      </c>
      <c r="H1070" s="2" t="s">
        <v>60</v>
      </c>
      <c r="I1070" s="3">
        <v>34276</v>
      </c>
      <c r="J1070" s="9" t="str">
        <f t="shared" ca="1" si="18"/>
        <v>29 ans</v>
      </c>
      <c r="K1070" s="2" t="s">
        <v>36</v>
      </c>
      <c r="L1070" s="2" t="str">
        <f>"50"</f>
        <v>50</v>
      </c>
      <c r="M1070" s="2"/>
      <c r="N1070" s="2" t="str">
        <f>"BOULEVARD DU SOUVENIR"</f>
        <v>BOULEVARD DU SOUVENIR</v>
      </c>
      <c r="O1070" s="2" t="s">
        <v>3185</v>
      </c>
      <c r="P1070" s="9" t="str">
        <f>VLOOKUP($O1070,'Liste des Villes'!$B$2:$B$1128,1,FALSE)</f>
        <v>Saint-Jérôme</v>
      </c>
      <c r="Q1070" s="9" t="str">
        <f>IFERROR($P1070,PROPER(VLOOKUP($O1070,'Villes en erreur'!$A$2:$B$72,2,FALSE)))</f>
        <v>Saint-Jérôme</v>
      </c>
      <c r="R1070" s="9" t="s">
        <v>3186</v>
      </c>
      <c r="S1070" s="9" t="str">
        <f>IF(ISBLANK($R1070),"",VLOOKUP($R1070,'Liste des Villes'!$B$2:$H$1128,4,FALSE))</f>
        <v>Laurentides</v>
      </c>
      <c r="T1070" s="2" t="s">
        <v>3520</v>
      </c>
      <c r="U1070" s="2" t="s">
        <v>39</v>
      </c>
      <c r="V1070" s="2" t="s">
        <v>40</v>
      </c>
      <c r="W1070" s="2" t="s">
        <v>5739</v>
      </c>
      <c r="X1070" s="2"/>
      <c r="Y1070" s="2"/>
      <c r="Z1070" s="2"/>
      <c r="AA1070" s="2" t="s">
        <v>3360</v>
      </c>
      <c r="AB1070" s="2" t="s">
        <v>53</v>
      </c>
      <c r="AC1070" s="4" t="s">
        <v>44</v>
      </c>
    </row>
    <row r="1071" spans="1:29" x14ac:dyDescent="0.25">
      <c r="A1071" s="1">
        <v>4401</v>
      </c>
      <c r="B1071" s="17" t="s">
        <v>5740</v>
      </c>
      <c r="C1071" s="2" t="s">
        <v>5741</v>
      </c>
      <c r="D1071" s="15" t="s">
        <v>5742</v>
      </c>
      <c r="E1071" s="9" t="s">
        <v>5202</v>
      </c>
      <c r="F1071" s="9" t="s">
        <v>5743</v>
      </c>
      <c r="G1071" s="9" t="s">
        <v>5660</v>
      </c>
      <c r="H1071" s="2" t="s">
        <v>60</v>
      </c>
      <c r="I1071" s="3">
        <v>34240</v>
      </c>
      <c r="J1071" s="9" t="str">
        <f t="shared" ca="1" si="18"/>
        <v>29 ans</v>
      </c>
      <c r="K1071" s="2" t="s">
        <v>36</v>
      </c>
      <c r="L1071" s="2" t="str">
        <f>"50"</f>
        <v>50</v>
      </c>
      <c r="M1071" s="2"/>
      <c r="N1071" s="2" t="str">
        <f>"BOULEVARD DES SEIGNEURS DUMONT"</f>
        <v>BOULEVARD DES SEIGNEURS DUMONT</v>
      </c>
      <c r="O1071" s="2" t="s">
        <v>3185</v>
      </c>
      <c r="P1071" s="9" t="str">
        <f>VLOOKUP($O1071,'Liste des Villes'!$B$2:$B$1128,1,FALSE)</f>
        <v>Saint-Jérôme</v>
      </c>
      <c r="Q1071" s="9" t="str">
        <f>IFERROR($P1071,PROPER(VLOOKUP($O1071,'Villes en erreur'!$A$2:$B$72,2,FALSE)))</f>
        <v>Saint-Jérôme</v>
      </c>
      <c r="R1071" s="9" t="s">
        <v>3186</v>
      </c>
      <c r="S1071" s="9" t="str">
        <f>IF(ISBLANK($R1071),"",VLOOKUP($R1071,'Liste des Villes'!$B$2:$H$1128,4,FALSE))</f>
        <v>Laurentides</v>
      </c>
      <c r="T1071" s="2" t="s">
        <v>3520</v>
      </c>
      <c r="U1071" s="2" t="s">
        <v>39</v>
      </c>
      <c r="V1071" s="2" t="s">
        <v>40</v>
      </c>
      <c r="W1071" s="2" t="s">
        <v>5744</v>
      </c>
      <c r="X1071" s="2"/>
      <c r="Y1071" s="2"/>
      <c r="Z1071" s="2"/>
      <c r="AA1071" s="2" t="s">
        <v>3360</v>
      </c>
      <c r="AB1071" s="2" t="s">
        <v>53</v>
      </c>
      <c r="AC1071" s="4" t="s">
        <v>44</v>
      </c>
    </row>
    <row r="1072" spans="1:29" x14ac:dyDescent="0.25">
      <c r="A1072" s="1">
        <v>3852</v>
      </c>
      <c r="B1072" s="17" t="s">
        <v>5745</v>
      </c>
      <c r="C1072" s="2" t="s">
        <v>5746</v>
      </c>
      <c r="D1072" s="15" t="s">
        <v>5128</v>
      </c>
      <c r="E1072" s="9" t="s">
        <v>5747</v>
      </c>
      <c r="F1072" s="9" t="s">
        <v>153</v>
      </c>
      <c r="G1072" s="9" t="s">
        <v>1037</v>
      </c>
      <c r="H1072" s="2" t="s">
        <v>35</v>
      </c>
      <c r="I1072" s="3">
        <v>36082</v>
      </c>
      <c r="J1072" s="9" t="str">
        <f t="shared" ca="1" si="18"/>
        <v>24 ans</v>
      </c>
      <c r="K1072" s="2" t="s">
        <v>123</v>
      </c>
      <c r="L1072" s="2" t="str">
        <f>"203"</f>
        <v>203</v>
      </c>
      <c r="M1072" s="2"/>
      <c r="N1072" s="2" t="str">
        <f>"RANG SAINT-JOACHIM"</f>
        <v>RANG SAINT-JOACHIM</v>
      </c>
      <c r="O1072" s="2" t="s">
        <v>3185</v>
      </c>
      <c r="P1072" s="9" t="str">
        <f>VLOOKUP($O1072,'Liste des Villes'!$B$2:$B$1128,1,FALSE)</f>
        <v>Saint-Jérôme</v>
      </c>
      <c r="Q1072" s="9" t="str">
        <f>IFERROR($P1072,PROPER(VLOOKUP($O1072,'Villes en erreur'!$A$2:$B$72,2,FALSE)))</f>
        <v>Saint-Jérôme</v>
      </c>
      <c r="R1072" s="9" t="s">
        <v>3186</v>
      </c>
      <c r="S1072" s="9" t="str">
        <f>IF(ISBLANK($R1072),"",VLOOKUP($R1072,'Liste des Villes'!$B$2:$H$1128,4,FALSE))</f>
        <v>Laurentides</v>
      </c>
      <c r="T1072" s="2" t="s">
        <v>5405</v>
      </c>
      <c r="U1072" s="2" t="s">
        <v>39</v>
      </c>
      <c r="V1072" s="2" t="s">
        <v>40</v>
      </c>
      <c r="W1072" s="2" t="s">
        <v>5748</v>
      </c>
      <c r="X1072" s="2"/>
      <c r="Y1072" s="2"/>
      <c r="Z1072" s="2"/>
      <c r="AA1072" s="2" t="s">
        <v>832</v>
      </c>
      <c r="AB1072" s="2" t="s">
        <v>3221</v>
      </c>
      <c r="AC1072" s="4" t="s">
        <v>44</v>
      </c>
    </row>
    <row r="1073" spans="1:29" x14ac:dyDescent="0.25">
      <c r="A1073" s="1">
        <v>1144</v>
      </c>
      <c r="B1073" s="17" t="s">
        <v>5749</v>
      </c>
      <c r="C1073" s="2" t="s">
        <v>5750</v>
      </c>
      <c r="D1073" s="15" t="s">
        <v>3801</v>
      </c>
      <c r="E1073" s="9" t="s">
        <v>1341</v>
      </c>
      <c r="F1073" s="9" t="s">
        <v>3799</v>
      </c>
      <c r="G1073" s="9" t="s">
        <v>3274</v>
      </c>
      <c r="H1073" s="2" t="s">
        <v>35</v>
      </c>
      <c r="I1073" s="3">
        <v>35158</v>
      </c>
      <c r="J1073" s="9" t="str">
        <f t="shared" ca="1" si="18"/>
        <v>27 ans</v>
      </c>
      <c r="K1073" s="2" t="s">
        <v>36</v>
      </c>
      <c r="L1073" s="2" t="str">
        <f>"103"</f>
        <v>103</v>
      </c>
      <c r="M1073" s="2"/>
      <c r="N1073" s="2" t="str">
        <f>"CH SAINT-GERMAIN"</f>
        <v>CH SAINT-GERMAIN</v>
      </c>
      <c r="O1073" s="2" t="s">
        <v>3185</v>
      </c>
      <c r="P1073" s="9" t="str">
        <f>VLOOKUP($O1073,'Liste des Villes'!$B$2:$B$1128,1,FALSE)</f>
        <v>Saint-Jérôme</v>
      </c>
      <c r="Q1073" s="9" t="str">
        <f>IFERROR($P1073,PROPER(VLOOKUP($O1073,'Villes en erreur'!$A$2:$B$72,2,FALSE)))</f>
        <v>Saint-Jérôme</v>
      </c>
      <c r="R1073" s="9" t="s">
        <v>3186</v>
      </c>
      <c r="S1073" s="9" t="str">
        <f>IF(ISBLANK($R1073),"",VLOOKUP($R1073,'Liste des Villes'!$B$2:$H$1128,4,FALSE))</f>
        <v>Laurentides</v>
      </c>
      <c r="T1073" s="2" t="s">
        <v>3187</v>
      </c>
      <c r="U1073" s="2" t="s">
        <v>39</v>
      </c>
      <c r="V1073" s="2" t="s">
        <v>40</v>
      </c>
      <c r="W1073" s="2" t="s">
        <v>5751</v>
      </c>
      <c r="X1073" s="2"/>
      <c r="Y1073" s="2"/>
      <c r="Z1073" s="2"/>
      <c r="AA1073" s="2" t="s">
        <v>3189</v>
      </c>
      <c r="AB1073" s="2" t="s">
        <v>3190</v>
      </c>
      <c r="AC1073" s="4" t="s">
        <v>44</v>
      </c>
    </row>
    <row r="1074" spans="1:29" x14ac:dyDescent="0.25">
      <c r="A1074" s="1">
        <v>2933</v>
      </c>
      <c r="B1074" s="17" t="s">
        <v>5752</v>
      </c>
      <c r="C1074" s="2" t="s">
        <v>5753</v>
      </c>
      <c r="D1074" s="15" t="s">
        <v>86</v>
      </c>
      <c r="E1074" s="9" t="s">
        <v>4037</v>
      </c>
      <c r="F1074" s="9" t="s">
        <v>84</v>
      </c>
      <c r="G1074" s="9" t="s">
        <v>600</v>
      </c>
      <c r="H1074" s="2" t="s">
        <v>60</v>
      </c>
      <c r="I1074" s="3">
        <v>35996</v>
      </c>
      <c r="J1074" s="9" t="str">
        <f t="shared" ca="1" si="18"/>
        <v>25 ans</v>
      </c>
      <c r="K1074" s="2" t="s">
        <v>123</v>
      </c>
      <c r="L1074" s="2" t="str">
        <f>"174"</f>
        <v>174</v>
      </c>
      <c r="M1074" s="2"/>
      <c r="N1074" s="2" t="str">
        <f>"PLACE DE L'ESTACADE"</f>
        <v>PLACE DE L'ESTACADE</v>
      </c>
      <c r="O1074" s="2" t="s">
        <v>3185</v>
      </c>
      <c r="P1074" s="9" t="str">
        <f>VLOOKUP($O1074,'Liste des Villes'!$B$2:$B$1128,1,FALSE)</f>
        <v>Saint-Jérôme</v>
      </c>
      <c r="Q1074" s="9" t="str">
        <f>IFERROR($P1074,PROPER(VLOOKUP($O1074,'Villes en erreur'!$A$2:$B$72,2,FALSE)))</f>
        <v>Saint-Jérôme</v>
      </c>
      <c r="R1074" s="9" t="s">
        <v>3186</v>
      </c>
      <c r="S1074" s="9" t="str">
        <f>IF(ISBLANK($R1074),"",VLOOKUP($R1074,'Liste des Villes'!$B$2:$H$1128,4,FALSE))</f>
        <v>Laurentides</v>
      </c>
      <c r="T1074" s="2" t="s">
        <v>4615</v>
      </c>
      <c r="U1074" s="2" t="s">
        <v>39</v>
      </c>
      <c r="V1074" s="2" t="s">
        <v>40</v>
      </c>
      <c r="W1074" s="2" t="s">
        <v>5754</v>
      </c>
      <c r="X1074" s="2"/>
      <c r="Y1074" s="2"/>
      <c r="Z1074" s="2"/>
      <c r="AA1074" s="2" t="s">
        <v>832</v>
      </c>
      <c r="AB1074" s="2" t="s">
        <v>3221</v>
      </c>
      <c r="AC1074" s="4" t="s">
        <v>44</v>
      </c>
    </row>
    <row r="1075" spans="1:29" x14ac:dyDescent="0.25">
      <c r="A1075" s="1">
        <v>871</v>
      </c>
      <c r="B1075" s="17" t="s">
        <v>5755</v>
      </c>
      <c r="C1075" s="2" t="s">
        <v>5756</v>
      </c>
      <c r="D1075" s="15" t="s">
        <v>5757</v>
      </c>
      <c r="E1075" s="9" t="s">
        <v>1051</v>
      </c>
      <c r="F1075" s="9" t="s">
        <v>5758</v>
      </c>
      <c r="G1075" s="9" t="s">
        <v>3218</v>
      </c>
      <c r="H1075" s="2" t="s">
        <v>60</v>
      </c>
      <c r="I1075" s="3">
        <v>34284</v>
      </c>
      <c r="J1075" s="9" t="str">
        <f t="shared" ca="1" si="18"/>
        <v>29 ans</v>
      </c>
      <c r="K1075" s="2" t="s">
        <v>36</v>
      </c>
      <c r="L1075" s="2" t="str">
        <f>"51"</f>
        <v>51</v>
      </c>
      <c r="M1075" s="2"/>
      <c r="N1075" s="2" t="str">
        <f>"BOULEVARD JÉROBELLE"</f>
        <v>BOULEVARD JÉROBELLE</v>
      </c>
      <c r="O1075" s="2" t="s">
        <v>3185</v>
      </c>
      <c r="P1075" s="9" t="str">
        <f>VLOOKUP($O1075,'Liste des Villes'!$B$2:$B$1128,1,FALSE)</f>
        <v>Saint-Jérôme</v>
      </c>
      <c r="Q1075" s="9" t="str">
        <f>IFERROR($P1075,PROPER(VLOOKUP($O1075,'Villes en erreur'!$A$2:$B$72,2,FALSE)))</f>
        <v>Saint-Jérôme</v>
      </c>
      <c r="R1075" s="9" t="s">
        <v>3186</v>
      </c>
      <c r="S1075" s="9" t="str">
        <f>IF(ISBLANK($R1075),"",VLOOKUP($R1075,'Liste des Villes'!$B$2:$H$1128,4,FALSE))</f>
        <v>Laurentides</v>
      </c>
      <c r="T1075" s="2" t="s">
        <v>3520</v>
      </c>
      <c r="U1075" s="2" t="s">
        <v>39</v>
      </c>
      <c r="V1075" s="2" t="s">
        <v>40</v>
      </c>
      <c r="W1075" s="2" t="s">
        <v>5759</v>
      </c>
      <c r="X1075" s="2"/>
      <c r="Y1075" s="2"/>
      <c r="Z1075" s="2"/>
      <c r="AA1075" s="2" t="s">
        <v>3360</v>
      </c>
      <c r="AB1075" s="2" t="s">
        <v>53</v>
      </c>
      <c r="AC1075" s="4" t="s">
        <v>44</v>
      </c>
    </row>
    <row r="1076" spans="1:29" x14ac:dyDescent="0.25">
      <c r="A1076" s="1">
        <v>245</v>
      </c>
      <c r="B1076" s="17" t="s">
        <v>5760</v>
      </c>
      <c r="C1076" s="2" t="s">
        <v>5761</v>
      </c>
      <c r="D1076" s="15" t="s">
        <v>5762</v>
      </c>
      <c r="E1076" s="9" t="s">
        <v>5763</v>
      </c>
      <c r="F1076" s="9" t="s">
        <v>1746</v>
      </c>
      <c r="G1076" s="9" t="s">
        <v>600</v>
      </c>
      <c r="H1076" s="2" t="s">
        <v>60</v>
      </c>
      <c r="I1076" s="3">
        <v>35994</v>
      </c>
      <c r="J1076" s="9" t="str">
        <f t="shared" ca="1" si="18"/>
        <v>25 ans</v>
      </c>
      <c r="K1076" s="2" t="s">
        <v>123</v>
      </c>
      <c r="L1076" s="2" t="str">
        <f>"173"</f>
        <v>173</v>
      </c>
      <c r="M1076" s="2"/>
      <c r="N1076" s="2" t="str">
        <f>"PLACE DE LA SOURCE"</f>
        <v>PLACE DE LA SOURCE</v>
      </c>
      <c r="O1076" s="2" t="s">
        <v>3185</v>
      </c>
      <c r="P1076" s="9" t="str">
        <f>VLOOKUP($O1076,'Liste des Villes'!$B$2:$B$1128,1,FALSE)</f>
        <v>Saint-Jérôme</v>
      </c>
      <c r="Q1076" s="9" t="str">
        <f>IFERROR($P1076,PROPER(VLOOKUP($O1076,'Villes en erreur'!$A$2:$B$72,2,FALSE)))</f>
        <v>Saint-Jérôme</v>
      </c>
      <c r="R1076" s="9" t="s">
        <v>3186</v>
      </c>
      <c r="S1076" s="9" t="str">
        <f>IF(ISBLANK($R1076),"",VLOOKUP($R1076,'Liste des Villes'!$B$2:$H$1128,4,FALSE))</f>
        <v>Laurentides</v>
      </c>
      <c r="T1076" s="2" t="s">
        <v>4386</v>
      </c>
      <c r="U1076" s="2" t="s">
        <v>39</v>
      </c>
      <c r="V1076" s="2" t="s">
        <v>40</v>
      </c>
      <c r="W1076" s="2" t="s">
        <v>5764</v>
      </c>
      <c r="X1076" s="2"/>
      <c r="Y1076" s="2"/>
      <c r="Z1076" s="2"/>
      <c r="AA1076" s="2" t="s">
        <v>832</v>
      </c>
      <c r="AB1076" s="2" t="s">
        <v>3221</v>
      </c>
      <c r="AC1076" s="4" t="s">
        <v>44</v>
      </c>
    </row>
    <row r="1077" spans="1:29" x14ac:dyDescent="0.25">
      <c r="A1077" s="1">
        <v>492</v>
      </c>
      <c r="B1077" s="17" t="s">
        <v>5765</v>
      </c>
      <c r="C1077" s="2" t="s">
        <v>5766</v>
      </c>
      <c r="D1077" s="15" t="s">
        <v>33</v>
      </c>
      <c r="E1077" s="9" t="s">
        <v>5476</v>
      </c>
      <c r="F1077" s="9" t="s">
        <v>31</v>
      </c>
      <c r="G1077" s="9" t="s">
        <v>2796</v>
      </c>
      <c r="H1077" s="2" t="s">
        <v>35</v>
      </c>
      <c r="I1077" s="3">
        <v>35271</v>
      </c>
      <c r="J1077" s="9" t="str">
        <f t="shared" ca="1" si="18"/>
        <v>27 ans</v>
      </c>
      <c r="K1077" s="2" t="s">
        <v>36</v>
      </c>
      <c r="L1077" s="2" t="str">
        <f>"107"</f>
        <v>107</v>
      </c>
      <c r="M1077" s="2"/>
      <c r="N1077" s="2" t="str">
        <f>"CHEMIN DE LA MONTAGNE"</f>
        <v>CHEMIN DE LA MONTAGNE</v>
      </c>
      <c r="O1077" s="2" t="s">
        <v>3185</v>
      </c>
      <c r="P1077" s="9" t="str">
        <f>VLOOKUP($O1077,'Liste des Villes'!$B$2:$B$1128,1,FALSE)</f>
        <v>Saint-Jérôme</v>
      </c>
      <c r="Q1077" s="9" t="str">
        <f>IFERROR($P1077,PROPER(VLOOKUP($O1077,'Villes en erreur'!$A$2:$B$72,2,FALSE)))</f>
        <v>Saint-Jérôme</v>
      </c>
      <c r="R1077" s="9" t="s">
        <v>3186</v>
      </c>
      <c r="S1077" s="9" t="str">
        <f>IF(ISBLANK($R1077),"",VLOOKUP($R1077,'Liste des Villes'!$B$2:$H$1128,4,FALSE))</f>
        <v>Laurentides</v>
      </c>
      <c r="T1077" s="2" t="s">
        <v>3187</v>
      </c>
      <c r="U1077" s="2" t="s">
        <v>39</v>
      </c>
      <c r="V1077" s="2" t="s">
        <v>40</v>
      </c>
      <c r="W1077" s="2" t="s">
        <v>5767</v>
      </c>
      <c r="X1077" s="2"/>
      <c r="Y1077" s="2"/>
      <c r="Z1077" s="2"/>
      <c r="AA1077" s="2" t="s">
        <v>3189</v>
      </c>
      <c r="AB1077" s="2" t="s">
        <v>3190</v>
      </c>
      <c r="AC1077" s="4" t="s">
        <v>44</v>
      </c>
    </row>
    <row r="1078" spans="1:29" x14ac:dyDescent="0.25">
      <c r="A1078" s="1">
        <v>2532</v>
      </c>
      <c r="B1078" s="17" t="s">
        <v>5768</v>
      </c>
      <c r="C1078" s="2" t="s">
        <v>5769</v>
      </c>
      <c r="D1078" s="15" t="s">
        <v>3374</v>
      </c>
      <c r="E1078" s="9" t="s">
        <v>3802</v>
      </c>
      <c r="F1078" s="9" t="s">
        <v>562</v>
      </c>
      <c r="G1078" s="9" t="s">
        <v>495</v>
      </c>
      <c r="H1078" s="2" t="s">
        <v>35</v>
      </c>
      <c r="I1078" s="3">
        <v>34661</v>
      </c>
      <c r="J1078" s="9" t="str">
        <f t="shared" ca="1" si="18"/>
        <v>28 ans</v>
      </c>
      <c r="K1078" s="2" t="s">
        <v>36</v>
      </c>
      <c r="L1078" s="2" t="str">
        <f>"69"</f>
        <v>69</v>
      </c>
      <c r="M1078" s="2"/>
      <c r="N1078" s="2" t="str">
        <f>"CH DE LA REINE"</f>
        <v>CH DE LA REINE</v>
      </c>
      <c r="O1078" s="2" t="s">
        <v>3185</v>
      </c>
      <c r="P1078" s="9" t="str">
        <f>VLOOKUP($O1078,'Liste des Villes'!$B$2:$B$1128,1,FALSE)</f>
        <v>Saint-Jérôme</v>
      </c>
      <c r="Q1078" s="9" t="str">
        <f>IFERROR($P1078,PROPER(VLOOKUP($O1078,'Villes en erreur'!$A$2:$B$72,2,FALSE)))</f>
        <v>Saint-Jérôme</v>
      </c>
      <c r="R1078" s="9" t="s">
        <v>3186</v>
      </c>
      <c r="S1078" s="9" t="str">
        <f>IF(ISBLANK($R1078),"",VLOOKUP($R1078,'Liste des Villes'!$B$2:$H$1128,4,FALSE))</f>
        <v>Laurentides</v>
      </c>
      <c r="T1078" s="2" t="s">
        <v>3223</v>
      </c>
      <c r="U1078" s="2" t="s">
        <v>39</v>
      </c>
      <c r="V1078" s="2" t="s">
        <v>40</v>
      </c>
      <c r="W1078" s="2" t="s">
        <v>5770</v>
      </c>
      <c r="X1078" s="2"/>
      <c r="Y1078" s="2"/>
      <c r="Z1078" s="2"/>
      <c r="AA1078" s="2" t="s">
        <v>3225</v>
      </c>
      <c r="AB1078" s="2" t="s">
        <v>53</v>
      </c>
      <c r="AC1078" s="4" t="s">
        <v>44</v>
      </c>
    </row>
    <row r="1079" spans="1:29" x14ac:dyDescent="0.25">
      <c r="A1079" s="1">
        <v>1695</v>
      </c>
      <c r="B1079" s="17" t="s">
        <v>5771</v>
      </c>
      <c r="C1079" s="2" t="s">
        <v>5772</v>
      </c>
      <c r="D1079" s="15" t="s">
        <v>5773</v>
      </c>
      <c r="E1079" s="9" t="s">
        <v>737</v>
      </c>
      <c r="F1079" s="9" t="s">
        <v>86</v>
      </c>
      <c r="G1079" s="9" t="s">
        <v>5774</v>
      </c>
      <c r="H1079" s="2" t="s">
        <v>35</v>
      </c>
      <c r="I1079" s="3">
        <v>35062</v>
      </c>
      <c r="J1079" s="9" t="str">
        <f t="shared" ca="1" si="18"/>
        <v>27 ans</v>
      </c>
      <c r="K1079" s="2" t="s">
        <v>36</v>
      </c>
      <c r="L1079" s="2" t="str">
        <f>"100"</f>
        <v>100</v>
      </c>
      <c r="M1079" s="2"/>
      <c r="N1079" s="2" t="str">
        <f>"CH DU TOUR-DU-LAC"</f>
        <v>CH DU TOUR-DU-LAC</v>
      </c>
      <c r="O1079" s="2" t="s">
        <v>3185</v>
      </c>
      <c r="P1079" s="9" t="str">
        <f>VLOOKUP($O1079,'Liste des Villes'!$B$2:$B$1128,1,FALSE)</f>
        <v>Saint-Jérôme</v>
      </c>
      <c r="Q1079" s="9" t="str">
        <f>IFERROR($P1079,PROPER(VLOOKUP($O1079,'Villes en erreur'!$A$2:$B$72,2,FALSE)))</f>
        <v>Saint-Jérôme</v>
      </c>
      <c r="R1079" s="9" t="s">
        <v>3186</v>
      </c>
      <c r="S1079" s="9" t="str">
        <f>IF(ISBLANK($R1079),"",VLOOKUP($R1079,'Liste des Villes'!$B$2:$H$1128,4,FALSE))</f>
        <v>Laurentides</v>
      </c>
      <c r="T1079" s="2" t="s">
        <v>3187</v>
      </c>
      <c r="U1079" s="2" t="s">
        <v>39</v>
      </c>
      <c r="V1079" s="2" t="s">
        <v>40</v>
      </c>
      <c r="W1079" s="2" t="s">
        <v>5775</v>
      </c>
      <c r="X1079" s="2"/>
      <c r="Y1079" s="2"/>
      <c r="Z1079" s="2"/>
      <c r="AA1079" s="2" t="s">
        <v>3189</v>
      </c>
      <c r="AB1079" s="2" t="s">
        <v>3190</v>
      </c>
      <c r="AC1079" s="4" t="s">
        <v>44</v>
      </c>
    </row>
    <row r="1080" spans="1:29" x14ac:dyDescent="0.25">
      <c r="A1080" s="1">
        <v>579</v>
      </c>
      <c r="B1080" s="17" t="s">
        <v>5776</v>
      </c>
      <c r="C1080" s="2" t="s">
        <v>5777</v>
      </c>
      <c r="D1080" s="15" t="s">
        <v>5778</v>
      </c>
      <c r="E1080" s="9" t="s">
        <v>5779</v>
      </c>
      <c r="F1080" s="9" t="s">
        <v>5780</v>
      </c>
      <c r="G1080" s="9" t="s">
        <v>3274</v>
      </c>
      <c r="H1080" s="2" t="s">
        <v>35</v>
      </c>
      <c r="I1080" s="3">
        <v>35131</v>
      </c>
      <c r="J1080" s="9" t="str">
        <f t="shared" ca="1" si="18"/>
        <v>27 ans</v>
      </c>
      <c r="K1080" s="2" t="s">
        <v>36</v>
      </c>
      <c r="L1080" s="2" t="str">
        <f>"102"</f>
        <v>102</v>
      </c>
      <c r="M1080" s="2"/>
      <c r="N1080" s="2" t="str">
        <f>"CH NOTRE-DAME"</f>
        <v>CH NOTRE-DAME</v>
      </c>
      <c r="O1080" s="2" t="s">
        <v>3185</v>
      </c>
      <c r="P1080" s="9" t="str">
        <f>VLOOKUP($O1080,'Liste des Villes'!$B$2:$B$1128,1,FALSE)</f>
        <v>Saint-Jérôme</v>
      </c>
      <c r="Q1080" s="9" t="str">
        <f>IFERROR($P1080,PROPER(VLOOKUP($O1080,'Villes en erreur'!$A$2:$B$72,2,FALSE)))</f>
        <v>Saint-Jérôme</v>
      </c>
      <c r="R1080" s="9" t="s">
        <v>3186</v>
      </c>
      <c r="S1080" s="9" t="str">
        <f>IF(ISBLANK($R1080),"",VLOOKUP($R1080,'Liste des Villes'!$B$2:$H$1128,4,FALSE))</f>
        <v>Laurentides</v>
      </c>
      <c r="T1080" s="2" t="s">
        <v>3187</v>
      </c>
      <c r="U1080" s="2" t="s">
        <v>39</v>
      </c>
      <c r="V1080" s="2" t="s">
        <v>40</v>
      </c>
      <c r="W1080" s="2" t="s">
        <v>5781</v>
      </c>
      <c r="X1080" s="2"/>
      <c r="Y1080" s="2"/>
      <c r="Z1080" s="2"/>
      <c r="AA1080" s="2" t="s">
        <v>3189</v>
      </c>
      <c r="AB1080" s="2" t="s">
        <v>3190</v>
      </c>
      <c r="AC1080" s="4" t="s">
        <v>44</v>
      </c>
    </row>
    <row r="1081" spans="1:29" x14ac:dyDescent="0.25">
      <c r="A1081" s="1">
        <v>561</v>
      </c>
      <c r="B1081" s="17" t="s">
        <v>5782</v>
      </c>
      <c r="C1081" s="2" t="s">
        <v>5783</v>
      </c>
      <c r="D1081" s="15" t="s">
        <v>3252</v>
      </c>
      <c r="E1081" s="9" t="s">
        <v>3497</v>
      </c>
      <c r="F1081" s="9" t="s">
        <v>5784</v>
      </c>
      <c r="G1081" s="9" t="s">
        <v>3397</v>
      </c>
      <c r="H1081" s="2" t="s">
        <v>60</v>
      </c>
      <c r="I1081" s="3">
        <v>35293</v>
      </c>
      <c r="J1081" s="9" t="str">
        <f t="shared" ca="1" si="18"/>
        <v>27 ans</v>
      </c>
      <c r="K1081" s="2" t="s">
        <v>36</v>
      </c>
      <c r="L1081" s="2" t="str">
        <f>"108"</f>
        <v>108</v>
      </c>
      <c r="M1081" s="2"/>
      <c r="N1081" s="2" t="str">
        <f>"CHEMIN DE SAINT MORITZ"</f>
        <v>CHEMIN DE SAINT MORITZ</v>
      </c>
      <c r="O1081" s="2" t="s">
        <v>3185</v>
      </c>
      <c r="P1081" s="9" t="str">
        <f>VLOOKUP($O1081,'Liste des Villes'!$B$2:$B$1128,1,FALSE)</f>
        <v>Saint-Jérôme</v>
      </c>
      <c r="Q1081" s="9" t="str">
        <f>IFERROR($P1081,PROPER(VLOOKUP($O1081,'Villes en erreur'!$A$2:$B$72,2,FALSE)))</f>
        <v>Saint-Jérôme</v>
      </c>
      <c r="R1081" s="9" t="s">
        <v>3186</v>
      </c>
      <c r="S1081" s="9" t="str">
        <f>IF(ISBLANK($R1081),"",VLOOKUP($R1081,'Liste des Villes'!$B$2:$H$1128,4,FALSE))</f>
        <v>Laurentides</v>
      </c>
      <c r="T1081" s="2" t="s">
        <v>3684</v>
      </c>
      <c r="U1081" s="2" t="s">
        <v>39</v>
      </c>
      <c r="V1081" s="2" t="s">
        <v>40</v>
      </c>
      <c r="W1081" s="2" t="s">
        <v>5785</v>
      </c>
      <c r="X1081" s="2"/>
      <c r="Y1081" s="2"/>
      <c r="Z1081" s="2"/>
      <c r="AA1081" s="2" t="s">
        <v>3189</v>
      </c>
      <c r="AB1081" s="2" t="s">
        <v>3190</v>
      </c>
      <c r="AC1081" s="4" t="s">
        <v>44</v>
      </c>
    </row>
    <row r="1082" spans="1:29" x14ac:dyDescent="0.25">
      <c r="A1082" s="1">
        <v>1854</v>
      </c>
      <c r="B1082" s="17" t="s">
        <v>5786</v>
      </c>
      <c r="C1082" s="2" t="s">
        <v>5787</v>
      </c>
      <c r="D1082" s="15" t="s">
        <v>564</v>
      </c>
      <c r="E1082" s="9" t="s">
        <v>5788</v>
      </c>
      <c r="F1082" s="9" t="s">
        <v>562</v>
      </c>
      <c r="G1082" s="9" t="s">
        <v>4153</v>
      </c>
      <c r="H1082" s="2" t="s">
        <v>35</v>
      </c>
      <c r="I1082" s="3">
        <v>33976</v>
      </c>
      <c r="J1082" s="9" t="str">
        <f t="shared" ca="1" si="18"/>
        <v>30 ans</v>
      </c>
      <c r="K1082" s="2" t="s">
        <v>36</v>
      </c>
      <c r="L1082" s="2" t="str">
        <f>"42"</f>
        <v>42</v>
      </c>
      <c r="M1082" s="2"/>
      <c r="N1082" s="2" t="str">
        <f>"BLVD Taché E"</f>
        <v>BLVD Taché E</v>
      </c>
      <c r="O1082" s="2" t="s">
        <v>3185</v>
      </c>
      <c r="P1082" s="9" t="str">
        <f>VLOOKUP($O1082,'Liste des Villes'!$B$2:$B$1128,1,FALSE)</f>
        <v>Saint-Jérôme</v>
      </c>
      <c r="Q1082" s="9" t="str">
        <f>IFERROR($P1082,PROPER(VLOOKUP($O1082,'Villes en erreur'!$A$2:$B$72,2,FALSE)))</f>
        <v>Saint-Jérôme</v>
      </c>
      <c r="R1082" s="9" t="s">
        <v>3186</v>
      </c>
      <c r="S1082" s="9" t="str">
        <f>IF(ISBLANK($R1082),"",VLOOKUP($R1082,'Liste des Villes'!$B$2:$H$1128,4,FALSE))</f>
        <v>Laurentides</v>
      </c>
      <c r="T1082" s="2" t="s">
        <v>3205</v>
      </c>
      <c r="U1082" s="2" t="s">
        <v>39</v>
      </c>
      <c r="V1082" s="2" t="s">
        <v>40</v>
      </c>
      <c r="W1082" s="2" t="s">
        <v>5789</v>
      </c>
      <c r="X1082" s="2"/>
      <c r="Y1082" s="2"/>
      <c r="Z1082" s="2"/>
      <c r="AA1082" s="2" t="s">
        <v>3207</v>
      </c>
      <c r="AB1082" s="2" t="s">
        <v>53</v>
      </c>
      <c r="AC1082" s="4" t="s">
        <v>44</v>
      </c>
    </row>
    <row r="1083" spans="1:29" x14ac:dyDescent="0.25">
      <c r="A1083" s="1">
        <v>4522</v>
      </c>
      <c r="B1083" s="17" t="s">
        <v>5790</v>
      </c>
      <c r="C1083" s="2" t="s">
        <v>5791</v>
      </c>
      <c r="D1083" s="15" t="s">
        <v>5792</v>
      </c>
      <c r="E1083" s="9" t="s">
        <v>5793</v>
      </c>
      <c r="F1083" s="9" t="s">
        <v>47</v>
      </c>
      <c r="G1083" s="9" t="s">
        <v>2334</v>
      </c>
      <c r="H1083" s="2" t="s">
        <v>60</v>
      </c>
      <c r="I1083" s="3">
        <v>35948</v>
      </c>
      <c r="J1083" s="9" t="str">
        <f t="shared" ca="1" si="18"/>
        <v>25 ans</v>
      </c>
      <c r="K1083" s="2" t="s">
        <v>123</v>
      </c>
      <c r="L1083" s="2" t="str">
        <f>"168"</f>
        <v>168</v>
      </c>
      <c r="M1083" s="2"/>
      <c r="N1083" s="2" t="str">
        <f>"MONTÉE SAINTE-THÉRÈSE"</f>
        <v>MONTÉE SAINTE-THÉRÈSE</v>
      </c>
      <c r="O1083" s="2" t="s">
        <v>3185</v>
      </c>
      <c r="P1083" s="9" t="str">
        <f>VLOOKUP($O1083,'Liste des Villes'!$B$2:$B$1128,1,FALSE)</f>
        <v>Saint-Jérôme</v>
      </c>
      <c r="Q1083" s="9" t="str">
        <f>IFERROR($P1083,PROPER(VLOOKUP($O1083,'Villes en erreur'!$A$2:$B$72,2,FALSE)))</f>
        <v>Saint-Jérôme</v>
      </c>
      <c r="R1083" s="9" t="s">
        <v>3186</v>
      </c>
      <c r="S1083" s="9" t="str">
        <f>IF(ISBLANK($R1083),"",VLOOKUP($R1083,'Liste des Villes'!$B$2:$H$1128,4,FALSE))</f>
        <v>Laurentides</v>
      </c>
      <c r="T1083" s="2" t="s">
        <v>4723</v>
      </c>
      <c r="U1083" s="2" t="s">
        <v>39</v>
      </c>
      <c r="V1083" s="2" t="s">
        <v>40</v>
      </c>
      <c r="W1083" s="2" t="s">
        <v>5794</v>
      </c>
      <c r="X1083" s="2"/>
      <c r="Y1083" s="2"/>
      <c r="Z1083" s="2"/>
      <c r="AA1083" s="2" t="s">
        <v>832</v>
      </c>
      <c r="AB1083" s="2" t="s">
        <v>3221</v>
      </c>
      <c r="AC1083" s="4" t="s">
        <v>44</v>
      </c>
    </row>
    <row r="1084" spans="1:29" x14ac:dyDescent="0.25">
      <c r="A1084" s="1">
        <v>1157</v>
      </c>
      <c r="B1084" s="17" t="s">
        <v>5795</v>
      </c>
      <c r="C1084" s="2" t="s">
        <v>5796</v>
      </c>
      <c r="D1084" s="15" t="s">
        <v>5797</v>
      </c>
      <c r="E1084" s="9" t="s">
        <v>5798</v>
      </c>
      <c r="F1084" s="9" t="s">
        <v>5799</v>
      </c>
      <c r="G1084" s="9" t="s">
        <v>425</v>
      </c>
      <c r="H1084" s="2" t="s">
        <v>60</v>
      </c>
      <c r="I1084" s="3">
        <v>35361</v>
      </c>
      <c r="J1084" s="9" t="str">
        <f t="shared" ca="1" si="18"/>
        <v>26 ans</v>
      </c>
      <c r="K1084" s="2" t="s">
        <v>36</v>
      </c>
      <c r="L1084" s="2" t="str">
        <f>"111"</f>
        <v>111</v>
      </c>
      <c r="M1084" s="2"/>
      <c r="N1084" s="2" t="str">
        <f>"CHEMIN DES OUTARDES"</f>
        <v>CHEMIN DES OUTARDES</v>
      </c>
      <c r="O1084" s="2" t="s">
        <v>3185</v>
      </c>
      <c r="P1084" s="9" t="str">
        <f>VLOOKUP($O1084,'Liste des Villes'!$B$2:$B$1128,1,FALSE)</f>
        <v>Saint-Jérôme</v>
      </c>
      <c r="Q1084" s="9" t="str">
        <f>IFERROR($P1084,PROPER(VLOOKUP($O1084,'Villes en erreur'!$A$2:$B$72,2,FALSE)))</f>
        <v>Saint-Jérôme</v>
      </c>
      <c r="R1084" s="9" t="s">
        <v>3186</v>
      </c>
      <c r="S1084" s="9" t="str">
        <f>IF(ISBLANK($R1084),"",VLOOKUP($R1084,'Liste des Villes'!$B$2:$H$1128,4,FALSE))</f>
        <v>Laurentides</v>
      </c>
      <c r="T1084" s="2" t="s">
        <v>3524</v>
      </c>
      <c r="U1084" s="2" t="s">
        <v>39</v>
      </c>
      <c r="V1084" s="2" t="s">
        <v>40</v>
      </c>
      <c r="W1084" s="2" t="s">
        <v>5800</v>
      </c>
      <c r="X1084" s="2"/>
      <c r="Y1084" s="2"/>
      <c r="Z1084" s="2"/>
      <c r="AA1084" s="2" t="s">
        <v>3189</v>
      </c>
      <c r="AB1084" s="2" t="s">
        <v>3200</v>
      </c>
      <c r="AC1084" s="4" t="s">
        <v>44</v>
      </c>
    </row>
    <row r="1085" spans="1:29" x14ac:dyDescent="0.25">
      <c r="A1085" s="1">
        <v>2074</v>
      </c>
      <c r="B1085" s="17" t="s">
        <v>5801</v>
      </c>
      <c r="C1085" s="2" t="s">
        <v>5802</v>
      </c>
      <c r="D1085" s="15" t="s">
        <v>1460</v>
      </c>
      <c r="E1085" s="9" t="s">
        <v>2404</v>
      </c>
      <c r="F1085" s="9" t="s">
        <v>1459</v>
      </c>
      <c r="G1085" s="9" t="s">
        <v>3912</v>
      </c>
      <c r="H1085" s="2" t="s">
        <v>35</v>
      </c>
      <c r="I1085" s="3">
        <v>35183</v>
      </c>
      <c r="J1085" s="9" t="str">
        <f t="shared" ca="1" si="18"/>
        <v>27 ans</v>
      </c>
      <c r="K1085" s="2" t="s">
        <v>36</v>
      </c>
      <c r="L1085" s="2" t="str">
        <f>"104"</f>
        <v>104</v>
      </c>
      <c r="M1085" s="2"/>
      <c r="N1085" s="2" t="str">
        <f>"CH SCRAIRE"</f>
        <v>CH SCRAIRE</v>
      </c>
      <c r="O1085" s="2" t="s">
        <v>3185</v>
      </c>
      <c r="P1085" s="9" t="str">
        <f>VLOOKUP($O1085,'Liste des Villes'!$B$2:$B$1128,1,FALSE)</f>
        <v>Saint-Jérôme</v>
      </c>
      <c r="Q1085" s="9" t="str">
        <f>IFERROR($P1085,PROPER(VLOOKUP($O1085,'Villes en erreur'!$A$2:$B$72,2,FALSE)))</f>
        <v>Saint-Jérôme</v>
      </c>
      <c r="R1085" s="9" t="s">
        <v>3186</v>
      </c>
      <c r="S1085" s="9" t="str">
        <f>IF(ISBLANK($R1085),"",VLOOKUP($R1085,'Liste des Villes'!$B$2:$H$1128,4,FALSE))</f>
        <v>Laurentides</v>
      </c>
      <c r="T1085" s="2" t="s">
        <v>3187</v>
      </c>
      <c r="U1085" s="2" t="s">
        <v>39</v>
      </c>
      <c r="V1085" s="2" t="s">
        <v>40</v>
      </c>
      <c r="W1085" s="2" t="s">
        <v>5803</v>
      </c>
      <c r="X1085" s="2"/>
      <c r="Y1085" s="2"/>
      <c r="Z1085" s="2"/>
      <c r="AA1085" s="2" t="s">
        <v>3189</v>
      </c>
      <c r="AB1085" s="2" t="s">
        <v>3190</v>
      </c>
      <c r="AC1085" s="4" t="s">
        <v>44</v>
      </c>
    </row>
    <row r="1086" spans="1:29" x14ac:dyDescent="0.25">
      <c r="A1086" s="1">
        <v>4188</v>
      </c>
      <c r="B1086" s="17" t="s">
        <v>5804</v>
      </c>
      <c r="C1086" s="2" t="s">
        <v>3249</v>
      </c>
      <c r="D1086" s="15" t="s">
        <v>3250</v>
      </c>
      <c r="E1086" s="9" t="s">
        <v>3251</v>
      </c>
      <c r="F1086" s="9" t="s">
        <v>3252</v>
      </c>
      <c r="G1086" s="9" t="s">
        <v>1978</v>
      </c>
      <c r="H1086" s="2" t="s">
        <v>60</v>
      </c>
      <c r="I1086" s="3">
        <v>35944</v>
      </c>
      <c r="J1086" s="9" t="str">
        <f t="shared" ca="1" si="18"/>
        <v>25 ans</v>
      </c>
      <c r="K1086" s="2" t="s">
        <v>123</v>
      </c>
      <c r="L1086" s="2" t="str">
        <f>"168"</f>
        <v>168</v>
      </c>
      <c r="M1086" s="2"/>
      <c r="N1086" s="2" t="str">
        <f>"MONTEE SAINTE-THÉRÈSE"</f>
        <v>MONTEE SAINTE-THÉRÈSE</v>
      </c>
      <c r="O1086" s="2" t="s">
        <v>3185</v>
      </c>
      <c r="P1086" s="9" t="str">
        <f>VLOOKUP($O1086,'Liste des Villes'!$B$2:$B$1128,1,FALSE)</f>
        <v>Saint-Jérôme</v>
      </c>
      <c r="Q1086" s="9" t="str">
        <f>IFERROR($P1086,PROPER(VLOOKUP($O1086,'Villes en erreur'!$A$2:$B$72,2,FALSE)))</f>
        <v>Saint-Jérôme</v>
      </c>
      <c r="R1086" s="9" t="s">
        <v>3186</v>
      </c>
      <c r="S1086" s="9" t="str">
        <f>IF(ISBLANK($R1086),"",VLOOKUP($R1086,'Liste des Villes'!$B$2:$H$1128,4,FALSE))</f>
        <v>Laurentides</v>
      </c>
      <c r="T1086" s="2" t="s">
        <v>5805</v>
      </c>
      <c r="U1086" s="2" t="s">
        <v>39</v>
      </c>
      <c r="V1086" s="2" t="s">
        <v>40</v>
      </c>
      <c r="W1086" s="2" t="s">
        <v>5806</v>
      </c>
      <c r="X1086" s="2"/>
      <c r="Y1086" s="2"/>
      <c r="Z1086" s="2"/>
      <c r="AA1086" s="2" t="s">
        <v>832</v>
      </c>
      <c r="AB1086" s="2" t="s">
        <v>3221</v>
      </c>
      <c r="AC1086" s="4" t="s">
        <v>44</v>
      </c>
    </row>
    <row r="1087" spans="1:29" x14ac:dyDescent="0.25">
      <c r="A1087" s="1">
        <v>1875</v>
      </c>
      <c r="B1087" s="17" t="s">
        <v>5807</v>
      </c>
      <c r="C1087" s="2" t="s">
        <v>3842</v>
      </c>
      <c r="D1087" s="15" t="s">
        <v>31</v>
      </c>
      <c r="E1087" s="9" t="s">
        <v>2635</v>
      </c>
      <c r="F1087" s="9" t="s">
        <v>3843</v>
      </c>
      <c r="G1087" s="9" t="s">
        <v>3404</v>
      </c>
      <c r="H1087" s="2" t="s">
        <v>35</v>
      </c>
      <c r="I1087" s="3">
        <v>35699</v>
      </c>
      <c r="J1087" s="9" t="str">
        <f t="shared" ca="1" si="18"/>
        <v>25 ans</v>
      </c>
      <c r="K1087" s="2" t="s">
        <v>123</v>
      </c>
      <c r="L1087" s="2" t="str">
        <f>"135"</f>
        <v>135</v>
      </c>
      <c r="M1087" s="2"/>
      <c r="N1087" s="2" t="str">
        <f>"DES OISEAUX BLVD"</f>
        <v>DES OISEAUX BLVD</v>
      </c>
      <c r="O1087" s="2" t="s">
        <v>3185</v>
      </c>
      <c r="P1087" s="9" t="str">
        <f>VLOOKUP($O1087,'Liste des Villes'!$B$2:$B$1128,1,FALSE)</f>
        <v>Saint-Jérôme</v>
      </c>
      <c r="Q1087" s="9" t="str">
        <f>IFERROR($P1087,PROPER(VLOOKUP($O1087,'Villes en erreur'!$A$2:$B$72,2,FALSE)))</f>
        <v>Saint-Jérôme</v>
      </c>
      <c r="R1087" s="9" t="s">
        <v>3186</v>
      </c>
      <c r="S1087" s="9" t="str">
        <f>IF(ISBLANK($R1087),"",VLOOKUP($R1087,'Liste des Villes'!$B$2:$H$1128,4,FALSE))</f>
        <v>Laurentides</v>
      </c>
      <c r="T1087" s="2" t="s">
        <v>4094</v>
      </c>
      <c r="U1087" s="2" t="s">
        <v>39</v>
      </c>
      <c r="V1087" s="2" t="s">
        <v>40</v>
      </c>
      <c r="W1087" s="2" t="s">
        <v>5808</v>
      </c>
      <c r="X1087" s="2"/>
      <c r="Y1087" s="2"/>
      <c r="Z1087" s="2"/>
      <c r="AA1087" s="2" t="s">
        <v>3243</v>
      </c>
      <c r="AB1087" s="2" t="s">
        <v>3221</v>
      </c>
      <c r="AC1087" s="4" t="s">
        <v>44</v>
      </c>
    </row>
    <row r="1088" spans="1:29" x14ac:dyDescent="0.25">
      <c r="A1088" s="1">
        <v>4279</v>
      </c>
      <c r="B1088" s="17" t="s">
        <v>5809</v>
      </c>
      <c r="C1088" s="2" t="s">
        <v>5572</v>
      </c>
      <c r="D1088" s="15" t="s">
        <v>4347</v>
      </c>
      <c r="E1088" s="9" t="s">
        <v>380</v>
      </c>
      <c r="F1088" s="9" t="s">
        <v>304</v>
      </c>
      <c r="G1088" s="9" t="s">
        <v>5810</v>
      </c>
      <c r="H1088" s="2" t="s">
        <v>60</v>
      </c>
      <c r="I1088" s="3">
        <v>35061</v>
      </c>
      <c r="J1088" s="9" t="str">
        <f t="shared" ca="1" si="18"/>
        <v>27 ans</v>
      </c>
      <c r="K1088" s="2" t="s">
        <v>36</v>
      </c>
      <c r="L1088" s="2" t="str">
        <f>"100"</f>
        <v>100</v>
      </c>
      <c r="M1088" s="2"/>
      <c r="N1088" s="2" t="str">
        <f>"CH DU TOUR-DU-LAC"</f>
        <v>CH DU TOUR-DU-LAC</v>
      </c>
      <c r="O1088" s="2" t="s">
        <v>3185</v>
      </c>
      <c r="P1088" s="9" t="str">
        <f>VLOOKUP($O1088,'Liste des Villes'!$B$2:$B$1128,1,FALSE)</f>
        <v>Saint-Jérôme</v>
      </c>
      <c r="Q1088" s="9" t="str">
        <f>IFERROR($P1088,PROPER(VLOOKUP($O1088,'Villes en erreur'!$A$2:$B$72,2,FALSE)))</f>
        <v>Saint-Jérôme</v>
      </c>
      <c r="R1088" s="9" t="s">
        <v>3186</v>
      </c>
      <c r="S1088" s="9" t="str">
        <f>IF(ISBLANK($R1088),"",VLOOKUP($R1088,'Liste des Villes'!$B$2:$H$1128,4,FALSE))</f>
        <v>Laurentides</v>
      </c>
      <c r="T1088" s="2" t="s">
        <v>3187</v>
      </c>
      <c r="U1088" s="2" t="s">
        <v>39</v>
      </c>
      <c r="V1088" s="2" t="s">
        <v>40</v>
      </c>
      <c r="W1088" s="2" t="s">
        <v>5811</v>
      </c>
      <c r="X1088" s="2"/>
      <c r="Y1088" s="2"/>
      <c r="Z1088" s="2"/>
      <c r="AA1088" s="2" t="s">
        <v>3189</v>
      </c>
      <c r="AB1088" s="2" t="s">
        <v>3190</v>
      </c>
      <c r="AC1088" s="4" t="s">
        <v>44</v>
      </c>
    </row>
    <row r="1089" spans="1:29" x14ac:dyDescent="0.25">
      <c r="A1089" s="1">
        <v>2626</v>
      </c>
      <c r="B1089" s="17" t="s">
        <v>5812</v>
      </c>
      <c r="C1089" s="2" t="s">
        <v>5813</v>
      </c>
      <c r="D1089" s="15" t="s">
        <v>5814</v>
      </c>
      <c r="E1089" s="9" t="s">
        <v>2796</v>
      </c>
      <c r="F1089" s="9" t="s">
        <v>5815</v>
      </c>
      <c r="G1089" s="9" t="s">
        <v>4686</v>
      </c>
      <c r="H1089" s="2" t="s">
        <v>35</v>
      </c>
      <c r="I1089" s="3">
        <v>36085</v>
      </c>
      <c r="J1089" s="9" t="str">
        <f t="shared" ca="1" si="18"/>
        <v>24 ans</v>
      </c>
      <c r="K1089" s="2" t="s">
        <v>123</v>
      </c>
      <c r="L1089" s="2" t="str">
        <f>"205"</f>
        <v>205</v>
      </c>
      <c r="M1089" s="2"/>
      <c r="N1089" s="2" t="str">
        <f>"RENÉ-A.-ROBERT BLVD"</f>
        <v>RENÉ-A.-ROBERT BLVD</v>
      </c>
      <c r="O1089" s="2" t="s">
        <v>3185</v>
      </c>
      <c r="P1089" s="9" t="str">
        <f>VLOOKUP($O1089,'Liste des Villes'!$B$2:$B$1128,1,FALSE)</f>
        <v>Saint-Jérôme</v>
      </c>
      <c r="Q1089" s="9" t="str">
        <f>IFERROR($P1089,PROPER(VLOOKUP($O1089,'Villes en erreur'!$A$2:$B$72,2,FALSE)))</f>
        <v>Saint-Jérôme</v>
      </c>
      <c r="R1089" s="9" t="s">
        <v>3186</v>
      </c>
      <c r="S1089" s="9" t="str">
        <f>IF(ISBLANK($R1089),"",VLOOKUP($R1089,'Liste des Villes'!$B$2:$H$1128,4,FALSE))</f>
        <v>Laurentides</v>
      </c>
      <c r="T1089" s="2" t="s">
        <v>4999</v>
      </c>
      <c r="U1089" s="2" t="s">
        <v>39</v>
      </c>
      <c r="V1089" s="2" t="s">
        <v>40</v>
      </c>
      <c r="W1089" s="2" t="s">
        <v>5816</v>
      </c>
      <c r="X1089" s="2"/>
      <c r="Y1089" s="2"/>
      <c r="Z1089" s="2"/>
      <c r="AA1089" s="2" t="s">
        <v>832</v>
      </c>
      <c r="AB1089" s="2" t="s">
        <v>3221</v>
      </c>
      <c r="AC1089" s="4" t="s">
        <v>44</v>
      </c>
    </row>
    <row r="1090" spans="1:29" x14ac:dyDescent="0.25">
      <c r="A1090" s="1">
        <v>3725</v>
      </c>
      <c r="B1090" s="17" t="s">
        <v>5817</v>
      </c>
      <c r="C1090" s="2" t="s">
        <v>177</v>
      </c>
      <c r="D1090" s="15" t="s">
        <v>178</v>
      </c>
      <c r="E1090" s="9" t="s">
        <v>179</v>
      </c>
      <c r="F1090" s="9" t="s">
        <v>3625</v>
      </c>
      <c r="G1090" s="9" t="s">
        <v>3668</v>
      </c>
      <c r="H1090" s="2" t="s">
        <v>60</v>
      </c>
      <c r="I1090" s="3">
        <v>36233</v>
      </c>
      <c r="J1090" s="9" t="str">
        <f t="shared" ref="J1090:J1153" ca="1" si="19">_xlfn.CONCAT(INT((TODAY()-$I1090)/365.25)," ans")</f>
        <v>24 ans</v>
      </c>
      <c r="K1090" s="2" t="s">
        <v>123</v>
      </c>
      <c r="L1090" s="2" t="str">
        <f>"260"</f>
        <v>260</v>
      </c>
      <c r="M1090" s="2"/>
      <c r="N1090" s="2" t="str">
        <f>"RUE BÉDARD"</f>
        <v>RUE BÉDARD</v>
      </c>
      <c r="O1090" s="2" t="s">
        <v>3185</v>
      </c>
      <c r="P1090" s="9" t="str">
        <f>VLOOKUP($O1090,'Liste des Villes'!$B$2:$B$1128,1,FALSE)</f>
        <v>Saint-Jérôme</v>
      </c>
      <c r="Q1090" s="9" t="str">
        <f>IFERROR($P1090,PROPER(VLOOKUP($O1090,'Villes en erreur'!$A$2:$B$72,2,FALSE)))</f>
        <v>Saint-Jérôme</v>
      </c>
      <c r="R1090" s="9" t="s">
        <v>3186</v>
      </c>
      <c r="S1090" s="9" t="str">
        <f>IF(ISBLANK($R1090),"",VLOOKUP($R1090,'Liste des Villes'!$B$2:$H$1128,4,FALSE))</f>
        <v>Laurentides</v>
      </c>
      <c r="T1090" s="2" t="s">
        <v>5818</v>
      </c>
      <c r="U1090" s="2" t="s">
        <v>39</v>
      </c>
      <c r="V1090" s="2" t="s">
        <v>40</v>
      </c>
      <c r="W1090" s="2" t="s">
        <v>5819</v>
      </c>
      <c r="X1090" s="2"/>
      <c r="Y1090" s="2"/>
      <c r="Z1090" s="2"/>
      <c r="AA1090" s="2" t="s">
        <v>832</v>
      </c>
      <c r="AB1090" s="2" t="s">
        <v>73</v>
      </c>
      <c r="AC1090" s="4" t="s">
        <v>44</v>
      </c>
    </row>
    <row r="1091" spans="1:29" x14ac:dyDescent="0.25">
      <c r="A1091" s="1">
        <v>3115</v>
      </c>
      <c r="B1091" s="17" t="s">
        <v>5820</v>
      </c>
      <c r="C1091" s="2" t="s">
        <v>2914</v>
      </c>
      <c r="D1091" s="15" t="s">
        <v>164</v>
      </c>
      <c r="E1091" s="9" t="s">
        <v>602</v>
      </c>
      <c r="F1091" s="9" t="s">
        <v>2915</v>
      </c>
      <c r="G1091" s="9" t="s">
        <v>92</v>
      </c>
      <c r="H1091" s="2" t="s">
        <v>35</v>
      </c>
      <c r="I1091" s="3">
        <v>35421</v>
      </c>
      <c r="J1091" s="9" t="str">
        <f t="shared" ca="1" si="19"/>
        <v>26 ans</v>
      </c>
      <c r="K1091" s="2" t="s">
        <v>36</v>
      </c>
      <c r="L1091" s="2" t="str">
        <f>"114"</f>
        <v>114</v>
      </c>
      <c r="M1091" s="2"/>
      <c r="N1091" s="2" t="str">
        <f>"CHEMIN DU LAC PRÉVOST"</f>
        <v>CHEMIN DU LAC PRÉVOST</v>
      </c>
      <c r="O1091" s="2" t="s">
        <v>3185</v>
      </c>
      <c r="P1091" s="9" t="str">
        <f>VLOOKUP($O1091,'Liste des Villes'!$B$2:$B$1128,1,FALSE)</f>
        <v>Saint-Jérôme</v>
      </c>
      <c r="Q1091" s="9" t="str">
        <f>IFERROR($P1091,PROPER(VLOOKUP($O1091,'Villes en erreur'!$A$2:$B$72,2,FALSE)))</f>
        <v>Saint-Jérôme</v>
      </c>
      <c r="R1091" s="9" t="s">
        <v>3186</v>
      </c>
      <c r="S1091" s="9" t="str">
        <f>IF(ISBLANK($R1091),"",VLOOKUP($R1091,'Liste des Villes'!$B$2:$H$1128,4,FALSE))</f>
        <v>Laurentides</v>
      </c>
      <c r="T1091" s="2" t="s">
        <v>4032</v>
      </c>
      <c r="U1091" s="2" t="s">
        <v>39</v>
      </c>
      <c r="V1091" s="2" t="s">
        <v>40</v>
      </c>
      <c r="W1091" s="2" t="s">
        <v>5821</v>
      </c>
      <c r="X1091" s="2"/>
      <c r="Y1091" s="2"/>
      <c r="Z1091" s="2"/>
      <c r="AA1091" s="2" t="s">
        <v>3199</v>
      </c>
      <c r="AB1091" s="2" t="s">
        <v>3200</v>
      </c>
      <c r="AC1091" s="4" t="s">
        <v>44</v>
      </c>
    </row>
    <row r="1092" spans="1:29" x14ac:dyDescent="0.25">
      <c r="A1092" s="1">
        <v>4487</v>
      </c>
      <c r="B1092" s="17" t="s">
        <v>5822</v>
      </c>
      <c r="C1092" s="2" t="s">
        <v>5823</v>
      </c>
      <c r="D1092" s="15" t="s">
        <v>5824</v>
      </c>
      <c r="E1092" s="9" t="s">
        <v>4292</v>
      </c>
      <c r="F1092" s="9" t="s">
        <v>3772</v>
      </c>
      <c r="G1092" s="9" t="s">
        <v>1397</v>
      </c>
      <c r="H1092" s="2" t="s">
        <v>60</v>
      </c>
      <c r="I1092" s="3">
        <v>35207</v>
      </c>
      <c r="J1092" s="9" t="str">
        <f t="shared" ca="1" si="19"/>
        <v>27 ans</v>
      </c>
      <c r="K1092" s="2" t="s">
        <v>36</v>
      </c>
      <c r="L1092" s="2" t="str">
        <f>"104"</f>
        <v>104</v>
      </c>
      <c r="M1092" s="2"/>
      <c r="N1092" s="2" t="str">
        <f>"CH TAMARACOUTA"</f>
        <v>CH TAMARACOUTA</v>
      </c>
      <c r="O1092" s="2" t="s">
        <v>3185</v>
      </c>
      <c r="P1092" s="9" t="str">
        <f>VLOOKUP($O1092,'Liste des Villes'!$B$2:$B$1128,1,FALSE)</f>
        <v>Saint-Jérôme</v>
      </c>
      <c r="Q1092" s="9" t="str">
        <f>IFERROR($P1092,PROPER(VLOOKUP($O1092,'Villes en erreur'!$A$2:$B$72,2,FALSE)))</f>
        <v>Saint-Jérôme</v>
      </c>
      <c r="R1092" s="9" t="s">
        <v>3186</v>
      </c>
      <c r="S1092" s="9" t="str">
        <f>IF(ISBLANK($R1092),"",VLOOKUP($R1092,'Liste des Villes'!$B$2:$H$1128,4,FALSE))</f>
        <v>Laurentides</v>
      </c>
      <c r="T1092" s="2" t="s">
        <v>3187</v>
      </c>
      <c r="U1092" s="2" t="s">
        <v>39</v>
      </c>
      <c r="V1092" s="2" t="s">
        <v>40</v>
      </c>
      <c r="W1092" s="2" t="s">
        <v>5825</v>
      </c>
      <c r="X1092" s="2"/>
      <c r="Y1092" s="2"/>
      <c r="Z1092" s="2"/>
      <c r="AA1092" s="2" t="s">
        <v>3189</v>
      </c>
      <c r="AB1092" s="2" t="s">
        <v>3190</v>
      </c>
      <c r="AC1092" s="4" t="s">
        <v>44</v>
      </c>
    </row>
    <row r="1093" spans="1:29" x14ac:dyDescent="0.25">
      <c r="A1093" s="1">
        <v>864</v>
      </c>
      <c r="B1093" s="17" t="s">
        <v>5826</v>
      </c>
      <c r="C1093" s="2" t="s">
        <v>5827</v>
      </c>
      <c r="D1093" s="15" t="s">
        <v>47</v>
      </c>
      <c r="E1093" s="9" t="s">
        <v>5828</v>
      </c>
      <c r="F1093" s="9" t="s">
        <v>3502</v>
      </c>
      <c r="G1093" s="9" t="s">
        <v>92</v>
      </c>
      <c r="H1093" s="2" t="s">
        <v>35</v>
      </c>
      <c r="I1093" s="3">
        <v>35391</v>
      </c>
      <c r="J1093" s="9" t="str">
        <f t="shared" ca="1" si="19"/>
        <v>26 ans</v>
      </c>
      <c r="K1093" s="2" t="s">
        <v>36</v>
      </c>
      <c r="L1093" s="2" t="str">
        <f>"113"</f>
        <v>113</v>
      </c>
      <c r="M1093" s="2"/>
      <c r="N1093" s="2" t="str">
        <f>"CHEMIN DU LAC BLEU"</f>
        <v>CHEMIN DU LAC BLEU</v>
      </c>
      <c r="O1093" s="2" t="s">
        <v>3185</v>
      </c>
      <c r="P1093" s="9" t="str">
        <f>VLOOKUP($O1093,'Liste des Villes'!$B$2:$B$1128,1,FALSE)</f>
        <v>Saint-Jérôme</v>
      </c>
      <c r="Q1093" s="9" t="str">
        <f>IFERROR($P1093,PROPER(VLOOKUP($O1093,'Villes en erreur'!$A$2:$B$72,2,FALSE)))</f>
        <v>Saint-Jérôme</v>
      </c>
      <c r="R1093" s="9" t="s">
        <v>3186</v>
      </c>
      <c r="S1093" s="9" t="str">
        <f>IF(ISBLANK($R1093),"",VLOOKUP($R1093,'Liste des Villes'!$B$2:$H$1128,4,FALSE))</f>
        <v>Laurentides</v>
      </c>
      <c r="T1093" s="2" t="s">
        <v>5829</v>
      </c>
      <c r="U1093" s="2" t="s">
        <v>39</v>
      </c>
      <c r="V1093" s="2" t="s">
        <v>40</v>
      </c>
      <c r="W1093" s="2" t="s">
        <v>5830</v>
      </c>
      <c r="X1093" s="2"/>
      <c r="Y1093" s="2"/>
      <c r="Z1093" s="2"/>
      <c r="AA1093" s="2" t="s">
        <v>3199</v>
      </c>
      <c r="AB1093" s="2" t="s">
        <v>3200</v>
      </c>
      <c r="AC1093" s="4" t="s">
        <v>44</v>
      </c>
    </row>
    <row r="1094" spans="1:29" x14ac:dyDescent="0.25">
      <c r="A1094" s="1">
        <v>2363</v>
      </c>
      <c r="B1094" s="17" t="s">
        <v>5831</v>
      </c>
      <c r="C1094" s="2" t="s">
        <v>5832</v>
      </c>
      <c r="D1094" s="15" t="s">
        <v>432</v>
      </c>
      <c r="E1094" s="9" t="s">
        <v>202</v>
      </c>
      <c r="F1094" s="9" t="s">
        <v>203</v>
      </c>
      <c r="G1094" s="9" t="s">
        <v>3274</v>
      </c>
      <c r="H1094" s="2" t="s">
        <v>35</v>
      </c>
      <c r="I1094" s="3">
        <v>35147</v>
      </c>
      <c r="J1094" s="9" t="str">
        <f t="shared" ca="1" si="19"/>
        <v>27 ans</v>
      </c>
      <c r="K1094" s="2" t="s">
        <v>36</v>
      </c>
      <c r="L1094" s="2" t="str">
        <f>"103"</f>
        <v>103</v>
      </c>
      <c r="M1094" s="2"/>
      <c r="N1094" s="2" t="str">
        <f>"CH PRINCIPAL"</f>
        <v>CH PRINCIPAL</v>
      </c>
      <c r="O1094" s="2" t="s">
        <v>3185</v>
      </c>
      <c r="P1094" s="9" t="str">
        <f>VLOOKUP($O1094,'Liste des Villes'!$B$2:$B$1128,1,FALSE)</f>
        <v>Saint-Jérôme</v>
      </c>
      <c r="Q1094" s="9" t="str">
        <f>IFERROR($P1094,PROPER(VLOOKUP($O1094,'Villes en erreur'!$A$2:$B$72,2,FALSE)))</f>
        <v>Saint-Jérôme</v>
      </c>
      <c r="R1094" s="9" t="s">
        <v>3186</v>
      </c>
      <c r="S1094" s="9" t="str">
        <f>IF(ISBLANK($R1094),"",VLOOKUP($R1094,'Liste des Villes'!$B$2:$H$1128,4,FALSE))</f>
        <v>Laurentides</v>
      </c>
      <c r="T1094" s="2" t="s">
        <v>3187</v>
      </c>
      <c r="U1094" s="2" t="s">
        <v>39</v>
      </c>
      <c r="V1094" s="2" t="s">
        <v>40</v>
      </c>
      <c r="W1094" s="2" t="s">
        <v>5833</v>
      </c>
      <c r="X1094" s="2"/>
      <c r="Y1094" s="2"/>
      <c r="Z1094" s="2"/>
      <c r="AA1094" s="2" t="s">
        <v>3189</v>
      </c>
      <c r="AB1094" s="2" t="s">
        <v>3190</v>
      </c>
      <c r="AC1094" s="4" t="s">
        <v>44</v>
      </c>
    </row>
    <row r="1095" spans="1:29" x14ac:dyDescent="0.25">
      <c r="A1095" s="1">
        <v>4177</v>
      </c>
      <c r="B1095" s="17" t="s">
        <v>5834</v>
      </c>
      <c r="C1095" s="2" t="s">
        <v>5835</v>
      </c>
      <c r="D1095" s="15" t="s">
        <v>5836</v>
      </c>
      <c r="E1095" s="9" t="s">
        <v>2217</v>
      </c>
      <c r="F1095" s="9" t="s">
        <v>5837</v>
      </c>
      <c r="G1095" s="9" t="s">
        <v>92</v>
      </c>
      <c r="H1095" s="2" t="s">
        <v>35</v>
      </c>
      <c r="I1095" s="3">
        <v>35459</v>
      </c>
      <c r="J1095" s="9" t="str">
        <f t="shared" ca="1" si="19"/>
        <v>26 ans</v>
      </c>
      <c r="K1095" s="2" t="s">
        <v>36</v>
      </c>
      <c r="L1095" s="2" t="str">
        <f>"116"</f>
        <v>116</v>
      </c>
      <c r="M1095" s="2"/>
      <c r="N1095" s="2" t="str">
        <f>"CHEMIN GAGNON"</f>
        <v>CHEMIN GAGNON</v>
      </c>
      <c r="O1095" s="2" t="s">
        <v>3185</v>
      </c>
      <c r="P1095" s="9" t="str">
        <f>VLOOKUP($O1095,'Liste des Villes'!$B$2:$B$1128,1,FALSE)</f>
        <v>Saint-Jérôme</v>
      </c>
      <c r="Q1095" s="9" t="str">
        <f>IFERROR($P1095,PROPER(VLOOKUP($O1095,'Villes en erreur'!$A$2:$B$72,2,FALSE)))</f>
        <v>Saint-Jérôme</v>
      </c>
      <c r="R1095" s="9" t="s">
        <v>3186</v>
      </c>
      <c r="S1095" s="9" t="str">
        <f>IF(ISBLANK($R1095),"",VLOOKUP($R1095,'Liste des Villes'!$B$2:$H$1128,4,FALSE))</f>
        <v>Laurentides</v>
      </c>
      <c r="T1095" s="2" t="s">
        <v>3369</v>
      </c>
      <c r="U1095" s="2" t="s">
        <v>39</v>
      </c>
      <c r="V1095" s="2" t="s">
        <v>40</v>
      </c>
      <c r="W1095" s="2" t="s">
        <v>5838</v>
      </c>
      <c r="X1095" s="2"/>
      <c r="Y1095" s="2"/>
      <c r="Z1095" s="2"/>
      <c r="AA1095" s="2" t="s">
        <v>3199</v>
      </c>
      <c r="AB1095" s="2" t="s">
        <v>3200</v>
      </c>
      <c r="AC1095" s="4" t="s">
        <v>44</v>
      </c>
    </row>
    <row r="1096" spans="1:29" x14ac:dyDescent="0.25">
      <c r="A1096" s="1">
        <v>4609</v>
      </c>
      <c r="B1096" s="17" t="s">
        <v>5839</v>
      </c>
      <c r="C1096" s="2" t="s">
        <v>5840</v>
      </c>
      <c r="D1096" s="15" t="s">
        <v>1011</v>
      </c>
      <c r="E1096" s="9" t="s">
        <v>186</v>
      </c>
      <c r="F1096" s="9" t="s">
        <v>1010</v>
      </c>
      <c r="G1096" s="9" t="s">
        <v>495</v>
      </c>
      <c r="H1096" s="2" t="s">
        <v>35</v>
      </c>
      <c r="I1096" s="3">
        <v>34614</v>
      </c>
      <c r="J1096" s="9" t="str">
        <f t="shared" ca="1" si="19"/>
        <v>28 ans</v>
      </c>
      <c r="K1096" s="2" t="s">
        <v>36</v>
      </c>
      <c r="L1096" s="2" t="str">
        <f>"68"</f>
        <v>68</v>
      </c>
      <c r="M1096" s="2"/>
      <c r="N1096" s="2" t="str">
        <f>"CH DE LA PAIX"</f>
        <v>CH DE LA PAIX</v>
      </c>
      <c r="O1096" s="2" t="s">
        <v>3185</v>
      </c>
      <c r="P1096" s="9" t="str">
        <f>VLOOKUP($O1096,'Liste des Villes'!$B$2:$B$1128,1,FALSE)</f>
        <v>Saint-Jérôme</v>
      </c>
      <c r="Q1096" s="9" t="str">
        <f>IFERROR($P1096,PROPER(VLOOKUP($O1096,'Villes en erreur'!$A$2:$B$72,2,FALSE)))</f>
        <v>Saint-Jérôme</v>
      </c>
      <c r="R1096" s="9" t="s">
        <v>3186</v>
      </c>
      <c r="S1096" s="9" t="str">
        <f>IF(ISBLANK($R1096),"",VLOOKUP($R1096,'Liste des Villes'!$B$2:$H$1128,4,FALSE))</f>
        <v>Laurentides</v>
      </c>
      <c r="T1096" s="2" t="s">
        <v>3223</v>
      </c>
      <c r="U1096" s="2" t="s">
        <v>39</v>
      </c>
      <c r="V1096" s="2" t="s">
        <v>40</v>
      </c>
      <c r="W1096" s="2" t="s">
        <v>5841</v>
      </c>
      <c r="X1096" s="2"/>
      <c r="Y1096" s="2"/>
      <c r="Z1096" s="2"/>
      <c r="AA1096" s="2" t="s">
        <v>3225</v>
      </c>
      <c r="AB1096" s="2" t="s">
        <v>53</v>
      </c>
      <c r="AC1096" s="4" t="s">
        <v>44</v>
      </c>
    </row>
    <row r="1097" spans="1:29" x14ac:dyDescent="0.25">
      <c r="A1097" s="1">
        <v>660</v>
      </c>
      <c r="B1097" s="17" t="s">
        <v>5842</v>
      </c>
      <c r="C1097" s="2" t="s">
        <v>5843</v>
      </c>
      <c r="D1097" s="15" t="s">
        <v>5844</v>
      </c>
      <c r="E1097" s="9" t="s">
        <v>5845</v>
      </c>
      <c r="F1097" s="9" t="s">
        <v>1145</v>
      </c>
      <c r="G1097" s="9" t="s">
        <v>4697</v>
      </c>
      <c r="H1097" s="2" t="s">
        <v>35</v>
      </c>
      <c r="I1097" s="3">
        <v>35663</v>
      </c>
      <c r="J1097" s="9" t="str">
        <f t="shared" ca="1" si="19"/>
        <v>26 ans</v>
      </c>
      <c r="K1097" s="2" t="s">
        <v>36</v>
      </c>
      <c r="L1097" s="2" t="str">
        <f>"132"</f>
        <v>132</v>
      </c>
      <c r="M1097" s="2"/>
      <c r="N1097" s="2" t="str">
        <f>"DE SAINTE-MARCELLE BLVD"</f>
        <v>DE SAINTE-MARCELLE BLVD</v>
      </c>
      <c r="O1097" s="2" t="s">
        <v>3185</v>
      </c>
      <c r="P1097" s="9" t="str">
        <f>VLOOKUP($O1097,'Liste des Villes'!$B$2:$B$1128,1,FALSE)</f>
        <v>Saint-Jérôme</v>
      </c>
      <c r="Q1097" s="9" t="str">
        <f>IFERROR($P1097,PROPER(VLOOKUP($O1097,'Villes en erreur'!$A$2:$B$72,2,FALSE)))</f>
        <v>Saint-Jérôme</v>
      </c>
      <c r="R1097" s="9" t="s">
        <v>3186</v>
      </c>
      <c r="S1097" s="9" t="str">
        <f>IF(ISBLANK($R1097),"",VLOOKUP($R1097,'Liste des Villes'!$B$2:$H$1128,4,FALSE))</f>
        <v>Laurentides</v>
      </c>
      <c r="T1097" s="2" t="s">
        <v>4014</v>
      </c>
      <c r="U1097" s="2" t="s">
        <v>39</v>
      </c>
      <c r="V1097" s="2" t="s">
        <v>40</v>
      </c>
      <c r="W1097" s="2" t="s">
        <v>5846</v>
      </c>
      <c r="X1097" s="2"/>
      <c r="Y1097" s="2"/>
      <c r="Z1097" s="2"/>
      <c r="AA1097" s="2" t="s">
        <v>3243</v>
      </c>
      <c r="AB1097" s="2" t="s">
        <v>3221</v>
      </c>
      <c r="AC1097" s="4" t="s">
        <v>44</v>
      </c>
    </row>
    <row r="1098" spans="1:29" x14ac:dyDescent="0.25">
      <c r="A1098" s="1">
        <v>2682</v>
      </c>
      <c r="B1098" s="17" t="s">
        <v>5847</v>
      </c>
      <c r="C1098" s="2" t="s">
        <v>5848</v>
      </c>
      <c r="D1098" s="15" t="s">
        <v>2050</v>
      </c>
      <c r="E1098" s="9" t="s">
        <v>5462</v>
      </c>
      <c r="F1098" s="9" t="s">
        <v>2048</v>
      </c>
      <c r="G1098" s="9" t="s">
        <v>5569</v>
      </c>
      <c r="H1098" s="2" t="s">
        <v>60</v>
      </c>
      <c r="I1098" s="3">
        <v>36206</v>
      </c>
      <c r="J1098" s="9" t="str">
        <f t="shared" ca="1" si="19"/>
        <v>24 ans</v>
      </c>
      <c r="K1098" s="2" t="s">
        <v>123</v>
      </c>
      <c r="L1098" s="2" t="str">
        <f>"244"</f>
        <v>244</v>
      </c>
      <c r="M1098" s="2"/>
      <c r="N1098" s="2" t="str">
        <f>"RUE AUBRY"</f>
        <v>RUE AUBRY</v>
      </c>
      <c r="O1098" s="2" t="s">
        <v>3185</v>
      </c>
      <c r="P1098" s="9" t="str">
        <f>VLOOKUP($O1098,'Liste des Villes'!$B$2:$B$1128,1,FALSE)</f>
        <v>Saint-Jérôme</v>
      </c>
      <c r="Q1098" s="9" t="str">
        <f>IFERROR($P1098,PROPER(VLOOKUP($O1098,'Villes en erreur'!$A$2:$B$72,2,FALSE)))</f>
        <v>Saint-Jérôme</v>
      </c>
      <c r="R1098" s="9" t="s">
        <v>3186</v>
      </c>
      <c r="S1098" s="9" t="str">
        <f>IF(ISBLANK($R1098),"",VLOOKUP($R1098,'Liste des Villes'!$B$2:$H$1128,4,FALSE))</f>
        <v>Laurentides</v>
      </c>
      <c r="T1098" s="2" t="s">
        <v>3286</v>
      </c>
      <c r="U1098" s="2" t="s">
        <v>39</v>
      </c>
      <c r="V1098" s="2" t="s">
        <v>40</v>
      </c>
      <c r="W1098" s="2" t="s">
        <v>5849</v>
      </c>
      <c r="X1098" s="2"/>
      <c r="Y1098" s="2"/>
      <c r="Z1098" s="2"/>
      <c r="AA1098" s="2" t="s">
        <v>832</v>
      </c>
      <c r="AB1098" s="2" t="s">
        <v>3288</v>
      </c>
      <c r="AC1098" s="4" t="s">
        <v>44</v>
      </c>
    </row>
    <row r="1099" spans="1:29" x14ac:dyDescent="0.25">
      <c r="A1099" s="1">
        <v>2823</v>
      </c>
      <c r="B1099" s="17" t="s">
        <v>5850</v>
      </c>
      <c r="C1099" s="2" t="s">
        <v>838</v>
      </c>
      <c r="D1099" s="15" t="s">
        <v>839</v>
      </c>
      <c r="E1099" s="9" t="s">
        <v>840</v>
      </c>
      <c r="F1099" s="9" t="s">
        <v>841</v>
      </c>
      <c r="G1099" s="9" t="s">
        <v>1560</v>
      </c>
      <c r="H1099" s="2" t="s">
        <v>35</v>
      </c>
      <c r="I1099" s="3">
        <v>35631</v>
      </c>
      <c r="J1099" s="9" t="str">
        <f t="shared" ca="1" si="19"/>
        <v>26 ans</v>
      </c>
      <c r="K1099" s="2" t="s">
        <v>36</v>
      </c>
      <c r="L1099" s="2" t="str">
        <f>"130"</f>
        <v>130</v>
      </c>
      <c r="M1099" s="2"/>
      <c r="N1099" s="2" t="str">
        <f>"DE L'AÉROPARC BLVD"</f>
        <v>DE L'AÉROPARC BLVD</v>
      </c>
      <c r="O1099" s="2" t="s">
        <v>3185</v>
      </c>
      <c r="P1099" s="9" t="str">
        <f>VLOOKUP($O1099,'Liste des Villes'!$B$2:$B$1128,1,FALSE)</f>
        <v>Saint-Jérôme</v>
      </c>
      <c r="Q1099" s="9" t="str">
        <f>IFERROR($P1099,PROPER(VLOOKUP($O1099,'Villes en erreur'!$A$2:$B$72,2,FALSE)))</f>
        <v>Saint-Jérôme</v>
      </c>
      <c r="R1099" s="9" t="s">
        <v>3186</v>
      </c>
      <c r="S1099" s="9" t="str">
        <f>IF(ISBLANK($R1099),"",VLOOKUP($R1099,'Liste des Villes'!$B$2:$H$1128,4,FALSE))</f>
        <v>Laurentides</v>
      </c>
      <c r="T1099" s="2" t="s">
        <v>3839</v>
      </c>
      <c r="U1099" s="2" t="s">
        <v>39</v>
      </c>
      <c r="V1099" s="2" t="s">
        <v>40</v>
      </c>
      <c r="W1099" s="2" t="s">
        <v>5851</v>
      </c>
      <c r="X1099" s="2"/>
      <c r="Y1099" s="2"/>
      <c r="Z1099" s="2"/>
      <c r="AA1099" s="2" t="s">
        <v>3243</v>
      </c>
      <c r="AB1099" s="2" t="s">
        <v>3221</v>
      </c>
      <c r="AC1099" s="4" t="s">
        <v>44</v>
      </c>
    </row>
    <row r="1100" spans="1:29" x14ac:dyDescent="0.25">
      <c r="A1100" s="1">
        <v>4069</v>
      </c>
      <c r="B1100" s="17" t="s">
        <v>5852</v>
      </c>
      <c r="C1100" s="2" t="s">
        <v>5853</v>
      </c>
      <c r="D1100" s="15" t="s">
        <v>5854</v>
      </c>
      <c r="E1100" s="9" t="s">
        <v>5855</v>
      </c>
      <c r="F1100" s="9" t="s">
        <v>5856</v>
      </c>
      <c r="G1100" s="9" t="s">
        <v>5857</v>
      </c>
      <c r="H1100" s="2" t="s">
        <v>35</v>
      </c>
      <c r="I1100" s="3">
        <v>34151</v>
      </c>
      <c r="J1100" s="9" t="str">
        <f t="shared" ca="1" si="19"/>
        <v>30 ans</v>
      </c>
      <c r="K1100" s="2" t="s">
        <v>36</v>
      </c>
      <c r="L1100" s="2" t="str">
        <f>"47"</f>
        <v>47</v>
      </c>
      <c r="M1100" s="2"/>
      <c r="N1100" s="2" t="str">
        <f>"BOULEVARD DE LA CÔTE-VERTU"</f>
        <v>BOULEVARD DE LA CÔTE-VERTU</v>
      </c>
      <c r="O1100" s="2" t="s">
        <v>3185</v>
      </c>
      <c r="P1100" s="9" t="str">
        <f>VLOOKUP($O1100,'Liste des Villes'!$B$2:$B$1128,1,FALSE)</f>
        <v>Saint-Jérôme</v>
      </c>
      <c r="Q1100" s="9" t="str">
        <f>IFERROR($P1100,PROPER(VLOOKUP($O1100,'Villes en erreur'!$A$2:$B$72,2,FALSE)))</f>
        <v>Saint-Jérôme</v>
      </c>
      <c r="R1100" s="9" t="s">
        <v>3186</v>
      </c>
      <c r="S1100" s="9" t="str">
        <f>IF(ISBLANK($R1100),"",VLOOKUP($R1100,'Liste des Villes'!$B$2:$H$1128,4,FALSE))</f>
        <v>Laurentides</v>
      </c>
      <c r="T1100" s="2" t="s">
        <v>3358</v>
      </c>
      <c r="U1100" s="2" t="s">
        <v>39</v>
      </c>
      <c r="V1100" s="2" t="s">
        <v>40</v>
      </c>
      <c r="W1100" s="2" t="s">
        <v>5858</v>
      </c>
      <c r="X1100" s="2"/>
      <c r="Y1100" s="2"/>
      <c r="Z1100" s="2"/>
      <c r="AA1100" s="2" t="s">
        <v>3360</v>
      </c>
      <c r="AB1100" s="2" t="s">
        <v>53</v>
      </c>
      <c r="AC1100" s="4" t="s">
        <v>44</v>
      </c>
    </row>
    <row r="1101" spans="1:29" x14ac:dyDescent="0.25">
      <c r="A1101" s="1">
        <v>130</v>
      </c>
      <c r="B1101" s="17" t="s">
        <v>5859</v>
      </c>
      <c r="C1101" s="2" t="s">
        <v>5860</v>
      </c>
      <c r="D1101" s="15" t="s">
        <v>56</v>
      </c>
      <c r="E1101" s="9" t="s">
        <v>1264</v>
      </c>
      <c r="F1101" s="9" t="s">
        <v>2523</v>
      </c>
      <c r="G1101" s="9" t="s">
        <v>1884</v>
      </c>
      <c r="H1101" s="2" t="s">
        <v>60</v>
      </c>
      <c r="I1101" s="3">
        <v>35886</v>
      </c>
      <c r="J1101" s="9" t="str">
        <f t="shared" ca="1" si="19"/>
        <v>25 ans</v>
      </c>
      <c r="K1101" s="2" t="s">
        <v>123</v>
      </c>
      <c r="L1101" s="2" t="str">
        <f>"155"</f>
        <v>155</v>
      </c>
      <c r="M1101" s="2"/>
      <c r="N1101" s="2" t="str">
        <f>"MONTEE COCHRANE"</f>
        <v>MONTEE COCHRANE</v>
      </c>
      <c r="O1101" s="2" t="s">
        <v>3185</v>
      </c>
      <c r="P1101" s="9" t="str">
        <f>VLOOKUP($O1101,'Liste des Villes'!$B$2:$B$1128,1,FALSE)</f>
        <v>Saint-Jérôme</v>
      </c>
      <c r="Q1101" s="9" t="str">
        <f>IFERROR($P1101,PROPER(VLOOKUP($O1101,'Villes en erreur'!$A$2:$B$72,2,FALSE)))</f>
        <v>Saint-Jérôme</v>
      </c>
      <c r="R1101" s="9" t="s">
        <v>3186</v>
      </c>
      <c r="S1101" s="9" t="str">
        <f>IF(ISBLANK($R1101),"",VLOOKUP($R1101,'Liste des Villes'!$B$2:$H$1128,4,FALSE))</f>
        <v>Laurentides</v>
      </c>
      <c r="T1101" s="2" t="s">
        <v>4654</v>
      </c>
      <c r="U1101" s="2" t="s">
        <v>39</v>
      </c>
      <c r="V1101" s="2" t="s">
        <v>40</v>
      </c>
      <c r="W1101" s="2" t="s">
        <v>5861</v>
      </c>
      <c r="X1101" s="2"/>
      <c r="Y1101" s="2"/>
      <c r="Z1101" s="2"/>
      <c r="AA1101" s="2" t="s">
        <v>3243</v>
      </c>
      <c r="AB1101" s="2" t="s">
        <v>3221</v>
      </c>
      <c r="AC1101" s="4" t="s">
        <v>44</v>
      </c>
    </row>
    <row r="1102" spans="1:29" x14ac:dyDescent="0.25">
      <c r="A1102" s="1">
        <v>587</v>
      </c>
      <c r="B1102" s="17" t="s">
        <v>5862</v>
      </c>
      <c r="C1102" s="2" t="s">
        <v>5863</v>
      </c>
      <c r="D1102" s="15" t="s">
        <v>5864</v>
      </c>
      <c r="E1102" s="9" t="s">
        <v>5865</v>
      </c>
      <c r="F1102" s="9" t="s">
        <v>5866</v>
      </c>
      <c r="G1102" s="9" t="s">
        <v>332</v>
      </c>
      <c r="H1102" s="2" t="s">
        <v>60</v>
      </c>
      <c r="I1102" s="3">
        <v>35561</v>
      </c>
      <c r="J1102" s="9" t="str">
        <f t="shared" ca="1" si="19"/>
        <v>26 ans</v>
      </c>
      <c r="K1102" s="2" t="s">
        <v>36</v>
      </c>
      <c r="L1102" s="2" t="str">
        <f>"124"</f>
        <v>124</v>
      </c>
      <c r="M1102" s="2"/>
      <c r="N1102" s="2" t="str">
        <f>"CROIS DU DOMAINE-NAMUR"</f>
        <v>CROIS DU DOMAINE-NAMUR</v>
      </c>
      <c r="O1102" s="2" t="s">
        <v>3185</v>
      </c>
      <c r="P1102" s="9" t="str">
        <f>VLOOKUP($O1102,'Liste des Villes'!$B$2:$B$1128,1,FALSE)</f>
        <v>Saint-Jérôme</v>
      </c>
      <c r="Q1102" s="9" t="str">
        <f>IFERROR($P1102,PROPER(VLOOKUP($O1102,'Villes en erreur'!$A$2:$B$72,2,FALSE)))</f>
        <v>Saint-Jérôme</v>
      </c>
      <c r="R1102" s="9" t="s">
        <v>3186</v>
      </c>
      <c r="S1102" s="9" t="str">
        <f>IF(ISBLANK($R1102),"",VLOOKUP($R1102,'Liste des Villes'!$B$2:$H$1128,4,FALSE))</f>
        <v>Laurentides</v>
      </c>
      <c r="T1102" s="2" t="s">
        <v>3740</v>
      </c>
      <c r="U1102" s="2" t="s">
        <v>39</v>
      </c>
      <c r="V1102" s="2" t="s">
        <v>40</v>
      </c>
      <c r="W1102" s="2" t="s">
        <v>5867</v>
      </c>
      <c r="X1102" s="2"/>
      <c r="Y1102" s="2"/>
      <c r="Z1102" s="2"/>
      <c r="AA1102" s="2" t="s">
        <v>3199</v>
      </c>
      <c r="AB1102" s="2" t="s">
        <v>3221</v>
      </c>
      <c r="AC1102" s="4" t="s">
        <v>44</v>
      </c>
    </row>
    <row r="1103" spans="1:29" x14ac:dyDescent="0.25">
      <c r="A1103" s="1">
        <v>2341</v>
      </c>
      <c r="B1103" s="17" t="s">
        <v>5868</v>
      </c>
      <c r="C1103" s="2" t="s">
        <v>2777</v>
      </c>
      <c r="D1103" s="15" t="s">
        <v>2778</v>
      </c>
      <c r="E1103" s="9" t="s">
        <v>2779</v>
      </c>
      <c r="F1103" s="9" t="s">
        <v>2780</v>
      </c>
      <c r="G1103" s="9" t="s">
        <v>5869</v>
      </c>
      <c r="H1103" s="2" t="s">
        <v>60</v>
      </c>
      <c r="I1103" s="3">
        <v>35038</v>
      </c>
      <c r="J1103" s="9" t="str">
        <f t="shared" ca="1" si="19"/>
        <v>27 ans</v>
      </c>
      <c r="K1103" s="2" t="s">
        <v>36</v>
      </c>
      <c r="L1103" s="2" t="str">
        <f>"98"</f>
        <v>98</v>
      </c>
      <c r="M1103" s="2"/>
      <c r="N1103" s="2" t="str">
        <f>"CH DU POÈTE"</f>
        <v>CH DU POÈTE</v>
      </c>
      <c r="O1103" s="2" t="s">
        <v>3185</v>
      </c>
      <c r="P1103" s="9" t="str">
        <f>VLOOKUP($O1103,'Liste des Villes'!$B$2:$B$1128,1,FALSE)</f>
        <v>Saint-Jérôme</v>
      </c>
      <c r="Q1103" s="9" t="str">
        <f>IFERROR($P1103,PROPER(VLOOKUP($O1103,'Villes en erreur'!$A$2:$B$72,2,FALSE)))</f>
        <v>Saint-Jérôme</v>
      </c>
      <c r="R1103" s="9" t="s">
        <v>3186</v>
      </c>
      <c r="S1103" s="9" t="str">
        <f>IF(ISBLANK($R1103),"",VLOOKUP($R1103,'Liste des Villes'!$B$2:$H$1128,4,FALSE))</f>
        <v>Laurentides</v>
      </c>
      <c r="T1103" s="2" t="s">
        <v>3187</v>
      </c>
      <c r="U1103" s="2" t="s">
        <v>39</v>
      </c>
      <c r="V1103" s="2" t="s">
        <v>40</v>
      </c>
      <c r="W1103" s="2" t="s">
        <v>5870</v>
      </c>
      <c r="X1103" s="2"/>
      <c r="Y1103" s="2"/>
      <c r="Z1103" s="2"/>
      <c r="AA1103" s="2" t="s">
        <v>3189</v>
      </c>
      <c r="AB1103" s="2" t="s">
        <v>53</v>
      </c>
      <c r="AC1103" s="4" t="s">
        <v>44</v>
      </c>
    </row>
    <row r="1104" spans="1:29" x14ac:dyDescent="0.25">
      <c r="A1104" s="1">
        <v>3107</v>
      </c>
      <c r="B1104" s="17" t="s">
        <v>5871</v>
      </c>
      <c r="C1104" s="2" t="s">
        <v>105</v>
      </c>
      <c r="D1104" s="15" t="s">
        <v>106</v>
      </c>
      <c r="E1104" s="9" t="s">
        <v>107</v>
      </c>
      <c r="F1104" s="9" t="s">
        <v>2770</v>
      </c>
      <c r="G1104" s="9" t="s">
        <v>635</v>
      </c>
      <c r="H1104" s="2" t="s">
        <v>35</v>
      </c>
      <c r="I1104" s="3">
        <v>33911</v>
      </c>
      <c r="J1104" s="9" t="str">
        <f t="shared" ca="1" si="19"/>
        <v>30 ans</v>
      </c>
      <c r="K1104" s="2" t="s">
        <v>36</v>
      </c>
      <c r="L1104" s="2" t="str">
        <f>"40"</f>
        <v>40</v>
      </c>
      <c r="M1104" s="2"/>
      <c r="N1104" s="2" t="str">
        <f>"AVENUE MATHIEU"</f>
        <v>AVENUE MATHIEU</v>
      </c>
      <c r="O1104" s="2" t="s">
        <v>3185</v>
      </c>
      <c r="P1104" s="9" t="str">
        <f>VLOOKUP($O1104,'Liste des Villes'!$B$2:$B$1128,1,FALSE)</f>
        <v>Saint-Jérôme</v>
      </c>
      <c r="Q1104" s="9" t="str">
        <f>IFERROR($P1104,PROPER(VLOOKUP($O1104,'Villes en erreur'!$A$2:$B$72,2,FALSE)))</f>
        <v>Saint-Jérôme</v>
      </c>
      <c r="R1104" s="9" t="s">
        <v>3186</v>
      </c>
      <c r="S1104" s="9" t="str">
        <f>IF(ISBLANK($R1104),"",VLOOKUP($R1104,'Liste des Villes'!$B$2:$H$1128,4,FALSE))</f>
        <v>Laurentides</v>
      </c>
      <c r="T1104" s="2" t="s">
        <v>3093</v>
      </c>
      <c r="U1104" s="2" t="s">
        <v>39</v>
      </c>
      <c r="V1104" s="2" t="s">
        <v>40</v>
      </c>
      <c r="W1104" s="2" t="s">
        <v>5872</v>
      </c>
      <c r="X1104" s="2"/>
      <c r="Y1104" s="2"/>
      <c r="Z1104" s="2"/>
      <c r="AA1104" s="2" t="s">
        <v>3207</v>
      </c>
      <c r="AB1104" s="2" t="s">
        <v>53</v>
      </c>
      <c r="AC1104" s="4" t="s">
        <v>44</v>
      </c>
    </row>
    <row r="1105" spans="1:29" x14ac:dyDescent="0.25">
      <c r="A1105" s="1">
        <v>3474</v>
      </c>
      <c r="B1105" s="17" t="s">
        <v>5873</v>
      </c>
      <c r="C1105" s="2" t="s">
        <v>5670</v>
      </c>
      <c r="D1105" s="15" t="s">
        <v>2321</v>
      </c>
      <c r="E1105" s="9" t="s">
        <v>5671</v>
      </c>
      <c r="F1105" s="9" t="s">
        <v>5874</v>
      </c>
      <c r="G1105" s="9" t="s">
        <v>3265</v>
      </c>
      <c r="H1105" s="2" t="s">
        <v>60</v>
      </c>
      <c r="I1105" s="3">
        <v>35921</v>
      </c>
      <c r="J1105" s="9" t="str">
        <f t="shared" ca="1" si="19"/>
        <v>25 ans</v>
      </c>
      <c r="K1105" s="2" t="s">
        <v>123</v>
      </c>
      <c r="L1105" s="2" t="str">
        <f>"161"</f>
        <v>161</v>
      </c>
      <c r="M1105" s="2"/>
      <c r="N1105" s="2" t="str">
        <f>"MONTEE FILION"</f>
        <v>MONTEE FILION</v>
      </c>
      <c r="O1105" s="2" t="s">
        <v>3185</v>
      </c>
      <c r="P1105" s="9" t="str">
        <f>VLOOKUP($O1105,'Liste des Villes'!$B$2:$B$1128,1,FALSE)</f>
        <v>Saint-Jérôme</v>
      </c>
      <c r="Q1105" s="9" t="str">
        <f>IFERROR($P1105,PROPER(VLOOKUP($O1105,'Villes en erreur'!$A$2:$B$72,2,FALSE)))</f>
        <v>Saint-Jérôme</v>
      </c>
      <c r="R1105" s="9" t="s">
        <v>3186</v>
      </c>
      <c r="S1105" s="9" t="str">
        <f>IF(ISBLANK($R1105),"",VLOOKUP($R1105,'Liste des Villes'!$B$2:$H$1128,4,FALSE))</f>
        <v>Laurentides</v>
      </c>
      <c r="T1105" s="2" t="s">
        <v>5875</v>
      </c>
      <c r="U1105" s="2" t="s">
        <v>39</v>
      </c>
      <c r="V1105" s="2" t="s">
        <v>40</v>
      </c>
      <c r="W1105" s="2" t="s">
        <v>5876</v>
      </c>
      <c r="X1105" s="2"/>
      <c r="Y1105" s="2"/>
      <c r="Z1105" s="2"/>
      <c r="AA1105" s="2" t="s">
        <v>3243</v>
      </c>
      <c r="AB1105" s="2" t="s">
        <v>3221</v>
      </c>
      <c r="AC1105" s="4" t="s">
        <v>44</v>
      </c>
    </row>
    <row r="1106" spans="1:29" x14ac:dyDescent="0.25">
      <c r="A1106" s="1">
        <v>3231</v>
      </c>
      <c r="B1106" s="17" t="s">
        <v>5877</v>
      </c>
      <c r="C1106" s="2" t="s">
        <v>5878</v>
      </c>
      <c r="D1106" s="15" t="s">
        <v>1852</v>
      </c>
      <c r="E1106" s="9" t="s">
        <v>635</v>
      </c>
      <c r="F1106" s="9" t="s">
        <v>5146</v>
      </c>
      <c r="G1106" s="9" t="s">
        <v>92</v>
      </c>
      <c r="H1106" s="2" t="s">
        <v>35</v>
      </c>
      <c r="I1106" s="3">
        <v>35393</v>
      </c>
      <c r="J1106" s="9" t="str">
        <f t="shared" ca="1" si="19"/>
        <v>26 ans</v>
      </c>
      <c r="K1106" s="2" t="s">
        <v>36</v>
      </c>
      <c r="L1106" s="2" t="str">
        <f>"113"</f>
        <v>113</v>
      </c>
      <c r="M1106" s="2"/>
      <c r="N1106" s="2" t="str">
        <f>"CHEMIN DU LAC BLEU"</f>
        <v>CHEMIN DU LAC BLEU</v>
      </c>
      <c r="O1106" s="2" t="s">
        <v>3185</v>
      </c>
      <c r="P1106" s="9" t="str">
        <f>VLOOKUP($O1106,'Liste des Villes'!$B$2:$B$1128,1,FALSE)</f>
        <v>Saint-Jérôme</v>
      </c>
      <c r="Q1106" s="9" t="str">
        <f>IFERROR($P1106,PROPER(VLOOKUP($O1106,'Villes en erreur'!$A$2:$B$72,2,FALSE)))</f>
        <v>Saint-Jérôme</v>
      </c>
      <c r="R1106" s="9" t="s">
        <v>3186</v>
      </c>
      <c r="S1106" s="9" t="str">
        <f>IF(ISBLANK($R1106),"",VLOOKUP($R1106,'Liste des Villes'!$B$2:$H$1128,4,FALSE))</f>
        <v>Laurentides</v>
      </c>
      <c r="T1106" s="2" t="s">
        <v>5733</v>
      </c>
      <c r="U1106" s="2" t="s">
        <v>39</v>
      </c>
      <c r="V1106" s="2" t="s">
        <v>40</v>
      </c>
      <c r="W1106" s="2" t="s">
        <v>5879</v>
      </c>
      <c r="X1106" s="2"/>
      <c r="Y1106" s="2"/>
      <c r="Z1106" s="2"/>
      <c r="AA1106" s="2" t="s">
        <v>3199</v>
      </c>
      <c r="AB1106" s="2" t="s">
        <v>3200</v>
      </c>
      <c r="AC1106" s="4" t="s">
        <v>44</v>
      </c>
    </row>
    <row r="1107" spans="1:29" x14ac:dyDescent="0.25">
      <c r="A1107" s="1">
        <v>3148</v>
      </c>
      <c r="B1107" s="17" t="s">
        <v>5880</v>
      </c>
      <c r="C1107" s="2" t="s">
        <v>46</v>
      </c>
      <c r="D1107" s="15" t="s">
        <v>47</v>
      </c>
      <c r="E1107" s="9" t="s">
        <v>48</v>
      </c>
      <c r="F1107" s="9" t="s">
        <v>3445</v>
      </c>
      <c r="G1107" s="9" t="s">
        <v>1447</v>
      </c>
      <c r="H1107" s="2" t="s">
        <v>60</v>
      </c>
      <c r="I1107" s="3">
        <v>35489</v>
      </c>
      <c r="J1107" s="9" t="str">
        <f t="shared" ca="1" si="19"/>
        <v>26 ans</v>
      </c>
      <c r="K1107" s="2" t="s">
        <v>36</v>
      </c>
      <c r="L1107" s="2" t="str">
        <f>"118"</f>
        <v>118</v>
      </c>
      <c r="M1107" s="2"/>
      <c r="N1107" s="2" t="str">
        <f>"CHEMIN SAINT STANISLAS"</f>
        <v>CHEMIN SAINT STANISLAS</v>
      </c>
      <c r="O1107" s="2" t="s">
        <v>3186</v>
      </c>
      <c r="P1107" s="9" t="str">
        <f>VLOOKUP($O1107,'Liste des Villes'!$B$2:$B$1128,1,FALSE)</f>
        <v>Saint-Jérôme</v>
      </c>
      <c r="Q1107" s="9" t="str">
        <f>IFERROR($P1107,PROPER(VLOOKUP($O1107,'Villes en erreur'!$A$2:$B$72,2,FALSE)))</f>
        <v>Saint-Jérôme</v>
      </c>
      <c r="R1107" s="9" t="s">
        <v>3186</v>
      </c>
      <c r="S1107" s="9" t="str">
        <f>IF(ISBLANK($R1107),"",VLOOKUP($R1107,'Liste des Villes'!$B$2:$H$1128,4,FALSE))</f>
        <v>Laurentides</v>
      </c>
      <c r="T1107" s="2" t="s">
        <v>3532</v>
      </c>
      <c r="U1107" s="2" t="s">
        <v>39</v>
      </c>
      <c r="V1107" s="2" t="s">
        <v>40</v>
      </c>
      <c r="W1107" s="2" t="s">
        <v>5881</v>
      </c>
      <c r="X1107" s="2"/>
      <c r="Y1107" s="2"/>
      <c r="Z1107" s="2"/>
      <c r="AA1107" s="2" t="s">
        <v>3199</v>
      </c>
      <c r="AB1107" s="2" t="s">
        <v>3200</v>
      </c>
      <c r="AC1107" s="4" t="s">
        <v>44</v>
      </c>
    </row>
    <row r="1108" spans="1:29" x14ac:dyDescent="0.25">
      <c r="A1108" s="1">
        <v>3477</v>
      </c>
      <c r="B1108" s="17" t="s">
        <v>5882</v>
      </c>
      <c r="C1108" s="2" t="s">
        <v>5883</v>
      </c>
      <c r="D1108" s="15" t="s">
        <v>1925</v>
      </c>
      <c r="E1108" s="9" t="s">
        <v>2252</v>
      </c>
      <c r="F1108" s="9" t="s">
        <v>1923</v>
      </c>
      <c r="G1108" s="9" t="s">
        <v>5884</v>
      </c>
      <c r="H1108" s="2" t="s">
        <v>60</v>
      </c>
      <c r="I1108" s="3">
        <v>35367</v>
      </c>
      <c r="J1108" s="9" t="str">
        <f t="shared" ca="1" si="19"/>
        <v>26 ans</v>
      </c>
      <c r="K1108" s="2" t="s">
        <v>36</v>
      </c>
      <c r="L1108" s="2" t="str">
        <f>"112"</f>
        <v>112</v>
      </c>
      <c r="M1108" s="2"/>
      <c r="N1108" s="2" t="str">
        <f>"CHEMIN DES PRÉS"</f>
        <v>CHEMIN DES PRÉS</v>
      </c>
      <c r="O1108" s="2" t="s">
        <v>3185</v>
      </c>
      <c r="P1108" s="9" t="str">
        <f>VLOOKUP($O1108,'Liste des Villes'!$B$2:$B$1128,1,FALSE)</f>
        <v>Saint-Jérôme</v>
      </c>
      <c r="Q1108" s="9" t="str">
        <f>IFERROR($P1108,PROPER(VLOOKUP($O1108,'Villes en erreur'!$A$2:$B$72,2,FALSE)))</f>
        <v>Saint-Jérôme</v>
      </c>
      <c r="R1108" s="9" t="s">
        <v>3186</v>
      </c>
      <c r="S1108" s="9" t="str">
        <f>IF(ISBLANK($R1108),"",VLOOKUP($R1108,'Liste des Villes'!$B$2:$H$1128,4,FALSE))</f>
        <v>Laurentides</v>
      </c>
      <c r="T1108" s="2" t="s">
        <v>3524</v>
      </c>
      <c r="U1108" s="2" t="s">
        <v>39</v>
      </c>
      <c r="V1108" s="2" t="s">
        <v>40</v>
      </c>
      <c r="W1108" s="2" t="s">
        <v>5885</v>
      </c>
      <c r="X1108" s="2"/>
      <c r="Y1108" s="2"/>
      <c r="Z1108" s="2"/>
      <c r="AA1108" s="2" t="s">
        <v>3189</v>
      </c>
      <c r="AB1108" s="2" t="s">
        <v>3200</v>
      </c>
      <c r="AC1108" s="4" t="s">
        <v>44</v>
      </c>
    </row>
    <row r="1109" spans="1:29" x14ac:dyDescent="0.25">
      <c r="A1109" s="1">
        <v>2908</v>
      </c>
      <c r="B1109" s="17" t="s">
        <v>5886</v>
      </c>
      <c r="C1109" s="2" t="s">
        <v>5887</v>
      </c>
      <c r="D1109" s="15" t="s">
        <v>5888</v>
      </c>
      <c r="E1109" s="9" t="s">
        <v>698</v>
      </c>
      <c r="F1109" s="9" t="s">
        <v>5889</v>
      </c>
      <c r="G1109" s="9" t="s">
        <v>5890</v>
      </c>
      <c r="H1109" s="2" t="s">
        <v>60</v>
      </c>
      <c r="I1109" s="3">
        <v>36211</v>
      </c>
      <c r="J1109" s="9" t="str">
        <f t="shared" ca="1" si="19"/>
        <v>24 ans</v>
      </c>
      <c r="K1109" s="2" t="s">
        <v>123</v>
      </c>
      <c r="L1109" s="2" t="str">
        <f>"246"</f>
        <v>246</v>
      </c>
      <c r="M1109" s="2"/>
      <c r="N1109" s="2" t="str">
        <f>"RUE BACH"</f>
        <v>RUE BACH</v>
      </c>
      <c r="O1109" s="2" t="s">
        <v>3185</v>
      </c>
      <c r="P1109" s="9" t="str">
        <f>VLOOKUP($O1109,'Liste des Villes'!$B$2:$B$1128,1,FALSE)</f>
        <v>Saint-Jérôme</v>
      </c>
      <c r="Q1109" s="9" t="str">
        <f>IFERROR($P1109,PROPER(VLOOKUP($O1109,'Villes en erreur'!$A$2:$B$72,2,FALSE)))</f>
        <v>Saint-Jérôme</v>
      </c>
      <c r="R1109" s="9" t="s">
        <v>3186</v>
      </c>
      <c r="S1109" s="9" t="str">
        <f>IF(ISBLANK($R1109),"",VLOOKUP($R1109,'Liste des Villes'!$B$2:$H$1128,4,FALSE))</f>
        <v>Laurentides</v>
      </c>
      <c r="T1109" s="2" t="s">
        <v>5891</v>
      </c>
      <c r="U1109" s="2" t="s">
        <v>39</v>
      </c>
      <c r="V1109" s="2" t="s">
        <v>40</v>
      </c>
      <c r="W1109" s="2" t="s">
        <v>5892</v>
      </c>
      <c r="X1109" s="2"/>
      <c r="Y1109" s="2"/>
      <c r="Z1109" s="2"/>
      <c r="AA1109" s="2" t="s">
        <v>832</v>
      </c>
      <c r="AB1109" s="2" t="s">
        <v>3288</v>
      </c>
      <c r="AC1109" s="4" t="s">
        <v>44</v>
      </c>
    </row>
    <row r="1110" spans="1:29" x14ac:dyDescent="0.25">
      <c r="A1110" s="1">
        <v>2272</v>
      </c>
      <c r="B1110" s="17" t="s">
        <v>5893</v>
      </c>
      <c r="C1110" s="2" t="s">
        <v>5894</v>
      </c>
      <c r="D1110" s="15" t="s">
        <v>5895</v>
      </c>
      <c r="E1110" s="9" t="s">
        <v>1341</v>
      </c>
      <c r="F1110" s="9" t="s">
        <v>5896</v>
      </c>
      <c r="G1110" s="9" t="s">
        <v>3616</v>
      </c>
      <c r="H1110" s="2" t="s">
        <v>60</v>
      </c>
      <c r="I1110" s="3">
        <v>35712</v>
      </c>
      <c r="J1110" s="9" t="str">
        <f t="shared" ca="1" si="19"/>
        <v>25 ans</v>
      </c>
      <c r="K1110" s="2" t="s">
        <v>123</v>
      </c>
      <c r="L1110" s="2" t="str">
        <f>"137"</f>
        <v>137</v>
      </c>
      <c r="M1110" s="2"/>
      <c r="N1110" s="2" t="str">
        <f>"DESJARDINS BLVD E"</f>
        <v>DESJARDINS BLVD E</v>
      </c>
      <c r="O1110" s="2" t="s">
        <v>3185</v>
      </c>
      <c r="P1110" s="9" t="str">
        <f>VLOOKUP($O1110,'Liste des Villes'!$B$2:$B$1128,1,FALSE)</f>
        <v>Saint-Jérôme</v>
      </c>
      <c r="Q1110" s="9" t="str">
        <f>IFERROR($P1110,PROPER(VLOOKUP($O1110,'Villes en erreur'!$A$2:$B$72,2,FALSE)))</f>
        <v>Saint-Jérôme</v>
      </c>
      <c r="R1110" s="9" t="s">
        <v>3186</v>
      </c>
      <c r="S1110" s="9" t="str">
        <f>IF(ISBLANK($R1110),"",VLOOKUP($R1110,'Liste des Villes'!$B$2:$H$1128,4,FALSE))</f>
        <v>Laurentides</v>
      </c>
      <c r="T1110" s="2" t="s">
        <v>5897</v>
      </c>
      <c r="U1110" s="2" t="s">
        <v>39</v>
      </c>
      <c r="V1110" s="2" t="s">
        <v>40</v>
      </c>
      <c r="W1110" s="2" t="s">
        <v>5898</v>
      </c>
      <c r="X1110" s="2"/>
      <c r="Y1110" s="2"/>
      <c r="Z1110" s="2"/>
      <c r="AA1110" s="2" t="s">
        <v>3243</v>
      </c>
      <c r="AB1110" s="2" t="s">
        <v>3221</v>
      </c>
      <c r="AC1110" s="4" t="s">
        <v>44</v>
      </c>
    </row>
    <row r="1111" spans="1:29" x14ac:dyDescent="0.25">
      <c r="A1111" s="1">
        <v>2250</v>
      </c>
      <c r="B1111" s="17" t="s">
        <v>5899</v>
      </c>
      <c r="C1111" s="2" t="s">
        <v>5900</v>
      </c>
      <c r="D1111" s="15" t="s">
        <v>5901</v>
      </c>
      <c r="E1111" s="9" t="s">
        <v>4968</v>
      </c>
      <c r="F1111" s="9" t="s">
        <v>5902</v>
      </c>
      <c r="G1111" s="9" t="s">
        <v>380</v>
      </c>
      <c r="H1111" s="2" t="s">
        <v>60</v>
      </c>
      <c r="I1111" s="3">
        <v>34423</v>
      </c>
      <c r="J1111" s="9" t="str">
        <f t="shared" ca="1" si="19"/>
        <v>29 ans</v>
      </c>
      <c r="K1111" s="2" t="s">
        <v>36</v>
      </c>
      <c r="L1111" s="2" t="str">
        <f>"58"</f>
        <v>58</v>
      </c>
      <c r="M1111" s="2"/>
      <c r="N1111" s="2" t="str">
        <f>"CAR ÉTIENNE-BLYTH"</f>
        <v>CAR ÉTIENNE-BLYTH</v>
      </c>
      <c r="O1111" s="2" t="s">
        <v>3185</v>
      </c>
      <c r="P1111" s="9" t="str">
        <f>VLOOKUP($O1111,'Liste des Villes'!$B$2:$B$1128,1,FALSE)</f>
        <v>Saint-Jérôme</v>
      </c>
      <c r="Q1111" s="9" t="str">
        <f>IFERROR($P1111,PROPER(VLOOKUP($O1111,'Villes en erreur'!$A$2:$B$72,2,FALSE)))</f>
        <v>Saint-Jérôme</v>
      </c>
      <c r="R1111" s="9" t="s">
        <v>3186</v>
      </c>
      <c r="S1111" s="9" t="str">
        <f>IF(ISBLANK($R1111),"",VLOOKUP($R1111,'Liste des Villes'!$B$2:$H$1128,4,FALSE))</f>
        <v>Laurentides</v>
      </c>
      <c r="T1111" s="2" t="s">
        <v>5654</v>
      </c>
      <c r="U1111" s="2" t="s">
        <v>39</v>
      </c>
      <c r="V1111" s="2" t="s">
        <v>40</v>
      </c>
      <c r="W1111" s="2" t="s">
        <v>5903</v>
      </c>
      <c r="X1111" s="2"/>
      <c r="Y1111" s="2"/>
      <c r="Z1111" s="2"/>
      <c r="AA1111" s="2" t="s">
        <v>3293</v>
      </c>
      <c r="AB1111" s="2" t="s">
        <v>53</v>
      </c>
      <c r="AC1111" s="4" t="s">
        <v>44</v>
      </c>
    </row>
    <row r="1112" spans="1:29" x14ac:dyDescent="0.25">
      <c r="A1112" s="1">
        <v>2468</v>
      </c>
      <c r="B1112" s="17" t="s">
        <v>5904</v>
      </c>
      <c r="C1112" s="2" t="s">
        <v>5905</v>
      </c>
      <c r="D1112" s="15" t="s">
        <v>2659</v>
      </c>
      <c r="E1112" s="9" t="s">
        <v>122</v>
      </c>
      <c r="F1112" s="9" t="s">
        <v>311</v>
      </c>
      <c r="G1112" s="9" t="s">
        <v>4686</v>
      </c>
      <c r="H1112" s="2" t="s">
        <v>35</v>
      </c>
      <c r="I1112" s="3">
        <v>36084</v>
      </c>
      <c r="J1112" s="9" t="str">
        <f t="shared" ca="1" si="19"/>
        <v>24 ans</v>
      </c>
      <c r="K1112" s="2" t="s">
        <v>123</v>
      </c>
      <c r="L1112" s="2" t="str">
        <f>"204"</f>
        <v>204</v>
      </c>
      <c r="M1112" s="2"/>
      <c r="N1112" s="2" t="str">
        <f>"RAYMOND-GAUTHIER"</f>
        <v>RAYMOND-GAUTHIER</v>
      </c>
      <c r="O1112" s="2" t="s">
        <v>3185</v>
      </c>
      <c r="P1112" s="9" t="str">
        <f>VLOOKUP($O1112,'Liste des Villes'!$B$2:$B$1128,1,FALSE)</f>
        <v>Saint-Jérôme</v>
      </c>
      <c r="Q1112" s="9" t="str">
        <f>IFERROR($P1112,PROPER(VLOOKUP($O1112,'Villes en erreur'!$A$2:$B$72,2,FALSE)))</f>
        <v>Saint-Jérôme</v>
      </c>
      <c r="R1112" s="9" t="s">
        <v>3186</v>
      </c>
      <c r="S1112" s="9" t="str">
        <f>IF(ISBLANK($R1112),"",VLOOKUP($R1112,'Liste des Villes'!$B$2:$H$1128,4,FALSE))</f>
        <v>Laurentides</v>
      </c>
      <c r="T1112" s="2" t="s">
        <v>5906</v>
      </c>
      <c r="U1112" s="2" t="s">
        <v>39</v>
      </c>
      <c r="V1112" s="2" t="s">
        <v>40</v>
      </c>
      <c r="W1112" s="2" t="s">
        <v>5907</v>
      </c>
      <c r="X1112" s="2"/>
      <c r="Y1112" s="2"/>
      <c r="Z1112" s="2"/>
      <c r="AA1112" s="2" t="s">
        <v>832</v>
      </c>
      <c r="AB1112" s="2" t="s">
        <v>3221</v>
      </c>
      <c r="AC1112" s="4" t="s">
        <v>44</v>
      </c>
    </row>
    <row r="1113" spans="1:29" x14ac:dyDescent="0.25">
      <c r="A1113" s="1">
        <v>3028</v>
      </c>
      <c r="B1113" s="17" t="s">
        <v>5908</v>
      </c>
      <c r="C1113" s="2" t="s">
        <v>5909</v>
      </c>
      <c r="D1113" s="15" t="s">
        <v>5910</v>
      </c>
      <c r="E1113" s="9" t="s">
        <v>2404</v>
      </c>
      <c r="F1113" s="9" t="s">
        <v>5911</v>
      </c>
      <c r="G1113" s="9" t="s">
        <v>5912</v>
      </c>
      <c r="H1113" s="2" t="s">
        <v>60</v>
      </c>
      <c r="I1113" s="3">
        <v>36237</v>
      </c>
      <c r="J1113" s="9" t="str">
        <f t="shared" ca="1" si="19"/>
        <v>24 ans</v>
      </c>
      <c r="K1113" s="2" t="s">
        <v>123</v>
      </c>
      <c r="L1113" s="2" t="str">
        <f>"261"</f>
        <v>261</v>
      </c>
      <c r="M1113" s="2"/>
      <c r="N1113" s="2" t="str">
        <f>"RUE BÉGONIAS"</f>
        <v>RUE BÉGONIAS</v>
      </c>
      <c r="O1113" s="2" t="s">
        <v>3185</v>
      </c>
      <c r="P1113" s="9" t="str">
        <f>VLOOKUP($O1113,'Liste des Villes'!$B$2:$B$1128,1,FALSE)</f>
        <v>Saint-Jérôme</v>
      </c>
      <c r="Q1113" s="9" t="str">
        <f>IFERROR($P1113,PROPER(VLOOKUP($O1113,'Villes en erreur'!$A$2:$B$72,2,FALSE)))</f>
        <v>Saint-Jérôme</v>
      </c>
      <c r="R1113" s="9" t="s">
        <v>3186</v>
      </c>
      <c r="S1113" s="9" t="str">
        <f>IF(ISBLANK($R1113),"",VLOOKUP($R1113,'Liste des Villes'!$B$2:$H$1128,4,FALSE))</f>
        <v>Laurentides</v>
      </c>
      <c r="T1113" s="2" t="s">
        <v>3598</v>
      </c>
      <c r="U1113" s="2" t="s">
        <v>39</v>
      </c>
      <c r="V1113" s="2" t="s">
        <v>40</v>
      </c>
      <c r="W1113" s="2" t="s">
        <v>5913</v>
      </c>
      <c r="X1113" s="2"/>
      <c r="Y1113" s="2"/>
      <c r="Z1113" s="2"/>
      <c r="AA1113" s="2" t="s">
        <v>832</v>
      </c>
      <c r="AB1113" s="2" t="s">
        <v>73</v>
      </c>
      <c r="AC1113" s="4" t="s">
        <v>44</v>
      </c>
    </row>
    <row r="1114" spans="1:29" x14ac:dyDescent="0.25">
      <c r="A1114" s="1">
        <v>2982</v>
      </c>
      <c r="B1114" s="17" t="s">
        <v>5914</v>
      </c>
      <c r="C1114" s="2" t="s">
        <v>5915</v>
      </c>
      <c r="D1114" s="15" t="s">
        <v>934</v>
      </c>
      <c r="E1114" s="9" t="s">
        <v>1577</v>
      </c>
      <c r="F1114" s="9" t="s">
        <v>657</v>
      </c>
      <c r="G1114" s="9" t="s">
        <v>3404</v>
      </c>
      <c r="H1114" s="2" t="s">
        <v>35</v>
      </c>
      <c r="I1114" s="3">
        <v>35682</v>
      </c>
      <c r="J1114" s="9" t="str">
        <f t="shared" ca="1" si="19"/>
        <v>25 ans</v>
      </c>
      <c r="K1114" s="2" t="s">
        <v>123</v>
      </c>
      <c r="L1114" s="2" t="str">
        <f>"134"</f>
        <v>134</v>
      </c>
      <c r="M1114" s="2"/>
      <c r="N1114" s="2" t="str">
        <f>"DES HAUTEURS BLVD"</f>
        <v>DES HAUTEURS BLVD</v>
      </c>
      <c r="O1114" s="2" t="s">
        <v>3185</v>
      </c>
      <c r="P1114" s="9" t="str">
        <f>VLOOKUP($O1114,'Liste des Villes'!$B$2:$B$1128,1,FALSE)</f>
        <v>Saint-Jérôme</v>
      </c>
      <c r="Q1114" s="9" t="str">
        <f>IFERROR($P1114,PROPER(VLOOKUP($O1114,'Villes en erreur'!$A$2:$B$72,2,FALSE)))</f>
        <v>Saint-Jérôme</v>
      </c>
      <c r="R1114" s="9" t="s">
        <v>3186</v>
      </c>
      <c r="S1114" s="9" t="str">
        <f>IF(ISBLANK($R1114),"",VLOOKUP($R1114,'Liste des Villes'!$B$2:$H$1128,4,FALSE))</f>
        <v>Laurentides</v>
      </c>
      <c r="T1114" s="2" t="s">
        <v>5916</v>
      </c>
      <c r="U1114" s="2" t="s">
        <v>39</v>
      </c>
      <c r="V1114" s="2" t="s">
        <v>40</v>
      </c>
      <c r="W1114" s="2" t="s">
        <v>5917</v>
      </c>
      <c r="X1114" s="2"/>
      <c r="Y1114" s="2"/>
      <c r="Z1114" s="2"/>
      <c r="AA1114" s="2" t="s">
        <v>3243</v>
      </c>
      <c r="AB1114" s="2" t="s">
        <v>3221</v>
      </c>
      <c r="AC1114" s="4" t="s">
        <v>44</v>
      </c>
    </row>
    <row r="1115" spans="1:29" x14ac:dyDescent="0.25">
      <c r="A1115" s="1">
        <v>4310</v>
      </c>
      <c r="B1115" s="17" t="s">
        <v>5918</v>
      </c>
      <c r="C1115" s="2" t="s">
        <v>5919</v>
      </c>
      <c r="D1115" s="15" t="s">
        <v>5792</v>
      </c>
      <c r="E1115" s="9" t="s">
        <v>5920</v>
      </c>
      <c r="F1115" s="9" t="s">
        <v>47</v>
      </c>
      <c r="G1115" s="9" t="s">
        <v>2993</v>
      </c>
      <c r="H1115" s="2" t="s">
        <v>60</v>
      </c>
      <c r="I1115" s="3">
        <v>35701</v>
      </c>
      <c r="J1115" s="9" t="str">
        <f t="shared" ca="1" si="19"/>
        <v>25 ans</v>
      </c>
      <c r="K1115" s="2" t="s">
        <v>123</v>
      </c>
      <c r="L1115" s="2" t="str">
        <f>"135"</f>
        <v>135</v>
      </c>
      <c r="M1115" s="2"/>
      <c r="N1115" s="2" t="str">
        <f>"DES PATRIOTES"</f>
        <v>DES PATRIOTES</v>
      </c>
      <c r="O1115" s="2" t="s">
        <v>3185</v>
      </c>
      <c r="P1115" s="9" t="str">
        <f>VLOOKUP($O1115,'Liste des Villes'!$B$2:$B$1128,1,FALSE)</f>
        <v>Saint-Jérôme</v>
      </c>
      <c r="Q1115" s="9" t="str">
        <f>IFERROR($P1115,PROPER(VLOOKUP($O1115,'Villes en erreur'!$A$2:$B$72,2,FALSE)))</f>
        <v>Saint-Jérôme</v>
      </c>
      <c r="R1115" s="9" t="s">
        <v>3186</v>
      </c>
      <c r="S1115" s="9" t="str">
        <f>IF(ISBLANK($R1115),"",VLOOKUP($R1115,'Liste des Villes'!$B$2:$H$1128,4,FALSE))</f>
        <v>Laurentides</v>
      </c>
      <c r="T1115" s="2" t="s">
        <v>5921</v>
      </c>
      <c r="U1115" s="2" t="s">
        <v>39</v>
      </c>
      <c r="V1115" s="2" t="s">
        <v>40</v>
      </c>
      <c r="W1115" s="2" t="s">
        <v>5922</v>
      </c>
      <c r="X1115" s="2"/>
      <c r="Y1115" s="2"/>
      <c r="Z1115" s="2"/>
      <c r="AA1115" s="2" t="s">
        <v>3243</v>
      </c>
      <c r="AB1115" s="2" t="s">
        <v>3221</v>
      </c>
      <c r="AC1115" s="4" t="s">
        <v>44</v>
      </c>
    </row>
    <row r="1116" spans="1:29" x14ac:dyDescent="0.25">
      <c r="A1116" s="1">
        <v>3312</v>
      </c>
      <c r="B1116" s="17" t="s">
        <v>5923</v>
      </c>
      <c r="C1116" s="2" t="s">
        <v>2209</v>
      </c>
      <c r="D1116" s="15" t="s">
        <v>782</v>
      </c>
      <c r="E1116" s="9" t="s">
        <v>2210</v>
      </c>
      <c r="F1116" s="9" t="s">
        <v>2693</v>
      </c>
      <c r="G1116" s="9" t="s">
        <v>1560</v>
      </c>
      <c r="H1116" s="2" t="s">
        <v>35</v>
      </c>
      <c r="I1116" s="3">
        <v>35605</v>
      </c>
      <c r="J1116" s="9" t="str">
        <f t="shared" ca="1" si="19"/>
        <v>26 ans</v>
      </c>
      <c r="K1116" s="2" t="s">
        <v>36</v>
      </c>
      <c r="L1116" s="2" t="str">
        <f>"129"</f>
        <v>129</v>
      </c>
      <c r="M1116" s="2"/>
      <c r="N1116" s="2" t="str">
        <f>"DE LA PASSION"</f>
        <v>DE LA PASSION</v>
      </c>
      <c r="O1116" s="2" t="s">
        <v>3185</v>
      </c>
      <c r="P1116" s="9" t="str">
        <f>VLOOKUP($O1116,'Liste des Villes'!$B$2:$B$1128,1,FALSE)</f>
        <v>Saint-Jérôme</v>
      </c>
      <c r="Q1116" s="9" t="str">
        <f>IFERROR($P1116,PROPER(VLOOKUP($O1116,'Villes en erreur'!$A$2:$B$72,2,FALSE)))</f>
        <v>Saint-Jérôme</v>
      </c>
      <c r="R1116" s="9" t="s">
        <v>3186</v>
      </c>
      <c r="S1116" s="9" t="str">
        <f>IF(ISBLANK($R1116),"",VLOOKUP($R1116,'Liste des Villes'!$B$2:$H$1128,4,FALSE))</f>
        <v>Laurentides</v>
      </c>
      <c r="T1116" s="2" t="s">
        <v>5924</v>
      </c>
      <c r="U1116" s="2" t="s">
        <v>39</v>
      </c>
      <c r="V1116" s="2" t="s">
        <v>40</v>
      </c>
      <c r="W1116" s="2" t="s">
        <v>5925</v>
      </c>
      <c r="X1116" s="2"/>
      <c r="Y1116" s="2"/>
      <c r="Z1116" s="2"/>
      <c r="AA1116" s="2" t="s">
        <v>3243</v>
      </c>
      <c r="AB1116" s="2" t="s">
        <v>3221</v>
      </c>
      <c r="AC1116" s="4" t="s">
        <v>44</v>
      </c>
    </row>
    <row r="1117" spans="1:29" x14ac:dyDescent="0.25">
      <c r="A1117" s="1">
        <v>2229</v>
      </c>
      <c r="B1117" s="17" t="s">
        <v>5926</v>
      </c>
      <c r="C1117" s="2" t="s">
        <v>5927</v>
      </c>
      <c r="D1117" s="15" t="s">
        <v>1651</v>
      </c>
      <c r="E1117" s="9" t="s">
        <v>1283</v>
      </c>
      <c r="F1117" s="9" t="s">
        <v>1649</v>
      </c>
      <c r="G1117" s="9" t="s">
        <v>996</v>
      </c>
      <c r="H1117" s="2" t="s">
        <v>60</v>
      </c>
      <c r="I1117" s="3">
        <v>35015</v>
      </c>
      <c r="J1117" s="9" t="str">
        <f t="shared" ca="1" si="19"/>
        <v>27 ans</v>
      </c>
      <c r="K1117" s="2" t="s">
        <v>36</v>
      </c>
      <c r="L1117" s="2" t="str">
        <f>"93"</f>
        <v>93</v>
      </c>
      <c r="M1117" s="2"/>
      <c r="N1117" s="2" t="str">
        <f>"CH DU LAC-ÉCHO"</f>
        <v>CH DU LAC-ÉCHO</v>
      </c>
      <c r="O1117" s="2" t="s">
        <v>3185</v>
      </c>
      <c r="P1117" s="9" t="str">
        <f>VLOOKUP($O1117,'Liste des Villes'!$B$2:$B$1128,1,FALSE)</f>
        <v>Saint-Jérôme</v>
      </c>
      <c r="Q1117" s="9" t="str">
        <f>IFERROR($P1117,PROPER(VLOOKUP($O1117,'Villes en erreur'!$A$2:$B$72,2,FALSE)))</f>
        <v>Saint-Jérôme</v>
      </c>
      <c r="R1117" s="9" t="s">
        <v>3186</v>
      </c>
      <c r="S1117" s="9" t="str">
        <f>IF(ISBLANK($R1117),"",VLOOKUP($R1117,'Liste des Villes'!$B$2:$H$1128,4,FALSE))</f>
        <v>Laurentides</v>
      </c>
      <c r="T1117" s="2" t="s">
        <v>3187</v>
      </c>
      <c r="U1117" s="2" t="s">
        <v>39</v>
      </c>
      <c r="V1117" s="2" t="s">
        <v>40</v>
      </c>
      <c r="W1117" s="2" t="s">
        <v>5928</v>
      </c>
      <c r="X1117" s="2"/>
      <c r="Y1117" s="2"/>
      <c r="Z1117" s="2"/>
      <c r="AA1117" s="2" t="s">
        <v>3189</v>
      </c>
      <c r="AB1117" s="2" t="s">
        <v>53</v>
      </c>
      <c r="AC1117" s="4" t="s">
        <v>44</v>
      </c>
    </row>
    <row r="1118" spans="1:29" x14ac:dyDescent="0.25">
      <c r="A1118" s="1">
        <v>3764</v>
      </c>
      <c r="B1118" s="17" t="s">
        <v>5929</v>
      </c>
      <c r="C1118" s="2" t="s">
        <v>1904</v>
      </c>
      <c r="D1118" s="15" t="s">
        <v>1905</v>
      </c>
      <c r="E1118" s="9" t="s">
        <v>137</v>
      </c>
      <c r="F1118" s="9" t="s">
        <v>5930</v>
      </c>
      <c r="G1118" s="9" t="s">
        <v>5931</v>
      </c>
      <c r="H1118" s="2" t="s">
        <v>60</v>
      </c>
      <c r="I1118" s="3">
        <v>35311</v>
      </c>
      <c r="J1118" s="9" t="str">
        <f t="shared" ca="1" si="19"/>
        <v>26 ans</v>
      </c>
      <c r="K1118" s="2" t="s">
        <v>36</v>
      </c>
      <c r="L1118" s="2" t="str">
        <f>"108"</f>
        <v>108</v>
      </c>
      <c r="M1118" s="2"/>
      <c r="N1118" s="2" t="str">
        <f>"CHEMIN DES CANNAS"</f>
        <v>CHEMIN DES CANNAS</v>
      </c>
      <c r="O1118" s="2" t="s">
        <v>3185</v>
      </c>
      <c r="P1118" s="9" t="str">
        <f>VLOOKUP($O1118,'Liste des Villes'!$B$2:$B$1128,1,FALSE)</f>
        <v>Saint-Jérôme</v>
      </c>
      <c r="Q1118" s="9" t="str">
        <f>IFERROR($P1118,PROPER(VLOOKUP($O1118,'Villes en erreur'!$A$2:$B$72,2,FALSE)))</f>
        <v>Saint-Jérôme</v>
      </c>
      <c r="R1118" s="9" t="s">
        <v>3186</v>
      </c>
      <c r="S1118" s="9" t="str">
        <f>IF(ISBLANK($R1118),"",VLOOKUP($R1118,'Liste des Villes'!$B$2:$H$1128,4,FALSE))</f>
        <v>Laurentides</v>
      </c>
      <c r="T1118" s="2" t="s">
        <v>3398</v>
      </c>
      <c r="U1118" s="2" t="s">
        <v>39</v>
      </c>
      <c r="V1118" s="2" t="s">
        <v>40</v>
      </c>
      <c r="W1118" s="2" t="s">
        <v>5932</v>
      </c>
      <c r="X1118" s="2"/>
      <c r="Y1118" s="2"/>
      <c r="Z1118" s="2"/>
      <c r="AA1118" s="2" t="s">
        <v>3189</v>
      </c>
      <c r="AB1118" s="2" t="s">
        <v>3200</v>
      </c>
      <c r="AC1118" s="4" t="s">
        <v>44</v>
      </c>
    </row>
    <row r="1119" spans="1:29" x14ac:dyDescent="0.25">
      <c r="A1119" s="1">
        <v>3931</v>
      </c>
      <c r="B1119" s="17" t="s">
        <v>5933</v>
      </c>
      <c r="C1119" s="2" t="s">
        <v>598</v>
      </c>
      <c r="D1119" s="15" t="s">
        <v>599</v>
      </c>
      <c r="E1119" s="9" t="s">
        <v>600</v>
      </c>
      <c r="F1119" s="9" t="s">
        <v>5934</v>
      </c>
      <c r="G1119" s="9" t="s">
        <v>332</v>
      </c>
      <c r="H1119" s="2" t="s">
        <v>60</v>
      </c>
      <c r="I1119" s="3">
        <v>35550</v>
      </c>
      <c r="J1119" s="9" t="str">
        <f t="shared" ca="1" si="19"/>
        <v>26 ans</v>
      </c>
      <c r="K1119" s="2" t="s">
        <v>36</v>
      </c>
      <c r="L1119" s="2" t="str">
        <f>"124"</f>
        <v>124</v>
      </c>
      <c r="M1119" s="2"/>
      <c r="N1119" s="2" t="str">
        <f>"CROIS DAMASE-LÉONARD"</f>
        <v>CROIS DAMASE-LÉONARD</v>
      </c>
      <c r="O1119" s="2" t="s">
        <v>3185</v>
      </c>
      <c r="P1119" s="9" t="str">
        <f>VLOOKUP($O1119,'Liste des Villes'!$B$2:$B$1128,1,FALSE)</f>
        <v>Saint-Jérôme</v>
      </c>
      <c r="Q1119" s="9" t="str">
        <f>IFERROR($P1119,PROPER(VLOOKUP($O1119,'Villes en erreur'!$A$2:$B$72,2,FALSE)))</f>
        <v>Saint-Jérôme</v>
      </c>
      <c r="R1119" s="9" t="s">
        <v>3186</v>
      </c>
      <c r="S1119" s="9" t="str">
        <f>IF(ISBLANK($R1119),"",VLOOKUP($R1119,'Liste des Villes'!$B$2:$H$1128,4,FALSE))</f>
        <v>Laurentides</v>
      </c>
      <c r="T1119" s="2" t="s">
        <v>3740</v>
      </c>
      <c r="U1119" s="2" t="s">
        <v>39</v>
      </c>
      <c r="V1119" s="2" t="s">
        <v>40</v>
      </c>
      <c r="W1119" s="2" t="s">
        <v>5935</v>
      </c>
      <c r="X1119" s="2"/>
      <c r="Y1119" s="2"/>
      <c r="Z1119" s="2"/>
      <c r="AA1119" s="2" t="s">
        <v>3199</v>
      </c>
      <c r="AB1119" s="2" t="s">
        <v>3221</v>
      </c>
      <c r="AC1119" s="4" t="s">
        <v>44</v>
      </c>
    </row>
    <row r="1120" spans="1:29" x14ac:dyDescent="0.25">
      <c r="A1120" s="1">
        <v>3303</v>
      </c>
      <c r="B1120" s="17" t="s">
        <v>5936</v>
      </c>
      <c r="C1120" s="2" t="s">
        <v>5937</v>
      </c>
      <c r="D1120" s="15" t="s">
        <v>5938</v>
      </c>
      <c r="E1120" s="9" t="s">
        <v>3126</v>
      </c>
      <c r="F1120" s="9" t="s">
        <v>5939</v>
      </c>
      <c r="G1120" s="9" t="s">
        <v>1560</v>
      </c>
      <c r="H1120" s="2" t="s">
        <v>35</v>
      </c>
      <c r="I1120" s="3">
        <v>35608</v>
      </c>
      <c r="J1120" s="9" t="str">
        <f t="shared" ca="1" si="19"/>
        <v>26 ans</v>
      </c>
      <c r="K1120" s="2" t="s">
        <v>36</v>
      </c>
      <c r="L1120" s="2" t="str">
        <f>"129"</f>
        <v>129</v>
      </c>
      <c r="M1120" s="2"/>
      <c r="N1120" s="2" t="str">
        <f>"DE LA SALETTE BLVD"</f>
        <v>DE LA SALETTE BLVD</v>
      </c>
      <c r="O1120" s="2" t="s">
        <v>3185</v>
      </c>
      <c r="P1120" s="9" t="str">
        <f>VLOOKUP($O1120,'Liste des Villes'!$B$2:$B$1128,1,FALSE)</f>
        <v>Saint-Jérôme</v>
      </c>
      <c r="Q1120" s="9" t="str">
        <f>IFERROR($P1120,PROPER(VLOOKUP($O1120,'Villes en erreur'!$A$2:$B$72,2,FALSE)))</f>
        <v>Saint-Jérôme</v>
      </c>
      <c r="R1120" s="9" t="s">
        <v>3186</v>
      </c>
      <c r="S1120" s="9" t="str">
        <f>IF(ISBLANK($R1120),"",VLOOKUP($R1120,'Liste des Villes'!$B$2:$H$1128,4,FALSE))</f>
        <v>Laurentides</v>
      </c>
      <c r="T1120" s="2" t="s">
        <v>3446</v>
      </c>
      <c r="U1120" s="2" t="s">
        <v>39</v>
      </c>
      <c r="V1120" s="2" t="s">
        <v>40</v>
      </c>
      <c r="W1120" s="2" t="s">
        <v>5940</v>
      </c>
      <c r="X1120" s="2"/>
      <c r="Y1120" s="2"/>
      <c r="Z1120" s="2"/>
      <c r="AA1120" s="2" t="s">
        <v>3243</v>
      </c>
      <c r="AB1120" s="2" t="s">
        <v>3221</v>
      </c>
      <c r="AC1120" s="4" t="s">
        <v>44</v>
      </c>
    </row>
    <row r="1121" spans="1:29" x14ac:dyDescent="0.25">
      <c r="A1121" s="1">
        <v>3599</v>
      </c>
      <c r="B1121" s="17" t="s">
        <v>5941</v>
      </c>
      <c r="C1121" s="2" t="s">
        <v>1029</v>
      </c>
      <c r="D1121" s="15" t="s">
        <v>1030</v>
      </c>
      <c r="E1121" s="9" t="s">
        <v>698</v>
      </c>
      <c r="F1121" s="9" t="s">
        <v>5942</v>
      </c>
      <c r="G1121" s="9" t="s">
        <v>5943</v>
      </c>
      <c r="H1121" s="2" t="s">
        <v>60</v>
      </c>
      <c r="I1121" s="3">
        <v>36162</v>
      </c>
      <c r="J1121" s="9" t="str">
        <f t="shared" ca="1" si="19"/>
        <v>24 ans</v>
      </c>
      <c r="K1121" s="2" t="s">
        <v>123</v>
      </c>
      <c r="L1121" s="2" t="str">
        <f>"226"</f>
        <v>226</v>
      </c>
      <c r="M1121" s="2"/>
      <c r="N1121" s="2" t="str">
        <f>"RUE ALFRED-PELLAN"</f>
        <v>RUE ALFRED-PELLAN</v>
      </c>
      <c r="O1121" s="2" t="s">
        <v>3185</v>
      </c>
      <c r="P1121" s="9" t="str">
        <f>VLOOKUP($O1121,'Liste des Villes'!$B$2:$B$1128,1,FALSE)</f>
        <v>Saint-Jérôme</v>
      </c>
      <c r="Q1121" s="9" t="str">
        <f>IFERROR($P1121,PROPER(VLOOKUP($O1121,'Villes en erreur'!$A$2:$B$72,2,FALSE)))</f>
        <v>Saint-Jérôme</v>
      </c>
      <c r="R1121" s="9" t="s">
        <v>3186</v>
      </c>
      <c r="S1121" s="9" t="str">
        <f>IF(ISBLANK($R1121),"",VLOOKUP($R1121,'Liste des Villes'!$B$2:$H$1128,4,FALSE))</f>
        <v>Laurentides</v>
      </c>
      <c r="T1121" s="2" t="s">
        <v>5944</v>
      </c>
      <c r="U1121" s="2" t="s">
        <v>39</v>
      </c>
      <c r="V1121" s="2" t="s">
        <v>40</v>
      </c>
      <c r="W1121" s="2" t="s">
        <v>5945</v>
      </c>
      <c r="X1121" s="2"/>
      <c r="Y1121" s="2"/>
      <c r="Z1121" s="2"/>
      <c r="AA1121" s="2" t="s">
        <v>832</v>
      </c>
      <c r="AB1121" s="2" t="s">
        <v>3221</v>
      </c>
      <c r="AC1121" s="4" t="s">
        <v>44</v>
      </c>
    </row>
    <row r="1122" spans="1:29" x14ac:dyDescent="0.25">
      <c r="A1122" s="1">
        <v>4143</v>
      </c>
      <c r="B1122" s="17" t="s">
        <v>5946</v>
      </c>
      <c r="C1122" s="2" t="s">
        <v>5947</v>
      </c>
      <c r="D1122" s="15" t="s">
        <v>5948</v>
      </c>
      <c r="E1122" s="9" t="s">
        <v>325</v>
      </c>
      <c r="F1122" s="9" t="s">
        <v>5949</v>
      </c>
      <c r="G1122" s="9" t="s">
        <v>1965</v>
      </c>
      <c r="H1122" s="2" t="s">
        <v>35</v>
      </c>
      <c r="I1122" s="3">
        <v>35863</v>
      </c>
      <c r="J1122" s="9" t="str">
        <f t="shared" ca="1" si="19"/>
        <v>25 ans</v>
      </c>
      <c r="K1122" s="2" t="s">
        <v>123</v>
      </c>
      <c r="L1122" s="2" t="str">
        <f>"150"</f>
        <v>150</v>
      </c>
      <c r="M1122" s="2"/>
      <c r="N1122" s="2" t="str">
        <f>"MAGLOIRE LAVALLÉE"</f>
        <v>MAGLOIRE LAVALLÉE</v>
      </c>
      <c r="O1122" s="2" t="s">
        <v>3185</v>
      </c>
      <c r="P1122" s="9" t="str">
        <f>VLOOKUP($O1122,'Liste des Villes'!$B$2:$B$1128,1,FALSE)</f>
        <v>Saint-Jérôme</v>
      </c>
      <c r="Q1122" s="9" t="str">
        <f>IFERROR($P1122,PROPER(VLOOKUP($O1122,'Villes en erreur'!$A$2:$B$72,2,FALSE)))</f>
        <v>Saint-Jérôme</v>
      </c>
      <c r="R1122" s="9" t="s">
        <v>3186</v>
      </c>
      <c r="S1122" s="9" t="str">
        <f>IF(ISBLANK($R1122),"",VLOOKUP($R1122,'Liste des Villes'!$B$2:$H$1128,4,FALSE))</f>
        <v>Laurentides</v>
      </c>
      <c r="T1122" s="2" t="s">
        <v>5380</v>
      </c>
      <c r="U1122" s="2" t="s">
        <v>39</v>
      </c>
      <c r="V1122" s="2" t="s">
        <v>40</v>
      </c>
      <c r="W1122" s="2" t="s">
        <v>5950</v>
      </c>
      <c r="X1122" s="2"/>
      <c r="Y1122" s="2"/>
      <c r="Z1122" s="2"/>
      <c r="AA1122" s="2" t="s">
        <v>3243</v>
      </c>
      <c r="AB1122" s="2" t="s">
        <v>3221</v>
      </c>
      <c r="AC1122" s="4" t="s">
        <v>44</v>
      </c>
    </row>
    <row r="1123" spans="1:29" x14ac:dyDescent="0.25">
      <c r="A1123" s="1">
        <v>3846</v>
      </c>
      <c r="B1123" s="17" t="s">
        <v>5951</v>
      </c>
      <c r="C1123" s="2" t="s">
        <v>5952</v>
      </c>
      <c r="D1123" s="15" t="s">
        <v>5727</v>
      </c>
      <c r="E1123" s="9" t="s">
        <v>1024</v>
      </c>
      <c r="F1123" s="9" t="s">
        <v>5953</v>
      </c>
      <c r="G1123" s="9" t="s">
        <v>332</v>
      </c>
      <c r="H1123" s="2" t="s">
        <v>60</v>
      </c>
      <c r="I1123" s="3">
        <v>35525</v>
      </c>
      <c r="J1123" s="9" t="str">
        <f t="shared" ca="1" si="19"/>
        <v>26 ans</v>
      </c>
      <c r="K1123" s="2" t="s">
        <v>36</v>
      </c>
      <c r="L1123" s="2" t="str">
        <f>"121"</f>
        <v>121</v>
      </c>
      <c r="M1123" s="2"/>
      <c r="N1123" s="2" t="str">
        <f>"COTE SAINT-ANDRÉ"</f>
        <v>COTE SAINT-ANDRÉ</v>
      </c>
      <c r="O1123" s="2" t="s">
        <v>3185</v>
      </c>
      <c r="P1123" s="9" t="str">
        <f>VLOOKUP($O1123,'Liste des Villes'!$B$2:$B$1128,1,FALSE)</f>
        <v>Saint-Jérôme</v>
      </c>
      <c r="Q1123" s="9" t="str">
        <f>IFERROR($P1123,PROPER(VLOOKUP($O1123,'Villes en erreur'!$A$2:$B$72,2,FALSE)))</f>
        <v>Saint-Jérôme</v>
      </c>
      <c r="R1123" s="9" t="s">
        <v>3186</v>
      </c>
      <c r="S1123" s="9" t="str">
        <f>IF(ISBLANK($R1123),"",VLOOKUP($R1123,'Liste des Villes'!$B$2:$H$1128,4,FALSE))</f>
        <v>Laurentides</v>
      </c>
      <c r="T1123" s="2" t="s">
        <v>3532</v>
      </c>
      <c r="U1123" s="2" t="s">
        <v>39</v>
      </c>
      <c r="V1123" s="2" t="s">
        <v>40</v>
      </c>
      <c r="W1123" s="2" t="s">
        <v>5954</v>
      </c>
      <c r="X1123" s="2"/>
      <c r="Y1123" s="2"/>
      <c r="Z1123" s="2"/>
      <c r="AA1123" s="2" t="s">
        <v>3199</v>
      </c>
      <c r="AB1123" s="2" t="s">
        <v>3200</v>
      </c>
      <c r="AC1123" s="4" t="s">
        <v>44</v>
      </c>
    </row>
    <row r="1124" spans="1:29" x14ac:dyDescent="0.25">
      <c r="A1124" s="1">
        <v>4340</v>
      </c>
      <c r="B1124" s="17" t="s">
        <v>5955</v>
      </c>
      <c r="C1124" s="2" t="s">
        <v>5956</v>
      </c>
      <c r="D1124" s="15" t="s">
        <v>3823</v>
      </c>
      <c r="E1124" s="9" t="s">
        <v>179</v>
      </c>
      <c r="F1124" s="9" t="s">
        <v>5957</v>
      </c>
      <c r="G1124" s="9" t="s">
        <v>5958</v>
      </c>
      <c r="H1124" s="2" t="s">
        <v>60</v>
      </c>
      <c r="I1124" s="3">
        <v>35883</v>
      </c>
      <c r="J1124" s="9" t="str">
        <f t="shared" ca="1" si="19"/>
        <v>25 ans</v>
      </c>
      <c r="K1124" s="2" t="s">
        <v>123</v>
      </c>
      <c r="L1124" s="2" t="str">
        <f>"154"</f>
        <v>154</v>
      </c>
      <c r="M1124" s="2"/>
      <c r="N1124" s="2" t="str">
        <f>"MONTEE BINETTE"</f>
        <v>MONTEE BINETTE</v>
      </c>
      <c r="O1124" s="2" t="s">
        <v>3185</v>
      </c>
      <c r="P1124" s="9" t="str">
        <f>VLOOKUP($O1124,'Liste des Villes'!$B$2:$B$1128,1,FALSE)</f>
        <v>Saint-Jérôme</v>
      </c>
      <c r="Q1124" s="9" t="str">
        <f>IFERROR($P1124,PROPER(VLOOKUP($O1124,'Villes en erreur'!$A$2:$B$72,2,FALSE)))</f>
        <v>Saint-Jérôme</v>
      </c>
      <c r="R1124" s="9" t="s">
        <v>3186</v>
      </c>
      <c r="S1124" s="9" t="str">
        <f>IF(ISBLANK($R1124),"",VLOOKUP($R1124,'Liste des Villes'!$B$2:$H$1128,4,FALSE))</f>
        <v>Laurentides</v>
      </c>
      <c r="T1124" s="2" t="s">
        <v>5959</v>
      </c>
      <c r="U1124" s="2" t="s">
        <v>39</v>
      </c>
      <c r="V1124" s="2" t="s">
        <v>40</v>
      </c>
      <c r="W1124" s="2" t="s">
        <v>5960</v>
      </c>
      <c r="X1124" s="2"/>
      <c r="Y1124" s="2"/>
      <c r="Z1124" s="2"/>
      <c r="AA1124" s="2" t="s">
        <v>3243</v>
      </c>
      <c r="AB1124" s="2" t="s">
        <v>3221</v>
      </c>
      <c r="AC1124" s="4" t="s">
        <v>44</v>
      </c>
    </row>
    <row r="1125" spans="1:29" x14ac:dyDescent="0.25">
      <c r="A1125" s="1">
        <v>1124</v>
      </c>
      <c r="B1125" s="17" t="s">
        <v>5961</v>
      </c>
      <c r="C1125" s="2" t="s">
        <v>3962</v>
      </c>
      <c r="D1125" s="15" t="s">
        <v>3963</v>
      </c>
      <c r="E1125" s="9" t="s">
        <v>3964</v>
      </c>
      <c r="F1125" s="9" t="s">
        <v>1800</v>
      </c>
      <c r="G1125" s="9" t="s">
        <v>643</v>
      </c>
      <c r="H1125" s="2" t="s">
        <v>60</v>
      </c>
      <c r="I1125" s="3">
        <v>34949</v>
      </c>
      <c r="J1125" s="9" t="str">
        <f t="shared" ca="1" si="19"/>
        <v>27 ans</v>
      </c>
      <c r="K1125" s="2" t="s">
        <v>36</v>
      </c>
      <c r="L1125" s="2" t="str">
        <f>"87"</f>
        <v>87</v>
      </c>
      <c r="M1125" s="2"/>
      <c r="N1125" s="2" t="str">
        <f>"CH DU FORT"</f>
        <v>CH DU FORT</v>
      </c>
      <c r="O1125" s="2" t="s">
        <v>3185</v>
      </c>
      <c r="P1125" s="9" t="str">
        <f>VLOOKUP($O1125,'Liste des Villes'!$B$2:$B$1128,1,FALSE)</f>
        <v>Saint-Jérôme</v>
      </c>
      <c r="Q1125" s="9" t="str">
        <f>IFERROR($P1125,PROPER(VLOOKUP($O1125,'Villes en erreur'!$A$2:$B$72,2,FALSE)))</f>
        <v>Saint-Jérôme</v>
      </c>
      <c r="R1125" s="9" t="s">
        <v>3186</v>
      </c>
      <c r="S1125" s="9" t="str">
        <f>IF(ISBLANK($R1125),"",VLOOKUP($R1125,'Liste des Villes'!$B$2:$H$1128,4,FALSE))</f>
        <v>Laurentides</v>
      </c>
      <c r="T1125" s="2" t="s">
        <v>3187</v>
      </c>
      <c r="U1125" s="2" t="s">
        <v>39</v>
      </c>
      <c r="V1125" s="2" t="s">
        <v>40</v>
      </c>
      <c r="W1125" s="2" t="s">
        <v>5962</v>
      </c>
      <c r="X1125" s="2"/>
      <c r="Y1125" s="2"/>
      <c r="Z1125" s="2"/>
      <c r="AA1125" s="2" t="s">
        <v>3231</v>
      </c>
      <c r="AB1125" s="2" t="s">
        <v>53</v>
      </c>
      <c r="AC1125" s="4" t="s">
        <v>44</v>
      </c>
    </row>
    <row r="1126" spans="1:29" x14ac:dyDescent="0.25">
      <c r="A1126" s="1">
        <v>857</v>
      </c>
      <c r="B1126" s="17" t="s">
        <v>5963</v>
      </c>
      <c r="C1126" s="2" t="s">
        <v>5964</v>
      </c>
      <c r="D1126" s="15" t="s">
        <v>5965</v>
      </c>
      <c r="E1126" s="9" t="s">
        <v>2381</v>
      </c>
      <c r="F1126" s="9" t="s">
        <v>5966</v>
      </c>
      <c r="G1126" s="9" t="s">
        <v>3218</v>
      </c>
      <c r="H1126" s="2" t="s">
        <v>60</v>
      </c>
      <c r="I1126" s="3">
        <v>34306</v>
      </c>
      <c r="J1126" s="9" t="str">
        <f t="shared" ca="1" si="19"/>
        <v>29 ans</v>
      </c>
      <c r="K1126" s="2" t="s">
        <v>36</v>
      </c>
      <c r="L1126" s="2" t="str">
        <f>"51"</f>
        <v>51</v>
      </c>
      <c r="M1126" s="2"/>
      <c r="N1126" s="2" t="str">
        <f>"BOULEVARD LAFONTAINE"</f>
        <v>BOULEVARD LAFONTAINE</v>
      </c>
      <c r="O1126" s="2" t="s">
        <v>3185</v>
      </c>
      <c r="P1126" s="9" t="str">
        <f>VLOOKUP($O1126,'Liste des Villes'!$B$2:$B$1128,1,FALSE)</f>
        <v>Saint-Jérôme</v>
      </c>
      <c r="Q1126" s="9" t="str">
        <f>IFERROR($P1126,PROPER(VLOOKUP($O1126,'Villes en erreur'!$A$2:$B$72,2,FALSE)))</f>
        <v>Saint-Jérôme</v>
      </c>
      <c r="R1126" s="9" t="s">
        <v>3186</v>
      </c>
      <c r="S1126" s="9" t="str">
        <f>IF(ISBLANK($R1126),"",VLOOKUP($R1126,'Liste des Villes'!$B$2:$H$1128,4,FALSE))</f>
        <v>Laurentides</v>
      </c>
      <c r="T1126" s="2" t="s">
        <v>3520</v>
      </c>
      <c r="U1126" s="2" t="s">
        <v>39</v>
      </c>
      <c r="V1126" s="2" t="s">
        <v>40</v>
      </c>
      <c r="W1126" s="2" t="s">
        <v>5967</v>
      </c>
      <c r="X1126" s="2"/>
      <c r="Y1126" s="2"/>
      <c r="Z1126" s="2"/>
      <c r="AA1126" s="2" t="s">
        <v>3360</v>
      </c>
      <c r="AB1126" s="2" t="s">
        <v>53</v>
      </c>
      <c r="AC1126" s="4" t="s">
        <v>44</v>
      </c>
    </row>
    <row r="1127" spans="1:29" x14ac:dyDescent="0.25">
      <c r="A1127" s="1">
        <v>277</v>
      </c>
      <c r="B1127" s="17" t="s">
        <v>5968</v>
      </c>
      <c r="C1127" s="2" t="s">
        <v>5969</v>
      </c>
      <c r="D1127" s="15" t="s">
        <v>4983</v>
      </c>
      <c r="E1127" s="9" t="s">
        <v>610</v>
      </c>
      <c r="F1127" s="9" t="s">
        <v>4982</v>
      </c>
      <c r="G1127" s="9" t="s">
        <v>2796</v>
      </c>
      <c r="H1127" s="2" t="s">
        <v>35</v>
      </c>
      <c r="I1127" s="3">
        <v>35272</v>
      </c>
      <c r="J1127" s="9" t="str">
        <f t="shared" ca="1" si="19"/>
        <v>27 ans</v>
      </c>
      <c r="K1127" s="2" t="s">
        <v>36</v>
      </c>
      <c r="L1127" s="2" t="str">
        <f>"107"</f>
        <v>107</v>
      </c>
      <c r="M1127" s="2"/>
      <c r="N1127" s="2" t="str">
        <f>"CHEMIN DE LA MONTAGNE"</f>
        <v>CHEMIN DE LA MONTAGNE</v>
      </c>
      <c r="O1127" s="2" t="s">
        <v>3185</v>
      </c>
      <c r="P1127" s="9" t="str">
        <f>VLOOKUP($O1127,'Liste des Villes'!$B$2:$B$1128,1,FALSE)</f>
        <v>Saint-Jérôme</v>
      </c>
      <c r="Q1127" s="9" t="str">
        <f>IFERROR($P1127,PROPER(VLOOKUP($O1127,'Villes en erreur'!$A$2:$B$72,2,FALSE)))</f>
        <v>Saint-Jérôme</v>
      </c>
      <c r="R1127" s="9" t="s">
        <v>3186</v>
      </c>
      <c r="S1127" s="9" t="str">
        <f>IF(ISBLANK($R1127),"",VLOOKUP($R1127,'Liste des Villes'!$B$2:$H$1128,4,FALSE))</f>
        <v>Laurentides</v>
      </c>
      <c r="T1127" s="2" t="s">
        <v>3187</v>
      </c>
      <c r="U1127" s="2" t="s">
        <v>39</v>
      </c>
      <c r="V1127" s="2" t="s">
        <v>40</v>
      </c>
      <c r="W1127" s="2" t="s">
        <v>5970</v>
      </c>
      <c r="X1127" s="2"/>
      <c r="Y1127" s="2"/>
      <c r="Z1127" s="2"/>
      <c r="AA1127" s="2" t="s">
        <v>3189</v>
      </c>
      <c r="AB1127" s="2" t="s">
        <v>3190</v>
      </c>
      <c r="AC1127" s="4" t="s">
        <v>44</v>
      </c>
    </row>
    <row r="1128" spans="1:29" x14ac:dyDescent="0.25">
      <c r="A1128" s="1">
        <v>1302</v>
      </c>
      <c r="B1128" s="17" t="s">
        <v>5971</v>
      </c>
      <c r="C1128" s="2" t="s">
        <v>5972</v>
      </c>
      <c r="D1128" s="15" t="s">
        <v>5146</v>
      </c>
      <c r="E1128" s="9" t="s">
        <v>85</v>
      </c>
      <c r="F1128" s="9" t="s">
        <v>1852</v>
      </c>
      <c r="G1128" s="9" t="s">
        <v>643</v>
      </c>
      <c r="H1128" s="2" t="s">
        <v>60</v>
      </c>
      <c r="I1128" s="3">
        <v>34935</v>
      </c>
      <c r="J1128" s="9" t="str">
        <f t="shared" ca="1" si="19"/>
        <v>28 ans</v>
      </c>
      <c r="K1128" s="2" t="s">
        <v>36</v>
      </c>
      <c r="L1128" s="2" t="str">
        <f>"85"</f>
        <v>85</v>
      </c>
      <c r="M1128" s="2"/>
      <c r="N1128" s="2" t="str">
        <f>"CH DU BOIS-DORMANT"</f>
        <v>CH DU BOIS-DORMANT</v>
      </c>
      <c r="O1128" s="2" t="s">
        <v>3185</v>
      </c>
      <c r="P1128" s="9" t="str">
        <f>VLOOKUP($O1128,'Liste des Villes'!$B$2:$B$1128,1,FALSE)</f>
        <v>Saint-Jérôme</v>
      </c>
      <c r="Q1128" s="9" t="str">
        <f>IFERROR($P1128,PROPER(VLOOKUP($O1128,'Villes en erreur'!$A$2:$B$72,2,FALSE)))</f>
        <v>Saint-Jérôme</v>
      </c>
      <c r="R1128" s="9" t="s">
        <v>3186</v>
      </c>
      <c r="S1128" s="9" t="str">
        <f>IF(ISBLANK($R1128),"",VLOOKUP($R1128,'Liste des Villes'!$B$2:$H$1128,4,FALSE))</f>
        <v>Laurentides</v>
      </c>
      <c r="T1128" s="2" t="s">
        <v>3187</v>
      </c>
      <c r="U1128" s="2" t="s">
        <v>39</v>
      </c>
      <c r="V1128" s="2" t="s">
        <v>40</v>
      </c>
      <c r="W1128" s="2" t="s">
        <v>5973</v>
      </c>
      <c r="X1128" s="2"/>
      <c r="Y1128" s="2"/>
      <c r="Z1128" s="2"/>
      <c r="AA1128" s="2" t="s">
        <v>3231</v>
      </c>
      <c r="AB1128" s="2" t="s">
        <v>53</v>
      </c>
      <c r="AC1128" s="4" t="s">
        <v>44</v>
      </c>
    </row>
    <row r="1129" spans="1:29" x14ac:dyDescent="0.25">
      <c r="A1129" s="1">
        <v>1041</v>
      </c>
      <c r="B1129" s="17" t="s">
        <v>5974</v>
      </c>
      <c r="C1129" s="2" t="s">
        <v>1507</v>
      </c>
      <c r="D1129" s="15" t="s">
        <v>1508</v>
      </c>
      <c r="E1129" s="9" t="s">
        <v>92</v>
      </c>
      <c r="F1129" s="9" t="s">
        <v>4219</v>
      </c>
      <c r="G1129" s="9" t="s">
        <v>5975</v>
      </c>
      <c r="H1129" s="2" t="s">
        <v>60</v>
      </c>
      <c r="I1129" s="3">
        <v>36095</v>
      </c>
      <c r="J1129" s="9" t="str">
        <f t="shared" ca="1" si="19"/>
        <v>24 ans</v>
      </c>
      <c r="K1129" s="2" t="s">
        <v>123</v>
      </c>
      <c r="L1129" s="2" t="str">
        <f>"206"</f>
        <v>206</v>
      </c>
      <c r="M1129" s="2"/>
      <c r="N1129" s="2" t="str">
        <f>"ROUTE 105"</f>
        <v>ROUTE 105</v>
      </c>
      <c r="O1129" s="2" t="s">
        <v>3185</v>
      </c>
      <c r="P1129" s="9" t="str">
        <f>VLOOKUP($O1129,'Liste des Villes'!$B$2:$B$1128,1,FALSE)</f>
        <v>Saint-Jérôme</v>
      </c>
      <c r="Q1129" s="9" t="str">
        <f>IFERROR($P1129,PROPER(VLOOKUP($O1129,'Villes en erreur'!$A$2:$B$72,2,FALSE)))</f>
        <v>Saint-Jérôme</v>
      </c>
      <c r="R1129" s="9" t="s">
        <v>3186</v>
      </c>
      <c r="S1129" s="9" t="str">
        <f>IF(ISBLANK($R1129),"",VLOOKUP($R1129,'Liste des Villes'!$B$2:$H$1128,4,FALSE))</f>
        <v>Laurentides</v>
      </c>
      <c r="T1129" s="2" t="s">
        <v>5976</v>
      </c>
      <c r="U1129" s="2" t="s">
        <v>39</v>
      </c>
      <c r="V1129" s="2" t="s">
        <v>40</v>
      </c>
      <c r="W1129" s="2" t="s">
        <v>5977</v>
      </c>
      <c r="X1129" s="2"/>
      <c r="Y1129" s="2"/>
      <c r="Z1129" s="2"/>
      <c r="AA1129" s="2" t="s">
        <v>832</v>
      </c>
      <c r="AB1129" s="2" t="s">
        <v>3221</v>
      </c>
      <c r="AC1129" s="4" t="s">
        <v>44</v>
      </c>
    </row>
    <row r="1130" spans="1:29" x14ac:dyDescent="0.25">
      <c r="A1130" s="1">
        <v>1348</v>
      </c>
      <c r="B1130" s="17" t="s">
        <v>5978</v>
      </c>
      <c r="C1130" s="2" t="s">
        <v>46</v>
      </c>
      <c r="D1130" s="15" t="s">
        <v>47</v>
      </c>
      <c r="E1130" s="9" t="s">
        <v>48</v>
      </c>
      <c r="F1130" s="9" t="s">
        <v>5792</v>
      </c>
      <c r="G1130" s="9" t="s">
        <v>92</v>
      </c>
      <c r="H1130" s="2" t="s">
        <v>35</v>
      </c>
      <c r="I1130" s="3">
        <v>35420</v>
      </c>
      <c r="J1130" s="9" t="str">
        <f t="shared" ca="1" si="19"/>
        <v>26 ans</v>
      </c>
      <c r="K1130" s="2" t="s">
        <v>36</v>
      </c>
      <c r="L1130" s="2" t="str">
        <f>"113"</f>
        <v>113</v>
      </c>
      <c r="M1130" s="2"/>
      <c r="N1130" s="2" t="str">
        <f>"CHEMIN DU LAC PILON"</f>
        <v>CHEMIN DU LAC PILON</v>
      </c>
      <c r="O1130" s="2" t="s">
        <v>3185</v>
      </c>
      <c r="P1130" s="9" t="str">
        <f>VLOOKUP($O1130,'Liste des Villes'!$B$2:$B$1128,1,FALSE)</f>
        <v>Saint-Jérôme</v>
      </c>
      <c r="Q1130" s="9" t="str">
        <f>IFERROR($P1130,PROPER(VLOOKUP($O1130,'Villes en erreur'!$A$2:$B$72,2,FALSE)))</f>
        <v>Saint-Jérôme</v>
      </c>
      <c r="R1130" s="9" t="s">
        <v>3186</v>
      </c>
      <c r="S1130" s="9" t="str">
        <f>IF(ISBLANK($R1130),"",VLOOKUP($R1130,'Liste des Villes'!$B$2:$H$1128,4,FALSE))</f>
        <v>Laurentides</v>
      </c>
      <c r="T1130" s="2" t="s">
        <v>4032</v>
      </c>
      <c r="U1130" s="2" t="s">
        <v>39</v>
      </c>
      <c r="V1130" s="2" t="s">
        <v>40</v>
      </c>
      <c r="W1130" s="2" t="s">
        <v>5979</v>
      </c>
      <c r="X1130" s="2"/>
      <c r="Y1130" s="2"/>
      <c r="Z1130" s="2"/>
      <c r="AA1130" s="2" t="s">
        <v>3199</v>
      </c>
      <c r="AB1130" s="2" t="s">
        <v>3200</v>
      </c>
      <c r="AC1130" s="4" t="s">
        <v>44</v>
      </c>
    </row>
    <row r="1131" spans="1:29" x14ac:dyDescent="0.25">
      <c r="A1131" s="1">
        <v>2824</v>
      </c>
      <c r="B1131" s="17" t="s">
        <v>5980</v>
      </c>
      <c r="C1131" s="2" t="s">
        <v>5981</v>
      </c>
      <c r="D1131" s="15" t="s">
        <v>3617</v>
      </c>
      <c r="E1131" s="9" t="s">
        <v>362</v>
      </c>
      <c r="F1131" s="9" t="s">
        <v>363</v>
      </c>
      <c r="G1131" s="9" t="s">
        <v>1037</v>
      </c>
      <c r="H1131" s="2" t="s">
        <v>35</v>
      </c>
      <c r="I1131" s="3">
        <v>36081</v>
      </c>
      <c r="J1131" s="9" t="str">
        <f t="shared" ca="1" si="19"/>
        <v>24 ans</v>
      </c>
      <c r="K1131" s="2" t="s">
        <v>123</v>
      </c>
      <c r="L1131" s="2" t="str">
        <f>"201"</f>
        <v>201</v>
      </c>
      <c r="M1131" s="2"/>
      <c r="N1131" s="2" t="str">
        <f>"RANG SAINTE-PHILOMÈNE"</f>
        <v>RANG SAINTE-PHILOMÈNE</v>
      </c>
      <c r="O1131" s="2" t="s">
        <v>3185</v>
      </c>
      <c r="P1131" s="9" t="str">
        <f>VLOOKUP($O1131,'Liste des Villes'!$B$2:$B$1128,1,FALSE)</f>
        <v>Saint-Jérôme</v>
      </c>
      <c r="Q1131" s="9" t="str">
        <f>IFERROR($P1131,PROPER(VLOOKUP($O1131,'Villes en erreur'!$A$2:$B$72,2,FALSE)))</f>
        <v>Saint-Jérôme</v>
      </c>
      <c r="R1131" s="9" t="s">
        <v>3186</v>
      </c>
      <c r="S1131" s="9" t="str">
        <f>IF(ISBLANK($R1131),"",VLOOKUP($R1131,'Liste des Villes'!$B$2:$H$1128,4,FALSE))</f>
        <v>Laurentides</v>
      </c>
      <c r="T1131" s="2" t="s">
        <v>5982</v>
      </c>
      <c r="U1131" s="2" t="s">
        <v>39</v>
      </c>
      <c r="V1131" s="2" t="s">
        <v>40</v>
      </c>
      <c r="W1131" s="2" t="s">
        <v>5983</v>
      </c>
      <c r="X1131" s="2"/>
      <c r="Y1131" s="2"/>
      <c r="Z1131" s="2"/>
      <c r="AA1131" s="2" t="s">
        <v>832</v>
      </c>
      <c r="AB1131" s="2" t="s">
        <v>3221</v>
      </c>
      <c r="AC1131" s="4" t="s">
        <v>44</v>
      </c>
    </row>
    <row r="1132" spans="1:29" x14ac:dyDescent="0.25">
      <c r="A1132" s="1">
        <v>4393</v>
      </c>
      <c r="B1132" s="17" t="s">
        <v>5984</v>
      </c>
      <c r="C1132" s="2" t="s">
        <v>5985</v>
      </c>
      <c r="D1132" s="15" t="s">
        <v>5986</v>
      </c>
      <c r="E1132" s="9" t="s">
        <v>92</v>
      </c>
      <c r="F1132" s="9" t="s">
        <v>232</v>
      </c>
      <c r="G1132" s="9" t="s">
        <v>3274</v>
      </c>
      <c r="H1132" s="2" t="s">
        <v>35</v>
      </c>
      <c r="I1132" s="3">
        <v>35147</v>
      </c>
      <c r="J1132" s="9" t="str">
        <f t="shared" ca="1" si="19"/>
        <v>27 ans</v>
      </c>
      <c r="K1132" s="2" t="s">
        <v>36</v>
      </c>
      <c r="L1132" s="2" t="str">
        <f>"102"</f>
        <v>102</v>
      </c>
      <c r="M1132" s="2"/>
      <c r="N1132" s="2" t="str">
        <f>"CH PRINCIPAL"</f>
        <v>CH PRINCIPAL</v>
      </c>
      <c r="O1132" s="2" t="s">
        <v>3186</v>
      </c>
      <c r="P1132" s="9" t="str">
        <f>VLOOKUP($O1132,'Liste des Villes'!$B$2:$B$1128,1,FALSE)</f>
        <v>Saint-Jérôme</v>
      </c>
      <c r="Q1132" s="9" t="str">
        <f>IFERROR($P1132,PROPER(VLOOKUP($O1132,'Villes en erreur'!$A$2:$B$72,2,FALSE)))</f>
        <v>Saint-Jérôme</v>
      </c>
      <c r="R1132" s="9" t="s">
        <v>3186</v>
      </c>
      <c r="S1132" s="9" t="str">
        <f>IF(ISBLANK($R1132),"",VLOOKUP($R1132,'Liste des Villes'!$B$2:$H$1128,4,FALSE))</f>
        <v>Laurentides</v>
      </c>
      <c r="T1132" s="2" t="s">
        <v>3187</v>
      </c>
      <c r="U1132" s="2" t="s">
        <v>39</v>
      </c>
      <c r="V1132" s="2" t="s">
        <v>40</v>
      </c>
      <c r="W1132" s="2" t="s">
        <v>5987</v>
      </c>
      <c r="X1132" s="2"/>
      <c r="Y1132" s="2"/>
      <c r="Z1132" s="2"/>
      <c r="AA1132" s="2" t="s">
        <v>3189</v>
      </c>
      <c r="AB1132" s="2" t="s">
        <v>3190</v>
      </c>
      <c r="AC1132" s="4" t="s">
        <v>44</v>
      </c>
    </row>
    <row r="1133" spans="1:29" x14ac:dyDescent="0.25">
      <c r="A1133" s="1">
        <v>1354</v>
      </c>
      <c r="B1133" s="17" t="s">
        <v>5988</v>
      </c>
      <c r="C1133" s="2" t="s">
        <v>5989</v>
      </c>
      <c r="D1133" s="15" t="s">
        <v>3838</v>
      </c>
      <c r="E1133" s="9" t="s">
        <v>5990</v>
      </c>
      <c r="F1133" s="9" t="s">
        <v>750</v>
      </c>
      <c r="G1133" s="9" t="s">
        <v>5991</v>
      </c>
      <c r="H1133" s="2" t="s">
        <v>60</v>
      </c>
      <c r="I1133" s="3">
        <v>35763</v>
      </c>
      <c r="J1133" s="9" t="str">
        <f t="shared" ca="1" si="19"/>
        <v>25 ans</v>
      </c>
      <c r="K1133" s="2" t="s">
        <v>123</v>
      </c>
      <c r="L1133" s="2" t="str">
        <f>"140"</f>
        <v>140</v>
      </c>
      <c r="M1133" s="2"/>
      <c r="N1133" s="2" t="str">
        <f>"DU VAL-DES-CERFS"</f>
        <v>DU VAL-DES-CERFS</v>
      </c>
      <c r="O1133" s="2" t="s">
        <v>3185</v>
      </c>
      <c r="P1133" s="9" t="str">
        <f>VLOOKUP($O1133,'Liste des Villes'!$B$2:$B$1128,1,FALSE)</f>
        <v>Saint-Jérôme</v>
      </c>
      <c r="Q1133" s="9" t="str">
        <f>IFERROR($P1133,PROPER(VLOOKUP($O1133,'Villes en erreur'!$A$2:$B$72,2,FALSE)))</f>
        <v>Saint-Jérôme</v>
      </c>
      <c r="R1133" s="9" t="s">
        <v>3186</v>
      </c>
      <c r="S1133" s="9" t="str">
        <f>IF(ISBLANK($R1133),"",VLOOKUP($R1133,'Liste des Villes'!$B$2:$H$1128,4,FALSE))</f>
        <v>Laurentides</v>
      </c>
      <c r="T1133" s="2" t="s">
        <v>5088</v>
      </c>
      <c r="U1133" s="2" t="s">
        <v>39</v>
      </c>
      <c r="V1133" s="2" t="s">
        <v>40</v>
      </c>
      <c r="W1133" s="2" t="s">
        <v>5992</v>
      </c>
      <c r="X1133" s="2"/>
      <c r="Y1133" s="2"/>
      <c r="Z1133" s="2"/>
      <c r="AA1133" s="2" t="s">
        <v>3243</v>
      </c>
      <c r="AB1133" s="2" t="s">
        <v>3221</v>
      </c>
      <c r="AC1133" s="4" t="s">
        <v>44</v>
      </c>
    </row>
    <row r="1134" spans="1:29" x14ac:dyDescent="0.25">
      <c r="A1134" s="1">
        <v>410</v>
      </c>
      <c r="B1134" s="17" t="s">
        <v>5993</v>
      </c>
      <c r="C1134" s="2" t="s">
        <v>1103</v>
      </c>
      <c r="D1134" s="15" t="s">
        <v>1104</v>
      </c>
      <c r="E1134" s="9" t="s">
        <v>277</v>
      </c>
      <c r="F1134" s="9" t="s">
        <v>5994</v>
      </c>
      <c r="G1134" s="9" t="s">
        <v>495</v>
      </c>
      <c r="H1134" s="2" t="s">
        <v>35</v>
      </c>
      <c r="I1134" s="3">
        <v>34647</v>
      </c>
      <c r="J1134" s="9" t="str">
        <f t="shared" ca="1" si="19"/>
        <v>28 ans</v>
      </c>
      <c r="K1134" s="2" t="s">
        <v>36</v>
      </c>
      <c r="L1134" s="2" t="str">
        <f>"68"</f>
        <v>68</v>
      </c>
      <c r="M1134" s="2"/>
      <c r="N1134" s="2" t="str">
        <f>"CH DE LA PINERAIE"</f>
        <v>CH DE LA PINERAIE</v>
      </c>
      <c r="O1134" s="2" t="s">
        <v>3185</v>
      </c>
      <c r="P1134" s="9" t="str">
        <f>VLOOKUP($O1134,'Liste des Villes'!$B$2:$B$1128,1,FALSE)</f>
        <v>Saint-Jérôme</v>
      </c>
      <c r="Q1134" s="9" t="str">
        <f>IFERROR($P1134,PROPER(VLOOKUP($O1134,'Villes en erreur'!$A$2:$B$72,2,FALSE)))</f>
        <v>Saint-Jérôme</v>
      </c>
      <c r="R1134" s="9" t="s">
        <v>3186</v>
      </c>
      <c r="S1134" s="9" t="str">
        <f>IF(ISBLANK($R1134),"",VLOOKUP($R1134,'Liste des Villes'!$B$2:$H$1128,4,FALSE))</f>
        <v>Laurentides</v>
      </c>
      <c r="T1134" s="2" t="s">
        <v>3223</v>
      </c>
      <c r="U1134" s="2" t="s">
        <v>39</v>
      </c>
      <c r="V1134" s="2" t="s">
        <v>40</v>
      </c>
      <c r="W1134" s="2" t="s">
        <v>5995</v>
      </c>
      <c r="X1134" s="2"/>
      <c r="Y1134" s="2"/>
      <c r="Z1134" s="2"/>
      <c r="AA1134" s="2" t="s">
        <v>3225</v>
      </c>
      <c r="AB1134" s="2" t="s">
        <v>53</v>
      </c>
      <c r="AC1134" s="4" t="s">
        <v>44</v>
      </c>
    </row>
    <row r="1135" spans="1:29" x14ac:dyDescent="0.25">
      <c r="A1135" s="1">
        <v>1225</v>
      </c>
      <c r="B1135" s="17" t="s">
        <v>5996</v>
      </c>
      <c r="C1135" s="2" t="s">
        <v>5997</v>
      </c>
      <c r="D1135" s="15" t="s">
        <v>5998</v>
      </c>
      <c r="E1135" s="9" t="s">
        <v>970</v>
      </c>
      <c r="F1135" s="9" t="s">
        <v>5999</v>
      </c>
      <c r="G1135" s="9" t="s">
        <v>179</v>
      </c>
      <c r="H1135" s="2" t="s">
        <v>60</v>
      </c>
      <c r="I1135" s="3">
        <v>36120</v>
      </c>
      <c r="J1135" s="9" t="str">
        <f t="shared" ca="1" si="19"/>
        <v>24 ans</v>
      </c>
      <c r="K1135" s="2" t="s">
        <v>123</v>
      </c>
      <c r="L1135" s="2" t="str">
        <f>"213"</f>
        <v>213</v>
      </c>
      <c r="M1135" s="2"/>
      <c r="N1135" s="2" t="str">
        <f>"RTE DU LONG-SAULT"</f>
        <v>RTE DU LONG-SAULT</v>
      </c>
      <c r="O1135" s="2" t="s">
        <v>3185</v>
      </c>
      <c r="P1135" s="9" t="str">
        <f>VLOOKUP($O1135,'Liste des Villes'!$B$2:$B$1128,1,FALSE)</f>
        <v>Saint-Jérôme</v>
      </c>
      <c r="Q1135" s="9" t="str">
        <f>IFERROR($P1135,PROPER(VLOOKUP($O1135,'Villes en erreur'!$A$2:$B$72,2,FALSE)))</f>
        <v>Saint-Jérôme</v>
      </c>
      <c r="R1135" s="9" t="s">
        <v>3186</v>
      </c>
      <c r="S1135" s="9" t="str">
        <f>IF(ISBLANK($R1135),"",VLOOKUP($R1135,'Liste des Villes'!$B$2:$H$1128,4,FALSE))</f>
        <v>Laurentides</v>
      </c>
      <c r="T1135" s="2" t="s">
        <v>4499</v>
      </c>
      <c r="U1135" s="2" t="s">
        <v>39</v>
      </c>
      <c r="V1135" s="2" t="s">
        <v>40</v>
      </c>
      <c r="W1135" s="2" t="s">
        <v>6000</v>
      </c>
      <c r="X1135" s="2"/>
      <c r="Y1135" s="2"/>
      <c r="Z1135" s="2"/>
      <c r="AA1135" s="2" t="s">
        <v>832</v>
      </c>
      <c r="AB1135" s="2" t="s">
        <v>3221</v>
      </c>
      <c r="AC1135" s="4" t="s">
        <v>44</v>
      </c>
    </row>
    <row r="1136" spans="1:29" x14ac:dyDescent="0.25">
      <c r="A1136" s="1">
        <v>625</v>
      </c>
      <c r="B1136" s="17" t="s">
        <v>6001</v>
      </c>
      <c r="C1136" s="2" t="s">
        <v>4420</v>
      </c>
      <c r="D1136" s="15" t="s">
        <v>4421</v>
      </c>
      <c r="E1136" s="9" t="s">
        <v>4422</v>
      </c>
      <c r="F1136" s="9" t="s">
        <v>6002</v>
      </c>
      <c r="G1136" s="9" t="s">
        <v>6003</v>
      </c>
      <c r="H1136" s="2" t="s">
        <v>60</v>
      </c>
      <c r="I1136" s="3">
        <v>34973</v>
      </c>
      <c r="J1136" s="9" t="str">
        <f t="shared" ca="1" si="19"/>
        <v>27 ans</v>
      </c>
      <c r="K1136" s="2" t="s">
        <v>36</v>
      </c>
      <c r="L1136" s="2" t="str">
        <f>"88"</f>
        <v>88</v>
      </c>
      <c r="M1136" s="2"/>
      <c r="N1136" s="2" t="str">
        <f>"CH DU LAC"</f>
        <v>CH DU LAC</v>
      </c>
      <c r="O1136" s="2" t="s">
        <v>3185</v>
      </c>
      <c r="P1136" s="9" t="str">
        <f>VLOOKUP($O1136,'Liste des Villes'!$B$2:$B$1128,1,FALSE)</f>
        <v>Saint-Jérôme</v>
      </c>
      <c r="Q1136" s="9" t="str">
        <f>IFERROR($P1136,PROPER(VLOOKUP($O1136,'Villes en erreur'!$A$2:$B$72,2,FALSE)))</f>
        <v>Saint-Jérôme</v>
      </c>
      <c r="R1136" s="9" t="s">
        <v>3186</v>
      </c>
      <c r="S1136" s="9" t="str">
        <f>IF(ISBLANK($R1136),"",VLOOKUP($R1136,'Liste des Villes'!$B$2:$H$1128,4,FALSE))</f>
        <v>Laurentides</v>
      </c>
      <c r="T1136" s="2" t="s">
        <v>3187</v>
      </c>
      <c r="U1136" s="2" t="s">
        <v>39</v>
      </c>
      <c r="V1136" s="2" t="s">
        <v>40</v>
      </c>
      <c r="W1136" s="2" t="s">
        <v>6004</v>
      </c>
      <c r="X1136" s="2"/>
      <c r="Y1136" s="2"/>
      <c r="Z1136" s="2"/>
      <c r="AA1136" s="2" t="s">
        <v>3189</v>
      </c>
      <c r="AB1136" s="2" t="s">
        <v>53</v>
      </c>
      <c r="AC1136" s="4" t="s">
        <v>44</v>
      </c>
    </row>
    <row r="1137" spans="1:29" x14ac:dyDescent="0.25">
      <c r="A1137" s="1">
        <v>3039</v>
      </c>
      <c r="B1137" s="17" t="s">
        <v>6005</v>
      </c>
      <c r="C1137" s="2" t="s">
        <v>6006</v>
      </c>
      <c r="D1137" s="15" t="s">
        <v>6007</v>
      </c>
      <c r="E1137" s="9" t="s">
        <v>4371</v>
      </c>
      <c r="F1137" s="9" t="s">
        <v>6008</v>
      </c>
      <c r="G1137" s="9" t="s">
        <v>195</v>
      </c>
      <c r="H1137" s="2" t="s">
        <v>60</v>
      </c>
      <c r="I1137" s="3">
        <v>34998</v>
      </c>
      <c r="J1137" s="9" t="str">
        <f t="shared" ca="1" si="19"/>
        <v>27 ans</v>
      </c>
      <c r="K1137" s="2" t="s">
        <v>36</v>
      </c>
      <c r="L1137" s="2" t="str">
        <f>"91"</f>
        <v>91</v>
      </c>
      <c r="M1137" s="2"/>
      <c r="N1137" s="2" t="str">
        <f>"CH DU LAC-CONNELLY"</f>
        <v>CH DU LAC-CONNELLY</v>
      </c>
      <c r="O1137" s="2" t="s">
        <v>3185</v>
      </c>
      <c r="P1137" s="9" t="str">
        <f>VLOOKUP($O1137,'Liste des Villes'!$B$2:$B$1128,1,FALSE)</f>
        <v>Saint-Jérôme</v>
      </c>
      <c r="Q1137" s="9" t="str">
        <f>IFERROR($P1137,PROPER(VLOOKUP($O1137,'Villes en erreur'!$A$2:$B$72,2,FALSE)))</f>
        <v>Saint-Jérôme</v>
      </c>
      <c r="R1137" s="9" t="s">
        <v>3186</v>
      </c>
      <c r="S1137" s="9" t="str">
        <f>IF(ISBLANK($R1137),"",VLOOKUP($R1137,'Liste des Villes'!$B$2:$H$1128,4,FALSE))</f>
        <v>Laurentides</v>
      </c>
      <c r="T1137" s="2" t="s">
        <v>3187</v>
      </c>
      <c r="U1137" s="2" t="s">
        <v>39</v>
      </c>
      <c r="V1137" s="2" t="s">
        <v>40</v>
      </c>
      <c r="W1137" s="2" t="s">
        <v>6009</v>
      </c>
      <c r="X1137" s="2"/>
      <c r="Y1137" s="2"/>
      <c r="Z1137" s="2"/>
      <c r="AA1137" s="2" t="s">
        <v>3189</v>
      </c>
      <c r="AB1137" s="2" t="s">
        <v>53</v>
      </c>
      <c r="AC1137" s="4" t="s">
        <v>44</v>
      </c>
    </row>
    <row r="1138" spans="1:29" x14ac:dyDescent="0.25">
      <c r="A1138" s="1">
        <v>3220</v>
      </c>
      <c r="B1138" s="17" t="s">
        <v>6010</v>
      </c>
      <c r="C1138" s="2" t="s">
        <v>3510</v>
      </c>
      <c r="D1138" s="15" t="s">
        <v>846</v>
      </c>
      <c r="E1138" s="9" t="s">
        <v>3511</v>
      </c>
      <c r="F1138" s="9" t="s">
        <v>845</v>
      </c>
      <c r="G1138" s="9" t="s">
        <v>495</v>
      </c>
      <c r="H1138" s="2" t="s">
        <v>35</v>
      </c>
      <c r="I1138" s="3">
        <v>34529</v>
      </c>
      <c r="J1138" s="9" t="str">
        <f t="shared" ca="1" si="19"/>
        <v>29 ans</v>
      </c>
      <c r="K1138" s="2" t="s">
        <v>36</v>
      </c>
      <c r="L1138" s="2" t="str">
        <f>"64"</f>
        <v>64</v>
      </c>
      <c r="M1138" s="2"/>
      <c r="N1138" s="2" t="str">
        <f>"CH DE LA BAIE"</f>
        <v>CH DE LA BAIE</v>
      </c>
      <c r="O1138" s="2" t="s">
        <v>3185</v>
      </c>
      <c r="P1138" s="9" t="str">
        <f>VLOOKUP($O1138,'Liste des Villes'!$B$2:$B$1128,1,FALSE)</f>
        <v>Saint-Jérôme</v>
      </c>
      <c r="Q1138" s="9" t="str">
        <f>IFERROR($P1138,PROPER(VLOOKUP($O1138,'Villes en erreur'!$A$2:$B$72,2,FALSE)))</f>
        <v>Saint-Jérôme</v>
      </c>
      <c r="R1138" s="9" t="s">
        <v>3186</v>
      </c>
      <c r="S1138" s="9" t="str">
        <f>IF(ISBLANK($R1138),"",VLOOKUP($R1138,'Liste des Villes'!$B$2:$H$1128,4,FALSE))</f>
        <v>Laurentides</v>
      </c>
      <c r="T1138" s="2" t="s">
        <v>3954</v>
      </c>
      <c r="U1138" s="2" t="s">
        <v>39</v>
      </c>
      <c r="V1138" s="2" t="s">
        <v>40</v>
      </c>
      <c r="W1138" s="2" t="s">
        <v>6011</v>
      </c>
      <c r="X1138" s="2"/>
      <c r="Y1138" s="2"/>
      <c r="Z1138" s="2"/>
      <c r="AA1138" s="2" t="s">
        <v>3225</v>
      </c>
      <c r="AB1138" s="2" t="s">
        <v>53</v>
      </c>
      <c r="AC1138" s="4" t="s">
        <v>44</v>
      </c>
    </row>
    <row r="1139" spans="1:29" x14ac:dyDescent="0.25">
      <c r="A1139" s="1">
        <v>3988</v>
      </c>
      <c r="B1139" s="17" t="s">
        <v>6012</v>
      </c>
      <c r="C1139" s="2" t="s">
        <v>6013</v>
      </c>
      <c r="D1139" s="15" t="s">
        <v>6014</v>
      </c>
      <c r="E1139" s="9" t="s">
        <v>2920</v>
      </c>
      <c r="F1139" s="9" t="s">
        <v>6015</v>
      </c>
      <c r="G1139" s="9" t="s">
        <v>114</v>
      </c>
      <c r="H1139" s="2" t="s">
        <v>60</v>
      </c>
      <c r="I1139" s="3">
        <v>36249</v>
      </c>
      <c r="J1139" s="9" t="str">
        <f t="shared" ca="1" si="19"/>
        <v>24 ans</v>
      </c>
      <c r="K1139" s="2" t="s">
        <v>123</v>
      </c>
      <c r="L1139" s="2" t="str">
        <f>"266"</f>
        <v>266</v>
      </c>
      <c r="M1139" s="2"/>
      <c r="N1139" s="2" t="str">
        <f>"RUE BÉLIVEAU"</f>
        <v>RUE BÉLIVEAU</v>
      </c>
      <c r="O1139" s="2" t="s">
        <v>3185</v>
      </c>
      <c r="P1139" s="9" t="str">
        <f>VLOOKUP($O1139,'Liste des Villes'!$B$2:$B$1128,1,FALSE)</f>
        <v>Saint-Jérôme</v>
      </c>
      <c r="Q1139" s="9" t="str">
        <f>IFERROR($P1139,PROPER(VLOOKUP($O1139,'Villes en erreur'!$A$2:$B$72,2,FALSE)))</f>
        <v>Saint-Jérôme</v>
      </c>
      <c r="R1139" s="9" t="s">
        <v>3186</v>
      </c>
      <c r="S1139" s="9" t="str">
        <f>IF(ISBLANK($R1139),"",VLOOKUP($R1139,'Liste des Villes'!$B$2:$H$1128,4,FALSE))</f>
        <v>Laurentides</v>
      </c>
      <c r="T1139" s="2" t="s">
        <v>6016</v>
      </c>
      <c r="U1139" s="2" t="s">
        <v>39</v>
      </c>
      <c r="V1139" s="2" t="s">
        <v>40</v>
      </c>
      <c r="W1139" s="2" t="s">
        <v>6017</v>
      </c>
      <c r="X1139" s="2"/>
      <c r="Y1139" s="2"/>
      <c r="Z1139" s="2"/>
      <c r="AA1139" s="2" t="s">
        <v>832</v>
      </c>
      <c r="AB1139" s="2" t="s">
        <v>73</v>
      </c>
      <c r="AC1139" s="4" t="s">
        <v>44</v>
      </c>
    </row>
    <row r="1140" spans="1:29" x14ac:dyDescent="0.25">
      <c r="A1140" s="1">
        <v>2141</v>
      </c>
      <c r="B1140" s="17" t="s">
        <v>6018</v>
      </c>
      <c r="C1140" s="2" t="s">
        <v>2209</v>
      </c>
      <c r="D1140" s="15" t="s">
        <v>782</v>
      </c>
      <c r="E1140" s="9" t="s">
        <v>2210</v>
      </c>
      <c r="F1140" s="9" t="s">
        <v>780</v>
      </c>
      <c r="G1140" s="9" t="s">
        <v>664</v>
      </c>
      <c r="H1140" s="2" t="s">
        <v>60</v>
      </c>
      <c r="I1140" s="3">
        <v>36004</v>
      </c>
      <c r="J1140" s="9" t="str">
        <f t="shared" ca="1" si="19"/>
        <v>25 ans</v>
      </c>
      <c r="K1140" s="2" t="s">
        <v>123</v>
      </c>
      <c r="L1140" s="2" t="str">
        <f>"177"</f>
        <v>177</v>
      </c>
      <c r="M1140" s="2"/>
      <c r="N1140" s="2" t="str">
        <f>"PLACE DES LILAS"</f>
        <v>PLACE DES LILAS</v>
      </c>
      <c r="O1140" s="2" t="s">
        <v>3185</v>
      </c>
      <c r="P1140" s="9" t="str">
        <f>VLOOKUP($O1140,'Liste des Villes'!$B$2:$B$1128,1,FALSE)</f>
        <v>Saint-Jérôme</v>
      </c>
      <c r="Q1140" s="9" t="str">
        <f>IFERROR($P1140,PROPER(VLOOKUP($O1140,'Villes en erreur'!$A$2:$B$72,2,FALSE)))</f>
        <v>Saint-Jérôme</v>
      </c>
      <c r="R1140" s="9" t="s">
        <v>3186</v>
      </c>
      <c r="S1140" s="9" t="str">
        <f>IF(ISBLANK($R1140),"",VLOOKUP($R1140,'Liste des Villes'!$B$2:$H$1128,4,FALSE))</f>
        <v>Laurentides</v>
      </c>
      <c r="T1140" s="2" t="s">
        <v>4143</v>
      </c>
      <c r="U1140" s="2" t="s">
        <v>39</v>
      </c>
      <c r="V1140" s="2" t="s">
        <v>40</v>
      </c>
      <c r="W1140" s="2" t="s">
        <v>6019</v>
      </c>
      <c r="X1140" s="2"/>
      <c r="Y1140" s="2"/>
      <c r="Z1140" s="2"/>
      <c r="AA1140" s="2" t="s">
        <v>832</v>
      </c>
      <c r="AB1140" s="2" t="s">
        <v>3221</v>
      </c>
      <c r="AC1140" s="4" t="s">
        <v>44</v>
      </c>
    </row>
    <row r="1141" spans="1:29" x14ac:dyDescent="0.25">
      <c r="A1141" s="1">
        <v>1684</v>
      </c>
      <c r="B1141" s="17" t="s">
        <v>6020</v>
      </c>
      <c r="C1141" s="2" t="s">
        <v>6021</v>
      </c>
      <c r="D1141" s="15" t="s">
        <v>6022</v>
      </c>
      <c r="E1141" s="9" t="s">
        <v>85</v>
      </c>
      <c r="F1141" s="9" t="s">
        <v>6023</v>
      </c>
      <c r="G1141" s="9" t="s">
        <v>5060</v>
      </c>
      <c r="H1141" s="2" t="s">
        <v>60</v>
      </c>
      <c r="I1141" s="3">
        <v>35797</v>
      </c>
      <c r="J1141" s="9" t="str">
        <f t="shared" ca="1" si="19"/>
        <v>25 ans</v>
      </c>
      <c r="K1141" s="2" t="s">
        <v>123</v>
      </c>
      <c r="L1141" s="2" t="str">
        <f>"144"</f>
        <v>144</v>
      </c>
      <c r="M1141" s="2"/>
      <c r="N1141" s="2" t="str">
        <f>"GWENDOLINE"</f>
        <v>GWENDOLINE</v>
      </c>
      <c r="O1141" s="2" t="s">
        <v>3185</v>
      </c>
      <c r="P1141" s="9" t="str">
        <f>VLOOKUP($O1141,'Liste des Villes'!$B$2:$B$1128,1,FALSE)</f>
        <v>Saint-Jérôme</v>
      </c>
      <c r="Q1141" s="9" t="str">
        <f>IFERROR($P1141,PROPER(VLOOKUP($O1141,'Villes en erreur'!$A$2:$B$72,2,FALSE)))</f>
        <v>Saint-Jérôme</v>
      </c>
      <c r="R1141" s="9" t="s">
        <v>3186</v>
      </c>
      <c r="S1141" s="9" t="str">
        <f>IF(ISBLANK($R1141),"",VLOOKUP($R1141,'Liste des Villes'!$B$2:$H$1128,4,FALSE))</f>
        <v>Laurentides</v>
      </c>
      <c r="T1141" s="2" t="s">
        <v>6024</v>
      </c>
      <c r="U1141" s="2" t="s">
        <v>39</v>
      </c>
      <c r="V1141" s="2" t="s">
        <v>40</v>
      </c>
      <c r="W1141" s="2" t="s">
        <v>6025</v>
      </c>
      <c r="X1141" s="2"/>
      <c r="Y1141" s="2"/>
      <c r="Z1141" s="2"/>
      <c r="AA1141" s="2" t="s">
        <v>3243</v>
      </c>
      <c r="AB1141" s="2" t="s">
        <v>3221</v>
      </c>
      <c r="AC1141" s="4" t="s">
        <v>44</v>
      </c>
    </row>
    <row r="1142" spans="1:29" x14ac:dyDescent="0.25">
      <c r="A1142" s="1">
        <v>3464</v>
      </c>
      <c r="B1142" s="17" t="s">
        <v>6026</v>
      </c>
      <c r="C1142" s="2" t="s">
        <v>6027</v>
      </c>
      <c r="D1142" s="15" t="s">
        <v>6028</v>
      </c>
      <c r="E1142" s="9" t="s">
        <v>996</v>
      </c>
      <c r="F1142" s="9" t="s">
        <v>1268</v>
      </c>
      <c r="G1142" s="9" t="s">
        <v>996</v>
      </c>
      <c r="H1142" s="2" t="s">
        <v>60</v>
      </c>
      <c r="I1142" s="3">
        <v>35035</v>
      </c>
      <c r="J1142" s="9" t="str">
        <f t="shared" ca="1" si="19"/>
        <v>27 ans</v>
      </c>
      <c r="K1142" s="2" t="s">
        <v>36</v>
      </c>
      <c r="L1142" s="2" t="str">
        <f>"97"</f>
        <v>97</v>
      </c>
      <c r="M1142" s="2"/>
      <c r="N1142" s="2" t="str">
        <f>"CH DU MUSÉE"</f>
        <v>CH DU MUSÉE</v>
      </c>
      <c r="O1142" s="2" t="s">
        <v>3185</v>
      </c>
      <c r="P1142" s="9" t="str">
        <f>VLOOKUP($O1142,'Liste des Villes'!$B$2:$B$1128,1,FALSE)</f>
        <v>Saint-Jérôme</v>
      </c>
      <c r="Q1142" s="9" t="str">
        <f>IFERROR($P1142,PROPER(VLOOKUP($O1142,'Villes en erreur'!$A$2:$B$72,2,FALSE)))</f>
        <v>Saint-Jérôme</v>
      </c>
      <c r="R1142" s="9" t="s">
        <v>3186</v>
      </c>
      <c r="S1142" s="9" t="str">
        <f>IF(ISBLANK($R1142),"",VLOOKUP($R1142,'Liste des Villes'!$B$2:$H$1128,4,FALSE))</f>
        <v>Laurentides</v>
      </c>
      <c r="T1142" s="2" t="s">
        <v>3187</v>
      </c>
      <c r="U1142" s="2" t="s">
        <v>39</v>
      </c>
      <c r="V1142" s="2" t="s">
        <v>40</v>
      </c>
      <c r="W1142" s="2" t="s">
        <v>6029</v>
      </c>
      <c r="X1142" s="2"/>
      <c r="Y1142" s="2"/>
      <c r="Z1142" s="2"/>
      <c r="AA1142" s="2" t="s">
        <v>3189</v>
      </c>
      <c r="AB1142" s="2" t="s">
        <v>53</v>
      </c>
      <c r="AC1142" s="4" t="s">
        <v>44</v>
      </c>
    </row>
    <row r="1143" spans="1:29" x14ac:dyDescent="0.25">
      <c r="A1143" s="1">
        <v>1776</v>
      </c>
      <c r="B1143" s="17" t="s">
        <v>6030</v>
      </c>
      <c r="C1143" s="2" t="s">
        <v>6031</v>
      </c>
      <c r="D1143" s="15" t="s">
        <v>6032</v>
      </c>
      <c r="E1143" s="9" t="s">
        <v>1024</v>
      </c>
      <c r="F1143" s="9" t="s">
        <v>1845</v>
      </c>
      <c r="G1143" s="9" t="s">
        <v>6033</v>
      </c>
      <c r="H1143" s="2" t="s">
        <v>35</v>
      </c>
      <c r="I1143" s="3">
        <v>34153</v>
      </c>
      <c r="J1143" s="9" t="str">
        <f t="shared" ca="1" si="19"/>
        <v>30 ans</v>
      </c>
      <c r="K1143" s="2" t="s">
        <v>36</v>
      </c>
      <c r="L1143" s="2" t="str">
        <f>"47"</f>
        <v>47</v>
      </c>
      <c r="M1143" s="2"/>
      <c r="N1143" s="2" t="str">
        <f>"BOULEVARD DE LA SALETTE"</f>
        <v>BOULEVARD DE LA SALETTE</v>
      </c>
      <c r="O1143" s="2" t="s">
        <v>3185</v>
      </c>
      <c r="P1143" s="9" t="str">
        <f>VLOOKUP($O1143,'Liste des Villes'!$B$2:$B$1128,1,FALSE)</f>
        <v>Saint-Jérôme</v>
      </c>
      <c r="Q1143" s="9" t="str">
        <f>IFERROR($P1143,PROPER(VLOOKUP($O1143,'Villes en erreur'!$A$2:$B$72,2,FALSE)))</f>
        <v>Saint-Jérôme</v>
      </c>
      <c r="R1143" s="9" t="s">
        <v>3186</v>
      </c>
      <c r="S1143" s="9" t="str">
        <f>IF(ISBLANK($R1143),"",VLOOKUP($R1143,'Liste des Villes'!$B$2:$H$1128,4,FALSE))</f>
        <v>Laurentides</v>
      </c>
      <c r="T1143" s="2" t="s">
        <v>3358</v>
      </c>
      <c r="U1143" s="2" t="s">
        <v>39</v>
      </c>
      <c r="V1143" s="2" t="s">
        <v>40</v>
      </c>
      <c r="W1143" s="2" t="s">
        <v>6034</v>
      </c>
      <c r="X1143" s="2"/>
      <c r="Y1143" s="2"/>
      <c r="Z1143" s="2"/>
      <c r="AA1143" s="2" t="s">
        <v>3360</v>
      </c>
      <c r="AB1143" s="2" t="s">
        <v>53</v>
      </c>
      <c r="AC1143" s="4" t="s">
        <v>44</v>
      </c>
    </row>
    <row r="1144" spans="1:29" x14ac:dyDescent="0.25">
      <c r="A1144" s="1">
        <v>692</v>
      </c>
      <c r="B1144" s="17" t="s">
        <v>6035</v>
      </c>
      <c r="C1144" s="2" t="s">
        <v>5952</v>
      </c>
      <c r="D1144" s="15" t="s">
        <v>5727</v>
      </c>
      <c r="E1144" s="9" t="s">
        <v>1024</v>
      </c>
      <c r="F1144" s="9" t="s">
        <v>5953</v>
      </c>
      <c r="G1144" s="9" t="s">
        <v>179</v>
      </c>
      <c r="H1144" s="2" t="s">
        <v>60</v>
      </c>
      <c r="I1144" s="3">
        <v>36106</v>
      </c>
      <c r="J1144" s="9" t="str">
        <f t="shared" ca="1" si="19"/>
        <v>24 ans</v>
      </c>
      <c r="K1144" s="2" t="s">
        <v>123</v>
      </c>
      <c r="L1144" s="2" t="str">
        <f>"210"</f>
        <v>210</v>
      </c>
      <c r="M1144" s="2"/>
      <c r="N1144" s="2" t="str">
        <f>"RTE 329"</f>
        <v>RTE 329</v>
      </c>
      <c r="O1144" s="2" t="s">
        <v>3185</v>
      </c>
      <c r="P1144" s="9" t="str">
        <f>VLOOKUP($O1144,'Liste des Villes'!$B$2:$B$1128,1,FALSE)</f>
        <v>Saint-Jérôme</v>
      </c>
      <c r="Q1144" s="9" t="str">
        <f>IFERROR($P1144,PROPER(VLOOKUP($O1144,'Villes en erreur'!$A$2:$B$72,2,FALSE)))</f>
        <v>Saint-Jérôme</v>
      </c>
      <c r="R1144" s="9" t="s">
        <v>3186</v>
      </c>
      <c r="S1144" s="9" t="str">
        <f>IF(ISBLANK($R1144),"",VLOOKUP($R1144,'Liste des Villes'!$B$2:$H$1128,4,FALSE))</f>
        <v>Laurentides</v>
      </c>
      <c r="T1144" s="2" t="s">
        <v>3317</v>
      </c>
      <c r="U1144" s="2" t="s">
        <v>39</v>
      </c>
      <c r="V1144" s="2" t="s">
        <v>40</v>
      </c>
      <c r="W1144" s="2" t="s">
        <v>6036</v>
      </c>
      <c r="X1144" s="2"/>
      <c r="Y1144" s="2"/>
      <c r="Z1144" s="2"/>
      <c r="AA1144" s="2" t="s">
        <v>832</v>
      </c>
      <c r="AB1144" s="2" t="s">
        <v>3221</v>
      </c>
      <c r="AC1144" s="4" t="s">
        <v>44</v>
      </c>
    </row>
    <row r="1145" spans="1:29" x14ac:dyDescent="0.25">
      <c r="A1145" s="1">
        <v>3323</v>
      </c>
      <c r="B1145" s="17" t="s">
        <v>6037</v>
      </c>
      <c r="C1145" s="2" t="s">
        <v>6038</v>
      </c>
      <c r="D1145" s="15" t="s">
        <v>6039</v>
      </c>
      <c r="E1145" s="9" t="s">
        <v>4243</v>
      </c>
      <c r="F1145" s="9" t="s">
        <v>6040</v>
      </c>
      <c r="G1145" s="9" t="s">
        <v>380</v>
      </c>
      <c r="H1145" s="2" t="s">
        <v>60</v>
      </c>
      <c r="I1145" s="3">
        <v>34464</v>
      </c>
      <c r="J1145" s="9" t="str">
        <f t="shared" ca="1" si="19"/>
        <v>29 ans</v>
      </c>
      <c r="K1145" s="2" t="s">
        <v>36</v>
      </c>
      <c r="L1145" s="2" t="str">
        <f>"59"</f>
        <v>59</v>
      </c>
      <c r="M1145" s="2"/>
      <c r="N1145" s="2" t="str">
        <f>"CÉLORON BLVD"</f>
        <v>CÉLORON BLVD</v>
      </c>
      <c r="O1145" s="2" t="s">
        <v>3185</v>
      </c>
      <c r="P1145" s="9" t="str">
        <f>VLOOKUP($O1145,'Liste des Villes'!$B$2:$B$1128,1,FALSE)</f>
        <v>Saint-Jérôme</v>
      </c>
      <c r="Q1145" s="9" t="str">
        <f>IFERROR($P1145,PROPER(VLOOKUP($O1145,'Villes en erreur'!$A$2:$B$72,2,FALSE)))</f>
        <v>Saint-Jérôme</v>
      </c>
      <c r="R1145" s="9" t="s">
        <v>3186</v>
      </c>
      <c r="S1145" s="9" t="str">
        <f>IF(ISBLANK($R1145),"",VLOOKUP($R1145,'Liste des Villes'!$B$2:$H$1128,4,FALSE))</f>
        <v>Laurentides</v>
      </c>
      <c r="T1145" s="2" t="s">
        <v>3507</v>
      </c>
      <c r="U1145" s="2" t="s">
        <v>39</v>
      </c>
      <c r="V1145" s="2" t="s">
        <v>40</v>
      </c>
      <c r="W1145" s="2" t="s">
        <v>6041</v>
      </c>
      <c r="X1145" s="2"/>
      <c r="Y1145" s="2"/>
      <c r="Z1145" s="2"/>
      <c r="AA1145" s="2" t="s">
        <v>3293</v>
      </c>
      <c r="AB1145" s="2" t="s">
        <v>53</v>
      </c>
      <c r="AC1145" s="4" t="s">
        <v>44</v>
      </c>
    </row>
    <row r="1146" spans="1:29" x14ac:dyDescent="0.25">
      <c r="A1146" s="1">
        <v>2677</v>
      </c>
      <c r="B1146" s="17" t="s">
        <v>6042</v>
      </c>
      <c r="C1146" s="2" t="s">
        <v>6043</v>
      </c>
      <c r="D1146" s="15" t="s">
        <v>1885</v>
      </c>
      <c r="E1146" s="9" t="s">
        <v>6044</v>
      </c>
      <c r="F1146" s="9" t="s">
        <v>1005</v>
      </c>
      <c r="G1146" s="9" t="s">
        <v>3668</v>
      </c>
      <c r="H1146" s="2" t="s">
        <v>60</v>
      </c>
      <c r="I1146" s="3">
        <v>36232</v>
      </c>
      <c r="J1146" s="9" t="str">
        <f t="shared" ca="1" si="19"/>
        <v>24 ans</v>
      </c>
      <c r="K1146" s="2" t="s">
        <v>123</v>
      </c>
      <c r="L1146" s="2" t="str">
        <f>"260"</f>
        <v>260</v>
      </c>
      <c r="M1146" s="2"/>
      <c r="N1146" s="2" t="str">
        <f>"RUE BÉDARD"</f>
        <v>RUE BÉDARD</v>
      </c>
      <c r="O1146" s="2" t="s">
        <v>3185</v>
      </c>
      <c r="P1146" s="9" t="str">
        <f>VLOOKUP($O1146,'Liste des Villes'!$B$2:$B$1128,1,FALSE)</f>
        <v>Saint-Jérôme</v>
      </c>
      <c r="Q1146" s="9" t="str">
        <f>IFERROR($P1146,PROPER(VLOOKUP($O1146,'Villes en erreur'!$A$2:$B$72,2,FALSE)))</f>
        <v>Saint-Jérôme</v>
      </c>
      <c r="R1146" s="9" t="s">
        <v>3186</v>
      </c>
      <c r="S1146" s="9" t="str">
        <f>IF(ISBLANK($R1146),"",VLOOKUP($R1146,'Liste des Villes'!$B$2:$H$1128,4,FALSE))</f>
        <v>Laurentides</v>
      </c>
      <c r="T1146" s="2" t="s">
        <v>5304</v>
      </c>
      <c r="U1146" s="2" t="s">
        <v>39</v>
      </c>
      <c r="V1146" s="2" t="s">
        <v>40</v>
      </c>
      <c r="W1146" s="2" t="s">
        <v>6045</v>
      </c>
      <c r="X1146" s="2"/>
      <c r="Y1146" s="2"/>
      <c r="Z1146" s="2"/>
      <c r="AA1146" s="2" t="s">
        <v>832</v>
      </c>
      <c r="AB1146" s="2" t="s">
        <v>73</v>
      </c>
      <c r="AC1146" s="4" t="s">
        <v>44</v>
      </c>
    </row>
    <row r="1147" spans="1:29" x14ac:dyDescent="0.25">
      <c r="A1147" s="1">
        <v>1367</v>
      </c>
      <c r="B1147" s="17" t="s">
        <v>6046</v>
      </c>
      <c r="C1147" s="2" t="s">
        <v>6047</v>
      </c>
      <c r="D1147" s="15" t="s">
        <v>5580</v>
      </c>
      <c r="E1147" s="9" t="s">
        <v>3274</v>
      </c>
      <c r="F1147" s="9" t="s">
        <v>697</v>
      </c>
      <c r="G1147" s="9" t="s">
        <v>5038</v>
      </c>
      <c r="H1147" s="2" t="s">
        <v>35</v>
      </c>
      <c r="I1147" s="3">
        <v>34168</v>
      </c>
      <c r="J1147" s="9" t="str">
        <f t="shared" ca="1" si="19"/>
        <v>30 ans</v>
      </c>
      <c r="K1147" s="2" t="s">
        <v>36</v>
      </c>
      <c r="L1147" s="2" t="str">
        <f>"48"</f>
        <v>48</v>
      </c>
      <c r="M1147" s="2"/>
      <c r="N1147" s="2" t="str">
        <f>"BOULEVARD DE LA SALETTE"</f>
        <v>BOULEVARD DE LA SALETTE</v>
      </c>
      <c r="O1147" s="2" t="s">
        <v>3185</v>
      </c>
      <c r="P1147" s="9" t="str">
        <f>VLOOKUP($O1147,'Liste des Villes'!$B$2:$B$1128,1,FALSE)</f>
        <v>Saint-Jérôme</v>
      </c>
      <c r="Q1147" s="9" t="str">
        <f>IFERROR($P1147,PROPER(VLOOKUP($O1147,'Villes en erreur'!$A$2:$B$72,2,FALSE)))</f>
        <v>Saint-Jérôme</v>
      </c>
      <c r="R1147" s="9" t="s">
        <v>3186</v>
      </c>
      <c r="S1147" s="9" t="str">
        <f>IF(ISBLANK($R1147),"",VLOOKUP($R1147,'Liste des Villes'!$B$2:$H$1128,4,FALSE))</f>
        <v>Laurentides</v>
      </c>
      <c r="T1147" s="2" t="s">
        <v>3358</v>
      </c>
      <c r="U1147" s="2" t="s">
        <v>39</v>
      </c>
      <c r="V1147" s="2" t="s">
        <v>40</v>
      </c>
      <c r="W1147" s="2" t="s">
        <v>6048</v>
      </c>
      <c r="X1147" s="2"/>
      <c r="Y1147" s="2"/>
      <c r="Z1147" s="2"/>
      <c r="AA1147" s="2" t="s">
        <v>3360</v>
      </c>
      <c r="AB1147" s="2" t="s">
        <v>53</v>
      </c>
      <c r="AC1147" s="4" t="s">
        <v>44</v>
      </c>
    </row>
    <row r="1148" spans="1:29" x14ac:dyDescent="0.25">
      <c r="A1148" s="1">
        <v>1582</v>
      </c>
      <c r="B1148" s="17" t="s">
        <v>6049</v>
      </c>
      <c r="C1148" s="2" t="s">
        <v>3088</v>
      </c>
      <c r="D1148" s="15" t="s">
        <v>3089</v>
      </c>
      <c r="E1148" s="9" t="s">
        <v>2381</v>
      </c>
      <c r="F1148" s="9" t="s">
        <v>3861</v>
      </c>
      <c r="G1148" s="9" t="s">
        <v>6050</v>
      </c>
      <c r="H1148" s="2" t="s">
        <v>35</v>
      </c>
      <c r="I1148" s="3">
        <v>36210</v>
      </c>
      <c r="J1148" s="9" t="str">
        <f t="shared" ca="1" si="19"/>
        <v>24 ans</v>
      </c>
      <c r="K1148" s="2" t="s">
        <v>123</v>
      </c>
      <c r="L1148" s="2" t="str">
        <f>"246"</f>
        <v>246</v>
      </c>
      <c r="M1148" s="2"/>
      <c r="N1148" s="2" t="str">
        <f>"RUE AYERS"</f>
        <v>RUE AYERS</v>
      </c>
      <c r="O1148" s="2" t="s">
        <v>3185</v>
      </c>
      <c r="P1148" s="9" t="str">
        <f>VLOOKUP($O1148,'Liste des Villes'!$B$2:$B$1128,1,FALSE)</f>
        <v>Saint-Jérôme</v>
      </c>
      <c r="Q1148" s="9" t="str">
        <f>IFERROR($P1148,PROPER(VLOOKUP($O1148,'Villes en erreur'!$A$2:$B$72,2,FALSE)))</f>
        <v>Saint-Jérôme</v>
      </c>
      <c r="R1148" s="9" t="s">
        <v>3186</v>
      </c>
      <c r="S1148" s="9" t="str">
        <f>IF(ISBLANK($R1148),"",VLOOKUP($R1148,'Liste des Villes'!$B$2:$H$1128,4,FALSE))</f>
        <v>Laurentides</v>
      </c>
      <c r="T1148" s="2" t="s">
        <v>6051</v>
      </c>
      <c r="U1148" s="2" t="s">
        <v>39</v>
      </c>
      <c r="V1148" s="2" t="s">
        <v>40</v>
      </c>
      <c r="W1148" s="2" t="s">
        <v>6052</v>
      </c>
      <c r="X1148" s="2"/>
      <c r="Y1148" s="2"/>
      <c r="Z1148" s="2"/>
      <c r="AA1148" s="2" t="s">
        <v>832</v>
      </c>
      <c r="AB1148" s="2" t="s">
        <v>3288</v>
      </c>
      <c r="AC1148" s="4" t="s">
        <v>44</v>
      </c>
    </row>
    <row r="1149" spans="1:29" x14ac:dyDescent="0.25">
      <c r="A1149" s="1">
        <v>2582</v>
      </c>
      <c r="B1149" s="17" t="s">
        <v>6053</v>
      </c>
      <c r="C1149" s="2" t="s">
        <v>844</v>
      </c>
      <c r="D1149" s="15" t="s">
        <v>845</v>
      </c>
      <c r="E1149" s="9" t="s">
        <v>509</v>
      </c>
      <c r="F1149" s="9" t="s">
        <v>846</v>
      </c>
      <c r="G1149" s="9" t="s">
        <v>2897</v>
      </c>
      <c r="H1149" s="2" t="s">
        <v>35</v>
      </c>
      <c r="I1149" s="3">
        <v>35073</v>
      </c>
      <c r="J1149" s="9" t="str">
        <f t="shared" ca="1" si="19"/>
        <v>27 ans</v>
      </c>
      <c r="K1149" s="2" t="s">
        <v>36</v>
      </c>
      <c r="L1149" s="2" t="str">
        <f>"100"</f>
        <v>100</v>
      </c>
      <c r="M1149" s="2"/>
      <c r="N1149" s="2" t="str">
        <f>"CH DU VIEUX-FOYER"</f>
        <v>CH DU VIEUX-FOYER</v>
      </c>
      <c r="O1149" s="2" t="s">
        <v>3185</v>
      </c>
      <c r="P1149" s="9" t="str">
        <f>VLOOKUP($O1149,'Liste des Villes'!$B$2:$B$1128,1,FALSE)</f>
        <v>Saint-Jérôme</v>
      </c>
      <c r="Q1149" s="9" t="str">
        <f>IFERROR($P1149,PROPER(VLOOKUP($O1149,'Villes en erreur'!$A$2:$B$72,2,FALSE)))</f>
        <v>Saint-Jérôme</v>
      </c>
      <c r="R1149" s="9" t="s">
        <v>3186</v>
      </c>
      <c r="S1149" s="9" t="str">
        <f>IF(ISBLANK($R1149),"",VLOOKUP($R1149,'Liste des Villes'!$B$2:$H$1128,4,FALSE))</f>
        <v>Laurentides</v>
      </c>
      <c r="T1149" s="2" t="s">
        <v>3187</v>
      </c>
      <c r="U1149" s="2" t="s">
        <v>39</v>
      </c>
      <c r="V1149" s="2" t="s">
        <v>40</v>
      </c>
      <c r="W1149" s="2" t="s">
        <v>6054</v>
      </c>
      <c r="X1149" s="2"/>
      <c r="Y1149" s="2"/>
      <c r="Z1149" s="2"/>
      <c r="AA1149" s="2" t="s">
        <v>3189</v>
      </c>
      <c r="AB1149" s="2" t="s">
        <v>3190</v>
      </c>
      <c r="AC1149" s="4" t="s">
        <v>44</v>
      </c>
    </row>
    <row r="1150" spans="1:29" x14ac:dyDescent="0.25">
      <c r="A1150" s="1">
        <v>1739</v>
      </c>
      <c r="B1150" s="17" t="s">
        <v>6055</v>
      </c>
      <c r="C1150" s="2" t="s">
        <v>6056</v>
      </c>
      <c r="D1150" s="15" t="s">
        <v>6057</v>
      </c>
      <c r="E1150" s="9" t="s">
        <v>6058</v>
      </c>
      <c r="F1150" s="9" t="s">
        <v>584</v>
      </c>
      <c r="G1150" s="9" t="s">
        <v>6059</v>
      </c>
      <c r="H1150" s="2" t="s">
        <v>60</v>
      </c>
      <c r="I1150" s="3">
        <v>33987</v>
      </c>
      <c r="J1150" s="9" t="str">
        <f t="shared" ca="1" si="19"/>
        <v>30 ans</v>
      </c>
      <c r="K1150" s="2" t="s">
        <v>36</v>
      </c>
      <c r="L1150" s="2" t="str">
        <f>"43"</f>
        <v>43</v>
      </c>
      <c r="M1150" s="2"/>
      <c r="N1150" s="2" t="str">
        <f>"BOUL DE VERSAILLES"</f>
        <v>BOUL DE VERSAILLES</v>
      </c>
      <c r="O1150" s="2" t="s">
        <v>3185</v>
      </c>
      <c r="P1150" s="9" t="str">
        <f>VLOOKUP($O1150,'Liste des Villes'!$B$2:$B$1128,1,FALSE)</f>
        <v>Saint-Jérôme</v>
      </c>
      <c r="Q1150" s="9" t="str">
        <f>IFERROR($P1150,PROPER(VLOOKUP($O1150,'Villes en erreur'!$A$2:$B$72,2,FALSE)))</f>
        <v>Saint-Jérôme</v>
      </c>
      <c r="R1150" s="9" t="s">
        <v>3186</v>
      </c>
      <c r="S1150" s="9" t="str">
        <f>IF(ISBLANK($R1150),"",VLOOKUP($R1150,'Liste des Villes'!$B$2:$H$1128,4,FALSE))</f>
        <v>Laurentides</v>
      </c>
      <c r="T1150" s="2" t="s">
        <v>3205</v>
      </c>
      <c r="U1150" s="2" t="s">
        <v>39</v>
      </c>
      <c r="V1150" s="2" t="s">
        <v>40</v>
      </c>
      <c r="W1150" s="2" t="s">
        <v>6060</v>
      </c>
      <c r="X1150" s="2"/>
      <c r="Y1150" s="2"/>
      <c r="Z1150" s="2"/>
      <c r="AA1150" s="2" t="s">
        <v>3207</v>
      </c>
      <c r="AB1150" s="2" t="s">
        <v>53</v>
      </c>
      <c r="AC1150" s="4" t="s">
        <v>44</v>
      </c>
    </row>
    <row r="1151" spans="1:29" x14ac:dyDescent="0.25">
      <c r="A1151" s="1">
        <v>2516</v>
      </c>
      <c r="B1151" s="17" t="s">
        <v>6061</v>
      </c>
      <c r="C1151" s="2" t="s">
        <v>6062</v>
      </c>
      <c r="D1151" s="15" t="s">
        <v>6063</v>
      </c>
      <c r="E1151" s="9" t="s">
        <v>610</v>
      </c>
      <c r="F1151" s="9" t="s">
        <v>6064</v>
      </c>
      <c r="G1151" s="9" t="s">
        <v>635</v>
      </c>
      <c r="H1151" s="2" t="s">
        <v>35</v>
      </c>
      <c r="I1151" s="3">
        <v>33848</v>
      </c>
      <c r="J1151" s="9" t="str">
        <f t="shared" ca="1" si="19"/>
        <v>30 ans</v>
      </c>
      <c r="K1151" s="2" t="s">
        <v>36</v>
      </c>
      <c r="L1151" s="2" t="str">
        <f>"39"</f>
        <v>39</v>
      </c>
      <c r="M1151" s="2"/>
      <c r="N1151" s="2" t="str">
        <f>"AVENUE DU PARC"</f>
        <v>AVENUE DU PARC</v>
      </c>
      <c r="O1151" s="2" t="s">
        <v>3185</v>
      </c>
      <c r="P1151" s="9" t="str">
        <f>VLOOKUP($O1151,'Liste des Villes'!$B$2:$B$1128,1,FALSE)</f>
        <v>Saint-Jérôme</v>
      </c>
      <c r="Q1151" s="9" t="str">
        <f>IFERROR($P1151,PROPER(VLOOKUP($O1151,'Villes en erreur'!$A$2:$B$72,2,FALSE)))</f>
        <v>Saint-Jérôme</v>
      </c>
      <c r="R1151" s="9" t="s">
        <v>3186</v>
      </c>
      <c r="S1151" s="9" t="str">
        <f>IF(ISBLANK($R1151),"",VLOOKUP($R1151,'Liste des Villes'!$B$2:$H$1128,4,FALSE))</f>
        <v>Laurentides</v>
      </c>
      <c r="T1151" s="2" t="s">
        <v>3093</v>
      </c>
      <c r="U1151" s="2" t="s">
        <v>39</v>
      </c>
      <c r="V1151" s="2" t="s">
        <v>40</v>
      </c>
      <c r="W1151" s="2" t="s">
        <v>6065</v>
      </c>
      <c r="X1151" s="2"/>
      <c r="Y1151" s="2"/>
      <c r="Z1151" s="2"/>
      <c r="AA1151" s="2" t="s">
        <v>3207</v>
      </c>
      <c r="AB1151" s="2" t="s">
        <v>53</v>
      </c>
      <c r="AC1151" s="4" t="s">
        <v>44</v>
      </c>
    </row>
    <row r="1152" spans="1:29" x14ac:dyDescent="0.25">
      <c r="A1152" s="1">
        <v>610</v>
      </c>
      <c r="B1152" s="17" t="s">
        <v>6066</v>
      </c>
      <c r="C1152" s="2" t="s">
        <v>5615</v>
      </c>
      <c r="D1152" s="15" t="s">
        <v>1324</v>
      </c>
      <c r="E1152" s="9" t="s">
        <v>1355</v>
      </c>
      <c r="F1152" s="9" t="s">
        <v>1322</v>
      </c>
      <c r="G1152" s="9" t="s">
        <v>1560</v>
      </c>
      <c r="H1152" s="2" t="s">
        <v>35</v>
      </c>
      <c r="I1152" s="3">
        <v>35633</v>
      </c>
      <c r="J1152" s="9" t="str">
        <f t="shared" ca="1" si="19"/>
        <v>26 ans</v>
      </c>
      <c r="K1152" s="2" t="s">
        <v>36</v>
      </c>
      <c r="L1152" s="2" t="str">
        <f>"130"</f>
        <v>130</v>
      </c>
      <c r="M1152" s="2"/>
      <c r="N1152" s="2" t="str">
        <f>"DE L'AMBRE"</f>
        <v>DE L'AMBRE</v>
      </c>
      <c r="O1152" s="2" t="s">
        <v>3185</v>
      </c>
      <c r="P1152" s="9" t="str">
        <f>VLOOKUP($O1152,'Liste des Villes'!$B$2:$B$1128,1,FALSE)</f>
        <v>Saint-Jérôme</v>
      </c>
      <c r="Q1152" s="9" t="str">
        <f>IFERROR($P1152,PROPER(VLOOKUP($O1152,'Villes en erreur'!$A$2:$B$72,2,FALSE)))</f>
        <v>Saint-Jérôme</v>
      </c>
      <c r="R1152" s="9" t="s">
        <v>3186</v>
      </c>
      <c r="S1152" s="9" t="str">
        <f>IF(ISBLANK($R1152),"",VLOOKUP($R1152,'Liste des Villes'!$B$2:$H$1128,4,FALSE))</f>
        <v>Laurentides</v>
      </c>
      <c r="T1152" s="2" t="s">
        <v>6067</v>
      </c>
      <c r="U1152" s="2" t="s">
        <v>39</v>
      </c>
      <c r="V1152" s="2" t="s">
        <v>40</v>
      </c>
      <c r="W1152" s="2" t="s">
        <v>6068</v>
      </c>
      <c r="X1152" s="2"/>
      <c r="Y1152" s="2"/>
      <c r="Z1152" s="2"/>
      <c r="AA1152" s="2" t="s">
        <v>3243</v>
      </c>
      <c r="AB1152" s="2" t="s">
        <v>3221</v>
      </c>
      <c r="AC1152" s="4" t="s">
        <v>44</v>
      </c>
    </row>
    <row r="1153" spans="1:29" x14ac:dyDescent="0.25">
      <c r="A1153" s="1">
        <v>970</v>
      </c>
      <c r="B1153" s="17" t="s">
        <v>6069</v>
      </c>
      <c r="C1153" s="2" t="s">
        <v>4230</v>
      </c>
      <c r="D1153" s="15" t="s">
        <v>957</v>
      </c>
      <c r="E1153" s="9" t="s">
        <v>4231</v>
      </c>
      <c r="F1153" s="9" t="s">
        <v>4410</v>
      </c>
      <c r="G1153" s="9" t="s">
        <v>179</v>
      </c>
      <c r="H1153" s="2" t="s">
        <v>60</v>
      </c>
      <c r="I1153" s="3">
        <v>36134</v>
      </c>
      <c r="J1153" s="9" t="str">
        <f t="shared" ca="1" si="19"/>
        <v>24 ans</v>
      </c>
      <c r="K1153" s="2" t="s">
        <v>123</v>
      </c>
      <c r="L1153" s="2" t="str">
        <f>"218"</f>
        <v>218</v>
      </c>
      <c r="M1153" s="2"/>
      <c r="N1153" s="2" t="str">
        <f>"RUE ALAIN-GRANDBOIS"</f>
        <v>RUE ALAIN-GRANDBOIS</v>
      </c>
      <c r="O1153" s="2" t="s">
        <v>3185</v>
      </c>
      <c r="P1153" s="9" t="str">
        <f>VLOOKUP($O1153,'Liste des Villes'!$B$2:$B$1128,1,FALSE)</f>
        <v>Saint-Jérôme</v>
      </c>
      <c r="Q1153" s="9" t="str">
        <f>IFERROR($P1153,PROPER(VLOOKUP($O1153,'Villes en erreur'!$A$2:$B$72,2,FALSE)))</f>
        <v>Saint-Jérôme</v>
      </c>
      <c r="R1153" s="9" t="s">
        <v>3186</v>
      </c>
      <c r="S1153" s="9" t="str">
        <f>IF(ISBLANK($R1153),"",VLOOKUP($R1153,'Liste des Villes'!$B$2:$H$1128,4,FALSE))</f>
        <v>Laurentides</v>
      </c>
      <c r="T1153" s="2" t="s">
        <v>4396</v>
      </c>
      <c r="U1153" s="2" t="s">
        <v>39</v>
      </c>
      <c r="V1153" s="2" t="s">
        <v>40</v>
      </c>
      <c r="W1153" s="2" t="s">
        <v>6070</v>
      </c>
      <c r="X1153" s="2"/>
      <c r="Y1153" s="2"/>
      <c r="Z1153" s="2"/>
      <c r="AA1153" s="2" t="s">
        <v>832</v>
      </c>
      <c r="AB1153" s="2" t="s">
        <v>3221</v>
      </c>
      <c r="AC1153" s="4" t="s">
        <v>44</v>
      </c>
    </row>
    <row r="1154" spans="1:29" x14ac:dyDescent="0.25">
      <c r="A1154" s="1">
        <v>1619</v>
      </c>
      <c r="B1154" s="17" t="s">
        <v>6071</v>
      </c>
      <c r="C1154" s="2" t="s">
        <v>6072</v>
      </c>
      <c r="D1154" s="15" t="s">
        <v>510</v>
      </c>
      <c r="E1154" s="9" t="s">
        <v>6073</v>
      </c>
      <c r="F1154" s="9" t="s">
        <v>1837</v>
      </c>
      <c r="G1154" s="9" t="s">
        <v>6074</v>
      </c>
      <c r="H1154" s="2" t="s">
        <v>60</v>
      </c>
      <c r="I1154" s="3">
        <v>34766</v>
      </c>
      <c r="J1154" s="9" t="str">
        <f t="shared" ref="J1154:J1217" ca="1" si="20">_xlfn.CONCAT(INT((TODAY()-$I1154)/365.25)," ans")</f>
        <v>28 ans</v>
      </c>
      <c r="K1154" s="2" t="s">
        <v>36</v>
      </c>
      <c r="L1154" s="2" t="str">
        <f>"75"</f>
        <v>75</v>
      </c>
      <c r="M1154" s="2"/>
      <c r="N1154" s="2" t="str">
        <f>"CH DES ANCOLIES"</f>
        <v>CH DES ANCOLIES</v>
      </c>
      <c r="O1154" s="2" t="s">
        <v>3185</v>
      </c>
      <c r="P1154" s="9" t="str">
        <f>VLOOKUP($O1154,'Liste des Villes'!$B$2:$B$1128,1,FALSE)</f>
        <v>Saint-Jérôme</v>
      </c>
      <c r="Q1154" s="9" t="str">
        <f>IFERROR($P1154,PROPER(VLOOKUP($O1154,'Villes en erreur'!$A$2:$B$72,2,FALSE)))</f>
        <v>Saint-Jérôme</v>
      </c>
      <c r="R1154" s="9" t="s">
        <v>3186</v>
      </c>
      <c r="S1154" s="9" t="str">
        <f>IF(ISBLANK($R1154),"",VLOOKUP($R1154,'Liste des Villes'!$B$2:$H$1128,4,FALSE))</f>
        <v>Laurentides</v>
      </c>
      <c r="T1154" s="2" t="s">
        <v>3187</v>
      </c>
      <c r="U1154" s="2" t="s">
        <v>39</v>
      </c>
      <c r="V1154" s="2" t="s">
        <v>40</v>
      </c>
      <c r="W1154" s="2" t="s">
        <v>6075</v>
      </c>
      <c r="X1154" s="2"/>
      <c r="Y1154" s="2"/>
      <c r="Z1154" s="2"/>
      <c r="AA1154" s="2" t="s">
        <v>3225</v>
      </c>
      <c r="AB1154" s="2" t="s">
        <v>53</v>
      </c>
      <c r="AC1154" s="4" t="s">
        <v>44</v>
      </c>
    </row>
    <row r="1155" spans="1:29" x14ac:dyDescent="0.25">
      <c r="A1155" s="1">
        <v>992</v>
      </c>
      <c r="B1155" s="17" t="s">
        <v>6076</v>
      </c>
      <c r="C1155" s="2" t="s">
        <v>3848</v>
      </c>
      <c r="D1155" s="15" t="s">
        <v>839</v>
      </c>
      <c r="E1155" s="9" t="s">
        <v>3849</v>
      </c>
      <c r="F1155" s="9" t="s">
        <v>1076</v>
      </c>
      <c r="G1155" s="9" t="s">
        <v>5379</v>
      </c>
      <c r="H1155" s="2" t="s">
        <v>60</v>
      </c>
      <c r="I1155" s="3">
        <v>35863</v>
      </c>
      <c r="J1155" s="9" t="str">
        <f t="shared" ca="1" si="20"/>
        <v>25 ans</v>
      </c>
      <c r="K1155" s="2" t="s">
        <v>123</v>
      </c>
      <c r="L1155" s="2" t="str">
        <f>"151"</f>
        <v>151</v>
      </c>
      <c r="M1155" s="2"/>
      <c r="N1155" s="2" t="str">
        <f>"MAISONNEUVE BLVD"</f>
        <v>MAISONNEUVE BLVD</v>
      </c>
      <c r="O1155" s="2" t="s">
        <v>3185</v>
      </c>
      <c r="P1155" s="9" t="str">
        <f>VLOOKUP($O1155,'Liste des Villes'!$B$2:$B$1128,1,FALSE)</f>
        <v>Saint-Jérôme</v>
      </c>
      <c r="Q1155" s="9" t="str">
        <f>IFERROR($P1155,PROPER(VLOOKUP($O1155,'Villes en erreur'!$A$2:$B$72,2,FALSE)))</f>
        <v>Saint-Jérôme</v>
      </c>
      <c r="R1155" s="9" t="s">
        <v>3186</v>
      </c>
      <c r="S1155" s="9" t="str">
        <f>IF(ISBLANK($R1155),"",VLOOKUP($R1155,'Liste des Villes'!$B$2:$H$1128,4,FALSE))</f>
        <v>Laurentides</v>
      </c>
      <c r="T1155" s="2" t="s">
        <v>6077</v>
      </c>
      <c r="U1155" s="2" t="s">
        <v>39</v>
      </c>
      <c r="V1155" s="2" t="s">
        <v>40</v>
      </c>
      <c r="W1155" s="2" t="s">
        <v>6078</v>
      </c>
      <c r="X1155" s="2"/>
      <c r="Y1155" s="2"/>
      <c r="Z1155" s="2"/>
      <c r="AA1155" s="2" t="s">
        <v>3243</v>
      </c>
      <c r="AB1155" s="2" t="s">
        <v>3221</v>
      </c>
      <c r="AC1155" s="4" t="s">
        <v>44</v>
      </c>
    </row>
    <row r="1156" spans="1:29" x14ac:dyDescent="0.25">
      <c r="A1156" s="1">
        <v>3085</v>
      </c>
      <c r="B1156" s="17" t="s">
        <v>6079</v>
      </c>
      <c r="C1156" s="2" t="s">
        <v>838</v>
      </c>
      <c r="D1156" s="15" t="s">
        <v>839</v>
      </c>
      <c r="E1156" s="9" t="s">
        <v>840</v>
      </c>
      <c r="F1156" s="9" t="s">
        <v>1076</v>
      </c>
      <c r="G1156" s="9" t="s">
        <v>2897</v>
      </c>
      <c r="H1156" s="2" t="s">
        <v>35</v>
      </c>
      <c r="I1156" s="3">
        <v>35074</v>
      </c>
      <c r="J1156" s="9" t="str">
        <f t="shared" ca="1" si="20"/>
        <v>27 ans</v>
      </c>
      <c r="K1156" s="2" t="s">
        <v>36</v>
      </c>
      <c r="L1156" s="2" t="str">
        <f>"100"</f>
        <v>100</v>
      </c>
      <c r="M1156" s="2"/>
      <c r="N1156" s="2" t="str">
        <f>"CH DU VIEUX-PUITS"</f>
        <v>CH DU VIEUX-PUITS</v>
      </c>
      <c r="O1156" s="2" t="s">
        <v>3185</v>
      </c>
      <c r="P1156" s="9" t="str">
        <f>VLOOKUP($O1156,'Liste des Villes'!$B$2:$B$1128,1,FALSE)</f>
        <v>Saint-Jérôme</v>
      </c>
      <c r="Q1156" s="9" t="str">
        <f>IFERROR($P1156,PROPER(VLOOKUP($O1156,'Villes en erreur'!$A$2:$B$72,2,FALSE)))</f>
        <v>Saint-Jérôme</v>
      </c>
      <c r="R1156" s="9" t="s">
        <v>3186</v>
      </c>
      <c r="S1156" s="9" t="str">
        <f>IF(ISBLANK($R1156),"",VLOOKUP($R1156,'Liste des Villes'!$B$2:$H$1128,4,FALSE))</f>
        <v>Laurentides</v>
      </c>
      <c r="T1156" s="2" t="s">
        <v>3187</v>
      </c>
      <c r="U1156" s="2" t="s">
        <v>39</v>
      </c>
      <c r="V1156" s="2" t="s">
        <v>40</v>
      </c>
      <c r="W1156" s="2" t="s">
        <v>6080</v>
      </c>
      <c r="X1156" s="2"/>
      <c r="Y1156" s="2"/>
      <c r="Z1156" s="2"/>
      <c r="AA1156" s="2" t="s">
        <v>3189</v>
      </c>
      <c r="AB1156" s="2" t="s">
        <v>3190</v>
      </c>
      <c r="AC1156" s="4" t="s">
        <v>44</v>
      </c>
    </row>
    <row r="1157" spans="1:29" x14ac:dyDescent="0.25">
      <c r="A1157" s="1">
        <v>1710</v>
      </c>
      <c r="B1157" s="17" t="s">
        <v>6081</v>
      </c>
      <c r="C1157" s="2" t="s">
        <v>6082</v>
      </c>
      <c r="D1157" s="15" t="s">
        <v>6083</v>
      </c>
      <c r="E1157" s="9" t="s">
        <v>6084</v>
      </c>
      <c r="F1157" s="9" t="s">
        <v>6085</v>
      </c>
      <c r="G1157" s="9" t="s">
        <v>664</v>
      </c>
      <c r="H1157" s="2" t="s">
        <v>60</v>
      </c>
      <c r="I1157" s="3">
        <v>36008</v>
      </c>
      <c r="J1157" s="9" t="str">
        <f t="shared" ca="1" si="20"/>
        <v>25 ans</v>
      </c>
      <c r="K1157" s="2" t="s">
        <v>123</v>
      </c>
      <c r="L1157" s="2" t="str">
        <f>"179"</f>
        <v>179</v>
      </c>
      <c r="M1157" s="2"/>
      <c r="N1157" s="2" t="str">
        <f>"PLACE DU CANTONNIER"</f>
        <v>PLACE DU CANTONNIER</v>
      </c>
      <c r="O1157" s="2" t="s">
        <v>3185</v>
      </c>
      <c r="P1157" s="9" t="str">
        <f>VLOOKUP($O1157,'Liste des Villes'!$B$2:$B$1128,1,FALSE)</f>
        <v>Saint-Jérôme</v>
      </c>
      <c r="Q1157" s="9" t="str">
        <f>IFERROR($P1157,PROPER(VLOOKUP($O1157,'Villes en erreur'!$A$2:$B$72,2,FALSE)))</f>
        <v>Saint-Jérôme</v>
      </c>
      <c r="R1157" s="9" t="s">
        <v>3186</v>
      </c>
      <c r="S1157" s="9" t="str">
        <f>IF(ISBLANK($R1157),"",VLOOKUP($R1157,'Liste des Villes'!$B$2:$H$1128,4,FALSE))</f>
        <v>Laurentides</v>
      </c>
      <c r="T1157" s="2" t="s">
        <v>6086</v>
      </c>
      <c r="U1157" s="2" t="s">
        <v>39</v>
      </c>
      <c r="V1157" s="2" t="s">
        <v>40</v>
      </c>
      <c r="W1157" s="2" t="s">
        <v>6087</v>
      </c>
      <c r="X1157" s="2"/>
      <c r="Y1157" s="2"/>
      <c r="Z1157" s="2"/>
      <c r="AA1157" s="2" t="s">
        <v>832</v>
      </c>
      <c r="AB1157" s="2" t="s">
        <v>3221</v>
      </c>
      <c r="AC1157" s="4" t="s">
        <v>44</v>
      </c>
    </row>
    <row r="1158" spans="1:29" x14ac:dyDescent="0.25">
      <c r="A1158" s="1">
        <v>3310</v>
      </c>
      <c r="B1158" s="17" t="s">
        <v>6088</v>
      </c>
      <c r="C1158" s="2" t="s">
        <v>6089</v>
      </c>
      <c r="D1158" s="15" t="s">
        <v>6090</v>
      </c>
      <c r="E1158" s="9" t="s">
        <v>3485</v>
      </c>
      <c r="F1158" s="9" t="s">
        <v>2106</v>
      </c>
      <c r="G1158" s="9" t="s">
        <v>179</v>
      </c>
      <c r="H1158" s="2" t="s">
        <v>60</v>
      </c>
      <c r="I1158" s="3">
        <v>36117</v>
      </c>
      <c r="J1158" s="9" t="str">
        <f t="shared" ca="1" si="20"/>
        <v>24 ans</v>
      </c>
      <c r="K1158" s="2" t="s">
        <v>123</v>
      </c>
      <c r="L1158" s="2" t="str">
        <f>"212"</f>
        <v>212</v>
      </c>
      <c r="M1158" s="2"/>
      <c r="N1158" s="2" t="str">
        <f>"RTE DU CANTON"</f>
        <v>RTE DU CANTON</v>
      </c>
      <c r="O1158" s="2" t="s">
        <v>3185</v>
      </c>
      <c r="P1158" s="9" t="str">
        <f>VLOOKUP($O1158,'Liste des Villes'!$B$2:$B$1128,1,FALSE)</f>
        <v>Saint-Jérôme</v>
      </c>
      <c r="Q1158" s="9" t="str">
        <f>IFERROR($P1158,PROPER(VLOOKUP($O1158,'Villes en erreur'!$A$2:$B$72,2,FALSE)))</f>
        <v>Saint-Jérôme</v>
      </c>
      <c r="R1158" s="9" t="s">
        <v>3186</v>
      </c>
      <c r="S1158" s="9" t="str">
        <f>IF(ISBLANK($R1158),"",VLOOKUP($R1158,'Liste des Villes'!$B$2:$H$1128,4,FALSE))</f>
        <v>Laurentides</v>
      </c>
      <c r="T1158" s="2" t="s">
        <v>6091</v>
      </c>
      <c r="U1158" s="2" t="s">
        <v>39</v>
      </c>
      <c r="V1158" s="2" t="s">
        <v>40</v>
      </c>
      <c r="W1158" s="2" t="s">
        <v>6092</v>
      </c>
      <c r="X1158" s="2"/>
      <c r="Y1158" s="2"/>
      <c r="Z1158" s="2"/>
      <c r="AA1158" s="2" t="s">
        <v>832</v>
      </c>
      <c r="AB1158" s="2" t="s">
        <v>3221</v>
      </c>
      <c r="AC1158" s="4" t="s">
        <v>44</v>
      </c>
    </row>
    <row r="1159" spans="1:29" x14ac:dyDescent="0.25">
      <c r="A1159" s="1">
        <v>148</v>
      </c>
      <c r="B1159" s="17" t="s">
        <v>6093</v>
      </c>
      <c r="C1159" s="2" t="s">
        <v>316</v>
      </c>
      <c r="D1159" s="15" t="s">
        <v>317</v>
      </c>
      <c r="E1159" s="9" t="s">
        <v>196</v>
      </c>
      <c r="F1159" s="9" t="s">
        <v>6094</v>
      </c>
      <c r="G1159" s="9" t="s">
        <v>1037</v>
      </c>
      <c r="H1159" s="2" t="s">
        <v>35</v>
      </c>
      <c r="I1159" s="3">
        <v>36082</v>
      </c>
      <c r="J1159" s="9" t="str">
        <f t="shared" ca="1" si="20"/>
        <v>24 ans</v>
      </c>
      <c r="K1159" s="2" t="s">
        <v>123</v>
      </c>
      <c r="L1159" s="2" t="str">
        <f>"202"</f>
        <v>202</v>
      </c>
      <c r="M1159" s="2"/>
      <c r="N1159" s="2" t="str">
        <f>"RANG SAINT-JOACHIM"</f>
        <v>RANG SAINT-JOACHIM</v>
      </c>
      <c r="O1159" s="2" t="s">
        <v>3185</v>
      </c>
      <c r="P1159" s="9" t="str">
        <f>VLOOKUP($O1159,'Liste des Villes'!$B$2:$B$1128,1,FALSE)</f>
        <v>Saint-Jérôme</v>
      </c>
      <c r="Q1159" s="9" t="str">
        <f>IFERROR($P1159,PROPER(VLOOKUP($O1159,'Villes en erreur'!$A$2:$B$72,2,FALSE)))</f>
        <v>Saint-Jérôme</v>
      </c>
      <c r="R1159" s="9" t="s">
        <v>3186</v>
      </c>
      <c r="S1159" s="9" t="str">
        <f>IF(ISBLANK($R1159),"",VLOOKUP($R1159,'Liste des Villes'!$B$2:$H$1128,4,FALSE))</f>
        <v>Laurentides</v>
      </c>
      <c r="T1159" s="2" t="s">
        <v>5405</v>
      </c>
      <c r="U1159" s="2" t="s">
        <v>39</v>
      </c>
      <c r="V1159" s="2" t="s">
        <v>40</v>
      </c>
      <c r="W1159" s="2" t="s">
        <v>6095</v>
      </c>
      <c r="X1159" s="2"/>
      <c r="Y1159" s="2"/>
      <c r="Z1159" s="2"/>
      <c r="AA1159" s="2" t="s">
        <v>832</v>
      </c>
      <c r="AB1159" s="2" t="s">
        <v>3221</v>
      </c>
      <c r="AC1159" s="4" t="s">
        <v>44</v>
      </c>
    </row>
    <row r="1160" spans="1:29" x14ac:dyDescent="0.25">
      <c r="A1160" s="1">
        <v>3968</v>
      </c>
      <c r="B1160" s="17" t="s">
        <v>6096</v>
      </c>
      <c r="C1160" s="2" t="s">
        <v>1029</v>
      </c>
      <c r="D1160" s="15" t="s">
        <v>1030</v>
      </c>
      <c r="E1160" s="9" t="s">
        <v>698</v>
      </c>
      <c r="F1160" s="9" t="s">
        <v>1031</v>
      </c>
      <c r="G1160" s="9" t="s">
        <v>4686</v>
      </c>
      <c r="H1160" s="2" t="s">
        <v>35</v>
      </c>
      <c r="I1160" s="3">
        <v>36084</v>
      </c>
      <c r="J1160" s="9" t="str">
        <f t="shared" ca="1" si="20"/>
        <v>24 ans</v>
      </c>
      <c r="K1160" s="2" t="s">
        <v>123</v>
      </c>
      <c r="L1160" s="2" t="str">
        <f>"204"</f>
        <v>204</v>
      </c>
      <c r="M1160" s="2"/>
      <c r="N1160" s="2" t="str">
        <f>"RÉAL-BENOIT"</f>
        <v>RÉAL-BENOIT</v>
      </c>
      <c r="O1160" s="2" t="s">
        <v>3185</v>
      </c>
      <c r="P1160" s="9" t="str">
        <f>VLOOKUP($O1160,'Liste des Villes'!$B$2:$B$1128,1,FALSE)</f>
        <v>Saint-Jérôme</v>
      </c>
      <c r="Q1160" s="9" t="str">
        <f>IFERROR($P1160,PROPER(VLOOKUP($O1160,'Villes en erreur'!$A$2:$B$72,2,FALSE)))</f>
        <v>Saint-Jérôme</v>
      </c>
      <c r="R1160" s="9" t="s">
        <v>3186</v>
      </c>
      <c r="S1160" s="9" t="str">
        <f>IF(ISBLANK($R1160),"",VLOOKUP($R1160,'Liste des Villes'!$B$2:$H$1128,4,FALSE))</f>
        <v>Laurentides</v>
      </c>
      <c r="T1160" s="2" t="s">
        <v>5906</v>
      </c>
      <c r="U1160" s="2" t="s">
        <v>39</v>
      </c>
      <c r="V1160" s="2" t="s">
        <v>40</v>
      </c>
      <c r="W1160" s="2" t="s">
        <v>6097</v>
      </c>
      <c r="X1160" s="2"/>
      <c r="Y1160" s="2"/>
      <c r="Z1160" s="2"/>
      <c r="AA1160" s="2" t="s">
        <v>832</v>
      </c>
      <c r="AB1160" s="2" t="s">
        <v>3221</v>
      </c>
      <c r="AC1160" s="4" t="s">
        <v>44</v>
      </c>
    </row>
    <row r="1161" spans="1:29" x14ac:dyDescent="0.25">
      <c r="A1161" s="1">
        <v>2366</v>
      </c>
      <c r="B1161" s="17" t="s">
        <v>6098</v>
      </c>
      <c r="C1161" s="2" t="s">
        <v>6099</v>
      </c>
      <c r="D1161" s="15" t="s">
        <v>6100</v>
      </c>
      <c r="E1161" s="9" t="s">
        <v>1633</v>
      </c>
      <c r="F1161" s="9" t="s">
        <v>6101</v>
      </c>
      <c r="G1161" s="9" t="s">
        <v>186</v>
      </c>
      <c r="H1161" s="2" t="s">
        <v>60</v>
      </c>
      <c r="I1161" s="3">
        <v>34873</v>
      </c>
      <c r="J1161" s="9" t="str">
        <f t="shared" ca="1" si="20"/>
        <v>28 ans</v>
      </c>
      <c r="K1161" s="2" t="s">
        <v>36</v>
      </c>
      <c r="L1161" s="2" t="str">
        <f>"82"</f>
        <v>82</v>
      </c>
      <c r="M1161" s="2"/>
      <c r="N1161" s="2" t="str">
        <f>"CH DES PIERRES"</f>
        <v>CH DES PIERRES</v>
      </c>
      <c r="O1161" s="2" t="s">
        <v>3185</v>
      </c>
      <c r="P1161" s="9" t="str">
        <f>VLOOKUP($O1161,'Liste des Villes'!$B$2:$B$1128,1,FALSE)</f>
        <v>Saint-Jérôme</v>
      </c>
      <c r="Q1161" s="9" t="str">
        <f>IFERROR($P1161,PROPER(VLOOKUP($O1161,'Villes en erreur'!$A$2:$B$72,2,FALSE)))</f>
        <v>Saint-Jérôme</v>
      </c>
      <c r="R1161" s="9" t="s">
        <v>3186</v>
      </c>
      <c r="S1161" s="9" t="str">
        <f>IF(ISBLANK($R1161),"",VLOOKUP($R1161,'Liste des Villes'!$B$2:$H$1128,4,FALSE))</f>
        <v>Laurentides</v>
      </c>
      <c r="T1161" s="2" t="s">
        <v>3187</v>
      </c>
      <c r="U1161" s="2" t="s">
        <v>39</v>
      </c>
      <c r="V1161" s="2" t="s">
        <v>40</v>
      </c>
      <c r="W1161" s="2" t="s">
        <v>6102</v>
      </c>
      <c r="X1161" s="2"/>
      <c r="Y1161" s="2"/>
      <c r="Z1161" s="2"/>
      <c r="AA1161" s="2" t="s">
        <v>3231</v>
      </c>
      <c r="AB1161" s="2" t="s">
        <v>53</v>
      </c>
      <c r="AC1161" s="4" t="s">
        <v>44</v>
      </c>
    </row>
    <row r="1162" spans="1:29" x14ac:dyDescent="0.25">
      <c r="A1162" s="1">
        <v>3641</v>
      </c>
      <c r="B1162" s="17" t="s">
        <v>6103</v>
      </c>
      <c r="C1162" s="2" t="s">
        <v>6104</v>
      </c>
      <c r="D1162" s="15" t="s">
        <v>6105</v>
      </c>
      <c r="E1162" s="9" t="s">
        <v>6106</v>
      </c>
      <c r="F1162" s="9" t="s">
        <v>2474</v>
      </c>
      <c r="G1162" s="9" t="s">
        <v>3529</v>
      </c>
      <c r="H1162" s="2" t="s">
        <v>35</v>
      </c>
      <c r="I1162" s="3">
        <v>35864</v>
      </c>
      <c r="J1162" s="9" t="str">
        <f t="shared" ca="1" si="20"/>
        <v>25 ans</v>
      </c>
      <c r="K1162" s="2" t="s">
        <v>123</v>
      </c>
      <c r="L1162" s="2" t="str">
        <f>"151"</f>
        <v>151</v>
      </c>
      <c r="M1162" s="2"/>
      <c r="N1162" s="2" t="str">
        <f>"MAISONNEUVE BLVD"</f>
        <v>MAISONNEUVE BLVD</v>
      </c>
      <c r="O1162" s="2" t="s">
        <v>3185</v>
      </c>
      <c r="P1162" s="9" t="str">
        <f>VLOOKUP($O1162,'Liste des Villes'!$B$2:$B$1128,1,FALSE)</f>
        <v>Saint-Jérôme</v>
      </c>
      <c r="Q1162" s="9" t="str">
        <f>IFERROR($P1162,PROPER(VLOOKUP($O1162,'Villes en erreur'!$A$2:$B$72,2,FALSE)))</f>
        <v>Saint-Jérôme</v>
      </c>
      <c r="R1162" s="9" t="s">
        <v>3186</v>
      </c>
      <c r="S1162" s="9" t="str">
        <f>IF(ISBLANK($R1162),"",VLOOKUP($R1162,'Liste des Villes'!$B$2:$H$1128,4,FALSE))</f>
        <v>Laurentides</v>
      </c>
      <c r="T1162" s="2" t="s">
        <v>6077</v>
      </c>
      <c r="U1162" s="2" t="s">
        <v>39</v>
      </c>
      <c r="V1162" s="2" t="s">
        <v>40</v>
      </c>
      <c r="W1162" s="2" t="s">
        <v>6107</v>
      </c>
      <c r="X1162" s="2"/>
      <c r="Y1162" s="2"/>
      <c r="Z1162" s="2"/>
      <c r="AA1162" s="2" t="s">
        <v>3243</v>
      </c>
      <c r="AB1162" s="2" t="s">
        <v>3221</v>
      </c>
      <c r="AC1162" s="4" t="s">
        <v>44</v>
      </c>
    </row>
    <row r="1163" spans="1:29" x14ac:dyDescent="0.25">
      <c r="A1163" s="1">
        <v>2948</v>
      </c>
      <c r="B1163" s="17" t="s">
        <v>6108</v>
      </c>
      <c r="C1163" s="2" t="s">
        <v>6109</v>
      </c>
      <c r="D1163" s="15" t="s">
        <v>6110</v>
      </c>
      <c r="E1163" s="9" t="s">
        <v>4088</v>
      </c>
      <c r="F1163" s="9" t="s">
        <v>6111</v>
      </c>
      <c r="G1163" s="9" t="s">
        <v>3587</v>
      </c>
      <c r="H1163" s="2" t="s">
        <v>60</v>
      </c>
      <c r="I1163" s="3">
        <v>36220</v>
      </c>
      <c r="J1163" s="9" t="str">
        <f t="shared" ca="1" si="20"/>
        <v>24 ans</v>
      </c>
      <c r="K1163" s="2" t="s">
        <v>123</v>
      </c>
      <c r="L1163" s="2" t="str">
        <f>"254"</f>
        <v>254</v>
      </c>
      <c r="M1163" s="2"/>
      <c r="N1163" s="2" t="str">
        <f>"RUE BEAUDOIN"</f>
        <v>RUE BEAUDOIN</v>
      </c>
      <c r="O1163" s="2" t="s">
        <v>3185</v>
      </c>
      <c r="P1163" s="9" t="str">
        <f>VLOOKUP($O1163,'Liste des Villes'!$B$2:$B$1128,1,FALSE)</f>
        <v>Saint-Jérôme</v>
      </c>
      <c r="Q1163" s="9" t="str">
        <f>IFERROR($P1163,PROPER(VLOOKUP($O1163,'Villes en erreur'!$A$2:$B$72,2,FALSE)))</f>
        <v>Saint-Jérôme</v>
      </c>
      <c r="R1163" s="9" t="s">
        <v>3186</v>
      </c>
      <c r="S1163" s="9" t="str">
        <f>IF(ISBLANK($R1163),"",VLOOKUP($R1163,'Liste des Villes'!$B$2:$H$1128,4,FALSE))</f>
        <v>Laurentides</v>
      </c>
      <c r="T1163" s="2" t="s">
        <v>6112</v>
      </c>
      <c r="U1163" s="2" t="s">
        <v>39</v>
      </c>
      <c r="V1163" s="2" t="s">
        <v>40</v>
      </c>
      <c r="W1163" s="2" t="s">
        <v>6113</v>
      </c>
      <c r="X1163" s="2"/>
      <c r="Y1163" s="2"/>
      <c r="Z1163" s="2"/>
      <c r="AA1163" s="2" t="s">
        <v>832</v>
      </c>
      <c r="AB1163" s="2" t="s">
        <v>3288</v>
      </c>
      <c r="AC1163" s="4" t="s">
        <v>44</v>
      </c>
    </row>
    <row r="1164" spans="1:29" x14ac:dyDescent="0.25">
      <c r="A1164" s="1">
        <v>2647</v>
      </c>
      <c r="B1164" s="17" t="s">
        <v>6114</v>
      </c>
      <c r="C1164" s="2" t="s">
        <v>6115</v>
      </c>
      <c r="D1164" s="15" t="s">
        <v>6116</v>
      </c>
      <c r="E1164" s="9" t="s">
        <v>1315</v>
      </c>
      <c r="F1164" s="9" t="s">
        <v>6117</v>
      </c>
      <c r="G1164" s="9" t="s">
        <v>3218</v>
      </c>
      <c r="H1164" s="2" t="s">
        <v>60</v>
      </c>
      <c r="I1164" s="3">
        <v>34333</v>
      </c>
      <c r="J1164" s="9" t="str">
        <f t="shared" ca="1" si="20"/>
        <v>29 ans</v>
      </c>
      <c r="K1164" s="2" t="s">
        <v>36</v>
      </c>
      <c r="L1164" s="2" t="str">
        <f>"52"</f>
        <v>52</v>
      </c>
      <c r="M1164" s="2"/>
      <c r="N1164" s="2" t="str">
        <f>"BOULEVARD MAISONNEUVE"</f>
        <v>BOULEVARD MAISONNEUVE</v>
      </c>
      <c r="O1164" s="2" t="s">
        <v>3185</v>
      </c>
      <c r="P1164" s="9" t="str">
        <f>VLOOKUP($O1164,'Liste des Villes'!$B$2:$B$1128,1,FALSE)</f>
        <v>Saint-Jérôme</v>
      </c>
      <c r="Q1164" s="9" t="str">
        <f>IFERROR($P1164,PROPER(VLOOKUP($O1164,'Villes en erreur'!$A$2:$B$72,2,FALSE)))</f>
        <v>Saint-Jérôme</v>
      </c>
      <c r="R1164" s="9" t="s">
        <v>3186</v>
      </c>
      <c r="S1164" s="9" t="str">
        <f>IF(ISBLANK($R1164),"",VLOOKUP($R1164,'Liste des Villes'!$B$2:$H$1128,4,FALSE))</f>
        <v>Laurentides</v>
      </c>
      <c r="T1164" s="2" t="s">
        <v>3520</v>
      </c>
      <c r="U1164" s="2" t="s">
        <v>39</v>
      </c>
      <c r="V1164" s="2" t="s">
        <v>40</v>
      </c>
      <c r="W1164" s="2" t="s">
        <v>6118</v>
      </c>
      <c r="X1164" s="2"/>
      <c r="Y1164" s="2"/>
      <c r="Z1164" s="2"/>
      <c r="AA1164" s="2" t="s">
        <v>3360</v>
      </c>
      <c r="AB1164" s="2" t="s">
        <v>53</v>
      </c>
      <c r="AC1164" s="4" t="s">
        <v>44</v>
      </c>
    </row>
    <row r="1165" spans="1:29" x14ac:dyDescent="0.25">
      <c r="A1165" s="1">
        <v>408</v>
      </c>
      <c r="B1165" s="17" t="s">
        <v>6119</v>
      </c>
      <c r="C1165" s="2" t="s">
        <v>2215</v>
      </c>
      <c r="D1165" s="15" t="s">
        <v>2216</v>
      </c>
      <c r="E1165" s="9" t="s">
        <v>2217</v>
      </c>
      <c r="F1165" s="9" t="s">
        <v>5170</v>
      </c>
      <c r="G1165" s="9" t="s">
        <v>179</v>
      </c>
      <c r="H1165" s="2" t="s">
        <v>60</v>
      </c>
      <c r="I1165" s="3">
        <v>36098</v>
      </c>
      <c r="J1165" s="9" t="str">
        <f t="shared" ca="1" si="20"/>
        <v>24 ans</v>
      </c>
      <c r="K1165" s="2" t="s">
        <v>123</v>
      </c>
      <c r="L1165" s="2" t="str">
        <f>"207"</f>
        <v>207</v>
      </c>
      <c r="M1165" s="2"/>
      <c r="N1165" s="2" t="str">
        <f>"ROUTE PRINCIPALE"</f>
        <v>ROUTE PRINCIPALE</v>
      </c>
      <c r="O1165" s="2" t="s">
        <v>3185</v>
      </c>
      <c r="P1165" s="9" t="str">
        <f>VLOOKUP($O1165,'Liste des Villes'!$B$2:$B$1128,1,FALSE)</f>
        <v>Saint-Jérôme</v>
      </c>
      <c r="Q1165" s="9" t="str">
        <f>IFERROR($P1165,PROPER(VLOOKUP($O1165,'Villes en erreur'!$A$2:$B$72,2,FALSE)))</f>
        <v>Saint-Jérôme</v>
      </c>
      <c r="R1165" s="9" t="s">
        <v>3186</v>
      </c>
      <c r="S1165" s="9" t="str">
        <f>IF(ISBLANK($R1165),"",VLOOKUP($R1165,'Liste des Villes'!$B$2:$H$1128,4,FALSE))</f>
        <v>Laurentides</v>
      </c>
      <c r="T1165" s="2" t="s">
        <v>6120</v>
      </c>
      <c r="U1165" s="2" t="s">
        <v>39</v>
      </c>
      <c r="V1165" s="2" t="s">
        <v>40</v>
      </c>
      <c r="W1165" s="2" t="s">
        <v>6121</v>
      </c>
      <c r="X1165" s="2"/>
      <c r="Y1165" s="2"/>
      <c r="Z1165" s="2"/>
      <c r="AA1165" s="2" t="s">
        <v>832</v>
      </c>
      <c r="AB1165" s="2" t="s">
        <v>3221</v>
      </c>
      <c r="AC1165" s="4" t="s">
        <v>44</v>
      </c>
    </row>
    <row r="1166" spans="1:29" x14ac:dyDescent="0.25">
      <c r="A1166" s="1">
        <v>888</v>
      </c>
      <c r="B1166" s="17" t="s">
        <v>6122</v>
      </c>
      <c r="C1166" s="2" t="s">
        <v>6123</v>
      </c>
      <c r="D1166" s="15" t="s">
        <v>6124</v>
      </c>
      <c r="E1166" s="9" t="s">
        <v>616</v>
      </c>
      <c r="F1166" s="9" t="s">
        <v>617</v>
      </c>
      <c r="G1166" s="9" t="s">
        <v>539</v>
      </c>
      <c r="H1166" s="2" t="s">
        <v>60</v>
      </c>
      <c r="I1166" s="3">
        <v>34375</v>
      </c>
      <c r="J1166" s="9" t="str">
        <f t="shared" ca="1" si="20"/>
        <v>29 ans</v>
      </c>
      <c r="K1166" s="2" t="s">
        <v>36</v>
      </c>
      <c r="L1166" s="2" t="str">
        <f>"54"</f>
        <v>54</v>
      </c>
      <c r="M1166" s="2"/>
      <c r="N1166" s="2" t="str">
        <f>"BOULEVARD SAINTE SOPHIE"</f>
        <v>BOULEVARD SAINTE SOPHIE</v>
      </c>
      <c r="O1166" s="2" t="s">
        <v>3185</v>
      </c>
      <c r="P1166" s="9" t="str">
        <f>VLOOKUP($O1166,'Liste des Villes'!$B$2:$B$1128,1,FALSE)</f>
        <v>Saint-Jérôme</v>
      </c>
      <c r="Q1166" s="9" t="str">
        <f>IFERROR($P1166,PROPER(VLOOKUP($O1166,'Villes en erreur'!$A$2:$B$72,2,FALSE)))</f>
        <v>Saint-Jérôme</v>
      </c>
      <c r="R1166" s="9" t="s">
        <v>3186</v>
      </c>
      <c r="S1166" s="9" t="str">
        <f>IF(ISBLANK($R1166),"",VLOOKUP($R1166,'Liste des Villes'!$B$2:$H$1128,4,FALSE))</f>
        <v>Laurentides</v>
      </c>
      <c r="T1166" s="2" t="s">
        <v>3291</v>
      </c>
      <c r="U1166" s="2" t="s">
        <v>39</v>
      </c>
      <c r="V1166" s="2" t="s">
        <v>40</v>
      </c>
      <c r="W1166" s="2" t="s">
        <v>6125</v>
      </c>
      <c r="X1166" s="2"/>
      <c r="Y1166" s="2"/>
      <c r="Z1166" s="2"/>
      <c r="AA1166" s="2" t="s">
        <v>3293</v>
      </c>
      <c r="AB1166" s="2" t="s">
        <v>53</v>
      </c>
      <c r="AC1166" s="4" t="s">
        <v>44</v>
      </c>
    </row>
    <row r="1167" spans="1:29" x14ac:dyDescent="0.25">
      <c r="A1167" s="1">
        <v>2786</v>
      </c>
      <c r="B1167" s="17" t="s">
        <v>6126</v>
      </c>
      <c r="C1167" s="2" t="s">
        <v>6127</v>
      </c>
      <c r="D1167" s="15" t="s">
        <v>6128</v>
      </c>
      <c r="E1167" s="9" t="s">
        <v>332</v>
      </c>
      <c r="F1167" s="9" t="s">
        <v>6129</v>
      </c>
      <c r="G1167" s="9" t="s">
        <v>1965</v>
      </c>
      <c r="H1167" s="2" t="s">
        <v>35</v>
      </c>
      <c r="I1167" s="3">
        <v>35856</v>
      </c>
      <c r="J1167" s="9" t="str">
        <f t="shared" ca="1" si="20"/>
        <v>25 ans</v>
      </c>
      <c r="K1167" s="2" t="s">
        <v>123</v>
      </c>
      <c r="L1167" s="2" t="str">
        <f>"150"</f>
        <v>150</v>
      </c>
      <c r="M1167" s="2"/>
      <c r="N1167" s="2" t="str">
        <f>"LOUIS-LEPIC"</f>
        <v>LOUIS-LEPIC</v>
      </c>
      <c r="O1167" s="2" t="s">
        <v>3185</v>
      </c>
      <c r="P1167" s="9" t="str">
        <f>VLOOKUP($O1167,'Liste des Villes'!$B$2:$B$1128,1,FALSE)</f>
        <v>Saint-Jérôme</v>
      </c>
      <c r="Q1167" s="9" t="str">
        <f>IFERROR($P1167,PROPER(VLOOKUP($O1167,'Villes en erreur'!$A$2:$B$72,2,FALSE)))</f>
        <v>Saint-Jérôme</v>
      </c>
      <c r="R1167" s="9" t="s">
        <v>3186</v>
      </c>
      <c r="S1167" s="9" t="str">
        <f>IF(ISBLANK($R1167),"",VLOOKUP($R1167,'Liste des Villes'!$B$2:$H$1128,4,FALSE))</f>
        <v>Laurentides</v>
      </c>
      <c r="T1167" s="2" t="s">
        <v>6130</v>
      </c>
      <c r="U1167" s="2" t="s">
        <v>39</v>
      </c>
      <c r="V1167" s="2" t="s">
        <v>40</v>
      </c>
      <c r="W1167" s="2" t="s">
        <v>6131</v>
      </c>
      <c r="X1167" s="2"/>
      <c r="Y1167" s="2"/>
      <c r="Z1167" s="2"/>
      <c r="AA1167" s="2" t="s">
        <v>3243</v>
      </c>
      <c r="AB1167" s="2" t="s">
        <v>3221</v>
      </c>
      <c r="AC1167" s="4" t="s">
        <v>44</v>
      </c>
    </row>
    <row r="1168" spans="1:29" x14ac:dyDescent="0.25">
      <c r="A1168" s="1">
        <v>1942</v>
      </c>
      <c r="B1168" s="17" t="s">
        <v>6132</v>
      </c>
      <c r="C1168" s="2" t="s">
        <v>5615</v>
      </c>
      <c r="D1168" s="15" t="s">
        <v>1324</v>
      </c>
      <c r="E1168" s="9" t="s">
        <v>1355</v>
      </c>
      <c r="F1168" s="9" t="s">
        <v>6133</v>
      </c>
      <c r="G1168" s="9" t="s">
        <v>3668</v>
      </c>
      <c r="H1168" s="2" t="s">
        <v>60</v>
      </c>
      <c r="I1168" s="3">
        <v>36224</v>
      </c>
      <c r="J1168" s="9" t="str">
        <f t="shared" ca="1" si="20"/>
        <v>24 ans</v>
      </c>
      <c r="K1168" s="2" t="s">
        <v>123</v>
      </c>
      <c r="L1168" s="2" t="str">
        <f>"256"</f>
        <v>256</v>
      </c>
      <c r="M1168" s="2"/>
      <c r="N1168" s="2" t="str">
        <f>"RUE BEAUSÉJOUR"</f>
        <v>RUE BEAUSÉJOUR</v>
      </c>
      <c r="O1168" s="2" t="s">
        <v>3185</v>
      </c>
      <c r="P1168" s="9" t="str">
        <f>VLOOKUP($O1168,'Liste des Villes'!$B$2:$B$1128,1,FALSE)</f>
        <v>Saint-Jérôme</v>
      </c>
      <c r="Q1168" s="9" t="str">
        <f>IFERROR($P1168,PROPER(VLOOKUP($O1168,'Villes en erreur'!$A$2:$B$72,2,FALSE)))</f>
        <v>Saint-Jérôme</v>
      </c>
      <c r="R1168" s="9" t="s">
        <v>3186</v>
      </c>
      <c r="S1168" s="9" t="str">
        <f>IF(ISBLANK($R1168),"",VLOOKUP($R1168,'Liste des Villes'!$B$2:$H$1128,4,FALSE))</f>
        <v>Laurentides</v>
      </c>
      <c r="T1168" s="2" t="s">
        <v>5728</v>
      </c>
      <c r="U1168" s="2" t="s">
        <v>39</v>
      </c>
      <c r="V1168" s="2" t="s">
        <v>40</v>
      </c>
      <c r="W1168" s="2" t="s">
        <v>6134</v>
      </c>
      <c r="X1168" s="2"/>
      <c r="Y1168" s="2"/>
      <c r="Z1168" s="2"/>
      <c r="AA1168" s="2" t="s">
        <v>832</v>
      </c>
      <c r="AB1168" s="2" t="s">
        <v>3288</v>
      </c>
      <c r="AC1168" s="4" t="s">
        <v>44</v>
      </c>
    </row>
    <row r="1169" spans="1:29" x14ac:dyDescent="0.25">
      <c r="A1169" s="1">
        <v>1238</v>
      </c>
      <c r="B1169" s="17" t="s">
        <v>6135</v>
      </c>
      <c r="C1169" s="2" t="s">
        <v>6136</v>
      </c>
      <c r="D1169" s="15" t="s">
        <v>6137</v>
      </c>
      <c r="E1169" s="9" t="s">
        <v>622</v>
      </c>
      <c r="F1169" s="9" t="s">
        <v>2321</v>
      </c>
      <c r="G1169" s="9" t="s">
        <v>3695</v>
      </c>
      <c r="H1169" s="2" t="s">
        <v>60</v>
      </c>
      <c r="I1169" s="3">
        <v>35719</v>
      </c>
      <c r="J1169" s="9" t="str">
        <f t="shared" ca="1" si="20"/>
        <v>25 ans</v>
      </c>
      <c r="K1169" s="2" t="s">
        <v>123</v>
      </c>
      <c r="L1169" s="2" t="str">
        <f>"137"</f>
        <v>137</v>
      </c>
      <c r="M1169" s="2"/>
      <c r="N1169" s="2" t="str">
        <f>"DOYON"</f>
        <v>DOYON</v>
      </c>
      <c r="O1169" s="2" t="s">
        <v>3185</v>
      </c>
      <c r="P1169" s="9" t="str">
        <f>VLOOKUP($O1169,'Liste des Villes'!$B$2:$B$1128,1,FALSE)</f>
        <v>Saint-Jérôme</v>
      </c>
      <c r="Q1169" s="9" t="str">
        <f>IFERROR($P1169,PROPER(VLOOKUP($O1169,'Villes en erreur'!$A$2:$B$72,2,FALSE)))</f>
        <v>Saint-Jérôme</v>
      </c>
      <c r="R1169" s="9" t="s">
        <v>3186</v>
      </c>
      <c r="S1169" s="9" t="str">
        <f>IF(ISBLANK($R1169),"",VLOOKUP($R1169,'Liste des Villes'!$B$2:$H$1128,4,FALSE))</f>
        <v>Laurentides</v>
      </c>
      <c r="T1169" s="2" t="s">
        <v>6138</v>
      </c>
      <c r="U1169" s="2" t="s">
        <v>39</v>
      </c>
      <c r="V1169" s="2" t="s">
        <v>40</v>
      </c>
      <c r="W1169" s="2" t="s">
        <v>6139</v>
      </c>
      <c r="X1169" s="2"/>
      <c r="Y1169" s="2"/>
      <c r="Z1169" s="2"/>
      <c r="AA1169" s="2" t="s">
        <v>3243</v>
      </c>
      <c r="AB1169" s="2" t="s">
        <v>3221</v>
      </c>
      <c r="AC1169" s="4" t="s">
        <v>44</v>
      </c>
    </row>
    <row r="1170" spans="1:29" x14ac:dyDescent="0.25">
      <c r="A1170" s="1">
        <v>878</v>
      </c>
      <c r="B1170" s="17" t="s">
        <v>6140</v>
      </c>
      <c r="C1170" s="2" t="s">
        <v>6141</v>
      </c>
      <c r="D1170" s="15" t="s">
        <v>1800</v>
      </c>
      <c r="E1170" s="9" t="s">
        <v>1192</v>
      </c>
      <c r="F1170" s="9" t="s">
        <v>3963</v>
      </c>
      <c r="G1170" s="9" t="s">
        <v>495</v>
      </c>
      <c r="H1170" s="2" t="s">
        <v>35</v>
      </c>
      <c r="I1170" s="3">
        <v>34553</v>
      </c>
      <c r="J1170" s="9" t="str">
        <f t="shared" ca="1" si="20"/>
        <v>29 ans</v>
      </c>
      <c r="K1170" s="2" t="s">
        <v>36</v>
      </c>
      <c r="L1170" s="2" t="str">
        <f>"65"</f>
        <v>65</v>
      </c>
      <c r="M1170" s="2"/>
      <c r="N1170" s="2" t="str">
        <f>"CH DE LA CÔTE-SAINTE-CATHERINE"</f>
        <v>CH DE LA CÔTE-SAINTE-CATHERINE</v>
      </c>
      <c r="O1170" s="2" t="s">
        <v>3185</v>
      </c>
      <c r="P1170" s="9" t="str">
        <f>VLOOKUP($O1170,'Liste des Villes'!$B$2:$B$1128,1,FALSE)</f>
        <v>Saint-Jérôme</v>
      </c>
      <c r="Q1170" s="9" t="str">
        <f>IFERROR($P1170,PROPER(VLOOKUP($O1170,'Villes en erreur'!$A$2:$B$72,2,FALSE)))</f>
        <v>Saint-Jérôme</v>
      </c>
      <c r="R1170" s="9" t="s">
        <v>3186</v>
      </c>
      <c r="S1170" s="9" t="str">
        <f>IF(ISBLANK($R1170),"",VLOOKUP($R1170,'Liste des Villes'!$B$2:$H$1128,4,FALSE))</f>
        <v>Laurentides</v>
      </c>
      <c r="T1170" s="2" t="s">
        <v>3954</v>
      </c>
      <c r="U1170" s="2" t="s">
        <v>39</v>
      </c>
      <c r="V1170" s="2" t="s">
        <v>40</v>
      </c>
      <c r="W1170" s="2" t="s">
        <v>6142</v>
      </c>
      <c r="X1170" s="2"/>
      <c r="Y1170" s="2"/>
      <c r="Z1170" s="2"/>
      <c r="AA1170" s="2" t="s">
        <v>3225</v>
      </c>
      <c r="AB1170" s="2" t="s">
        <v>53</v>
      </c>
      <c r="AC1170" s="4" t="s">
        <v>44</v>
      </c>
    </row>
    <row r="1171" spans="1:29" x14ac:dyDescent="0.25">
      <c r="A1171" s="1">
        <v>2062</v>
      </c>
      <c r="B1171" s="17" t="s">
        <v>6143</v>
      </c>
      <c r="C1171" s="2" t="s">
        <v>6144</v>
      </c>
      <c r="D1171" s="15" t="s">
        <v>1050</v>
      </c>
      <c r="E1171" s="9" t="s">
        <v>3404</v>
      </c>
      <c r="F1171" s="9" t="s">
        <v>1048</v>
      </c>
      <c r="G1171" s="9" t="s">
        <v>1283</v>
      </c>
      <c r="H1171" s="2" t="s">
        <v>60</v>
      </c>
      <c r="I1171" s="3">
        <v>35809</v>
      </c>
      <c r="J1171" s="9" t="str">
        <f t="shared" ca="1" si="20"/>
        <v>25 ans</v>
      </c>
      <c r="K1171" s="2" t="s">
        <v>123</v>
      </c>
      <c r="L1171" s="2" t="str">
        <f>"144"</f>
        <v>144</v>
      </c>
      <c r="M1171" s="2"/>
      <c r="N1171" s="2" t="str">
        <f>"HENRI-BOURASSA BLVD E"</f>
        <v>HENRI-BOURASSA BLVD E</v>
      </c>
      <c r="O1171" s="2" t="s">
        <v>3185</v>
      </c>
      <c r="P1171" s="9" t="str">
        <f>VLOOKUP($O1171,'Liste des Villes'!$B$2:$B$1128,1,FALSE)</f>
        <v>Saint-Jérôme</v>
      </c>
      <c r="Q1171" s="9" t="str">
        <f>IFERROR($P1171,PROPER(VLOOKUP($O1171,'Villes en erreur'!$A$2:$B$72,2,FALSE)))</f>
        <v>Saint-Jérôme</v>
      </c>
      <c r="R1171" s="9" t="s">
        <v>3186</v>
      </c>
      <c r="S1171" s="9" t="str">
        <f>IF(ISBLANK($R1171),"",VLOOKUP($R1171,'Liste des Villes'!$B$2:$H$1128,4,FALSE))</f>
        <v>Laurentides</v>
      </c>
      <c r="T1171" s="2" t="s">
        <v>6145</v>
      </c>
      <c r="U1171" s="2" t="s">
        <v>39</v>
      </c>
      <c r="V1171" s="2" t="s">
        <v>40</v>
      </c>
      <c r="W1171" s="2" t="s">
        <v>6146</v>
      </c>
      <c r="X1171" s="2"/>
      <c r="Y1171" s="2"/>
      <c r="Z1171" s="2"/>
      <c r="AA1171" s="2" t="s">
        <v>3243</v>
      </c>
      <c r="AB1171" s="2" t="s">
        <v>3221</v>
      </c>
      <c r="AC1171" s="4" t="s">
        <v>44</v>
      </c>
    </row>
    <row r="1172" spans="1:29" x14ac:dyDescent="0.25">
      <c r="A1172" s="1">
        <v>2524</v>
      </c>
      <c r="B1172" s="17" t="s">
        <v>6147</v>
      </c>
      <c r="C1172" s="2" t="s">
        <v>6148</v>
      </c>
      <c r="D1172" s="15" t="s">
        <v>3729</v>
      </c>
      <c r="E1172" s="9" t="s">
        <v>5793</v>
      </c>
      <c r="F1172" s="9" t="s">
        <v>47</v>
      </c>
      <c r="G1172" s="9" t="s">
        <v>92</v>
      </c>
      <c r="H1172" s="2" t="s">
        <v>35</v>
      </c>
      <c r="I1172" s="3">
        <v>35445</v>
      </c>
      <c r="J1172" s="9" t="str">
        <f t="shared" ca="1" si="20"/>
        <v>26 ans</v>
      </c>
      <c r="K1172" s="2" t="s">
        <v>36</v>
      </c>
      <c r="L1172" s="2" t="str">
        <f>"116"</f>
        <v>116</v>
      </c>
      <c r="M1172" s="2"/>
      <c r="N1172" s="2" t="str">
        <f>"CHEMIN DU VALLON"</f>
        <v>CHEMIN DU VALLON</v>
      </c>
      <c r="O1172" s="2" t="s">
        <v>3185</v>
      </c>
      <c r="P1172" s="9" t="str">
        <f>VLOOKUP($O1172,'Liste des Villes'!$B$2:$B$1128,1,FALSE)</f>
        <v>Saint-Jérôme</v>
      </c>
      <c r="Q1172" s="9" t="str">
        <f>IFERROR($P1172,PROPER(VLOOKUP($O1172,'Villes en erreur'!$A$2:$B$72,2,FALSE)))</f>
        <v>Saint-Jérôme</v>
      </c>
      <c r="R1172" s="9" t="s">
        <v>3186</v>
      </c>
      <c r="S1172" s="9" t="str">
        <f>IF(ISBLANK($R1172),"",VLOOKUP($R1172,'Liste des Villes'!$B$2:$H$1128,4,FALSE))</f>
        <v>Laurentides</v>
      </c>
      <c r="T1172" s="2" t="s">
        <v>3369</v>
      </c>
      <c r="U1172" s="2" t="s">
        <v>39</v>
      </c>
      <c r="V1172" s="2" t="s">
        <v>40</v>
      </c>
      <c r="W1172" s="2" t="s">
        <v>6149</v>
      </c>
      <c r="X1172" s="2"/>
      <c r="Y1172" s="2"/>
      <c r="Z1172" s="2"/>
      <c r="AA1172" s="2" t="s">
        <v>3199</v>
      </c>
      <c r="AB1172" s="2" t="s">
        <v>3200</v>
      </c>
      <c r="AC1172" s="4" t="s">
        <v>44</v>
      </c>
    </row>
    <row r="1173" spans="1:29" x14ac:dyDescent="0.25">
      <c r="A1173" s="1">
        <v>3529</v>
      </c>
      <c r="B1173" s="17" t="s">
        <v>6150</v>
      </c>
      <c r="C1173" s="2" t="s">
        <v>6151</v>
      </c>
      <c r="D1173" s="15" t="s">
        <v>1024</v>
      </c>
      <c r="E1173" s="9" t="s">
        <v>1423</v>
      </c>
      <c r="F1173" s="9" t="s">
        <v>6152</v>
      </c>
      <c r="G1173" s="9" t="s">
        <v>92</v>
      </c>
      <c r="H1173" s="2" t="s">
        <v>35</v>
      </c>
      <c r="I1173" s="3">
        <v>35387</v>
      </c>
      <c r="J1173" s="9" t="str">
        <f t="shared" ca="1" si="20"/>
        <v>26 ans</v>
      </c>
      <c r="K1173" s="2" t="s">
        <v>36</v>
      </c>
      <c r="L1173" s="2" t="str">
        <f>"112"</f>
        <v>112</v>
      </c>
      <c r="M1173" s="2"/>
      <c r="N1173" s="2" t="str">
        <f>"CHEMIN DU LAC BERTRAND"</f>
        <v>CHEMIN DU LAC BERTRAND</v>
      </c>
      <c r="O1173" s="2" t="s">
        <v>3185</v>
      </c>
      <c r="P1173" s="9" t="str">
        <f>VLOOKUP($O1173,'Liste des Villes'!$B$2:$B$1128,1,FALSE)</f>
        <v>Saint-Jérôme</v>
      </c>
      <c r="Q1173" s="9" t="str">
        <f>IFERROR($P1173,PROPER(VLOOKUP($O1173,'Villes en erreur'!$A$2:$B$72,2,FALSE)))</f>
        <v>Saint-Jérôme</v>
      </c>
      <c r="R1173" s="9" t="s">
        <v>3186</v>
      </c>
      <c r="S1173" s="9" t="str">
        <f>IF(ISBLANK($R1173),"",VLOOKUP($R1173,'Liste des Villes'!$B$2:$H$1128,4,FALSE))</f>
        <v>Laurentides</v>
      </c>
      <c r="T1173" s="2" t="s">
        <v>3827</v>
      </c>
      <c r="U1173" s="2" t="s">
        <v>39</v>
      </c>
      <c r="V1173" s="2" t="s">
        <v>40</v>
      </c>
      <c r="W1173" s="2" t="s">
        <v>6153</v>
      </c>
      <c r="X1173" s="2"/>
      <c r="Y1173" s="2"/>
      <c r="Z1173" s="2"/>
      <c r="AA1173" s="2" t="s">
        <v>3189</v>
      </c>
      <c r="AB1173" s="2" t="s">
        <v>3200</v>
      </c>
      <c r="AC1173" s="4" t="s">
        <v>44</v>
      </c>
    </row>
    <row r="1174" spans="1:29" x14ac:dyDescent="0.25">
      <c r="A1174" s="1">
        <v>66</v>
      </c>
      <c r="B1174" s="17" t="s">
        <v>6154</v>
      </c>
      <c r="C1174" s="2" t="s">
        <v>6155</v>
      </c>
      <c r="D1174" s="15" t="s">
        <v>1985</v>
      </c>
      <c r="E1174" s="9" t="s">
        <v>6156</v>
      </c>
      <c r="F1174" s="9" t="s">
        <v>1983</v>
      </c>
      <c r="G1174" s="9" t="s">
        <v>179</v>
      </c>
      <c r="H1174" s="2" t="s">
        <v>60</v>
      </c>
      <c r="I1174" s="3">
        <v>36129</v>
      </c>
      <c r="J1174" s="9" t="str">
        <f t="shared" ca="1" si="20"/>
        <v>24 ans</v>
      </c>
      <c r="K1174" s="2" t="s">
        <v>123</v>
      </c>
      <c r="L1174" s="2" t="str">
        <f>"216"</f>
        <v>216</v>
      </c>
      <c r="M1174" s="2"/>
      <c r="N1174" s="2" t="str">
        <f>"RUE AHSENNÉNHSON"</f>
        <v>RUE AHSENNÉNHSON</v>
      </c>
      <c r="O1174" s="2" t="s">
        <v>3185</v>
      </c>
      <c r="P1174" s="9" t="str">
        <f>VLOOKUP($O1174,'Liste des Villes'!$B$2:$B$1128,1,FALSE)</f>
        <v>Saint-Jérôme</v>
      </c>
      <c r="Q1174" s="9" t="str">
        <f>IFERROR($P1174,PROPER(VLOOKUP($O1174,'Villes en erreur'!$A$2:$B$72,2,FALSE)))</f>
        <v>Saint-Jérôme</v>
      </c>
      <c r="R1174" s="9" t="s">
        <v>3186</v>
      </c>
      <c r="S1174" s="9" t="str">
        <f>IF(ISBLANK($R1174),"",VLOOKUP($R1174,'Liste des Villes'!$B$2:$H$1128,4,FALSE))</f>
        <v>Laurentides</v>
      </c>
      <c r="T1174" s="2" t="s">
        <v>3537</v>
      </c>
      <c r="U1174" s="2" t="s">
        <v>39</v>
      </c>
      <c r="V1174" s="2" t="s">
        <v>40</v>
      </c>
      <c r="W1174" s="2" t="s">
        <v>6157</v>
      </c>
      <c r="X1174" s="2"/>
      <c r="Y1174" s="2"/>
      <c r="Z1174" s="2"/>
      <c r="AA1174" s="2" t="s">
        <v>832</v>
      </c>
      <c r="AB1174" s="2" t="s">
        <v>3221</v>
      </c>
      <c r="AC1174" s="4" t="s">
        <v>44</v>
      </c>
    </row>
    <row r="1175" spans="1:29" x14ac:dyDescent="0.25">
      <c r="A1175" s="1">
        <v>650</v>
      </c>
      <c r="B1175" s="17" t="s">
        <v>6158</v>
      </c>
      <c r="C1175" s="2" t="s">
        <v>6159</v>
      </c>
      <c r="D1175" s="15" t="s">
        <v>6160</v>
      </c>
      <c r="E1175" s="9" t="s">
        <v>1673</v>
      </c>
      <c r="F1175" s="9" t="s">
        <v>6161</v>
      </c>
      <c r="G1175" s="9" t="s">
        <v>3218</v>
      </c>
      <c r="H1175" s="2" t="s">
        <v>60</v>
      </c>
      <c r="I1175" s="3">
        <v>34351</v>
      </c>
      <c r="J1175" s="9" t="str">
        <f t="shared" ca="1" si="20"/>
        <v>29 ans</v>
      </c>
      <c r="K1175" s="2" t="s">
        <v>36</v>
      </c>
      <c r="L1175" s="2" t="str">
        <f>"53"</f>
        <v>53</v>
      </c>
      <c r="M1175" s="2"/>
      <c r="N1175" s="2" t="str">
        <f>"BOULEVARD RENÉ-LÉVESQUE"</f>
        <v>BOULEVARD RENÉ-LÉVESQUE</v>
      </c>
      <c r="O1175" s="2" t="s">
        <v>3185</v>
      </c>
      <c r="P1175" s="9" t="str">
        <f>VLOOKUP($O1175,'Liste des Villes'!$B$2:$B$1128,1,FALSE)</f>
        <v>Saint-Jérôme</v>
      </c>
      <c r="Q1175" s="9" t="str">
        <f>IFERROR($P1175,PROPER(VLOOKUP($O1175,'Villes en erreur'!$A$2:$B$72,2,FALSE)))</f>
        <v>Saint-Jérôme</v>
      </c>
      <c r="R1175" s="9" t="s">
        <v>3186</v>
      </c>
      <c r="S1175" s="9" t="str">
        <f>IF(ISBLANK($R1175),"",VLOOKUP($R1175,'Liste des Villes'!$B$2:$H$1128,4,FALSE))</f>
        <v>Laurentides</v>
      </c>
      <c r="T1175" s="2" t="s">
        <v>3291</v>
      </c>
      <c r="U1175" s="2" t="s">
        <v>39</v>
      </c>
      <c r="V1175" s="2" t="s">
        <v>40</v>
      </c>
      <c r="W1175" s="2" t="s">
        <v>6162</v>
      </c>
      <c r="X1175" s="2"/>
      <c r="Y1175" s="2"/>
      <c r="Z1175" s="2"/>
      <c r="AA1175" s="2" t="s">
        <v>3360</v>
      </c>
      <c r="AB1175" s="2" t="s">
        <v>53</v>
      </c>
      <c r="AC1175" s="4" t="s">
        <v>44</v>
      </c>
    </row>
    <row r="1176" spans="1:29" x14ac:dyDescent="0.25">
      <c r="A1176" s="1">
        <v>4406</v>
      </c>
      <c r="B1176" s="17" t="s">
        <v>6163</v>
      </c>
      <c r="C1176" s="2" t="s">
        <v>6164</v>
      </c>
      <c r="D1176" s="15" t="s">
        <v>2252</v>
      </c>
      <c r="E1176" s="9" t="s">
        <v>6165</v>
      </c>
      <c r="F1176" s="9" t="s">
        <v>6166</v>
      </c>
      <c r="G1176" s="9" t="s">
        <v>3844</v>
      </c>
      <c r="H1176" s="2" t="s">
        <v>35</v>
      </c>
      <c r="I1176" s="3">
        <v>35873</v>
      </c>
      <c r="J1176" s="9" t="str">
        <f t="shared" ca="1" si="20"/>
        <v>25 ans</v>
      </c>
      <c r="K1176" s="2" t="s">
        <v>123</v>
      </c>
      <c r="L1176" s="2" t="str">
        <f>"152"</f>
        <v>152</v>
      </c>
      <c r="M1176" s="2"/>
      <c r="N1176" s="2" t="str">
        <f>"Marc-Aurèle-Fortin Blvd"</f>
        <v>Marc-Aurèle-Fortin Blvd</v>
      </c>
      <c r="O1176" s="2" t="s">
        <v>3185</v>
      </c>
      <c r="P1176" s="9" t="str">
        <f>VLOOKUP($O1176,'Liste des Villes'!$B$2:$B$1128,1,FALSE)</f>
        <v>Saint-Jérôme</v>
      </c>
      <c r="Q1176" s="9" t="str">
        <f>IFERROR($P1176,PROPER(VLOOKUP($O1176,'Villes en erreur'!$A$2:$B$72,2,FALSE)))</f>
        <v>Saint-Jérôme</v>
      </c>
      <c r="R1176" s="9" t="s">
        <v>3186</v>
      </c>
      <c r="S1176" s="9" t="str">
        <f>IF(ISBLANK($R1176),"",VLOOKUP($R1176,'Liste des Villes'!$B$2:$H$1128,4,FALSE))</f>
        <v>Laurentides</v>
      </c>
      <c r="T1176" s="2" t="s">
        <v>3845</v>
      </c>
      <c r="U1176" s="2" t="s">
        <v>39</v>
      </c>
      <c r="V1176" s="2" t="s">
        <v>40</v>
      </c>
      <c r="W1176" s="2" t="s">
        <v>6167</v>
      </c>
      <c r="X1176" s="2"/>
      <c r="Y1176" s="2"/>
      <c r="Z1176" s="2"/>
      <c r="AA1176" s="2" t="s">
        <v>3243</v>
      </c>
      <c r="AB1176" s="2" t="s">
        <v>3221</v>
      </c>
      <c r="AC1176" s="4" t="s">
        <v>44</v>
      </c>
    </row>
    <row r="1177" spans="1:29" x14ac:dyDescent="0.25">
      <c r="A1177" s="1">
        <v>905</v>
      </c>
      <c r="B1177" s="17" t="s">
        <v>6168</v>
      </c>
      <c r="C1177" s="2" t="s">
        <v>4624</v>
      </c>
      <c r="D1177" s="15" t="s">
        <v>1070</v>
      </c>
      <c r="E1177" s="9" t="s">
        <v>1236</v>
      </c>
      <c r="F1177" s="9" t="s">
        <v>2698</v>
      </c>
      <c r="G1177" s="9" t="s">
        <v>1844</v>
      </c>
      <c r="H1177" s="2" t="s">
        <v>60</v>
      </c>
      <c r="I1177" s="3">
        <v>36159</v>
      </c>
      <c r="J1177" s="9" t="str">
        <f t="shared" ca="1" si="20"/>
        <v>24 ans</v>
      </c>
      <c r="K1177" s="2" t="s">
        <v>123</v>
      </c>
      <c r="L1177" s="2" t="str">
        <f>"223"</f>
        <v>223</v>
      </c>
      <c r="M1177" s="2"/>
      <c r="N1177" s="2" t="str">
        <f>"RUE ALFRED PELLAN"</f>
        <v>RUE ALFRED PELLAN</v>
      </c>
      <c r="O1177" s="2" t="s">
        <v>3185</v>
      </c>
      <c r="P1177" s="9" t="str">
        <f>VLOOKUP($O1177,'Liste des Villes'!$B$2:$B$1128,1,FALSE)</f>
        <v>Saint-Jérôme</v>
      </c>
      <c r="Q1177" s="9" t="str">
        <f>IFERROR($P1177,PROPER(VLOOKUP($O1177,'Villes en erreur'!$A$2:$B$72,2,FALSE)))</f>
        <v>Saint-Jérôme</v>
      </c>
      <c r="R1177" s="9" t="s">
        <v>3186</v>
      </c>
      <c r="S1177" s="9" t="str">
        <f>IF(ISBLANK($R1177),"",VLOOKUP($R1177,'Liste des Villes'!$B$2:$H$1128,4,FALSE))</f>
        <v>Laurentides</v>
      </c>
      <c r="T1177" s="2" t="s">
        <v>3314</v>
      </c>
      <c r="U1177" s="2" t="s">
        <v>39</v>
      </c>
      <c r="V1177" s="2" t="s">
        <v>40</v>
      </c>
      <c r="W1177" s="2" t="s">
        <v>6169</v>
      </c>
      <c r="X1177" s="2"/>
      <c r="Y1177" s="2"/>
      <c r="Z1177" s="2"/>
      <c r="AA1177" s="2" t="s">
        <v>832</v>
      </c>
      <c r="AB1177" s="2" t="s">
        <v>3221</v>
      </c>
      <c r="AC1177" s="4" t="s">
        <v>44</v>
      </c>
    </row>
    <row r="1178" spans="1:29" x14ac:dyDescent="0.25">
      <c r="A1178" s="1">
        <v>1050</v>
      </c>
      <c r="B1178" s="17" t="s">
        <v>6170</v>
      </c>
      <c r="C1178" s="2" t="s">
        <v>6171</v>
      </c>
      <c r="D1178" s="15" t="s">
        <v>6172</v>
      </c>
      <c r="E1178" s="9" t="s">
        <v>2049</v>
      </c>
      <c r="F1178" s="9" t="s">
        <v>6173</v>
      </c>
      <c r="G1178" s="9" t="s">
        <v>5228</v>
      </c>
      <c r="H1178" s="2" t="s">
        <v>35</v>
      </c>
      <c r="I1178" s="3">
        <v>35167</v>
      </c>
      <c r="J1178" s="9" t="str">
        <f t="shared" ca="1" si="20"/>
        <v>27 ans</v>
      </c>
      <c r="K1178" s="2" t="s">
        <v>36</v>
      </c>
      <c r="L1178" s="2" t="str">
        <f>"104"</f>
        <v>104</v>
      </c>
      <c r="M1178" s="2"/>
      <c r="N1178" s="2" t="str">
        <f>"CH SAINT-GERMAIN"</f>
        <v>CH SAINT-GERMAIN</v>
      </c>
      <c r="O1178" s="2" t="s">
        <v>3185</v>
      </c>
      <c r="P1178" s="9" t="str">
        <f>VLOOKUP($O1178,'Liste des Villes'!$B$2:$B$1128,1,FALSE)</f>
        <v>Saint-Jérôme</v>
      </c>
      <c r="Q1178" s="9" t="str">
        <f>IFERROR($P1178,PROPER(VLOOKUP($O1178,'Villes en erreur'!$A$2:$B$72,2,FALSE)))</f>
        <v>Saint-Jérôme</v>
      </c>
      <c r="R1178" s="9" t="s">
        <v>3186</v>
      </c>
      <c r="S1178" s="9" t="str">
        <f>IF(ISBLANK($R1178),"",VLOOKUP($R1178,'Liste des Villes'!$B$2:$H$1128,4,FALSE))</f>
        <v>Laurentides</v>
      </c>
      <c r="T1178" s="2" t="s">
        <v>3187</v>
      </c>
      <c r="U1178" s="2" t="s">
        <v>39</v>
      </c>
      <c r="V1178" s="2" t="s">
        <v>40</v>
      </c>
      <c r="W1178" s="2" t="s">
        <v>6174</v>
      </c>
      <c r="X1178" s="2"/>
      <c r="Y1178" s="2"/>
      <c r="Z1178" s="2"/>
      <c r="AA1178" s="2" t="s">
        <v>3189</v>
      </c>
      <c r="AB1178" s="2" t="s">
        <v>3190</v>
      </c>
      <c r="AC1178" s="4" t="s">
        <v>44</v>
      </c>
    </row>
    <row r="1179" spans="1:29" x14ac:dyDescent="0.25">
      <c r="A1179" s="1">
        <v>2939</v>
      </c>
      <c r="B1179" s="17" t="s">
        <v>6175</v>
      </c>
      <c r="C1179" s="2" t="s">
        <v>6176</v>
      </c>
      <c r="D1179" s="15" t="s">
        <v>2823</v>
      </c>
      <c r="E1179" s="9" t="s">
        <v>704</v>
      </c>
      <c r="F1179" s="9" t="s">
        <v>2821</v>
      </c>
      <c r="G1179" s="9" t="s">
        <v>3196</v>
      </c>
      <c r="H1179" s="2" t="s">
        <v>60</v>
      </c>
      <c r="I1179" s="3">
        <v>35467</v>
      </c>
      <c r="J1179" s="9" t="str">
        <f t="shared" ca="1" si="20"/>
        <v>26 ans</v>
      </c>
      <c r="K1179" s="2" t="s">
        <v>36</v>
      </c>
      <c r="L1179" s="2" t="str">
        <f>"117"</f>
        <v>117</v>
      </c>
      <c r="M1179" s="2"/>
      <c r="N1179" s="2" t="str">
        <f>"CHEMIN HUOT"</f>
        <v>CHEMIN HUOT</v>
      </c>
      <c r="O1179" s="2" t="s">
        <v>3185</v>
      </c>
      <c r="P1179" s="9" t="str">
        <f>VLOOKUP($O1179,'Liste des Villes'!$B$2:$B$1128,1,FALSE)</f>
        <v>Saint-Jérôme</v>
      </c>
      <c r="Q1179" s="9" t="str">
        <f>IFERROR($P1179,PROPER(VLOOKUP($O1179,'Villes en erreur'!$A$2:$B$72,2,FALSE)))</f>
        <v>Saint-Jérôme</v>
      </c>
      <c r="R1179" s="9" t="s">
        <v>3186</v>
      </c>
      <c r="S1179" s="9" t="str">
        <f>IF(ISBLANK($R1179),"",VLOOKUP($R1179,'Liste des Villes'!$B$2:$H$1128,4,FALSE))</f>
        <v>Laurentides</v>
      </c>
      <c r="T1179" s="2" t="s">
        <v>3197</v>
      </c>
      <c r="U1179" s="2" t="s">
        <v>39</v>
      </c>
      <c r="V1179" s="2" t="s">
        <v>40</v>
      </c>
      <c r="W1179" s="2" t="s">
        <v>6177</v>
      </c>
      <c r="X1179" s="2"/>
      <c r="Y1179" s="2"/>
      <c r="Z1179" s="2"/>
      <c r="AA1179" s="2" t="s">
        <v>3199</v>
      </c>
      <c r="AB1179" s="2" t="s">
        <v>3200</v>
      </c>
      <c r="AC1179" s="4" t="s">
        <v>44</v>
      </c>
    </row>
    <row r="1180" spans="1:29" x14ac:dyDescent="0.25">
      <c r="A1180" s="1">
        <v>1786</v>
      </c>
      <c r="B1180" s="17" t="s">
        <v>6178</v>
      </c>
      <c r="C1180" s="2" t="s">
        <v>2009</v>
      </c>
      <c r="D1180" s="15" t="s">
        <v>1076</v>
      </c>
      <c r="E1180" s="9" t="s">
        <v>332</v>
      </c>
      <c r="F1180" s="9" t="s">
        <v>839</v>
      </c>
      <c r="G1180" s="9" t="s">
        <v>380</v>
      </c>
      <c r="H1180" s="2" t="s">
        <v>60</v>
      </c>
      <c r="I1180" s="3">
        <v>34414</v>
      </c>
      <c r="J1180" s="9" t="str">
        <f t="shared" ca="1" si="20"/>
        <v>29 ans</v>
      </c>
      <c r="K1180" s="2" t="s">
        <v>36</v>
      </c>
      <c r="L1180" s="2" t="str">
        <f>"58"</f>
        <v>58</v>
      </c>
      <c r="M1180" s="2"/>
      <c r="N1180" s="2" t="str">
        <f>"CAR DOMINIQUE"</f>
        <v>CAR DOMINIQUE</v>
      </c>
      <c r="O1180" s="2" t="s">
        <v>3185</v>
      </c>
      <c r="P1180" s="9" t="str">
        <f>VLOOKUP($O1180,'Liste des Villes'!$B$2:$B$1128,1,FALSE)</f>
        <v>Saint-Jérôme</v>
      </c>
      <c r="Q1180" s="9" t="str">
        <f>IFERROR($P1180,PROPER(VLOOKUP($O1180,'Villes en erreur'!$A$2:$B$72,2,FALSE)))</f>
        <v>Saint-Jérôme</v>
      </c>
      <c r="R1180" s="9" t="s">
        <v>3186</v>
      </c>
      <c r="S1180" s="9" t="str">
        <f>IF(ISBLANK($R1180),"",VLOOKUP($R1180,'Liste des Villes'!$B$2:$H$1128,4,FALSE))</f>
        <v>Laurentides</v>
      </c>
      <c r="T1180" s="2" t="s">
        <v>5654</v>
      </c>
      <c r="U1180" s="2" t="s">
        <v>39</v>
      </c>
      <c r="V1180" s="2" t="s">
        <v>40</v>
      </c>
      <c r="W1180" s="2" t="s">
        <v>6179</v>
      </c>
      <c r="X1180" s="2"/>
      <c r="Y1180" s="2"/>
      <c r="Z1180" s="2"/>
      <c r="AA1180" s="2" t="s">
        <v>3293</v>
      </c>
      <c r="AB1180" s="2" t="s">
        <v>53</v>
      </c>
      <c r="AC1180" s="4" t="s">
        <v>44</v>
      </c>
    </row>
    <row r="1181" spans="1:29" x14ac:dyDescent="0.25">
      <c r="A1181" s="1">
        <v>479</v>
      </c>
      <c r="B1181" s="17" t="s">
        <v>6180</v>
      </c>
      <c r="C1181" s="2" t="s">
        <v>576</v>
      </c>
      <c r="D1181" s="15" t="s">
        <v>203</v>
      </c>
      <c r="E1181" s="9" t="s">
        <v>577</v>
      </c>
      <c r="F1181" s="9" t="s">
        <v>6181</v>
      </c>
      <c r="G1181" s="9" t="s">
        <v>1283</v>
      </c>
      <c r="H1181" s="2" t="s">
        <v>60</v>
      </c>
      <c r="I1181" s="3">
        <v>35818</v>
      </c>
      <c r="J1181" s="9" t="str">
        <f t="shared" ca="1" si="20"/>
        <v>25 ans</v>
      </c>
      <c r="K1181" s="2" t="s">
        <v>123</v>
      </c>
      <c r="L1181" s="2" t="str">
        <f>"145"</f>
        <v>145</v>
      </c>
      <c r="M1181" s="2"/>
      <c r="N1181" s="2" t="str">
        <f>"JACQUES-CASTAGNER"</f>
        <v>JACQUES-CASTAGNER</v>
      </c>
      <c r="O1181" s="2" t="s">
        <v>3185</v>
      </c>
      <c r="P1181" s="9" t="str">
        <f>VLOOKUP($O1181,'Liste des Villes'!$B$2:$B$1128,1,FALSE)</f>
        <v>Saint-Jérôme</v>
      </c>
      <c r="Q1181" s="9" t="str">
        <f>IFERROR($P1181,PROPER(VLOOKUP($O1181,'Villes en erreur'!$A$2:$B$72,2,FALSE)))</f>
        <v>Saint-Jérôme</v>
      </c>
      <c r="R1181" s="9" t="s">
        <v>3186</v>
      </c>
      <c r="S1181" s="9" t="str">
        <f>IF(ISBLANK($R1181),"",VLOOKUP($R1181,'Liste des Villes'!$B$2:$H$1128,4,FALSE))</f>
        <v>Laurentides</v>
      </c>
      <c r="T1181" s="2" t="s">
        <v>6182</v>
      </c>
      <c r="U1181" s="2" t="s">
        <v>39</v>
      </c>
      <c r="V1181" s="2" t="s">
        <v>40</v>
      </c>
      <c r="W1181" s="2" t="s">
        <v>6183</v>
      </c>
      <c r="X1181" s="2"/>
      <c r="Y1181" s="2"/>
      <c r="Z1181" s="2"/>
      <c r="AA1181" s="2" t="s">
        <v>3243</v>
      </c>
      <c r="AB1181" s="2" t="s">
        <v>3221</v>
      </c>
      <c r="AC1181" s="4" t="s">
        <v>44</v>
      </c>
    </row>
    <row r="1182" spans="1:29" x14ac:dyDescent="0.25">
      <c r="A1182" s="1">
        <v>3884</v>
      </c>
      <c r="B1182" s="17" t="s">
        <v>6184</v>
      </c>
      <c r="C1182" s="2" t="s">
        <v>6185</v>
      </c>
      <c r="D1182" s="15" t="s">
        <v>4081</v>
      </c>
      <c r="E1182" s="9" t="s">
        <v>6186</v>
      </c>
      <c r="F1182" s="9" t="s">
        <v>6187</v>
      </c>
      <c r="G1182" s="9" t="s">
        <v>1560</v>
      </c>
      <c r="H1182" s="2" t="s">
        <v>35</v>
      </c>
      <c r="I1182" s="3">
        <v>35602</v>
      </c>
      <c r="J1182" s="9" t="str">
        <f t="shared" ca="1" si="20"/>
        <v>26 ans</v>
      </c>
      <c r="K1182" s="2" t="s">
        <v>36</v>
      </c>
      <c r="L1182" s="2" t="str">
        <f>"128"</f>
        <v>128</v>
      </c>
      <c r="M1182" s="2"/>
      <c r="N1182" s="2" t="str">
        <f>"DE LA PASSION"</f>
        <v>DE LA PASSION</v>
      </c>
      <c r="O1182" s="2" t="s">
        <v>3185</v>
      </c>
      <c r="P1182" s="9" t="str">
        <f>VLOOKUP($O1182,'Liste des Villes'!$B$2:$B$1128,1,FALSE)</f>
        <v>Saint-Jérôme</v>
      </c>
      <c r="Q1182" s="9" t="str">
        <f>IFERROR($P1182,PROPER(VLOOKUP($O1182,'Villes en erreur'!$A$2:$B$72,2,FALSE)))</f>
        <v>Saint-Jérôme</v>
      </c>
      <c r="R1182" s="9" t="s">
        <v>3186</v>
      </c>
      <c r="S1182" s="9" t="str">
        <f>IF(ISBLANK($R1182),"",VLOOKUP($R1182,'Liste des Villes'!$B$2:$H$1128,4,FALSE))</f>
        <v>Laurentides</v>
      </c>
      <c r="T1182" s="2" t="s">
        <v>5722</v>
      </c>
      <c r="U1182" s="2" t="s">
        <v>39</v>
      </c>
      <c r="V1182" s="2" t="s">
        <v>40</v>
      </c>
      <c r="W1182" s="2" t="s">
        <v>6188</v>
      </c>
      <c r="X1182" s="2"/>
      <c r="Y1182" s="2"/>
      <c r="Z1182" s="2"/>
      <c r="AA1182" s="2" t="s">
        <v>3243</v>
      </c>
      <c r="AB1182" s="2" t="s">
        <v>3221</v>
      </c>
      <c r="AC1182" s="4" t="s">
        <v>44</v>
      </c>
    </row>
    <row r="1183" spans="1:29" x14ac:dyDescent="0.25">
      <c r="A1183" s="1">
        <v>1295</v>
      </c>
      <c r="B1183" s="17" t="s">
        <v>6189</v>
      </c>
      <c r="C1183" s="2" t="s">
        <v>1155</v>
      </c>
      <c r="D1183" s="15" t="s">
        <v>1156</v>
      </c>
      <c r="E1183" s="9" t="s">
        <v>137</v>
      </c>
      <c r="F1183" s="9" t="s">
        <v>1157</v>
      </c>
      <c r="G1183" s="9" t="s">
        <v>1844</v>
      </c>
      <c r="H1183" s="2" t="s">
        <v>60</v>
      </c>
      <c r="I1183" s="3">
        <v>36161</v>
      </c>
      <c r="J1183" s="9" t="str">
        <f t="shared" ca="1" si="20"/>
        <v>24 ans</v>
      </c>
      <c r="K1183" s="2" t="s">
        <v>123</v>
      </c>
      <c r="L1183" s="2" t="str">
        <f>"226"</f>
        <v>226</v>
      </c>
      <c r="M1183" s="2"/>
      <c r="N1183" s="2" t="str">
        <f>"RUE ALFRED-PELLAN"</f>
        <v>RUE ALFRED-PELLAN</v>
      </c>
      <c r="O1183" s="2" t="s">
        <v>3185</v>
      </c>
      <c r="P1183" s="9" t="str">
        <f>VLOOKUP($O1183,'Liste des Villes'!$B$2:$B$1128,1,FALSE)</f>
        <v>Saint-Jérôme</v>
      </c>
      <c r="Q1183" s="9" t="str">
        <f>IFERROR($P1183,PROPER(VLOOKUP($O1183,'Villes en erreur'!$A$2:$B$72,2,FALSE)))</f>
        <v>Saint-Jérôme</v>
      </c>
      <c r="R1183" s="9" t="s">
        <v>3186</v>
      </c>
      <c r="S1183" s="9" t="str">
        <f>IF(ISBLANK($R1183),"",VLOOKUP($R1183,'Liste des Villes'!$B$2:$H$1128,4,FALSE))</f>
        <v>Laurentides</v>
      </c>
      <c r="T1183" s="2" t="s">
        <v>6190</v>
      </c>
      <c r="U1183" s="2" t="s">
        <v>39</v>
      </c>
      <c r="V1183" s="2" t="s">
        <v>40</v>
      </c>
      <c r="W1183" s="2" t="s">
        <v>6191</v>
      </c>
      <c r="X1183" s="2"/>
      <c r="Y1183" s="2"/>
      <c r="Z1183" s="2"/>
      <c r="AA1183" s="2" t="s">
        <v>832</v>
      </c>
      <c r="AB1183" s="2" t="s">
        <v>3221</v>
      </c>
      <c r="AC1183" s="4" t="s">
        <v>44</v>
      </c>
    </row>
    <row r="1184" spans="1:29" x14ac:dyDescent="0.25">
      <c r="A1184" s="1">
        <v>2491</v>
      </c>
      <c r="B1184" s="17" t="s">
        <v>6192</v>
      </c>
      <c r="C1184" s="2" t="s">
        <v>4521</v>
      </c>
      <c r="D1184" s="15" t="s">
        <v>56</v>
      </c>
      <c r="E1184" s="9" t="s">
        <v>154</v>
      </c>
      <c r="F1184" s="9" t="s">
        <v>6193</v>
      </c>
      <c r="G1184" s="9" t="s">
        <v>186</v>
      </c>
      <c r="H1184" s="2" t="s">
        <v>60</v>
      </c>
      <c r="I1184" s="3">
        <v>34871</v>
      </c>
      <c r="J1184" s="9" t="str">
        <f t="shared" ca="1" si="20"/>
        <v>28 ans</v>
      </c>
      <c r="K1184" s="2" t="s">
        <v>36</v>
      </c>
      <c r="L1184" s="2" t="str">
        <f>"82"</f>
        <v>82</v>
      </c>
      <c r="M1184" s="2"/>
      <c r="N1184" s="2" t="str">
        <f>"CH DES PEUPLIERS"</f>
        <v>CH DES PEUPLIERS</v>
      </c>
      <c r="O1184" s="2" t="s">
        <v>3185</v>
      </c>
      <c r="P1184" s="9" t="str">
        <f>VLOOKUP($O1184,'Liste des Villes'!$B$2:$B$1128,1,FALSE)</f>
        <v>Saint-Jérôme</v>
      </c>
      <c r="Q1184" s="9" t="str">
        <f>IFERROR($P1184,PROPER(VLOOKUP($O1184,'Villes en erreur'!$A$2:$B$72,2,FALSE)))</f>
        <v>Saint-Jérôme</v>
      </c>
      <c r="R1184" s="9" t="s">
        <v>3186</v>
      </c>
      <c r="S1184" s="9" t="str">
        <f>IF(ISBLANK($R1184),"",VLOOKUP($R1184,'Liste des Villes'!$B$2:$H$1128,4,FALSE))</f>
        <v>Laurentides</v>
      </c>
      <c r="T1184" s="2" t="s">
        <v>3187</v>
      </c>
      <c r="U1184" s="2" t="s">
        <v>39</v>
      </c>
      <c r="V1184" s="2" t="s">
        <v>40</v>
      </c>
      <c r="W1184" s="2" t="s">
        <v>6194</v>
      </c>
      <c r="X1184" s="2"/>
      <c r="Y1184" s="2"/>
      <c r="Z1184" s="2"/>
      <c r="AA1184" s="2" t="s">
        <v>3231</v>
      </c>
      <c r="AB1184" s="2" t="s">
        <v>53</v>
      </c>
      <c r="AC1184" s="4" t="s">
        <v>44</v>
      </c>
    </row>
    <row r="1185" spans="1:29" x14ac:dyDescent="0.25">
      <c r="A1185" s="1">
        <v>4260</v>
      </c>
      <c r="B1185" s="17" t="s">
        <v>6195</v>
      </c>
      <c r="C1185" s="2" t="s">
        <v>6196</v>
      </c>
      <c r="D1185" s="15" t="s">
        <v>3779</v>
      </c>
      <c r="E1185" s="9" t="s">
        <v>6197</v>
      </c>
      <c r="F1185" s="9" t="s">
        <v>449</v>
      </c>
      <c r="G1185" s="9" t="s">
        <v>635</v>
      </c>
      <c r="H1185" s="2" t="s">
        <v>35</v>
      </c>
      <c r="I1185" s="3">
        <v>33941</v>
      </c>
      <c r="J1185" s="9" t="str">
        <f t="shared" ca="1" si="20"/>
        <v>30 ans</v>
      </c>
      <c r="K1185" s="2" t="s">
        <v>36</v>
      </c>
      <c r="L1185" s="2" t="str">
        <f>"41"</f>
        <v>41</v>
      </c>
      <c r="M1185" s="2"/>
      <c r="N1185" s="2" t="str">
        <f>"AVENUE SAINT LOUIS"</f>
        <v>AVENUE SAINT LOUIS</v>
      </c>
      <c r="O1185" s="2" t="s">
        <v>3185</v>
      </c>
      <c r="P1185" s="9" t="str">
        <f>VLOOKUP($O1185,'Liste des Villes'!$B$2:$B$1128,1,FALSE)</f>
        <v>Saint-Jérôme</v>
      </c>
      <c r="Q1185" s="9" t="str">
        <f>IFERROR($P1185,PROPER(VLOOKUP($O1185,'Villes en erreur'!$A$2:$B$72,2,FALSE)))</f>
        <v>Saint-Jérôme</v>
      </c>
      <c r="R1185" s="9" t="s">
        <v>3186</v>
      </c>
      <c r="S1185" s="9" t="str">
        <f>IF(ISBLANK($R1185),"",VLOOKUP($R1185,'Liste des Villes'!$B$2:$H$1128,4,FALSE))</f>
        <v>Laurentides</v>
      </c>
      <c r="T1185" s="2" t="s">
        <v>3093</v>
      </c>
      <c r="U1185" s="2" t="s">
        <v>39</v>
      </c>
      <c r="V1185" s="2" t="s">
        <v>40</v>
      </c>
      <c r="W1185" s="2" t="s">
        <v>6198</v>
      </c>
      <c r="X1185" s="2"/>
      <c r="Y1185" s="2"/>
      <c r="Z1185" s="2"/>
      <c r="AA1185" s="2" t="s">
        <v>3207</v>
      </c>
      <c r="AB1185" s="2" t="s">
        <v>53</v>
      </c>
      <c r="AC1185" s="4" t="s">
        <v>44</v>
      </c>
    </row>
    <row r="1186" spans="1:29" x14ac:dyDescent="0.25">
      <c r="A1186" s="1">
        <v>1878</v>
      </c>
      <c r="B1186" s="17" t="s">
        <v>6199</v>
      </c>
      <c r="C1186" s="2" t="s">
        <v>6200</v>
      </c>
      <c r="D1186" s="15" t="s">
        <v>6085</v>
      </c>
      <c r="E1186" s="9" t="s">
        <v>3668</v>
      </c>
      <c r="F1186" s="9" t="s">
        <v>6083</v>
      </c>
      <c r="G1186" s="9" t="s">
        <v>332</v>
      </c>
      <c r="H1186" s="2" t="s">
        <v>60</v>
      </c>
      <c r="I1186" s="3">
        <v>35548</v>
      </c>
      <c r="J1186" s="9" t="str">
        <f t="shared" ca="1" si="20"/>
        <v>26 ans</v>
      </c>
      <c r="K1186" s="2" t="s">
        <v>36</v>
      </c>
      <c r="L1186" s="2" t="str">
        <f>"123"</f>
        <v>123</v>
      </c>
      <c r="M1186" s="2"/>
      <c r="N1186" s="2" t="str">
        <f>"CÔTE ST-NICHOLAS"</f>
        <v>CÔTE ST-NICHOLAS</v>
      </c>
      <c r="O1186" s="2" t="s">
        <v>3185</v>
      </c>
      <c r="P1186" s="9" t="str">
        <f>VLOOKUP($O1186,'Liste des Villes'!$B$2:$B$1128,1,FALSE)</f>
        <v>Saint-Jérôme</v>
      </c>
      <c r="Q1186" s="9" t="str">
        <f>IFERROR($P1186,PROPER(VLOOKUP($O1186,'Villes en erreur'!$A$2:$B$72,2,FALSE)))</f>
        <v>Saint-Jérôme</v>
      </c>
      <c r="R1186" s="9" t="s">
        <v>3186</v>
      </c>
      <c r="S1186" s="9" t="str">
        <f>IF(ISBLANK($R1186),"",VLOOKUP($R1186,'Liste des Villes'!$B$2:$H$1128,4,FALSE))</f>
        <v>Laurentides</v>
      </c>
      <c r="T1186" s="2" t="s">
        <v>3740</v>
      </c>
      <c r="U1186" s="2" t="s">
        <v>39</v>
      </c>
      <c r="V1186" s="2" t="s">
        <v>40</v>
      </c>
      <c r="W1186" s="2" t="s">
        <v>6201</v>
      </c>
      <c r="X1186" s="2"/>
      <c r="Y1186" s="2"/>
      <c r="Z1186" s="2"/>
      <c r="AA1186" s="2" t="s">
        <v>3199</v>
      </c>
      <c r="AB1186" s="2" t="s">
        <v>3221</v>
      </c>
      <c r="AC1186" s="4" t="s">
        <v>44</v>
      </c>
    </row>
    <row r="1187" spans="1:29" x14ac:dyDescent="0.25">
      <c r="A1187" s="1">
        <v>3946</v>
      </c>
      <c r="B1187" s="17" t="s">
        <v>6202</v>
      </c>
      <c r="C1187" s="2" t="s">
        <v>6203</v>
      </c>
      <c r="D1187" s="15" t="s">
        <v>6204</v>
      </c>
      <c r="E1187" s="9" t="s">
        <v>1524</v>
      </c>
      <c r="F1187" s="9" t="s">
        <v>6205</v>
      </c>
      <c r="G1187" s="9" t="s">
        <v>6206</v>
      </c>
      <c r="H1187" s="2" t="s">
        <v>60</v>
      </c>
      <c r="I1187" s="3">
        <v>34075</v>
      </c>
      <c r="J1187" s="9" t="str">
        <f t="shared" ca="1" si="20"/>
        <v>30 ans</v>
      </c>
      <c r="K1187" s="2" t="s">
        <v>36</v>
      </c>
      <c r="L1187" s="2" t="str">
        <f>"45"</f>
        <v>45</v>
      </c>
      <c r="M1187" s="2"/>
      <c r="N1187" s="2" t="str">
        <f>"BOUL. SAINT-LAURENT"</f>
        <v>BOUL. SAINT-LAURENT</v>
      </c>
      <c r="O1187" s="2" t="s">
        <v>3185</v>
      </c>
      <c r="P1187" s="9" t="str">
        <f>VLOOKUP($O1187,'Liste des Villes'!$B$2:$B$1128,1,FALSE)</f>
        <v>Saint-Jérôme</v>
      </c>
      <c r="Q1187" s="9" t="str">
        <f>IFERROR($P1187,PROPER(VLOOKUP($O1187,'Villes en erreur'!$A$2:$B$72,2,FALSE)))</f>
        <v>Saint-Jérôme</v>
      </c>
      <c r="R1187" s="9" t="s">
        <v>3186</v>
      </c>
      <c r="S1187" s="9" t="str">
        <f>IF(ISBLANK($R1187),"",VLOOKUP($R1187,'Liste des Villes'!$B$2:$H$1128,4,FALSE))</f>
        <v>Laurentides</v>
      </c>
      <c r="T1187" s="2" t="s">
        <v>3358</v>
      </c>
      <c r="U1187" s="2" t="s">
        <v>39</v>
      </c>
      <c r="V1187" s="2" t="s">
        <v>40</v>
      </c>
      <c r="W1187" s="2" t="s">
        <v>6207</v>
      </c>
      <c r="X1187" s="2"/>
      <c r="Y1187" s="2"/>
      <c r="Z1187" s="2"/>
      <c r="AA1187" s="2" t="s">
        <v>3360</v>
      </c>
      <c r="AB1187" s="2" t="s">
        <v>53</v>
      </c>
      <c r="AC1187" s="4" t="s">
        <v>44</v>
      </c>
    </row>
    <row r="1188" spans="1:29" x14ac:dyDescent="0.25">
      <c r="A1188" s="1">
        <v>1476</v>
      </c>
      <c r="B1188" s="17" t="s">
        <v>6208</v>
      </c>
      <c r="C1188" s="2" t="s">
        <v>2904</v>
      </c>
      <c r="D1188" s="15" t="s">
        <v>2350</v>
      </c>
      <c r="E1188" s="9" t="s">
        <v>1410</v>
      </c>
      <c r="F1188" s="9" t="s">
        <v>1523</v>
      </c>
      <c r="G1188" s="9" t="s">
        <v>600</v>
      </c>
      <c r="H1188" s="2" t="s">
        <v>60</v>
      </c>
      <c r="I1188" s="3">
        <v>35994</v>
      </c>
      <c r="J1188" s="9" t="str">
        <f t="shared" ca="1" si="20"/>
        <v>25 ans</v>
      </c>
      <c r="K1188" s="2" t="s">
        <v>123</v>
      </c>
      <c r="L1188" s="2" t="str">
        <f>"173"</f>
        <v>173</v>
      </c>
      <c r="M1188" s="2"/>
      <c r="N1188" s="2" t="str">
        <f>"PLACE DE L'ACADIE"</f>
        <v>PLACE DE L'ACADIE</v>
      </c>
      <c r="O1188" s="2" t="s">
        <v>3185</v>
      </c>
      <c r="P1188" s="9" t="str">
        <f>VLOOKUP($O1188,'Liste des Villes'!$B$2:$B$1128,1,FALSE)</f>
        <v>Saint-Jérôme</v>
      </c>
      <c r="Q1188" s="9" t="str">
        <f>IFERROR($P1188,PROPER(VLOOKUP($O1188,'Villes en erreur'!$A$2:$B$72,2,FALSE)))</f>
        <v>Saint-Jérôme</v>
      </c>
      <c r="R1188" s="9" t="s">
        <v>3186</v>
      </c>
      <c r="S1188" s="9" t="str">
        <f>IF(ISBLANK($R1188),"",VLOOKUP($R1188,'Liste des Villes'!$B$2:$H$1128,4,FALSE))</f>
        <v>Laurentides</v>
      </c>
      <c r="T1188" s="2" t="s">
        <v>4386</v>
      </c>
      <c r="U1188" s="2" t="s">
        <v>39</v>
      </c>
      <c r="V1188" s="2" t="s">
        <v>40</v>
      </c>
      <c r="W1188" s="2" t="s">
        <v>6209</v>
      </c>
      <c r="X1188" s="2"/>
      <c r="Y1188" s="2"/>
      <c r="Z1188" s="2"/>
      <c r="AA1188" s="2" t="s">
        <v>832</v>
      </c>
      <c r="AB1188" s="2" t="s">
        <v>3221</v>
      </c>
      <c r="AC1188" s="4" t="s">
        <v>44</v>
      </c>
    </row>
    <row r="1189" spans="1:29" x14ac:dyDescent="0.25">
      <c r="A1189" s="1">
        <v>4099</v>
      </c>
      <c r="B1189" s="17" t="s">
        <v>6210</v>
      </c>
      <c r="C1189" s="2" t="s">
        <v>6211</v>
      </c>
      <c r="D1189" s="15" t="s">
        <v>144</v>
      </c>
      <c r="E1189" s="9" t="s">
        <v>3074</v>
      </c>
      <c r="F1189" s="9" t="s">
        <v>4479</v>
      </c>
      <c r="G1189" s="9" t="s">
        <v>4474</v>
      </c>
      <c r="H1189" s="2" t="s">
        <v>60</v>
      </c>
      <c r="I1189" s="3">
        <v>35942</v>
      </c>
      <c r="J1189" s="9" t="str">
        <f t="shared" ca="1" si="20"/>
        <v>25 ans</v>
      </c>
      <c r="K1189" s="2" t="s">
        <v>123</v>
      </c>
      <c r="L1189" s="2" t="str">
        <f>"166"</f>
        <v>166</v>
      </c>
      <c r="M1189" s="2"/>
      <c r="N1189" s="2" t="str">
        <f>"MONTEE SAINTE-THÉRÈSE"</f>
        <v>MONTEE SAINTE-THÉRÈSE</v>
      </c>
      <c r="O1189" s="2" t="s">
        <v>3185</v>
      </c>
      <c r="P1189" s="9" t="str">
        <f>VLOOKUP($O1189,'Liste des Villes'!$B$2:$B$1128,1,FALSE)</f>
        <v>Saint-Jérôme</v>
      </c>
      <c r="Q1189" s="9" t="str">
        <f>IFERROR($P1189,PROPER(VLOOKUP($O1189,'Villes en erreur'!$A$2:$B$72,2,FALSE)))</f>
        <v>Saint-Jérôme</v>
      </c>
      <c r="R1189" s="9" t="s">
        <v>3186</v>
      </c>
      <c r="S1189" s="9" t="str">
        <f>IF(ISBLANK($R1189),"",VLOOKUP($R1189,'Liste des Villes'!$B$2:$H$1128,4,FALSE))</f>
        <v>Laurentides</v>
      </c>
      <c r="T1189" s="2" t="s">
        <v>6212</v>
      </c>
      <c r="U1189" s="2" t="s">
        <v>39</v>
      </c>
      <c r="V1189" s="2" t="s">
        <v>40</v>
      </c>
      <c r="W1189" s="2" t="s">
        <v>6213</v>
      </c>
      <c r="X1189" s="2"/>
      <c r="Y1189" s="2"/>
      <c r="Z1189" s="2"/>
      <c r="AA1189" s="2" t="s">
        <v>832</v>
      </c>
      <c r="AB1189" s="2" t="s">
        <v>3221</v>
      </c>
      <c r="AC1189" s="4" t="s">
        <v>44</v>
      </c>
    </row>
    <row r="1190" spans="1:29" x14ac:dyDescent="0.25">
      <c r="A1190" s="1">
        <v>52</v>
      </c>
      <c r="B1190" s="17" t="s">
        <v>6214</v>
      </c>
      <c r="C1190" s="2" t="s">
        <v>4843</v>
      </c>
      <c r="D1190" s="15" t="s">
        <v>934</v>
      </c>
      <c r="E1190" s="9" t="s">
        <v>50</v>
      </c>
      <c r="F1190" s="9" t="s">
        <v>1995</v>
      </c>
      <c r="G1190" s="9" t="s">
        <v>4822</v>
      </c>
      <c r="H1190" s="2" t="s">
        <v>35</v>
      </c>
      <c r="I1190" s="3">
        <v>35060</v>
      </c>
      <c r="J1190" s="9" t="str">
        <f t="shared" ca="1" si="20"/>
        <v>27 ans</v>
      </c>
      <c r="K1190" s="2" t="s">
        <v>36</v>
      </c>
      <c r="L1190" s="2" t="str">
        <f>"100"</f>
        <v>100</v>
      </c>
      <c r="M1190" s="2"/>
      <c r="N1190" s="2" t="str">
        <f>"CH DU SOLEIL-LEVANT"</f>
        <v>CH DU SOLEIL-LEVANT</v>
      </c>
      <c r="O1190" s="2" t="s">
        <v>3185</v>
      </c>
      <c r="P1190" s="9" t="str">
        <f>VLOOKUP($O1190,'Liste des Villes'!$B$2:$B$1128,1,FALSE)</f>
        <v>Saint-Jérôme</v>
      </c>
      <c r="Q1190" s="9" t="str">
        <f>IFERROR($P1190,PROPER(VLOOKUP($O1190,'Villes en erreur'!$A$2:$B$72,2,FALSE)))</f>
        <v>Saint-Jérôme</v>
      </c>
      <c r="R1190" s="9" t="s">
        <v>3186</v>
      </c>
      <c r="S1190" s="9" t="str">
        <f>IF(ISBLANK($R1190),"",VLOOKUP($R1190,'Liste des Villes'!$B$2:$H$1128,4,FALSE))</f>
        <v>Laurentides</v>
      </c>
      <c r="T1190" s="2" t="s">
        <v>3187</v>
      </c>
      <c r="U1190" s="2" t="s">
        <v>39</v>
      </c>
      <c r="V1190" s="2" t="s">
        <v>40</v>
      </c>
      <c r="W1190" s="2" t="s">
        <v>6215</v>
      </c>
      <c r="X1190" s="2"/>
      <c r="Y1190" s="2"/>
      <c r="Z1190" s="2"/>
      <c r="AA1190" s="2" t="s">
        <v>3189</v>
      </c>
      <c r="AB1190" s="2" t="s">
        <v>3190</v>
      </c>
      <c r="AC1190" s="4" t="s">
        <v>44</v>
      </c>
    </row>
    <row r="1191" spans="1:29" x14ac:dyDescent="0.25">
      <c r="A1191" s="1">
        <v>2441</v>
      </c>
      <c r="B1191" s="17" t="s">
        <v>6216</v>
      </c>
      <c r="C1191" s="2" t="s">
        <v>1370</v>
      </c>
      <c r="D1191" s="15" t="s">
        <v>1092</v>
      </c>
      <c r="E1191" s="9" t="s">
        <v>92</v>
      </c>
      <c r="F1191" s="9" t="s">
        <v>1371</v>
      </c>
      <c r="G1191" s="9" t="s">
        <v>3098</v>
      </c>
      <c r="H1191" s="2" t="s">
        <v>60</v>
      </c>
      <c r="I1191" s="3">
        <v>35354</v>
      </c>
      <c r="J1191" s="9" t="str">
        <f t="shared" ca="1" si="20"/>
        <v>26 ans</v>
      </c>
      <c r="K1191" s="2" t="s">
        <v>36</v>
      </c>
      <c r="L1191" s="2" t="str">
        <f>"111"</f>
        <v>111</v>
      </c>
      <c r="M1191" s="2"/>
      <c r="N1191" s="2" t="str">
        <f>"CHEMIN DES ORMES"</f>
        <v>CHEMIN DES ORMES</v>
      </c>
      <c r="O1191" s="2" t="s">
        <v>3185</v>
      </c>
      <c r="P1191" s="9" t="str">
        <f>VLOOKUP($O1191,'Liste des Villes'!$B$2:$B$1128,1,FALSE)</f>
        <v>Saint-Jérôme</v>
      </c>
      <c r="Q1191" s="9" t="str">
        <f>IFERROR($P1191,PROPER(VLOOKUP($O1191,'Villes en erreur'!$A$2:$B$72,2,FALSE)))</f>
        <v>Saint-Jérôme</v>
      </c>
      <c r="R1191" s="9" t="s">
        <v>3186</v>
      </c>
      <c r="S1191" s="9" t="str">
        <f>IF(ISBLANK($R1191),"",VLOOKUP($R1191,'Liste des Villes'!$B$2:$H$1128,4,FALSE))</f>
        <v>Laurentides</v>
      </c>
      <c r="T1191" s="2" t="s">
        <v>3524</v>
      </c>
      <c r="U1191" s="2" t="s">
        <v>39</v>
      </c>
      <c r="V1191" s="2" t="s">
        <v>40</v>
      </c>
      <c r="W1191" s="2" t="s">
        <v>6217</v>
      </c>
      <c r="X1191" s="2"/>
      <c r="Y1191" s="2"/>
      <c r="Z1191" s="2"/>
      <c r="AA1191" s="2" t="s">
        <v>3189</v>
      </c>
      <c r="AB1191" s="2" t="s">
        <v>3200</v>
      </c>
      <c r="AC1191" s="4" t="s">
        <v>44</v>
      </c>
    </row>
    <row r="1192" spans="1:29" x14ac:dyDescent="0.25">
      <c r="A1192" s="1">
        <v>1979</v>
      </c>
      <c r="B1192" s="17" t="s">
        <v>6218</v>
      </c>
      <c r="C1192" s="2" t="s">
        <v>6219</v>
      </c>
      <c r="D1192" s="15" t="s">
        <v>6220</v>
      </c>
      <c r="E1192" s="9" t="s">
        <v>1689</v>
      </c>
      <c r="F1192" s="9" t="s">
        <v>6221</v>
      </c>
      <c r="G1192" s="9" t="s">
        <v>1024</v>
      </c>
      <c r="H1192" s="2" t="s">
        <v>35</v>
      </c>
      <c r="I1192" s="3">
        <v>36163</v>
      </c>
      <c r="J1192" s="9" t="str">
        <f t="shared" ca="1" si="20"/>
        <v>24 ans</v>
      </c>
      <c r="K1192" s="2" t="s">
        <v>123</v>
      </c>
      <c r="L1192" s="2" t="str">
        <f>"226"</f>
        <v>226</v>
      </c>
      <c r="M1192" s="2"/>
      <c r="N1192" s="2" t="str">
        <f>"RUE ALFRED-PELLAN"</f>
        <v>RUE ALFRED-PELLAN</v>
      </c>
      <c r="O1192" s="2" t="s">
        <v>3185</v>
      </c>
      <c r="P1192" s="9" t="str">
        <f>VLOOKUP($O1192,'Liste des Villes'!$B$2:$B$1128,1,FALSE)</f>
        <v>Saint-Jérôme</v>
      </c>
      <c r="Q1192" s="9" t="str">
        <f>IFERROR($P1192,PROPER(VLOOKUP($O1192,'Villes en erreur'!$A$2:$B$72,2,FALSE)))</f>
        <v>Saint-Jérôme</v>
      </c>
      <c r="R1192" s="9" t="s">
        <v>3186</v>
      </c>
      <c r="S1192" s="9" t="str">
        <f>IF(ISBLANK($R1192),"",VLOOKUP($R1192,'Liste des Villes'!$B$2:$H$1128,4,FALSE))</f>
        <v>Laurentides</v>
      </c>
      <c r="T1192" s="2" t="s">
        <v>6222</v>
      </c>
      <c r="U1192" s="2" t="s">
        <v>39</v>
      </c>
      <c r="V1192" s="2" t="s">
        <v>40</v>
      </c>
      <c r="W1192" s="2" t="s">
        <v>6223</v>
      </c>
      <c r="X1192" s="2"/>
      <c r="Y1192" s="2"/>
      <c r="Z1192" s="2"/>
      <c r="AA1192" s="2" t="s">
        <v>832</v>
      </c>
      <c r="AB1192" s="2" t="s">
        <v>3221</v>
      </c>
      <c r="AC1192" s="4" t="s">
        <v>44</v>
      </c>
    </row>
    <row r="1193" spans="1:29" x14ac:dyDescent="0.25">
      <c r="A1193" s="1">
        <v>1895</v>
      </c>
      <c r="B1193" s="17" t="s">
        <v>6224</v>
      </c>
      <c r="C1193" s="2" t="s">
        <v>954</v>
      </c>
      <c r="D1193" s="15" t="s">
        <v>955</v>
      </c>
      <c r="E1193" s="9" t="s">
        <v>956</v>
      </c>
      <c r="F1193" s="9" t="s">
        <v>957</v>
      </c>
      <c r="G1193" s="9" t="s">
        <v>643</v>
      </c>
      <c r="H1193" s="2" t="s">
        <v>60</v>
      </c>
      <c r="I1193" s="3">
        <v>34935</v>
      </c>
      <c r="J1193" s="9" t="str">
        <f t="shared" ca="1" si="20"/>
        <v>28 ans</v>
      </c>
      <c r="K1193" s="2" t="s">
        <v>36</v>
      </c>
      <c r="L1193" s="2" t="str">
        <f>"85"</f>
        <v>85</v>
      </c>
      <c r="M1193" s="2"/>
      <c r="N1193" s="2" t="str">
        <f>"CH DU BELVÉDÈRE"</f>
        <v>CH DU BELVÉDÈRE</v>
      </c>
      <c r="O1193" s="2" t="s">
        <v>3185</v>
      </c>
      <c r="P1193" s="9" t="str">
        <f>VLOOKUP($O1193,'Liste des Villes'!$B$2:$B$1128,1,FALSE)</f>
        <v>Saint-Jérôme</v>
      </c>
      <c r="Q1193" s="9" t="str">
        <f>IFERROR($P1193,PROPER(VLOOKUP($O1193,'Villes en erreur'!$A$2:$B$72,2,FALSE)))</f>
        <v>Saint-Jérôme</v>
      </c>
      <c r="R1193" s="9" t="s">
        <v>3186</v>
      </c>
      <c r="S1193" s="9" t="str">
        <f>IF(ISBLANK($R1193),"",VLOOKUP($R1193,'Liste des Villes'!$B$2:$H$1128,4,FALSE))</f>
        <v>Laurentides</v>
      </c>
      <c r="T1193" s="2" t="s">
        <v>3187</v>
      </c>
      <c r="U1193" s="2" t="s">
        <v>39</v>
      </c>
      <c r="V1193" s="2" t="s">
        <v>40</v>
      </c>
      <c r="W1193" s="2" t="s">
        <v>6225</v>
      </c>
      <c r="X1193" s="2"/>
      <c r="Y1193" s="2"/>
      <c r="Z1193" s="2"/>
      <c r="AA1193" s="2" t="s">
        <v>3231</v>
      </c>
      <c r="AB1193" s="2" t="s">
        <v>53</v>
      </c>
      <c r="AC1193" s="4" t="s">
        <v>44</v>
      </c>
    </row>
    <row r="1194" spans="1:29" x14ac:dyDescent="0.25">
      <c r="A1194" s="1">
        <v>3817</v>
      </c>
      <c r="B1194" s="17" t="s">
        <v>6226</v>
      </c>
      <c r="C1194" s="2" t="s">
        <v>5321</v>
      </c>
      <c r="D1194" s="15" t="s">
        <v>4353</v>
      </c>
      <c r="E1194" s="9" t="s">
        <v>179</v>
      </c>
      <c r="F1194" s="9" t="s">
        <v>6227</v>
      </c>
      <c r="G1194" s="9" t="s">
        <v>4887</v>
      </c>
      <c r="H1194" s="2" t="s">
        <v>60</v>
      </c>
      <c r="I1194" s="3">
        <v>35373</v>
      </c>
      <c r="J1194" s="9" t="str">
        <f t="shared" ca="1" si="20"/>
        <v>26 ans</v>
      </c>
      <c r="K1194" s="2" t="s">
        <v>36</v>
      </c>
      <c r="L1194" s="2" t="str">
        <f>"112"</f>
        <v>112</v>
      </c>
      <c r="M1194" s="2"/>
      <c r="N1194" s="2" t="str">
        <f>"CHEMIN DIOTTE NORD"</f>
        <v>CHEMIN DIOTTE NORD</v>
      </c>
      <c r="O1194" s="2" t="s">
        <v>3185</v>
      </c>
      <c r="P1194" s="9" t="str">
        <f>VLOOKUP($O1194,'Liste des Villes'!$B$2:$B$1128,1,FALSE)</f>
        <v>Saint-Jérôme</v>
      </c>
      <c r="Q1194" s="9" t="str">
        <f>IFERROR($P1194,PROPER(VLOOKUP($O1194,'Villes en erreur'!$A$2:$B$72,2,FALSE)))</f>
        <v>Saint-Jérôme</v>
      </c>
      <c r="R1194" s="9" t="s">
        <v>3186</v>
      </c>
      <c r="S1194" s="9" t="str">
        <f>IF(ISBLANK($R1194),"",VLOOKUP($R1194,'Liste des Villes'!$B$2:$H$1128,4,FALSE))</f>
        <v>Laurentides</v>
      </c>
      <c r="T1194" s="2" t="s">
        <v>4888</v>
      </c>
      <c r="U1194" s="2" t="s">
        <v>39</v>
      </c>
      <c r="V1194" s="2" t="s">
        <v>40</v>
      </c>
      <c r="W1194" s="2" t="s">
        <v>6228</v>
      </c>
      <c r="X1194" s="2"/>
      <c r="Y1194" s="2"/>
      <c r="Z1194" s="2"/>
      <c r="AA1194" s="2" t="s">
        <v>3189</v>
      </c>
      <c r="AB1194" s="2" t="s">
        <v>3200</v>
      </c>
      <c r="AC1194" s="4" t="s">
        <v>44</v>
      </c>
    </row>
    <row r="1195" spans="1:29" x14ac:dyDescent="0.25">
      <c r="A1195" s="1">
        <v>117</v>
      </c>
      <c r="B1195" s="17" t="s">
        <v>6229</v>
      </c>
      <c r="C1195" s="2" t="s">
        <v>6230</v>
      </c>
      <c r="D1195" s="15" t="s">
        <v>1913</v>
      </c>
      <c r="E1195" s="9" t="s">
        <v>622</v>
      </c>
      <c r="F1195" s="9" t="s">
        <v>1912</v>
      </c>
      <c r="G1195" s="9" t="s">
        <v>996</v>
      </c>
      <c r="H1195" s="2" t="s">
        <v>60</v>
      </c>
      <c r="I1195" s="3">
        <v>35032</v>
      </c>
      <c r="J1195" s="9" t="str">
        <f t="shared" ca="1" si="20"/>
        <v>27 ans</v>
      </c>
      <c r="K1195" s="2" t="s">
        <v>36</v>
      </c>
      <c r="L1195" s="2" t="str">
        <f>"96"</f>
        <v>96</v>
      </c>
      <c r="M1195" s="2"/>
      <c r="N1195" s="2" t="str">
        <f>"CH DU MONT-SAUVAGE"</f>
        <v>CH DU MONT-SAUVAGE</v>
      </c>
      <c r="O1195" s="2" t="s">
        <v>3185</v>
      </c>
      <c r="P1195" s="9" t="str">
        <f>VLOOKUP($O1195,'Liste des Villes'!$B$2:$B$1128,1,FALSE)</f>
        <v>Saint-Jérôme</v>
      </c>
      <c r="Q1195" s="9" t="str">
        <f>IFERROR($P1195,PROPER(VLOOKUP($O1195,'Villes en erreur'!$A$2:$B$72,2,FALSE)))</f>
        <v>Saint-Jérôme</v>
      </c>
      <c r="R1195" s="9" t="s">
        <v>3186</v>
      </c>
      <c r="S1195" s="9" t="str">
        <f>IF(ISBLANK($R1195),"",VLOOKUP($R1195,'Liste des Villes'!$B$2:$H$1128,4,FALSE))</f>
        <v>Laurentides</v>
      </c>
      <c r="T1195" s="2" t="s">
        <v>3187</v>
      </c>
      <c r="U1195" s="2" t="s">
        <v>39</v>
      </c>
      <c r="V1195" s="2" t="s">
        <v>40</v>
      </c>
      <c r="W1195" s="2" t="s">
        <v>6231</v>
      </c>
      <c r="X1195" s="2"/>
      <c r="Y1195" s="2"/>
      <c r="Z1195" s="2"/>
      <c r="AA1195" s="2" t="s">
        <v>3189</v>
      </c>
      <c r="AB1195" s="2" t="s">
        <v>53</v>
      </c>
      <c r="AC1195" s="4" t="s">
        <v>44</v>
      </c>
    </row>
    <row r="1196" spans="1:29" x14ac:dyDescent="0.25">
      <c r="A1196" s="1">
        <v>3250</v>
      </c>
      <c r="B1196" s="17" t="s">
        <v>6232</v>
      </c>
      <c r="C1196" s="2" t="s">
        <v>6233</v>
      </c>
      <c r="D1196" s="15" t="s">
        <v>6234</v>
      </c>
      <c r="E1196" s="9" t="s">
        <v>698</v>
      </c>
      <c r="F1196" s="9" t="s">
        <v>1117</v>
      </c>
      <c r="G1196" s="9" t="s">
        <v>6235</v>
      </c>
      <c r="H1196" s="2" t="s">
        <v>35</v>
      </c>
      <c r="I1196" s="3">
        <v>35053</v>
      </c>
      <c r="J1196" s="9" t="str">
        <f t="shared" ca="1" si="20"/>
        <v>27 ans</v>
      </c>
      <c r="K1196" s="2" t="s">
        <v>36</v>
      </c>
      <c r="L1196" s="2" t="str">
        <f>"99"</f>
        <v>99</v>
      </c>
      <c r="M1196" s="2"/>
      <c r="N1196" s="2" t="str">
        <f>"CH DU RAPIDE"</f>
        <v>CH DU RAPIDE</v>
      </c>
      <c r="O1196" s="2" t="s">
        <v>3185</v>
      </c>
      <c r="P1196" s="9" t="str">
        <f>VLOOKUP($O1196,'Liste des Villes'!$B$2:$B$1128,1,FALSE)</f>
        <v>Saint-Jérôme</v>
      </c>
      <c r="Q1196" s="9" t="str">
        <f>IFERROR($P1196,PROPER(VLOOKUP($O1196,'Villes en erreur'!$A$2:$B$72,2,FALSE)))</f>
        <v>Saint-Jérôme</v>
      </c>
      <c r="R1196" s="9" t="s">
        <v>3186</v>
      </c>
      <c r="S1196" s="9" t="str">
        <f>IF(ISBLANK($R1196),"",VLOOKUP($R1196,'Liste des Villes'!$B$2:$H$1128,4,FALSE))</f>
        <v>Laurentides</v>
      </c>
      <c r="T1196" s="2" t="s">
        <v>3187</v>
      </c>
      <c r="U1196" s="2" t="s">
        <v>39</v>
      </c>
      <c r="V1196" s="2" t="s">
        <v>40</v>
      </c>
      <c r="W1196" s="2" t="s">
        <v>6236</v>
      </c>
      <c r="X1196" s="2"/>
      <c r="Y1196" s="2"/>
      <c r="Z1196" s="2"/>
      <c r="AA1196" s="2" t="s">
        <v>3189</v>
      </c>
      <c r="AB1196" s="2" t="s">
        <v>3443</v>
      </c>
      <c r="AC1196" s="4" t="s">
        <v>44</v>
      </c>
    </row>
    <row r="1197" spans="1:29" x14ac:dyDescent="0.25">
      <c r="A1197" s="1">
        <v>2178</v>
      </c>
      <c r="B1197" s="17" t="s">
        <v>6237</v>
      </c>
      <c r="C1197" s="2" t="s">
        <v>6238</v>
      </c>
      <c r="D1197" s="15" t="s">
        <v>6239</v>
      </c>
      <c r="E1197" s="9" t="s">
        <v>271</v>
      </c>
      <c r="F1197" s="9" t="s">
        <v>6240</v>
      </c>
      <c r="G1197" s="9" t="s">
        <v>495</v>
      </c>
      <c r="H1197" s="2" t="s">
        <v>35</v>
      </c>
      <c r="I1197" s="3">
        <v>34481</v>
      </c>
      <c r="J1197" s="9" t="str">
        <f t="shared" ca="1" si="20"/>
        <v>29 ans</v>
      </c>
      <c r="K1197" s="2" t="s">
        <v>36</v>
      </c>
      <c r="L1197" s="2" t="str">
        <f>"60"</f>
        <v>60</v>
      </c>
      <c r="M1197" s="2"/>
      <c r="N1197" s="2" t="str">
        <f>"CH ALPINE"</f>
        <v>CH ALPINE</v>
      </c>
      <c r="O1197" s="2" t="s">
        <v>3185</v>
      </c>
      <c r="P1197" s="9" t="str">
        <f>VLOOKUP($O1197,'Liste des Villes'!$B$2:$B$1128,1,FALSE)</f>
        <v>Saint-Jérôme</v>
      </c>
      <c r="Q1197" s="9" t="str">
        <f>IFERROR($P1197,PROPER(VLOOKUP($O1197,'Villes en erreur'!$A$2:$B$72,2,FALSE)))</f>
        <v>Saint-Jérôme</v>
      </c>
      <c r="R1197" s="9" t="s">
        <v>3186</v>
      </c>
      <c r="S1197" s="9" t="str">
        <f>IF(ISBLANK($R1197),"",VLOOKUP($R1197,'Liste des Villes'!$B$2:$H$1128,4,FALSE))</f>
        <v>Laurentides</v>
      </c>
      <c r="T1197" s="2" t="s">
        <v>3507</v>
      </c>
      <c r="U1197" s="2" t="s">
        <v>39</v>
      </c>
      <c r="V1197" s="2" t="s">
        <v>40</v>
      </c>
      <c r="W1197" s="2" t="s">
        <v>6241</v>
      </c>
      <c r="X1197" s="2"/>
      <c r="Y1197" s="2"/>
      <c r="Z1197" s="2"/>
      <c r="AA1197" s="2" t="s">
        <v>3293</v>
      </c>
      <c r="AB1197" s="2" t="s">
        <v>53</v>
      </c>
      <c r="AC1197" s="4" t="s">
        <v>44</v>
      </c>
    </row>
    <row r="1198" spans="1:29" x14ac:dyDescent="0.25">
      <c r="A1198" s="1">
        <v>2770</v>
      </c>
      <c r="B1198" s="17" t="s">
        <v>6242</v>
      </c>
      <c r="C1198" s="2" t="s">
        <v>6243</v>
      </c>
      <c r="D1198" s="15" t="s">
        <v>2010</v>
      </c>
      <c r="E1198" s="9" t="s">
        <v>6244</v>
      </c>
      <c r="F1198" s="9" t="s">
        <v>1076</v>
      </c>
      <c r="G1198" s="9" t="s">
        <v>2433</v>
      </c>
      <c r="H1198" s="2" t="s">
        <v>60</v>
      </c>
      <c r="I1198" s="3">
        <v>34065</v>
      </c>
      <c r="J1198" s="9" t="str">
        <f t="shared" ca="1" si="20"/>
        <v>30 ans</v>
      </c>
      <c r="K1198" s="2" t="s">
        <v>36</v>
      </c>
      <c r="L1198" s="2" t="str">
        <f>"45"</f>
        <v>45</v>
      </c>
      <c r="M1198" s="2"/>
      <c r="N1198" s="2" t="str">
        <f>"BOUL. LOUIS-JOSEPH RODRIGUE"</f>
        <v>BOUL. LOUIS-JOSEPH RODRIGUE</v>
      </c>
      <c r="O1198" s="2" t="s">
        <v>3186</v>
      </c>
      <c r="P1198" s="9" t="str">
        <f>VLOOKUP($O1198,'Liste des Villes'!$B$2:$B$1128,1,FALSE)</f>
        <v>Saint-Jérôme</v>
      </c>
      <c r="Q1198" s="9" t="str">
        <f>IFERROR($P1198,PROPER(VLOOKUP($O1198,'Villes en erreur'!$A$2:$B$72,2,FALSE)))</f>
        <v>Saint-Jérôme</v>
      </c>
      <c r="R1198" s="9" t="s">
        <v>3186</v>
      </c>
      <c r="S1198" s="9" t="str">
        <f>IF(ISBLANK($R1198),"",VLOOKUP($R1198,'Liste des Villes'!$B$2:$H$1128,4,FALSE))</f>
        <v>Laurentides</v>
      </c>
      <c r="T1198" s="2" t="s">
        <v>3358</v>
      </c>
      <c r="U1198" s="2" t="s">
        <v>39</v>
      </c>
      <c r="V1198" s="2" t="s">
        <v>40</v>
      </c>
      <c r="W1198" s="2" t="s">
        <v>6245</v>
      </c>
      <c r="X1198" s="2"/>
      <c r="Y1198" s="2"/>
      <c r="Z1198" s="2"/>
      <c r="AA1198" s="2" t="s">
        <v>3360</v>
      </c>
      <c r="AB1198" s="2" t="s">
        <v>53</v>
      </c>
      <c r="AC1198" s="4" t="s">
        <v>44</v>
      </c>
    </row>
    <row r="1199" spans="1:29" x14ac:dyDescent="0.25">
      <c r="A1199" s="1">
        <v>3742</v>
      </c>
      <c r="B1199" s="17" t="s">
        <v>6246</v>
      </c>
      <c r="C1199" s="2" t="s">
        <v>6247</v>
      </c>
      <c r="D1199" s="15" t="s">
        <v>6248</v>
      </c>
      <c r="E1199" s="9" t="s">
        <v>6249</v>
      </c>
      <c r="F1199" s="9" t="s">
        <v>3783</v>
      </c>
      <c r="G1199" s="9" t="s">
        <v>6250</v>
      </c>
      <c r="H1199" s="2" t="s">
        <v>60</v>
      </c>
      <c r="I1199" s="3">
        <v>35749</v>
      </c>
      <c r="J1199" s="9" t="str">
        <f t="shared" ca="1" si="20"/>
        <v>25 ans</v>
      </c>
      <c r="K1199" s="2" t="s">
        <v>123</v>
      </c>
      <c r="L1199" s="2" t="str">
        <f>"139"</f>
        <v>139</v>
      </c>
      <c r="M1199" s="2"/>
      <c r="N1199" s="2" t="str">
        <f>"DU GRENAT"</f>
        <v>DU GRENAT</v>
      </c>
      <c r="O1199" s="2" t="s">
        <v>3185</v>
      </c>
      <c r="P1199" s="9" t="str">
        <f>VLOOKUP($O1199,'Liste des Villes'!$B$2:$B$1128,1,FALSE)</f>
        <v>Saint-Jérôme</v>
      </c>
      <c r="Q1199" s="9" t="str">
        <f>IFERROR($P1199,PROPER(VLOOKUP($O1199,'Villes en erreur'!$A$2:$B$72,2,FALSE)))</f>
        <v>Saint-Jérôme</v>
      </c>
      <c r="R1199" s="9" t="s">
        <v>3186</v>
      </c>
      <c r="S1199" s="9" t="str">
        <f>IF(ISBLANK($R1199),"",VLOOKUP($R1199,'Liste des Villes'!$B$2:$H$1128,4,FALSE))</f>
        <v>Laurentides</v>
      </c>
      <c r="T1199" s="2" t="s">
        <v>6251</v>
      </c>
      <c r="U1199" s="2" t="s">
        <v>39</v>
      </c>
      <c r="V1199" s="2" t="s">
        <v>40</v>
      </c>
      <c r="W1199" s="2" t="s">
        <v>6252</v>
      </c>
      <c r="X1199" s="2"/>
      <c r="Y1199" s="2"/>
      <c r="Z1199" s="2"/>
      <c r="AA1199" s="2" t="s">
        <v>3243</v>
      </c>
      <c r="AB1199" s="2" t="s">
        <v>3221</v>
      </c>
      <c r="AC1199" s="4" t="s">
        <v>44</v>
      </c>
    </row>
    <row r="1200" spans="1:29" x14ac:dyDescent="0.25">
      <c r="A1200" s="1">
        <v>3913</v>
      </c>
      <c r="B1200" s="17" t="s">
        <v>6253</v>
      </c>
      <c r="C1200" s="2" t="s">
        <v>105</v>
      </c>
      <c r="D1200" s="15" t="s">
        <v>106</v>
      </c>
      <c r="E1200" s="9" t="s">
        <v>107</v>
      </c>
      <c r="F1200" s="9" t="s">
        <v>2770</v>
      </c>
      <c r="G1200" s="9" t="s">
        <v>4227</v>
      </c>
      <c r="H1200" s="2" t="s">
        <v>60</v>
      </c>
      <c r="I1200" s="3">
        <v>35733</v>
      </c>
      <c r="J1200" s="9" t="str">
        <f t="shared" ca="1" si="20"/>
        <v>25 ans</v>
      </c>
      <c r="K1200" s="2" t="s">
        <v>123</v>
      </c>
      <c r="L1200" s="2" t="str">
        <f>"138"</f>
        <v>138</v>
      </c>
      <c r="M1200" s="2"/>
      <c r="N1200" s="2" t="str">
        <f>"DU CURÉ-LABELLE BLVD"</f>
        <v>DU CURÉ-LABELLE BLVD</v>
      </c>
      <c r="O1200" s="2" t="s">
        <v>3185</v>
      </c>
      <c r="P1200" s="9" t="str">
        <f>VLOOKUP($O1200,'Liste des Villes'!$B$2:$B$1128,1,FALSE)</f>
        <v>Saint-Jérôme</v>
      </c>
      <c r="Q1200" s="9" t="str">
        <f>IFERROR($P1200,PROPER(VLOOKUP($O1200,'Villes en erreur'!$A$2:$B$72,2,FALSE)))</f>
        <v>Saint-Jérôme</v>
      </c>
      <c r="R1200" s="9" t="s">
        <v>3186</v>
      </c>
      <c r="S1200" s="9" t="str">
        <f>IF(ISBLANK($R1200),"",VLOOKUP($R1200,'Liste des Villes'!$B$2:$H$1128,4,FALSE))</f>
        <v>Laurentides</v>
      </c>
      <c r="T1200" s="2" t="s">
        <v>4926</v>
      </c>
      <c r="U1200" s="2" t="s">
        <v>39</v>
      </c>
      <c r="V1200" s="2" t="s">
        <v>40</v>
      </c>
      <c r="W1200" s="2" t="s">
        <v>6254</v>
      </c>
      <c r="X1200" s="2"/>
      <c r="Y1200" s="2"/>
      <c r="Z1200" s="2"/>
      <c r="AA1200" s="2" t="s">
        <v>3243</v>
      </c>
      <c r="AB1200" s="2" t="s">
        <v>3221</v>
      </c>
      <c r="AC1200" s="4" t="s">
        <v>44</v>
      </c>
    </row>
    <row r="1201" spans="1:29" x14ac:dyDescent="0.25">
      <c r="A1201" s="1">
        <v>2869</v>
      </c>
      <c r="B1201" s="17" t="s">
        <v>6255</v>
      </c>
      <c r="C1201" s="2" t="s">
        <v>6256</v>
      </c>
      <c r="D1201" s="15" t="s">
        <v>719</v>
      </c>
      <c r="E1201" s="9" t="s">
        <v>6257</v>
      </c>
      <c r="F1201" s="9" t="s">
        <v>6258</v>
      </c>
      <c r="G1201" s="9" t="s">
        <v>1560</v>
      </c>
      <c r="H1201" s="2" t="s">
        <v>35</v>
      </c>
      <c r="I1201" s="3">
        <v>35614</v>
      </c>
      <c r="J1201" s="9" t="str">
        <f t="shared" ca="1" si="20"/>
        <v>26 ans</v>
      </c>
      <c r="K1201" s="2" t="s">
        <v>36</v>
      </c>
      <c r="L1201" s="2" t="str">
        <f>"129"</f>
        <v>129</v>
      </c>
      <c r="M1201" s="2"/>
      <c r="N1201" s="2" t="str">
        <f>"DE LA SALETTE BLVD"</f>
        <v>DE LA SALETTE BLVD</v>
      </c>
      <c r="O1201" s="2" t="s">
        <v>3185</v>
      </c>
      <c r="P1201" s="9" t="str">
        <f>VLOOKUP($O1201,'Liste des Villes'!$B$2:$B$1128,1,FALSE)</f>
        <v>Saint-Jérôme</v>
      </c>
      <c r="Q1201" s="9" t="str">
        <f>IFERROR($P1201,PROPER(VLOOKUP($O1201,'Villes en erreur'!$A$2:$B$72,2,FALSE)))</f>
        <v>Saint-Jérôme</v>
      </c>
      <c r="R1201" s="9" t="s">
        <v>3186</v>
      </c>
      <c r="S1201" s="9" t="str">
        <f>IF(ISBLANK($R1201),"",VLOOKUP($R1201,'Liste des Villes'!$B$2:$H$1128,4,FALSE))</f>
        <v>Laurentides</v>
      </c>
      <c r="T1201" s="2" t="s">
        <v>3446</v>
      </c>
      <c r="U1201" s="2" t="s">
        <v>39</v>
      </c>
      <c r="V1201" s="2" t="s">
        <v>40</v>
      </c>
      <c r="W1201" s="2" t="s">
        <v>6259</v>
      </c>
      <c r="X1201" s="2"/>
      <c r="Y1201" s="2"/>
      <c r="Z1201" s="2"/>
      <c r="AA1201" s="2" t="s">
        <v>3243</v>
      </c>
      <c r="AB1201" s="2" t="s">
        <v>3221</v>
      </c>
      <c r="AC1201" s="4" t="s">
        <v>44</v>
      </c>
    </row>
    <row r="1202" spans="1:29" x14ac:dyDescent="0.25">
      <c r="A1202" s="1">
        <v>4537</v>
      </c>
      <c r="B1202" s="17" t="s">
        <v>6260</v>
      </c>
      <c r="C1202" s="2" t="s">
        <v>6261</v>
      </c>
      <c r="D1202" s="15" t="s">
        <v>732</v>
      </c>
      <c r="E1202" s="9" t="s">
        <v>186</v>
      </c>
      <c r="F1202" s="9" t="s">
        <v>731</v>
      </c>
      <c r="G1202" s="9" t="s">
        <v>92</v>
      </c>
      <c r="H1202" s="2" t="s">
        <v>35</v>
      </c>
      <c r="I1202" s="3">
        <v>35417</v>
      </c>
      <c r="J1202" s="9" t="str">
        <f t="shared" ca="1" si="20"/>
        <v>26 ans</v>
      </c>
      <c r="K1202" s="2" t="s">
        <v>36</v>
      </c>
      <c r="L1202" s="2" t="str">
        <f>"113"</f>
        <v>113</v>
      </c>
      <c r="M1202" s="2"/>
      <c r="N1202" s="2" t="str">
        <f>"Chemin du lac Millette"</f>
        <v>Chemin du lac Millette</v>
      </c>
      <c r="O1202" s="2" t="s">
        <v>3186</v>
      </c>
      <c r="P1202" s="9" t="str">
        <f>VLOOKUP($O1202,'Liste des Villes'!$B$2:$B$1128,1,FALSE)</f>
        <v>Saint-Jérôme</v>
      </c>
      <c r="Q1202" s="9" t="str">
        <f>IFERROR($P1202,PROPER(VLOOKUP($O1202,'Villes en erreur'!$A$2:$B$72,2,FALSE)))</f>
        <v>Saint-Jérôme</v>
      </c>
      <c r="R1202" s="9" t="s">
        <v>3186</v>
      </c>
      <c r="S1202" s="9" t="str">
        <f>IF(ISBLANK($R1202),"",VLOOKUP($R1202,'Liste des Villes'!$B$2:$H$1128,4,FALSE))</f>
        <v>Laurentides</v>
      </c>
      <c r="T1202" s="2" t="s">
        <v>4032</v>
      </c>
      <c r="U1202" s="2" t="s">
        <v>39</v>
      </c>
      <c r="V1202" s="2" t="s">
        <v>40</v>
      </c>
      <c r="W1202" s="2" t="s">
        <v>6262</v>
      </c>
      <c r="X1202" s="2"/>
      <c r="Y1202" s="2"/>
      <c r="Z1202" s="2"/>
      <c r="AA1202" s="2" t="s">
        <v>3199</v>
      </c>
      <c r="AB1202" s="2" t="s">
        <v>3200</v>
      </c>
      <c r="AC1202" s="4" t="s">
        <v>44</v>
      </c>
    </row>
    <row r="1203" spans="1:29" x14ac:dyDescent="0.25">
      <c r="A1203" s="1">
        <v>580</v>
      </c>
      <c r="B1203" s="17" t="s">
        <v>6263</v>
      </c>
      <c r="C1203" s="2" t="s">
        <v>6264</v>
      </c>
      <c r="D1203" s="15" t="s">
        <v>6265</v>
      </c>
      <c r="E1203" s="9" t="s">
        <v>1004</v>
      </c>
      <c r="F1203" s="9" t="s">
        <v>1005</v>
      </c>
      <c r="G1203" s="9" t="s">
        <v>1024</v>
      </c>
      <c r="H1203" s="2" t="s">
        <v>35</v>
      </c>
      <c r="I1203" s="3">
        <v>36185</v>
      </c>
      <c r="J1203" s="9" t="str">
        <f t="shared" ca="1" si="20"/>
        <v>24 ans</v>
      </c>
      <c r="K1203" s="2" t="s">
        <v>123</v>
      </c>
      <c r="L1203" s="2" t="str">
        <f>"236"</f>
        <v>236</v>
      </c>
      <c r="M1203" s="2"/>
      <c r="N1203" s="2" t="str">
        <f>"RUE ANGÈLE-MORAND"</f>
        <v>RUE ANGÈLE-MORAND</v>
      </c>
      <c r="O1203" s="2" t="s">
        <v>3185</v>
      </c>
      <c r="P1203" s="9" t="str">
        <f>VLOOKUP($O1203,'Liste des Villes'!$B$2:$B$1128,1,FALSE)</f>
        <v>Saint-Jérôme</v>
      </c>
      <c r="Q1203" s="9" t="str">
        <f>IFERROR($P1203,PROPER(VLOOKUP($O1203,'Villes en erreur'!$A$2:$B$72,2,FALSE)))</f>
        <v>Saint-Jérôme</v>
      </c>
      <c r="R1203" s="9" t="s">
        <v>3186</v>
      </c>
      <c r="S1203" s="9" t="str">
        <f>IF(ISBLANK($R1203),"",VLOOKUP($R1203,'Liste des Villes'!$B$2:$H$1128,4,FALSE))</f>
        <v>Laurentides</v>
      </c>
      <c r="T1203" s="2" t="s">
        <v>4884</v>
      </c>
      <c r="U1203" s="2" t="s">
        <v>39</v>
      </c>
      <c r="V1203" s="2" t="s">
        <v>40</v>
      </c>
      <c r="W1203" s="2" t="s">
        <v>6266</v>
      </c>
      <c r="X1203" s="2"/>
      <c r="Y1203" s="2"/>
      <c r="Z1203" s="2"/>
      <c r="AA1203" s="2" t="s">
        <v>832</v>
      </c>
      <c r="AB1203" s="2" t="s">
        <v>4693</v>
      </c>
      <c r="AC1203" s="4" t="s">
        <v>44</v>
      </c>
    </row>
    <row r="1204" spans="1:29" x14ac:dyDescent="0.25">
      <c r="A1204" s="1">
        <v>631</v>
      </c>
      <c r="B1204" s="17" t="s">
        <v>6267</v>
      </c>
      <c r="C1204" s="2" t="s">
        <v>2891</v>
      </c>
      <c r="D1204" s="15" t="s">
        <v>718</v>
      </c>
      <c r="E1204" s="9" t="s">
        <v>381</v>
      </c>
      <c r="F1204" s="9" t="s">
        <v>1197</v>
      </c>
      <c r="G1204" s="9" t="s">
        <v>6268</v>
      </c>
      <c r="H1204" s="2" t="s">
        <v>60</v>
      </c>
      <c r="I1204" s="3">
        <v>33948</v>
      </c>
      <c r="J1204" s="9" t="str">
        <f t="shared" ca="1" si="20"/>
        <v>30 ans</v>
      </c>
      <c r="K1204" s="2" t="s">
        <v>36</v>
      </c>
      <c r="L1204" s="2" t="str">
        <f>"42"</f>
        <v>42</v>
      </c>
      <c r="M1204" s="2"/>
      <c r="N1204" s="2" t="str">
        <f>"BÉLANGER"</f>
        <v>BÉLANGER</v>
      </c>
      <c r="O1204" s="2" t="s">
        <v>3185</v>
      </c>
      <c r="P1204" s="9" t="str">
        <f>VLOOKUP($O1204,'Liste des Villes'!$B$2:$B$1128,1,FALSE)</f>
        <v>Saint-Jérôme</v>
      </c>
      <c r="Q1204" s="9" t="str">
        <f>IFERROR($P1204,PROPER(VLOOKUP($O1204,'Villes en erreur'!$A$2:$B$72,2,FALSE)))</f>
        <v>Saint-Jérôme</v>
      </c>
      <c r="R1204" s="9" t="s">
        <v>3186</v>
      </c>
      <c r="S1204" s="9" t="str">
        <f>IF(ISBLANK($R1204),"",VLOOKUP($R1204,'Liste des Villes'!$B$2:$H$1128,4,FALSE))</f>
        <v>Laurentides</v>
      </c>
      <c r="T1204" s="2" t="s">
        <v>6269</v>
      </c>
      <c r="U1204" s="2" t="s">
        <v>39</v>
      </c>
      <c r="V1204" s="2" t="s">
        <v>40</v>
      </c>
      <c r="W1204" s="2" t="s">
        <v>6270</v>
      </c>
      <c r="X1204" s="2"/>
      <c r="Y1204" s="2"/>
      <c r="Z1204" s="2"/>
      <c r="AA1204" s="2" t="s">
        <v>3207</v>
      </c>
      <c r="AB1204" s="2" t="s">
        <v>53</v>
      </c>
      <c r="AC1204" s="4" t="s">
        <v>44</v>
      </c>
    </row>
    <row r="1205" spans="1:29" x14ac:dyDescent="0.25">
      <c r="A1205" s="1">
        <v>2844</v>
      </c>
      <c r="B1205" s="17" t="s">
        <v>6271</v>
      </c>
      <c r="C1205" s="2" t="s">
        <v>6272</v>
      </c>
      <c r="D1205" s="15" t="s">
        <v>1454</v>
      </c>
      <c r="E1205" s="9" t="s">
        <v>1024</v>
      </c>
      <c r="F1205" s="9" t="s">
        <v>1452</v>
      </c>
      <c r="G1205" s="9" t="s">
        <v>179</v>
      </c>
      <c r="H1205" s="2" t="s">
        <v>60</v>
      </c>
      <c r="I1205" s="3">
        <v>36115</v>
      </c>
      <c r="J1205" s="9" t="str">
        <f t="shared" ca="1" si="20"/>
        <v>24 ans</v>
      </c>
      <c r="K1205" s="2" t="s">
        <v>123</v>
      </c>
      <c r="L1205" s="2" t="str">
        <f>"212"</f>
        <v>212</v>
      </c>
      <c r="M1205" s="2"/>
      <c r="N1205" s="2" t="str">
        <f>"RTE ARTHUR-SAUVÉ"</f>
        <v>RTE ARTHUR-SAUVÉ</v>
      </c>
      <c r="O1205" s="2" t="s">
        <v>3185</v>
      </c>
      <c r="P1205" s="9" t="str">
        <f>VLOOKUP($O1205,'Liste des Villes'!$B$2:$B$1128,1,FALSE)</f>
        <v>Saint-Jérôme</v>
      </c>
      <c r="Q1205" s="9" t="str">
        <f>IFERROR($P1205,PROPER(VLOOKUP($O1205,'Villes en erreur'!$A$2:$B$72,2,FALSE)))</f>
        <v>Saint-Jérôme</v>
      </c>
      <c r="R1205" s="9" t="s">
        <v>3186</v>
      </c>
      <c r="S1205" s="9" t="str">
        <f>IF(ISBLANK($R1205),"",VLOOKUP($R1205,'Liste des Villes'!$B$2:$H$1128,4,FALSE))</f>
        <v>Laurentides</v>
      </c>
      <c r="T1205" s="2" t="s">
        <v>3603</v>
      </c>
      <c r="U1205" s="2" t="s">
        <v>39</v>
      </c>
      <c r="V1205" s="2" t="s">
        <v>40</v>
      </c>
      <c r="W1205" s="2" t="s">
        <v>6273</v>
      </c>
      <c r="X1205" s="2"/>
      <c r="Y1205" s="2"/>
      <c r="Z1205" s="2"/>
      <c r="AA1205" s="2" t="s">
        <v>832</v>
      </c>
      <c r="AB1205" s="2" t="s">
        <v>3221</v>
      </c>
      <c r="AC1205" s="4" t="s">
        <v>44</v>
      </c>
    </row>
    <row r="1206" spans="1:29" x14ac:dyDescent="0.25">
      <c r="A1206" s="1">
        <v>953</v>
      </c>
      <c r="B1206" s="17" t="s">
        <v>6274</v>
      </c>
      <c r="C1206" s="2" t="s">
        <v>6275</v>
      </c>
      <c r="D1206" s="15" t="s">
        <v>6276</v>
      </c>
      <c r="E1206" s="9" t="s">
        <v>6277</v>
      </c>
      <c r="F1206" s="9" t="s">
        <v>6278</v>
      </c>
      <c r="G1206" s="9" t="s">
        <v>6279</v>
      </c>
      <c r="H1206" s="2" t="s">
        <v>60</v>
      </c>
      <c r="I1206" s="3">
        <v>35381</v>
      </c>
      <c r="J1206" s="9" t="str">
        <f t="shared" ca="1" si="20"/>
        <v>26 ans</v>
      </c>
      <c r="K1206" s="2" t="s">
        <v>36</v>
      </c>
      <c r="L1206" s="2" t="str">
        <f>"112"</f>
        <v>112</v>
      </c>
      <c r="M1206" s="2"/>
      <c r="N1206" s="2" t="str">
        <f>"CHEMIN DU 5E-RANG SUD"</f>
        <v>CHEMIN DU 5E-RANG SUD</v>
      </c>
      <c r="O1206" s="2" t="s">
        <v>3185</v>
      </c>
      <c r="P1206" s="9" t="str">
        <f>VLOOKUP($O1206,'Liste des Villes'!$B$2:$B$1128,1,FALSE)</f>
        <v>Saint-Jérôme</v>
      </c>
      <c r="Q1206" s="9" t="str">
        <f>IFERROR($P1206,PROPER(VLOOKUP($O1206,'Villes en erreur'!$A$2:$B$72,2,FALSE)))</f>
        <v>Saint-Jérôme</v>
      </c>
      <c r="R1206" s="9" t="s">
        <v>3186</v>
      </c>
      <c r="S1206" s="9" t="str">
        <f>IF(ISBLANK($R1206),"",VLOOKUP($R1206,'Liste des Villes'!$B$2:$H$1128,4,FALSE))</f>
        <v>Laurentides</v>
      </c>
      <c r="T1206" s="2" t="s">
        <v>3827</v>
      </c>
      <c r="U1206" s="2" t="s">
        <v>39</v>
      </c>
      <c r="V1206" s="2" t="s">
        <v>40</v>
      </c>
      <c r="W1206" s="2" t="s">
        <v>6280</v>
      </c>
      <c r="X1206" s="2"/>
      <c r="Y1206" s="2"/>
      <c r="Z1206" s="2"/>
      <c r="AA1206" s="2" t="s">
        <v>3189</v>
      </c>
      <c r="AB1206" s="2" t="s">
        <v>3200</v>
      </c>
      <c r="AC1206" s="4" t="s">
        <v>44</v>
      </c>
    </row>
    <row r="1207" spans="1:29" x14ac:dyDescent="0.25">
      <c r="A1207" s="1">
        <v>4458</v>
      </c>
      <c r="B1207" s="17" t="s">
        <v>6281</v>
      </c>
      <c r="C1207" s="2" t="s">
        <v>5878</v>
      </c>
      <c r="D1207" s="15" t="s">
        <v>1852</v>
      </c>
      <c r="E1207" s="9" t="s">
        <v>635</v>
      </c>
      <c r="F1207" s="9" t="s">
        <v>3335</v>
      </c>
      <c r="G1207" s="9" t="s">
        <v>495</v>
      </c>
      <c r="H1207" s="2" t="s">
        <v>35</v>
      </c>
      <c r="I1207" s="3">
        <v>34657</v>
      </c>
      <c r="J1207" s="9" t="str">
        <f t="shared" ca="1" si="20"/>
        <v>28 ans</v>
      </c>
      <c r="K1207" s="2" t="s">
        <v>36</v>
      </c>
      <c r="L1207" s="2" t="str">
        <f>"69"</f>
        <v>69</v>
      </c>
      <c r="M1207" s="2"/>
      <c r="N1207" s="2" t="str">
        <f>"CH DE LA REINE"</f>
        <v>CH DE LA REINE</v>
      </c>
      <c r="O1207" s="2" t="s">
        <v>3185</v>
      </c>
      <c r="P1207" s="9" t="str">
        <f>VLOOKUP($O1207,'Liste des Villes'!$B$2:$B$1128,1,FALSE)</f>
        <v>Saint-Jérôme</v>
      </c>
      <c r="Q1207" s="9" t="str">
        <f>IFERROR($P1207,PROPER(VLOOKUP($O1207,'Villes en erreur'!$A$2:$B$72,2,FALSE)))</f>
        <v>Saint-Jérôme</v>
      </c>
      <c r="R1207" s="9" t="s">
        <v>3186</v>
      </c>
      <c r="S1207" s="9" t="str">
        <f>IF(ISBLANK($R1207),"",VLOOKUP($R1207,'Liste des Villes'!$B$2:$H$1128,4,FALSE))</f>
        <v>Laurentides</v>
      </c>
      <c r="T1207" s="2" t="s">
        <v>3223</v>
      </c>
      <c r="U1207" s="2" t="s">
        <v>39</v>
      </c>
      <c r="V1207" s="2" t="s">
        <v>40</v>
      </c>
      <c r="W1207" s="2" t="s">
        <v>6282</v>
      </c>
      <c r="X1207" s="2"/>
      <c r="Y1207" s="2"/>
      <c r="Z1207" s="2"/>
      <c r="AA1207" s="2" t="s">
        <v>3225</v>
      </c>
      <c r="AB1207" s="2" t="s">
        <v>53</v>
      </c>
      <c r="AC1207" s="4" t="s">
        <v>44</v>
      </c>
    </row>
    <row r="1208" spans="1:29" x14ac:dyDescent="0.25">
      <c r="A1208" s="1">
        <v>597</v>
      </c>
      <c r="B1208" s="17" t="s">
        <v>6283</v>
      </c>
      <c r="C1208" s="2" t="s">
        <v>6284</v>
      </c>
      <c r="D1208" s="15" t="s">
        <v>6285</v>
      </c>
      <c r="E1208" s="9" t="s">
        <v>1560</v>
      </c>
      <c r="F1208" s="9" t="s">
        <v>3659</v>
      </c>
      <c r="G1208" s="9" t="s">
        <v>2796</v>
      </c>
      <c r="H1208" s="2" t="s">
        <v>35</v>
      </c>
      <c r="I1208" s="3">
        <v>35268</v>
      </c>
      <c r="J1208" s="9" t="str">
        <f t="shared" ca="1" si="20"/>
        <v>27 ans</v>
      </c>
      <c r="K1208" s="2" t="s">
        <v>36</v>
      </c>
      <c r="L1208" s="2" t="str">
        <f>"107"</f>
        <v>107</v>
      </c>
      <c r="M1208" s="2"/>
      <c r="N1208" s="2" t="str">
        <f>"CHEMIN DE LA CARRIERE"</f>
        <v>CHEMIN DE LA CARRIERE</v>
      </c>
      <c r="O1208" s="2" t="s">
        <v>3185</v>
      </c>
      <c r="P1208" s="9" t="str">
        <f>VLOOKUP($O1208,'Liste des Villes'!$B$2:$B$1128,1,FALSE)</f>
        <v>Saint-Jérôme</v>
      </c>
      <c r="Q1208" s="9" t="str">
        <f>IFERROR($P1208,PROPER(VLOOKUP($O1208,'Villes en erreur'!$A$2:$B$72,2,FALSE)))</f>
        <v>Saint-Jérôme</v>
      </c>
      <c r="R1208" s="9" t="s">
        <v>3186</v>
      </c>
      <c r="S1208" s="9" t="str">
        <f>IF(ISBLANK($R1208),"",VLOOKUP($R1208,'Liste des Villes'!$B$2:$H$1128,4,FALSE))</f>
        <v>Laurentides</v>
      </c>
      <c r="T1208" s="2" t="s">
        <v>3187</v>
      </c>
      <c r="U1208" s="2" t="s">
        <v>39</v>
      </c>
      <c r="V1208" s="2" t="s">
        <v>40</v>
      </c>
      <c r="W1208" s="2" t="s">
        <v>6286</v>
      </c>
      <c r="X1208" s="2"/>
      <c r="Y1208" s="2"/>
      <c r="Z1208" s="2"/>
      <c r="AA1208" s="2" t="s">
        <v>3189</v>
      </c>
      <c r="AB1208" s="2" t="s">
        <v>3190</v>
      </c>
      <c r="AC1208" s="4" t="s">
        <v>44</v>
      </c>
    </row>
    <row r="1209" spans="1:29" x14ac:dyDescent="0.25">
      <c r="A1209" s="1">
        <v>4059</v>
      </c>
      <c r="B1209" s="17" t="s">
        <v>6287</v>
      </c>
      <c r="C1209" s="2" t="s">
        <v>2009</v>
      </c>
      <c r="D1209" s="15" t="s">
        <v>1076</v>
      </c>
      <c r="E1209" s="9" t="s">
        <v>332</v>
      </c>
      <c r="F1209" s="9" t="s">
        <v>4902</v>
      </c>
      <c r="G1209" s="9" t="s">
        <v>495</v>
      </c>
      <c r="H1209" s="2" t="s">
        <v>35</v>
      </c>
      <c r="I1209" s="3">
        <v>34648</v>
      </c>
      <c r="J1209" s="9" t="str">
        <f t="shared" ca="1" si="20"/>
        <v>28 ans</v>
      </c>
      <c r="K1209" s="2" t="s">
        <v>36</v>
      </c>
      <c r="L1209" s="2" t="str">
        <f>"68"</f>
        <v>68</v>
      </c>
      <c r="M1209" s="2"/>
      <c r="N1209" s="2" t="str">
        <f>"CH DE LA PLAINE"</f>
        <v>CH DE LA PLAINE</v>
      </c>
      <c r="O1209" s="2" t="s">
        <v>3185</v>
      </c>
      <c r="P1209" s="9" t="str">
        <f>VLOOKUP($O1209,'Liste des Villes'!$B$2:$B$1128,1,FALSE)</f>
        <v>Saint-Jérôme</v>
      </c>
      <c r="Q1209" s="9" t="str">
        <f>IFERROR($P1209,PROPER(VLOOKUP($O1209,'Villes en erreur'!$A$2:$B$72,2,FALSE)))</f>
        <v>Saint-Jérôme</v>
      </c>
      <c r="R1209" s="9" t="s">
        <v>3186</v>
      </c>
      <c r="S1209" s="9" t="str">
        <f>IF(ISBLANK($R1209),"",VLOOKUP($R1209,'Liste des Villes'!$B$2:$H$1128,4,FALSE))</f>
        <v>Laurentides</v>
      </c>
      <c r="T1209" s="2" t="s">
        <v>3223</v>
      </c>
      <c r="U1209" s="2" t="s">
        <v>39</v>
      </c>
      <c r="V1209" s="2" t="s">
        <v>40</v>
      </c>
      <c r="W1209" s="2" t="s">
        <v>6288</v>
      </c>
      <c r="X1209" s="2"/>
      <c r="Y1209" s="2"/>
      <c r="Z1209" s="2"/>
      <c r="AA1209" s="2" t="s">
        <v>3225</v>
      </c>
      <c r="AB1209" s="2" t="s">
        <v>53</v>
      </c>
      <c r="AC1209" s="4" t="s">
        <v>44</v>
      </c>
    </row>
    <row r="1210" spans="1:29" x14ac:dyDescent="0.25">
      <c r="A1210" s="1">
        <v>1913</v>
      </c>
      <c r="B1210" s="17" t="s">
        <v>6289</v>
      </c>
      <c r="C1210" s="2" t="s">
        <v>6290</v>
      </c>
      <c r="D1210" s="15" t="s">
        <v>782</v>
      </c>
      <c r="E1210" s="9" t="s">
        <v>2973</v>
      </c>
      <c r="F1210" s="9" t="s">
        <v>34</v>
      </c>
      <c r="G1210" s="9" t="s">
        <v>664</v>
      </c>
      <c r="H1210" s="2" t="s">
        <v>60</v>
      </c>
      <c r="I1210" s="3">
        <v>36008</v>
      </c>
      <c r="J1210" s="9" t="str">
        <f t="shared" ca="1" si="20"/>
        <v>25 ans</v>
      </c>
      <c r="K1210" s="2" t="s">
        <v>123</v>
      </c>
      <c r="L1210" s="2" t="str">
        <f>"180"</f>
        <v>180</v>
      </c>
      <c r="M1210" s="2"/>
      <c r="N1210" s="2" t="str">
        <f>"PLACE DU CANTONNIER"</f>
        <v>PLACE DU CANTONNIER</v>
      </c>
      <c r="O1210" s="2" t="s">
        <v>3185</v>
      </c>
      <c r="P1210" s="9" t="str">
        <f>VLOOKUP($O1210,'Liste des Villes'!$B$2:$B$1128,1,FALSE)</f>
        <v>Saint-Jérôme</v>
      </c>
      <c r="Q1210" s="9" t="str">
        <f>IFERROR($P1210,PROPER(VLOOKUP($O1210,'Villes en erreur'!$A$2:$B$72,2,FALSE)))</f>
        <v>Saint-Jérôme</v>
      </c>
      <c r="R1210" s="9" t="s">
        <v>3186</v>
      </c>
      <c r="S1210" s="9" t="str">
        <f>IF(ISBLANK($R1210),"",VLOOKUP($R1210,'Liste des Villes'!$B$2:$H$1128,4,FALSE))</f>
        <v>Laurentides</v>
      </c>
      <c r="T1210" s="2" t="s">
        <v>4746</v>
      </c>
      <c r="U1210" s="2" t="s">
        <v>39</v>
      </c>
      <c r="V1210" s="2" t="s">
        <v>40</v>
      </c>
      <c r="W1210" s="2" t="s">
        <v>6291</v>
      </c>
      <c r="X1210" s="2"/>
      <c r="Y1210" s="2"/>
      <c r="Z1210" s="2"/>
      <c r="AA1210" s="2" t="s">
        <v>832</v>
      </c>
      <c r="AB1210" s="2" t="s">
        <v>3221</v>
      </c>
      <c r="AC1210" s="4" t="s">
        <v>44</v>
      </c>
    </row>
    <row r="1211" spans="1:29" x14ac:dyDescent="0.25">
      <c r="A1211" s="1">
        <v>1545</v>
      </c>
      <c r="B1211" s="17" t="s">
        <v>6292</v>
      </c>
      <c r="C1211" s="2" t="s">
        <v>410</v>
      </c>
      <c r="D1211" s="15" t="s">
        <v>411</v>
      </c>
      <c r="E1211" s="9" t="s">
        <v>85</v>
      </c>
      <c r="F1211" s="9" t="s">
        <v>6293</v>
      </c>
      <c r="G1211" s="9" t="s">
        <v>186</v>
      </c>
      <c r="H1211" s="2" t="s">
        <v>60</v>
      </c>
      <c r="I1211" s="3">
        <v>34908</v>
      </c>
      <c r="J1211" s="9" t="str">
        <f t="shared" ca="1" si="20"/>
        <v>28 ans</v>
      </c>
      <c r="K1211" s="2" t="s">
        <v>36</v>
      </c>
      <c r="L1211" s="2" t="str">
        <f>"83"</f>
        <v>83</v>
      </c>
      <c r="M1211" s="2"/>
      <c r="N1211" s="2" t="str">
        <f>"CH DES TILLEULS"</f>
        <v>CH DES TILLEULS</v>
      </c>
      <c r="O1211" s="2" t="s">
        <v>3185</v>
      </c>
      <c r="P1211" s="9" t="str">
        <f>VLOOKUP($O1211,'Liste des Villes'!$B$2:$B$1128,1,FALSE)</f>
        <v>Saint-Jérôme</v>
      </c>
      <c r="Q1211" s="9" t="str">
        <f>IFERROR($P1211,PROPER(VLOOKUP($O1211,'Villes en erreur'!$A$2:$B$72,2,FALSE)))</f>
        <v>Saint-Jérôme</v>
      </c>
      <c r="R1211" s="9" t="s">
        <v>3186</v>
      </c>
      <c r="S1211" s="9" t="str">
        <f>IF(ISBLANK($R1211),"",VLOOKUP($R1211,'Liste des Villes'!$B$2:$H$1128,4,FALSE))</f>
        <v>Laurentides</v>
      </c>
      <c r="T1211" s="2" t="s">
        <v>3187</v>
      </c>
      <c r="U1211" s="2" t="s">
        <v>39</v>
      </c>
      <c r="V1211" s="2" t="s">
        <v>40</v>
      </c>
      <c r="W1211" s="2" t="s">
        <v>6294</v>
      </c>
      <c r="X1211" s="2"/>
      <c r="Y1211" s="2"/>
      <c r="Z1211" s="2"/>
      <c r="AA1211" s="2" t="s">
        <v>3231</v>
      </c>
      <c r="AB1211" s="2" t="s">
        <v>53</v>
      </c>
      <c r="AC1211" s="4" t="s">
        <v>44</v>
      </c>
    </row>
    <row r="1212" spans="1:29" x14ac:dyDescent="0.25">
      <c r="A1212" s="1">
        <v>2915</v>
      </c>
      <c r="B1212" s="17" t="s">
        <v>6295</v>
      </c>
      <c r="C1212" s="2" t="s">
        <v>6296</v>
      </c>
      <c r="D1212" s="15" t="s">
        <v>4279</v>
      </c>
      <c r="E1212" s="9" t="s">
        <v>6297</v>
      </c>
      <c r="F1212" s="9" t="s">
        <v>4066</v>
      </c>
      <c r="G1212" s="9" t="s">
        <v>6298</v>
      </c>
      <c r="H1212" s="2" t="s">
        <v>60</v>
      </c>
      <c r="I1212" s="3">
        <v>36096</v>
      </c>
      <c r="J1212" s="9" t="str">
        <f t="shared" ca="1" si="20"/>
        <v>24 ans</v>
      </c>
      <c r="K1212" s="2" t="s">
        <v>123</v>
      </c>
      <c r="L1212" s="2" t="str">
        <f>"207"</f>
        <v>207</v>
      </c>
      <c r="M1212" s="2"/>
      <c r="N1212" s="2" t="str">
        <f>"Route 337 Nord"</f>
        <v>Route 337 Nord</v>
      </c>
      <c r="O1212" s="2" t="s">
        <v>3185</v>
      </c>
      <c r="P1212" s="9" t="str">
        <f>VLOOKUP($O1212,'Liste des Villes'!$B$2:$B$1128,1,FALSE)</f>
        <v>Saint-Jérôme</v>
      </c>
      <c r="Q1212" s="9" t="str">
        <f>IFERROR($P1212,PROPER(VLOOKUP($O1212,'Villes en erreur'!$A$2:$B$72,2,FALSE)))</f>
        <v>Saint-Jérôme</v>
      </c>
      <c r="R1212" s="9" t="s">
        <v>3186</v>
      </c>
      <c r="S1212" s="9" t="str">
        <f>IF(ISBLANK($R1212),"",VLOOKUP($R1212,'Liste des Villes'!$B$2:$H$1128,4,FALSE))</f>
        <v>Laurentides</v>
      </c>
      <c r="T1212" s="2" t="s">
        <v>6299</v>
      </c>
      <c r="U1212" s="2" t="s">
        <v>39</v>
      </c>
      <c r="V1212" s="2" t="s">
        <v>40</v>
      </c>
      <c r="W1212" s="2" t="s">
        <v>6300</v>
      </c>
      <c r="X1212" s="2"/>
      <c r="Y1212" s="2"/>
      <c r="Z1212" s="2"/>
      <c r="AA1212" s="2" t="s">
        <v>832</v>
      </c>
      <c r="AB1212" s="2" t="s">
        <v>3221</v>
      </c>
      <c r="AC1212" s="4" t="s">
        <v>44</v>
      </c>
    </row>
    <row r="1213" spans="1:29" x14ac:dyDescent="0.25">
      <c r="A1213" s="1">
        <v>3071</v>
      </c>
      <c r="B1213" s="17" t="s">
        <v>6301</v>
      </c>
      <c r="C1213" s="2" t="s">
        <v>6302</v>
      </c>
      <c r="D1213" s="15" t="s">
        <v>6303</v>
      </c>
      <c r="E1213" s="9" t="s">
        <v>752</v>
      </c>
      <c r="F1213" s="9" t="s">
        <v>3883</v>
      </c>
      <c r="G1213" s="9" t="s">
        <v>6304</v>
      </c>
      <c r="H1213" s="2" t="s">
        <v>60</v>
      </c>
      <c r="I1213" s="3">
        <v>35831</v>
      </c>
      <c r="J1213" s="9" t="str">
        <f t="shared" ca="1" si="20"/>
        <v>25 ans</v>
      </c>
      <c r="K1213" s="2" t="s">
        <v>123</v>
      </c>
      <c r="L1213" s="2" t="str">
        <f>"145"</f>
        <v>145</v>
      </c>
      <c r="M1213" s="2"/>
      <c r="N1213" s="2" t="str">
        <f>"LABELLE"</f>
        <v>LABELLE</v>
      </c>
      <c r="O1213" s="2" t="s">
        <v>3185</v>
      </c>
      <c r="P1213" s="9" t="str">
        <f>VLOOKUP($O1213,'Liste des Villes'!$B$2:$B$1128,1,FALSE)</f>
        <v>Saint-Jérôme</v>
      </c>
      <c r="Q1213" s="9" t="str">
        <f>IFERROR($P1213,PROPER(VLOOKUP($O1213,'Villes en erreur'!$A$2:$B$72,2,FALSE)))</f>
        <v>Saint-Jérôme</v>
      </c>
      <c r="R1213" s="9" t="s">
        <v>3186</v>
      </c>
      <c r="S1213" s="9" t="str">
        <f>IF(ISBLANK($R1213),"",VLOOKUP($R1213,'Liste des Villes'!$B$2:$H$1128,4,FALSE))</f>
        <v>Laurentides</v>
      </c>
      <c r="T1213" s="2" t="s">
        <v>6305</v>
      </c>
      <c r="U1213" s="2" t="s">
        <v>39</v>
      </c>
      <c r="V1213" s="2" t="s">
        <v>40</v>
      </c>
      <c r="W1213" s="2" t="s">
        <v>6306</v>
      </c>
      <c r="X1213" s="2"/>
      <c r="Y1213" s="2"/>
      <c r="Z1213" s="2"/>
      <c r="AA1213" s="2" t="s">
        <v>3243</v>
      </c>
      <c r="AB1213" s="2" t="s">
        <v>3221</v>
      </c>
      <c r="AC1213" s="4" t="s">
        <v>44</v>
      </c>
    </row>
    <row r="1214" spans="1:29" x14ac:dyDescent="0.25">
      <c r="A1214" s="1">
        <v>2017</v>
      </c>
      <c r="B1214" s="17" t="s">
        <v>6307</v>
      </c>
      <c r="C1214" s="2" t="s">
        <v>6308</v>
      </c>
      <c r="D1214" s="15" t="s">
        <v>6309</v>
      </c>
      <c r="E1214" s="9" t="s">
        <v>3162</v>
      </c>
      <c r="F1214" s="9" t="s">
        <v>2474</v>
      </c>
      <c r="G1214" s="9" t="s">
        <v>6310</v>
      </c>
      <c r="H1214" s="2" t="s">
        <v>60</v>
      </c>
      <c r="I1214" s="3">
        <v>34207</v>
      </c>
      <c r="J1214" s="9" t="str">
        <f t="shared" ca="1" si="20"/>
        <v>29 ans</v>
      </c>
      <c r="K1214" s="2" t="s">
        <v>36</v>
      </c>
      <c r="L1214" s="2" t="str">
        <f>"48"</f>
        <v>48</v>
      </c>
      <c r="M1214" s="2"/>
      <c r="N1214" s="2" t="str">
        <f>"BOULEVARD DE SAINT CANUT"</f>
        <v>BOULEVARD DE SAINT CANUT</v>
      </c>
      <c r="O1214" s="2" t="s">
        <v>3185</v>
      </c>
      <c r="P1214" s="9" t="str">
        <f>VLOOKUP($O1214,'Liste des Villes'!$B$2:$B$1128,1,FALSE)</f>
        <v>Saint-Jérôme</v>
      </c>
      <c r="Q1214" s="9" t="str">
        <f>IFERROR($P1214,PROPER(VLOOKUP($O1214,'Villes en erreur'!$A$2:$B$72,2,FALSE)))</f>
        <v>Saint-Jérôme</v>
      </c>
      <c r="R1214" s="9" t="s">
        <v>3186</v>
      </c>
      <c r="S1214" s="9" t="str">
        <f>IF(ISBLANK($R1214),"",VLOOKUP($R1214,'Liste des Villes'!$B$2:$H$1128,4,FALSE))</f>
        <v>Laurentides</v>
      </c>
      <c r="T1214" s="2" t="s">
        <v>3358</v>
      </c>
      <c r="U1214" s="2" t="s">
        <v>39</v>
      </c>
      <c r="V1214" s="2" t="s">
        <v>40</v>
      </c>
      <c r="W1214" s="2" t="s">
        <v>6311</v>
      </c>
      <c r="X1214" s="2"/>
      <c r="Y1214" s="2"/>
      <c r="Z1214" s="2"/>
      <c r="AA1214" s="2" t="s">
        <v>3360</v>
      </c>
      <c r="AB1214" s="2" t="s">
        <v>53</v>
      </c>
      <c r="AC1214" s="4" t="s">
        <v>44</v>
      </c>
    </row>
    <row r="1215" spans="1:29" x14ac:dyDescent="0.25">
      <c r="A1215" s="1">
        <v>4258</v>
      </c>
      <c r="B1215" s="17" t="s">
        <v>6312</v>
      </c>
      <c r="C1215" s="2" t="s">
        <v>6313</v>
      </c>
      <c r="D1215" s="15" t="s">
        <v>6314</v>
      </c>
      <c r="E1215" s="9" t="s">
        <v>6315</v>
      </c>
      <c r="F1215" s="9" t="s">
        <v>861</v>
      </c>
      <c r="G1215" s="9" t="s">
        <v>380</v>
      </c>
      <c r="H1215" s="2" t="s">
        <v>60</v>
      </c>
      <c r="I1215" s="3">
        <v>34393</v>
      </c>
      <c r="J1215" s="9" t="str">
        <f t="shared" ca="1" si="20"/>
        <v>29 ans</v>
      </c>
      <c r="K1215" s="2" t="s">
        <v>36</v>
      </c>
      <c r="L1215" s="2" t="str">
        <f>"57"</f>
        <v>57</v>
      </c>
      <c r="M1215" s="2"/>
      <c r="N1215" s="2" t="str">
        <f>"CAR CHAMPÊTRE"</f>
        <v>CAR CHAMPÊTRE</v>
      </c>
      <c r="O1215" s="2" t="s">
        <v>3185</v>
      </c>
      <c r="P1215" s="9" t="str">
        <f>VLOOKUP($O1215,'Liste des Villes'!$B$2:$B$1128,1,FALSE)</f>
        <v>Saint-Jérôme</v>
      </c>
      <c r="Q1215" s="9" t="str">
        <f>IFERROR($P1215,PROPER(VLOOKUP($O1215,'Villes en erreur'!$A$2:$B$72,2,FALSE)))</f>
        <v>Saint-Jérôme</v>
      </c>
      <c r="R1215" s="9" t="s">
        <v>3186</v>
      </c>
      <c r="S1215" s="9" t="str">
        <f>IF(ISBLANK($R1215),"",VLOOKUP($R1215,'Liste des Villes'!$B$2:$H$1128,4,FALSE))</f>
        <v>Laurentides</v>
      </c>
      <c r="T1215" s="2" t="s">
        <v>3291</v>
      </c>
      <c r="U1215" s="2" t="s">
        <v>39</v>
      </c>
      <c r="V1215" s="2" t="s">
        <v>40</v>
      </c>
      <c r="W1215" s="2" t="s">
        <v>6316</v>
      </c>
      <c r="X1215" s="2"/>
      <c r="Y1215" s="2"/>
      <c r="Z1215" s="2"/>
      <c r="AA1215" s="2" t="s">
        <v>3293</v>
      </c>
      <c r="AB1215" s="2" t="s">
        <v>53</v>
      </c>
      <c r="AC1215" s="4" t="s">
        <v>44</v>
      </c>
    </row>
    <row r="1216" spans="1:29" x14ac:dyDescent="0.25">
      <c r="A1216" s="1">
        <v>1919</v>
      </c>
      <c r="B1216" s="17" t="s">
        <v>6317</v>
      </c>
      <c r="C1216" s="2" t="s">
        <v>6318</v>
      </c>
      <c r="D1216" s="15" t="s">
        <v>1767</v>
      </c>
      <c r="E1216" s="9" t="s">
        <v>380</v>
      </c>
      <c r="F1216" s="9" t="s">
        <v>304</v>
      </c>
      <c r="G1216" s="9" t="s">
        <v>3404</v>
      </c>
      <c r="H1216" s="2" t="s">
        <v>35</v>
      </c>
      <c r="I1216" s="3">
        <v>35686</v>
      </c>
      <c r="J1216" s="9" t="str">
        <f t="shared" ca="1" si="20"/>
        <v>25 ans</v>
      </c>
      <c r="K1216" s="2" t="s">
        <v>123</v>
      </c>
      <c r="L1216" s="2" t="str">
        <f>"134"</f>
        <v>134</v>
      </c>
      <c r="M1216" s="2"/>
      <c r="N1216" s="2" t="str">
        <f>"DES HAUTEURS BLVD"</f>
        <v>DES HAUTEURS BLVD</v>
      </c>
      <c r="O1216" s="2" t="s">
        <v>3185</v>
      </c>
      <c r="P1216" s="9" t="str">
        <f>VLOOKUP($O1216,'Liste des Villes'!$B$2:$B$1128,1,FALSE)</f>
        <v>Saint-Jérôme</v>
      </c>
      <c r="Q1216" s="9" t="str">
        <f>IFERROR($P1216,PROPER(VLOOKUP($O1216,'Villes en erreur'!$A$2:$B$72,2,FALSE)))</f>
        <v>Saint-Jérôme</v>
      </c>
      <c r="R1216" s="9" t="s">
        <v>3186</v>
      </c>
      <c r="S1216" s="9" t="str">
        <f>IF(ISBLANK($R1216),"",VLOOKUP($R1216,'Liste des Villes'!$B$2:$H$1128,4,FALSE))</f>
        <v>Laurentides</v>
      </c>
      <c r="T1216" s="2" t="s">
        <v>5617</v>
      </c>
      <c r="U1216" s="2" t="s">
        <v>39</v>
      </c>
      <c r="V1216" s="2" t="s">
        <v>40</v>
      </c>
      <c r="W1216" s="2" t="s">
        <v>6319</v>
      </c>
      <c r="X1216" s="2"/>
      <c r="Y1216" s="2"/>
      <c r="Z1216" s="2"/>
      <c r="AA1216" s="2" t="s">
        <v>3243</v>
      </c>
      <c r="AB1216" s="2" t="s">
        <v>3221</v>
      </c>
      <c r="AC1216" s="4" t="s">
        <v>44</v>
      </c>
    </row>
    <row r="1217" spans="1:29" x14ac:dyDescent="0.25">
      <c r="A1217" s="1">
        <v>236</v>
      </c>
      <c r="B1217" s="17" t="s">
        <v>6320</v>
      </c>
      <c r="C1217" s="2" t="s">
        <v>6321</v>
      </c>
      <c r="D1217" s="15" t="s">
        <v>6322</v>
      </c>
      <c r="E1217" s="9" t="s">
        <v>6323</v>
      </c>
      <c r="F1217" s="9" t="s">
        <v>2344</v>
      </c>
      <c r="G1217" s="9" t="s">
        <v>6324</v>
      </c>
      <c r="H1217" s="2" t="s">
        <v>60</v>
      </c>
      <c r="I1217" s="3">
        <v>35499</v>
      </c>
      <c r="J1217" s="9" t="str">
        <f t="shared" ca="1" si="20"/>
        <v>26 ans</v>
      </c>
      <c r="K1217" s="2" t="s">
        <v>36</v>
      </c>
      <c r="L1217" s="2" t="str">
        <f>"120"</f>
        <v>120</v>
      </c>
      <c r="M1217" s="2"/>
      <c r="N1217" s="2" t="str">
        <f>"CHEMIN TAMARACOUTA"</f>
        <v>CHEMIN TAMARACOUTA</v>
      </c>
      <c r="O1217" s="2" t="s">
        <v>3185</v>
      </c>
      <c r="P1217" s="9" t="str">
        <f>VLOOKUP($O1217,'Liste des Villes'!$B$2:$B$1128,1,FALSE)</f>
        <v>Saint-Jérôme</v>
      </c>
      <c r="Q1217" s="9" t="str">
        <f>IFERROR($P1217,PROPER(VLOOKUP($O1217,'Villes en erreur'!$A$2:$B$72,2,FALSE)))</f>
        <v>Saint-Jérôme</v>
      </c>
      <c r="R1217" s="9" t="s">
        <v>3186</v>
      </c>
      <c r="S1217" s="9" t="str">
        <f>IF(ISBLANK($R1217),"",VLOOKUP($R1217,'Liste des Villes'!$B$2:$H$1128,4,FALSE))</f>
        <v>Laurentides</v>
      </c>
      <c r="T1217" s="2" t="s">
        <v>3532</v>
      </c>
      <c r="U1217" s="2" t="s">
        <v>39</v>
      </c>
      <c r="V1217" s="2" t="s">
        <v>40</v>
      </c>
      <c r="W1217" s="2" t="s">
        <v>6325</v>
      </c>
      <c r="X1217" s="2"/>
      <c r="Y1217" s="2"/>
      <c r="Z1217" s="2"/>
      <c r="AA1217" s="2" t="s">
        <v>3199</v>
      </c>
      <c r="AB1217" s="2" t="s">
        <v>3200</v>
      </c>
      <c r="AC1217" s="4" t="s">
        <v>44</v>
      </c>
    </row>
    <row r="1218" spans="1:29" x14ac:dyDescent="0.25">
      <c r="A1218" s="1">
        <v>3353</v>
      </c>
      <c r="B1218" s="17" t="s">
        <v>6326</v>
      </c>
      <c r="C1218" s="2" t="s">
        <v>6327</v>
      </c>
      <c r="D1218" s="15" t="s">
        <v>1523</v>
      </c>
      <c r="E1218" s="9" t="s">
        <v>6328</v>
      </c>
      <c r="F1218" s="9" t="s">
        <v>3989</v>
      </c>
      <c r="G1218" s="9" t="s">
        <v>92</v>
      </c>
      <c r="H1218" s="2" t="s">
        <v>35</v>
      </c>
      <c r="I1218" s="3">
        <v>35467</v>
      </c>
      <c r="J1218" s="9" t="str">
        <f t="shared" ref="J1218:J1281" ca="1" si="21">_xlfn.CONCAT(INT((TODAY()-$I1218)/365.25)," ans")</f>
        <v>26 ans</v>
      </c>
      <c r="K1218" s="2" t="s">
        <v>36</v>
      </c>
      <c r="L1218" s="2" t="str">
        <f>"117"</f>
        <v>117</v>
      </c>
      <c r="M1218" s="2"/>
      <c r="N1218" s="2" t="str">
        <f>"CHEMIN HORMIDAS BONDU"</f>
        <v>CHEMIN HORMIDAS BONDU</v>
      </c>
      <c r="O1218" s="2" t="s">
        <v>3185</v>
      </c>
      <c r="P1218" s="9" t="str">
        <f>VLOOKUP($O1218,'Liste des Villes'!$B$2:$B$1128,1,FALSE)</f>
        <v>Saint-Jérôme</v>
      </c>
      <c r="Q1218" s="9" t="str">
        <f>IFERROR($P1218,PROPER(VLOOKUP($O1218,'Villes en erreur'!$A$2:$B$72,2,FALSE)))</f>
        <v>Saint-Jérôme</v>
      </c>
      <c r="R1218" s="9" t="s">
        <v>3186</v>
      </c>
      <c r="S1218" s="9" t="str">
        <f>IF(ISBLANK($R1218),"",VLOOKUP($R1218,'Liste des Villes'!$B$2:$H$1128,4,FALSE))</f>
        <v>Laurentides</v>
      </c>
      <c r="T1218" s="2" t="s">
        <v>3197</v>
      </c>
      <c r="U1218" s="2" t="s">
        <v>39</v>
      </c>
      <c r="V1218" s="2" t="s">
        <v>40</v>
      </c>
      <c r="W1218" s="2" t="s">
        <v>6329</v>
      </c>
      <c r="X1218" s="2"/>
      <c r="Y1218" s="2"/>
      <c r="Z1218" s="2"/>
      <c r="AA1218" s="2" t="s">
        <v>3199</v>
      </c>
      <c r="AB1218" s="2" t="s">
        <v>3200</v>
      </c>
      <c r="AC1218" s="4" t="s">
        <v>44</v>
      </c>
    </row>
    <row r="1219" spans="1:29" x14ac:dyDescent="0.25">
      <c r="A1219" s="1">
        <v>4513</v>
      </c>
      <c r="B1219" s="17" t="s">
        <v>6330</v>
      </c>
      <c r="C1219" s="2" t="s">
        <v>6331</v>
      </c>
      <c r="D1219" s="15" t="s">
        <v>6332</v>
      </c>
      <c r="E1219" s="9" t="s">
        <v>685</v>
      </c>
      <c r="F1219" s="9" t="s">
        <v>6333</v>
      </c>
      <c r="G1219" s="9" t="s">
        <v>4866</v>
      </c>
      <c r="H1219" s="2" t="s">
        <v>35</v>
      </c>
      <c r="I1219" s="3">
        <v>36145</v>
      </c>
      <c r="J1219" s="9" t="str">
        <f t="shared" ca="1" si="21"/>
        <v>24 ans</v>
      </c>
      <c r="K1219" s="2" t="s">
        <v>123</v>
      </c>
      <c r="L1219" s="2" t="str">
        <f>"220"</f>
        <v>220</v>
      </c>
      <c r="M1219" s="2"/>
      <c r="N1219" s="2" t="str">
        <f>"RUE ALBERT"</f>
        <v>RUE ALBERT</v>
      </c>
      <c r="O1219" s="2" t="s">
        <v>3185</v>
      </c>
      <c r="P1219" s="9" t="str">
        <f>VLOOKUP($O1219,'Liste des Villes'!$B$2:$B$1128,1,FALSE)</f>
        <v>Saint-Jérôme</v>
      </c>
      <c r="Q1219" s="9" t="str">
        <f>IFERROR($P1219,PROPER(VLOOKUP($O1219,'Villes en erreur'!$A$2:$B$72,2,FALSE)))</f>
        <v>Saint-Jérôme</v>
      </c>
      <c r="R1219" s="9" t="s">
        <v>3186</v>
      </c>
      <c r="S1219" s="9" t="str">
        <f>IF(ISBLANK($R1219),"",VLOOKUP($R1219,'Liste des Villes'!$B$2:$H$1128,4,FALSE))</f>
        <v>Laurentides</v>
      </c>
      <c r="T1219" s="2" t="s">
        <v>4867</v>
      </c>
      <c r="U1219" s="2" t="s">
        <v>39</v>
      </c>
      <c r="V1219" s="2" t="s">
        <v>40</v>
      </c>
      <c r="W1219" s="2" t="s">
        <v>6334</v>
      </c>
      <c r="X1219" s="2"/>
      <c r="Y1219" s="2"/>
      <c r="Z1219" s="2"/>
      <c r="AA1219" s="2" t="s">
        <v>832</v>
      </c>
      <c r="AB1219" s="2" t="s">
        <v>3221</v>
      </c>
      <c r="AC1219" s="4" t="s">
        <v>44</v>
      </c>
    </row>
    <row r="1220" spans="1:29" x14ac:dyDescent="0.25">
      <c r="A1220" s="1">
        <v>1708</v>
      </c>
      <c r="B1220" s="17" t="s">
        <v>6335</v>
      </c>
      <c r="C1220" s="2" t="s">
        <v>6336</v>
      </c>
      <c r="D1220" s="15" t="s">
        <v>4128</v>
      </c>
      <c r="E1220" s="9" t="s">
        <v>6337</v>
      </c>
      <c r="F1220" s="9" t="s">
        <v>2115</v>
      </c>
      <c r="G1220" s="9" t="s">
        <v>3265</v>
      </c>
      <c r="H1220" s="2" t="s">
        <v>60</v>
      </c>
      <c r="I1220" s="3">
        <v>35919</v>
      </c>
      <c r="J1220" s="9" t="str">
        <f t="shared" ca="1" si="21"/>
        <v>25 ans</v>
      </c>
      <c r="K1220" s="2" t="s">
        <v>123</v>
      </c>
      <c r="L1220" s="2" t="str">
        <f>"160"</f>
        <v>160</v>
      </c>
      <c r="M1220" s="2"/>
      <c r="N1220" s="2" t="str">
        <f>"MONTEE FILION"</f>
        <v>MONTEE FILION</v>
      </c>
      <c r="O1220" s="2" t="s">
        <v>3185</v>
      </c>
      <c r="P1220" s="9" t="str">
        <f>VLOOKUP($O1220,'Liste des Villes'!$B$2:$B$1128,1,FALSE)</f>
        <v>Saint-Jérôme</v>
      </c>
      <c r="Q1220" s="9" t="str">
        <f>IFERROR($P1220,PROPER(VLOOKUP($O1220,'Villes en erreur'!$A$2:$B$72,2,FALSE)))</f>
        <v>Saint-Jérôme</v>
      </c>
      <c r="R1220" s="9" t="s">
        <v>3186</v>
      </c>
      <c r="S1220" s="9" t="str">
        <f>IF(ISBLANK($R1220),"",VLOOKUP($R1220,'Liste des Villes'!$B$2:$H$1128,4,FALSE))</f>
        <v>Laurentides</v>
      </c>
      <c r="T1220" s="2" t="s">
        <v>5875</v>
      </c>
      <c r="U1220" s="2" t="s">
        <v>39</v>
      </c>
      <c r="V1220" s="2" t="s">
        <v>40</v>
      </c>
      <c r="W1220" s="2" t="s">
        <v>6338</v>
      </c>
      <c r="X1220" s="2"/>
      <c r="Y1220" s="2"/>
      <c r="Z1220" s="2"/>
      <c r="AA1220" s="2" t="s">
        <v>3243</v>
      </c>
      <c r="AB1220" s="2" t="s">
        <v>3221</v>
      </c>
      <c r="AC1220" s="4" t="s">
        <v>44</v>
      </c>
    </row>
    <row r="1221" spans="1:29" x14ac:dyDescent="0.25">
      <c r="A1221" s="1">
        <v>2068</v>
      </c>
      <c r="B1221" s="17" t="s">
        <v>6339</v>
      </c>
      <c r="C1221" s="2" t="s">
        <v>6340</v>
      </c>
      <c r="D1221" s="15" t="s">
        <v>6341</v>
      </c>
      <c r="E1221" s="9" t="s">
        <v>4243</v>
      </c>
      <c r="F1221" s="9" t="s">
        <v>1061</v>
      </c>
      <c r="G1221" s="9" t="s">
        <v>1447</v>
      </c>
      <c r="H1221" s="2" t="s">
        <v>60</v>
      </c>
      <c r="I1221" s="3">
        <v>35489</v>
      </c>
      <c r="J1221" s="9" t="str">
        <f t="shared" ca="1" si="21"/>
        <v>26 ans</v>
      </c>
      <c r="K1221" s="2" t="s">
        <v>36</v>
      </c>
      <c r="L1221" s="2" t="str">
        <f>"119"</f>
        <v>119</v>
      </c>
      <c r="M1221" s="2"/>
      <c r="N1221" s="2" t="str">
        <f>"CHEMIN SAINT-CHARLES"</f>
        <v>CHEMIN SAINT-CHARLES</v>
      </c>
      <c r="O1221" s="2" t="s">
        <v>3185</v>
      </c>
      <c r="P1221" s="9" t="str">
        <f>VLOOKUP($O1221,'Liste des Villes'!$B$2:$B$1128,1,FALSE)</f>
        <v>Saint-Jérôme</v>
      </c>
      <c r="Q1221" s="9" t="str">
        <f>IFERROR($P1221,PROPER(VLOOKUP($O1221,'Villes en erreur'!$A$2:$B$72,2,FALSE)))</f>
        <v>Saint-Jérôme</v>
      </c>
      <c r="R1221" s="9" t="s">
        <v>3186</v>
      </c>
      <c r="S1221" s="9" t="str">
        <f>IF(ISBLANK($R1221),"",VLOOKUP($R1221,'Liste des Villes'!$B$2:$H$1128,4,FALSE))</f>
        <v>Laurentides</v>
      </c>
      <c r="T1221" s="2" t="s">
        <v>3532</v>
      </c>
      <c r="U1221" s="2" t="s">
        <v>39</v>
      </c>
      <c r="V1221" s="2" t="s">
        <v>40</v>
      </c>
      <c r="W1221" s="2" t="s">
        <v>6342</v>
      </c>
      <c r="X1221" s="2"/>
      <c r="Y1221" s="2"/>
      <c r="Z1221" s="2"/>
      <c r="AA1221" s="2" t="s">
        <v>3199</v>
      </c>
      <c r="AB1221" s="2" t="s">
        <v>3200</v>
      </c>
      <c r="AC1221" s="4" t="s">
        <v>44</v>
      </c>
    </row>
    <row r="1222" spans="1:29" x14ac:dyDescent="0.25">
      <c r="A1222" s="1">
        <v>2858</v>
      </c>
      <c r="B1222" s="17" t="s">
        <v>6343</v>
      </c>
      <c r="C1222" s="2" t="s">
        <v>6344</v>
      </c>
      <c r="D1222" s="15" t="s">
        <v>1800</v>
      </c>
      <c r="E1222" s="9" t="s">
        <v>6345</v>
      </c>
      <c r="F1222" s="9" t="s">
        <v>1802</v>
      </c>
      <c r="G1222" s="9" t="s">
        <v>1024</v>
      </c>
      <c r="H1222" s="2" t="s">
        <v>35</v>
      </c>
      <c r="I1222" s="3">
        <v>36167</v>
      </c>
      <c r="J1222" s="9" t="str">
        <f t="shared" ca="1" si="21"/>
        <v>24 ans</v>
      </c>
      <c r="K1222" s="2" t="s">
        <v>123</v>
      </c>
      <c r="L1222" s="2" t="str">
        <f>"230"</f>
        <v>230</v>
      </c>
      <c r="M1222" s="2"/>
      <c r="N1222" s="2" t="str">
        <f>"RUE AMÉLIE"</f>
        <v>RUE AMÉLIE</v>
      </c>
      <c r="O1222" s="2" t="s">
        <v>3185</v>
      </c>
      <c r="P1222" s="9" t="str">
        <f>VLOOKUP($O1222,'Liste des Villes'!$B$2:$B$1128,1,FALSE)</f>
        <v>Saint-Jérôme</v>
      </c>
      <c r="Q1222" s="9" t="str">
        <f>IFERROR($P1222,PROPER(VLOOKUP($O1222,'Villes en erreur'!$A$2:$B$72,2,FALSE)))</f>
        <v>Saint-Jérôme</v>
      </c>
      <c r="R1222" s="9" t="s">
        <v>3186</v>
      </c>
      <c r="S1222" s="9" t="str">
        <f>IF(ISBLANK($R1222),"",VLOOKUP($R1222,'Liste des Villes'!$B$2:$H$1128,4,FALSE))</f>
        <v>Laurentides</v>
      </c>
      <c r="T1222" s="2" t="s">
        <v>6346</v>
      </c>
      <c r="U1222" s="2" t="s">
        <v>39</v>
      </c>
      <c r="V1222" s="2" t="s">
        <v>40</v>
      </c>
      <c r="W1222" s="2" t="s">
        <v>6347</v>
      </c>
      <c r="X1222" s="2"/>
      <c r="Y1222" s="2"/>
      <c r="Z1222" s="2"/>
      <c r="AA1222" s="2" t="s">
        <v>832</v>
      </c>
      <c r="AB1222" s="2" t="s">
        <v>3221</v>
      </c>
      <c r="AC1222" s="4" t="s">
        <v>44</v>
      </c>
    </row>
    <row r="1223" spans="1:29" x14ac:dyDescent="0.25">
      <c r="A1223" s="1">
        <v>275</v>
      </c>
      <c r="B1223" s="17" t="s">
        <v>6348</v>
      </c>
      <c r="C1223" s="2" t="s">
        <v>6349</v>
      </c>
      <c r="D1223" s="15" t="s">
        <v>6350</v>
      </c>
      <c r="E1223" s="9" t="s">
        <v>2897</v>
      </c>
      <c r="F1223" s="9" t="s">
        <v>2898</v>
      </c>
      <c r="G1223" s="9" t="s">
        <v>1024</v>
      </c>
      <c r="H1223" s="2" t="s">
        <v>35</v>
      </c>
      <c r="I1223" s="3">
        <v>36165</v>
      </c>
      <c r="J1223" s="9" t="str">
        <f t="shared" ca="1" si="21"/>
        <v>24 ans</v>
      </c>
      <c r="K1223" s="2" t="s">
        <v>123</v>
      </c>
      <c r="L1223" s="2" t="str">
        <f>"229"</f>
        <v>229</v>
      </c>
      <c r="M1223" s="2"/>
      <c r="N1223" s="2" t="str">
        <f>"RUE AMÉLIE"</f>
        <v>RUE AMÉLIE</v>
      </c>
      <c r="O1223" s="2" t="s">
        <v>3185</v>
      </c>
      <c r="P1223" s="9" t="str">
        <f>VLOOKUP($O1223,'Liste des Villes'!$B$2:$B$1128,1,FALSE)</f>
        <v>Saint-Jérôme</v>
      </c>
      <c r="Q1223" s="9" t="str">
        <f>IFERROR($P1223,PROPER(VLOOKUP($O1223,'Villes en erreur'!$A$2:$B$72,2,FALSE)))</f>
        <v>Saint-Jérôme</v>
      </c>
      <c r="R1223" s="9" t="s">
        <v>3186</v>
      </c>
      <c r="S1223" s="9" t="str">
        <f>IF(ISBLANK($R1223),"",VLOOKUP($R1223,'Liste des Villes'!$B$2:$H$1128,4,FALSE))</f>
        <v>Laurentides</v>
      </c>
      <c r="T1223" s="2" t="s">
        <v>6351</v>
      </c>
      <c r="U1223" s="2" t="s">
        <v>39</v>
      </c>
      <c r="V1223" s="2" t="s">
        <v>40</v>
      </c>
      <c r="W1223" s="2" t="s">
        <v>6352</v>
      </c>
      <c r="X1223" s="2"/>
      <c r="Y1223" s="2"/>
      <c r="Z1223" s="2"/>
      <c r="AA1223" s="2" t="s">
        <v>832</v>
      </c>
      <c r="AB1223" s="2" t="s">
        <v>3221</v>
      </c>
      <c r="AC1223" s="4" t="s">
        <v>44</v>
      </c>
    </row>
    <row r="1224" spans="1:29" x14ac:dyDescent="0.25">
      <c r="A1224" s="1">
        <v>261</v>
      </c>
      <c r="B1224" s="17" t="s">
        <v>6353</v>
      </c>
      <c r="C1224" s="2" t="s">
        <v>3738</v>
      </c>
      <c r="D1224" s="15" t="s">
        <v>3617</v>
      </c>
      <c r="E1224" s="9" t="s">
        <v>3739</v>
      </c>
      <c r="F1224" s="9" t="s">
        <v>363</v>
      </c>
      <c r="G1224" s="9" t="s">
        <v>92</v>
      </c>
      <c r="H1224" s="2" t="s">
        <v>35</v>
      </c>
      <c r="I1224" s="3">
        <v>35458</v>
      </c>
      <c r="J1224" s="9" t="str">
        <f t="shared" ca="1" si="21"/>
        <v>26 ans</v>
      </c>
      <c r="K1224" s="2" t="s">
        <v>36</v>
      </c>
      <c r="L1224" s="2" t="str">
        <f>"116"</f>
        <v>116</v>
      </c>
      <c r="M1224" s="2"/>
      <c r="N1224" s="2" t="str">
        <f>"CHEMIN FYON"</f>
        <v>CHEMIN FYON</v>
      </c>
      <c r="O1224" s="2" t="s">
        <v>3185</v>
      </c>
      <c r="P1224" s="9" t="str">
        <f>VLOOKUP($O1224,'Liste des Villes'!$B$2:$B$1128,1,FALSE)</f>
        <v>Saint-Jérôme</v>
      </c>
      <c r="Q1224" s="9" t="str">
        <f>IFERROR($P1224,PROPER(VLOOKUP($O1224,'Villes en erreur'!$A$2:$B$72,2,FALSE)))</f>
        <v>Saint-Jérôme</v>
      </c>
      <c r="R1224" s="9" t="s">
        <v>3186</v>
      </c>
      <c r="S1224" s="9" t="str">
        <f>IF(ISBLANK($R1224),"",VLOOKUP($R1224,'Liste des Villes'!$B$2:$H$1128,4,FALSE))</f>
        <v>Laurentides</v>
      </c>
      <c r="T1224" s="2" t="s">
        <v>3369</v>
      </c>
      <c r="U1224" s="2" t="s">
        <v>39</v>
      </c>
      <c r="V1224" s="2" t="s">
        <v>40</v>
      </c>
      <c r="W1224" s="2" t="s">
        <v>6354</v>
      </c>
      <c r="X1224" s="2"/>
      <c r="Y1224" s="2"/>
      <c r="Z1224" s="2"/>
      <c r="AA1224" s="2" t="s">
        <v>3199</v>
      </c>
      <c r="AB1224" s="2" t="s">
        <v>3200</v>
      </c>
      <c r="AC1224" s="4" t="s">
        <v>44</v>
      </c>
    </row>
    <row r="1225" spans="1:29" x14ac:dyDescent="0.25">
      <c r="A1225" s="1">
        <v>1794</v>
      </c>
      <c r="B1225" s="17" t="s">
        <v>6355</v>
      </c>
      <c r="C1225" s="2" t="s">
        <v>6356</v>
      </c>
      <c r="D1225" s="15" t="s">
        <v>6357</v>
      </c>
      <c r="E1225" s="9" t="s">
        <v>826</v>
      </c>
      <c r="F1225" s="9" t="s">
        <v>1262</v>
      </c>
      <c r="G1225" s="9" t="s">
        <v>186</v>
      </c>
      <c r="H1225" s="2" t="s">
        <v>60</v>
      </c>
      <c r="I1225" s="3">
        <v>34833</v>
      </c>
      <c r="J1225" s="9" t="str">
        <f t="shared" ca="1" si="21"/>
        <v>28 ans</v>
      </c>
      <c r="K1225" s="2" t="s">
        <v>36</v>
      </c>
      <c r="L1225" s="2" t="str">
        <f>"80"</f>
        <v>80</v>
      </c>
      <c r="M1225" s="2"/>
      <c r="N1225" s="2" t="str">
        <f>"CH DES GRANDS-DUCS"</f>
        <v>CH DES GRANDS-DUCS</v>
      </c>
      <c r="O1225" s="2" t="s">
        <v>3185</v>
      </c>
      <c r="P1225" s="9" t="str">
        <f>VLOOKUP($O1225,'Liste des Villes'!$B$2:$B$1128,1,FALSE)</f>
        <v>Saint-Jérôme</v>
      </c>
      <c r="Q1225" s="9" t="str">
        <f>IFERROR($P1225,PROPER(VLOOKUP($O1225,'Villes en erreur'!$A$2:$B$72,2,FALSE)))</f>
        <v>Saint-Jérôme</v>
      </c>
      <c r="R1225" s="9" t="s">
        <v>3186</v>
      </c>
      <c r="S1225" s="9" t="str">
        <f>IF(ISBLANK($R1225),"",VLOOKUP($R1225,'Liste des Villes'!$B$2:$H$1128,4,FALSE))</f>
        <v>Laurentides</v>
      </c>
      <c r="T1225" s="2" t="s">
        <v>3187</v>
      </c>
      <c r="U1225" s="2" t="s">
        <v>39</v>
      </c>
      <c r="V1225" s="2" t="s">
        <v>40</v>
      </c>
      <c r="W1225" s="2" t="s">
        <v>6358</v>
      </c>
      <c r="X1225" s="2"/>
      <c r="Y1225" s="2"/>
      <c r="Z1225" s="2"/>
      <c r="AA1225" s="2" t="s">
        <v>3231</v>
      </c>
      <c r="AB1225" s="2" t="s">
        <v>53</v>
      </c>
      <c r="AC1225" s="4" t="s">
        <v>44</v>
      </c>
    </row>
    <row r="1226" spans="1:29" x14ac:dyDescent="0.25">
      <c r="A1226" s="1">
        <v>2632</v>
      </c>
      <c r="B1226" s="17" t="s">
        <v>6359</v>
      </c>
      <c r="C1226" s="2" t="s">
        <v>2800</v>
      </c>
      <c r="D1226" s="15" t="s">
        <v>2801</v>
      </c>
      <c r="E1226" s="9" t="s">
        <v>1689</v>
      </c>
      <c r="F1226" s="9" t="s">
        <v>4044</v>
      </c>
      <c r="G1226" s="9" t="s">
        <v>6360</v>
      </c>
      <c r="H1226" s="2" t="s">
        <v>35</v>
      </c>
      <c r="I1226" s="3">
        <v>34081</v>
      </c>
      <c r="J1226" s="9" t="str">
        <f t="shared" ca="1" si="21"/>
        <v>30 ans</v>
      </c>
      <c r="K1226" s="2" t="s">
        <v>36</v>
      </c>
      <c r="L1226" s="2" t="str">
        <f>"45"</f>
        <v>45</v>
      </c>
      <c r="M1226" s="2"/>
      <c r="N1226" s="2" t="str">
        <f>"BOUL. SAINT-MARTIN OUEST"</f>
        <v>BOUL. SAINT-MARTIN OUEST</v>
      </c>
      <c r="O1226" s="2" t="s">
        <v>3185</v>
      </c>
      <c r="P1226" s="9" t="str">
        <f>VLOOKUP($O1226,'Liste des Villes'!$B$2:$B$1128,1,FALSE)</f>
        <v>Saint-Jérôme</v>
      </c>
      <c r="Q1226" s="9" t="str">
        <f>IFERROR($P1226,PROPER(VLOOKUP($O1226,'Villes en erreur'!$A$2:$B$72,2,FALSE)))</f>
        <v>Saint-Jérôme</v>
      </c>
      <c r="R1226" s="9" t="s">
        <v>3186</v>
      </c>
      <c r="S1226" s="9" t="str">
        <f>IF(ISBLANK($R1226),"",VLOOKUP($R1226,'Liste des Villes'!$B$2:$H$1128,4,FALSE))</f>
        <v>Laurentides</v>
      </c>
      <c r="T1226" s="2" t="s">
        <v>3358</v>
      </c>
      <c r="U1226" s="2" t="s">
        <v>39</v>
      </c>
      <c r="V1226" s="2" t="s">
        <v>40</v>
      </c>
      <c r="W1226" s="2" t="s">
        <v>6361</v>
      </c>
      <c r="X1226" s="2"/>
      <c r="Y1226" s="2"/>
      <c r="Z1226" s="2"/>
      <c r="AA1226" s="2" t="s">
        <v>3360</v>
      </c>
      <c r="AB1226" s="2" t="s">
        <v>53</v>
      </c>
      <c r="AC1226" s="4" t="s">
        <v>44</v>
      </c>
    </row>
    <row r="1227" spans="1:29" x14ac:dyDescent="0.25">
      <c r="A1227" s="1">
        <v>3965</v>
      </c>
      <c r="B1227" s="17" t="s">
        <v>6362</v>
      </c>
      <c r="C1227" s="2" t="s">
        <v>5020</v>
      </c>
      <c r="D1227" s="15" t="s">
        <v>5021</v>
      </c>
      <c r="E1227" s="9" t="s">
        <v>196</v>
      </c>
      <c r="F1227" s="9" t="s">
        <v>197</v>
      </c>
      <c r="G1227" s="9" t="s">
        <v>3218</v>
      </c>
      <c r="H1227" s="2" t="s">
        <v>60</v>
      </c>
      <c r="I1227" s="3">
        <v>34342</v>
      </c>
      <c r="J1227" s="9" t="str">
        <f t="shared" ca="1" si="21"/>
        <v>29 ans</v>
      </c>
      <c r="K1227" s="2" t="s">
        <v>36</v>
      </c>
      <c r="L1227" s="2" t="str">
        <f>"53"</f>
        <v>53</v>
      </c>
      <c r="M1227" s="2"/>
      <c r="N1227" s="2" t="str">
        <f>"BOULEVARD RENÉ-LÉVESQUE"</f>
        <v>BOULEVARD RENÉ-LÉVESQUE</v>
      </c>
      <c r="O1227" s="2" t="s">
        <v>3185</v>
      </c>
      <c r="P1227" s="9" t="str">
        <f>VLOOKUP($O1227,'Liste des Villes'!$B$2:$B$1128,1,FALSE)</f>
        <v>Saint-Jérôme</v>
      </c>
      <c r="Q1227" s="9" t="str">
        <f>IFERROR($P1227,PROPER(VLOOKUP($O1227,'Villes en erreur'!$A$2:$B$72,2,FALSE)))</f>
        <v>Saint-Jérôme</v>
      </c>
      <c r="R1227" s="9" t="s">
        <v>3186</v>
      </c>
      <c r="S1227" s="9" t="str">
        <f>IF(ISBLANK($R1227),"",VLOOKUP($R1227,'Liste des Villes'!$B$2:$H$1128,4,FALSE))</f>
        <v>Laurentides</v>
      </c>
      <c r="T1227" s="2" t="s">
        <v>3291</v>
      </c>
      <c r="U1227" s="2" t="s">
        <v>39</v>
      </c>
      <c r="V1227" s="2" t="s">
        <v>40</v>
      </c>
      <c r="W1227" s="2" t="s">
        <v>6363</v>
      </c>
      <c r="X1227" s="2"/>
      <c r="Y1227" s="2"/>
      <c r="Z1227" s="2"/>
      <c r="AA1227" s="2" t="s">
        <v>3360</v>
      </c>
      <c r="AB1227" s="2" t="s">
        <v>53</v>
      </c>
      <c r="AC1227" s="4" t="s">
        <v>44</v>
      </c>
    </row>
    <row r="1228" spans="1:29" x14ac:dyDescent="0.25">
      <c r="A1228" s="1">
        <v>2799</v>
      </c>
      <c r="B1228" s="17" t="s">
        <v>6364</v>
      </c>
      <c r="C1228" s="2" t="s">
        <v>4203</v>
      </c>
      <c r="D1228" s="15" t="s">
        <v>1794</v>
      </c>
      <c r="E1228" s="9" t="s">
        <v>348</v>
      </c>
      <c r="F1228" s="9" t="s">
        <v>349</v>
      </c>
      <c r="G1228" s="9" t="s">
        <v>3486</v>
      </c>
      <c r="H1228" s="2" t="s">
        <v>60</v>
      </c>
      <c r="I1228" s="3">
        <v>36200</v>
      </c>
      <c r="J1228" s="9" t="str">
        <f t="shared" ca="1" si="21"/>
        <v>24 ans</v>
      </c>
      <c r="K1228" s="2" t="s">
        <v>123</v>
      </c>
      <c r="L1228" s="2" t="str">
        <f>"242"</f>
        <v>242</v>
      </c>
      <c r="M1228" s="2"/>
      <c r="N1228" s="2" t="str">
        <f>"RUE ARMAND-DESFORGES"</f>
        <v>RUE ARMAND-DESFORGES</v>
      </c>
      <c r="O1228" s="2" t="s">
        <v>3185</v>
      </c>
      <c r="P1228" s="9" t="str">
        <f>VLOOKUP($O1228,'Liste des Villes'!$B$2:$B$1128,1,FALSE)</f>
        <v>Saint-Jérôme</v>
      </c>
      <c r="Q1228" s="9" t="str">
        <f>IFERROR($P1228,PROPER(VLOOKUP($O1228,'Villes en erreur'!$A$2:$B$72,2,FALSE)))</f>
        <v>Saint-Jérôme</v>
      </c>
      <c r="R1228" s="9" t="s">
        <v>3186</v>
      </c>
      <c r="S1228" s="9" t="str">
        <f>IF(ISBLANK($R1228),"",VLOOKUP($R1228,'Liste des Villes'!$B$2:$H$1128,4,FALSE))</f>
        <v>Laurentides</v>
      </c>
      <c r="T1228" s="2" t="s">
        <v>3487</v>
      </c>
      <c r="U1228" s="2" t="s">
        <v>39</v>
      </c>
      <c r="V1228" s="2" t="s">
        <v>40</v>
      </c>
      <c r="W1228" s="2" t="s">
        <v>6365</v>
      </c>
      <c r="X1228" s="2"/>
      <c r="Y1228" s="2"/>
      <c r="Z1228" s="2"/>
      <c r="AA1228" s="2" t="s">
        <v>832</v>
      </c>
      <c r="AB1228" s="2" t="s">
        <v>3288</v>
      </c>
      <c r="AC1228" s="4" t="s">
        <v>44</v>
      </c>
    </row>
    <row r="1229" spans="1:29" x14ac:dyDescent="0.25">
      <c r="A1229" s="1">
        <v>2587</v>
      </c>
      <c r="B1229" s="17" t="s">
        <v>6366</v>
      </c>
      <c r="C1229" s="2" t="s">
        <v>6367</v>
      </c>
      <c r="D1229" s="15" t="s">
        <v>6368</v>
      </c>
      <c r="E1229" s="9" t="s">
        <v>664</v>
      </c>
      <c r="F1229" s="9" t="s">
        <v>6369</v>
      </c>
      <c r="G1229" s="9" t="s">
        <v>664</v>
      </c>
      <c r="H1229" s="2" t="s">
        <v>60</v>
      </c>
      <c r="I1229" s="3">
        <v>36005</v>
      </c>
      <c r="J1229" s="9" t="str">
        <f t="shared" ca="1" si="21"/>
        <v>25 ans</v>
      </c>
      <c r="K1229" s="2" t="s">
        <v>123</v>
      </c>
      <c r="L1229" s="2" t="str">
        <f>"178"</f>
        <v>178</v>
      </c>
      <c r="M1229" s="2"/>
      <c r="N1229" s="2" t="str">
        <f>"PLACE DES NÉNUPHARS"</f>
        <v>PLACE DES NÉNUPHARS</v>
      </c>
      <c r="O1229" s="2" t="s">
        <v>3185</v>
      </c>
      <c r="P1229" s="9" t="str">
        <f>VLOOKUP($O1229,'Liste des Villes'!$B$2:$B$1128,1,FALSE)</f>
        <v>Saint-Jérôme</v>
      </c>
      <c r="Q1229" s="9" t="str">
        <f>IFERROR($P1229,PROPER(VLOOKUP($O1229,'Villes en erreur'!$A$2:$B$72,2,FALSE)))</f>
        <v>Saint-Jérôme</v>
      </c>
      <c r="R1229" s="9" t="s">
        <v>3186</v>
      </c>
      <c r="S1229" s="9" t="str">
        <f>IF(ISBLANK($R1229),"",VLOOKUP($R1229,'Liste des Villes'!$B$2:$H$1128,4,FALSE))</f>
        <v>Laurentides</v>
      </c>
      <c r="T1229" s="2" t="s">
        <v>6370</v>
      </c>
      <c r="U1229" s="2" t="s">
        <v>39</v>
      </c>
      <c r="V1229" s="2" t="s">
        <v>40</v>
      </c>
      <c r="W1229" s="2" t="s">
        <v>6371</v>
      </c>
      <c r="X1229" s="2"/>
      <c r="Y1229" s="2"/>
      <c r="Z1229" s="2"/>
      <c r="AA1229" s="2" t="s">
        <v>832</v>
      </c>
      <c r="AB1229" s="2" t="s">
        <v>3221</v>
      </c>
      <c r="AC1229" s="4" t="s">
        <v>44</v>
      </c>
    </row>
    <row r="1230" spans="1:29" x14ac:dyDescent="0.25">
      <c r="A1230" s="1">
        <v>1508</v>
      </c>
      <c r="B1230" s="17" t="s">
        <v>6372</v>
      </c>
      <c r="C1230" s="2" t="s">
        <v>6373</v>
      </c>
      <c r="D1230" s="15" t="s">
        <v>6374</v>
      </c>
      <c r="E1230" s="9" t="s">
        <v>6268</v>
      </c>
      <c r="F1230" s="9" t="s">
        <v>6375</v>
      </c>
      <c r="G1230" s="9" t="s">
        <v>2822</v>
      </c>
      <c r="H1230" s="2" t="s">
        <v>60</v>
      </c>
      <c r="I1230" s="3">
        <v>35091</v>
      </c>
      <c r="J1230" s="9" t="str">
        <f t="shared" ca="1" si="21"/>
        <v>27 ans</v>
      </c>
      <c r="K1230" s="2" t="s">
        <v>36</v>
      </c>
      <c r="L1230" s="2" t="str">
        <f>"100"</f>
        <v>100</v>
      </c>
      <c r="M1230" s="2"/>
      <c r="N1230" s="2" t="str">
        <f>"CH DU VILLAGE"</f>
        <v>CH DU VILLAGE</v>
      </c>
      <c r="O1230" s="2" t="s">
        <v>3185</v>
      </c>
      <c r="P1230" s="9" t="str">
        <f>VLOOKUP($O1230,'Liste des Villes'!$B$2:$B$1128,1,FALSE)</f>
        <v>Saint-Jérôme</v>
      </c>
      <c r="Q1230" s="9" t="str">
        <f>IFERROR($P1230,PROPER(VLOOKUP($O1230,'Villes en erreur'!$A$2:$B$72,2,FALSE)))</f>
        <v>Saint-Jérôme</v>
      </c>
      <c r="R1230" s="9" t="s">
        <v>3186</v>
      </c>
      <c r="S1230" s="9" t="str">
        <f>IF(ISBLANK($R1230),"",VLOOKUP($R1230,'Liste des Villes'!$B$2:$H$1128,4,FALSE))</f>
        <v>Laurentides</v>
      </c>
      <c r="T1230" s="2" t="s">
        <v>3187</v>
      </c>
      <c r="U1230" s="2" t="s">
        <v>39</v>
      </c>
      <c r="V1230" s="2" t="s">
        <v>40</v>
      </c>
      <c r="W1230" s="2" t="s">
        <v>6376</v>
      </c>
      <c r="X1230" s="2"/>
      <c r="Y1230" s="2"/>
      <c r="Z1230" s="2"/>
      <c r="AA1230" s="2" t="s">
        <v>3189</v>
      </c>
      <c r="AB1230" s="2" t="s">
        <v>3190</v>
      </c>
      <c r="AC1230" s="4" t="s">
        <v>44</v>
      </c>
    </row>
    <row r="1231" spans="1:29" x14ac:dyDescent="0.25">
      <c r="A1231" s="1">
        <v>2125</v>
      </c>
      <c r="B1231" s="17" t="s">
        <v>6377</v>
      </c>
      <c r="C1231" s="2" t="s">
        <v>6378</v>
      </c>
      <c r="D1231" s="15" t="s">
        <v>312</v>
      </c>
      <c r="E1231" s="9" t="s">
        <v>6379</v>
      </c>
      <c r="F1231" s="9" t="s">
        <v>311</v>
      </c>
      <c r="G1231" s="9" t="s">
        <v>6380</v>
      </c>
      <c r="H1231" s="2" t="s">
        <v>60</v>
      </c>
      <c r="I1231" s="3">
        <v>35481</v>
      </c>
      <c r="J1231" s="9" t="str">
        <f t="shared" ca="1" si="21"/>
        <v>26 ans</v>
      </c>
      <c r="K1231" s="2" t="s">
        <v>36</v>
      </c>
      <c r="L1231" s="2" t="str">
        <f>"117"</f>
        <v>117</v>
      </c>
      <c r="M1231" s="2"/>
      <c r="N1231" s="2" t="str">
        <f>"CHEMIN PAQUETTE"</f>
        <v>CHEMIN PAQUETTE</v>
      </c>
      <c r="O1231" s="2" t="s">
        <v>3185</v>
      </c>
      <c r="P1231" s="9" t="str">
        <f>VLOOKUP($O1231,'Liste des Villes'!$B$2:$B$1128,1,FALSE)</f>
        <v>Saint-Jérôme</v>
      </c>
      <c r="Q1231" s="9" t="str">
        <f>IFERROR($P1231,PROPER(VLOOKUP($O1231,'Villes en erreur'!$A$2:$B$72,2,FALSE)))</f>
        <v>Saint-Jérôme</v>
      </c>
      <c r="R1231" s="9" t="s">
        <v>3186</v>
      </c>
      <c r="S1231" s="9" t="str">
        <f>IF(ISBLANK($R1231),"",VLOOKUP($R1231,'Liste des Villes'!$B$2:$H$1128,4,FALSE))</f>
        <v>Laurentides</v>
      </c>
      <c r="T1231" s="2" t="s">
        <v>3532</v>
      </c>
      <c r="U1231" s="2" t="s">
        <v>39</v>
      </c>
      <c r="V1231" s="2" t="s">
        <v>40</v>
      </c>
      <c r="W1231" s="2" t="s">
        <v>6381</v>
      </c>
      <c r="X1231" s="2"/>
      <c r="Y1231" s="2"/>
      <c r="Z1231" s="2"/>
      <c r="AA1231" s="2" t="s">
        <v>3199</v>
      </c>
      <c r="AB1231" s="2" t="s">
        <v>3200</v>
      </c>
      <c r="AC1231" s="4" t="s">
        <v>44</v>
      </c>
    </row>
    <row r="1232" spans="1:29" x14ac:dyDescent="0.25">
      <c r="A1232" s="1">
        <v>3699</v>
      </c>
      <c r="B1232" s="17" t="s">
        <v>6382</v>
      </c>
      <c r="C1232" s="2" t="s">
        <v>6383</v>
      </c>
      <c r="D1232" s="15" t="s">
        <v>6384</v>
      </c>
      <c r="E1232" s="9" t="s">
        <v>4324</v>
      </c>
      <c r="F1232" s="9" t="s">
        <v>6385</v>
      </c>
      <c r="G1232" s="9" t="s">
        <v>6386</v>
      </c>
      <c r="H1232" s="2" t="s">
        <v>35</v>
      </c>
      <c r="I1232" s="3">
        <v>36095</v>
      </c>
      <c r="J1232" s="9" t="str">
        <f t="shared" ca="1" si="21"/>
        <v>24 ans</v>
      </c>
      <c r="K1232" s="2" t="s">
        <v>123</v>
      </c>
      <c r="L1232" s="2" t="str">
        <f>"206"</f>
        <v>206</v>
      </c>
      <c r="M1232" s="2"/>
      <c r="N1232" s="2" t="str">
        <f>"ROLAND-DURAND BLVD"</f>
        <v>ROLAND-DURAND BLVD</v>
      </c>
      <c r="O1232" s="2" t="s">
        <v>3185</v>
      </c>
      <c r="P1232" s="9" t="str">
        <f>VLOOKUP($O1232,'Liste des Villes'!$B$2:$B$1128,1,FALSE)</f>
        <v>Saint-Jérôme</v>
      </c>
      <c r="Q1232" s="9" t="str">
        <f>IFERROR($P1232,PROPER(VLOOKUP($O1232,'Villes en erreur'!$A$2:$B$72,2,FALSE)))</f>
        <v>Saint-Jérôme</v>
      </c>
      <c r="R1232" s="9" t="s">
        <v>3186</v>
      </c>
      <c r="S1232" s="9" t="str">
        <f>IF(ISBLANK($R1232),"",VLOOKUP($R1232,'Liste des Villes'!$B$2:$H$1128,4,FALSE))</f>
        <v>Laurentides</v>
      </c>
      <c r="T1232" s="2" t="s">
        <v>6387</v>
      </c>
      <c r="U1232" s="2" t="s">
        <v>39</v>
      </c>
      <c r="V1232" s="2" t="s">
        <v>40</v>
      </c>
      <c r="W1232" s="2" t="s">
        <v>6388</v>
      </c>
      <c r="X1232" s="2"/>
      <c r="Y1232" s="2"/>
      <c r="Z1232" s="2"/>
      <c r="AA1232" s="2" t="s">
        <v>832</v>
      </c>
      <c r="AB1232" s="2" t="s">
        <v>3221</v>
      </c>
      <c r="AC1232" s="4" t="s">
        <v>44</v>
      </c>
    </row>
    <row r="1233" spans="1:29" x14ac:dyDescent="0.25">
      <c r="A1233" s="1">
        <v>1200</v>
      </c>
      <c r="B1233" s="17" t="s">
        <v>6389</v>
      </c>
      <c r="C1233" s="2" t="s">
        <v>6390</v>
      </c>
      <c r="D1233" s="15" t="s">
        <v>3877</v>
      </c>
      <c r="E1233" s="9" t="s">
        <v>6391</v>
      </c>
      <c r="F1233" s="9" t="s">
        <v>100</v>
      </c>
      <c r="G1233" s="9" t="s">
        <v>5569</v>
      </c>
      <c r="H1233" s="2" t="s">
        <v>60</v>
      </c>
      <c r="I1233" s="3">
        <v>36206</v>
      </c>
      <c r="J1233" s="9" t="str">
        <f t="shared" ca="1" si="21"/>
        <v>24 ans</v>
      </c>
      <c r="K1233" s="2" t="s">
        <v>123</v>
      </c>
      <c r="L1233" s="2" t="str">
        <f>"244"</f>
        <v>244</v>
      </c>
      <c r="M1233" s="2"/>
      <c r="N1233" s="2" t="str">
        <f>"RUE AUBIN"</f>
        <v>RUE AUBIN</v>
      </c>
      <c r="O1233" s="2" t="s">
        <v>3185</v>
      </c>
      <c r="P1233" s="9" t="str">
        <f>VLOOKUP($O1233,'Liste des Villes'!$B$2:$B$1128,1,FALSE)</f>
        <v>Saint-Jérôme</v>
      </c>
      <c r="Q1233" s="9" t="str">
        <f>IFERROR($P1233,PROPER(VLOOKUP($O1233,'Villes en erreur'!$A$2:$B$72,2,FALSE)))</f>
        <v>Saint-Jérôme</v>
      </c>
      <c r="R1233" s="9" t="s">
        <v>3186</v>
      </c>
      <c r="S1233" s="9" t="str">
        <f>IF(ISBLANK($R1233),"",VLOOKUP($R1233,'Liste des Villes'!$B$2:$H$1128,4,FALSE))</f>
        <v>Laurentides</v>
      </c>
      <c r="T1233" s="2" t="s">
        <v>3286</v>
      </c>
      <c r="U1233" s="2" t="s">
        <v>39</v>
      </c>
      <c r="V1233" s="2" t="s">
        <v>40</v>
      </c>
      <c r="W1233" s="2" t="s">
        <v>6392</v>
      </c>
      <c r="X1233" s="2"/>
      <c r="Y1233" s="2"/>
      <c r="Z1233" s="2"/>
      <c r="AA1233" s="2" t="s">
        <v>832</v>
      </c>
      <c r="AB1233" s="2" t="s">
        <v>3288</v>
      </c>
      <c r="AC1233" s="4" t="s">
        <v>44</v>
      </c>
    </row>
    <row r="1234" spans="1:29" x14ac:dyDescent="0.25">
      <c r="A1234" s="1">
        <v>2315</v>
      </c>
      <c r="B1234" s="17" t="s">
        <v>6393</v>
      </c>
      <c r="C1234" s="2" t="s">
        <v>6394</v>
      </c>
      <c r="D1234" s="15" t="s">
        <v>4840</v>
      </c>
      <c r="E1234" s="9" t="s">
        <v>3682</v>
      </c>
      <c r="F1234" s="9" t="s">
        <v>4839</v>
      </c>
      <c r="G1234" s="9" t="s">
        <v>332</v>
      </c>
      <c r="H1234" s="2" t="s">
        <v>60</v>
      </c>
      <c r="I1234" s="3">
        <v>35572</v>
      </c>
      <c r="J1234" s="9" t="str">
        <f t="shared" ca="1" si="21"/>
        <v>26 ans</v>
      </c>
      <c r="K1234" s="2" t="s">
        <v>36</v>
      </c>
      <c r="L1234" s="2" t="str">
        <f>"125"</f>
        <v>125</v>
      </c>
      <c r="M1234" s="2"/>
      <c r="N1234" s="2" t="str">
        <f>"CROIS JEAN-LESAGE"</f>
        <v>CROIS JEAN-LESAGE</v>
      </c>
      <c r="O1234" s="2" t="s">
        <v>3185</v>
      </c>
      <c r="P1234" s="9" t="str">
        <f>VLOOKUP($O1234,'Liste des Villes'!$B$2:$B$1128,1,FALSE)</f>
        <v>Saint-Jérôme</v>
      </c>
      <c r="Q1234" s="9" t="str">
        <f>IFERROR($P1234,PROPER(VLOOKUP($O1234,'Villes en erreur'!$A$2:$B$72,2,FALSE)))</f>
        <v>Saint-Jérôme</v>
      </c>
      <c r="R1234" s="9" t="s">
        <v>3186</v>
      </c>
      <c r="S1234" s="9" t="str">
        <f>IF(ISBLANK($R1234),"",VLOOKUP($R1234,'Liste des Villes'!$B$2:$H$1128,4,FALSE))</f>
        <v>Laurentides</v>
      </c>
      <c r="T1234" s="2" t="s">
        <v>3740</v>
      </c>
      <c r="U1234" s="2" t="s">
        <v>39</v>
      </c>
      <c r="V1234" s="2" t="s">
        <v>40</v>
      </c>
      <c r="W1234" s="2" t="s">
        <v>6395</v>
      </c>
      <c r="X1234" s="2"/>
      <c r="Y1234" s="2"/>
      <c r="Z1234" s="2"/>
      <c r="AA1234" s="2" t="s">
        <v>3199</v>
      </c>
      <c r="AB1234" s="2" t="s">
        <v>3221</v>
      </c>
      <c r="AC1234" s="4" t="s">
        <v>44</v>
      </c>
    </row>
    <row r="1235" spans="1:29" x14ac:dyDescent="0.25">
      <c r="A1235" s="1">
        <v>2743</v>
      </c>
      <c r="B1235" s="17" t="s">
        <v>6396</v>
      </c>
      <c r="C1235" s="2" t="s">
        <v>2084</v>
      </c>
      <c r="D1235" s="15" t="s">
        <v>2085</v>
      </c>
      <c r="E1235" s="9" t="s">
        <v>2086</v>
      </c>
      <c r="F1235" s="9" t="s">
        <v>2087</v>
      </c>
      <c r="G1235" s="9" t="s">
        <v>332</v>
      </c>
      <c r="H1235" s="2" t="s">
        <v>60</v>
      </c>
      <c r="I1235" s="3">
        <v>35577</v>
      </c>
      <c r="J1235" s="9" t="str">
        <f t="shared" ca="1" si="21"/>
        <v>26 ans</v>
      </c>
      <c r="K1235" s="2" t="s">
        <v>36</v>
      </c>
      <c r="L1235" s="2" t="str">
        <f>"126"</f>
        <v>126</v>
      </c>
      <c r="M1235" s="2"/>
      <c r="N1235" s="2" t="str">
        <f>"CROISSANT ADÈLE"</f>
        <v>CROISSANT ADÈLE</v>
      </c>
      <c r="O1235" s="2" t="s">
        <v>3185</v>
      </c>
      <c r="P1235" s="9" t="str">
        <f>VLOOKUP($O1235,'Liste des Villes'!$B$2:$B$1128,1,FALSE)</f>
        <v>Saint-Jérôme</v>
      </c>
      <c r="Q1235" s="9" t="str">
        <f>IFERROR($P1235,PROPER(VLOOKUP($O1235,'Villes en erreur'!$A$2:$B$72,2,FALSE)))</f>
        <v>Saint-Jérôme</v>
      </c>
      <c r="R1235" s="9" t="s">
        <v>3186</v>
      </c>
      <c r="S1235" s="9" t="str">
        <f>IF(ISBLANK($R1235),"",VLOOKUP($R1235,'Liste des Villes'!$B$2:$H$1128,4,FALSE))</f>
        <v>Laurentides</v>
      </c>
      <c r="T1235" s="2" t="s">
        <v>5697</v>
      </c>
      <c r="U1235" s="2" t="s">
        <v>39</v>
      </c>
      <c r="V1235" s="2" t="s">
        <v>40</v>
      </c>
      <c r="W1235" s="2" t="s">
        <v>6397</v>
      </c>
      <c r="X1235" s="2"/>
      <c r="Y1235" s="2"/>
      <c r="Z1235" s="2"/>
      <c r="AA1235" s="2" t="s">
        <v>3199</v>
      </c>
      <c r="AB1235" s="2" t="s">
        <v>3221</v>
      </c>
      <c r="AC1235" s="4" t="s">
        <v>44</v>
      </c>
    </row>
    <row r="1236" spans="1:29" x14ac:dyDescent="0.25">
      <c r="A1236" s="1">
        <v>2679</v>
      </c>
      <c r="B1236" s="17" t="s">
        <v>6398</v>
      </c>
      <c r="C1236" s="2" t="s">
        <v>1648</v>
      </c>
      <c r="D1236" s="15" t="s">
        <v>1649</v>
      </c>
      <c r="E1236" s="9" t="s">
        <v>1650</v>
      </c>
      <c r="F1236" s="9" t="s">
        <v>1702</v>
      </c>
      <c r="G1236" s="9" t="s">
        <v>186</v>
      </c>
      <c r="H1236" s="2" t="s">
        <v>60</v>
      </c>
      <c r="I1236" s="3">
        <v>34920</v>
      </c>
      <c r="J1236" s="9" t="str">
        <f t="shared" ca="1" si="21"/>
        <v>28 ans</v>
      </c>
      <c r="K1236" s="2" t="s">
        <v>36</v>
      </c>
      <c r="L1236" s="2" t="str">
        <f>"84"</f>
        <v>84</v>
      </c>
      <c r="M1236" s="2"/>
      <c r="N1236" s="2" t="str">
        <f>"CH DORIS"</f>
        <v>CH DORIS</v>
      </c>
      <c r="O1236" s="2" t="s">
        <v>3185</v>
      </c>
      <c r="P1236" s="9" t="str">
        <f>VLOOKUP($O1236,'Liste des Villes'!$B$2:$B$1128,1,FALSE)</f>
        <v>Saint-Jérôme</v>
      </c>
      <c r="Q1236" s="9" t="str">
        <f>IFERROR($P1236,PROPER(VLOOKUP($O1236,'Villes en erreur'!$A$2:$B$72,2,FALSE)))</f>
        <v>Saint-Jérôme</v>
      </c>
      <c r="R1236" s="9" t="s">
        <v>3186</v>
      </c>
      <c r="S1236" s="9" t="str">
        <f>IF(ISBLANK($R1236),"",VLOOKUP($R1236,'Liste des Villes'!$B$2:$H$1128,4,FALSE))</f>
        <v>Laurentides</v>
      </c>
      <c r="T1236" s="2" t="s">
        <v>3187</v>
      </c>
      <c r="U1236" s="2" t="s">
        <v>39</v>
      </c>
      <c r="V1236" s="2" t="s">
        <v>40</v>
      </c>
      <c r="W1236" s="2" t="s">
        <v>6399</v>
      </c>
      <c r="X1236" s="2"/>
      <c r="Y1236" s="2"/>
      <c r="Z1236" s="2"/>
      <c r="AA1236" s="2" t="s">
        <v>3231</v>
      </c>
      <c r="AB1236" s="2" t="s">
        <v>53</v>
      </c>
      <c r="AC1236" s="4" t="s">
        <v>44</v>
      </c>
    </row>
    <row r="1237" spans="1:29" x14ac:dyDescent="0.25">
      <c r="A1237" s="1">
        <v>4124</v>
      </c>
      <c r="B1237" s="17" t="s">
        <v>6400</v>
      </c>
      <c r="C1237" s="2" t="s">
        <v>6401</v>
      </c>
      <c r="D1237" s="15" t="s">
        <v>1199</v>
      </c>
      <c r="E1237" s="9" t="s">
        <v>487</v>
      </c>
      <c r="F1237" s="9" t="s">
        <v>6402</v>
      </c>
      <c r="G1237" s="9" t="s">
        <v>1560</v>
      </c>
      <c r="H1237" s="2" t="s">
        <v>35</v>
      </c>
      <c r="I1237" s="3">
        <v>35606</v>
      </c>
      <c r="J1237" s="9" t="str">
        <f t="shared" ca="1" si="21"/>
        <v>26 ans</v>
      </c>
      <c r="K1237" s="2" t="s">
        <v>36</v>
      </c>
      <c r="L1237" s="2" t="str">
        <f>"129"</f>
        <v>129</v>
      </c>
      <c r="M1237" s="2"/>
      <c r="N1237" s="2" t="str">
        <f>"DE LA PICARDIE"</f>
        <v>DE LA PICARDIE</v>
      </c>
      <c r="O1237" s="2" t="s">
        <v>3185</v>
      </c>
      <c r="P1237" s="9" t="str">
        <f>VLOOKUP($O1237,'Liste des Villes'!$B$2:$B$1128,1,FALSE)</f>
        <v>Saint-Jérôme</v>
      </c>
      <c r="Q1237" s="9" t="str">
        <f>IFERROR($P1237,PROPER(VLOOKUP($O1237,'Villes en erreur'!$A$2:$B$72,2,FALSE)))</f>
        <v>Saint-Jérôme</v>
      </c>
      <c r="R1237" s="9" t="s">
        <v>3186</v>
      </c>
      <c r="S1237" s="9" t="str">
        <f>IF(ISBLANK($R1237),"",VLOOKUP($R1237,'Liste des Villes'!$B$2:$H$1128,4,FALSE))</f>
        <v>Laurentides</v>
      </c>
      <c r="T1237" s="2" t="s">
        <v>5117</v>
      </c>
      <c r="U1237" s="2" t="s">
        <v>39</v>
      </c>
      <c r="V1237" s="2" t="s">
        <v>40</v>
      </c>
      <c r="W1237" s="2" t="s">
        <v>6403</v>
      </c>
      <c r="X1237" s="2"/>
      <c r="Y1237" s="2"/>
      <c r="Z1237" s="2"/>
      <c r="AA1237" s="2" t="s">
        <v>3243</v>
      </c>
      <c r="AB1237" s="2" t="s">
        <v>3221</v>
      </c>
      <c r="AC1237" s="4" t="s">
        <v>44</v>
      </c>
    </row>
    <row r="1238" spans="1:29" x14ac:dyDescent="0.25">
      <c r="A1238" s="1">
        <v>2791</v>
      </c>
      <c r="B1238" s="17" t="s">
        <v>6404</v>
      </c>
      <c r="C1238" s="2" t="s">
        <v>1387</v>
      </c>
      <c r="D1238" s="15" t="s">
        <v>898</v>
      </c>
      <c r="E1238" s="9" t="s">
        <v>1388</v>
      </c>
      <c r="F1238" s="9" t="s">
        <v>6405</v>
      </c>
      <c r="G1238" s="9" t="s">
        <v>6406</v>
      </c>
      <c r="H1238" s="2" t="s">
        <v>35</v>
      </c>
      <c r="I1238" s="3">
        <v>34057</v>
      </c>
      <c r="J1238" s="9" t="str">
        <f t="shared" ca="1" si="21"/>
        <v>30 ans</v>
      </c>
      <c r="K1238" s="2" t="s">
        <v>36</v>
      </c>
      <c r="L1238" s="2" t="str">
        <f>"44"</f>
        <v>44</v>
      </c>
      <c r="M1238" s="2"/>
      <c r="N1238" s="2" t="str">
        <f>"BOUL. CHAPLEAU"</f>
        <v>BOUL. CHAPLEAU</v>
      </c>
      <c r="O1238" s="2" t="s">
        <v>3185</v>
      </c>
      <c r="P1238" s="9" t="str">
        <f>VLOOKUP($O1238,'Liste des Villes'!$B$2:$B$1128,1,FALSE)</f>
        <v>Saint-Jérôme</v>
      </c>
      <c r="Q1238" s="9" t="str">
        <f>IFERROR($P1238,PROPER(VLOOKUP($O1238,'Villes en erreur'!$A$2:$B$72,2,FALSE)))</f>
        <v>Saint-Jérôme</v>
      </c>
      <c r="R1238" s="9" t="s">
        <v>3186</v>
      </c>
      <c r="S1238" s="9" t="str">
        <f>IF(ISBLANK($R1238),"",VLOOKUP($R1238,'Liste des Villes'!$B$2:$H$1128,4,FALSE))</f>
        <v>Laurentides</v>
      </c>
      <c r="T1238" s="2" t="s">
        <v>3358</v>
      </c>
      <c r="U1238" s="2" t="s">
        <v>39</v>
      </c>
      <c r="V1238" s="2" t="s">
        <v>40</v>
      </c>
      <c r="W1238" s="2" t="s">
        <v>6407</v>
      </c>
      <c r="X1238" s="2"/>
      <c r="Y1238" s="2"/>
      <c r="Z1238" s="2"/>
      <c r="AA1238" s="2" t="s">
        <v>3207</v>
      </c>
      <c r="AB1238" s="2" t="s">
        <v>53</v>
      </c>
      <c r="AC1238" s="4" t="s">
        <v>44</v>
      </c>
    </row>
    <row r="1239" spans="1:29" x14ac:dyDescent="0.25">
      <c r="A1239" s="1">
        <v>257</v>
      </c>
      <c r="B1239" s="17" t="s">
        <v>6408</v>
      </c>
      <c r="C1239" s="2" t="s">
        <v>6409</v>
      </c>
      <c r="D1239" s="15" t="s">
        <v>272</v>
      </c>
      <c r="E1239" s="9" t="s">
        <v>6410</v>
      </c>
      <c r="F1239" s="9" t="s">
        <v>6411</v>
      </c>
      <c r="G1239" s="9" t="s">
        <v>1283</v>
      </c>
      <c r="H1239" s="2" t="s">
        <v>60</v>
      </c>
      <c r="I1239" s="3">
        <v>35811</v>
      </c>
      <c r="J1239" s="9" t="str">
        <f t="shared" ca="1" si="21"/>
        <v>25 ans</v>
      </c>
      <c r="K1239" s="2" t="s">
        <v>123</v>
      </c>
      <c r="L1239" s="2" t="str">
        <f>"144"</f>
        <v>144</v>
      </c>
      <c r="M1239" s="2"/>
      <c r="N1239" s="2" t="str">
        <f>"ISAAC-JOGUES"</f>
        <v>ISAAC-JOGUES</v>
      </c>
      <c r="O1239" s="2" t="s">
        <v>3185</v>
      </c>
      <c r="P1239" s="9" t="str">
        <f>VLOOKUP($O1239,'Liste des Villes'!$B$2:$B$1128,1,FALSE)</f>
        <v>Saint-Jérôme</v>
      </c>
      <c r="Q1239" s="9" t="str">
        <f>IFERROR($P1239,PROPER(VLOOKUP($O1239,'Villes en erreur'!$A$2:$B$72,2,FALSE)))</f>
        <v>Saint-Jérôme</v>
      </c>
      <c r="R1239" s="9" t="s">
        <v>3186</v>
      </c>
      <c r="S1239" s="9" t="str">
        <f>IF(ISBLANK($R1239),"",VLOOKUP($R1239,'Liste des Villes'!$B$2:$H$1128,4,FALSE))</f>
        <v>Laurentides</v>
      </c>
      <c r="T1239" s="2" t="s">
        <v>3750</v>
      </c>
      <c r="U1239" s="2" t="s">
        <v>39</v>
      </c>
      <c r="V1239" s="2" t="s">
        <v>40</v>
      </c>
      <c r="W1239" s="2" t="s">
        <v>4827</v>
      </c>
      <c r="X1239" s="2"/>
      <c r="Y1239" s="2"/>
      <c r="Z1239" s="2"/>
      <c r="AA1239" s="2" t="s">
        <v>3243</v>
      </c>
      <c r="AB1239" s="2" t="s">
        <v>3221</v>
      </c>
      <c r="AC1239" s="4" t="s">
        <v>44</v>
      </c>
    </row>
    <row r="1240" spans="1:29" x14ac:dyDescent="0.25">
      <c r="A1240" s="1">
        <v>2953</v>
      </c>
      <c r="B1240" s="17" t="s">
        <v>6412</v>
      </c>
      <c r="C1240" s="2" t="s">
        <v>6413</v>
      </c>
      <c r="D1240" s="15" t="s">
        <v>6414</v>
      </c>
      <c r="E1240" s="9" t="s">
        <v>2920</v>
      </c>
      <c r="F1240" s="9" t="s">
        <v>4308</v>
      </c>
      <c r="G1240" s="9" t="s">
        <v>968</v>
      </c>
      <c r="H1240" s="2" t="s">
        <v>60</v>
      </c>
      <c r="I1240" s="3">
        <v>33948</v>
      </c>
      <c r="J1240" s="9" t="str">
        <f t="shared" ca="1" si="21"/>
        <v>30 ans</v>
      </c>
      <c r="K1240" s="2" t="s">
        <v>36</v>
      </c>
      <c r="L1240" s="2" t="str">
        <f>"42"</f>
        <v>42</v>
      </c>
      <c r="M1240" s="2"/>
      <c r="N1240" s="2" t="str">
        <f>"BELLINGHAM"</f>
        <v>BELLINGHAM</v>
      </c>
      <c r="O1240" s="2" t="s">
        <v>3185</v>
      </c>
      <c r="P1240" s="9" t="str">
        <f>VLOOKUP($O1240,'Liste des Villes'!$B$2:$B$1128,1,FALSE)</f>
        <v>Saint-Jérôme</v>
      </c>
      <c r="Q1240" s="9" t="str">
        <f>IFERROR($P1240,PROPER(VLOOKUP($O1240,'Villes en erreur'!$A$2:$B$72,2,FALSE)))</f>
        <v>Saint-Jérôme</v>
      </c>
      <c r="R1240" s="9" t="s">
        <v>3186</v>
      </c>
      <c r="S1240" s="9" t="str">
        <f>IF(ISBLANK($R1240),"",VLOOKUP($R1240,'Liste des Villes'!$B$2:$H$1128,4,FALSE))</f>
        <v>Laurentides</v>
      </c>
      <c r="T1240" s="2" t="s">
        <v>6269</v>
      </c>
      <c r="U1240" s="2" t="s">
        <v>39</v>
      </c>
      <c r="V1240" s="2" t="s">
        <v>40</v>
      </c>
      <c r="W1240" s="2" t="s">
        <v>6415</v>
      </c>
      <c r="X1240" s="2"/>
      <c r="Y1240" s="2"/>
      <c r="Z1240" s="2"/>
      <c r="AA1240" s="2" t="s">
        <v>3207</v>
      </c>
      <c r="AB1240" s="2" t="s">
        <v>53</v>
      </c>
      <c r="AC1240" s="4" t="s">
        <v>44</v>
      </c>
    </row>
    <row r="1241" spans="1:29" x14ac:dyDescent="0.25">
      <c r="A1241" s="1">
        <v>2798</v>
      </c>
      <c r="B1241" s="17" t="s">
        <v>6416</v>
      </c>
      <c r="C1241" s="2" t="s">
        <v>410</v>
      </c>
      <c r="D1241" s="15" t="s">
        <v>411</v>
      </c>
      <c r="E1241" s="9" t="s">
        <v>85</v>
      </c>
      <c r="F1241" s="9" t="s">
        <v>6417</v>
      </c>
      <c r="G1241" s="9" t="s">
        <v>1024</v>
      </c>
      <c r="H1241" s="2" t="s">
        <v>35</v>
      </c>
      <c r="I1241" s="3">
        <v>36164</v>
      </c>
      <c r="J1241" s="9" t="str">
        <f t="shared" ca="1" si="21"/>
        <v>24 ans</v>
      </c>
      <c r="K1241" s="2" t="s">
        <v>123</v>
      </c>
      <c r="L1241" s="2" t="str">
        <f>"226"</f>
        <v>226</v>
      </c>
      <c r="M1241" s="2"/>
      <c r="N1241" s="2" t="str">
        <f>"RUE ALLARD"</f>
        <v>RUE ALLARD</v>
      </c>
      <c r="O1241" s="2" t="s">
        <v>3185</v>
      </c>
      <c r="P1241" s="9" t="str">
        <f>VLOOKUP($O1241,'Liste des Villes'!$B$2:$B$1128,1,FALSE)</f>
        <v>Saint-Jérôme</v>
      </c>
      <c r="Q1241" s="9" t="str">
        <f>IFERROR($P1241,PROPER(VLOOKUP($O1241,'Villes en erreur'!$A$2:$B$72,2,FALSE)))</f>
        <v>Saint-Jérôme</v>
      </c>
      <c r="R1241" s="9" t="s">
        <v>3186</v>
      </c>
      <c r="S1241" s="9" t="str">
        <f>IF(ISBLANK($R1241),"",VLOOKUP($R1241,'Liste des Villes'!$B$2:$H$1128,4,FALSE))</f>
        <v>Laurentides</v>
      </c>
      <c r="T1241" s="2" t="s">
        <v>6418</v>
      </c>
      <c r="U1241" s="2" t="s">
        <v>39</v>
      </c>
      <c r="V1241" s="2" t="s">
        <v>40</v>
      </c>
      <c r="W1241" s="2" t="s">
        <v>6419</v>
      </c>
      <c r="X1241" s="2"/>
      <c r="Y1241" s="2"/>
      <c r="Z1241" s="2"/>
      <c r="AA1241" s="2" t="s">
        <v>832</v>
      </c>
      <c r="AB1241" s="2" t="s">
        <v>3221</v>
      </c>
      <c r="AC1241" s="4" t="s">
        <v>44</v>
      </c>
    </row>
    <row r="1242" spans="1:29" x14ac:dyDescent="0.25">
      <c r="A1242" s="1">
        <v>2645</v>
      </c>
      <c r="B1242" s="17" t="s">
        <v>6420</v>
      </c>
      <c r="C1242" s="2" t="s">
        <v>6421</v>
      </c>
      <c r="D1242" s="15" t="s">
        <v>6422</v>
      </c>
      <c r="E1242" s="9" t="s">
        <v>6423</v>
      </c>
      <c r="F1242" s="9" t="s">
        <v>4066</v>
      </c>
      <c r="G1242" s="9" t="s">
        <v>6380</v>
      </c>
      <c r="H1242" s="2" t="s">
        <v>60</v>
      </c>
      <c r="I1242" s="3">
        <v>35482</v>
      </c>
      <c r="J1242" s="9" t="str">
        <f t="shared" ca="1" si="21"/>
        <v>26 ans</v>
      </c>
      <c r="K1242" s="2" t="s">
        <v>36</v>
      </c>
      <c r="L1242" s="2" t="str">
        <f>"118"</f>
        <v>118</v>
      </c>
      <c r="M1242" s="2"/>
      <c r="N1242" s="2" t="str">
        <f>"CHEMIN PICHÉ"</f>
        <v>CHEMIN PICHÉ</v>
      </c>
      <c r="O1242" s="2" t="s">
        <v>3185</v>
      </c>
      <c r="P1242" s="9" t="str">
        <f>VLOOKUP($O1242,'Liste des Villes'!$B$2:$B$1128,1,FALSE)</f>
        <v>Saint-Jérôme</v>
      </c>
      <c r="Q1242" s="9" t="str">
        <f>IFERROR($P1242,PROPER(VLOOKUP($O1242,'Villes en erreur'!$A$2:$B$72,2,FALSE)))</f>
        <v>Saint-Jérôme</v>
      </c>
      <c r="R1242" s="9" t="s">
        <v>3186</v>
      </c>
      <c r="S1242" s="9" t="str">
        <f>IF(ISBLANK($R1242),"",VLOOKUP($R1242,'Liste des Villes'!$B$2:$H$1128,4,FALSE))</f>
        <v>Laurentides</v>
      </c>
      <c r="T1242" s="2" t="s">
        <v>3532</v>
      </c>
      <c r="U1242" s="2" t="s">
        <v>39</v>
      </c>
      <c r="V1242" s="2" t="s">
        <v>40</v>
      </c>
      <c r="W1242" s="2" t="s">
        <v>6424</v>
      </c>
      <c r="X1242" s="2"/>
      <c r="Y1242" s="2"/>
      <c r="Z1242" s="2"/>
      <c r="AA1242" s="2" t="s">
        <v>3199</v>
      </c>
      <c r="AB1242" s="2" t="s">
        <v>3200</v>
      </c>
      <c r="AC1242" s="4" t="s">
        <v>44</v>
      </c>
    </row>
    <row r="1243" spans="1:29" x14ac:dyDescent="0.25">
      <c r="A1243" s="1">
        <v>626</v>
      </c>
      <c r="B1243" s="17" t="s">
        <v>6425</v>
      </c>
      <c r="C1243" s="2" t="s">
        <v>6426</v>
      </c>
      <c r="D1243" s="15" t="s">
        <v>5154</v>
      </c>
      <c r="E1243" s="9" t="s">
        <v>929</v>
      </c>
      <c r="F1243" s="9" t="s">
        <v>2983</v>
      </c>
      <c r="G1243" s="9" t="s">
        <v>380</v>
      </c>
      <c r="H1243" s="2" t="s">
        <v>60</v>
      </c>
      <c r="I1243" s="3">
        <v>34416</v>
      </c>
      <c r="J1243" s="9" t="str">
        <f t="shared" ca="1" si="21"/>
        <v>29 ans</v>
      </c>
      <c r="K1243" s="2" t="s">
        <v>36</v>
      </c>
      <c r="L1243" s="2" t="str">
        <f>"58"</f>
        <v>58</v>
      </c>
      <c r="M1243" s="2"/>
      <c r="N1243" s="2" t="str">
        <f>"CAR DU MAY"</f>
        <v>CAR DU MAY</v>
      </c>
      <c r="O1243" s="2" t="s">
        <v>3185</v>
      </c>
      <c r="P1243" s="9" t="str">
        <f>VLOOKUP($O1243,'Liste des Villes'!$B$2:$B$1128,1,FALSE)</f>
        <v>Saint-Jérôme</v>
      </c>
      <c r="Q1243" s="9" t="str">
        <f>IFERROR($P1243,PROPER(VLOOKUP($O1243,'Villes en erreur'!$A$2:$B$72,2,FALSE)))</f>
        <v>Saint-Jérôme</v>
      </c>
      <c r="R1243" s="9" t="s">
        <v>3186</v>
      </c>
      <c r="S1243" s="9" t="str">
        <f>IF(ISBLANK($R1243),"",VLOOKUP($R1243,'Liste des Villes'!$B$2:$H$1128,4,FALSE))</f>
        <v>Laurentides</v>
      </c>
      <c r="T1243" s="2" t="s">
        <v>5654</v>
      </c>
      <c r="U1243" s="2" t="s">
        <v>39</v>
      </c>
      <c r="V1243" s="2" t="s">
        <v>40</v>
      </c>
      <c r="W1243" s="2" t="s">
        <v>6427</v>
      </c>
      <c r="X1243" s="2"/>
      <c r="Y1243" s="2"/>
      <c r="Z1243" s="2"/>
      <c r="AA1243" s="2" t="s">
        <v>3293</v>
      </c>
      <c r="AB1243" s="2" t="s">
        <v>53</v>
      </c>
      <c r="AC1243" s="4" t="s">
        <v>44</v>
      </c>
    </row>
    <row r="1244" spans="1:29" x14ac:dyDescent="0.25">
      <c r="A1244" s="1">
        <v>3226</v>
      </c>
      <c r="B1244" s="17" t="s">
        <v>6428</v>
      </c>
      <c r="C1244" s="2" t="s">
        <v>6429</v>
      </c>
      <c r="D1244" s="15" t="s">
        <v>4377</v>
      </c>
      <c r="E1244" s="9" t="s">
        <v>6430</v>
      </c>
      <c r="F1244" s="9" t="s">
        <v>4376</v>
      </c>
      <c r="G1244" s="9" t="s">
        <v>2796</v>
      </c>
      <c r="H1244" s="2" t="s">
        <v>35</v>
      </c>
      <c r="I1244" s="3">
        <v>35276</v>
      </c>
      <c r="J1244" s="9" t="str">
        <f t="shared" ca="1" si="21"/>
        <v>27 ans</v>
      </c>
      <c r="K1244" s="2" t="s">
        <v>36</v>
      </c>
      <c r="L1244" s="2" t="str">
        <f>"107"</f>
        <v>107</v>
      </c>
      <c r="M1244" s="2"/>
      <c r="N1244" s="2" t="str">
        <f>"CHEMIN DE LA PINÈDE"</f>
        <v>CHEMIN DE LA PINÈDE</v>
      </c>
      <c r="O1244" s="2" t="s">
        <v>3185</v>
      </c>
      <c r="P1244" s="9" t="str">
        <f>VLOOKUP($O1244,'Liste des Villes'!$B$2:$B$1128,1,FALSE)</f>
        <v>Saint-Jérôme</v>
      </c>
      <c r="Q1244" s="9" t="str">
        <f>IFERROR($P1244,PROPER(VLOOKUP($O1244,'Villes en erreur'!$A$2:$B$72,2,FALSE)))</f>
        <v>Saint-Jérôme</v>
      </c>
      <c r="R1244" s="9" t="s">
        <v>3186</v>
      </c>
      <c r="S1244" s="9" t="str">
        <f>IF(ISBLANK($R1244),"",VLOOKUP($R1244,'Liste des Villes'!$B$2:$H$1128,4,FALSE))</f>
        <v>Laurentides</v>
      </c>
      <c r="T1244" s="2" t="s">
        <v>6431</v>
      </c>
      <c r="U1244" s="2" t="s">
        <v>39</v>
      </c>
      <c r="V1244" s="2" t="s">
        <v>40</v>
      </c>
      <c r="W1244" s="2" t="s">
        <v>6432</v>
      </c>
      <c r="X1244" s="2"/>
      <c r="Y1244" s="2"/>
      <c r="Z1244" s="2"/>
      <c r="AA1244" s="2" t="s">
        <v>3189</v>
      </c>
      <c r="AB1244" s="2" t="s">
        <v>3190</v>
      </c>
      <c r="AC1244" s="4" t="s">
        <v>44</v>
      </c>
    </row>
    <row r="1245" spans="1:29" x14ac:dyDescent="0.25">
      <c r="A1245" s="1">
        <v>1759</v>
      </c>
      <c r="B1245" s="17" t="s">
        <v>6433</v>
      </c>
      <c r="C1245" s="2" t="s">
        <v>6434</v>
      </c>
      <c r="D1245" s="15" t="s">
        <v>6435</v>
      </c>
      <c r="E1245" s="9" t="s">
        <v>3013</v>
      </c>
      <c r="F1245" s="9" t="s">
        <v>4058</v>
      </c>
      <c r="G1245" s="9" t="s">
        <v>2796</v>
      </c>
      <c r="H1245" s="2" t="s">
        <v>35</v>
      </c>
      <c r="I1245" s="3">
        <v>35269</v>
      </c>
      <c r="J1245" s="9" t="str">
        <f t="shared" ca="1" si="21"/>
        <v>27 ans</v>
      </c>
      <c r="K1245" s="2" t="s">
        <v>36</v>
      </c>
      <c r="L1245" s="2" t="str">
        <f>"107"</f>
        <v>107</v>
      </c>
      <c r="M1245" s="2"/>
      <c r="N1245" s="2" t="str">
        <f>"CHEMIN DE LA CORNICHE"</f>
        <v>CHEMIN DE LA CORNICHE</v>
      </c>
      <c r="O1245" s="2" t="s">
        <v>3185</v>
      </c>
      <c r="P1245" s="9" t="str">
        <f>VLOOKUP($O1245,'Liste des Villes'!$B$2:$B$1128,1,FALSE)</f>
        <v>Saint-Jérôme</v>
      </c>
      <c r="Q1245" s="9" t="str">
        <f>IFERROR($P1245,PROPER(VLOOKUP($O1245,'Villes en erreur'!$A$2:$B$72,2,FALSE)))</f>
        <v>Saint-Jérôme</v>
      </c>
      <c r="R1245" s="9" t="s">
        <v>3186</v>
      </c>
      <c r="S1245" s="9" t="str">
        <f>IF(ISBLANK($R1245),"",VLOOKUP($R1245,'Liste des Villes'!$B$2:$H$1128,4,FALSE))</f>
        <v>Laurentides</v>
      </c>
      <c r="T1245" s="2" t="s">
        <v>3187</v>
      </c>
      <c r="U1245" s="2" t="s">
        <v>39</v>
      </c>
      <c r="V1245" s="2" t="s">
        <v>40</v>
      </c>
      <c r="W1245" s="2" t="s">
        <v>6436</v>
      </c>
      <c r="X1245" s="2"/>
      <c r="Y1245" s="2"/>
      <c r="Z1245" s="2"/>
      <c r="AA1245" s="2" t="s">
        <v>3189</v>
      </c>
      <c r="AB1245" s="2" t="s">
        <v>3190</v>
      </c>
      <c r="AC1245" s="4" t="s">
        <v>44</v>
      </c>
    </row>
    <row r="1246" spans="1:29" x14ac:dyDescent="0.25">
      <c r="A1246" s="1">
        <v>1355</v>
      </c>
      <c r="B1246" s="17" t="s">
        <v>6437</v>
      </c>
      <c r="C1246" s="2" t="s">
        <v>6438</v>
      </c>
      <c r="D1246" s="15" t="s">
        <v>558</v>
      </c>
      <c r="E1246" s="9" t="s">
        <v>1553</v>
      </c>
      <c r="F1246" s="9" t="s">
        <v>557</v>
      </c>
      <c r="G1246" s="9" t="s">
        <v>332</v>
      </c>
      <c r="H1246" s="2" t="s">
        <v>60</v>
      </c>
      <c r="I1246" s="3">
        <v>35540</v>
      </c>
      <c r="J1246" s="9" t="str">
        <f t="shared" ca="1" si="21"/>
        <v>26 ans</v>
      </c>
      <c r="K1246" s="2" t="s">
        <v>36</v>
      </c>
      <c r="L1246" s="2" t="str">
        <f>"121"</f>
        <v>121</v>
      </c>
      <c r="M1246" s="2"/>
      <c r="N1246" s="2" t="str">
        <f>"COTE SAINT-PATRICK"</f>
        <v>COTE SAINT-PATRICK</v>
      </c>
      <c r="O1246" s="2" t="s">
        <v>3185</v>
      </c>
      <c r="P1246" s="9" t="str">
        <f>VLOOKUP($O1246,'Liste des Villes'!$B$2:$B$1128,1,FALSE)</f>
        <v>Saint-Jérôme</v>
      </c>
      <c r="Q1246" s="9" t="str">
        <f>IFERROR($P1246,PROPER(VLOOKUP($O1246,'Villes en erreur'!$A$2:$B$72,2,FALSE)))</f>
        <v>Saint-Jérôme</v>
      </c>
      <c r="R1246" s="9" t="s">
        <v>3186</v>
      </c>
      <c r="S1246" s="9" t="str">
        <f>IF(ISBLANK($R1246),"",VLOOKUP($R1246,'Liste des Villes'!$B$2:$H$1128,4,FALSE))</f>
        <v>Laurentides</v>
      </c>
      <c r="T1246" s="2" t="s">
        <v>3532</v>
      </c>
      <c r="U1246" s="2" t="s">
        <v>39</v>
      </c>
      <c r="V1246" s="2" t="s">
        <v>40</v>
      </c>
      <c r="W1246" s="2" t="s">
        <v>6439</v>
      </c>
      <c r="X1246" s="2"/>
      <c r="Y1246" s="2"/>
      <c r="Z1246" s="2"/>
      <c r="AA1246" s="2" t="s">
        <v>3199</v>
      </c>
      <c r="AB1246" s="2" t="s">
        <v>3221</v>
      </c>
      <c r="AC1246" s="4" t="s">
        <v>44</v>
      </c>
    </row>
    <row r="1247" spans="1:29" x14ac:dyDescent="0.25">
      <c r="A1247" s="1">
        <v>2654</v>
      </c>
      <c r="B1247" s="17" t="s">
        <v>6440</v>
      </c>
      <c r="C1247" s="2" t="s">
        <v>2174</v>
      </c>
      <c r="D1247" s="15" t="s">
        <v>166</v>
      </c>
      <c r="E1247" s="9" t="s">
        <v>2175</v>
      </c>
      <c r="F1247" s="9" t="s">
        <v>1057</v>
      </c>
      <c r="G1247" s="9" t="s">
        <v>1037</v>
      </c>
      <c r="H1247" s="2" t="s">
        <v>35</v>
      </c>
      <c r="I1247" s="3">
        <v>36062</v>
      </c>
      <c r="J1247" s="9" t="str">
        <f t="shared" ca="1" si="21"/>
        <v>24 ans</v>
      </c>
      <c r="K1247" s="2" t="s">
        <v>123</v>
      </c>
      <c r="L1247" s="2" t="str">
        <f>"192"</f>
        <v>192</v>
      </c>
      <c r="M1247" s="2"/>
      <c r="N1247" s="2" t="str">
        <f>"RANG DE LA RIVIÈRE SUD"</f>
        <v>RANG DE LA RIVIÈRE SUD</v>
      </c>
      <c r="O1247" s="2" t="s">
        <v>3185</v>
      </c>
      <c r="P1247" s="9" t="str">
        <f>VLOOKUP($O1247,'Liste des Villes'!$B$2:$B$1128,1,FALSE)</f>
        <v>Saint-Jérôme</v>
      </c>
      <c r="Q1247" s="9" t="str">
        <f>IFERROR($P1247,PROPER(VLOOKUP($O1247,'Villes en erreur'!$A$2:$B$72,2,FALSE)))</f>
        <v>Saint-Jérôme</v>
      </c>
      <c r="R1247" s="9" t="s">
        <v>3186</v>
      </c>
      <c r="S1247" s="9" t="str">
        <f>IF(ISBLANK($R1247),"",VLOOKUP($R1247,'Liste des Villes'!$B$2:$H$1128,4,FALSE))</f>
        <v>Laurentides</v>
      </c>
      <c r="T1247" s="2" t="s">
        <v>3275</v>
      </c>
      <c r="U1247" s="2" t="s">
        <v>39</v>
      </c>
      <c r="V1247" s="2" t="s">
        <v>40</v>
      </c>
      <c r="W1247" s="2" t="s">
        <v>6441</v>
      </c>
      <c r="X1247" s="2"/>
      <c r="Y1247" s="2"/>
      <c r="Z1247" s="2"/>
      <c r="AA1247" s="2" t="s">
        <v>832</v>
      </c>
      <c r="AB1247" s="2" t="s">
        <v>3221</v>
      </c>
      <c r="AC1247" s="4" t="s">
        <v>44</v>
      </c>
    </row>
    <row r="1248" spans="1:29" x14ac:dyDescent="0.25">
      <c r="A1248" s="1">
        <v>2481</v>
      </c>
      <c r="B1248" s="17" t="s">
        <v>6442</v>
      </c>
      <c r="C1248" s="2" t="s">
        <v>6443</v>
      </c>
      <c r="D1248" s="15" t="s">
        <v>1925</v>
      </c>
      <c r="E1248" s="9" t="s">
        <v>5173</v>
      </c>
      <c r="F1248" s="9" t="s">
        <v>1923</v>
      </c>
      <c r="G1248" s="9" t="s">
        <v>6444</v>
      </c>
      <c r="H1248" s="2" t="s">
        <v>35</v>
      </c>
      <c r="I1248" s="3">
        <v>36048</v>
      </c>
      <c r="J1248" s="9" t="str">
        <f t="shared" ca="1" si="21"/>
        <v>24 ans</v>
      </c>
      <c r="K1248" s="2" t="s">
        <v>123</v>
      </c>
      <c r="L1248" s="2" t="str">
        <f>"188"</f>
        <v>188</v>
      </c>
      <c r="M1248" s="2"/>
      <c r="N1248" s="2" t="str">
        <f>"PRINCIPALE"</f>
        <v>PRINCIPALE</v>
      </c>
      <c r="O1248" s="2" t="s">
        <v>3185</v>
      </c>
      <c r="P1248" s="9" t="str">
        <f>VLOOKUP($O1248,'Liste des Villes'!$B$2:$B$1128,1,FALSE)</f>
        <v>Saint-Jérôme</v>
      </c>
      <c r="Q1248" s="9" t="str">
        <f>IFERROR($P1248,PROPER(VLOOKUP($O1248,'Villes en erreur'!$A$2:$B$72,2,FALSE)))</f>
        <v>Saint-Jérôme</v>
      </c>
      <c r="R1248" s="9" t="s">
        <v>3186</v>
      </c>
      <c r="S1248" s="9" t="str">
        <f>IF(ISBLANK($R1248),"",VLOOKUP($R1248,'Liste des Villes'!$B$2:$H$1128,4,FALSE))</f>
        <v>Laurentides</v>
      </c>
      <c r="T1248" s="2" t="s">
        <v>3328</v>
      </c>
      <c r="U1248" s="2" t="s">
        <v>39</v>
      </c>
      <c r="V1248" s="2" t="s">
        <v>40</v>
      </c>
      <c r="W1248" s="2" t="s">
        <v>6445</v>
      </c>
      <c r="X1248" s="2"/>
      <c r="Y1248" s="2"/>
      <c r="Z1248" s="2"/>
      <c r="AA1248" s="2" t="s">
        <v>832</v>
      </c>
      <c r="AB1248" s="2" t="s">
        <v>3221</v>
      </c>
      <c r="AC1248" s="4" t="s">
        <v>44</v>
      </c>
    </row>
    <row r="1249" spans="1:29" x14ac:dyDescent="0.25">
      <c r="A1249" s="1">
        <v>821</v>
      </c>
      <c r="B1249" s="17" t="s">
        <v>6446</v>
      </c>
      <c r="C1249" s="2" t="s">
        <v>6447</v>
      </c>
      <c r="D1249" s="15" t="s">
        <v>6221</v>
      </c>
      <c r="E1249" s="9" t="s">
        <v>495</v>
      </c>
      <c r="F1249" s="9" t="s">
        <v>6220</v>
      </c>
      <c r="G1249" s="9" t="s">
        <v>4227</v>
      </c>
      <c r="H1249" s="2" t="s">
        <v>60</v>
      </c>
      <c r="I1249" s="3">
        <v>35739</v>
      </c>
      <c r="J1249" s="9" t="str">
        <f t="shared" ca="1" si="21"/>
        <v>25 ans</v>
      </c>
      <c r="K1249" s="2" t="s">
        <v>123</v>
      </c>
      <c r="L1249" s="2" t="str">
        <f>"138"</f>
        <v>138</v>
      </c>
      <c r="M1249" s="2"/>
      <c r="N1249" s="2" t="str">
        <f>"DU CURÉ-LABELLE BLVD"</f>
        <v>DU CURÉ-LABELLE BLVD</v>
      </c>
      <c r="O1249" s="2" t="s">
        <v>3185</v>
      </c>
      <c r="P1249" s="9" t="str">
        <f>VLOOKUP($O1249,'Liste des Villes'!$B$2:$B$1128,1,FALSE)</f>
        <v>Saint-Jérôme</v>
      </c>
      <c r="Q1249" s="9" t="str">
        <f>IFERROR($P1249,PROPER(VLOOKUP($O1249,'Villes en erreur'!$A$2:$B$72,2,FALSE)))</f>
        <v>Saint-Jérôme</v>
      </c>
      <c r="R1249" s="9" t="s">
        <v>3186</v>
      </c>
      <c r="S1249" s="9" t="str">
        <f>IF(ISBLANK($R1249),"",VLOOKUP($R1249,'Liste des Villes'!$B$2:$H$1128,4,FALSE))</f>
        <v>Laurentides</v>
      </c>
      <c r="T1249" s="2" t="s">
        <v>6448</v>
      </c>
      <c r="U1249" s="2" t="s">
        <v>39</v>
      </c>
      <c r="V1249" s="2" t="s">
        <v>40</v>
      </c>
      <c r="W1249" s="2" t="s">
        <v>6449</v>
      </c>
      <c r="X1249" s="2"/>
      <c r="Y1249" s="2"/>
      <c r="Z1249" s="2"/>
      <c r="AA1249" s="2" t="s">
        <v>3243</v>
      </c>
      <c r="AB1249" s="2" t="s">
        <v>3221</v>
      </c>
      <c r="AC1249" s="4" t="s">
        <v>44</v>
      </c>
    </row>
    <row r="1250" spans="1:29" x14ac:dyDescent="0.25">
      <c r="A1250" s="1">
        <v>3662</v>
      </c>
      <c r="B1250" s="17" t="s">
        <v>6450</v>
      </c>
      <c r="C1250" s="2" t="s">
        <v>6451</v>
      </c>
      <c r="D1250" s="15" t="s">
        <v>6452</v>
      </c>
      <c r="E1250" s="9" t="s">
        <v>6453</v>
      </c>
      <c r="F1250" s="9" t="s">
        <v>782</v>
      </c>
      <c r="G1250" s="9" t="s">
        <v>2339</v>
      </c>
      <c r="H1250" s="2" t="s">
        <v>35</v>
      </c>
      <c r="I1250" s="3">
        <v>35844</v>
      </c>
      <c r="J1250" s="9" t="str">
        <f t="shared" ca="1" si="21"/>
        <v>25 ans</v>
      </c>
      <c r="K1250" s="2" t="s">
        <v>123</v>
      </c>
      <c r="L1250" s="2" t="str">
        <f>"148"</f>
        <v>148</v>
      </c>
      <c r="M1250" s="2"/>
      <c r="N1250" s="2" t="str">
        <f>"L'ASSOMPTION BLVD O"</f>
        <v>L'ASSOMPTION BLVD O</v>
      </c>
      <c r="O1250" s="2" t="s">
        <v>3185</v>
      </c>
      <c r="P1250" s="9" t="str">
        <f>VLOOKUP($O1250,'Liste des Villes'!$B$2:$B$1128,1,FALSE)</f>
        <v>Saint-Jérôme</v>
      </c>
      <c r="Q1250" s="9" t="str">
        <f>IFERROR($P1250,PROPER(VLOOKUP($O1250,'Villes en erreur'!$A$2:$B$72,2,FALSE)))</f>
        <v>Saint-Jérôme</v>
      </c>
      <c r="R1250" s="9" t="s">
        <v>3186</v>
      </c>
      <c r="S1250" s="9" t="str">
        <f>IF(ISBLANK($R1250),"",VLOOKUP($R1250,'Liste des Villes'!$B$2:$H$1128,4,FALSE))</f>
        <v>Laurentides</v>
      </c>
      <c r="T1250" s="2" t="s">
        <v>4412</v>
      </c>
      <c r="U1250" s="2" t="s">
        <v>39</v>
      </c>
      <c r="V1250" s="2" t="s">
        <v>40</v>
      </c>
      <c r="W1250" s="2" t="s">
        <v>6454</v>
      </c>
      <c r="X1250" s="2"/>
      <c r="Y1250" s="2"/>
      <c r="Z1250" s="2"/>
      <c r="AA1250" s="2" t="s">
        <v>3243</v>
      </c>
      <c r="AB1250" s="2" t="s">
        <v>3221</v>
      </c>
      <c r="AC1250" s="4" t="s">
        <v>44</v>
      </c>
    </row>
    <row r="1251" spans="1:29" x14ac:dyDescent="0.25">
      <c r="A1251" s="1">
        <v>3744</v>
      </c>
      <c r="B1251" s="17" t="s">
        <v>6455</v>
      </c>
      <c r="C1251" s="2" t="s">
        <v>6456</v>
      </c>
      <c r="D1251" s="15" t="s">
        <v>6457</v>
      </c>
      <c r="E1251" s="9" t="s">
        <v>6458</v>
      </c>
      <c r="F1251" s="9" t="s">
        <v>6459</v>
      </c>
      <c r="G1251" s="9" t="s">
        <v>3218</v>
      </c>
      <c r="H1251" s="2" t="s">
        <v>60</v>
      </c>
      <c r="I1251" s="3">
        <v>34296</v>
      </c>
      <c r="J1251" s="9" t="str">
        <f t="shared" ca="1" si="21"/>
        <v>29 ans</v>
      </c>
      <c r="K1251" s="2" t="s">
        <v>36</v>
      </c>
      <c r="L1251" s="2" t="str">
        <f>"51"</f>
        <v>51</v>
      </c>
      <c r="M1251" s="2"/>
      <c r="N1251" s="2" t="str">
        <f>"BOULEVARD JÉROBELLE"</f>
        <v>BOULEVARD JÉROBELLE</v>
      </c>
      <c r="O1251" s="2" t="s">
        <v>3185</v>
      </c>
      <c r="P1251" s="9" t="str">
        <f>VLOOKUP($O1251,'Liste des Villes'!$B$2:$B$1128,1,FALSE)</f>
        <v>Saint-Jérôme</v>
      </c>
      <c r="Q1251" s="9" t="str">
        <f>IFERROR($P1251,PROPER(VLOOKUP($O1251,'Villes en erreur'!$A$2:$B$72,2,FALSE)))</f>
        <v>Saint-Jérôme</v>
      </c>
      <c r="R1251" s="9" t="s">
        <v>3186</v>
      </c>
      <c r="S1251" s="9" t="str">
        <f>IF(ISBLANK($R1251),"",VLOOKUP($R1251,'Liste des Villes'!$B$2:$H$1128,4,FALSE))</f>
        <v>Laurentides</v>
      </c>
      <c r="T1251" s="2" t="s">
        <v>3520</v>
      </c>
      <c r="U1251" s="2" t="s">
        <v>39</v>
      </c>
      <c r="V1251" s="2" t="s">
        <v>40</v>
      </c>
      <c r="W1251" s="2" t="s">
        <v>6460</v>
      </c>
      <c r="X1251" s="2"/>
      <c r="Y1251" s="2"/>
      <c r="Z1251" s="2"/>
      <c r="AA1251" s="2" t="s">
        <v>3360</v>
      </c>
      <c r="AB1251" s="2" t="s">
        <v>53</v>
      </c>
      <c r="AC1251" s="4" t="s">
        <v>44</v>
      </c>
    </row>
    <row r="1252" spans="1:29" x14ac:dyDescent="0.25">
      <c r="A1252" s="1">
        <v>3954</v>
      </c>
      <c r="B1252" s="17" t="s">
        <v>6461</v>
      </c>
      <c r="C1252" s="2" t="s">
        <v>6462</v>
      </c>
      <c r="D1252" s="15" t="s">
        <v>6463</v>
      </c>
      <c r="E1252" s="9" t="s">
        <v>2422</v>
      </c>
      <c r="F1252" s="9" t="s">
        <v>494</v>
      </c>
      <c r="G1252" s="9" t="s">
        <v>495</v>
      </c>
      <c r="H1252" s="2" t="s">
        <v>35</v>
      </c>
      <c r="I1252" s="3">
        <v>34511</v>
      </c>
      <c r="J1252" s="9" t="str">
        <f t="shared" ca="1" si="21"/>
        <v>29 ans</v>
      </c>
      <c r="K1252" s="2" t="s">
        <v>36</v>
      </c>
      <c r="L1252" s="2" t="str">
        <f>"62"</f>
        <v>62</v>
      </c>
      <c r="M1252" s="2"/>
      <c r="N1252" s="2" t="str">
        <f>"CH CHARLES-LÉONARD"</f>
        <v>CH CHARLES-LÉONARD</v>
      </c>
      <c r="O1252" s="2" t="s">
        <v>3185</v>
      </c>
      <c r="P1252" s="9" t="str">
        <f>VLOOKUP($O1252,'Liste des Villes'!$B$2:$B$1128,1,FALSE)</f>
        <v>Saint-Jérôme</v>
      </c>
      <c r="Q1252" s="9" t="str">
        <f>IFERROR($P1252,PROPER(VLOOKUP($O1252,'Villes en erreur'!$A$2:$B$72,2,FALSE)))</f>
        <v>Saint-Jérôme</v>
      </c>
      <c r="R1252" s="9" t="s">
        <v>3186</v>
      </c>
      <c r="S1252" s="9" t="str">
        <f>IF(ISBLANK($R1252),"",VLOOKUP($R1252,'Liste des Villes'!$B$2:$H$1128,4,FALSE))</f>
        <v>Laurentides</v>
      </c>
      <c r="T1252" s="2" t="s">
        <v>3391</v>
      </c>
      <c r="U1252" s="2" t="s">
        <v>39</v>
      </c>
      <c r="V1252" s="2" t="s">
        <v>40</v>
      </c>
      <c r="W1252" s="2" t="s">
        <v>6464</v>
      </c>
      <c r="X1252" s="2"/>
      <c r="Y1252" s="2"/>
      <c r="Z1252" s="2"/>
      <c r="AA1252" s="2" t="s">
        <v>3293</v>
      </c>
      <c r="AB1252" s="2" t="s">
        <v>53</v>
      </c>
      <c r="AC1252" s="4" t="s">
        <v>44</v>
      </c>
    </row>
    <row r="1253" spans="1:29" x14ac:dyDescent="0.25">
      <c r="A1253" s="1">
        <v>3792</v>
      </c>
      <c r="B1253" s="17" t="s">
        <v>6465</v>
      </c>
      <c r="C1253" s="2" t="s">
        <v>6466</v>
      </c>
      <c r="D1253" s="15" t="s">
        <v>6467</v>
      </c>
      <c r="E1253" s="9" t="s">
        <v>441</v>
      </c>
      <c r="F1253" s="9" t="s">
        <v>1150</v>
      </c>
      <c r="G1253" s="9" t="s">
        <v>1024</v>
      </c>
      <c r="H1253" s="2" t="s">
        <v>35</v>
      </c>
      <c r="I1253" s="3">
        <v>36175</v>
      </c>
      <c r="J1253" s="9" t="str">
        <f t="shared" ca="1" si="21"/>
        <v>24 ans</v>
      </c>
      <c r="K1253" s="2" t="s">
        <v>123</v>
      </c>
      <c r="L1253" s="2" t="str">
        <f>"234"</f>
        <v>234</v>
      </c>
      <c r="M1253" s="2"/>
      <c r="N1253" s="2" t="str">
        <f>"RUE ANDRÉ-PRÉVOST"</f>
        <v>RUE ANDRÉ-PRÉVOST</v>
      </c>
      <c r="O1253" s="2" t="s">
        <v>3185</v>
      </c>
      <c r="P1253" s="9" t="str">
        <f>VLOOKUP($O1253,'Liste des Villes'!$B$2:$B$1128,1,FALSE)</f>
        <v>Saint-Jérôme</v>
      </c>
      <c r="Q1253" s="9" t="str">
        <f>IFERROR($P1253,PROPER(VLOOKUP($O1253,'Villes en erreur'!$A$2:$B$72,2,FALSE)))</f>
        <v>Saint-Jérôme</v>
      </c>
      <c r="R1253" s="9" t="s">
        <v>3186</v>
      </c>
      <c r="S1253" s="9" t="str">
        <f>IF(ISBLANK($R1253),"",VLOOKUP($R1253,'Liste des Villes'!$B$2:$H$1128,4,FALSE))</f>
        <v>Laurentides</v>
      </c>
      <c r="T1253" s="2" t="s">
        <v>4523</v>
      </c>
      <c r="U1253" s="2" t="s">
        <v>39</v>
      </c>
      <c r="V1253" s="2" t="s">
        <v>40</v>
      </c>
      <c r="W1253" s="2" t="s">
        <v>6468</v>
      </c>
      <c r="X1253" s="2"/>
      <c r="Y1253" s="2"/>
      <c r="Z1253" s="2"/>
      <c r="AA1253" s="2" t="s">
        <v>832</v>
      </c>
      <c r="AB1253" s="2" t="s">
        <v>3221</v>
      </c>
      <c r="AC1253" s="4" t="s">
        <v>44</v>
      </c>
    </row>
    <row r="1254" spans="1:29" x14ac:dyDescent="0.25">
      <c r="A1254" s="1">
        <v>4354</v>
      </c>
      <c r="B1254" s="17" t="s">
        <v>6469</v>
      </c>
      <c r="C1254" s="2" t="s">
        <v>6470</v>
      </c>
      <c r="D1254" s="15" t="s">
        <v>4050</v>
      </c>
      <c r="E1254" s="9" t="s">
        <v>6471</v>
      </c>
      <c r="F1254" s="9" t="s">
        <v>3252</v>
      </c>
      <c r="G1254" s="9" t="s">
        <v>332</v>
      </c>
      <c r="H1254" s="2" t="s">
        <v>60</v>
      </c>
      <c r="I1254" s="3">
        <v>35545</v>
      </c>
      <c r="J1254" s="9" t="str">
        <f t="shared" ca="1" si="21"/>
        <v>26 ans</v>
      </c>
      <c r="K1254" s="2" t="s">
        <v>36</v>
      </c>
      <c r="L1254" s="2" t="str">
        <f>"123"</f>
        <v>123</v>
      </c>
      <c r="M1254" s="2"/>
      <c r="N1254" s="2" t="str">
        <f>"COTE SAINT-PIERRE"</f>
        <v>COTE SAINT-PIERRE</v>
      </c>
      <c r="O1254" s="2" t="s">
        <v>3185</v>
      </c>
      <c r="P1254" s="9" t="str">
        <f>VLOOKUP($O1254,'Liste des Villes'!$B$2:$B$1128,1,FALSE)</f>
        <v>Saint-Jérôme</v>
      </c>
      <c r="Q1254" s="9" t="str">
        <f>IFERROR($P1254,PROPER(VLOOKUP($O1254,'Villes en erreur'!$A$2:$B$72,2,FALSE)))</f>
        <v>Saint-Jérôme</v>
      </c>
      <c r="R1254" s="9" t="s">
        <v>3186</v>
      </c>
      <c r="S1254" s="9" t="str">
        <f>IF(ISBLANK($R1254),"",VLOOKUP($R1254,'Liste des Villes'!$B$2:$H$1128,4,FALSE))</f>
        <v>Laurentides</v>
      </c>
      <c r="T1254" s="2" t="s">
        <v>3740</v>
      </c>
      <c r="U1254" s="2" t="s">
        <v>39</v>
      </c>
      <c r="V1254" s="2" t="s">
        <v>40</v>
      </c>
      <c r="W1254" s="2" t="s">
        <v>6472</v>
      </c>
      <c r="X1254" s="2"/>
      <c r="Y1254" s="2"/>
      <c r="Z1254" s="2"/>
      <c r="AA1254" s="2" t="s">
        <v>3199</v>
      </c>
      <c r="AB1254" s="2" t="s">
        <v>3221</v>
      </c>
      <c r="AC1254" s="4" t="s">
        <v>44</v>
      </c>
    </row>
    <row r="1255" spans="1:29" x14ac:dyDescent="0.25">
      <c r="A1255" s="1">
        <v>1106</v>
      </c>
      <c r="B1255" s="17" t="s">
        <v>6473</v>
      </c>
      <c r="C1255" s="2" t="s">
        <v>6474</v>
      </c>
      <c r="D1255" s="15" t="s">
        <v>3042</v>
      </c>
      <c r="E1255" s="9" t="s">
        <v>6475</v>
      </c>
      <c r="F1255" s="9" t="s">
        <v>6476</v>
      </c>
      <c r="G1255" s="9" t="s">
        <v>179</v>
      </c>
      <c r="H1255" s="2" t="s">
        <v>60</v>
      </c>
      <c r="I1255" s="3">
        <v>36107</v>
      </c>
      <c r="J1255" s="9" t="str">
        <f t="shared" ca="1" si="21"/>
        <v>24 ans</v>
      </c>
      <c r="K1255" s="2" t="s">
        <v>123</v>
      </c>
      <c r="L1255" s="2" t="str">
        <f>"210"</f>
        <v>210</v>
      </c>
      <c r="M1255" s="2"/>
      <c r="N1255" s="2" t="str">
        <f>"RTE 329"</f>
        <v>RTE 329</v>
      </c>
      <c r="O1255" s="2" t="s">
        <v>3185</v>
      </c>
      <c r="P1255" s="9" t="str">
        <f>VLOOKUP($O1255,'Liste des Villes'!$B$2:$B$1128,1,FALSE)</f>
        <v>Saint-Jérôme</v>
      </c>
      <c r="Q1255" s="9" t="str">
        <f>IFERROR($P1255,PROPER(VLOOKUP($O1255,'Villes en erreur'!$A$2:$B$72,2,FALSE)))</f>
        <v>Saint-Jérôme</v>
      </c>
      <c r="R1255" s="9" t="s">
        <v>3186</v>
      </c>
      <c r="S1255" s="9" t="str">
        <f>IF(ISBLANK($R1255),"",VLOOKUP($R1255,'Liste des Villes'!$B$2:$H$1128,4,FALSE))</f>
        <v>Laurentides</v>
      </c>
      <c r="T1255" s="2" t="s">
        <v>3317</v>
      </c>
      <c r="U1255" s="2" t="s">
        <v>39</v>
      </c>
      <c r="V1255" s="2" t="s">
        <v>40</v>
      </c>
      <c r="W1255" s="2" t="s">
        <v>6477</v>
      </c>
      <c r="X1255" s="2"/>
      <c r="Y1255" s="2"/>
      <c r="Z1255" s="2"/>
      <c r="AA1255" s="2" t="s">
        <v>832</v>
      </c>
      <c r="AB1255" s="2" t="s">
        <v>3221</v>
      </c>
      <c r="AC1255" s="4" t="s">
        <v>44</v>
      </c>
    </row>
    <row r="1256" spans="1:29" x14ac:dyDescent="0.25">
      <c r="A1256" s="1">
        <v>2595</v>
      </c>
      <c r="B1256" s="17" t="s">
        <v>6478</v>
      </c>
      <c r="C1256" s="2" t="s">
        <v>2945</v>
      </c>
      <c r="D1256" s="15" t="s">
        <v>2946</v>
      </c>
      <c r="E1256" s="9" t="s">
        <v>509</v>
      </c>
      <c r="F1256" s="9" t="s">
        <v>2698</v>
      </c>
      <c r="G1256" s="9" t="s">
        <v>3274</v>
      </c>
      <c r="H1256" s="2" t="s">
        <v>35</v>
      </c>
      <c r="I1256" s="3">
        <v>35148</v>
      </c>
      <c r="J1256" s="9" t="str">
        <f t="shared" ca="1" si="21"/>
        <v>27 ans</v>
      </c>
      <c r="K1256" s="2" t="s">
        <v>36</v>
      </c>
      <c r="L1256" s="2" t="str">
        <f>"103"</f>
        <v>103</v>
      </c>
      <c r="M1256" s="2"/>
      <c r="N1256" s="2" t="str">
        <f>"CH RENAUD"</f>
        <v>CH RENAUD</v>
      </c>
      <c r="O1256" s="2" t="s">
        <v>3185</v>
      </c>
      <c r="P1256" s="9" t="str">
        <f>VLOOKUP($O1256,'Liste des Villes'!$B$2:$B$1128,1,FALSE)</f>
        <v>Saint-Jérôme</v>
      </c>
      <c r="Q1256" s="9" t="str">
        <f>IFERROR($P1256,PROPER(VLOOKUP($O1256,'Villes en erreur'!$A$2:$B$72,2,FALSE)))</f>
        <v>Saint-Jérôme</v>
      </c>
      <c r="R1256" s="9" t="s">
        <v>3186</v>
      </c>
      <c r="S1256" s="9" t="str">
        <f>IF(ISBLANK($R1256),"",VLOOKUP($R1256,'Liste des Villes'!$B$2:$H$1128,4,FALSE))</f>
        <v>Laurentides</v>
      </c>
      <c r="T1256" s="2" t="s">
        <v>3187</v>
      </c>
      <c r="U1256" s="2" t="s">
        <v>39</v>
      </c>
      <c r="V1256" s="2" t="s">
        <v>40</v>
      </c>
      <c r="W1256" s="2" t="s">
        <v>6479</v>
      </c>
      <c r="X1256" s="2"/>
      <c r="Y1256" s="2"/>
      <c r="Z1256" s="2"/>
      <c r="AA1256" s="2" t="s">
        <v>3189</v>
      </c>
      <c r="AB1256" s="2" t="s">
        <v>3190</v>
      </c>
      <c r="AC1256" s="4" t="s">
        <v>44</v>
      </c>
    </row>
    <row r="1257" spans="1:29" x14ac:dyDescent="0.25">
      <c r="A1257" s="1">
        <v>2174</v>
      </c>
      <c r="B1257" s="17" t="s">
        <v>6480</v>
      </c>
      <c r="C1257" s="2" t="s">
        <v>5552</v>
      </c>
      <c r="D1257" s="15" t="s">
        <v>2898</v>
      </c>
      <c r="E1257" s="9" t="s">
        <v>704</v>
      </c>
      <c r="F1257" s="9" t="s">
        <v>6481</v>
      </c>
      <c r="G1257" s="9" t="s">
        <v>380</v>
      </c>
      <c r="H1257" s="2" t="s">
        <v>60</v>
      </c>
      <c r="I1257" s="3">
        <v>34464</v>
      </c>
      <c r="J1257" s="9" t="str">
        <f t="shared" ca="1" si="21"/>
        <v>29 ans</v>
      </c>
      <c r="K1257" s="2" t="s">
        <v>36</v>
      </c>
      <c r="L1257" s="2" t="str">
        <f>"59"</f>
        <v>59</v>
      </c>
      <c r="M1257" s="2"/>
      <c r="N1257" s="2" t="str">
        <f>"CÉLORON BLVD"</f>
        <v>CÉLORON BLVD</v>
      </c>
      <c r="O1257" s="2" t="s">
        <v>3185</v>
      </c>
      <c r="P1257" s="9" t="str">
        <f>VLOOKUP($O1257,'Liste des Villes'!$B$2:$B$1128,1,FALSE)</f>
        <v>Saint-Jérôme</v>
      </c>
      <c r="Q1257" s="9" t="str">
        <f>IFERROR($P1257,PROPER(VLOOKUP($O1257,'Villes en erreur'!$A$2:$B$72,2,FALSE)))</f>
        <v>Saint-Jérôme</v>
      </c>
      <c r="R1257" s="9" t="s">
        <v>3186</v>
      </c>
      <c r="S1257" s="9" t="str">
        <f>IF(ISBLANK($R1257),"",VLOOKUP($R1257,'Liste des Villes'!$B$2:$H$1128,4,FALSE))</f>
        <v>Laurentides</v>
      </c>
      <c r="T1257" s="2" t="s">
        <v>3507</v>
      </c>
      <c r="U1257" s="2" t="s">
        <v>39</v>
      </c>
      <c r="V1257" s="2" t="s">
        <v>40</v>
      </c>
      <c r="W1257" s="2" t="s">
        <v>6482</v>
      </c>
      <c r="X1257" s="2"/>
      <c r="Y1257" s="2"/>
      <c r="Z1257" s="2"/>
      <c r="AA1257" s="2" t="s">
        <v>3293</v>
      </c>
      <c r="AB1257" s="2" t="s">
        <v>53</v>
      </c>
      <c r="AC1257" s="4" t="s">
        <v>44</v>
      </c>
    </row>
    <row r="1258" spans="1:29" x14ac:dyDescent="0.25">
      <c r="A1258" s="1">
        <v>3118</v>
      </c>
      <c r="B1258" s="17" t="s">
        <v>6483</v>
      </c>
      <c r="C1258" s="2" t="s">
        <v>3510</v>
      </c>
      <c r="D1258" s="15" t="s">
        <v>846</v>
      </c>
      <c r="E1258" s="9" t="s">
        <v>3511</v>
      </c>
      <c r="F1258" s="9" t="s">
        <v>845</v>
      </c>
      <c r="G1258" s="9" t="s">
        <v>6484</v>
      </c>
      <c r="H1258" s="2" t="s">
        <v>60</v>
      </c>
      <c r="I1258" s="3">
        <v>34256</v>
      </c>
      <c r="J1258" s="9" t="str">
        <f t="shared" ca="1" si="21"/>
        <v>29 ans</v>
      </c>
      <c r="K1258" s="2" t="s">
        <v>36</v>
      </c>
      <c r="L1258" s="2" t="str">
        <f>"50"</f>
        <v>50</v>
      </c>
      <c r="M1258" s="2"/>
      <c r="N1258" s="2" t="str">
        <f>"BOULEVARD DU DOMAINE"</f>
        <v>BOULEVARD DU DOMAINE</v>
      </c>
      <c r="O1258" s="2" t="s">
        <v>3185</v>
      </c>
      <c r="P1258" s="9" t="str">
        <f>VLOOKUP($O1258,'Liste des Villes'!$B$2:$B$1128,1,FALSE)</f>
        <v>Saint-Jérôme</v>
      </c>
      <c r="Q1258" s="9" t="str">
        <f>IFERROR($P1258,PROPER(VLOOKUP($O1258,'Villes en erreur'!$A$2:$B$72,2,FALSE)))</f>
        <v>Saint-Jérôme</v>
      </c>
      <c r="R1258" s="9" t="s">
        <v>3186</v>
      </c>
      <c r="S1258" s="9" t="str">
        <f>IF(ISBLANK($R1258),"",VLOOKUP($R1258,'Liste des Villes'!$B$2:$H$1128,4,FALSE))</f>
        <v>Laurentides</v>
      </c>
      <c r="T1258" s="2" t="s">
        <v>3520</v>
      </c>
      <c r="U1258" s="2" t="s">
        <v>39</v>
      </c>
      <c r="V1258" s="2" t="s">
        <v>40</v>
      </c>
      <c r="W1258" s="2" t="s">
        <v>6485</v>
      </c>
      <c r="X1258" s="2"/>
      <c r="Y1258" s="2"/>
      <c r="Z1258" s="2"/>
      <c r="AA1258" s="2" t="s">
        <v>3360</v>
      </c>
      <c r="AB1258" s="2" t="s">
        <v>53</v>
      </c>
      <c r="AC1258" s="4" t="s">
        <v>44</v>
      </c>
    </row>
    <row r="1259" spans="1:29" x14ac:dyDescent="0.25">
      <c r="A1259" s="1">
        <v>931</v>
      </c>
      <c r="B1259" s="17" t="s">
        <v>6486</v>
      </c>
      <c r="C1259" s="2" t="s">
        <v>6487</v>
      </c>
      <c r="D1259" s="15" t="s">
        <v>6488</v>
      </c>
      <c r="E1259" s="9" t="s">
        <v>6489</v>
      </c>
      <c r="F1259" s="9" t="s">
        <v>839</v>
      </c>
      <c r="G1259" s="9" t="s">
        <v>1397</v>
      </c>
      <c r="H1259" s="2" t="s">
        <v>60</v>
      </c>
      <c r="I1259" s="3">
        <v>35222</v>
      </c>
      <c r="J1259" s="9" t="str">
        <f t="shared" ca="1" si="21"/>
        <v>27 ans</v>
      </c>
      <c r="K1259" s="2" t="s">
        <v>36</v>
      </c>
      <c r="L1259" s="2" t="str">
        <f>"105"</f>
        <v>105</v>
      </c>
      <c r="M1259" s="2"/>
      <c r="N1259" s="2" t="str">
        <f>"Ch. Grande-Côte"</f>
        <v>Ch. Grande-Côte</v>
      </c>
      <c r="O1259" s="2" t="s">
        <v>3185</v>
      </c>
      <c r="P1259" s="9" t="str">
        <f>VLOOKUP($O1259,'Liste des Villes'!$B$2:$B$1128,1,FALSE)</f>
        <v>Saint-Jérôme</v>
      </c>
      <c r="Q1259" s="9" t="str">
        <f>IFERROR($P1259,PROPER(VLOOKUP($O1259,'Villes en erreur'!$A$2:$B$72,2,FALSE)))</f>
        <v>Saint-Jérôme</v>
      </c>
      <c r="R1259" s="9" t="s">
        <v>3186</v>
      </c>
      <c r="S1259" s="9" t="str">
        <f>IF(ISBLANK($R1259),"",VLOOKUP($R1259,'Liste des Villes'!$B$2:$H$1128,4,FALSE))</f>
        <v>Laurentides</v>
      </c>
      <c r="T1259" s="2" t="s">
        <v>3187</v>
      </c>
      <c r="U1259" s="2" t="s">
        <v>39</v>
      </c>
      <c r="V1259" s="2" t="s">
        <v>40</v>
      </c>
      <c r="W1259" s="2" t="s">
        <v>6490</v>
      </c>
      <c r="X1259" s="2"/>
      <c r="Y1259" s="2"/>
      <c r="Z1259" s="2"/>
      <c r="AA1259" s="2" t="s">
        <v>3189</v>
      </c>
      <c r="AB1259" s="2" t="s">
        <v>3190</v>
      </c>
      <c r="AC1259" s="4" t="s">
        <v>44</v>
      </c>
    </row>
    <row r="1260" spans="1:29" x14ac:dyDescent="0.25">
      <c r="A1260" s="1">
        <v>3407</v>
      </c>
      <c r="B1260" s="17" t="s">
        <v>6491</v>
      </c>
      <c r="C1260" s="2" t="s">
        <v>6492</v>
      </c>
      <c r="D1260" s="15" t="s">
        <v>1417</v>
      </c>
      <c r="E1260" s="9" t="s">
        <v>6493</v>
      </c>
      <c r="F1260" s="9" t="s">
        <v>1415</v>
      </c>
      <c r="G1260" s="9" t="s">
        <v>6494</v>
      </c>
      <c r="H1260" s="2" t="s">
        <v>60</v>
      </c>
      <c r="I1260" s="3">
        <v>36208</v>
      </c>
      <c r="J1260" s="9" t="str">
        <f t="shared" ca="1" si="21"/>
        <v>24 ans</v>
      </c>
      <c r="K1260" s="2" t="s">
        <v>123</v>
      </c>
      <c r="L1260" s="2" t="str">
        <f>"245"</f>
        <v>245</v>
      </c>
      <c r="M1260" s="2"/>
      <c r="N1260" s="2" t="str">
        <f>"RUE AUGUSTA"</f>
        <v>RUE AUGUSTA</v>
      </c>
      <c r="O1260" s="2" t="s">
        <v>3185</v>
      </c>
      <c r="P1260" s="9" t="str">
        <f>VLOOKUP($O1260,'Liste des Villes'!$B$2:$B$1128,1,FALSE)</f>
        <v>Saint-Jérôme</v>
      </c>
      <c r="Q1260" s="9" t="str">
        <f>IFERROR($P1260,PROPER(VLOOKUP($O1260,'Villes en erreur'!$A$2:$B$72,2,FALSE)))</f>
        <v>Saint-Jérôme</v>
      </c>
      <c r="R1260" s="9" t="s">
        <v>3186</v>
      </c>
      <c r="S1260" s="9" t="str">
        <f>IF(ISBLANK($R1260),"",VLOOKUP($R1260,'Liste des Villes'!$B$2:$H$1128,4,FALSE))</f>
        <v>Laurentides</v>
      </c>
      <c r="T1260" s="2" t="s">
        <v>3560</v>
      </c>
      <c r="U1260" s="2" t="s">
        <v>39</v>
      </c>
      <c r="V1260" s="2" t="s">
        <v>40</v>
      </c>
      <c r="W1260" s="2" t="s">
        <v>6495</v>
      </c>
      <c r="X1260" s="2"/>
      <c r="Y1260" s="2"/>
      <c r="Z1260" s="2"/>
      <c r="AA1260" s="2" t="s">
        <v>832</v>
      </c>
      <c r="AB1260" s="2" t="s">
        <v>3288</v>
      </c>
      <c r="AC1260" s="4" t="s">
        <v>44</v>
      </c>
    </row>
    <row r="1261" spans="1:29" x14ac:dyDescent="0.25">
      <c r="A1261" s="1">
        <v>2988</v>
      </c>
      <c r="B1261" s="17" t="s">
        <v>6496</v>
      </c>
      <c r="C1261" s="2" t="s">
        <v>6497</v>
      </c>
      <c r="D1261" s="15" t="s">
        <v>6498</v>
      </c>
      <c r="E1261" s="9" t="s">
        <v>4686</v>
      </c>
      <c r="F1261" s="9" t="s">
        <v>6499</v>
      </c>
      <c r="G1261" s="9" t="s">
        <v>2635</v>
      </c>
      <c r="H1261" s="2" t="s">
        <v>60</v>
      </c>
      <c r="I1261" s="3">
        <v>35779</v>
      </c>
      <c r="J1261" s="9" t="str">
        <f t="shared" ca="1" si="21"/>
        <v>25 ans</v>
      </c>
      <c r="K1261" s="2" t="s">
        <v>123</v>
      </c>
      <c r="L1261" s="2" t="str">
        <f>"141"</f>
        <v>141</v>
      </c>
      <c r="M1261" s="2"/>
      <c r="N1261" s="2" t="str">
        <f>"GIROUARD BLVD"</f>
        <v>GIROUARD BLVD</v>
      </c>
      <c r="O1261" s="2" t="s">
        <v>3185</v>
      </c>
      <c r="P1261" s="9" t="str">
        <f>VLOOKUP($O1261,'Liste des Villes'!$B$2:$B$1128,1,FALSE)</f>
        <v>Saint-Jérôme</v>
      </c>
      <c r="Q1261" s="9" t="str">
        <f>IFERROR($P1261,PROPER(VLOOKUP($O1261,'Villes en erreur'!$A$2:$B$72,2,FALSE)))</f>
        <v>Saint-Jérôme</v>
      </c>
      <c r="R1261" s="9" t="s">
        <v>3186</v>
      </c>
      <c r="S1261" s="9" t="str">
        <f>IF(ISBLANK($R1261),"",VLOOKUP($R1261,'Liste des Villes'!$B$2:$H$1128,4,FALSE))</f>
        <v>Laurentides</v>
      </c>
      <c r="T1261" s="2" t="s">
        <v>3670</v>
      </c>
      <c r="U1261" s="2" t="s">
        <v>39</v>
      </c>
      <c r="V1261" s="2" t="s">
        <v>40</v>
      </c>
      <c r="W1261" s="2" t="s">
        <v>6500</v>
      </c>
      <c r="X1261" s="2"/>
      <c r="Y1261" s="2"/>
      <c r="Z1261" s="2"/>
      <c r="AA1261" s="2" t="s">
        <v>3243</v>
      </c>
      <c r="AB1261" s="2" t="s">
        <v>3221</v>
      </c>
      <c r="AC1261" s="4" t="s">
        <v>44</v>
      </c>
    </row>
    <row r="1262" spans="1:29" x14ac:dyDescent="0.25">
      <c r="A1262" s="1">
        <v>2704</v>
      </c>
      <c r="B1262" s="17" t="s">
        <v>6501</v>
      </c>
      <c r="C1262" s="2" t="s">
        <v>6502</v>
      </c>
      <c r="D1262" s="15" t="s">
        <v>6503</v>
      </c>
      <c r="E1262" s="9" t="s">
        <v>1410</v>
      </c>
      <c r="F1262" s="9" t="s">
        <v>3170</v>
      </c>
      <c r="G1262" s="9" t="s">
        <v>195</v>
      </c>
      <c r="H1262" s="2" t="s">
        <v>60</v>
      </c>
      <c r="I1262" s="3">
        <v>35006</v>
      </c>
      <c r="J1262" s="9" t="str">
        <f t="shared" ca="1" si="21"/>
        <v>27 ans</v>
      </c>
      <c r="K1262" s="2" t="s">
        <v>36</v>
      </c>
      <c r="L1262" s="2" t="str">
        <f>"92"</f>
        <v>92</v>
      </c>
      <c r="M1262" s="2"/>
      <c r="N1262" s="2" t="str">
        <f>"CH DU LAC-DES-BECS-SCIE"</f>
        <v>CH DU LAC-DES-BECS-SCIE</v>
      </c>
      <c r="O1262" s="2" t="s">
        <v>3185</v>
      </c>
      <c r="P1262" s="9" t="str">
        <f>VLOOKUP($O1262,'Liste des Villes'!$B$2:$B$1128,1,FALSE)</f>
        <v>Saint-Jérôme</v>
      </c>
      <c r="Q1262" s="9" t="str">
        <f>IFERROR($P1262,PROPER(VLOOKUP($O1262,'Villes en erreur'!$A$2:$B$72,2,FALSE)))</f>
        <v>Saint-Jérôme</v>
      </c>
      <c r="R1262" s="9" t="s">
        <v>3186</v>
      </c>
      <c r="S1262" s="9" t="str">
        <f>IF(ISBLANK($R1262),"",VLOOKUP($R1262,'Liste des Villes'!$B$2:$H$1128,4,FALSE))</f>
        <v>Laurentides</v>
      </c>
      <c r="T1262" s="2" t="s">
        <v>3187</v>
      </c>
      <c r="U1262" s="2" t="s">
        <v>39</v>
      </c>
      <c r="V1262" s="2" t="s">
        <v>40</v>
      </c>
      <c r="W1262" s="2" t="s">
        <v>6504</v>
      </c>
      <c r="X1262" s="2"/>
      <c r="Y1262" s="2"/>
      <c r="Z1262" s="2"/>
      <c r="AA1262" s="2" t="s">
        <v>3189</v>
      </c>
      <c r="AB1262" s="2" t="s">
        <v>53</v>
      </c>
      <c r="AC1262" s="4" t="s">
        <v>44</v>
      </c>
    </row>
    <row r="1263" spans="1:29" x14ac:dyDescent="0.25">
      <c r="A1263" s="1">
        <v>1274</v>
      </c>
      <c r="B1263" s="17" t="s">
        <v>6505</v>
      </c>
      <c r="C1263" s="2" t="s">
        <v>6506</v>
      </c>
      <c r="D1263" s="15" t="s">
        <v>6507</v>
      </c>
      <c r="E1263" s="9" t="s">
        <v>1933</v>
      </c>
      <c r="F1263" s="9" t="s">
        <v>6508</v>
      </c>
      <c r="G1263" s="9" t="s">
        <v>635</v>
      </c>
      <c r="H1263" s="2" t="s">
        <v>35</v>
      </c>
      <c r="I1263" s="3">
        <v>33875</v>
      </c>
      <c r="J1263" s="9" t="str">
        <f t="shared" ca="1" si="21"/>
        <v>30 ans</v>
      </c>
      <c r="K1263" s="2" t="s">
        <v>36</v>
      </c>
      <c r="L1263" s="2" t="str">
        <f>"40"</f>
        <v>40</v>
      </c>
      <c r="M1263" s="2"/>
      <c r="N1263" s="2" t="str">
        <f>"AVENUE FORGET"</f>
        <v>AVENUE FORGET</v>
      </c>
      <c r="O1263" s="2" t="s">
        <v>3185</v>
      </c>
      <c r="P1263" s="9" t="str">
        <f>VLOOKUP($O1263,'Liste des Villes'!$B$2:$B$1128,1,FALSE)</f>
        <v>Saint-Jérôme</v>
      </c>
      <c r="Q1263" s="9" t="str">
        <f>IFERROR($P1263,PROPER(VLOOKUP($O1263,'Villes en erreur'!$A$2:$B$72,2,FALSE)))</f>
        <v>Saint-Jérôme</v>
      </c>
      <c r="R1263" s="9" t="s">
        <v>3186</v>
      </c>
      <c r="S1263" s="9" t="str">
        <f>IF(ISBLANK($R1263),"",VLOOKUP($R1263,'Liste des Villes'!$B$2:$H$1128,4,FALSE))</f>
        <v>Laurentides</v>
      </c>
      <c r="T1263" s="2" t="s">
        <v>3093</v>
      </c>
      <c r="U1263" s="2" t="s">
        <v>39</v>
      </c>
      <c r="V1263" s="2" t="s">
        <v>40</v>
      </c>
      <c r="W1263" s="2" t="s">
        <v>6509</v>
      </c>
      <c r="X1263" s="2"/>
      <c r="Y1263" s="2"/>
      <c r="Z1263" s="2"/>
      <c r="AA1263" s="2" t="s">
        <v>3207</v>
      </c>
      <c r="AB1263" s="2" t="s">
        <v>53</v>
      </c>
      <c r="AC1263" s="4" t="s">
        <v>44</v>
      </c>
    </row>
    <row r="1264" spans="1:29" x14ac:dyDescent="0.25">
      <c r="A1264" s="1">
        <v>1673</v>
      </c>
      <c r="B1264" s="17" t="s">
        <v>6510</v>
      </c>
      <c r="C1264" s="2" t="s">
        <v>4091</v>
      </c>
      <c r="D1264" s="15" t="s">
        <v>4050</v>
      </c>
      <c r="E1264" s="9" t="s">
        <v>4092</v>
      </c>
      <c r="F1264" s="9" t="s">
        <v>5026</v>
      </c>
      <c r="G1264" s="9" t="s">
        <v>186</v>
      </c>
      <c r="H1264" s="2" t="s">
        <v>60</v>
      </c>
      <c r="I1264" s="3">
        <v>34893</v>
      </c>
      <c r="J1264" s="9" t="str">
        <f t="shared" ca="1" si="21"/>
        <v>28 ans</v>
      </c>
      <c r="K1264" s="2" t="s">
        <v>36</v>
      </c>
      <c r="L1264" s="2" t="str">
        <f>"83"</f>
        <v>83</v>
      </c>
      <c r="M1264" s="2"/>
      <c r="N1264" s="2" t="str">
        <f>"CH DES TILLEULS"</f>
        <v>CH DES TILLEULS</v>
      </c>
      <c r="O1264" s="2" t="s">
        <v>3185</v>
      </c>
      <c r="P1264" s="9" t="str">
        <f>VLOOKUP($O1264,'Liste des Villes'!$B$2:$B$1128,1,FALSE)</f>
        <v>Saint-Jérôme</v>
      </c>
      <c r="Q1264" s="9" t="str">
        <f>IFERROR($P1264,PROPER(VLOOKUP($O1264,'Villes en erreur'!$A$2:$B$72,2,FALSE)))</f>
        <v>Saint-Jérôme</v>
      </c>
      <c r="R1264" s="9" t="s">
        <v>3186</v>
      </c>
      <c r="S1264" s="9" t="str">
        <f>IF(ISBLANK($R1264),"",VLOOKUP($R1264,'Liste des Villes'!$B$2:$H$1128,4,FALSE))</f>
        <v>Laurentides</v>
      </c>
      <c r="T1264" s="2" t="s">
        <v>3187</v>
      </c>
      <c r="U1264" s="2" t="s">
        <v>39</v>
      </c>
      <c r="V1264" s="2" t="s">
        <v>40</v>
      </c>
      <c r="W1264" s="2" t="s">
        <v>6511</v>
      </c>
      <c r="X1264" s="2"/>
      <c r="Y1264" s="2"/>
      <c r="Z1264" s="2"/>
      <c r="AA1264" s="2" t="s">
        <v>3231</v>
      </c>
      <c r="AB1264" s="2" t="s">
        <v>53</v>
      </c>
      <c r="AC1264" s="4" t="s">
        <v>44</v>
      </c>
    </row>
    <row r="1265" spans="1:29" x14ac:dyDescent="0.25">
      <c r="A1265" s="1">
        <v>3674</v>
      </c>
      <c r="B1265" s="17" t="s">
        <v>6512</v>
      </c>
      <c r="C1265" s="2" t="s">
        <v>1348</v>
      </c>
      <c r="D1265" s="15" t="s">
        <v>1349</v>
      </c>
      <c r="E1265" s="9" t="s">
        <v>380</v>
      </c>
      <c r="F1265" s="9" t="s">
        <v>6513</v>
      </c>
      <c r="G1265" s="9" t="s">
        <v>891</v>
      </c>
      <c r="H1265" s="2" t="s">
        <v>60</v>
      </c>
      <c r="I1265" s="3">
        <v>35326</v>
      </c>
      <c r="J1265" s="9" t="str">
        <f t="shared" ca="1" si="21"/>
        <v>26 ans</v>
      </c>
      <c r="K1265" s="2" t="s">
        <v>36</v>
      </c>
      <c r="L1265" s="2" t="str">
        <f>"110"</f>
        <v>110</v>
      </c>
      <c r="M1265" s="2"/>
      <c r="N1265" s="2" t="str">
        <f>"CHEMIN DES FEUX FOLLETS"</f>
        <v>CHEMIN DES FEUX FOLLETS</v>
      </c>
      <c r="O1265" s="2" t="s">
        <v>3185</v>
      </c>
      <c r="P1265" s="9" t="str">
        <f>VLOOKUP($O1265,'Liste des Villes'!$B$2:$B$1128,1,FALSE)</f>
        <v>Saint-Jérôme</v>
      </c>
      <c r="Q1265" s="9" t="str">
        <f>IFERROR($P1265,PROPER(VLOOKUP($O1265,'Villes en erreur'!$A$2:$B$72,2,FALSE)))</f>
        <v>Saint-Jérôme</v>
      </c>
      <c r="R1265" s="9" t="s">
        <v>3186</v>
      </c>
      <c r="S1265" s="9" t="str">
        <f>IF(ISBLANK($R1265),"",VLOOKUP($R1265,'Liste des Villes'!$B$2:$H$1128,4,FALSE))</f>
        <v>Laurentides</v>
      </c>
      <c r="T1265" s="2" t="s">
        <v>4046</v>
      </c>
      <c r="U1265" s="2" t="s">
        <v>39</v>
      </c>
      <c r="V1265" s="2" t="s">
        <v>40</v>
      </c>
      <c r="W1265" s="2" t="s">
        <v>6514</v>
      </c>
      <c r="X1265" s="2"/>
      <c r="Y1265" s="2"/>
      <c r="Z1265" s="2"/>
      <c r="AA1265" s="2" t="s">
        <v>3189</v>
      </c>
      <c r="AB1265" s="2" t="s">
        <v>3200</v>
      </c>
      <c r="AC1265" s="4" t="s">
        <v>44</v>
      </c>
    </row>
    <row r="1266" spans="1:29" x14ac:dyDescent="0.25">
      <c r="A1266" s="1">
        <v>2809</v>
      </c>
      <c r="B1266" s="17" t="s">
        <v>6515</v>
      </c>
      <c r="C1266" s="2" t="s">
        <v>6516</v>
      </c>
      <c r="D1266" s="15" t="s">
        <v>584</v>
      </c>
      <c r="E1266" s="9" t="s">
        <v>305</v>
      </c>
      <c r="F1266" s="9" t="s">
        <v>582</v>
      </c>
      <c r="G1266" s="9" t="s">
        <v>1397</v>
      </c>
      <c r="H1266" s="2" t="s">
        <v>60</v>
      </c>
      <c r="I1266" s="3">
        <v>35209</v>
      </c>
      <c r="J1266" s="9" t="str">
        <f t="shared" ca="1" si="21"/>
        <v>27 ans</v>
      </c>
      <c r="K1266" s="2" t="s">
        <v>36</v>
      </c>
      <c r="L1266" s="2" t="str">
        <f>"105"</f>
        <v>105</v>
      </c>
      <c r="M1266" s="2"/>
      <c r="N1266" s="2" t="str">
        <f>"CH TOUR DU LAC DAVID NORD"</f>
        <v>CH TOUR DU LAC DAVID NORD</v>
      </c>
      <c r="O1266" s="2" t="s">
        <v>3185</v>
      </c>
      <c r="P1266" s="9" t="str">
        <f>VLOOKUP($O1266,'Liste des Villes'!$B$2:$B$1128,1,FALSE)</f>
        <v>Saint-Jérôme</v>
      </c>
      <c r="Q1266" s="9" t="str">
        <f>IFERROR($P1266,PROPER(VLOOKUP($O1266,'Villes en erreur'!$A$2:$B$72,2,FALSE)))</f>
        <v>Saint-Jérôme</v>
      </c>
      <c r="R1266" s="9" t="s">
        <v>3186</v>
      </c>
      <c r="S1266" s="9" t="str">
        <f>IF(ISBLANK($R1266),"",VLOOKUP($R1266,'Liste des Villes'!$B$2:$H$1128,4,FALSE))</f>
        <v>Laurentides</v>
      </c>
      <c r="T1266" s="2" t="s">
        <v>3187</v>
      </c>
      <c r="U1266" s="2" t="s">
        <v>39</v>
      </c>
      <c r="V1266" s="2" t="s">
        <v>40</v>
      </c>
      <c r="W1266" s="2" t="s">
        <v>6517</v>
      </c>
      <c r="X1266" s="2"/>
      <c r="Y1266" s="2"/>
      <c r="Z1266" s="2"/>
      <c r="AA1266" s="2" t="s">
        <v>3189</v>
      </c>
      <c r="AB1266" s="2" t="s">
        <v>3190</v>
      </c>
      <c r="AC1266" s="4" t="s">
        <v>44</v>
      </c>
    </row>
    <row r="1267" spans="1:29" x14ac:dyDescent="0.25">
      <c r="A1267" s="1">
        <v>2055</v>
      </c>
      <c r="B1267" s="17" t="s">
        <v>6518</v>
      </c>
      <c r="C1267" s="2" t="s">
        <v>3102</v>
      </c>
      <c r="D1267" s="15" t="s">
        <v>657</v>
      </c>
      <c r="E1267" s="9" t="s">
        <v>452</v>
      </c>
      <c r="F1267" s="9" t="s">
        <v>934</v>
      </c>
      <c r="G1267" s="9" t="s">
        <v>380</v>
      </c>
      <c r="H1267" s="2" t="s">
        <v>60</v>
      </c>
      <c r="I1267" s="3">
        <v>34401</v>
      </c>
      <c r="J1267" s="9" t="str">
        <f t="shared" ca="1" si="21"/>
        <v>29 ans</v>
      </c>
      <c r="K1267" s="2" t="s">
        <v>36</v>
      </c>
      <c r="L1267" s="2" t="str">
        <f>"57"</f>
        <v>57</v>
      </c>
      <c r="M1267" s="2"/>
      <c r="N1267" s="2" t="str">
        <f>"CAR DOMINIQUE"</f>
        <v>CAR DOMINIQUE</v>
      </c>
      <c r="O1267" s="2" t="s">
        <v>3185</v>
      </c>
      <c r="P1267" s="9" t="str">
        <f>VLOOKUP($O1267,'Liste des Villes'!$B$2:$B$1128,1,FALSE)</f>
        <v>Saint-Jérôme</v>
      </c>
      <c r="Q1267" s="9" t="str">
        <f>IFERROR($P1267,PROPER(VLOOKUP($O1267,'Villes en erreur'!$A$2:$B$72,2,FALSE)))</f>
        <v>Saint-Jérôme</v>
      </c>
      <c r="R1267" s="9" t="s">
        <v>3186</v>
      </c>
      <c r="S1267" s="9" t="str">
        <f>IF(ISBLANK($R1267),"",VLOOKUP($R1267,'Liste des Villes'!$B$2:$H$1128,4,FALSE))</f>
        <v>Laurentides</v>
      </c>
      <c r="T1267" s="2" t="s">
        <v>6519</v>
      </c>
      <c r="U1267" s="2" t="s">
        <v>39</v>
      </c>
      <c r="V1267" s="2" t="s">
        <v>40</v>
      </c>
      <c r="W1267" s="2" t="s">
        <v>6520</v>
      </c>
      <c r="X1267" s="2"/>
      <c r="Y1267" s="2"/>
      <c r="Z1267" s="2"/>
      <c r="AA1267" s="2" t="s">
        <v>3293</v>
      </c>
      <c r="AB1267" s="2" t="s">
        <v>53</v>
      </c>
      <c r="AC1267" s="4" t="s">
        <v>44</v>
      </c>
    </row>
    <row r="1268" spans="1:29" x14ac:dyDescent="0.25">
      <c r="A1268" s="1">
        <v>1611</v>
      </c>
      <c r="B1268" s="17" t="s">
        <v>6521</v>
      </c>
      <c r="C1268" s="2" t="s">
        <v>6522</v>
      </c>
      <c r="D1268" s="15" t="s">
        <v>2434</v>
      </c>
      <c r="E1268" s="9" t="s">
        <v>1343</v>
      </c>
      <c r="F1268" s="9" t="s">
        <v>2432</v>
      </c>
      <c r="G1268" s="9" t="s">
        <v>3616</v>
      </c>
      <c r="H1268" s="2" t="s">
        <v>60</v>
      </c>
      <c r="I1268" s="3">
        <v>35713</v>
      </c>
      <c r="J1268" s="9" t="str">
        <f t="shared" ca="1" si="21"/>
        <v>25 ans</v>
      </c>
      <c r="K1268" s="2" t="s">
        <v>123</v>
      </c>
      <c r="L1268" s="2" t="str">
        <f>"137"</f>
        <v>137</v>
      </c>
      <c r="M1268" s="2"/>
      <c r="N1268" s="2" t="str">
        <f>"DESPATIE"</f>
        <v>DESPATIE</v>
      </c>
      <c r="O1268" s="2" t="s">
        <v>3185</v>
      </c>
      <c r="P1268" s="9" t="str">
        <f>VLOOKUP($O1268,'Liste des Villes'!$B$2:$B$1128,1,FALSE)</f>
        <v>Saint-Jérôme</v>
      </c>
      <c r="Q1268" s="9" t="str">
        <f>IFERROR($P1268,PROPER(VLOOKUP($O1268,'Villes en erreur'!$A$2:$B$72,2,FALSE)))</f>
        <v>Saint-Jérôme</v>
      </c>
      <c r="R1268" s="9" t="s">
        <v>3186</v>
      </c>
      <c r="S1268" s="9" t="str">
        <f>IF(ISBLANK($R1268),"",VLOOKUP($R1268,'Liste des Villes'!$B$2:$H$1128,4,FALSE))</f>
        <v>Laurentides</v>
      </c>
      <c r="T1268" s="2" t="s">
        <v>6523</v>
      </c>
      <c r="U1268" s="2" t="s">
        <v>39</v>
      </c>
      <c r="V1268" s="2" t="s">
        <v>40</v>
      </c>
      <c r="W1268" s="2" t="s">
        <v>6524</v>
      </c>
      <c r="X1268" s="2"/>
      <c r="Y1268" s="2"/>
      <c r="Z1268" s="2"/>
      <c r="AA1268" s="2" t="s">
        <v>3243</v>
      </c>
      <c r="AB1268" s="2" t="s">
        <v>3221</v>
      </c>
      <c r="AC1268" s="4" t="s">
        <v>44</v>
      </c>
    </row>
    <row r="1269" spans="1:29" x14ac:dyDescent="0.25">
      <c r="A1269" s="1">
        <v>1421</v>
      </c>
      <c r="B1269" s="17" t="s">
        <v>6525</v>
      </c>
      <c r="C1269" s="2" t="s">
        <v>6526</v>
      </c>
      <c r="D1269" s="15" t="s">
        <v>1389</v>
      </c>
      <c r="E1269" s="9" t="s">
        <v>1037</v>
      </c>
      <c r="F1269" s="9" t="s">
        <v>898</v>
      </c>
      <c r="G1269" s="9" t="s">
        <v>4691</v>
      </c>
      <c r="H1269" s="2" t="s">
        <v>60</v>
      </c>
      <c r="I1269" s="3">
        <v>35580</v>
      </c>
      <c r="J1269" s="9" t="str">
        <f t="shared" ca="1" si="21"/>
        <v>26 ans</v>
      </c>
      <c r="K1269" s="2" t="s">
        <v>36</v>
      </c>
      <c r="L1269" s="2" t="str">
        <f>"126"</f>
        <v>126</v>
      </c>
      <c r="M1269" s="2"/>
      <c r="N1269" s="2" t="str">
        <f>"CROISSANT DES SAULES"</f>
        <v>CROISSANT DES SAULES</v>
      </c>
      <c r="O1269" s="2" t="s">
        <v>3185</v>
      </c>
      <c r="P1269" s="9" t="str">
        <f>VLOOKUP($O1269,'Liste des Villes'!$B$2:$B$1128,1,FALSE)</f>
        <v>Saint-Jérôme</v>
      </c>
      <c r="Q1269" s="9" t="str">
        <f>IFERROR($P1269,PROPER(VLOOKUP($O1269,'Villes en erreur'!$A$2:$B$72,2,FALSE)))</f>
        <v>Saint-Jérôme</v>
      </c>
      <c r="R1269" s="9" t="s">
        <v>3186</v>
      </c>
      <c r="S1269" s="9" t="str">
        <f>IF(ISBLANK($R1269),"",VLOOKUP($R1269,'Liste des Villes'!$B$2:$H$1128,4,FALSE))</f>
        <v>Laurentides</v>
      </c>
      <c r="T1269" s="2" t="s">
        <v>6527</v>
      </c>
      <c r="U1269" s="2" t="s">
        <v>39</v>
      </c>
      <c r="V1269" s="2" t="s">
        <v>40</v>
      </c>
      <c r="W1269" s="2" t="s">
        <v>6528</v>
      </c>
      <c r="X1269" s="2"/>
      <c r="Y1269" s="2"/>
      <c r="Z1269" s="2"/>
      <c r="AA1269" s="2" t="s">
        <v>3199</v>
      </c>
      <c r="AB1269" s="2" t="s">
        <v>3221</v>
      </c>
      <c r="AC1269" s="4" t="s">
        <v>44</v>
      </c>
    </row>
    <row r="1270" spans="1:29" x14ac:dyDescent="0.25">
      <c r="A1270" s="1">
        <v>2534</v>
      </c>
      <c r="B1270" s="17" t="s">
        <v>6529</v>
      </c>
      <c r="C1270" s="2" t="s">
        <v>6530</v>
      </c>
      <c r="D1270" s="15" t="s">
        <v>6531</v>
      </c>
      <c r="E1270" s="9" t="s">
        <v>85</v>
      </c>
      <c r="F1270" s="9" t="s">
        <v>2291</v>
      </c>
      <c r="G1270" s="9" t="s">
        <v>2397</v>
      </c>
      <c r="H1270" s="2" t="s">
        <v>60</v>
      </c>
      <c r="I1270" s="3">
        <v>35099</v>
      </c>
      <c r="J1270" s="9" t="str">
        <f t="shared" ca="1" si="21"/>
        <v>27 ans</v>
      </c>
      <c r="K1270" s="2" t="s">
        <v>36</v>
      </c>
      <c r="L1270" s="2" t="str">
        <f>"101"</f>
        <v>101</v>
      </c>
      <c r="M1270" s="2"/>
      <c r="N1270" s="2" t="str">
        <f>"CH GODEFROY"</f>
        <v>CH GODEFROY</v>
      </c>
      <c r="O1270" s="2" t="s">
        <v>3185</v>
      </c>
      <c r="P1270" s="9" t="str">
        <f>VLOOKUP($O1270,'Liste des Villes'!$B$2:$B$1128,1,FALSE)</f>
        <v>Saint-Jérôme</v>
      </c>
      <c r="Q1270" s="9" t="str">
        <f>IFERROR($P1270,PROPER(VLOOKUP($O1270,'Villes en erreur'!$A$2:$B$72,2,FALSE)))</f>
        <v>Saint-Jérôme</v>
      </c>
      <c r="R1270" s="9" t="s">
        <v>3186</v>
      </c>
      <c r="S1270" s="9" t="str">
        <f>IF(ISBLANK($R1270),"",VLOOKUP($R1270,'Liste des Villes'!$B$2:$H$1128,4,FALSE))</f>
        <v>Laurentides</v>
      </c>
      <c r="T1270" s="2" t="s">
        <v>3187</v>
      </c>
      <c r="U1270" s="2" t="s">
        <v>39</v>
      </c>
      <c r="V1270" s="2" t="s">
        <v>40</v>
      </c>
      <c r="W1270" s="2" t="s">
        <v>6532</v>
      </c>
      <c r="X1270" s="2"/>
      <c r="Y1270" s="2"/>
      <c r="Z1270" s="2"/>
      <c r="AA1270" s="2" t="s">
        <v>3189</v>
      </c>
      <c r="AB1270" s="2" t="s">
        <v>3190</v>
      </c>
      <c r="AC1270" s="4" t="s">
        <v>44</v>
      </c>
    </row>
    <row r="1271" spans="1:29" x14ac:dyDescent="0.25">
      <c r="A1271" s="1">
        <v>2334</v>
      </c>
      <c r="B1271" s="17" t="s">
        <v>6533</v>
      </c>
      <c r="C1271" s="2" t="s">
        <v>6534</v>
      </c>
      <c r="D1271" s="15" t="s">
        <v>2181</v>
      </c>
      <c r="E1271" s="9" t="s">
        <v>303</v>
      </c>
      <c r="F1271" s="9" t="s">
        <v>304</v>
      </c>
      <c r="G1271" s="9" t="s">
        <v>2334</v>
      </c>
      <c r="H1271" s="2" t="s">
        <v>60</v>
      </c>
      <c r="I1271" s="3">
        <v>35947</v>
      </c>
      <c r="J1271" s="9" t="str">
        <f t="shared" ca="1" si="21"/>
        <v>25 ans</v>
      </c>
      <c r="K1271" s="2" t="s">
        <v>123</v>
      </c>
      <c r="L1271" s="2" t="str">
        <f>"168"</f>
        <v>168</v>
      </c>
      <c r="M1271" s="2"/>
      <c r="N1271" s="2" t="str">
        <f>"MONTEE SAINTE-THÉRÈSE"</f>
        <v>MONTEE SAINTE-THÉRÈSE</v>
      </c>
      <c r="O1271" s="2" t="s">
        <v>3185</v>
      </c>
      <c r="P1271" s="9" t="str">
        <f>VLOOKUP($O1271,'Liste des Villes'!$B$2:$B$1128,1,FALSE)</f>
        <v>Saint-Jérôme</v>
      </c>
      <c r="Q1271" s="9" t="str">
        <f>IFERROR($P1271,PROPER(VLOOKUP($O1271,'Villes en erreur'!$A$2:$B$72,2,FALSE)))</f>
        <v>Saint-Jérôme</v>
      </c>
      <c r="R1271" s="9" t="s">
        <v>3186</v>
      </c>
      <c r="S1271" s="9" t="str">
        <f>IF(ISBLANK($R1271),"",VLOOKUP($R1271,'Liste des Villes'!$B$2:$H$1128,4,FALSE))</f>
        <v>Laurentides</v>
      </c>
      <c r="T1271" s="2" t="s">
        <v>4723</v>
      </c>
      <c r="U1271" s="2" t="s">
        <v>39</v>
      </c>
      <c r="V1271" s="2" t="s">
        <v>40</v>
      </c>
      <c r="W1271" s="2" t="s">
        <v>6535</v>
      </c>
      <c r="X1271" s="2"/>
      <c r="Y1271" s="2"/>
      <c r="Z1271" s="2"/>
      <c r="AA1271" s="2" t="s">
        <v>832</v>
      </c>
      <c r="AB1271" s="2" t="s">
        <v>3221</v>
      </c>
      <c r="AC1271" s="4" t="s">
        <v>44</v>
      </c>
    </row>
    <row r="1272" spans="1:29" x14ac:dyDescent="0.25">
      <c r="A1272" s="1">
        <v>1963</v>
      </c>
      <c r="B1272" s="17" t="s">
        <v>6536</v>
      </c>
      <c r="C1272" s="2" t="s">
        <v>6537</v>
      </c>
      <c r="D1272" s="15" t="s">
        <v>818</v>
      </c>
      <c r="E1272" s="9" t="s">
        <v>120</v>
      </c>
      <c r="F1272" s="9" t="s">
        <v>6538</v>
      </c>
      <c r="G1272" s="9" t="s">
        <v>3708</v>
      </c>
      <c r="H1272" s="2" t="s">
        <v>60</v>
      </c>
      <c r="I1272" s="3">
        <v>36235</v>
      </c>
      <c r="J1272" s="9" t="str">
        <f t="shared" ca="1" si="21"/>
        <v>24 ans</v>
      </c>
      <c r="K1272" s="2" t="s">
        <v>123</v>
      </c>
      <c r="L1272" s="2" t="str">
        <f>"260"</f>
        <v>260</v>
      </c>
      <c r="M1272" s="2"/>
      <c r="N1272" s="2" t="str">
        <f>"RUE BÉDARD"</f>
        <v>RUE BÉDARD</v>
      </c>
      <c r="O1272" s="2" t="s">
        <v>3185</v>
      </c>
      <c r="P1272" s="9" t="str">
        <f>VLOOKUP($O1272,'Liste des Villes'!$B$2:$B$1128,1,FALSE)</f>
        <v>Saint-Jérôme</v>
      </c>
      <c r="Q1272" s="9" t="str">
        <f>IFERROR($P1272,PROPER(VLOOKUP($O1272,'Villes en erreur'!$A$2:$B$72,2,FALSE)))</f>
        <v>Saint-Jérôme</v>
      </c>
      <c r="R1272" s="9" t="s">
        <v>3186</v>
      </c>
      <c r="S1272" s="9" t="str">
        <f>IF(ISBLANK($R1272),"",VLOOKUP($R1272,'Liste des Villes'!$B$2:$H$1128,4,FALSE))</f>
        <v>Laurentides</v>
      </c>
      <c r="T1272" s="2" t="s">
        <v>6539</v>
      </c>
      <c r="U1272" s="2" t="s">
        <v>39</v>
      </c>
      <c r="V1272" s="2" t="s">
        <v>40</v>
      </c>
      <c r="W1272" s="2" t="s">
        <v>6540</v>
      </c>
      <c r="X1272" s="2"/>
      <c r="Y1272" s="2"/>
      <c r="Z1272" s="2"/>
      <c r="AA1272" s="2" t="s">
        <v>832</v>
      </c>
      <c r="AB1272" s="2" t="s">
        <v>73</v>
      </c>
      <c r="AC1272" s="4" t="s">
        <v>44</v>
      </c>
    </row>
    <row r="1273" spans="1:29" x14ac:dyDescent="0.25">
      <c r="A1273" s="1">
        <v>2525</v>
      </c>
      <c r="B1273" s="17" t="s">
        <v>6541</v>
      </c>
      <c r="C1273" s="2" t="s">
        <v>6542</v>
      </c>
      <c r="D1273" s="15" t="s">
        <v>1617</v>
      </c>
      <c r="E1273" s="9" t="s">
        <v>6543</v>
      </c>
      <c r="F1273" s="9" t="s">
        <v>6544</v>
      </c>
      <c r="G1273" s="9" t="s">
        <v>1560</v>
      </c>
      <c r="H1273" s="2" t="s">
        <v>35</v>
      </c>
      <c r="I1273" s="3">
        <v>35595</v>
      </c>
      <c r="J1273" s="9" t="str">
        <f t="shared" ca="1" si="21"/>
        <v>26 ans</v>
      </c>
      <c r="K1273" s="2" t="s">
        <v>36</v>
      </c>
      <c r="L1273" s="2" t="str">
        <f>"128"</f>
        <v>128</v>
      </c>
      <c r="M1273" s="2"/>
      <c r="N1273" s="2" t="str">
        <f>"DE LA MONTAGNE CHEMIN"</f>
        <v>DE LA MONTAGNE CHEMIN</v>
      </c>
      <c r="O1273" s="2" t="s">
        <v>3185</v>
      </c>
      <c r="P1273" s="9" t="str">
        <f>VLOOKUP($O1273,'Liste des Villes'!$B$2:$B$1128,1,FALSE)</f>
        <v>Saint-Jérôme</v>
      </c>
      <c r="Q1273" s="9" t="str">
        <f>IFERROR($P1273,PROPER(VLOOKUP($O1273,'Villes en erreur'!$A$2:$B$72,2,FALSE)))</f>
        <v>Saint-Jérôme</v>
      </c>
      <c r="R1273" s="9" t="s">
        <v>3186</v>
      </c>
      <c r="S1273" s="9" t="str">
        <f>IF(ISBLANK($R1273),"",VLOOKUP($R1273,'Liste des Villes'!$B$2:$H$1128,4,FALSE))</f>
        <v>Laurentides</v>
      </c>
      <c r="T1273" s="2" t="s">
        <v>3576</v>
      </c>
      <c r="U1273" s="2" t="s">
        <v>39</v>
      </c>
      <c r="V1273" s="2" t="s">
        <v>40</v>
      </c>
      <c r="W1273" s="2" t="s">
        <v>6545</v>
      </c>
      <c r="X1273" s="2"/>
      <c r="Y1273" s="2"/>
      <c r="Z1273" s="2"/>
      <c r="AA1273" s="2" t="s">
        <v>3243</v>
      </c>
      <c r="AB1273" s="2" t="s">
        <v>3221</v>
      </c>
      <c r="AC1273" s="4" t="s">
        <v>44</v>
      </c>
    </row>
    <row r="1274" spans="1:29" x14ac:dyDescent="0.25">
      <c r="A1274" s="1">
        <v>3110</v>
      </c>
      <c r="B1274" s="17" t="s">
        <v>6546</v>
      </c>
      <c r="C1274" s="2" t="s">
        <v>6547</v>
      </c>
      <c r="D1274" s="15" t="s">
        <v>6548</v>
      </c>
      <c r="E1274" s="9" t="s">
        <v>1410</v>
      </c>
      <c r="F1274" s="9" t="s">
        <v>1523</v>
      </c>
      <c r="G1274" s="9" t="s">
        <v>3265</v>
      </c>
      <c r="H1274" s="2" t="s">
        <v>60</v>
      </c>
      <c r="I1274" s="3">
        <v>35915</v>
      </c>
      <c r="J1274" s="9" t="str">
        <f t="shared" ca="1" si="21"/>
        <v>25 ans</v>
      </c>
      <c r="K1274" s="2" t="s">
        <v>123</v>
      </c>
      <c r="L1274" s="2" t="str">
        <f>"160"</f>
        <v>160</v>
      </c>
      <c r="M1274" s="2"/>
      <c r="N1274" s="2" t="str">
        <f>"MONTEE DUFRESNE"</f>
        <v>MONTEE DUFRESNE</v>
      </c>
      <c r="O1274" s="2" t="s">
        <v>3185</v>
      </c>
      <c r="P1274" s="9" t="str">
        <f>VLOOKUP($O1274,'Liste des Villes'!$B$2:$B$1128,1,FALSE)</f>
        <v>Saint-Jérôme</v>
      </c>
      <c r="Q1274" s="9" t="str">
        <f>IFERROR($P1274,PROPER(VLOOKUP($O1274,'Villes en erreur'!$A$2:$B$72,2,FALSE)))</f>
        <v>Saint-Jérôme</v>
      </c>
      <c r="R1274" s="9" t="s">
        <v>3186</v>
      </c>
      <c r="S1274" s="9" t="str">
        <f>IF(ISBLANK($R1274),"",VLOOKUP($R1274,'Liste des Villes'!$B$2:$H$1128,4,FALSE))</f>
        <v>Laurentides</v>
      </c>
      <c r="T1274" s="2" t="s">
        <v>6549</v>
      </c>
      <c r="U1274" s="2" t="s">
        <v>39</v>
      </c>
      <c r="V1274" s="2" t="s">
        <v>40</v>
      </c>
      <c r="W1274" s="2" t="s">
        <v>6550</v>
      </c>
      <c r="X1274" s="2"/>
      <c r="Y1274" s="2"/>
      <c r="Z1274" s="2"/>
      <c r="AA1274" s="2" t="s">
        <v>3243</v>
      </c>
      <c r="AB1274" s="2" t="s">
        <v>3221</v>
      </c>
      <c r="AC1274" s="4" t="s">
        <v>44</v>
      </c>
    </row>
    <row r="1275" spans="1:29" x14ac:dyDescent="0.25">
      <c r="A1275" s="1">
        <v>3064</v>
      </c>
      <c r="B1275" s="17" t="s">
        <v>6551</v>
      </c>
      <c r="C1275" s="2" t="s">
        <v>6552</v>
      </c>
      <c r="D1275" s="15" t="s">
        <v>1362</v>
      </c>
      <c r="E1275" s="9" t="s">
        <v>678</v>
      </c>
      <c r="F1275" s="9" t="s">
        <v>1360</v>
      </c>
      <c r="G1275" s="9" t="s">
        <v>209</v>
      </c>
      <c r="H1275" s="2" t="s">
        <v>60</v>
      </c>
      <c r="I1275" s="3">
        <v>34222</v>
      </c>
      <c r="J1275" s="9" t="str">
        <f t="shared" ca="1" si="21"/>
        <v>29 ans</v>
      </c>
      <c r="K1275" s="2" t="s">
        <v>36</v>
      </c>
      <c r="L1275" s="2" t="str">
        <f>"49"</f>
        <v>49</v>
      </c>
      <c r="M1275" s="2"/>
      <c r="N1275" s="2" t="str">
        <f>"BOULEVARD DES LAURENTIDES"</f>
        <v>BOULEVARD DES LAURENTIDES</v>
      </c>
      <c r="O1275" s="2" t="s">
        <v>3185</v>
      </c>
      <c r="P1275" s="9" t="str">
        <f>VLOOKUP($O1275,'Liste des Villes'!$B$2:$B$1128,1,FALSE)</f>
        <v>Saint-Jérôme</v>
      </c>
      <c r="Q1275" s="9" t="str">
        <f>IFERROR($P1275,PROPER(VLOOKUP($O1275,'Villes en erreur'!$A$2:$B$72,2,FALSE)))</f>
        <v>Saint-Jérôme</v>
      </c>
      <c r="R1275" s="9" t="s">
        <v>3186</v>
      </c>
      <c r="S1275" s="9" t="str">
        <f>IF(ISBLANK($R1275),"",VLOOKUP($R1275,'Liste des Villes'!$B$2:$H$1128,4,FALSE))</f>
        <v>Laurentides</v>
      </c>
      <c r="T1275" s="2" t="s">
        <v>3520</v>
      </c>
      <c r="U1275" s="2" t="s">
        <v>39</v>
      </c>
      <c r="V1275" s="2" t="s">
        <v>40</v>
      </c>
      <c r="W1275" s="2" t="s">
        <v>6553</v>
      </c>
      <c r="X1275" s="2"/>
      <c r="Y1275" s="2"/>
      <c r="Z1275" s="2"/>
      <c r="AA1275" s="2" t="s">
        <v>3360</v>
      </c>
      <c r="AB1275" s="2" t="s">
        <v>53</v>
      </c>
      <c r="AC1275" s="4" t="s">
        <v>44</v>
      </c>
    </row>
    <row r="1276" spans="1:29" x14ac:dyDescent="0.25">
      <c r="A1276" s="1">
        <v>4054</v>
      </c>
      <c r="B1276" s="17" t="s">
        <v>6554</v>
      </c>
      <c r="C1276" s="2" t="s">
        <v>1793</v>
      </c>
      <c r="D1276" s="15" t="s">
        <v>349</v>
      </c>
      <c r="E1276" s="9" t="s">
        <v>622</v>
      </c>
      <c r="F1276" s="9" t="s">
        <v>1794</v>
      </c>
      <c r="G1276" s="9" t="s">
        <v>92</v>
      </c>
      <c r="H1276" s="2" t="s">
        <v>35</v>
      </c>
      <c r="I1276" s="3">
        <v>35431</v>
      </c>
      <c r="J1276" s="9" t="str">
        <f t="shared" ca="1" si="21"/>
        <v>26 ans</v>
      </c>
      <c r="K1276" s="2" t="s">
        <v>36</v>
      </c>
      <c r="L1276" s="2" t="str">
        <f>"115"</f>
        <v>115</v>
      </c>
      <c r="M1276" s="2"/>
      <c r="N1276" s="2" t="str">
        <f>"CHEMIN DU MONT SAINTE-ANNE"</f>
        <v>CHEMIN DU MONT SAINTE-ANNE</v>
      </c>
      <c r="O1276" s="2" t="s">
        <v>3185</v>
      </c>
      <c r="P1276" s="9" t="str">
        <f>VLOOKUP($O1276,'Liste des Villes'!$B$2:$B$1128,1,FALSE)</f>
        <v>Saint-Jérôme</v>
      </c>
      <c r="Q1276" s="9" t="str">
        <f>IFERROR($P1276,PROPER(VLOOKUP($O1276,'Villes en erreur'!$A$2:$B$72,2,FALSE)))</f>
        <v>Saint-Jérôme</v>
      </c>
      <c r="R1276" s="9" t="s">
        <v>3186</v>
      </c>
      <c r="S1276" s="9" t="str">
        <f>IF(ISBLANK($R1276),"",VLOOKUP($R1276,'Liste des Villes'!$B$2:$H$1128,4,FALSE))</f>
        <v>Laurentides</v>
      </c>
      <c r="T1276" s="2" t="s">
        <v>3369</v>
      </c>
      <c r="U1276" s="2" t="s">
        <v>39</v>
      </c>
      <c r="V1276" s="2" t="s">
        <v>40</v>
      </c>
      <c r="W1276" s="2" t="s">
        <v>6555</v>
      </c>
      <c r="X1276" s="2"/>
      <c r="Y1276" s="2"/>
      <c r="Z1276" s="2"/>
      <c r="AA1276" s="2" t="s">
        <v>3199</v>
      </c>
      <c r="AB1276" s="2" t="s">
        <v>3200</v>
      </c>
      <c r="AC1276" s="4" t="s">
        <v>44</v>
      </c>
    </row>
    <row r="1277" spans="1:29" x14ac:dyDescent="0.25">
      <c r="A1277" s="1">
        <v>4290</v>
      </c>
      <c r="B1277" s="17" t="s">
        <v>6556</v>
      </c>
      <c r="C1277" s="2" t="s">
        <v>6557</v>
      </c>
      <c r="D1277" s="15" t="s">
        <v>6538</v>
      </c>
      <c r="E1277" s="9" t="s">
        <v>817</v>
      </c>
      <c r="F1277" s="9" t="s">
        <v>818</v>
      </c>
      <c r="G1277" s="9" t="s">
        <v>1024</v>
      </c>
      <c r="H1277" s="2" t="s">
        <v>35</v>
      </c>
      <c r="I1277" s="3">
        <v>36183</v>
      </c>
      <c r="J1277" s="9" t="str">
        <f t="shared" ca="1" si="21"/>
        <v>24 ans</v>
      </c>
      <c r="K1277" s="2" t="s">
        <v>123</v>
      </c>
      <c r="L1277" s="2" t="str">
        <f>"235"</f>
        <v>235</v>
      </c>
      <c r="M1277" s="2"/>
      <c r="N1277" s="2" t="str">
        <f>"RUE ANGÈLE"</f>
        <v>RUE ANGÈLE</v>
      </c>
      <c r="O1277" s="2" t="s">
        <v>3185</v>
      </c>
      <c r="P1277" s="9" t="str">
        <f>VLOOKUP($O1277,'Liste des Villes'!$B$2:$B$1128,1,FALSE)</f>
        <v>Saint-Jérôme</v>
      </c>
      <c r="Q1277" s="9" t="str">
        <f>IFERROR($P1277,PROPER(VLOOKUP($O1277,'Villes en erreur'!$A$2:$B$72,2,FALSE)))</f>
        <v>Saint-Jérôme</v>
      </c>
      <c r="R1277" s="9" t="s">
        <v>3186</v>
      </c>
      <c r="S1277" s="9" t="str">
        <f>IF(ISBLANK($R1277),"",VLOOKUP($R1277,'Liste des Villes'!$B$2:$H$1128,4,FALSE))</f>
        <v>Laurentides</v>
      </c>
      <c r="T1277" s="2" t="s">
        <v>3857</v>
      </c>
      <c r="U1277" s="2" t="s">
        <v>39</v>
      </c>
      <c r="V1277" s="2" t="s">
        <v>40</v>
      </c>
      <c r="W1277" s="2" t="s">
        <v>6558</v>
      </c>
      <c r="X1277" s="2"/>
      <c r="Y1277" s="2"/>
      <c r="Z1277" s="2"/>
      <c r="AA1277" s="2" t="s">
        <v>832</v>
      </c>
      <c r="AB1277" s="2" t="s">
        <v>4693</v>
      </c>
      <c r="AC1277" s="4" t="s">
        <v>44</v>
      </c>
    </row>
    <row r="1278" spans="1:29" x14ac:dyDescent="0.25">
      <c r="A1278" s="1">
        <v>93</v>
      </c>
      <c r="B1278" s="17" t="s">
        <v>6559</v>
      </c>
      <c r="C1278" s="2" t="s">
        <v>105</v>
      </c>
      <c r="D1278" s="15" t="s">
        <v>106</v>
      </c>
      <c r="E1278" s="9" t="s">
        <v>107</v>
      </c>
      <c r="F1278" s="9" t="s">
        <v>1972</v>
      </c>
      <c r="G1278" s="9" t="s">
        <v>1447</v>
      </c>
      <c r="H1278" s="2" t="s">
        <v>60</v>
      </c>
      <c r="I1278" s="3">
        <v>35494</v>
      </c>
      <c r="J1278" s="9" t="str">
        <f t="shared" ca="1" si="21"/>
        <v>26 ans</v>
      </c>
      <c r="K1278" s="2" t="s">
        <v>36</v>
      </c>
      <c r="L1278" s="2" t="str">
        <f>"119"</f>
        <v>119</v>
      </c>
      <c r="M1278" s="2"/>
      <c r="N1278" s="2" t="str">
        <f>"CHEMIN SAINT-HENRI"</f>
        <v>CHEMIN SAINT-HENRI</v>
      </c>
      <c r="O1278" s="2" t="s">
        <v>3185</v>
      </c>
      <c r="P1278" s="9" t="str">
        <f>VLOOKUP($O1278,'Liste des Villes'!$B$2:$B$1128,1,FALSE)</f>
        <v>Saint-Jérôme</v>
      </c>
      <c r="Q1278" s="9" t="str">
        <f>IFERROR($P1278,PROPER(VLOOKUP($O1278,'Villes en erreur'!$A$2:$B$72,2,FALSE)))</f>
        <v>Saint-Jérôme</v>
      </c>
      <c r="R1278" s="9" t="s">
        <v>3186</v>
      </c>
      <c r="S1278" s="9" t="str">
        <f>IF(ISBLANK($R1278),"",VLOOKUP($R1278,'Liste des Villes'!$B$2:$H$1128,4,FALSE))</f>
        <v>Laurentides</v>
      </c>
      <c r="T1278" s="2" t="s">
        <v>3532</v>
      </c>
      <c r="U1278" s="2" t="s">
        <v>39</v>
      </c>
      <c r="V1278" s="2" t="s">
        <v>40</v>
      </c>
      <c r="W1278" s="2" t="s">
        <v>6560</v>
      </c>
      <c r="X1278" s="2"/>
      <c r="Y1278" s="2"/>
      <c r="Z1278" s="2"/>
      <c r="AA1278" s="2" t="s">
        <v>3199</v>
      </c>
      <c r="AB1278" s="2" t="s">
        <v>3200</v>
      </c>
      <c r="AC1278" s="4" t="s">
        <v>44</v>
      </c>
    </row>
    <row r="1279" spans="1:29" x14ac:dyDescent="0.25">
      <c r="A1279" s="1">
        <v>3779</v>
      </c>
      <c r="B1279" s="17" t="s">
        <v>6561</v>
      </c>
      <c r="C1279" s="2" t="s">
        <v>1733</v>
      </c>
      <c r="D1279" s="15" t="s">
        <v>100</v>
      </c>
      <c r="E1279" s="9" t="s">
        <v>122</v>
      </c>
      <c r="F1279" s="9" t="s">
        <v>5341</v>
      </c>
      <c r="G1279" s="9" t="s">
        <v>6562</v>
      </c>
      <c r="H1279" s="2" t="s">
        <v>35</v>
      </c>
      <c r="I1279" s="3">
        <v>35230</v>
      </c>
      <c r="J1279" s="9" t="str">
        <f t="shared" ca="1" si="21"/>
        <v>27 ans</v>
      </c>
      <c r="K1279" s="2" t="s">
        <v>36</v>
      </c>
      <c r="L1279" s="2" t="str">
        <f>"105"</f>
        <v>105</v>
      </c>
      <c r="M1279" s="2"/>
      <c r="N1279" s="2" t="str">
        <f>"CHEMIN BRUNET"</f>
        <v>CHEMIN BRUNET</v>
      </c>
      <c r="O1279" s="2" t="s">
        <v>3185</v>
      </c>
      <c r="P1279" s="9" t="str">
        <f>VLOOKUP($O1279,'Liste des Villes'!$B$2:$B$1128,1,FALSE)</f>
        <v>Saint-Jérôme</v>
      </c>
      <c r="Q1279" s="9" t="str">
        <f>IFERROR($P1279,PROPER(VLOOKUP($O1279,'Villes en erreur'!$A$2:$B$72,2,FALSE)))</f>
        <v>Saint-Jérôme</v>
      </c>
      <c r="R1279" s="9" t="s">
        <v>3186</v>
      </c>
      <c r="S1279" s="9" t="str">
        <f>IF(ISBLANK($R1279),"",VLOOKUP($R1279,'Liste des Villes'!$B$2:$H$1128,4,FALSE))</f>
        <v>Laurentides</v>
      </c>
      <c r="T1279" s="2" t="s">
        <v>3187</v>
      </c>
      <c r="U1279" s="2" t="s">
        <v>39</v>
      </c>
      <c r="V1279" s="2" t="s">
        <v>40</v>
      </c>
      <c r="W1279" s="2" t="s">
        <v>6563</v>
      </c>
      <c r="X1279" s="2"/>
      <c r="Y1279" s="2"/>
      <c r="Z1279" s="2"/>
      <c r="AA1279" s="2" t="s">
        <v>3189</v>
      </c>
      <c r="AB1279" s="2" t="s">
        <v>3190</v>
      </c>
      <c r="AC1279" s="4" t="s">
        <v>44</v>
      </c>
    </row>
    <row r="1280" spans="1:29" x14ac:dyDescent="0.25">
      <c r="A1280" s="1">
        <v>4024</v>
      </c>
      <c r="B1280" s="17" t="s">
        <v>6564</v>
      </c>
      <c r="C1280" s="2" t="s">
        <v>5393</v>
      </c>
      <c r="D1280" s="15" t="s">
        <v>2698</v>
      </c>
      <c r="E1280" s="9" t="s">
        <v>4988</v>
      </c>
      <c r="F1280" s="9" t="s">
        <v>1070</v>
      </c>
      <c r="G1280" s="9" t="s">
        <v>6565</v>
      </c>
      <c r="H1280" s="2" t="s">
        <v>60</v>
      </c>
      <c r="I1280" s="3">
        <v>35877</v>
      </c>
      <c r="J1280" s="9" t="str">
        <f t="shared" ca="1" si="21"/>
        <v>25 ans</v>
      </c>
      <c r="K1280" s="2" t="s">
        <v>123</v>
      </c>
      <c r="L1280" s="2" t="str">
        <f>"153"</f>
        <v>153</v>
      </c>
      <c r="M1280" s="2"/>
      <c r="N1280" s="2" t="str">
        <f>"MATHIAS"</f>
        <v>MATHIAS</v>
      </c>
      <c r="O1280" s="2" t="s">
        <v>3185</v>
      </c>
      <c r="P1280" s="9" t="str">
        <f>VLOOKUP($O1280,'Liste des Villes'!$B$2:$B$1128,1,FALSE)</f>
        <v>Saint-Jérôme</v>
      </c>
      <c r="Q1280" s="9" t="str">
        <f>IFERROR($P1280,PROPER(VLOOKUP($O1280,'Villes en erreur'!$A$2:$B$72,2,FALSE)))</f>
        <v>Saint-Jérôme</v>
      </c>
      <c r="R1280" s="9" t="s">
        <v>3186</v>
      </c>
      <c r="S1280" s="9" t="str">
        <f>IF(ISBLANK($R1280),"",VLOOKUP($R1280,'Liste des Villes'!$B$2:$H$1128,4,FALSE))</f>
        <v>Laurentides</v>
      </c>
      <c r="T1280" s="2" t="s">
        <v>6566</v>
      </c>
      <c r="U1280" s="2" t="s">
        <v>39</v>
      </c>
      <c r="V1280" s="2" t="s">
        <v>40</v>
      </c>
      <c r="W1280" s="2" t="s">
        <v>6567</v>
      </c>
      <c r="X1280" s="2"/>
      <c r="Y1280" s="2"/>
      <c r="Z1280" s="2"/>
      <c r="AA1280" s="2" t="s">
        <v>3243</v>
      </c>
      <c r="AB1280" s="2" t="s">
        <v>3221</v>
      </c>
      <c r="AC1280" s="4" t="s">
        <v>44</v>
      </c>
    </row>
    <row r="1281" spans="1:29" x14ac:dyDescent="0.25">
      <c r="A1281" s="1">
        <v>4226</v>
      </c>
      <c r="B1281" s="17" t="s">
        <v>6568</v>
      </c>
      <c r="C1281" s="2" t="s">
        <v>6569</v>
      </c>
      <c r="D1281" s="15" t="s">
        <v>6570</v>
      </c>
      <c r="E1281" s="9" t="s">
        <v>635</v>
      </c>
      <c r="F1281" s="9" t="s">
        <v>6571</v>
      </c>
      <c r="G1281" s="9" t="s">
        <v>4686</v>
      </c>
      <c r="H1281" s="2" t="s">
        <v>35</v>
      </c>
      <c r="I1281" s="3">
        <v>36085</v>
      </c>
      <c r="J1281" s="9" t="str">
        <f t="shared" ca="1" si="21"/>
        <v>24 ans</v>
      </c>
      <c r="K1281" s="2" t="s">
        <v>123</v>
      </c>
      <c r="L1281" s="2" t="str">
        <f>"204"</f>
        <v>204</v>
      </c>
      <c r="M1281" s="2"/>
      <c r="N1281" s="2" t="str">
        <f>"RENÉ-A.-ROBERT BLVD"</f>
        <v>RENÉ-A.-ROBERT BLVD</v>
      </c>
      <c r="O1281" s="2" t="s">
        <v>3185</v>
      </c>
      <c r="P1281" s="9" t="str">
        <f>VLOOKUP($O1281,'Liste des Villes'!$B$2:$B$1128,1,FALSE)</f>
        <v>Saint-Jérôme</v>
      </c>
      <c r="Q1281" s="9" t="str">
        <f>IFERROR($P1281,PROPER(VLOOKUP($O1281,'Villes en erreur'!$A$2:$B$72,2,FALSE)))</f>
        <v>Saint-Jérôme</v>
      </c>
      <c r="R1281" s="9" t="s">
        <v>3186</v>
      </c>
      <c r="S1281" s="9" t="str">
        <f>IF(ISBLANK($R1281),"",VLOOKUP($R1281,'Liste des Villes'!$B$2:$H$1128,4,FALSE))</f>
        <v>Laurentides</v>
      </c>
      <c r="T1281" s="2" t="s">
        <v>5906</v>
      </c>
      <c r="U1281" s="2" t="s">
        <v>39</v>
      </c>
      <c r="V1281" s="2" t="s">
        <v>40</v>
      </c>
      <c r="W1281" s="2" t="s">
        <v>6572</v>
      </c>
      <c r="X1281" s="2"/>
      <c r="Y1281" s="2"/>
      <c r="Z1281" s="2"/>
      <c r="AA1281" s="2" t="s">
        <v>832</v>
      </c>
      <c r="AB1281" s="2" t="s">
        <v>3221</v>
      </c>
      <c r="AC1281" s="4" t="s">
        <v>44</v>
      </c>
    </row>
    <row r="1282" spans="1:29" x14ac:dyDescent="0.25">
      <c r="A1282" s="1">
        <v>319</v>
      </c>
      <c r="B1282" s="17" t="s">
        <v>6573</v>
      </c>
      <c r="C1282" s="2" t="s">
        <v>2451</v>
      </c>
      <c r="D1282" s="15" t="s">
        <v>504</v>
      </c>
      <c r="E1282" s="9" t="s">
        <v>1673</v>
      </c>
      <c r="F1282" s="9" t="s">
        <v>219</v>
      </c>
      <c r="G1282" s="9" t="s">
        <v>1246</v>
      </c>
      <c r="H1282" s="2" t="s">
        <v>35</v>
      </c>
      <c r="I1282" s="3">
        <v>34138</v>
      </c>
      <c r="J1282" s="9" t="str">
        <f t="shared" ref="J1282:J1345" ca="1" si="22">_xlfn.CONCAT(INT((TODAY()-$I1282)/365.25)," ans")</f>
        <v>30 ans</v>
      </c>
      <c r="K1282" s="2" t="s">
        <v>36</v>
      </c>
      <c r="L1282" s="2" t="str">
        <f>"47"</f>
        <v>47</v>
      </c>
      <c r="M1282" s="2"/>
      <c r="N1282" s="2" t="str">
        <f>"BOULEVARD DE DEUX-MONTAGNES"</f>
        <v>BOULEVARD DE DEUX-MONTAGNES</v>
      </c>
      <c r="O1282" s="2" t="s">
        <v>3185</v>
      </c>
      <c r="P1282" s="9" t="str">
        <f>VLOOKUP($O1282,'Liste des Villes'!$B$2:$B$1128,1,FALSE)</f>
        <v>Saint-Jérôme</v>
      </c>
      <c r="Q1282" s="9" t="str">
        <f>IFERROR($P1282,PROPER(VLOOKUP($O1282,'Villes en erreur'!$A$2:$B$72,2,FALSE)))</f>
        <v>Saint-Jérôme</v>
      </c>
      <c r="R1282" s="9" t="s">
        <v>3186</v>
      </c>
      <c r="S1282" s="9" t="str">
        <f>IF(ISBLANK($R1282),"",VLOOKUP($R1282,'Liste des Villes'!$B$2:$H$1128,4,FALSE))</f>
        <v>Laurentides</v>
      </c>
      <c r="T1282" s="2" t="s">
        <v>3358</v>
      </c>
      <c r="U1282" s="2" t="s">
        <v>39</v>
      </c>
      <c r="V1282" s="2" t="s">
        <v>40</v>
      </c>
      <c r="W1282" s="2" t="s">
        <v>6574</v>
      </c>
      <c r="X1282" s="2"/>
      <c r="Y1282" s="2"/>
      <c r="Z1282" s="2"/>
      <c r="AA1282" s="2" t="s">
        <v>3360</v>
      </c>
      <c r="AB1282" s="2" t="s">
        <v>53</v>
      </c>
      <c r="AC1282" s="4" t="s">
        <v>44</v>
      </c>
    </row>
    <row r="1283" spans="1:29" x14ac:dyDescent="0.25">
      <c r="A1283" s="1">
        <v>2206</v>
      </c>
      <c r="B1283" s="17" t="s">
        <v>6575</v>
      </c>
      <c r="C1283" s="2" t="s">
        <v>6576</v>
      </c>
      <c r="D1283" s="15" t="s">
        <v>6577</v>
      </c>
      <c r="E1283" s="9" t="s">
        <v>87</v>
      </c>
      <c r="F1283" s="9" t="s">
        <v>6578</v>
      </c>
      <c r="G1283" s="9" t="s">
        <v>3990</v>
      </c>
      <c r="H1283" s="2" t="s">
        <v>60</v>
      </c>
      <c r="I1283" s="3">
        <v>36244</v>
      </c>
      <c r="J1283" s="9" t="str">
        <f t="shared" ca="1" si="22"/>
        <v>24 ans</v>
      </c>
      <c r="K1283" s="2" t="s">
        <v>123</v>
      </c>
      <c r="L1283" s="2" t="str">
        <f>"265"</f>
        <v>265</v>
      </c>
      <c r="M1283" s="2"/>
      <c r="N1283" s="2" t="str">
        <f>"RUE BÉLANGER"</f>
        <v>RUE BÉLANGER</v>
      </c>
      <c r="O1283" s="2" t="s">
        <v>3185</v>
      </c>
      <c r="P1283" s="9" t="str">
        <f>VLOOKUP($O1283,'Liste des Villes'!$B$2:$B$1128,1,FALSE)</f>
        <v>Saint-Jérôme</v>
      </c>
      <c r="Q1283" s="9" t="str">
        <f>IFERROR($P1283,PROPER(VLOOKUP($O1283,'Villes en erreur'!$A$2:$B$72,2,FALSE)))</f>
        <v>Saint-Jérôme</v>
      </c>
      <c r="R1283" s="9" t="s">
        <v>3186</v>
      </c>
      <c r="S1283" s="9" t="str">
        <f>IF(ISBLANK($R1283),"",VLOOKUP($R1283,'Liste des Villes'!$B$2:$H$1128,4,FALSE))</f>
        <v>Laurentides</v>
      </c>
      <c r="T1283" s="2" t="s">
        <v>3930</v>
      </c>
      <c r="U1283" s="2" t="s">
        <v>39</v>
      </c>
      <c r="V1283" s="2" t="s">
        <v>40</v>
      </c>
      <c r="W1283" s="2" t="s">
        <v>6579</v>
      </c>
      <c r="X1283" s="2"/>
      <c r="Y1283" s="2"/>
      <c r="Z1283" s="2"/>
      <c r="AA1283" s="2" t="s">
        <v>832</v>
      </c>
      <c r="AB1283" s="2" t="s">
        <v>73</v>
      </c>
      <c r="AC1283" s="4" t="s">
        <v>44</v>
      </c>
    </row>
    <row r="1284" spans="1:29" x14ac:dyDescent="0.25">
      <c r="A1284" s="1">
        <v>4097</v>
      </c>
      <c r="B1284" s="17" t="s">
        <v>6580</v>
      </c>
      <c r="C1284" s="2" t="s">
        <v>6581</v>
      </c>
      <c r="D1284" s="15" t="s">
        <v>6582</v>
      </c>
      <c r="E1284" s="9" t="s">
        <v>219</v>
      </c>
      <c r="F1284" s="9" t="s">
        <v>6583</v>
      </c>
      <c r="G1284" s="9" t="s">
        <v>3668</v>
      </c>
      <c r="H1284" s="2" t="s">
        <v>60</v>
      </c>
      <c r="I1284" s="3">
        <v>36224</v>
      </c>
      <c r="J1284" s="9" t="str">
        <f t="shared" ca="1" si="22"/>
        <v>24 ans</v>
      </c>
      <c r="K1284" s="2" t="s">
        <v>123</v>
      </c>
      <c r="L1284" s="2" t="str">
        <f>"256"</f>
        <v>256</v>
      </c>
      <c r="M1284" s="2"/>
      <c r="N1284" s="2" t="str">
        <f>"RUE BEAUREGARD"</f>
        <v>RUE BEAUREGARD</v>
      </c>
      <c r="O1284" s="2" t="s">
        <v>3185</v>
      </c>
      <c r="P1284" s="9" t="str">
        <f>VLOOKUP($O1284,'Liste des Villes'!$B$2:$B$1128,1,FALSE)</f>
        <v>Saint-Jérôme</v>
      </c>
      <c r="Q1284" s="9" t="str">
        <f>IFERROR($P1284,PROPER(VLOOKUP($O1284,'Villes en erreur'!$A$2:$B$72,2,FALSE)))</f>
        <v>Saint-Jérôme</v>
      </c>
      <c r="R1284" s="9" t="s">
        <v>3186</v>
      </c>
      <c r="S1284" s="9" t="str">
        <f>IF(ISBLANK($R1284),"",VLOOKUP($R1284,'Liste des Villes'!$B$2:$H$1128,4,FALSE))</f>
        <v>Laurentides</v>
      </c>
      <c r="T1284" s="2" t="s">
        <v>6584</v>
      </c>
      <c r="U1284" s="2" t="s">
        <v>39</v>
      </c>
      <c r="V1284" s="2" t="s">
        <v>40</v>
      </c>
      <c r="W1284" s="2" t="s">
        <v>6585</v>
      </c>
      <c r="X1284" s="2"/>
      <c r="Y1284" s="2"/>
      <c r="Z1284" s="2"/>
      <c r="AA1284" s="2" t="s">
        <v>832</v>
      </c>
      <c r="AB1284" s="2" t="s">
        <v>3288</v>
      </c>
      <c r="AC1284" s="4" t="s">
        <v>44</v>
      </c>
    </row>
    <row r="1285" spans="1:29" x14ac:dyDescent="0.25">
      <c r="A1285" s="1">
        <v>3302</v>
      </c>
      <c r="B1285" s="17" t="s">
        <v>6586</v>
      </c>
      <c r="C1285" s="2" t="s">
        <v>6587</v>
      </c>
      <c r="D1285" s="15" t="s">
        <v>5375</v>
      </c>
      <c r="E1285" s="9" t="s">
        <v>828</v>
      </c>
      <c r="F1285" s="9" t="s">
        <v>260</v>
      </c>
      <c r="G1285" s="9" t="s">
        <v>539</v>
      </c>
      <c r="H1285" s="2" t="s">
        <v>60</v>
      </c>
      <c r="I1285" s="3">
        <v>34375</v>
      </c>
      <c r="J1285" s="9" t="str">
        <f t="shared" ca="1" si="22"/>
        <v>29 ans</v>
      </c>
      <c r="K1285" s="2" t="s">
        <v>36</v>
      </c>
      <c r="L1285" s="2" t="str">
        <f>"55"</f>
        <v>55</v>
      </c>
      <c r="M1285" s="2"/>
      <c r="N1285" s="2" t="str">
        <f>"BOULEVARD SAINTE-ROSE"</f>
        <v>BOULEVARD SAINTE-ROSE</v>
      </c>
      <c r="O1285" s="2" t="s">
        <v>3185</v>
      </c>
      <c r="P1285" s="9" t="str">
        <f>VLOOKUP($O1285,'Liste des Villes'!$B$2:$B$1128,1,FALSE)</f>
        <v>Saint-Jérôme</v>
      </c>
      <c r="Q1285" s="9" t="str">
        <f>IFERROR($P1285,PROPER(VLOOKUP($O1285,'Villes en erreur'!$A$2:$B$72,2,FALSE)))</f>
        <v>Saint-Jérôme</v>
      </c>
      <c r="R1285" s="9" t="s">
        <v>3186</v>
      </c>
      <c r="S1285" s="9" t="str">
        <f>IF(ISBLANK($R1285),"",VLOOKUP($R1285,'Liste des Villes'!$B$2:$H$1128,4,FALSE))</f>
        <v>Laurentides</v>
      </c>
      <c r="T1285" s="2" t="s">
        <v>3291</v>
      </c>
      <c r="U1285" s="2" t="s">
        <v>39</v>
      </c>
      <c r="V1285" s="2" t="s">
        <v>40</v>
      </c>
      <c r="W1285" s="2" t="s">
        <v>6588</v>
      </c>
      <c r="X1285" s="2"/>
      <c r="Y1285" s="2"/>
      <c r="Z1285" s="2"/>
      <c r="AA1285" s="2" t="s">
        <v>3293</v>
      </c>
      <c r="AB1285" s="2" t="s">
        <v>53</v>
      </c>
      <c r="AC1285" s="4" t="s">
        <v>44</v>
      </c>
    </row>
    <row r="1286" spans="1:29" x14ac:dyDescent="0.25">
      <c r="A1286" s="1">
        <v>3714</v>
      </c>
      <c r="B1286" s="17" t="s">
        <v>6589</v>
      </c>
      <c r="C1286" s="2" t="s">
        <v>6590</v>
      </c>
      <c r="D1286" s="15" t="s">
        <v>6417</v>
      </c>
      <c r="E1286" s="9" t="s">
        <v>635</v>
      </c>
      <c r="F1286" s="9" t="s">
        <v>411</v>
      </c>
      <c r="G1286" s="9" t="s">
        <v>2796</v>
      </c>
      <c r="H1286" s="2" t="s">
        <v>35</v>
      </c>
      <c r="I1286" s="3">
        <v>35256</v>
      </c>
      <c r="J1286" s="9" t="str">
        <f t="shared" ca="1" si="22"/>
        <v>27 ans</v>
      </c>
      <c r="K1286" s="2" t="s">
        <v>36</v>
      </c>
      <c r="L1286" s="2" t="str">
        <f>"106"</f>
        <v>106</v>
      </c>
      <c r="M1286" s="2"/>
      <c r="N1286" s="2" t="str">
        <f>"CHEMIN DE CHÊNE BOURG"</f>
        <v>CHEMIN DE CHÊNE BOURG</v>
      </c>
      <c r="O1286" s="2" t="s">
        <v>3185</v>
      </c>
      <c r="P1286" s="9" t="str">
        <f>VLOOKUP($O1286,'Liste des Villes'!$B$2:$B$1128,1,FALSE)</f>
        <v>Saint-Jérôme</v>
      </c>
      <c r="Q1286" s="9" t="str">
        <f>IFERROR($P1286,PROPER(VLOOKUP($O1286,'Villes en erreur'!$A$2:$B$72,2,FALSE)))</f>
        <v>Saint-Jérôme</v>
      </c>
      <c r="R1286" s="9" t="s">
        <v>3186</v>
      </c>
      <c r="S1286" s="9" t="str">
        <f>IF(ISBLANK($R1286),"",VLOOKUP($R1286,'Liste des Villes'!$B$2:$H$1128,4,FALSE))</f>
        <v>Laurentides</v>
      </c>
      <c r="T1286" s="2" t="s">
        <v>3187</v>
      </c>
      <c r="U1286" s="2" t="s">
        <v>39</v>
      </c>
      <c r="V1286" s="2" t="s">
        <v>40</v>
      </c>
      <c r="W1286" s="2" t="s">
        <v>6591</v>
      </c>
      <c r="X1286" s="2"/>
      <c r="Y1286" s="2"/>
      <c r="Z1286" s="2"/>
      <c r="AA1286" s="2" t="s">
        <v>3189</v>
      </c>
      <c r="AB1286" s="2" t="s">
        <v>3190</v>
      </c>
      <c r="AC1286" s="4" t="s">
        <v>44</v>
      </c>
    </row>
    <row r="1287" spans="1:29" x14ac:dyDescent="0.25">
      <c r="A1287" s="1">
        <v>3052</v>
      </c>
      <c r="B1287" s="17" t="s">
        <v>6592</v>
      </c>
      <c r="C1287" s="2" t="s">
        <v>6593</v>
      </c>
      <c r="D1287" s="15" t="s">
        <v>6594</v>
      </c>
      <c r="E1287" s="9" t="s">
        <v>4513</v>
      </c>
      <c r="F1287" s="9" t="s">
        <v>3575</v>
      </c>
      <c r="G1287" s="9" t="s">
        <v>4053</v>
      </c>
      <c r="H1287" s="2" t="s">
        <v>60</v>
      </c>
      <c r="I1287" s="3">
        <v>34016</v>
      </c>
      <c r="J1287" s="9" t="str">
        <f t="shared" ca="1" si="22"/>
        <v>30 ans</v>
      </c>
      <c r="K1287" s="2" t="s">
        <v>36</v>
      </c>
      <c r="L1287" s="2" t="str">
        <f>"44"</f>
        <v>44</v>
      </c>
      <c r="M1287" s="2"/>
      <c r="N1287" s="2" t="str">
        <f>"BOUL GIROUARD"</f>
        <v>BOUL GIROUARD</v>
      </c>
      <c r="O1287" s="2" t="s">
        <v>3185</v>
      </c>
      <c r="P1287" s="9" t="str">
        <f>VLOOKUP($O1287,'Liste des Villes'!$B$2:$B$1128,1,FALSE)</f>
        <v>Saint-Jérôme</v>
      </c>
      <c r="Q1287" s="9" t="str">
        <f>IFERROR($P1287,PROPER(VLOOKUP($O1287,'Villes en erreur'!$A$2:$B$72,2,FALSE)))</f>
        <v>Saint-Jérôme</v>
      </c>
      <c r="R1287" s="9" t="s">
        <v>3186</v>
      </c>
      <c r="S1287" s="9" t="str">
        <f>IF(ISBLANK($R1287),"",VLOOKUP($R1287,'Liste des Villes'!$B$2:$H$1128,4,FALSE))</f>
        <v>Laurentides</v>
      </c>
      <c r="T1287" s="2" t="s">
        <v>3205</v>
      </c>
      <c r="U1287" s="2" t="s">
        <v>39</v>
      </c>
      <c r="V1287" s="2" t="s">
        <v>40</v>
      </c>
      <c r="W1287" s="2" t="s">
        <v>6595</v>
      </c>
      <c r="X1287" s="2"/>
      <c r="Y1287" s="2"/>
      <c r="Z1287" s="2"/>
      <c r="AA1287" s="2" t="s">
        <v>3207</v>
      </c>
      <c r="AB1287" s="2" t="s">
        <v>53</v>
      </c>
      <c r="AC1287" s="4" t="s">
        <v>44</v>
      </c>
    </row>
    <row r="1288" spans="1:29" x14ac:dyDescent="0.25">
      <c r="A1288" s="1">
        <v>3720</v>
      </c>
      <c r="B1288" s="17" t="s">
        <v>6596</v>
      </c>
      <c r="C1288" s="2" t="s">
        <v>5393</v>
      </c>
      <c r="D1288" s="15" t="s">
        <v>2698</v>
      </c>
      <c r="E1288" s="9" t="s">
        <v>4988</v>
      </c>
      <c r="F1288" s="9" t="s">
        <v>6597</v>
      </c>
      <c r="G1288" s="9" t="s">
        <v>3497</v>
      </c>
      <c r="H1288" s="2" t="s">
        <v>60</v>
      </c>
      <c r="I1288" s="3">
        <v>35787</v>
      </c>
      <c r="J1288" s="9" t="str">
        <f t="shared" ca="1" si="22"/>
        <v>25 ans</v>
      </c>
      <c r="K1288" s="2" t="s">
        <v>123</v>
      </c>
      <c r="L1288" s="2" t="str">
        <f>"143"</f>
        <v>143</v>
      </c>
      <c r="M1288" s="2"/>
      <c r="N1288" s="2" t="str">
        <f>"GRANDE-ALLÉE"</f>
        <v>GRANDE-ALLÉE</v>
      </c>
      <c r="O1288" s="2" t="s">
        <v>3185</v>
      </c>
      <c r="P1288" s="9" t="str">
        <f>VLOOKUP($O1288,'Liste des Villes'!$B$2:$B$1128,1,FALSE)</f>
        <v>Saint-Jérôme</v>
      </c>
      <c r="Q1288" s="9" t="str">
        <f>IFERROR($P1288,PROPER(VLOOKUP($O1288,'Villes en erreur'!$A$2:$B$72,2,FALSE)))</f>
        <v>Saint-Jérôme</v>
      </c>
      <c r="R1288" s="9" t="s">
        <v>3186</v>
      </c>
      <c r="S1288" s="9" t="str">
        <f>IF(ISBLANK($R1288),"",VLOOKUP($R1288,'Liste des Villes'!$B$2:$H$1128,4,FALSE))</f>
        <v>Laurentides</v>
      </c>
      <c r="T1288" s="2" t="s">
        <v>3650</v>
      </c>
      <c r="U1288" s="2" t="s">
        <v>39</v>
      </c>
      <c r="V1288" s="2" t="s">
        <v>40</v>
      </c>
      <c r="W1288" s="2" t="s">
        <v>6598</v>
      </c>
      <c r="X1288" s="2"/>
      <c r="Y1288" s="2"/>
      <c r="Z1288" s="2"/>
      <c r="AA1288" s="2" t="s">
        <v>3243</v>
      </c>
      <c r="AB1288" s="2" t="s">
        <v>3221</v>
      </c>
      <c r="AC1288" s="4" t="s">
        <v>44</v>
      </c>
    </row>
    <row r="1289" spans="1:29" x14ac:dyDescent="0.25">
      <c r="A1289" s="1">
        <v>1848</v>
      </c>
      <c r="B1289" s="17" t="s">
        <v>6599</v>
      </c>
      <c r="C1289" s="2" t="s">
        <v>6600</v>
      </c>
      <c r="D1289" s="15" t="s">
        <v>4336</v>
      </c>
      <c r="E1289" s="9" t="s">
        <v>3265</v>
      </c>
      <c r="F1289" s="9" t="s">
        <v>4335</v>
      </c>
      <c r="G1289" s="9" t="s">
        <v>6493</v>
      </c>
      <c r="H1289" s="2" t="s">
        <v>35</v>
      </c>
      <c r="I1289" s="3">
        <v>36210</v>
      </c>
      <c r="J1289" s="9" t="str">
        <f t="shared" ca="1" si="22"/>
        <v>24 ans</v>
      </c>
      <c r="K1289" s="2" t="s">
        <v>123</v>
      </c>
      <c r="L1289" s="2" t="str">
        <f>"246"</f>
        <v>246</v>
      </c>
      <c r="M1289" s="2"/>
      <c r="N1289" s="2" t="str">
        <f>"RUE AYERS"</f>
        <v>RUE AYERS</v>
      </c>
      <c r="O1289" s="2" t="s">
        <v>3185</v>
      </c>
      <c r="P1289" s="9" t="str">
        <f>VLOOKUP($O1289,'Liste des Villes'!$B$2:$B$1128,1,FALSE)</f>
        <v>Saint-Jérôme</v>
      </c>
      <c r="Q1289" s="9" t="str">
        <f>IFERROR($P1289,PROPER(VLOOKUP($O1289,'Villes en erreur'!$A$2:$B$72,2,FALSE)))</f>
        <v>Saint-Jérôme</v>
      </c>
      <c r="R1289" s="9" t="s">
        <v>3186</v>
      </c>
      <c r="S1289" s="9" t="str">
        <f>IF(ISBLANK($R1289),"",VLOOKUP($R1289,'Liste des Villes'!$B$2:$H$1128,4,FALSE))</f>
        <v>Laurentides</v>
      </c>
      <c r="T1289" s="2" t="s">
        <v>6601</v>
      </c>
      <c r="U1289" s="2" t="s">
        <v>39</v>
      </c>
      <c r="V1289" s="2" t="s">
        <v>40</v>
      </c>
      <c r="W1289" s="2" t="s">
        <v>6602</v>
      </c>
      <c r="X1289" s="2"/>
      <c r="Y1289" s="2"/>
      <c r="Z1289" s="2"/>
      <c r="AA1289" s="2" t="s">
        <v>832</v>
      </c>
      <c r="AB1289" s="2" t="s">
        <v>3288</v>
      </c>
      <c r="AC1289" s="4" t="s">
        <v>44</v>
      </c>
    </row>
    <row r="1290" spans="1:29" x14ac:dyDescent="0.25">
      <c r="A1290" s="1">
        <v>3162</v>
      </c>
      <c r="B1290" s="17" t="s">
        <v>6603</v>
      </c>
      <c r="C1290" s="2" t="s">
        <v>177</v>
      </c>
      <c r="D1290" s="15" t="s">
        <v>178</v>
      </c>
      <c r="E1290" s="9" t="s">
        <v>179</v>
      </c>
      <c r="F1290" s="9" t="s">
        <v>4881</v>
      </c>
      <c r="G1290" s="9" t="s">
        <v>6604</v>
      </c>
      <c r="H1290" s="2" t="s">
        <v>60</v>
      </c>
      <c r="I1290" s="3">
        <v>36242</v>
      </c>
      <c r="J1290" s="9" t="str">
        <f t="shared" ca="1" si="22"/>
        <v>24 ans</v>
      </c>
      <c r="K1290" s="2" t="s">
        <v>123</v>
      </c>
      <c r="L1290" s="2" t="str">
        <f>"264"</f>
        <v>264</v>
      </c>
      <c r="M1290" s="2"/>
      <c r="N1290" s="2" t="str">
        <f>"RUE BÉLANGER"</f>
        <v>RUE BÉLANGER</v>
      </c>
      <c r="O1290" s="2" t="s">
        <v>3185</v>
      </c>
      <c r="P1290" s="9" t="str">
        <f>VLOOKUP($O1290,'Liste des Villes'!$B$2:$B$1128,1,FALSE)</f>
        <v>Saint-Jérôme</v>
      </c>
      <c r="Q1290" s="9" t="str">
        <f>IFERROR($P1290,PROPER(VLOOKUP($O1290,'Villes en erreur'!$A$2:$B$72,2,FALSE)))</f>
        <v>Saint-Jérôme</v>
      </c>
      <c r="R1290" s="9" t="s">
        <v>3186</v>
      </c>
      <c r="S1290" s="9" t="str">
        <f>IF(ISBLANK($R1290),"",VLOOKUP($R1290,'Liste des Villes'!$B$2:$H$1128,4,FALSE))</f>
        <v>Laurentides</v>
      </c>
      <c r="T1290" s="2" t="s">
        <v>3930</v>
      </c>
      <c r="U1290" s="2" t="s">
        <v>39</v>
      </c>
      <c r="V1290" s="2" t="s">
        <v>40</v>
      </c>
      <c r="W1290" s="2" t="s">
        <v>6605</v>
      </c>
      <c r="X1290" s="2"/>
      <c r="Y1290" s="2"/>
      <c r="Z1290" s="2"/>
      <c r="AA1290" s="2" t="s">
        <v>832</v>
      </c>
      <c r="AB1290" s="2" t="s">
        <v>73</v>
      </c>
      <c r="AC1290" s="4" t="s">
        <v>44</v>
      </c>
    </row>
    <row r="1291" spans="1:29" x14ac:dyDescent="0.25">
      <c r="A1291" s="1">
        <v>3871</v>
      </c>
      <c r="B1291" s="17" t="s">
        <v>6606</v>
      </c>
      <c r="C1291" s="2" t="s">
        <v>6607</v>
      </c>
      <c r="D1291" s="15" t="s">
        <v>6608</v>
      </c>
      <c r="E1291" s="9" t="s">
        <v>5511</v>
      </c>
      <c r="F1291" s="9" t="s">
        <v>718</v>
      </c>
      <c r="G1291" s="9" t="s">
        <v>851</v>
      </c>
      <c r="H1291" s="2" t="s">
        <v>35</v>
      </c>
      <c r="I1291" s="3">
        <v>36153</v>
      </c>
      <c r="J1291" s="9" t="str">
        <f t="shared" ca="1" si="22"/>
        <v>24 ans</v>
      </c>
      <c r="K1291" s="2" t="s">
        <v>123</v>
      </c>
      <c r="L1291" s="2" t="str">
        <f>"222"</f>
        <v>222</v>
      </c>
      <c r="M1291" s="2"/>
      <c r="N1291" s="2" t="str">
        <f>"RUE ALDÈGE BÉLISLE"</f>
        <v>RUE ALDÈGE BÉLISLE</v>
      </c>
      <c r="O1291" s="2" t="s">
        <v>3185</v>
      </c>
      <c r="P1291" s="9" t="str">
        <f>VLOOKUP($O1291,'Liste des Villes'!$B$2:$B$1128,1,FALSE)</f>
        <v>Saint-Jérôme</v>
      </c>
      <c r="Q1291" s="9" t="str">
        <f>IFERROR($P1291,PROPER(VLOOKUP($O1291,'Villes en erreur'!$A$2:$B$72,2,FALSE)))</f>
        <v>Saint-Jérôme</v>
      </c>
      <c r="R1291" s="9" t="s">
        <v>3186</v>
      </c>
      <c r="S1291" s="9" t="str">
        <f>IF(ISBLANK($R1291),"",VLOOKUP($R1291,'Liste des Villes'!$B$2:$H$1128,4,FALSE))</f>
        <v>Laurentides</v>
      </c>
      <c r="T1291" s="2" t="s">
        <v>6609</v>
      </c>
      <c r="U1291" s="2" t="s">
        <v>39</v>
      </c>
      <c r="V1291" s="2" t="s">
        <v>40</v>
      </c>
      <c r="W1291" s="2" t="s">
        <v>6610</v>
      </c>
      <c r="X1291" s="2"/>
      <c r="Y1291" s="2"/>
      <c r="Z1291" s="2"/>
      <c r="AA1291" s="2" t="s">
        <v>832</v>
      </c>
      <c r="AB1291" s="2" t="s">
        <v>3221</v>
      </c>
      <c r="AC1291" s="4" t="s">
        <v>44</v>
      </c>
    </row>
    <row r="1292" spans="1:29" x14ac:dyDescent="0.25">
      <c r="A1292" s="1">
        <v>1112</v>
      </c>
      <c r="B1292" s="17" t="s">
        <v>6611</v>
      </c>
      <c r="C1292" s="2" t="s">
        <v>3933</v>
      </c>
      <c r="D1292" s="15" t="s">
        <v>101</v>
      </c>
      <c r="E1292" s="9" t="s">
        <v>341</v>
      </c>
      <c r="F1292" s="9" t="s">
        <v>6612</v>
      </c>
      <c r="G1292" s="9" t="s">
        <v>186</v>
      </c>
      <c r="H1292" s="2" t="s">
        <v>60</v>
      </c>
      <c r="I1292" s="3">
        <v>34846</v>
      </c>
      <c r="J1292" s="9" t="str">
        <f t="shared" ca="1" si="22"/>
        <v>28 ans</v>
      </c>
      <c r="K1292" s="2" t="s">
        <v>36</v>
      </c>
      <c r="L1292" s="2" t="str">
        <f>"80"</f>
        <v>80</v>
      </c>
      <c r="M1292" s="2"/>
      <c r="N1292" s="2" t="str">
        <f>"CH DES HAUTEURS"</f>
        <v>CH DES HAUTEURS</v>
      </c>
      <c r="O1292" s="2" t="s">
        <v>3185</v>
      </c>
      <c r="P1292" s="9" t="str">
        <f>VLOOKUP($O1292,'Liste des Villes'!$B$2:$B$1128,1,FALSE)</f>
        <v>Saint-Jérôme</v>
      </c>
      <c r="Q1292" s="9" t="str">
        <f>IFERROR($P1292,PROPER(VLOOKUP($O1292,'Villes en erreur'!$A$2:$B$72,2,FALSE)))</f>
        <v>Saint-Jérôme</v>
      </c>
      <c r="R1292" s="9" t="s">
        <v>3186</v>
      </c>
      <c r="S1292" s="9" t="str">
        <f>IF(ISBLANK($R1292),"",VLOOKUP($R1292,'Liste des Villes'!$B$2:$H$1128,4,FALSE))</f>
        <v>Laurentides</v>
      </c>
      <c r="T1292" s="2" t="s">
        <v>3187</v>
      </c>
      <c r="U1292" s="2" t="s">
        <v>39</v>
      </c>
      <c r="V1292" s="2" t="s">
        <v>40</v>
      </c>
      <c r="W1292" s="2" t="s">
        <v>6613</v>
      </c>
      <c r="X1292" s="2"/>
      <c r="Y1292" s="2"/>
      <c r="Z1292" s="2"/>
      <c r="AA1292" s="2" t="s">
        <v>3231</v>
      </c>
      <c r="AB1292" s="2" t="s">
        <v>53</v>
      </c>
      <c r="AC1292" s="4" t="s">
        <v>44</v>
      </c>
    </row>
    <row r="1293" spans="1:29" x14ac:dyDescent="0.25">
      <c r="A1293" s="1">
        <v>2431</v>
      </c>
      <c r="B1293" s="17" t="s">
        <v>6614</v>
      </c>
      <c r="C1293" s="2" t="s">
        <v>6615</v>
      </c>
      <c r="D1293" s="15" t="s">
        <v>285</v>
      </c>
      <c r="E1293" s="9" t="s">
        <v>519</v>
      </c>
      <c r="F1293" s="9" t="s">
        <v>6616</v>
      </c>
      <c r="G1293" s="9" t="s">
        <v>635</v>
      </c>
      <c r="H1293" s="2" t="s">
        <v>35</v>
      </c>
      <c r="I1293" s="3">
        <v>33917</v>
      </c>
      <c r="J1293" s="9" t="str">
        <f t="shared" ca="1" si="22"/>
        <v>30 ans</v>
      </c>
      <c r="K1293" s="2" t="s">
        <v>36</v>
      </c>
      <c r="L1293" s="2" t="str">
        <f>"41"</f>
        <v>41</v>
      </c>
      <c r="M1293" s="2"/>
      <c r="N1293" s="2" t="str">
        <f>"AVENUE PELLETIER"</f>
        <v>AVENUE PELLETIER</v>
      </c>
      <c r="O1293" s="2" t="s">
        <v>3185</v>
      </c>
      <c r="P1293" s="9" t="str">
        <f>VLOOKUP($O1293,'Liste des Villes'!$B$2:$B$1128,1,FALSE)</f>
        <v>Saint-Jérôme</v>
      </c>
      <c r="Q1293" s="9" t="str">
        <f>IFERROR($P1293,PROPER(VLOOKUP($O1293,'Villes en erreur'!$A$2:$B$72,2,FALSE)))</f>
        <v>Saint-Jérôme</v>
      </c>
      <c r="R1293" s="9" t="s">
        <v>3186</v>
      </c>
      <c r="S1293" s="9" t="str">
        <f>IF(ISBLANK($R1293),"",VLOOKUP($R1293,'Liste des Villes'!$B$2:$H$1128,4,FALSE))</f>
        <v>Laurentides</v>
      </c>
      <c r="T1293" s="2" t="s">
        <v>3093</v>
      </c>
      <c r="U1293" s="2" t="s">
        <v>39</v>
      </c>
      <c r="V1293" s="2" t="s">
        <v>40</v>
      </c>
      <c r="W1293" s="2" t="s">
        <v>6617</v>
      </c>
      <c r="X1293" s="2"/>
      <c r="Y1293" s="2"/>
      <c r="Z1293" s="2"/>
      <c r="AA1293" s="2" t="s">
        <v>3207</v>
      </c>
      <c r="AB1293" s="2" t="s">
        <v>53</v>
      </c>
      <c r="AC1293" s="4" t="s">
        <v>44</v>
      </c>
    </row>
    <row r="1294" spans="1:29" x14ac:dyDescent="0.25">
      <c r="A1294" s="1">
        <v>3795</v>
      </c>
      <c r="B1294" s="17" t="s">
        <v>6618</v>
      </c>
      <c r="C1294" s="2" t="s">
        <v>6619</v>
      </c>
      <c r="D1294" s="15" t="s">
        <v>912</v>
      </c>
      <c r="E1294" s="9" t="s">
        <v>6620</v>
      </c>
      <c r="F1294" s="9" t="s">
        <v>914</v>
      </c>
      <c r="G1294" s="9" t="s">
        <v>1616</v>
      </c>
      <c r="H1294" s="2" t="s">
        <v>60</v>
      </c>
      <c r="I1294" s="3">
        <v>35840</v>
      </c>
      <c r="J1294" s="9" t="str">
        <f t="shared" ca="1" si="22"/>
        <v>25 ans</v>
      </c>
      <c r="K1294" s="2" t="s">
        <v>123</v>
      </c>
      <c r="L1294" s="2" t="str">
        <f>"146"</f>
        <v>146</v>
      </c>
      <c r="M1294" s="2"/>
      <c r="N1294" s="2" t="str">
        <f>"LAJEUNESSE BLVD E"</f>
        <v>LAJEUNESSE BLVD E</v>
      </c>
      <c r="O1294" s="2" t="s">
        <v>3185</v>
      </c>
      <c r="P1294" s="9" t="str">
        <f>VLOOKUP($O1294,'Liste des Villes'!$B$2:$B$1128,1,FALSE)</f>
        <v>Saint-Jérôme</v>
      </c>
      <c r="Q1294" s="9" t="str">
        <f>IFERROR($P1294,PROPER(VLOOKUP($O1294,'Villes en erreur'!$A$2:$B$72,2,FALSE)))</f>
        <v>Saint-Jérôme</v>
      </c>
      <c r="R1294" s="9" t="s">
        <v>3186</v>
      </c>
      <c r="S1294" s="9" t="str">
        <f>IF(ISBLANK($R1294),"",VLOOKUP($R1294,'Liste des Villes'!$B$2:$H$1128,4,FALSE))</f>
        <v>Laurentides</v>
      </c>
      <c r="T1294" s="2" t="s">
        <v>6621</v>
      </c>
      <c r="U1294" s="2" t="s">
        <v>39</v>
      </c>
      <c r="V1294" s="2" t="s">
        <v>40</v>
      </c>
      <c r="W1294" s="2" t="s">
        <v>6622</v>
      </c>
      <c r="X1294" s="2"/>
      <c r="Y1294" s="2"/>
      <c r="Z1294" s="2"/>
      <c r="AA1294" s="2" t="s">
        <v>3243</v>
      </c>
      <c r="AB1294" s="2" t="s">
        <v>3221</v>
      </c>
      <c r="AC1294" s="4" t="s">
        <v>44</v>
      </c>
    </row>
    <row r="1295" spans="1:29" x14ac:dyDescent="0.25">
      <c r="A1295" s="1">
        <v>2991</v>
      </c>
      <c r="B1295" s="17" t="s">
        <v>6623</v>
      </c>
      <c r="C1295" s="2" t="s">
        <v>5497</v>
      </c>
      <c r="D1295" s="15" t="s">
        <v>2263</v>
      </c>
      <c r="E1295" s="9" t="s">
        <v>1560</v>
      </c>
      <c r="F1295" s="9" t="s">
        <v>6624</v>
      </c>
      <c r="G1295" s="9" t="s">
        <v>2635</v>
      </c>
      <c r="H1295" s="2" t="s">
        <v>60</v>
      </c>
      <c r="I1295" s="3">
        <v>35768</v>
      </c>
      <c r="J1295" s="9" t="str">
        <f t="shared" ca="1" si="22"/>
        <v>25 ans</v>
      </c>
      <c r="K1295" s="2" t="s">
        <v>123</v>
      </c>
      <c r="L1295" s="2" t="str">
        <f>"141"</f>
        <v>141</v>
      </c>
      <c r="M1295" s="2"/>
      <c r="N1295" s="2" t="str">
        <f>"FRONT ROAD"</f>
        <v>FRONT ROAD</v>
      </c>
      <c r="O1295" s="2" t="s">
        <v>3185</v>
      </c>
      <c r="P1295" s="9" t="str">
        <f>VLOOKUP($O1295,'Liste des Villes'!$B$2:$B$1128,1,FALSE)</f>
        <v>Saint-Jérôme</v>
      </c>
      <c r="Q1295" s="9" t="str">
        <f>IFERROR($P1295,PROPER(VLOOKUP($O1295,'Villes en erreur'!$A$2:$B$72,2,FALSE)))</f>
        <v>Saint-Jérôme</v>
      </c>
      <c r="R1295" s="9" t="s">
        <v>3186</v>
      </c>
      <c r="S1295" s="9" t="str">
        <f>IF(ISBLANK($R1295),"",VLOOKUP($R1295,'Liste des Villes'!$B$2:$H$1128,4,FALSE))</f>
        <v>Laurentides</v>
      </c>
      <c r="T1295" s="2" t="s">
        <v>6625</v>
      </c>
      <c r="U1295" s="2" t="s">
        <v>39</v>
      </c>
      <c r="V1295" s="2" t="s">
        <v>40</v>
      </c>
      <c r="W1295" s="2" t="s">
        <v>6626</v>
      </c>
      <c r="X1295" s="2"/>
      <c r="Y1295" s="2"/>
      <c r="Z1295" s="2"/>
      <c r="AA1295" s="2" t="s">
        <v>3243</v>
      </c>
      <c r="AB1295" s="2" t="s">
        <v>3221</v>
      </c>
      <c r="AC1295" s="4" t="s">
        <v>44</v>
      </c>
    </row>
    <row r="1296" spans="1:29" x14ac:dyDescent="0.25">
      <c r="A1296" s="1">
        <v>3154</v>
      </c>
      <c r="B1296" s="17" t="s">
        <v>6627</v>
      </c>
      <c r="C1296" s="2" t="s">
        <v>6628</v>
      </c>
      <c r="D1296" s="15" t="s">
        <v>569</v>
      </c>
      <c r="E1296" s="9" t="s">
        <v>188</v>
      </c>
      <c r="F1296" s="9" t="s">
        <v>6629</v>
      </c>
      <c r="G1296" s="9" t="s">
        <v>6630</v>
      </c>
      <c r="H1296" s="2" t="s">
        <v>60</v>
      </c>
      <c r="I1296" s="3">
        <v>35107</v>
      </c>
      <c r="J1296" s="9" t="str">
        <f t="shared" ca="1" si="22"/>
        <v>27 ans</v>
      </c>
      <c r="K1296" s="2" t="s">
        <v>36</v>
      </c>
      <c r="L1296" s="2" t="str">
        <f>"101"</f>
        <v>101</v>
      </c>
      <c r="M1296" s="2"/>
      <c r="N1296" s="2" t="str">
        <f>"CH LE NORDAIS"</f>
        <v>CH LE NORDAIS</v>
      </c>
      <c r="O1296" s="2" t="s">
        <v>3185</v>
      </c>
      <c r="P1296" s="9" t="str">
        <f>VLOOKUP($O1296,'Liste des Villes'!$B$2:$B$1128,1,FALSE)</f>
        <v>Saint-Jérôme</v>
      </c>
      <c r="Q1296" s="9" t="str">
        <f>IFERROR($P1296,PROPER(VLOOKUP($O1296,'Villes en erreur'!$A$2:$B$72,2,FALSE)))</f>
        <v>Saint-Jérôme</v>
      </c>
      <c r="R1296" s="9" t="s">
        <v>3186</v>
      </c>
      <c r="S1296" s="9" t="str">
        <f>IF(ISBLANK($R1296),"",VLOOKUP($R1296,'Liste des Villes'!$B$2:$H$1128,4,FALSE))</f>
        <v>Laurentides</v>
      </c>
      <c r="T1296" s="2" t="s">
        <v>3187</v>
      </c>
      <c r="U1296" s="2" t="s">
        <v>39</v>
      </c>
      <c r="V1296" s="2" t="s">
        <v>40</v>
      </c>
      <c r="W1296" s="2" t="s">
        <v>6631</v>
      </c>
      <c r="X1296" s="2"/>
      <c r="Y1296" s="2"/>
      <c r="Z1296" s="2"/>
      <c r="AA1296" s="2" t="s">
        <v>3189</v>
      </c>
      <c r="AB1296" s="2" t="s">
        <v>3190</v>
      </c>
      <c r="AC1296" s="4" t="s">
        <v>44</v>
      </c>
    </row>
    <row r="1297" spans="1:29" x14ac:dyDescent="0.25">
      <c r="A1297" s="1">
        <v>2401</v>
      </c>
      <c r="B1297" s="17" t="s">
        <v>6632</v>
      </c>
      <c r="C1297" s="2" t="s">
        <v>6633</v>
      </c>
      <c r="D1297" s="15" t="s">
        <v>6634</v>
      </c>
      <c r="E1297" s="9" t="s">
        <v>775</v>
      </c>
      <c r="F1297" s="9" t="s">
        <v>6635</v>
      </c>
      <c r="G1297" s="9" t="s">
        <v>4686</v>
      </c>
      <c r="H1297" s="2" t="s">
        <v>35</v>
      </c>
      <c r="I1297" s="3">
        <v>36086</v>
      </c>
      <c r="J1297" s="9" t="str">
        <f t="shared" ca="1" si="22"/>
        <v>24 ans</v>
      </c>
      <c r="K1297" s="2" t="s">
        <v>123</v>
      </c>
      <c r="L1297" s="2" t="str">
        <f>"205"</f>
        <v>205</v>
      </c>
      <c r="M1297" s="2"/>
      <c r="N1297" s="2" t="str">
        <f>"RENÉ-LÉVESQUE BLVD"</f>
        <v>RENÉ-LÉVESQUE BLVD</v>
      </c>
      <c r="O1297" s="2" t="s">
        <v>3185</v>
      </c>
      <c r="P1297" s="9" t="str">
        <f>VLOOKUP($O1297,'Liste des Villes'!$B$2:$B$1128,1,FALSE)</f>
        <v>Saint-Jérôme</v>
      </c>
      <c r="Q1297" s="9" t="str">
        <f>IFERROR($P1297,PROPER(VLOOKUP($O1297,'Villes en erreur'!$A$2:$B$72,2,FALSE)))</f>
        <v>Saint-Jérôme</v>
      </c>
      <c r="R1297" s="9" t="s">
        <v>3186</v>
      </c>
      <c r="S1297" s="9" t="str">
        <f>IF(ISBLANK($R1297),"",VLOOKUP($R1297,'Liste des Villes'!$B$2:$H$1128,4,FALSE))</f>
        <v>Laurentides</v>
      </c>
      <c r="T1297" s="2" t="s">
        <v>4999</v>
      </c>
      <c r="U1297" s="2" t="s">
        <v>39</v>
      </c>
      <c r="V1297" s="2" t="s">
        <v>40</v>
      </c>
      <c r="W1297" s="2" t="s">
        <v>6636</v>
      </c>
      <c r="X1297" s="2"/>
      <c r="Y1297" s="2"/>
      <c r="Z1297" s="2"/>
      <c r="AA1297" s="2" t="s">
        <v>832</v>
      </c>
      <c r="AB1297" s="2" t="s">
        <v>3221</v>
      </c>
      <c r="AC1297" s="4" t="s">
        <v>44</v>
      </c>
    </row>
    <row r="1298" spans="1:29" x14ac:dyDescent="0.25">
      <c r="A1298" s="1">
        <v>2572</v>
      </c>
      <c r="B1298" s="17" t="s">
        <v>6637</v>
      </c>
      <c r="C1298" s="2" t="s">
        <v>6638</v>
      </c>
      <c r="D1298" s="15" t="s">
        <v>675</v>
      </c>
      <c r="E1298" s="9" t="s">
        <v>2243</v>
      </c>
      <c r="F1298" s="9" t="s">
        <v>677</v>
      </c>
      <c r="G1298" s="9" t="s">
        <v>92</v>
      </c>
      <c r="H1298" s="2" t="s">
        <v>35</v>
      </c>
      <c r="I1298" s="3">
        <v>35401</v>
      </c>
      <c r="J1298" s="9" t="str">
        <f t="shared" ca="1" si="22"/>
        <v>26 ans</v>
      </c>
      <c r="K1298" s="2" t="s">
        <v>36</v>
      </c>
      <c r="L1298" s="2" t="str">
        <f>"113"</f>
        <v>113</v>
      </c>
      <c r="M1298" s="2"/>
      <c r="N1298" s="2" t="str">
        <f>"CHEMIN DU LAC CONNELLY"</f>
        <v>CHEMIN DU LAC CONNELLY</v>
      </c>
      <c r="O1298" s="2" t="s">
        <v>3185</v>
      </c>
      <c r="P1298" s="9" t="str">
        <f>VLOOKUP($O1298,'Liste des Villes'!$B$2:$B$1128,1,FALSE)</f>
        <v>Saint-Jérôme</v>
      </c>
      <c r="Q1298" s="9" t="str">
        <f>IFERROR($P1298,PROPER(VLOOKUP($O1298,'Villes en erreur'!$A$2:$B$72,2,FALSE)))</f>
        <v>Saint-Jérôme</v>
      </c>
      <c r="R1298" s="9" t="s">
        <v>3186</v>
      </c>
      <c r="S1298" s="9" t="str">
        <f>IF(ISBLANK($R1298),"",VLOOKUP($R1298,'Liste des Villes'!$B$2:$H$1128,4,FALSE))</f>
        <v>Laurentides</v>
      </c>
      <c r="T1298" s="2" t="s">
        <v>4032</v>
      </c>
      <c r="U1298" s="2" t="s">
        <v>39</v>
      </c>
      <c r="V1298" s="2" t="s">
        <v>40</v>
      </c>
      <c r="W1298" s="2" t="s">
        <v>6639</v>
      </c>
      <c r="X1298" s="2"/>
      <c r="Y1298" s="2"/>
      <c r="Z1298" s="2"/>
      <c r="AA1298" s="2" t="s">
        <v>3199</v>
      </c>
      <c r="AB1298" s="2" t="s">
        <v>3200</v>
      </c>
      <c r="AC1298" s="4" t="s">
        <v>44</v>
      </c>
    </row>
    <row r="1299" spans="1:29" x14ac:dyDescent="0.25">
      <c r="A1299" s="1">
        <v>2937</v>
      </c>
      <c r="B1299" s="17" t="s">
        <v>6640</v>
      </c>
      <c r="C1299" s="2" t="s">
        <v>6641</v>
      </c>
      <c r="D1299" s="15" t="s">
        <v>6642</v>
      </c>
      <c r="E1299" s="9" t="s">
        <v>3682</v>
      </c>
      <c r="F1299" s="9" t="s">
        <v>6643</v>
      </c>
      <c r="G1299" s="9" t="s">
        <v>1397</v>
      </c>
      <c r="H1299" s="2" t="s">
        <v>60</v>
      </c>
      <c r="I1299" s="3">
        <v>35212</v>
      </c>
      <c r="J1299" s="9" t="str">
        <f t="shared" ca="1" si="22"/>
        <v>27 ans</v>
      </c>
      <c r="K1299" s="2" t="s">
        <v>36</v>
      </c>
      <c r="L1299" s="2" t="str">
        <f>"105"</f>
        <v>105</v>
      </c>
      <c r="M1299" s="2"/>
      <c r="N1299" s="2" t="str">
        <f>"CH TROTTIER"</f>
        <v>CH TROTTIER</v>
      </c>
      <c r="O1299" s="2" t="s">
        <v>3185</v>
      </c>
      <c r="P1299" s="9" t="str">
        <f>VLOOKUP($O1299,'Liste des Villes'!$B$2:$B$1128,1,FALSE)</f>
        <v>Saint-Jérôme</v>
      </c>
      <c r="Q1299" s="9" t="str">
        <f>IFERROR($P1299,PROPER(VLOOKUP($O1299,'Villes en erreur'!$A$2:$B$72,2,FALSE)))</f>
        <v>Saint-Jérôme</v>
      </c>
      <c r="R1299" s="9" t="s">
        <v>3186</v>
      </c>
      <c r="S1299" s="9" t="str">
        <f>IF(ISBLANK($R1299),"",VLOOKUP($R1299,'Liste des Villes'!$B$2:$H$1128,4,FALSE))</f>
        <v>Laurentides</v>
      </c>
      <c r="T1299" s="2" t="s">
        <v>3187</v>
      </c>
      <c r="U1299" s="2" t="s">
        <v>39</v>
      </c>
      <c r="V1299" s="2" t="s">
        <v>40</v>
      </c>
      <c r="W1299" s="2" t="s">
        <v>6644</v>
      </c>
      <c r="X1299" s="2"/>
      <c r="Y1299" s="2"/>
      <c r="Z1299" s="2"/>
      <c r="AA1299" s="2" t="s">
        <v>3189</v>
      </c>
      <c r="AB1299" s="2" t="s">
        <v>3190</v>
      </c>
      <c r="AC1299" s="4" t="s">
        <v>44</v>
      </c>
    </row>
    <row r="1300" spans="1:29" x14ac:dyDescent="0.25">
      <c r="A1300" s="1">
        <v>2326</v>
      </c>
      <c r="B1300" s="17" t="s">
        <v>6645</v>
      </c>
      <c r="C1300" s="2" t="s">
        <v>6646</v>
      </c>
      <c r="D1300" s="15" t="s">
        <v>3567</v>
      </c>
      <c r="E1300" s="9" t="s">
        <v>6647</v>
      </c>
      <c r="F1300" s="9" t="s">
        <v>6648</v>
      </c>
      <c r="G1300" s="9" t="s">
        <v>186</v>
      </c>
      <c r="H1300" s="2" t="s">
        <v>60</v>
      </c>
      <c r="I1300" s="3">
        <v>34845</v>
      </c>
      <c r="J1300" s="9" t="str">
        <f t="shared" ca="1" si="22"/>
        <v>28 ans</v>
      </c>
      <c r="K1300" s="2" t="s">
        <v>36</v>
      </c>
      <c r="L1300" s="2" t="str">
        <f>"80"</f>
        <v>80</v>
      </c>
      <c r="M1300" s="2"/>
      <c r="N1300" s="2" t="str">
        <f>"CH DES HAUTEURS"</f>
        <v>CH DES HAUTEURS</v>
      </c>
      <c r="O1300" s="2" t="s">
        <v>3185</v>
      </c>
      <c r="P1300" s="9" t="str">
        <f>VLOOKUP($O1300,'Liste des Villes'!$B$2:$B$1128,1,FALSE)</f>
        <v>Saint-Jérôme</v>
      </c>
      <c r="Q1300" s="9" t="str">
        <f>IFERROR($P1300,PROPER(VLOOKUP($O1300,'Villes en erreur'!$A$2:$B$72,2,FALSE)))</f>
        <v>Saint-Jérôme</v>
      </c>
      <c r="R1300" s="9" t="s">
        <v>3186</v>
      </c>
      <c r="S1300" s="9" t="str">
        <f>IF(ISBLANK($R1300),"",VLOOKUP($R1300,'Liste des Villes'!$B$2:$H$1128,4,FALSE))</f>
        <v>Laurentides</v>
      </c>
      <c r="T1300" s="2" t="s">
        <v>3187</v>
      </c>
      <c r="U1300" s="2" t="s">
        <v>39</v>
      </c>
      <c r="V1300" s="2" t="s">
        <v>40</v>
      </c>
      <c r="W1300" s="2" t="s">
        <v>6649</v>
      </c>
      <c r="X1300" s="2"/>
      <c r="Y1300" s="2"/>
      <c r="Z1300" s="2"/>
      <c r="AA1300" s="2" t="s">
        <v>3231</v>
      </c>
      <c r="AB1300" s="2" t="s">
        <v>53</v>
      </c>
      <c r="AC1300" s="4" t="s">
        <v>44</v>
      </c>
    </row>
    <row r="1301" spans="1:29" x14ac:dyDescent="0.25">
      <c r="A1301" s="1">
        <v>1923</v>
      </c>
      <c r="B1301" s="17" t="s">
        <v>6650</v>
      </c>
      <c r="C1301" s="2" t="s">
        <v>6651</v>
      </c>
      <c r="D1301" s="15" t="s">
        <v>6652</v>
      </c>
      <c r="E1301" s="9" t="s">
        <v>131</v>
      </c>
      <c r="F1301" s="9" t="s">
        <v>6653</v>
      </c>
      <c r="G1301" s="9" t="s">
        <v>1024</v>
      </c>
      <c r="H1301" s="2" t="s">
        <v>35</v>
      </c>
      <c r="I1301" s="3">
        <v>36174</v>
      </c>
      <c r="J1301" s="9" t="str">
        <f t="shared" ca="1" si="22"/>
        <v>24 ans</v>
      </c>
      <c r="K1301" s="2" t="s">
        <v>123</v>
      </c>
      <c r="L1301" s="2" t="str">
        <f>"233"</f>
        <v>233</v>
      </c>
      <c r="M1301" s="2"/>
      <c r="N1301" s="2" t="str">
        <f>"RUE ANDRE-PREVOST"</f>
        <v>RUE ANDRE-PREVOST</v>
      </c>
      <c r="O1301" s="2" t="s">
        <v>3185</v>
      </c>
      <c r="P1301" s="9" t="str">
        <f>VLOOKUP($O1301,'Liste des Villes'!$B$2:$B$1128,1,FALSE)</f>
        <v>Saint-Jérôme</v>
      </c>
      <c r="Q1301" s="9" t="str">
        <f>IFERROR($P1301,PROPER(VLOOKUP($O1301,'Villes en erreur'!$A$2:$B$72,2,FALSE)))</f>
        <v>Saint-Jérôme</v>
      </c>
      <c r="R1301" s="9" t="s">
        <v>3186</v>
      </c>
      <c r="S1301" s="9" t="str">
        <f>IF(ISBLANK($R1301),"",VLOOKUP($R1301,'Liste des Villes'!$B$2:$H$1128,4,FALSE))</f>
        <v>Laurentides</v>
      </c>
      <c r="T1301" s="2" t="s">
        <v>3985</v>
      </c>
      <c r="U1301" s="2" t="s">
        <v>39</v>
      </c>
      <c r="V1301" s="2" t="s">
        <v>40</v>
      </c>
      <c r="W1301" s="2" t="s">
        <v>6654</v>
      </c>
      <c r="X1301" s="2"/>
      <c r="Y1301" s="2"/>
      <c r="Z1301" s="2"/>
      <c r="AA1301" s="2" t="s">
        <v>832</v>
      </c>
      <c r="AB1301" s="2" t="s">
        <v>3221</v>
      </c>
      <c r="AC1301" s="4" t="s">
        <v>44</v>
      </c>
    </row>
    <row r="1302" spans="1:29" x14ac:dyDescent="0.25">
      <c r="A1302" s="1">
        <v>1767</v>
      </c>
      <c r="B1302" s="17" t="s">
        <v>6655</v>
      </c>
      <c r="C1302" s="2" t="s">
        <v>3922</v>
      </c>
      <c r="D1302" s="15" t="s">
        <v>1800</v>
      </c>
      <c r="E1302" s="9" t="s">
        <v>511</v>
      </c>
      <c r="F1302" s="9" t="s">
        <v>3963</v>
      </c>
      <c r="G1302" s="9" t="s">
        <v>1037</v>
      </c>
      <c r="H1302" s="2" t="s">
        <v>35</v>
      </c>
      <c r="I1302" s="3">
        <v>36054</v>
      </c>
      <c r="J1302" s="9" t="str">
        <f t="shared" ca="1" si="22"/>
        <v>24 ans</v>
      </c>
      <c r="K1302" s="2" t="s">
        <v>123</v>
      </c>
      <c r="L1302" s="2" t="str">
        <f>"190"</f>
        <v>190</v>
      </c>
      <c r="M1302" s="2"/>
      <c r="N1302" s="2" t="str">
        <f>"RANG 7E"</f>
        <v>RANG 7E</v>
      </c>
      <c r="O1302" s="2" t="s">
        <v>3185</v>
      </c>
      <c r="P1302" s="9" t="str">
        <f>VLOOKUP($O1302,'Liste des Villes'!$B$2:$B$1128,1,FALSE)</f>
        <v>Saint-Jérôme</v>
      </c>
      <c r="Q1302" s="9" t="str">
        <f>IFERROR($P1302,PROPER(VLOOKUP($O1302,'Villes en erreur'!$A$2:$B$72,2,FALSE)))</f>
        <v>Saint-Jérôme</v>
      </c>
      <c r="R1302" s="9" t="s">
        <v>3186</v>
      </c>
      <c r="S1302" s="9" t="str">
        <f>IF(ISBLANK($R1302),"",VLOOKUP($R1302,'Liste des Villes'!$B$2:$H$1128,4,FALSE))</f>
        <v>Laurentides</v>
      </c>
      <c r="T1302" s="2" t="s">
        <v>4855</v>
      </c>
      <c r="U1302" s="2" t="s">
        <v>39</v>
      </c>
      <c r="V1302" s="2" t="s">
        <v>40</v>
      </c>
      <c r="W1302" s="2" t="s">
        <v>6656</v>
      </c>
      <c r="X1302" s="2"/>
      <c r="Y1302" s="2"/>
      <c r="Z1302" s="2"/>
      <c r="AA1302" s="2" t="s">
        <v>832</v>
      </c>
      <c r="AB1302" s="2" t="s">
        <v>3221</v>
      </c>
      <c r="AC1302" s="4" t="s">
        <v>44</v>
      </c>
    </row>
    <row r="1303" spans="1:29" x14ac:dyDescent="0.25">
      <c r="A1303" s="1">
        <v>1172</v>
      </c>
      <c r="B1303" s="17" t="s">
        <v>6657</v>
      </c>
      <c r="C1303" s="2" t="s">
        <v>6658</v>
      </c>
      <c r="D1303" s="15" t="s">
        <v>6659</v>
      </c>
      <c r="E1303" s="9" t="s">
        <v>2649</v>
      </c>
      <c r="F1303" s="9" t="s">
        <v>6660</v>
      </c>
      <c r="G1303" s="9" t="s">
        <v>380</v>
      </c>
      <c r="H1303" s="2" t="s">
        <v>60</v>
      </c>
      <c r="I1303" s="3">
        <v>34445</v>
      </c>
      <c r="J1303" s="9" t="str">
        <f t="shared" ca="1" si="22"/>
        <v>29 ans</v>
      </c>
      <c r="K1303" s="2" t="s">
        <v>36</v>
      </c>
      <c r="L1303" s="2" t="str">
        <f>"58"</f>
        <v>58</v>
      </c>
      <c r="M1303" s="2"/>
      <c r="N1303" s="2" t="str">
        <f>"CARRÉ DU BÉLIER"</f>
        <v>CARRÉ DU BÉLIER</v>
      </c>
      <c r="O1303" s="2" t="s">
        <v>3185</v>
      </c>
      <c r="P1303" s="9" t="str">
        <f>VLOOKUP($O1303,'Liste des Villes'!$B$2:$B$1128,1,FALSE)</f>
        <v>Saint-Jérôme</v>
      </c>
      <c r="Q1303" s="9" t="str">
        <f>IFERROR($P1303,PROPER(VLOOKUP($O1303,'Villes en erreur'!$A$2:$B$72,2,FALSE)))</f>
        <v>Saint-Jérôme</v>
      </c>
      <c r="R1303" s="9" t="s">
        <v>3186</v>
      </c>
      <c r="S1303" s="9" t="str">
        <f>IF(ISBLANK($R1303),"",VLOOKUP($R1303,'Liste des Villes'!$B$2:$H$1128,4,FALSE))</f>
        <v>Laurentides</v>
      </c>
      <c r="T1303" s="2" t="s">
        <v>5654</v>
      </c>
      <c r="U1303" s="2" t="s">
        <v>39</v>
      </c>
      <c r="V1303" s="2" t="s">
        <v>40</v>
      </c>
      <c r="W1303" s="2" t="s">
        <v>6661</v>
      </c>
      <c r="X1303" s="2"/>
      <c r="Y1303" s="2"/>
      <c r="Z1303" s="2"/>
      <c r="AA1303" s="2" t="s">
        <v>3293</v>
      </c>
      <c r="AB1303" s="2" t="s">
        <v>53</v>
      </c>
      <c r="AC1303" s="4" t="s">
        <v>44</v>
      </c>
    </row>
    <row r="1304" spans="1:29" x14ac:dyDescent="0.25">
      <c r="A1304" s="1">
        <v>920</v>
      </c>
      <c r="B1304" s="17" t="s">
        <v>6662</v>
      </c>
      <c r="C1304" s="2" t="s">
        <v>4214</v>
      </c>
      <c r="D1304" s="15" t="s">
        <v>914</v>
      </c>
      <c r="E1304" s="9" t="s">
        <v>253</v>
      </c>
      <c r="F1304" s="9" t="s">
        <v>6663</v>
      </c>
      <c r="G1304" s="9" t="s">
        <v>6664</v>
      </c>
      <c r="H1304" s="2" t="s">
        <v>60</v>
      </c>
      <c r="I1304" s="3">
        <v>34985</v>
      </c>
      <c r="J1304" s="9" t="str">
        <f t="shared" ca="1" si="22"/>
        <v>27 ans</v>
      </c>
      <c r="K1304" s="2" t="s">
        <v>36</v>
      </c>
      <c r="L1304" s="2" t="str">
        <f>"89"</f>
        <v>89</v>
      </c>
      <c r="M1304" s="2"/>
      <c r="N1304" s="2" t="str">
        <f>"CH DU LAC-BERTRAND"</f>
        <v>CH DU LAC-BERTRAND</v>
      </c>
      <c r="O1304" s="2" t="s">
        <v>3185</v>
      </c>
      <c r="P1304" s="9" t="str">
        <f>VLOOKUP($O1304,'Liste des Villes'!$B$2:$B$1128,1,FALSE)</f>
        <v>Saint-Jérôme</v>
      </c>
      <c r="Q1304" s="9" t="str">
        <f>IFERROR($P1304,PROPER(VLOOKUP($O1304,'Villes en erreur'!$A$2:$B$72,2,FALSE)))</f>
        <v>Saint-Jérôme</v>
      </c>
      <c r="R1304" s="9" t="s">
        <v>3186</v>
      </c>
      <c r="S1304" s="9" t="str">
        <f>IF(ISBLANK($R1304),"",VLOOKUP($R1304,'Liste des Villes'!$B$2:$H$1128,4,FALSE))</f>
        <v>Laurentides</v>
      </c>
      <c r="T1304" s="2" t="s">
        <v>3187</v>
      </c>
      <c r="U1304" s="2" t="s">
        <v>39</v>
      </c>
      <c r="V1304" s="2" t="s">
        <v>40</v>
      </c>
      <c r="W1304" s="2" t="s">
        <v>6665</v>
      </c>
      <c r="X1304" s="2"/>
      <c r="Y1304" s="2"/>
      <c r="Z1304" s="2"/>
      <c r="AA1304" s="2" t="s">
        <v>3189</v>
      </c>
      <c r="AB1304" s="2" t="s">
        <v>53</v>
      </c>
      <c r="AC1304" s="4" t="s">
        <v>44</v>
      </c>
    </row>
    <row r="1305" spans="1:29" x14ac:dyDescent="0.25">
      <c r="A1305" s="1">
        <v>4209</v>
      </c>
      <c r="B1305" s="17" t="s">
        <v>6666</v>
      </c>
      <c r="C1305" s="2" t="s">
        <v>6667</v>
      </c>
      <c r="D1305" s="15" t="s">
        <v>449</v>
      </c>
      <c r="E1305" s="9" t="s">
        <v>6668</v>
      </c>
      <c r="F1305" s="9" t="s">
        <v>6669</v>
      </c>
      <c r="G1305" s="9" t="s">
        <v>3731</v>
      </c>
      <c r="H1305" s="2" t="s">
        <v>60</v>
      </c>
      <c r="I1305" s="3">
        <v>35889</v>
      </c>
      <c r="J1305" s="9" t="str">
        <f t="shared" ca="1" si="22"/>
        <v>25 ans</v>
      </c>
      <c r="K1305" s="2" t="s">
        <v>123</v>
      </c>
      <c r="L1305" s="2" t="str">
        <f>"155"</f>
        <v>155</v>
      </c>
      <c r="M1305" s="2"/>
      <c r="N1305" s="2" t="str">
        <f>"MONTEE CRÉPEAU"</f>
        <v>MONTEE CRÉPEAU</v>
      </c>
      <c r="O1305" s="2" t="s">
        <v>3185</v>
      </c>
      <c r="P1305" s="9" t="str">
        <f>VLOOKUP($O1305,'Liste des Villes'!$B$2:$B$1128,1,FALSE)</f>
        <v>Saint-Jérôme</v>
      </c>
      <c r="Q1305" s="9" t="str">
        <f>IFERROR($P1305,PROPER(VLOOKUP($O1305,'Villes en erreur'!$A$2:$B$72,2,FALSE)))</f>
        <v>Saint-Jérôme</v>
      </c>
      <c r="R1305" s="9" t="s">
        <v>3186</v>
      </c>
      <c r="S1305" s="9" t="str">
        <f>IF(ISBLANK($R1305),"",VLOOKUP($R1305,'Liste des Villes'!$B$2:$H$1128,4,FALSE))</f>
        <v>Laurentides</v>
      </c>
      <c r="T1305" s="2" t="s">
        <v>6670</v>
      </c>
      <c r="U1305" s="2" t="s">
        <v>39</v>
      </c>
      <c r="V1305" s="2" t="s">
        <v>40</v>
      </c>
      <c r="W1305" s="2" t="s">
        <v>6671</v>
      </c>
      <c r="X1305" s="2"/>
      <c r="Y1305" s="2"/>
      <c r="Z1305" s="2"/>
      <c r="AA1305" s="2" t="s">
        <v>3243</v>
      </c>
      <c r="AB1305" s="2" t="s">
        <v>3221</v>
      </c>
      <c r="AC1305" s="4" t="s">
        <v>44</v>
      </c>
    </row>
    <row r="1306" spans="1:29" x14ac:dyDescent="0.25">
      <c r="A1306" s="1">
        <v>3161</v>
      </c>
      <c r="B1306" s="17" t="s">
        <v>6672</v>
      </c>
      <c r="C1306" s="2" t="s">
        <v>4025</v>
      </c>
      <c r="D1306" s="15" t="s">
        <v>4026</v>
      </c>
      <c r="E1306" s="9" t="s">
        <v>698</v>
      </c>
      <c r="F1306" s="9" t="s">
        <v>3911</v>
      </c>
      <c r="G1306" s="9" t="s">
        <v>332</v>
      </c>
      <c r="H1306" s="2" t="s">
        <v>60</v>
      </c>
      <c r="I1306" s="3">
        <v>35549</v>
      </c>
      <c r="J1306" s="9" t="str">
        <f t="shared" ca="1" si="22"/>
        <v>26 ans</v>
      </c>
      <c r="K1306" s="2" t="s">
        <v>36</v>
      </c>
      <c r="L1306" s="2" t="str">
        <f>"123"</f>
        <v>123</v>
      </c>
      <c r="M1306" s="2"/>
      <c r="N1306" s="2" t="str">
        <f>"CROIS CHÂTELOIS"</f>
        <v>CROIS CHÂTELOIS</v>
      </c>
      <c r="O1306" s="2" t="s">
        <v>3185</v>
      </c>
      <c r="P1306" s="9" t="str">
        <f>VLOOKUP($O1306,'Liste des Villes'!$B$2:$B$1128,1,FALSE)</f>
        <v>Saint-Jérôme</v>
      </c>
      <c r="Q1306" s="9" t="str">
        <f>IFERROR($P1306,PROPER(VLOOKUP($O1306,'Villes en erreur'!$A$2:$B$72,2,FALSE)))</f>
        <v>Saint-Jérôme</v>
      </c>
      <c r="R1306" s="9" t="s">
        <v>3186</v>
      </c>
      <c r="S1306" s="9" t="str">
        <f>IF(ISBLANK($R1306),"",VLOOKUP($R1306,'Liste des Villes'!$B$2:$H$1128,4,FALSE))</f>
        <v>Laurentides</v>
      </c>
      <c r="T1306" s="2" t="s">
        <v>3740</v>
      </c>
      <c r="U1306" s="2" t="s">
        <v>39</v>
      </c>
      <c r="V1306" s="2" t="s">
        <v>40</v>
      </c>
      <c r="W1306" s="2" t="s">
        <v>6673</v>
      </c>
      <c r="X1306" s="2"/>
      <c r="Y1306" s="2"/>
      <c r="Z1306" s="2"/>
      <c r="AA1306" s="2" t="s">
        <v>3199</v>
      </c>
      <c r="AB1306" s="2" t="s">
        <v>3221</v>
      </c>
      <c r="AC1306" s="4" t="s">
        <v>44</v>
      </c>
    </row>
    <row r="1307" spans="1:29" x14ac:dyDescent="0.25">
      <c r="A1307" s="1">
        <v>4095</v>
      </c>
      <c r="B1307" s="17" t="s">
        <v>6674</v>
      </c>
      <c r="C1307" s="2" t="s">
        <v>6675</v>
      </c>
      <c r="D1307" s="15" t="s">
        <v>6676</v>
      </c>
      <c r="E1307" s="9" t="s">
        <v>1024</v>
      </c>
      <c r="F1307" s="9" t="s">
        <v>1845</v>
      </c>
      <c r="G1307" s="9" t="s">
        <v>635</v>
      </c>
      <c r="H1307" s="2" t="s">
        <v>35</v>
      </c>
      <c r="I1307" s="3">
        <v>33876</v>
      </c>
      <c r="J1307" s="9" t="str">
        <f t="shared" ca="1" si="22"/>
        <v>30 ans</v>
      </c>
      <c r="K1307" s="2" t="s">
        <v>36</v>
      </c>
      <c r="L1307" s="2" t="str">
        <f>"40"</f>
        <v>40</v>
      </c>
      <c r="M1307" s="2"/>
      <c r="N1307" s="2" t="str">
        <f>"AVENUE FORGET"</f>
        <v>AVENUE FORGET</v>
      </c>
      <c r="O1307" s="2" t="s">
        <v>3185</v>
      </c>
      <c r="P1307" s="9" t="str">
        <f>VLOOKUP($O1307,'Liste des Villes'!$B$2:$B$1128,1,FALSE)</f>
        <v>Saint-Jérôme</v>
      </c>
      <c r="Q1307" s="9" t="str">
        <f>IFERROR($P1307,PROPER(VLOOKUP($O1307,'Villes en erreur'!$A$2:$B$72,2,FALSE)))</f>
        <v>Saint-Jérôme</v>
      </c>
      <c r="R1307" s="9" t="s">
        <v>3186</v>
      </c>
      <c r="S1307" s="9" t="str">
        <f>IF(ISBLANK($R1307),"",VLOOKUP($R1307,'Liste des Villes'!$B$2:$H$1128,4,FALSE))</f>
        <v>Laurentides</v>
      </c>
      <c r="T1307" s="2" t="s">
        <v>3093</v>
      </c>
      <c r="U1307" s="2" t="s">
        <v>39</v>
      </c>
      <c r="V1307" s="2" t="s">
        <v>40</v>
      </c>
      <c r="W1307" s="2" t="s">
        <v>6677</v>
      </c>
      <c r="X1307" s="2"/>
      <c r="Y1307" s="2"/>
      <c r="Z1307" s="2"/>
      <c r="AA1307" s="2" t="s">
        <v>3207</v>
      </c>
      <c r="AB1307" s="2" t="s">
        <v>53</v>
      </c>
      <c r="AC1307" s="4" t="s">
        <v>44</v>
      </c>
    </row>
    <row r="1308" spans="1:29" x14ac:dyDescent="0.25">
      <c r="A1308" s="1">
        <v>2156</v>
      </c>
      <c r="B1308" s="17" t="s">
        <v>6678</v>
      </c>
      <c r="C1308" s="2" t="s">
        <v>2286</v>
      </c>
      <c r="D1308" s="15" t="s">
        <v>1951</v>
      </c>
      <c r="E1308" s="9" t="s">
        <v>186</v>
      </c>
      <c r="F1308" s="9" t="s">
        <v>1950</v>
      </c>
      <c r="G1308" s="9" t="s">
        <v>186</v>
      </c>
      <c r="H1308" s="2" t="s">
        <v>60</v>
      </c>
      <c r="I1308" s="3">
        <v>34814</v>
      </c>
      <c r="J1308" s="9" t="str">
        <f t="shared" ca="1" si="22"/>
        <v>28 ans</v>
      </c>
      <c r="K1308" s="2" t="s">
        <v>36</v>
      </c>
      <c r="L1308" s="2" t="str">
        <f>"79"</f>
        <v>79</v>
      </c>
      <c r="M1308" s="2"/>
      <c r="N1308" s="2" t="str">
        <f>"CH DES EAUX"</f>
        <v>CH DES EAUX</v>
      </c>
      <c r="O1308" s="2" t="s">
        <v>3185</v>
      </c>
      <c r="P1308" s="9" t="str">
        <f>VLOOKUP($O1308,'Liste des Villes'!$B$2:$B$1128,1,FALSE)</f>
        <v>Saint-Jérôme</v>
      </c>
      <c r="Q1308" s="9" t="str">
        <f>IFERROR($P1308,PROPER(VLOOKUP($O1308,'Villes en erreur'!$A$2:$B$72,2,FALSE)))</f>
        <v>Saint-Jérôme</v>
      </c>
      <c r="R1308" s="9" t="s">
        <v>3186</v>
      </c>
      <c r="S1308" s="9" t="str">
        <f>IF(ISBLANK($R1308),"",VLOOKUP($R1308,'Liste des Villes'!$B$2:$H$1128,4,FALSE))</f>
        <v>Laurentides</v>
      </c>
      <c r="T1308" s="2" t="s">
        <v>3187</v>
      </c>
      <c r="U1308" s="2" t="s">
        <v>39</v>
      </c>
      <c r="V1308" s="2" t="s">
        <v>40</v>
      </c>
      <c r="W1308" s="2" t="s">
        <v>6679</v>
      </c>
      <c r="X1308" s="2"/>
      <c r="Y1308" s="2"/>
      <c r="Z1308" s="2"/>
      <c r="AA1308" s="2" t="s">
        <v>3225</v>
      </c>
      <c r="AB1308" s="2" t="s">
        <v>53</v>
      </c>
      <c r="AC1308" s="4" t="s">
        <v>44</v>
      </c>
    </row>
    <row r="1309" spans="1:29" x14ac:dyDescent="0.25">
      <c r="A1309" s="1">
        <v>1665</v>
      </c>
      <c r="B1309" s="17" t="s">
        <v>6680</v>
      </c>
      <c r="C1309" s="2" t="s">
        <v>6681</v>
      </c>
      <c r="D1309" s="15" t="s">
        <v>6682</v>
      </c>
      <c r="E1309" s="9" t="s">
        <v>219</v>
      </c>
      <c r="F1309" s="9" t="s">
        <v>6583</v>
      </c>
      <c r="G1309" s="9" t="s">
        <v>643</v>
      </c>
      <c r="H1309" s="2" t="s">
        <v>60</v>
      </c>
      <c r="I1309" s="3">
        <v>34938</v>
      </c>
      <c r="J1309" s="9" t="str">
        <f t="shared" ca="1" si="22"/>
        <v>27 ans</v>
      </c>
      <c r="K1309" s="2" t="s">
        <v>36</v>
      </c>
      <c r="L1309" s="2" t="str">
        <f>"86"</f>
        <v>86</v>
      </c>
      <c r="M1309" s="2"/>
      <c r="N1309" s="2" t="str">
        <f>"CH DU COTEAU-DES-HÊTRES S"</f>
        <v>CH DU COTEAU-DES-HÊTRES S</v>
      </c>
      <c r="O1309" s="2" t="s">
        <v>3185</v>
      </c>
      <c r="P1309" s="9" t="str">
        <f>VLOOKUP($O1309,'Liste des Villes'!$B$2:$B$1128,1,FALSE)</f>
        <v>Saint-Jérôme</v>
      </c>
      <c r="Q1309" s="9" t="str">
        <f>IFERROR($P1309,PROPER(VLOOKUP($O1309,'Villes en erreur'!$A$2:$B$72,2,FALSE)))</f>
        <v>Saint-Jérôme</v>
      </c>
      <c r="R1309" s="9" t="s">
        <v>3186</v>
      </c>
      <c r="S1309" s="9" t="str">
        <f>IF(ISBLANK($R1309),"",VLOOKUP($R1309,'Liste des Villes'!$B$2:$H$1128,4,FALSE))</f>
        <v>Laurentides</v>
      </c>
      <c r="T1309" s="2" t="s">
        <v>3187</v>
      </c>
      <c r="U1309" s="2" t="s">
        <v>39</v>
      </c>
      <c r="V1309" s="2" t="s">
        <v>40</v>
      </c>
      <c r="W1309" s="2" t="s">
        <v>6683</v>
      </c>
      <c r="X1309" s="2"/>
      <c r="Y1309" s="2"/>
      <c r="Z1309" s="2"/>
      <c r="AA1309" s="2" t="s">
        <v>3231</v>
      </c>
      <c r="AB1309" s="2" t="s">
        <v>53</v>
      </c>
      <c r="AC1309" s="4" t="s">
        <v>44</v>
      </c>
    </row>
    <row r="1310" spans="1:29" x14ac:dyDescent="0.25">
      <c r="A1310" s="1">
        <v>1015</v>
      </c>
      <c r="B1310" s="17" t="s">
        <v>6684</v>
      </c>
      <c r="C1310" s="2" t="s">
        <v>6685</v>
      </c>
      <c r="D1310" s="15" t="s">
        <v>164</v>
      </c>
      <c r="E1310" s="9" t="s">
        <v>6686</v>
      </c>
      <c r="F1310" s="9" t="s">
        <v>2785</v>
      </c>
      <c r="G1310" s="9" t="s">
        <v>6687</v>
      </c>
      <c r="H1310" s="2" t="s">
        <v>35</v>
      </c>
      <c r="I1310" s="3">
        <v>35645</v>
      </c>
      <c r="J1310" s="9" t="str">
        <f t="shared" ca="1" si="22"/>
        <v>26 ans</v>
      </c>
      <c r="K1310" s="2" t="s">
        <v>36</v>
      </c>
      <c r="L1310" s="2" t="str">
        <f>"131"</f>
        <v>131</v>
      </c>
      <c r="M1310" s="2"/>
      <c r="N1310" s="2" t="str">
        <f>"DE MONTBÉLIARD BLVD"</f>
        <v>DE MONTBÉLIARD BLVD</v>
      </c>
      <c r="O1310" s="2" t="s">
        <v>3185</v>
      </c>
      <c r="P1310" s="9" t="str">
        <f>VLOOKUP($O1310,'Liste des Villes'!$B$2:$B$1128,1,FALSE)</f>
        <v>Saint-Jérôme</v>
      </c>
      <c r="Q1310" s="9" t="str">
        <f>IFERROR($P1310,PROPER(VLOOKUP($O1310,'Villes en erreur'!$A$2:$B$72,2,FALSE)))</f>
        <v>Saint-Jérôme</v>
      </c>
      <c r="R1310" s="9" t="s">
        <v>3186</v>
      </c>
      <c r="S1310" s="9" t="str">
        <f>IF(ISBLANK($R1310),"",VLOOKUP($R1310,'Liste des Villes'!$B$2:$H$1128,4,FALSE))</f>
        <v>Laurentides</v>
      </c>
      <c r="T1310" s="2" t="s">
        <v>6688</v>
      </c>
      <c r="U1310" s="2" t="s">
        <v>39</v>
      </c>
      <c r="V1310" s="2" t="s">
        <v>40</v>
      </c>
      <c r="W1310" s="2" t="s">
        <v>6689</v>
      </c>
      <c r="X1310" s="2"/>
      <c r="Y1310" s="2"/>
      <c r="Z1310" s="2"/>
      <c r="AA1310" s="2" t="s">
        <v>3243</v>
      </c>
      <c r="AB1310" s="2" t="s">
        <v>3221</v>
      </c>
      <c r="AC1310" s="4" t="s">
        <v>44</v>
      </c>
    </row>
    <row r="1311" spans="1:29" x14ac:dyDescent="0.25">
      <c r="A1311" s="1">
        <v>192</v>
      </c>
      <c r="B1311" s="17" t="s">
        <v>6690</v>
      </c>
      <c r="C1311" s="2" t="s">
        <v>6691</v>
      </c>
      <c r="D1311" s="15" t="s">
        <v>6692</v>
      </c>
      <c r="E1311" s="9" t="s">
        <v>6693</v>
      </c>
      <c r="F1311" s="9" t="s">
        <v>6694</v>
      </c>
      <c r="G1311" s="9" t="s">
        <v>92</v>
      </c>
      <c r="H1311" s="2" t="s">
        <v>35</v>
      </c>
      <c r="I1311" s="3">
        <v>35436</v>
      </c>
      <c r="J1311" s="9" t="str">
        <f t="shared" ca="1" si="22"/>
        <v>26 ans</v>
      </c>
      <c r="K1311" s="2" t="s">
        <v>36</v>
      </c>
      <c r="L1311" s="2" t="str">
        <f>"115"</f>
        <v>115</v>
      </c>
      <c r="M1311" s="2"/>
      <c r="N1311" s="2" t="str">
        <f>"CHEMIN DU MUSÉE"</f>
        <v>CHEMIN DU MUSÉE</v>
      </c>
      <c r="O1311" s="2" t="s">
        <v>3185</v>
      </c>
      <c r="P1311" s="9" t="str">
        <f>VLOOKUP($O1311,'Liste des Villes'!$B$2:$B$1128,1,FALSE)</f>
        <v>Saint-Jérôme</v>
      </c>
      <c r="Q1311" s="9" t="str">
        <f>IFERROR($P1311,PROPER(VLOOKUP($O1311,'Villes en erreur'!$A$2:$B$72,2,FALSE)))</f>
        <v>Saint-Jérôme</v>
      </c>
      <c r="R1311" s="9" t="s">
        <v>3186</v>
      </c>
      <c r="S1311" s="9" t="str">
        <f>IF(ISBLANK($R1311),"",VLOOKUP($R1311,'Liste des Villes'!$B$2:$H$1128,4,FALSE))</f>
        <v>Laurentides</v>
      </c>
      <c r="T1311" s="2" t="s">
        <v>3369</v>
      </c>
      <c r="U1311" s="2" t="s">
        <v>39</v>
      </c>
      <c r="V1311" s="2" t="s">
        <v>40</v>
      </c>
      <c r="W1311" s="2" t="s">
        <v>6695</v>
      </c>
      <c r="X1311" s="2"/>
      <c r="Y1311" s="2"/>
      <c r="Z1311" s="2"/>
      <c r="AA1311" s="2" t="s">
        <v>3199</v>
      </c>
      <c r="AB1311" s="2" t="s">
        <v>3200</v>
      </c>
      <c r="AC1311" s="4" t="s">
        <v>44</v>
      </c>
    </row>
    <row r="1312" spans="1:29" x14ac:dyDescent="0.25">
      <c r="A1312" s="1">
        <v>1729</v>
      </c>
      <c r="B1312" s="17" t="s">
        <v>6696</v>
      </c>
      <c r="C1312" s="2" t="s">
        <v>5947</v>
      </c>
      <c r="D1312" s="15" t="s">
        <v>5948</v>
      </c>
      <c r="E1312" s="9" t="s">
        <v>325</v>
      </c>
      <c r="F1312" s="9" t="s">
        <v>1167</v>
      </c>
      <c r="G1312" s="9" t="s">
        <v>1560</v>
      </c>
      <c r="H1312" s="2" t="s">
        <v>35</v>
      </c>
      <c r="I1312" s="3">
        <v>35628</v>
      </c>
      <c r="J1312" s="9" t="str">
        <f t="shared" ca="1" si="22"/>
        <v>26 ans</v>
      </c>
      <c r="K1312" s="2" t="s">
        <v>36</v>
      </c>
      <c r="L1312" s="2" t="str">
        <f>"130"</f>
        <v>130</v>
      </c>
      <c r="M1312" s="2"/>
      <c r="N1312" s="2" t="str">
        <f>"DE LA TURQUOISE"</f>
        <v>DE LA TURQUOISE</v>
      </c>
      <c r="O1312" s="2" t="s">
        <v>3185</v>
      </c>
      <c r="P1312" s="9" t="str">
        <f>VLOOKUP($O1312,'Liste des Villes'!$B$2:$B$1128,1,FALSE)</f>
        <v>Saint-Jérôme</v>
      </c>
      <c r="Q1312" s="9" t="str">
        <f>IFERROR($P1312,PROPER(VLOOKUP($O1312,'Villes en erreur'!$A$2:$B$72,2,FALSE)))</f>
        <v>Saint-Jérôme</v>
      </c>
      <c r="R1312" s="9" t="s">
        <v>3186</v>
      </c>
      <c r="S1312" s="9" t="str">
        <f>IF(ISBLANK($R1312),"",VLOOKUP($R1312,'Liste des Villes'!$B$2:$H$1128,4,FALSE))</f>
        <v>Laurentides</v>
      </c>
      <c r="T1312" s="2" t="s">
        <v>3839</v>
      </c>
      <c r="U1312" s="2" t="s">
        <v>39</v>
      </c>
      <c r="V1312" s="2" t="s">
        <v>40</v>
      </c>
      <c r="W1312" s="2" t="s">
        <v>6697</v>
      </c>
      <c r="X1312" s="2"/>
      <c r="Y1312" s="2"/>
      <c r="Z1312" s="2"/>
      <c r="AA1312" s="2" t="s">
        <v>3243</v>
      </c>
      <c r="AB1312" s="2" t="s">
        <v>3221</v>
      </c>
      <c r="AC1312" s="4" t="s">
        <v>44</v>
      </c>
    </row>
    <row r="1313" spans="1:29" x14ac:dyDescent="0.25">
      <c r="A1313" s="1">
        <v>1357</v>
      </c>
      <c r="B1313" s="17" t="s">
        <v>6698</v>
      </c>
      <c r="C1313" s="2" t="s">
        <v>4274</v>
      </c>
      <c r="D1313" s="15" t="s">
        <v>2423</v>
      </c>
      <c r="E1313" s="9" t="s">
        <v>495</v>
      </c>
      <c r="F1313" s="9" t="s">
        <v>2421</v>
      </c>
      <c r="G1313" s="9" t="s">
        <v>495</v>
      </c>
      <c r="H1313" s="2" t="s">
        <v>35</v>
      </c>
      <c r="I1313" s="3">
        <v>34707</v>
      </c>
      <c r="J1313" s="9" t="str">
        <f t="shared" ca="1" si="22"/>
        <v>28 ans</v>
      </c>
      <c r="K1313" s="2" t="s">
        <v>36</v>
      </c>
      <c r="L1313" s="2" t="str">
        <f>"71"</f>
        <v>71</v>
      </c>
      <c r="M1313" s="2"/>
      <c r="N1313" s="2" t="str">
        <f>"CH DE L'ANCIENNE-ÉRABLIÈRE"</f>
        <v>CH DE L'ANCIENNE-ÉRABLIÈRE</v>
      </c>
      <c r="O1313" s="2" t="s">
        <v>3186</v>
      </c>
      <c r="P1313" s="9" t="str">
        <f>VLOOKUP($O1313,'Liste des Villes'!$B$2:$B$1128,1,FALSE)</f>
        <v>Saint-Jérôme</v>
      </c>
      <c r="Q1313" s="9" t="str">
        <f>IFERROR($P1313,PROPER(VLOOKUP($O1313,'Villes en erreur'!$A$2:$B$72,2,FALSE)))</f>
        <v>Saint-Jérôme</v>
      </c>
      <c r="R1313" s="9" t="s">
        <v>3186</v>
      </c>
      <c r="S1313" s="9" t="str">
        <f>IF(ISBLANK($R1313),"",VLOOKUP($R1313,'Liste des Villes'!$B$2:$H$1128,4,FALSE))</f>
        <v>Laurentides</v>
      </c>
      <c r="T1313" s="2" t="s">
        <v>4119</v>
      </c>
      <c r="U1313" s="2" t="s">
        <v>39</v>
      </c>
      <c r="V1313" s="2" t="s">
        <v>40</v>
      </c>
      <c r="W1313" s="2" t="s">
        <v>6699</v>
      </c>
      <c r="X1313" s="2"/>
      <c r="Y1313" s="2"/>
      <c r="Z1313" s="2"/>
      <c r="AA1313" s="2" t="s">
        <v>3225</v>
      </c>
      <c r="AB1313" s="2" t="s">
        <v>53</v>
      </c>
      <c r="AC1313" s="4" t="s">
        <v>44</v>
      </c>
    </row>
    <row r="1314" spans="1:29" x14ac:dyDescent="0.25">
      <c r="A1314" s="1">
        <v>874</v>
      </c>
      <c r="B1314" s="17" t="s">
        <v>6700</v>
      </c>
      <c r="C1314" s="2" t="s">
        <v>6701</v>
      </c>
      <c r="D1314" s="15" t="s">
        <v>6702</v>
      </c>
      <c r="E1314" s="9" t="s">
        <v>6703</v>
      </c>
      <c r="F1314" s="9" t="s">
        <v>6704</v>
      </c>
      <c r="G1314" s="9" t="s">
        <v>2635</v>
      </c>
      <c r="H1314" s="2" t="s">
        <v>60</v>
      </c>
      <c r="I1314" s="3">
        <v>35783</v>
      </c>
      <c r="J1314" s="9" t="str">
        <f t="shared" ca="1" si="22"/>
        <v>25 ans</v>
      </c>
      <c r="K1314" s="2" t="s">
        <v>123</v>
      </c>
      <c r="L1314" s="2" t="str">
        <f>"142"</f>
        <v>142</v>
      </c>
      <c r="M1314" s="2"/>
      <c r="N1314" s="2" t="str">
        <f>"GRANDE ALLÉE"</f>
        <v>GRANDE ALLÉE</v>
      </c>
      <c r="O1314" s="2" t="s">
        <v>3185</v>
      </c>
      <c r="P1314" s="9" t="str">
        <f>VLOOKUP($O1314,'Liste des Villes'!$B$2:$B$1128,1,FALSE)</f>
        <v>Saint-Jérôme</v>
      </c>
      <c r="Q1314" s="9" t="str">
        <f>IFERROR($P1314,PROPER(VLOOKUP($O1314,'Villes en erreur'!$A$2:$B$72,2,FALSE)))</f>
        <v>Saint-Jérôme</v>
      </c>
      <c r="R1314" s="9" t="s">
        <v>3186</v>
      </c>
      <c r="S1314" s="9" t="str">
        <f>IF(ISBLANK($R1314),"",VLOOKUP($R1314,'Liste des Villes'!$B$2:$H$1128,4,FALSE))</f>
        <v>Laurentides</v>
      </c>
      <c r="T1314" s="2" t="s">
        <v>4299</v>
      </c>
      <c r="U1314" s="2" t="s">
        <v>39</v>
      </c>
      <c r="V1314" s="2" t="s">
        <v>40</v>
      </c>
      <c r="W1314" s="2" t="s">
        <v>6705</v>
      </c>
      <c r="X1314" s="2"/>
      <c r="Y1314" s="2"/>
      <c r="Z1314" s="2"/>
      <c r="AA1314" s="2" t="s">
        <v>3243</v>
      </c>
      <c r="AB1314" s="2" t="s">
        <v>3221</v>
      </c>
      <c r="AC1314" s="4" t="s">
        <v>44</v>
      </c>
    </row>
    <row r="1315" spans="1:29" x14ac:dyDescent="0.25">
      <c r="A1315" s="1">
        <v>4346</v>
      </c>
      <c r="B1315" s="17" t="s">
        <v>6706</v>
      </c>
      <c r="C1315" s="2" t="s">
        <v>6707</v>
      </c>
      <c r="D1315" s="15" t="s">
        <v>4653</v>
      </c>
      <c r="E1315" s="9" t="s">
        <v>956</v>
      </c>
      <c r="F1315" s="9" t="s">
        <v>6708</v>
      </c>
      <c r="G1315" s="9" t="s">
        <v>179</v>
      </c>
      <c r="H1315" s="2" t="s">
        <v>60</v>
      </c>
      <c r="I1315" s="3">
        <v>36125</v>
      </c>
      <c r="J1315" s="9" t="str">
        <f t="shared" ca="1" si="22"/>
        <v>24 ans</v>
      </c>
      <c r="K1315" s="2" t="s">
        <v>123</v>
      </c>
      <c r="L1315" s="2" t="str">
        <f>"215"</f>
        <v>215</v>
      </c>
      <c r="M1315" s="2"/>
      <c r="N1315" s="2" t="str">
        <f>"RUE ADÈLE"</f>
        <v>RUE ADÈLE</v>
      </c>
      <c r="O1315" s="2" t="s">
        <v>3185</v>
      </c>
      <c r="P1315" s="9" t="str">
        <f>VLOOKUP($O1315,'Liste des Villes'!$B$2:$B$1128,1,FALSE)</f>
        <v>Saint-Jérôme</v>
      </c>
      <c r="Q1315" s="9" t="str">
        <f>IFERROR($P1315,PROPER(VLOOKUP($O1315,'Villes en erreur'!$A$2:$B$72,2,FALSE)))</f>
        <v>Saint-Jérôme</v>
      </c>
      <c r="R1315" s="9" t="s">
        <v>3186</v>
      </c>
      <c r="S1315" s="9" t="str">
        <f>IF(ISBLANK($R1315),"",VLOOKUP($R1315,'Liste des Villes'!$B$2:$H$1128,4,FALSE))</f>
        <v>Laurentides</v>
      </c>
      <c r="T1315" s="2" t="s">
        <v>6709</v>
      </c>
      <c r="U1315" s="2" t="s">
        <v>39</v>
      </c>
      <c r="V1315" s="2" t="s">
        <v>40</v>
      </c>
      <c r="W1315" s="2" t="s">
        <v>6710</v>
      </c>
      <c r="X1315" s="2"/>
      <c r="Y1315" s="2"/>
      <c r="Z1315" s="2"/>
      <c r="AA1315" s="2" t="s">
        <v>832</v>
      </c>
      <c r="AB1315" s="2" t="s">
        <v>3221</v>
      </c>
      <c r="AC1315" s="4" t="s">
        <v>44</v>
      </c>
    </row>
    <row r="1316" spans="1:29" x14ac:dyDescent="0.25">
      <c r="A1316" s="1">
        <v>497</v>
      </c>
      <c r="B1316" s="17" t="s">
        <v>6711</v>
      </c>
      <c r="C1316" s="2" t="s">
        <v>3102</v>
      </c>
      <c r="D1316" s="15" t="s">
        <v>657</v>
      </c>
      <c r="E1316" s="9" t="s">
        <v>452</v>
      </c>
      <c r="F1316" s="9" t="s">
        <v>3035</v>
      </c>
      <c r="G1316" s="9" t="s">
        <v>495</v>
      </c>
      <c r="H1316" s="2" t="s">
        <v>35</v>
      </c>
      <c r="I1316" s="3">
        <v>34676</v>
      </c>
      <c r="J1316" s="9" t="str">
        <f t="shared" ca="1" si="22"/>
        <v>28 ans</v>
      </c>
      <c r="K1316" s="2" t="s">
        <v>36</v>
      </c>
      <c r="L1316" s="2" t="str">
        <f>"70"</f>
        <v>70</v>
      </c>
      <c r="M1316" s="2"/>
      <c r="N1316" s="2" t="str">
        <f>"CH DE LA RIVIÈRE-DU-NORD"</f>
        <v>CH DE LA RIVIÈRE-DU-NORD</v>
      </c>
      <c r="O1316" s="2" t="s">
        <v>3185</v>
      </c>
      <c r="P1316" s="9" t="str">
        <f>VLOOKUP($O1316,'Liste des Villes'!$B$2:$B$1128,1,FALSE)</f>
        <v>Saint-Jérôme</v>
      </c>
      <c r="Q1316" s="9" t="str">
        <f>IFERROR($P1316,PROPER(VLOOKUP($O1316,'Villes en erreur'!$A$2:$B$72,2,FALSE)))</f>
        <v>Saint-Jérôme</v>
      </c>
      <c r="R1316" s="9" t="s">
        <v>3186</v>
      </c>
      <c r="S1316" s="9" t="str">
        <f>IF(ISBLANK($R1316),"",VLOOKUP($R1316,'Liste des Villes'!$B$2:$H$1128,4,FALSE))</f>
        <v>Laurentides</v>
      </c>
      <c r="T1316" s="2" t="s">
        <v>4119</v>
      </c>
      <c r="U1316" s="2" t="s">
        <v>39</v>
      </c>
      <c r="V1316" s="2" t="s">
        <v>40</v>
      </c>
      <c r="W1316" s="2" t="s">
        <v>6712</v>
      </c>
      <c r="X1316" s="2"/>
      <c r="Y1316" s="2"/>
      <c r="Z1316" s="2"/>
      <c r="AA1316" s="2" t="s">
        <v>3225</v>
      </c>
      <c r="AB1316" s="2" t="s">
        <v>53</v>
      </c>
      <c r="AC1316" s="4" t="s">
        <v>44</v>
      </c>
    </row>
    <row r="1317" spans="1:29" x14ac:dyDescent="0.25">
      <c r="A1317" s="1">
        <v>1990</v>
      </c>
      <c r="B1317" s="17" t="s">
        <v>6713</v>
      </c>
      <c r="C1317" s="2" t="s">
        <v>1806</v>
      </c>
      <c r="D1317" s="15" t="s">
        <v>1807</v>
      </c>
      <c r="E1317" s="9" t="s">
        <v>1410</v>
      </c>
      <c r="F1317" s="9" t="s">
        <v>6714</v>
      </c>
      <c r="G1317" s="9" t="s">
        <v>179</v>
      </c>
      <c r="H1317" s="2" t="s">
        <v>60</v>
      </c>
      <c r="I1317" s="3">
        <v>36101</v>
      </c>
      <c r="J1317" s="9" t="str">
        <f t="shared" ca="1" si="22"/>
        <v>24 ans</v>
      </c>
      <c r="K1317" s="2" t="s">
        <v>123</v>
      </c>
      <c r="L1317" s="2" t="str">
        <f>"208"</f>
        <v>208</v>
      </c>
      <c r="M1317" s="2"/>
      <c r="N1317" s="2" t="str">
        <f>"ROUTE SIR WILFRID LAURIER"</f>
        <v>ROUTE SIR WILFRID LAURIER</v>
      </c>
      <c r="O1317" s="2" t="s">
        <v>3185</v>
      </c>
      <c r="P1317" s="9" t="str">
        <f>VLOOKUP($O1317,'Liste des Villes'!$B$2:$B$1128,1,FALSE)</f>
        <v>Saint-Jérôme</v>
      </c>
      <c r="Q1317" s="9" t="str">
        <f>IFERROR($P1317,PROPER(VLOOKUP($O1317,'Villes en erreur'!$A$2:$B$72,2,FALSE)))</f>
        <v>Saint-Jérôme</v>
      </c>
      <c r="R1317" s="9" t="s">
        <v>3186</v>
      </c>
      <c r="S1317" s="9" t="str">
        <f>IF(ISBLANK($R1317),"",VLOOKUP($R1317,'Liste des Villes'!$B$2:$H$1128,4,FALSE))</f>
        <v>Laurentides</v>
      </c>
      <c r="T1317" s="2" t="s">
        <v>6715</v>
      </c>
      <c r="U1317" s="2" t="s">
        <v>39</v>
      </c>
      <c r="V1317" s="2" t="s">
        <v>40</v>
      </c>
      <c r="W1317" s="2" t="s">
        <v>6716</v>
      </c>
      <c r="X1317" s="2"/>
      <c r="Y1317" s="2"/>
      <c r="Z1317" s="2"/>
      <c r="AA1317" s="2" t="s">
        <v>832</v>
      </c>
      <c r="AB1317" s="2" t="s">
        <v>3221</v>
      </c>
      <c r="AC1317" s="4" t="s">
        <v>44</v>
      </c>
    </row>
    <row r="1318" spans="1:29" x14ac:dyDescent="0.25">
      <c r="A1318" s="1">
        <v>2398</v>
      </c>
      <c r="B1318" s="17" t="s">
        <v>6717</v>
      </c>
      <c r="C1318" s="2" t="s">
        <v>6718</v>
      </c>
      <c r="D1318" s="15" t="s">
        <v>4638</v>
      </c>
      <c r="E1318" s="9" t="s">
        <v>1337</v>
      </c>
      <c r="F1318" s="9" t="s">
        <v>2780</v>
      </c>
      <c r="G1318" s="9" t="s">
        <v>3218</v>
      </c>
      <c r="H1318" s="2" t="s">
        <v>60</v>
      </c>
      <c r="I1318" s="3">
        <v>34265</v>
      </c>
      <c r="J1318" s="9" t="str">
        <f t="shared" ca="1" si="22"/>
        <v>29 ans</v>
      </c>
      <c r="K1318" s="2" t="s">
        <v>36</v>
      </c>
      <c r="L1318" s="2" t="str">
        <f>"50"</f>
        <v>50</v>
      </c>
      <c r="M1318" s="2"/>
      <c r="N1318" s="2" t="str">
        <f>"BOULEVARD DU ROI-CHARLES"</f>
        <v>BOULEVARD DU ROI-CHARLES</v>
      </c>
      <c r="O1318" s="2" t="s">
        <v>3185</v>
      </c>
      <c r="P1318" s="9" t="str">
        <f>VLOOKUP($O1318,'Liste des Villes'!$B$2:$B$1128,1,FALSE)</f>
        <v>Saint-Jérôme</v>
      </c>
      <c r="Q1318" s="9" t="str">
        <f>IFERROR($P1318,PROPER(VLOOKUP($O1318,'Villes en erreur'!$A$2:$B$72,2,FALSE)))</f>
        <v>Saint-Jérôme</v>
      </c>
      <c r="R1318" s="9" t="s">
        <v>3186</v>
      </c>
      <c r="S1318" s="9" t="str">
        <f>IF(ISBLANK($R1318),"",VLOOKUP($R1318,'Liste des Villes'!$B$2:$H$1128,4,FALSE))</f>
        <v>Laurentides</v>
      </c>
      <c r="T1318" s="2" t="s">
        <v>3520</v>
      </c>
      <c r="U1318" s="2" t="s">
        <v>39</v>
      </c>
      <c r="V1318" s="2" t="s">
        <v>40</v>
      </c>
      <c r="W1318" s="2" t="s">
        <v>6719</v>
      </c>
      <c r="X1318" s="2"/>
      <c r="Y1318" s="2"/>
      <c r="Z1318" s="2"/>
      <c r="AA1318" s="2" t="s">
        <v>3360</v>
      </c>
      <c r="AB1318" s="2" t="s">
        <v>53</v>
      </c>
      <c r="AC1318" s="4" t="s">
        <v>44</v>
      </c>
    </row>
    <row r="1319" spans="1:29" x14ac:dyDescent="0.25">
      <c r="A1319" s="1">
        <v>3289</v>
      </c>
      <c r="B1319" s="17" t="s">
        <v>6720</v>
      </c>
      <c r="C1319" s="2" t="s">
        <v>1836</v>
      </c>
      <c r="D1319" s="15" t="s">
        <v>1837</v>
      </c>
      <c r="E1319" s="9" t="s">
        <v>509</v>
      </c>
      <c r="F1319" s="9" t="s">
        <v>510</v>
      </c>
      <c r="G1319" s="9" t="s">
        <v>6721</v>
      </c>
      <c r="H1319" s="2" t="s">
        <v>60</v>
      </c>
      <c r="I1319" s="3">
        <v>35223</v>
      </c>
      <c r="J1319" s="9" t="str">
        <f t="shared" ca="1" si="22"/>
        <v>27 ans</v>
      </c>
      <c r="K1319" s="2" t="s">
        <v>36</v>
      </c>
      <c r="L1319" s="2" t="str">
        <f>"105"</f>
        <v>105</v>
      </c>
      <c r="M1319" s="2"/>
      <c r="N1319" s="2" t="str">
        <f>"ch. Lac Bertrand"</f>
        <v>ch. Lac Bertrand</v>
      </c>
      <c r="O1319" s="2" t="s">
        <v>3185</v>
      </c>
      <c r="P1319" s="9" t="str">
        <f>VLOOKUP($O1319,'Liste des Villes'!$B$2:$B$1128,1,FALSE)</f>
        <v>Saint-Jérôme</v>
      </c>
      <c r="Q1319" s="9" t="str">
        <f>IFERROR($P1319,PROPER(VLOOKUP($O1319,'Villes en erreur'!$A$2:$B$72,2,FALSE)))</f>
        <v>Saint-Jérôme</v>
      </c>
      <c r="R1319" s="9" t="s">
        <v>3186</v>
      </c>
      <c r="S1319" s="9" t="str">
        <f>IF(ISBLANK($R1319),"",VLOOKUP($R1319,'Liste des Villes'!$B$2:$H$1128,4,FALSE))</f>
        <v>Laurentides</v>
      </c>
      <c r="T1319" s="2" t="s">
        <v>3187</v>
      </c>
      <c r="U1319" s="2" t="s">
        <v>39</v>
      </c>
      <c r="V1319" s="2" t="s">
        <v>40</v>
      </c>
      <c r="W1319" s="2" t="s">
        <v>6722</v>
      </c>
      <c r="X1319" s="2"/>
      <c r="Y1319" s="2"/>
      <c r="Z1319" s="2"/>
      <c r="AA1319" s="2" t="s">
        <v>3189</v>
      </c>
      <c r="AB1319" s="2" t="s">
        <v>3190</v>
      </c>
      <c r="AC1319" s="4" t="s">
        <v>44</v>
      </c>
    </row>
    <row r="1320" spans="1:29" x14ac:dyDescent="0.25">
      <c r="A1320" s="1">
        <v>1315</v>
      </c>
      <c r="B1320" s="17" t="s">
        <v>6723</v>
      </c>
      <c r="C1320" s="2" t="s">
        <v>1288</v>
      </c>
      <c r="D1320" s="15" t="s">
        <v>601</v>
      </c>
      <c r="E1320" s="9" t="s">
        <v>1289</v>
      </c>
      <c r="F1320" s="9" t="s">
        <v>599</v>
      </c>
      <c r="G1320" s="9" t="s">
        <v>92</v>
      </c>
      <c r="H1320" s="2" t="s">
        <v>35</v>
      </c>
      <c r="I1320" s="3">
        <v>35439</v>
      </c>
      <c r="J1320" s="9" t="str">
        <f t="shared" ca="1" si="22"/>
        <v>26 ans</v>
      </c>
      <c r="K1320" s="2" t="s">
        <v>36</v>
      </c>
      <c r="L1320" s="2" t="str">
        <f>"115"</f>
        <v>115</v>
      </c>
      <c r="M1320" s="2"/>
      <c r="N1320" s="2" t="str">
        <f>"CHEMIN DU TOUR DU LAC"</f>
        <v>CHEMIN DU TOUR DU LAC</v>
      </c>
      <c r="O1320" s="2" t="s">
        <v>3185</v>
      </c>
      <c r="P1320" s="9" t="str">
        <f>VLOOKUP($O1320,'Liste des Villes'!$B$2:$B$1128,1,FALSE)</f>
        <v>Saint-Jérôme</v>
      </c>
      <c r="Q1320" s="9" t="str">
        <f>IFERROR($P1320,PROPER(VLOOKUP($O1320,'Villes en erreur'!$A$2:$B$72,2,FALSE)))</f>
        <v>Saint-Jérôme</v>
      </c>
      <c r="R1320" s="9" t="s">
        <v>3186</v>
      </c>
      <c r="S1320" s="9" t="str">
        <f>IF(ISBLANK($R1320),"",VLOOKUP($R1320,'Liste des Villes'!$B$2:$H$1128,4,FALSE))</f>
        <v>Laurentides</v>
      </c>
      <c r="T1320" s="2" t="s">
        <v>3369</v>
      </c>
      <c r="U1320" s="2" t="s">
        <v>39</v>
      </c>
      <c r="V1320" s="2" t="s">
        <v>40</v>
      </c>
      <c r="W1320" s="2" t="s">
        <v>6724</v>
      </c>
      <c r="X1320" s="2"/>
      <c r="Y1320" s="2"/>
      <c r="Z1320" s="2"/>
      <c r="AA1320" s="2" t="s">
        <v>3199</v>
      </c>
      <c r="AB1320" s="2" t="s">
        <v>3200</v>
      </c>
      <c r="AC1320" s="4" t="s">
        <v>44</v>
      </c>
    </row>
    <row r="1321" spans="1:29" x14ac:dyDescent="0.25">
      <c r="A1321" s="1">
        <v>62</v>
      </c>
      <c r="B1321" s="17" t="s">
        <v>6725</v>
      </c>
      <c r="C1321" s="2" t="s">
        <v>6726</v>
      </c>
      <c r="D1321" s="15" t="s">
        <v>6727</v>
      </c>
      <c r="E1321" s="9" t="s">
        <v>1377</v>
      </c>
      <c r="F1321" s="9" t="s">
        <v>1293</v>
      </c>
      <c r="G1321" s="9" t="s">
        <v>495</v>
      </c>
      <c r="H1321" s="2" t="s">
        <v>35</v>
      </c>
      <c r="I1321" s="3">
        <v>34749</v>
      </c>
      <c r="J1321" s="9" t="str">
        <f t="shared" ca="1" si="22"/>
        <v>28 ans</v>
      </c>
      <c r="K1321" s="2" t="s">
        <v>36</v>
      </c>
      <c r="L1321" s="2" t="str">
        <f>"73"</f>
        <v>73</v>
      </c>
      <c r="M1321" s="2"/>
      <c r="N1321" s="2" t="str">
        <f>"CH DE VAL-DES-LACS"</f>
        <v>CH DE VAL-DES-LACS</v>
      </c>
      <c r="O1321" s="2" t="s">
        <v>3185</v>
      </c>
      <c r="P1321" s="9" t="str">
        <f>VLOOKUP($O1321,'Liste des Villes'!$B$2:$B$1128,1,FALSE)</f>
        <v>Saint-Jérôme</v>
      </c>
      <c r="Q1321" s="9" t="str">
        <f>IFERROR($P1321,PROPER(VLOOKUP($O1321,'Villes en erreur'!$A$2:$B$72,2,FALSE)))</f>
        <v>Saint-Jérôme</v>
      </c>
      <c r="R1321" s="9" t="s">
        <v>3186</v>
      </c>
      <c r="S1321" s="9" t="str">
        <f>IF(ISBLANK($R1321),"",VLOOKUP($R1321,'Liste des Villes'!$B$2:$H$1128,4,FALSE))</f>
        <v>Laurentides</v>
      </c>
      <c r="T1321" s="2" t="s">
        <v>3187</v>
      </c>
      <c r="U1321" s="2" t="s">
        <v>39</v>
      </c>
      <c r="V1321" s="2" t="s">
        <v>40</v>
      </c>
      <c r="W1321" s="2" t="s">
        <v>6728</v>
      </c>
      <c r="X1321" s="2"/>
      <c r="Y1321" s="2"/>
      <c r="Z1321" s="2"/>
      <c r="AA1321" s="2" t="s">
        <v>3225</v>
      </c>
      <c r="AB1321" s="2" t="s">
        <v>53</v>
      </c>
      <c r="AC1321" s="4" t="s">
        <v>44</v>
      </c>
    </row>
    <row r="1322" spans="1:29" x14ac:dyDescent="0.25">
      <c r="A1322" s="1">
        <v>4491</v>
      </c>
      <c r="B1322" s="17" t="s">
        <v>6729</v>
      </c>
      <c r="C1322" s="2" t="s">
        <v>6730</v>
      </c>
      <c r="D1322" s="15" t="s">
        <v>6731</v>
      </c>
      <c r="E1322" s="9" t="s">
        <v>120</v>
      </c>
      <c r="F1322" s="9" t="s">
        <v>6732</v>
      </c>
      <c r="G1322" s="9" t="s">
        <v>1268</v>
      </c>
      <c r="H1322" s="2" t="s">
        <v>35</v>
      </c>
      <c r="I1322" s="3">
        <v>35062</v>
      </c>
      <c r="J1322" s="9" t="str">
        <f t="shared" ca="1" si="22"/>
        <v>27 ans</v>
      </c>
      <c r="K1322" s="2" t="s">
        <v>36</v>
      </c>
      <c r="L1322" s="2" t="str">
        <f>"100"</f>
        <v>100</v>
      </c>
      <c r="M1322" s="2"/>
      <c r="N1322" s="2" t="str">
        <f>"CH DU TOUR-DU-LAC"</f>
        <v>CH DU TOUR-DU-LAC</v>
      </c>
      <c r="O1322" s="2" t="s">
        <v>3185</v>
      </c>
      <c r="P1322" s="9" t="str">
        <f>VLOOKUP($O1322,'Liste des Villes'!$B$2:$B$1128,1,FALSE)</f>
        <v>Saint-Jérôme</v>
      </c>
      <c r="Q1322" s="9" t="str">
        <f>IFERROR($P1322,PROPER(VLOOKUP($O1322,'Villes en erreur'!$A$2:$B$72,2,FALSE)))</f>
        <v>Saint-Jérôme</v>
      </c>
      <c r="R1322" s="9" t="s">
        <v>3186</v>
      </c>
      <c r="S1322" s="9" t="str">
        <f>IF(ISBLANK($R1322),"",VLOOKUP($R1322,'Liste des Villes'!$B$2:$H$1128,4,FALSE))</f>
        <v>Laurentides</v>
      </c>
      <c r="T1322" s="2" t="s">
        <v>3187</v>
      </c>
      <c r="U1322" s="2" t="s">
        <v>39</v>
      </c>
      <c r="V1322" s="2" t="s">
        <v>40</v>
      </c>
      <c r="W1322" s="2" t="s">
        <v>6733</v>
      </c>
      <c r="X1322" s="2"/>
      <c r="Y1322" s="2"/>
      <c r="Z1322" s="2"/>
      <c r="AA1322" s="2" t="s">
        <v>3189</v>
      </c>
      <c r="AB1322" s="2" t="s">
        <v>3190</v>
      </c>
      <c r="AC1322" s="4" t="s">
        <v>44</v>
      </c>
    </row>
    <row r="1323" spans="1:29" x14ac:dyDescent="0.25">
      <c r="A1323" s="1">
        <v>1366</v>
      </c>
      <c r="B1323" s="17" t="s">
        <v>6734</v>
      </c>
      <c r="C1323" s="2" t="s">
        <v>6735</v>
      </c>
      <c r="D1323" s="15" t="s">
        <v>6736</v>
      </c>
      <c r="E1323" s="9" t="s">
        <v>3162</v>
      </c>
      <c r="F1323" s="9" t="s">
        <v>2474</v>
      </c>
      <c r="G1323" s="9" t="s">
        <v>6737</v>
      </c>
      <c r="H1323" s="2" t="s">
        <v>35</v>
      </c>
      <c r="I1323" s="3">
        <v>35829</v>
      </c>
      <c r="J1323" s="9" t="str">
        <f t="shared" ca="1" si="22"/>
        <v>25 ans</v>
      </c>
      <c r="K1323" s="2" t="s">
        <v>123</v>
      </c>
      <c r="L1323" s="2" t="str">
        <f>"145"</f>
        <v>145</v>
      </c>
      <c r="M1323" s="2"/>
      <c r="N1323" s="2" t="str">
        <f>"JÉROBELLE BLVD"</f>
        <v>JÉROBELLE BLVD</v>
      </c>
      <c r="O1323" s="2" t="s">
        <v>3185</v>
      </c>
      <c r="P1323" s="9" t="str">
        <f>VLOOKUP($O1323,'Liste des Villes'!$B$2:$B$1128,1,FALSE)</f>
        <v>Saint-Jérôme</v>
      </c>
      <c r="Q1323" s="9" t="str">
        <f>IFERROR($P1323,PROPER(VLOOKUP($O1323,'Villes en erreur'!$A$2:$B$72,2,FALSE)))</f>
        <v>Saint-Jérôme</v>
      </c>
      <c r="R1323" s="9" t="s">
        <v>3186</v>
      </c>
      <c r="S1323" s="9" t="str">
        <f>IF(ISBLANK($R1323),"",VLOOKUP($R1323,'Liste des Villes'!$B$2:$H$1128,4,FALSE))</f>
        <v>Laurentides</v>
      </c>
      <c r="T1323" s="2" t="s">
        <v>6738</v>
      </c>
      <c r="U1323" s="2" t="s">
        <v>39</v>
      </c>
      <c r="V1323" s="2" t="s">
        <v>40</v>
      </c>
      <c r="W1323" s="2" t="s">
        <v>6739</v>
      </c>
      <c r="X1323" s="2"/>
      <c r="Y1323" s="2"/>
      <c r="Z1323" s="2"/>
      <c r="AA1323" s="2" t="s">
        <v>3243</v>
      </c>
      <c r="AB1323" s="2" t="s">
        <v>3221</v>
      </c>
      <c r="AC1323" s="4" t="s">
        <v>44</v>
      </c>
    </row>
    <row r="1324" spans="1:29" x14ac:dyDescent="0.25">
      <c r="A1324" s="1">
        <v>1948</v>
      </c>
      <c r="B1324" s="17" t="s">
        <v>6740</v>
      </c>
      <c r="C1324" s="2" t="s">
        <v>724</v>
      </c>
      <c r="D1324" s="15" t="s">
        <v>725</v>
      </c>
      <c r="E1324" s="9" t="s">
        <v>253</v>
      </c>
      <c r="F1324" s="9" t="s">
        <v>726</v>
      </c>
      <c r="G1324" s="9" t="s">
        <v>179</v>
      </c>
      <c r="H1324" s="2" t="s">
        <v>60</v>
      </c>
      <c r="I1324" s="3">
        <v>36118</v>
      </c>
      <c r="J1324" s="9" t="str">
        <f t="shared" ca="1" si="22"/>
        <v>24 ans</v>
      </c>
      <c r="K1324" s="2" t="s">
        <v>123</v>
      </c>
      <c r="L1324" s="2" t="str">
        <f>"213"</f>
        <v>213</v>
      </c>
      <c r="M1324" s="2"/>
      <c r="N1324" s="2" t="str">
        <f>"RTE DU CANTON"</f>
        <v>RTE DU CANTON</v>
      </c>
      <c r="O1324" s="2" t="s">
        <v>3185</v>
      </c>
      <c r="P1324" s="9" t="str">
        <f>VLOOKUP($O1324,'Liste des Villes'!$B$2:$B$1128,1,FALSE)</f>
        <v>Saint-Jérôme</v>
      </c>
      <c r="Q1324" s="9" t="str">
        <f>IFERROR($P1324,PROPER(VLOOKUP($O1324,'Villes en erreur'!$A$2:$B$72,2,FALSE)))</f>
        <v>Saint-Jérôme</v>
      </c>
      <c r="R1324" s="9" t="s">
        <v>3186</v>
      </c>
      <c r="S1324" s="9" t="str">
        <f>IF(ISBLANK($R1324),"",VLOOKUP($R1324,'Liste des Villes'!$B$2:$H$1128,4,FALSE))</f>
        <v>Laurentides</v>
      </c>
      <c r="T1324" s="2" t="s">
        <v>6741</v>
      </c>
      <c r="U1324" s="2" t="s">
        <v>39</v>
      </c>
      <c r="V1324" s="2" t="s">
        <v>40</v>
      </c>
      <c r="W1324" s="2" t="s">
        <v>6742</v>
      </c>
      <c r="X1324" s="2"/>
      <c r="Y1324" s="2"/>
      <c r="Z1324" s="2"/>
      <c r="AA1324" s="2" t="s">
        <v>832</v>
      </c>
      <c r="AB1324" s="2" t="s">
        <v>3221</v>
      </c>
      <c r="AC1324" s="4" t="s">
        <v>44</v>
      </c>
    </row>
    <row r="1325" spans="1:29" x14ac:dyDescent="0.25">
      <c r="A1325" s="1">
        <v>3270</v>
      </c>
      <c r="B1325" s="17" t="s">
        <v>6743</v>
      </c>
      <c r="C1325" s="2" t="s">
        <v>6744</v>
      </c>
      <c r="D1325" s="15" t="s">
        <v>6745</v>
      </c>
      <c r="E1325" s="9" t="s">
        <v>332</v>
      </c>
      <c r="F1325" s="9" t="s">
        <v>6746</v>
      </c>
      <c r="G1325" s="9" t="s">
        <v>2764</v>
      </c>
      <c r="H1325" s="2" t="s">
        <v>35</v>
      </c>
      <c r="I1325" s="3">
        <v>36147</v>
      </c>
      <c r="J1325" s="9" t="str">
        <f t="shared" ca="1" si="22"/>
        <v>24 ans</v>
      </c>
      <c r="K1325" s="2" t="s">
        <v>123</v>
      </c>
      <c r="L1325" s="2" t="str">
        <f>"220"</f>
        <v>220</v>
      </c>
      <c r="M1325" s="2"/>
      <c r="N1325" s="2" t="str">
        <f>"RUE ALBERT-BÉLISLE"</f>
        <v>RUE ALBERT-BÉLISLE</v>
      </c>
      <c r="O1325" s="2" t="s">
        <v>3185</v>
      </c>
      <c r="P1325" s="9" t="str">
        <f>VLOOKUP($O1325,'Liste des Villes'!$B$2:$B$1128,1,FALSE)</f>
        <v>Saint-Jérôme</v>
      </c>
      <c r="Q1325" s="9" t="str">
        <f>IFERROR($P1325,PROPER(VLOOKUP($O1325,'Villes en erreur'!$A$2:$B$72,2,FALSE)))</f>
        <v>Saint-Jérôme</v>
      </c>
      <c r="R1325" s="9" t="s">
        <v>3186</v>
      </c>
      <c r="S1325" s="9" t="str">
        <f>IF(ISBLANK($R1325),"",VLOOKUP($R1325,'Liste des Villes'!$B$2:$H$1128,4,FALSE))</f>
        <v>Laurentides</v>
      </c>
      <c r="T1325" s="2" t="s">
        <v>6747</v>
      </c>
      <c r="U1325" s="2" t="s">
        <v>39</v>
      </c>
      <c r="V1325" s="2" t="s">
        <v>40</v>
      </c>
      <c r="W1325" s="2" t="s">
        <v>6748</v>
      </c>
      <c r="X1325" s="2"/>
      <c r="Y1325" s="2"/>
      <c r="Z1325" s="2"/>
      <c r="AA1325" s="2" t="s">
        <v>832</v>
      </c>
      <c r="AB1325" s="2" t="s">
        <v>3221</v>
      </c>
      <c r="AC1325" s="4" t="s">
        <v>44</v>
      </c>
    </row>
    <row r="1326" spans="1:29" x14ac:dyDescent="0.25">
      <c r="A1326" s="1">
        <v>1397</v>
      </c>
      <c r="B1326" s="17" t="s">
        <v>6749</v>
      </c>
      <c r="C1326" s="2" t="s">
        <v>1144</v>
      </c>
      <c r="D1326" s="15" t="s">
        <v>1145</v>
      </c>
      <c r="E1326" s="9" t="s">
        <v>495</v>
      </c>
      <c r="F1326" s="9" t="s">
        <v>6750</v>
      </c>
      <c r="G1326" s="9" t="s">
        <v>577</v>
      </c>
      <c r="H1326" s="2" t="s">
        <v>60</v>
      </c>
      <c r="I1326" s="3">
        <v>35908</v>
      </c>
      <c r="J1326" s="9" t="str">
        <f t="shared" ca="1" si="22"/>
        <v>25 ans</v>
      </c>
      <c r="K1326" s="2" t="s">
        <v>123</v>
      </c>
      <c r="L1326" s="2" t="str">
        <f>"157"</f>
        <v>157</v>
      </c>
      <c r="M1326" s="2"/>
      <c r="N1326" s="2" t="str">
        <f>"MONTÉE DE L'ÉGLISE"</f>
        <v>MONTÉE DE L'ÉGLISE</v>
      </c>
      <c r="O1326" s="2" t="s">
        <v>3185</v>
      </c>
      <c r="P1326" s="9" t="str">
        <f>VLOOKUP($O1326,'Liste des Villes'!$B$2:$B$1128,1,FALSE)</f>
        <v>Saint-Jérôme</v>
      </c>
      <c r="Q1326" s="9" t="str">
        <f>IFERROR($P1326,PROPER(VLOOKUP($O1326,'Villes en erreur'!$A$2:$B$72,2,FALSE)))</f>
        <v>Saint-Jérôme</v>
      </c>
      <c r="R1326" s="9" t="s">
        <v>3186</v>
      </c>
      <c r="S1326" s="9" t="str">
        <f>IF(ISBLANK($R1326),"",VLOOKUP($R1326,'Liste des Villes'!$B$2:$H$1128,4,FALSE))</f>
        <v>Laurentides</v>
      </c>
      <c r="T1326" s="2" t="s">
        <v>6751</v>
      </c>
      <c r="U1326" s="2" t="s">
        <v>39</v>
      </c>
      <c r="V1326" s="2" t="s">
        <v>40</v>
      </c>
      <c r="W1326" s="2" t="s">
        <v>6752</v>
      </c>
      <c r="X1326" s="2"/>
      <c r="Y1326" s="2"/>
      <c r="Z1326" s="2"/>
      <c r="AA1326" s="2" t="s">
        <v>3243</v>
      </c>
      <c r="AB1326" s="2" t="s">
        <v>3221</v>
      </c>
      <c r="AC1326" s="4" t="s">
        <v>44</v>
      </c>
    </row>
    <row r="1327" spans="1:29" x14ac:dyDescent="0.25">
      <c r="A1327" s="1">
        <v>2368</v>
      </c>
      <c r="B1327" s="17" t="s">
        <v>6753</v>
      </c>
      <c r="C1327" s="2" t="s">
        <v>6754</v>
      </c>
      <c r="D1327" s="15" t="s">
        <v>3553</v>
      </c>
      <c r="E1327" s="9" t="s">
        <v>3162</v>
      </c>
      <c r="F1327" s="9" t="s">
        <v>2474</v>
      </c>
      <c r="G1327" s="9" t="s">
        <v>2086</v>
      </c>
      <c r="H1327" s="2" t="s">
        <v>60</v>
      </c>
      <c r="I1327" s="3">
        <v>36023</v>
      </c>
      <c r="J1327" s="9" t="str">
        <f t="shared" ca="1" si="22"/>
        <v>25 ans</v>
      </c>
      <c r="K1327" s="2" t="s">
        <v>123</v>
      </c>
      <c r="L1327" s="2" t="str">
        <f>"182"</f>
        <v>182</v>
      </c>
      <c r="M1327" s="2"/>
      <c r="N1327" s="2" t="str">
        <f>"PLACE GRENVILLE NORD"</f>
        <v>PLACE GRENVILLE NORD</v>
      </c>
      <c r="O1327" s="2" t="s">
        <v>3185</v>
      </c>
      <c r="P1327" s="9" t="str">
        <f>VLOOKUP($O1327,'Liste des Villes'!$B$2:$B$1128,1,FALSE)</f>
        <v>Saint-Jérôme</v>
      </c>
      <c r="Q1327" s="9" t="str">
        <f>IFERROR($P1327,PROPER(VLOOKUP($O1327,'Villes en erreur'!$A$2:$B$72,2,FALSE)))</f>
        <v>Saint-Jérôme</v>
      </c>
      <c r="R1327" s="9" t="s">
        <v>3186</v>
      </c>
      <c r="S1327" s="9" t="str">
        <f>IF(ISBLANK($R1327),"",VLOOKUP($R1327,'Liste des Villes'!$B$2:$H$1128,4,FALSE))</f>
        <v>Laurentides</v>
      </c>
      <c r="T1327" s="2" t="s">
        <v>4168</v>
      </c>
      <c r="U1327" s="2" t="s">
        <v>39</v>
      </c>
      <c r="V1327" s="2" t="s">
        <v>40</v>
      </c>
      <c r="W1327" s="2" t="s">
        <v>6755</v>
      </c>
      <c r="X1327" s="2"/>
      <c r="Y1327" s="2"/>
      <c r="Z1327" s="2"/>
      <c r="AA1327" s="2" t="s">
        <v>832</v>
      </c>
      <c r="AB1327" s="2" t="s">
        <v>3221</v>
      </c>
      <c r="AC1327" s="4" t="s">
        <v>44</v>
      </c>
    </row>
    <row r="1328" spans="1:29" x14ac:dyDescent="0.25">
      <c r="A1328" s="1">
        <v>1222</v>
      </c>
      <c r="B1328" s="17" t="s">
        <v>6756</v>
      </c>
      <c r="C1328" s="2" t="s">
        <v>1288</v>
      </c>
      <c r="D1328" s="15" t="s">
        <v>601</v>
      </c>
      <c r="E1328" s="9" t="s">
        <v>1289</v>
      </c>
      <c r="F1328" s="9" t="s">
        <v>599</v>
      </c>
      <c r="G1328" s="9" t="s">
        <v>114</v>
      </c>
      <c r="H1328" s="2" t="s">
        <v>60</v>
      </c>
      <c r="I1328" s="3">
        <v>36247</v>
      </c>
      <c r="J1328" s="9" t="str">
        <f t="shared" ca="1" si="22"/>
        <v>24 ans</v>
      </c>
      <c r="K1328" s="2" t="s">
        <v>123</v>
      </c>
      <c r="L1328" s="2" t="str">
        <f>"265"</f>
        <v>265</v>
      </c>
      <c r="M1328" s="2"/>
      <c r="N1328" s="2" t="str">
        <f>"RUE BELGO"</f>
        <v>RUE BELGO</v>
      </c>
      <c r="O1328" s="2" t="s">
        <v>3185</v>
      </c>
      <c r="P1328" s="9" t="str">
        <f>VLOOKUP($O1328,'Liste des Villes'!$B$2:$B$1128,1,FALSE)</f>
        <v>Saint-Jérôme</v>
      </c>
      <c r="Q1328" s="9" t="str">
        <f>IFERROR($P1328,PROPER(VLOOKUP($O1328,'Villes en erreur'!$A$2:$B$72,2,FALSE)))</f>
        <v>Saint-Jérôme</v>
      </c>
      <c r="R1328" s="9" t="s">
        <v>3186</v>
      </c>
      <c r="S1328" s="9" t="str">
        <f>IF(ISBLANK($R1328),"",VLOOKUP($R1328,'Liste des Villes'!$B$2:$H$1128,4,FALSE))</f>
        <v>Laurentides</v>
      </c>
      <c r="T1328" s="2" t="s">
        <v>6757</v>
      </c>
      <c r="U1328" s="2" t="s">
        <v>39</v>
      </c>
      <c r="V1328" s="2" t="s">
        <v>40</v>
      </c>
      <c r="W1328" s="2" t="s">
        <v>6758</v>
      </c>
      <c r="X1328" s="2"/>
      <c r="Y1328" s="2"/>
      <c r="Z1328" s="2"/>
      <c r="AA1328" s="2" t="s">
        <v>832</v>
      </c>
      <c r="AB1328" s="2" t="s">
        <v>73</v>
      </c>
      <c r="AC1328" s="4" t="s">
        <v>44</v>
      </c>
    </row>
    <row r="1329" spans="1:29" x14ac:dyDescent="0.25">
      <c r="A1329" s="1">
        <v>3016</v>
      </c>
      <c r="B1329" s="17" t="s">
        <v>6759</v>
      </c>
      <c r="C1329" s="2" t="s">
        <v>2451</v>
      </c>
      <c r="D1329" s="15" t="s">
        <v>504</v>
      </c>
      <c r="E1329" s="9" t="s">
        <v>1673</v>
      </c>
      <c r="F1329" s="9" t="s">
        <v>6760</v>
      </c>
      <c r="G1329" s="9" t="s">
        <v>635</v>
      </c>
      <c r="H1329" s="2" t="s">
        <v>35</v>
      </c>
      <c r="I1329" s="3">
        <v>33944</v>
      </c>
      <c r="J1329" s="9" t="str">
        <f t="shared" ca="1" si="22"/>
        <v>30 ans</v>
      </c>
      <c r="K1329" s="2" t="s">
        <v>36</v>
      </c>
      <c r="L1329" s="2" t="str">
        <f>"42"</f>
        <v>42</v>
      </c>
      <c r="M1329" s="2"/>
      <c r="N1329" s="2" t="str">
        <f>"AVENUE VITAL"</f>
        <v>AVENUE VITAL</v>
      </c>
      <c r="O1329" s="2" t="s">
        <v>3185</v>
      </c>
      <c r="P1329" s="9" t="str">
        <f>VLOOKUP($O1329,'Liste des Villes'!$B$2:$B$1128,1,FALSE)</f>
        <v>Saint-Jérôme</v>
      </c>
      <c r="Q1329" s="9" t="str">
        <f>IFERROR($P1329,PROPER(VLOOKUP($O1329,'Villes en erreur'!$A$2:$B$72,2,FALSE)))</f>
        <v>Saint-Jérôme</v>
      </c>
      <c r="R1329" s="9" t="s">
        <v>3186</v>
      </c>
      <c r="S1329" s="9" t="str">
        <f>IF(ISBLANK($R1329),"",VLOOKUP($R1329,'Liste des Villes'!$B$2:$H$1128,4,FALSE))</f>
        <v>Laurentides</v>
      </c>
      <c r="T1329" s="2" t="s">
        <v>3093</v>
      </c>
      <c r="U1329" s="2" t="s">
        <v>39</v>
      </c>
      <c r="V1329" s="2" t="s">
        <v>40</v>
      </c>
      <c r="W1329" s="2" t="s">
        <v>6761</v>
      </c>
      <c r="X1329" s="2"/>
      <c r="Y1329" s="2"/>
      <c r="Z1329" s="2"/>
      <c r="AA1329" s="2" t="s">
        <v>3207</v>
      </c>
      <c r="AB1329" s="2" t="s">
        <v>53</v>
      </c>
      <c r="AC1329" s="4" t="s">
        <v>44</v>
      </c>
    </row>
    <row r="1330" spans="1:29" x14ac:dyDescent="0.25">
      <c r="A1330" s="1">
        <v>752</v>
      </c>
      <c r="B1330" s="17" t="s">
        <v>6762</v>
      </c>
      <c r="C1330" s="2" t="s">
        <v>6763</v>
      </c>
      <c r="D1330" s="15" t="s">
        <v>6764</v>
      </c>
      <c r="E1330" s="9" t="s">
        <v>6765</v>
      </c>
      <c r="F1330" s="9" t="s">
        <v>56</v>
      </c>
      <c r="G1330" s="9" t="s">
        <v>3695</v>
      </c>
      <c r="H1330" s="2" t="s">
        <v>60</v>
      </c>
      <c r="I1330" s="3">
        <v>35721</v>
      </c>
      <c r="J1330" s="9" t="str">
        <f t="shared" ca="1" si="22"/>
        <v>25 ans</v>
      </c>
      <c r="K1330" s="2" t="s">
        <v>123</v>
      </c>
      <c r="L1330" s="2" t="str">
        <f>"138"</f>
        <v>138</v>
      </c>
      <c r="M1330" s="2"/>
      <c r="N1330" s="2" t="str">
        <f>"DU BOURGOGNE"</f>
        <v>DU BOURGOGNE</v>
      </c>
      <c r="O1330" s="2" t="s">
        <v>3185</v>
      </c>
      <c r="P1330" s="9" t="str">
        <f>VLOOKUP($O1330,'Liste des Villes'!$B$2:$B$1128,1,FALSE)</f>
        <v>Saint-Jérôme</v>
      </c>
      <c r="Q1330" s="9" t="str">
        <f>IFERROR($P1330,PROPER(VLOOKUP($O1330,'Villes en erreur'!$A$2:$B$72,2,FALSE)))</f>
        <v>Saint-Jérôme</v>
      </c>
      <c r="R1330" s="9" t="s">
        <v>3186</v>
      </c>
      <c r="S1330" s="9" t="str">
        <f>IF(ISBLANK($R1330),"",VLOOKUP($R1330,'Liste des Villes'!$B$2:$H$1128,4,FALSE))</f>
        <v>Laurentides</v>
      </c>
      <c r="T1330" s="2" t="s">
        <v>6766</v>
      </c>
      <c r="U1330" s="2" t="s">
        <v>39</v>
      </c>
      <c r="V1330" s="2" t="s">
        <v>40</v>
      </c>
      <c r="W1330" s="2" t="s">
        <v>6767</v>
      </c>
      <c r="X1330" s="2"/>
      <c r="Y1330" s="2"/>
      <c r="Z1330" s="2"/>
      <c r="AA1330" s="2" t="s">
        <v>3243</v>
      </c>
      <c r="AB1330" s="2" t="s">
        <v>3221</v>
      </c>
      <c r="AC1330" s="4" t="s">
        <v>44</v>
      </c>
    </row>
    <row r="1331" spans="1:29" x14ac:dyDescent="0.25">
      <c r="A1331" s="1">
        <v>3534</v>
      </c>
      <c r="B1331" s="17" t="s">
        <v>6768</v>
      </c>
      <c r="C1331" s="2" t="s">
        <v>6754</v>
      </c>
      <c r="D1331" s="15" t="s">
        <v>3553</v>
      </c>
      <c r="E1331" s="9" t="s">
        <v>3162</v>
      </c>
      <c r="F1331" s="9" t="s">
        <v>2474</v>
      </c>
      <c r="G1331" s="9" t="s">
        <v>1024</v>
      </c>
      <c r="H1331" s="2" t="s">
        <v>35</v>
      </c>
      <c r="I1331" s="3">
        <v>36193</v>
      </c>
      <c r="J1331" s="9" t="str">
        <f t="shared" ca="1" si="22"/>
        <v>24 ans</v>
      </c>
      <c r="K1331" s="2" t="s">
        <v>123</v>
      </c>
      <c r="L1331" s="2" t="str">
        <f>"237"</f>
        <v>237</v>
      </c>
      <c r="M1331" s="2"/>
      <c r="N1331" s="2" t="str">
        <f>"RUE ANTOINE-DEVIN"</f>
        <v>RUE ANTOINE-DEVIN</v>
      </c>
      <c r="O1331" s="2" t="s">
        <v>3185</v>
      </c>
      <c r="P1331" s="9" t="str">
        <f>VLOOKUP($O1331,'Liste des Villes'!$B$2:$B$1128,1,FALSE)</f>
        <v>Saint-Jérôme</v>
      </c>
      <c r="Q1331" s="9" t="str">
        <f>IFERROR($P1331,PROPER(VLOOKUP($O1331,'Villes en erreur'!$A$2:$B$72,2,FALSE)))</f>
        <v>Saint-Jérôme</v>
      </c>
      <c r="R1331" s="9" t="s">
        <v>3186</v>
      </c>
      <c r="S1331" s="9" t="str">
        <f>IF(ISBLANK($R1331),"",VLOOKUP($R1331,'Liste des Villes'!$B$2:$H$1128,4,FALSE))</f>
        <v>Laurentides</v>
      </c>
      <c r="T1331" s="2" t="s">
        <v>6769</v>
      </c>
      <c r="U1331" s="2" t="s">
        <v>39</v>
      </c>
      <c r="V1331" s="2" t="s">
        <v>40</v>
      </c>
      <c r="W1331" s="2" t="s">
        <v>6770</v>
      </c>
      <c r="X1331" s="2"/>
      <c r="Y1331" s="2"/>
      <c r="Z1331" s="2"/>
      <c r="AA1331" s="2" t="s">
        <v>832</v>
      </c>
      <c r="AB1331" s="2" t="s">
        <v>3288</v>
      </c>
      <c r="AC1331" s="4" t="s">
        <v>44</v>
      </c>
    </row>
    <row r="1332" spans="1:29" x14ac:dyDescent="0.25">
      <c r="A1332" s="1">
        <v>3691</v>
      </c>
      <c r="B1332" s="17" t="s">
        <v>6771</v>
      </c>
      <c r="C1332" s="2" t="s">
        <v>3320</v>
      </c>
      <c r="D1332" s="15" t="s">
        <v>1371</v>
      </c>
      <c r="E1332" s="9" t="s">
        <v>1091</v>
      </c>
      <c r="F1332" s="9" t="s">
        <v>1092</v>
      </c>
      <c r="G1332" s="9" t="s">
        <v>6772</v>
      </c>
      <c r="H1332" s="2" t="s">
        <v>60</v>
      </c>
      <c r="I1332" s="3">
        <v>35840</v>
      </c>
      <c r="J1332" s="9" t="str">
        <f t="shared" ca="1" si="22"/>
        <v>25 ans</v>
      </c>
      <c r="K1332" s="2" t="s">
        <v>123</v>
      </c>
      <c r="L1332" s="2" t="str">
        <f>"146"</f>
        <v>146</v>
      </c>
      <c r="M1332" s="2"/>
      <c r="N1332" s="2" t="str">
        <f>"LAJEUNESSE BLVD O"</f>
        <v>LAJEUNESSE BLVD O</v>
      </c>
      <c r="O1332" s="2" t="s">
        <v>3185</v>
      </c>
      <c r="P1332" s="9" t="str">
        <f>VLOOKUP($O1332,'Liste des Villes'!$B$2:$B$1128,1,FALSE)</f>
        <v>Saint-Jérôme</v>
      </c>
      <c r="Q1332" s="9" t="str">
        <f>IFERROR($P1332,PROPER(VLOOKUP($O1332,'Villes en erreur'!$A$2:$B$72,2,FALSE)))</f>
        <v>Saint-Jérôme</v>
      </c>
      <c r="R1332" s="9" t="s">
        <v>3186</v>
      </c>
      <c r="S1332" s="9" t="str">
        <f>IF(ISBLANK($R1332),"",VLOOKUP($R1332,'Liste des Villes'!$B$2:$H$1128,4,FALSE))</f>
        <v>Laurentides</v>
      </c>
      <c r="T1332" s="2" t="s">
        <v>4824</v>
      </c>
      <c r="U1332" s="2" t="s">
        <v>39</v>
      </c>
      <c r="V1332" s="2" t="s">
        <v>40</v>
      </c>
      <c r="W1332" s="2" t="s">
        <v>6773</v>
      </c>
      <c r="X1332" s="2"/>
      <c r="Y1332" s="2"/>
      <c r="Z1332" s="2"/>
      <c r="AA1332" s="2" t="s">
        <v>3243</v>
      </c>
      <c r="AB1332" s="2" t="s">
        <v>3221</v>
      </c>
      <c r="AC1332" s="4" t="s">
        <v>44</v>
      </c>
    </row>
    <row r="1333" spans="1:29" x14ac:dyDescent="0.25">
      <c r="A1333" s="1">
        <v>4529</v>
      </c>
      <c r="B1333" s="17" t="s">
        <v>6774</v>
      </c>
      <c r="C1333" s="2" t="s">
        <v>6775</v>
      </c>
      <c r="D1333" s="15" t="s">
        <v>1417</v>
      </c>
      <c r="E1333" s="9" t="s">
        <v>6776</v>
      </c>
      <c r="F1333" s="9" t="s">
        <v>1415</v>
      </c>
      <c r="G1333" s="9" t="s">
        <v>1162</v>
      </c>
      <c r="H1333" s="2" t="s">
        <v>35</v>
      </c>
      <c r="I1333" s="3">
        <v>35871</v>
      </c>
      <c r="J1333" s="9" t="str">
        <f t="shared" ca="1" si="22"/>
        <v>25 ans</v>
      </c>
      <c r="K1333" s="2" t="s">
        <v>123</v>
      </c>
      <c r="L1333" s="2" t="str">
        <f>"152"</f>
        <v>152</v>
      </c>
      <c r="M1333" s="2"/>
      <c r="N1333" s="2" t="str">
        <f>"MAISONNEUVE BLVD"</f>
        <v>MAISONNEUVE BLVD</v>
      </c>
      <c r="O1333" s="2" t="s">
        <v>3185</v>
      </c>
      <c r="P1333" s="9" t="str">
        <f>VLOOKUP($O1333,'Liste des Villes'!$B$2:$B$1128,1,FALSE)</f>
        <v>Saint-Jérôme</v>
      </c>
      <c r="Q1333" s="9" t="str">
        <f>IFERROR($P1333,PROPER(VLOOKUP($O1333,'Villes en erreur'!$A$2:$B$72,2,FALSE)))</f>
        <v>Saint-Jérôme</v>
      </c>
      <c r="R1333" s="9" t="s">
        <v>3186</v>
      </c>
      <c r="S1333" s="9" t="str">
        <f>IF(ISBLANK($R1333),"",VLOOKUP($R1333,'Liste des Villes'!$B$2:$H$1128,4,FALSE))</f>
        <v>Laurentides</v>
      </c>
      <c r="T1333" s="2" t="s">
        <v>3845</v>
      </c>
      <c r="U1333" s="2" t="s">
        <v>39</v>
      </c>
      <c r="V1333" s="2" t="s">
        <v>40</v>
      </c>
      <c r="W1333" s="2" t="s">
        <v>6777</v>
      </c>
      <c r="X1333" s="2"/>
      <c r="Y1333" s="2"/>
      <c r="Z1333" s="2"/>
      <c r="AA1333" s="2" t="s">
        <v>3243</v>
      </c>
      <c r="AB1333" s="2" t="s">
        <v>3221</v>
      </c>
      <c r="AC1333" s="4" t="s">
        <v>44</v>
      </c>
    </row>
    <row r="1334" spans="1:29" x14ac:dyDescent="0.25">
      <c r="A1334" s="1">
        <v>1841</v>
      </c>
      <c r="B1334" s="17" t="s">
        <v>6778</v>
      </c>
      <c r="C1334" s="2" t="s">
        <v>1144</v>
      </c>
      <c r="D1334" s="15" t="s">
        <v>1145</v>
      </c>
      <c r="E1334" s="9" t="s">
        <v>495</v>
      </c>
      <c r="F1334" s="9" t="s">
        <v>2950</v>
      </c>
      <c r="G1334" s="9" t="s">
        <v>1246</v>
      </c>
      <c r="H1334" s="2" t="s">
        <v>35</v>
      </c>
      <c r="I1334" s="3">
        <v>34119</v>
      </c>
      <c r="J1334" s="9" t="str">
        <f t="shared" ca="1" si="22"/>
        <v>30 ans</v>
      </c>
      <c r="K1334" s="2" t="s">
        <v>36</v>
      </c>
      <c r="L1334" s="2" t="str">
        <f>"46"</f>
        <v>46</v>
      </c>
      <c r="M1334" s="2"/>
      <c r="N1334" s="2" t="str">
        <f>"BOULEVARD DAGENAIS OUEST"</f>
        <v>BOULEVARD DAGENAIS OUEST</v>
      </c>
      <c r="O1334" s="2" t="s">
        <v>3185</v>
      </c>
      <c r="P1334" s="9" t="str">
        <f>VLOOKUP($O1334,'Liste des Villes'!$B$2:$B$1128,1,FALSE)</f>
        <v>Saint-Jérôme</v>
      </c>
      <c r="Q1334" s="9" t="str">
        <f>IFERROR($P1334,PROPER(VLOOKUP($O1334,'Villes en erreur'!$A$2:$B$72,2,FALSE)))</f>
        <v>Saint-Jérôme</v>
      </c>
      <c r="R1334" s="9" t="s">
        <v>3186</v>
      </c>
      <c r="S1334" s="9" t="str">
        <f>IF(ISBLANK($R1334),"",VLOOKUP($R1334,'Liste des Villes'!$B$2:$H$1128,4,FALSE))</f>
        <v>Laurentides</v>
      </c>
      <c r="T1334" s="2" t="s">
        <v>3358</v>
      </c>
      <c r="U1334" s="2" t="s">
        <v>39</v>
      </c>
      <c r="V1334" s="2" t="s">
        <v>40</v>
      </c>
      <c r="W1334" s="2" t="s">
        <v>6779</v>
      </c>
      <c r="X1334" s="2"/>
      <c r="Y1334" s="2"/>
      <c r="Z1334" s="2"/>
      <c r="AA1334" s="2" t="s">
        <v>3360</v>
      </c>
      <c r="AB1334" s="2" t="s">
        <v>53</v>
      </c>
      <c r="AC1334" s="4" t="s">
        <v>44</v>
      </c>
    </row>
    <row r="1335" spans="1:29" x14ac:dyDescent="0.25">
      <c r="A1335" s="1">
        <v>2507</v>
      </c>
      <c r="B1335" s="17" t="s">
        <v>6780</v>
      </c>
      <c r="C1335" s="2" t="s">
        <v>5020</v>
      </c>
      <c r="D1335" s="15" t="s">
        <v>5021</v>
      </c>
      <c r="E1335" s="9" t="s">
        <v>196</v>
      </c>
      <c r="F1335" s="9" t="s">
        <v>6781</v>
      </c>
      <c r="G1335" s="9" t="s">
        <v>4297</v>
      </c>
      <c r="H1335" s="2" t="s">
        <v>60</v>
      </c>
      <c r="I1335" s="3">
        <v>34962</v>
      </c>
      <c r="J1335" s="9" t="str">
        <f t="shared" ca="1" si="22"/>
        <v>27 ans</v>
      </c>
      <c r="K1335" s="2" t="s">
        <v>36</v>
      </c>
      <c r="L1335" s="2" t="str">
        <f>"88"</f>
        <v>88</v>
      </c>
      <c r="M1335" s="2"/>
      <c r="N1335" s="2" t="str">
        <f>"CH DU JOLI-BOIS"</f>
        <v>CH DU JOLI-BOIS</v>
      </c>
      <c r="O1335" s="2" t="s">
        <v>3185</v>
      </c>
      <c r="P1335" s="9" t="str">
        <f>VLOOKUP($O1335,'Liste des Villes'!$B$2:$B$1128,1,FALSE)</f>
        <v>Saint-Jérôme</v>
      </c>
      <c r="Q1335" s="9" t="str">
        <f>IFERROR($P1335,PROPER(VLOOKUP($O1335,'Villes en erreur'!$A$2:$B$72,2,FALSE)))</f>
        <v>Saint-Jérôme</v>
      </c>
      <c r="R1335" s="9" t="s">
        <v>3186</v>
      </c>
      <c r="S1335" s="9" t="str">
        <f>IF(ISBLANK($R1335),"",VLOOKUP($R1335,'Liste des Villes'!$B$2:$H$1128,4,FALSE))</f>
        <v>Laurentides</v>
      </c>
      <c r="T1335" s="2" t="s">
        <v>3187</v>
      </c>
      <c r="U1335" s="2" t="s">
        <v>39</v>
      </c>
      <c r="V1335" s="2" t="s">
        <v>40</v>
      </c>
      <c r="W1335" s="2" t="s">
        <v>6782</v>
      </c>
      <c r="X1335" s="2"/>
      <c r="Y1335" s="2"/>
      <c r="Z1335" s="2"/>
      <c r="AA1335" s="2" t="s">
        <v>3231</v>
      </c>
      <c r="AB1335" s="2" t="s">
        <v>53</v>
      </c>
      <c r="AC1335" s="4" t="s">
        <v>44</v>
      </c>
    </row>
    <row r="1336" spans="1:29" x14ac:dyDescent="0.25">
      <c r="A1336" s="1">
        <v>1198</v>
      </c>
      <c r="B1336" s="17" t="s">
        <v>6783</v>
      </c>
      <c r="C1336" s="2" t="s">
        <v>897</v>
      </c>
      <c r="D1336" s="15" t="s">
        <v>898</v>
      </c>
      <c r="E1336" s="9" t="s">
        <v>899</v>
      </c>
      <c r="F1336" s="9" t="s">
        <v>6784</v>
      </c>
      <c r="G1336" s="9" t="s">
        <v>664</v>
      </c>
      <c r="H1336" s="2" t="s">
        <v>60</v>
      </c>
      <c r="I1336" s="3">
        <v>36002</v>
      </c>
      <c r="J1336" s="9" t="str">
        <f t="shared" ca="1" si="22"/>
        <v>25 ans</v>
      </c>
      <c r="K1336" s="2" t="s">
        <v>123</v>
      </c>
      <c r="L1336" s="2" t="str">
        <f>"177"</f>
        <v>177</v>
      </c>
      <c r="M1336" s="2"/>
      <c r="N1336" s="2" t="str">
        <f>"PLACE DES LILAS"</f>
        <v>PLACE DES LILAS</v>
      </c>
      <c r="O1336" s="2" t="s">
        <v>3185</v>
      </c>
      <c r="P1336" s="9" t="str">
        <f>VLOOKUP($O1336,'Liste des Villes'!$B$2:$B$1128,1,FALSE)</f>
        <v>Saint-Jérôme</v>
      </c>
      <c r="Q1336" s="9" t="str">
        <f>IFERROR($P1336,PROPER(VLOOKUP($O1336,'Villes en erreur'!$A$2:$B$72,2,FALSE)))</f>
        <v>Saint-Jérôme</v>
      </c>
      <c r="R1336" s="9" t="s">
        <v>3186</v>
      </c>
      <c r="S1336" s="9" t="str">
        <f>IF(ISBLANK($R1336),"",VLOOKUP($R1336,'Liste des Villes'!$B$2:$H$1128,4,FALSE))</f>
        <v>Laurentides</v>
      </c>
      <c r="T1336" s="2" t="s">
        <v>4143</v>
      </c>
      <c r="U1336" s="2" t="s">
        <v>39</v>
      </c>
      <c r="V1336" s="2" t="s">
        <v>40</v>
      </c>
      <c r="W1336" s="2" t="s">
        <v>6785</v>
      </c>
      <c r="X1336" s="2"/>
      <c r="Y1336" s="2"/>
      <c r="Z1336" s="2"/>
      <c r="AA1336" s="2" t="s">
        <v>832</v>
      </c>
      <c r="AB1336" s="2" t="s">
        <v>3221</v>
      </c>
      <c r="AC1336" s="4" t="s">
        <v>44</v>
      </c>
    </row>
    <row r="1337" spans="1:29" x14ac:dyDescent="0.25">
      <c r="A1337" s="1">
        <v>179</v>
      </c>
      <c r="B1337" s="17" t="s">
        <v>6786</v>
      </c>
      <c r="C1337" s="2" t="s">
        <v>6787</v>
      </c>
      <c r="D1337" s="15" t="s">
        <v>6788</v>
      </c>
      <c r="E1337" s="9" t="s">
        <v>658</v>
      </c>
      <c r="F1337" s="9" t="s">
        <v>6789</v>
      </c>
      <c r="G1337" s="9" t="s">
        <v>186</v>
      </c>
      <c r="H1337" s="2" t="s">
        <v>60</v>
      </c>
      <c r="I1337" s="3">
        <v>34822</v>
      </c>
      <c r="J1337" s="9" t="str">
        <f t="shared" ca="1" si="22"/>
        <v>28 ans</v>
      </c>
      <c r="K1337" s="2" t="s">
        <v>36</v>
      </c>
      <c r="L1337" s="2" t="str">
        <f>"79"</f>
        <v>79</v>
      </c>
      <c r="M1337" s="2"/>
      <c r="N1337" s="2" t="str">
        <f>"CH DES ÉPINETTES"</f>
        <v>CH DES ÉPINETTES</v>
      </c>
      <c r="O1337" s="2" t="s">
        <v>3185</v>
      </c>
      <c r="P1337" s="9" t="str">
        <f>VLOOKUP($O1337,'Liste des Villes'!$B$2:$B$1128,1,FALSE)</f>
        <v>Saint-Jérôme</v>
      </c>
      <c r="Q1337" s="9" t="str">
        <f>IFERROR($P1337,PROPER(VLOOKUP($O1337,'Villes en erreur'!$A$2:$B$72,2,FALSE)))</f>
        <v>Saint-Jérôme</v>
      </c>
      <c r="R1337" s="9" t="s">
        <v>3186</v>
      </c>
      <c r="S1337" s="9" t="str">
        <f>IF(ISBLANK($R1337),"",VLOOKUP($R1337,'Liste des Villes'!$B$2:$H$1128,4,FALSE))</f>
        <v>Laurentides</v>
      </c>
      <c r="T1337" s="2" t="s">
        <v>3187</v>
      </c>
      <c r="U1337" s="2" t="s">
        <v>39</v>
      </c>
      <c r="V1337" s="2" t="s">
        <v>40</v>
      </c>
      <c r="W1337" s="2" t="s">
        <v>6790</v>
      </c>
      <c r="X1337" s="2"/>
      <c r="Y1337" s="2"/>
      <c r="Z1337" s="2"/>
      <c r="AA1337" s="2" t="s">
        <v>3225</v>
      </c>
      <c r="AB1337" s="2" t="s">
        <v>53</v>
      </c>
      <c r="AC1337" s="4" t="s">
        <v>44</v>
      </c>
    </row>
    <row r="1338" spans="1:29" x14ac:dyDescent="0.25">
      <c r="A1338" s="1">
        <v>1738</v>
      </c>
      <c r="B1338" s="17" t="s">
        <v>6791</v>
      </c>
      <c r="C1338" s="2" t="s">
        <v>6792</v>
      </c>
      <c r="D1338" s="15" t="s">
        <v>56</v>
      </c>
      <c r="E1338" s="9" t="s">
        <v>6793</v>
      </c>
      <c r="F1338" s="9" t="s">
        <v>6794</v>
      </c>
      <c r="G1338" s="9" t="s">
        <v>891</v>
      </c>
      <c r="H1338" s="2" t="s">
        <v>60</v>
      </c>
      <c r="I1338" s="3">
        <v>35323</v>
      </c>
      <c r="J1338" s="9" t="str">
        <f t="shared" ca="1" si="22"/>
        <v>26 ans</v>
      </c>
      <c r="K1338" s="2" t="s">
        <v>36</v>
      </c>
      <c r="L1338" s="2" t="str">
        <f>"110"</f>
        <v>110</v>
      </c>
      <c r="M1338" s="2"/>
      <c r="N1338" s="2" t="str">
        <f>"CHEMIN DES DAMAS"</f>
        <v>CHEMIN DES DAMAS</v>
      </c>
      <c r="O1338" s="2" t="s">
        <v>3185</v>
      </c>
      <c r="P1338" s="9" t="str">
        <f>VLOOKUP($O1338,'Liste des Villes'!$B$2:$B$1128,1,FALSE)</f>
        <v>Saint-Jérôme</v>
      </c>
      <c r="Q1338" s="9" t="str">
        <f>IFERROR($P1338,PROPER(VLOOKUP($O1338,'Villes en erreur'!$A$2:$B$72,2,FALSE)))</f>
        <v>Saint-Jérôme</v>
      </c>
      <c r="R1338" s="9" t="s">
        <v>3186</v>
      </c>
      <c r="S1338" s="9" t="str">
        <f>IF(ISBLANK($R1338),"",VLOOKUP($R1338,'Liste des Villes'!$B$2:$H$1128,4,FALSE))</f>
        <v>Laurentides</v>
      </c>
      <c r="T1338" s="2" t="s">
        <v>6795</v>
      </c>
      <c r="U1338" s="2" t="s">
        <v>39</v>
      </c>
      <c r="V1338" s="2" t="s">
        <v>40</v>
      </c>
      <c r="W1338" s="2" t="s">
        <v>6796</v>
      </c>
      <c r="X1338" s="2"/>
      <c r="Y1338" s="2"/>
      <c r="Z1338" s="2"/>
      <c r="AA1338" s="2" t="s">
        <v>3189</v>
      </c>
      <c r="AB1338" s="2" t="s">
        <v>3200</v>
      </c>
      <c r="AC1338" s="4" t="s">
        <v>44</v>
      </c>
    </row>
    <row r="1339" spans="1:29" x14ac:dyDescent="0.25">
      <c r="A1339" s="1">
        <v>1907</v>
      </c>
      <c r="B1339" s="17" t="s">
        <v>6797</v>
      </c>
      <c r="C1339" s="2" t="s">
        <v>6798</v>
      </c>
      <c r="D1339" s="15" t="s">
        <v>2698</v>
      </c>
      <c r="E1339" s="9" t="s">
        <v>6799</v>
      </c>
      <c r="F1339" s="9" t="s">
        <v>6800</v>
      </c>
      <c r="G1339" s="9" t="s">
        <v>1024</v>
      </c>
      <c r="H1339" s="2" t="s">
        <v>35</v>
      </c>
      <c r="I1339" s="3">
        <v>36169</v>
      </c>
      <c r="J1339" s="9" t="str">
        <f t="shared" ca="1" si="22"/>
        <v>24 ans</v>
      </c>
      <c r="K1339" s="2" t="s">
        <v>123</v>
      </c>
      <c r="L1339" s="2" t="str">
        <f>"231"</f>
        <v>231</v>
      </c>
      <c r="M1339" s="2"/>
      <c r="N1339" s="2" t="str">
        <f>"RUE ANDRÉ-CHÉNIER"</f>
        <v>RUE ANDRÉ-CHÉNIER</v>
      </c>
      <c r="O1339" s="2" t="s">
        <v>3185</v>
      </c>
      <c r="P1339" s="9" t="str">
        <f>VLOOKUP($O1339,'Liste des Villes'!$B$2:$B$1128,1,FALSE)</f>
        <v>Saint-Jérôme</v>
      </c>
      <c r="Q1339" s="9" t="str">
        <f>IFERROR($P1339,PROPER(VLOOKUP($O1339,'Villes en erreur'!$A$2:$B$72,2,FALSE)))</f>
        <v>Saint-Jérôme</v>
      </c>
      <c r="R1339" s="9" t="s">
        <v>3186</v>
      </c>
      <c r="S1339" s="9" t="str">
        <f>IF(ISBLANK($R1339),"",VLOOKUP($R1339,'Liste des Villes'!$B$2:$H$1128,4,FALSE))</f>
        <v>Laurentides</v>
      </c>
      <c r="T1339" s="2" t="s">
        <v>4558</v>
      </c>
      <c r="U1339" s="2" t="s">
        <v>39</v>
      </c>
      <c r="V1339" s="2" t="s">
        <v>40</v>
      </c>
      <c r="W1339" s="2" t="s">
        <v>6801</v>
      </c>
      <c r="X1339" s="2"/>
      <c r="Y1339" s="2"/>
      <c r="Z1339" s="2"/>
      <c r="AA1339" s="2" t="s">
        <v>832</v>
      </c>
      <c r="AB1339" s="2" t="s">
        <v>3221</v>
      </c>
      <c r="AC1339" s="4" t="s">
        <v>44</v>
      </c>
    </row>
    <row r="1340" spans="1:29" x14ac:dyDescent="0.25">
      <c r="A1340" s="1">
        <v>295</v>
      </c>
      <c r="B1340" s="17" t="s">
        <v>6802</v>
      </c>
      <c r="C1340" s="2" t="s">
        <v>2722</v>
      </c>
      <c r="D1340" s="15" t="s">
        <v>2723</v>
      </c>
      <c r="E1340" s="9" t="s">
        <v>1754</v>
      </c>
      <c r="F1340" s="9" t="s">
        <v>2724</v>
      </c>
      <c r="G1340" s="9" t="s">
        <v>495</v>
      </c>
      <c r="H1340" s="2" t="s">
        <v>35</v>
      </c>
      <c r="I1340" s="3">
        <v>34731</v>
      </c>
      <c r="J1340" s="9" t="str">
        <f t="shared" ca="1" si="22"/>
        <v>28 ans</v>
      </c>
      <c r="K1340" s="2" t="s">
        <v>36</v>
      </c>
      <c r="L1340" s="2" t="str">
        <f>"73"</f>
        <v>73</v>
      </c>
      <c r="M1340" s="2"/>
      <c r="N1340" s="2" t="str">
        <f>"CH DE MONT-ROLLAND"</f>
        <v>CH DE MONT-ROLLAND</v>
      </c>
      <c r="O1340" s="2" t="s">
        <v>3185</v>
      </c>
      <c r="P1340" s="9" t="str">
        <f>VLOOKUP($O1340,'Liste des Villes'!$B$2:$B$1128,1,FALSE)</f>
        <v>Saint-Jérôme</v>
      </c>
      <c r="Q1340" s="9" t="str">
        <f>IFERROR($P1340,PROPER(VLOOKUP($O1340,'Villes en erreur'!$A$2:$B$72,2,FALSE)))</f>
        <v>Saint-Jérôme</v>
      </c>
      <c r="R1340" s="9" t="s">
        <v>3186</v>
      </c>
      <c r="S1340" s="9" t="str">
        <f>IF(ISBLANK($R1340),"",VLOOKUP($R1340,'Liste des Villes'!$B$2:$H$1128,4,FALSE))</f>
        <v>Laurentides</v>
      </c>
      <c r="T1340" s="2" t="s">
        <v>3187</v>
      </c>
      <c r="U1340" s="2" t="s">
        <v>39</v>
      </c>
      <c r="V1340" s="2" t="s">
        <v>40</v>
      </c>
      <c r="W1340" s="2" t="s">
        <v>6803</v>
      </c>
      <c r="X1340" s="2"/>
      <c r="Y1340" s="2"/>
      <c r="Z1340" s="2"/>
      <c r="AA1340" s="2" t="s">
        <v>3225</v>
      </c>
      <c r="AB1340" s="2" t="s">
        <v>53</v>
      </c>
      <c r="AC1340" s="4" t="s">
        <v>44</v>
      </c>
    </row>
    <row r="1341" spans="1:29" x14ac:dyDescent="0.25">
      <c r="A1341" s="1">
        <v>4325</v>
      </c>
      <c r="B1341" s="17" t="s">
        <v>6804</v>
      </c>
      <c r="C1341" s="2" t="s">
        <v>2009</v>
      </c>
      <c r="D1341" s="15" t="s">
        <v>1076</v>
      </c>
      <c r="E1341" s="9" t="s">
        <v>332</v>
      </c>
      <c r="F1341" s="9" t="s">
        <v>2010</v>
      </c>
      <c r="G1341" s="9" t="s">
        <v>6805</v>
      </c>
      <c r="H1341" s="2" t="s">
        <v>35</v>
      </c>
      <c r="I1341" s="3">
        <v>34928</v>
      </c>
      <c r="J1341" s="9" t="str">
        <f t="shared" ca="1" si="22"/>
        <v>28 ans</v>
      </c>
      <c r="K1341" s="2" t="s">
        <v>36</v>
      </c>
      <c r="L1341" s="2" t="str">
        <f>"85"</f>
        <v>85</v>
      </c>
      <c r="M1341" s="2"/>
      <c r="N1341" s="2" t="str">
        <f>"CH DU 7 RANG"</f>
        <v>CH DU 7 RANG</v>
      </c>
      <c r="O1341" s="2" t="s">
        <v>3185</v>
      </c>
      <c r="P1341" s="9" t="str">
        <f>VLOOKUP($O1341,'Liste des Villes'!$B$2:$B$1128,1,FALSE)</f>
        <v>Saint-Jérôme</v>
      </c>
      <c r="Q1341" s="9" t="str">
        <f>IFERROR($P1341,PROPER(VLOOKUP($O1341,'Villes en erreur'!$A$2:$B$72,2,FALSE)))</f>
        <v>Saint-Jérôme</v>
      </c>
      <c r="R1341" s="9" t="s">
        <v>3186</v>
      </c>
      <c r="S1341" s="9" t="str">
        <f>IF(ISBLANK($R1341),"",VLOOKUP($R1341,'Liste des Villes'!$B$2:$H$1128,4,FALSE))</f>
        <v>Laurentides</v>
      </c>
      <c r="T1341" s="2" t="s">
        <v>3187</v>
      </c>
      <c r="U1341" s="2" t="s">
        <v>39</v>
      </c>
      <c r="V1341" s="2" t="s">
        <v>40</v>
      </c>
      <c r="W1341" s="2" t="s">
        <v>6806</v>
      </c>
      <c r="X1341" s="2"/>
      <c r="Y1341" s="2"/>
      <c r="Z1341" s="2"/>
      <c r="AA1341" s="2" t="s">
        <v>3231</v>
      </c>
      <c r="AB1341" s="2" t="s">
        <v>53</v>
      </c>
      <c r="AC1341" s="4" t="s">
        <v>44</v>
      </c>
    </row>
    <row r="1342" spans="1:29" x14ac:dyDescent="0.25">
      <c r="A1342" s="1">
        <v>4519</v>
      </c>
      <c r="B1342" s="17" t="s">
        <v>6807</v>
      </c>
      <c r="C1342" s="2" t="s">
        <v>6808</v>
      </c>
      <c r="D1342" s="15" t="s">
        <v>2937</v>
      </c>
      <c r="E1342" s="9" t="s">
        <v>2504</v>
      </c>
      <c r="F1342" s="9" t="s">
        <v>2139</v>
      </c>
      <c r="G1342" s="9" t="s">
        <v>635</v>
      </c>
      <c r="H1342" s="2" t="s">
        <v>35</v>
      </c>
      <c r="I1342" s="3">
        <v>33915</v>
      </c>
      <c r="J1342" s="9" t="str">
        <f t="shared" ca="1" si="22"/>
        <v>30 ans</v>
      </c>
      <c r="K1342" s="2" t="s">
        <v>36</v>
      </c>
      <c r="L1342" s="2" t="str">
        <f>"40"</f>
        <v>40</v>
      </c>
      <c r="M1342" s="2"/>
      <c r="N1342" s="2" t="str">
        <f>"AVENUE MONETTE"</f>
        <v>AVENUE MONETTE</v>
      </c>
      <c r="O1342" s="2" t="s">
        <v>3185</v>
      </c>
      <c r="P1342" s="9" t="str">
        <f>VLOOKUP($O1342,'Liste des Villes'!$B$2:$B$1128,1,FALSE)</f>
        <v>Saint-Jérôme</v>
      </c>
      <c r="Q1342" s="9" t="str">
        <f>IFERROR($P1342,PROPER(VLOOKUP($O1342,'Villes en erreur'!$A$2:$B$72,2,FALSE)))</f>
        <v>Saint-Jérôme</v>
      </c>
      <c r="R1342" s="9" t="s">
        <v>3186</v>
      </c>
      <c r="S1342" s="9" t="str">
        <f>IF(ISBLANK($R1342),"",VLOOKUP($R1342,'Liste des Villes'!$B$2:$H$1128,4,FALSE))</f>
        <v>Laurentides</v>
      </c>
      <c r="T1342" s="2" t="s">
        <v>3093</v>
      </c>
      <c r="U1342" s="2" t="s">
        <v>39</v>
      </c>
      <c r="V1342" s="2" t="s">
        <v>40</v>
      </c>
      <c r="W1342" s="2" t="s">
        <v>6809</v>
      </c>
      <c r="X1342" s="2"/>
      <c r="Y1342" s="2"/>
      <c r="Z1342" s="2"/>
      <c r="AA1342" s="2" t="s">
        <v>3207</v>
      </c>
      <c r="AB1342" s="2" t="s">
        <v>53</v>
      </c>
      <c r="AC1342" s="4" t="s">
        <v>44</v>
      </c>
    </row>
    <row r="1343" spans="1:29" x14ac:dyDescent="0.25">
      <c r="A1343" s="1">
        <v>3190</v>
      </c>
      <c r="B1343" s="17" t="s">
        <v>6810</v>
      </c>
      <c r="C1343" s="2" t="s">
        <v>6811</v>
      </c>
      <c r="D1343" s="15" t="s">
        <v>4248</v>
      </c>
      <c r="E1343" s="9" t="s">
        <v>4011</v>
      </c>
      <c r="F1343" s="9" t="s">
        <v>4447</v>
      </c>
      <c r="G1343" s="9" t="s">
        <v>1024</v>
      </c>
      <c r="H1343" s="2" t="s">
        <v>35</v>
      </c>
      <c r="I1343" s="3">
        <v>36165</v>
      </c>
      <c r="J1343" s="9" t="str">
        <f t="shared" ca="1" si="22"/>
        <v>24 ans</v>
      </c>
      <c r="K1343" s="2" t="s">
        <v>123</v>
      </c>
      <c r="L1343" s="2" t="str">
        <f>"227"</f>
        <v>227</v>
      </c>
      <c r="M1343" s="2"/>
      <c r="N1343" s="2" t="str">
        <f>"RUE ALLARD"</f>
        <v>RUE ALLARD</v>
      </c>
      <c r="O1343" s="2" t="s">
        <v>3185</v>
      </c>
      <c r="P1343" s="9" t="str">
        <f>VLOOKUP($O1343,'Liste des Villes'!$B$2:$B$1128,1,FALSE)</f>
        <v>Saint-Jérôme</v>
      </c>
      <c r="Q1343" s="9" t="str">
        <f>IFERROR($P1343,PROPER(VLOOKUP($O1343,'Villes en erreur'!$A$2:$B$72,2,FALSE)))</f>
        <v>Saint-Jérôme</v>
      </c>
      <c r="R1343" s="9" t="s">
        <v>3186</v>
      </c>
      <c r="S1343" s="9" t="str">
        <f>IF(ISBLANK($R1343),"",VLOOKUP($R1343,'Liste des Villes'!$B$2:$H$1128,4,FALSE))</f>
        <v>Laurentides</v>
      </c>
      <c r="T1343" s="2" t="s">
        <v>6812</v>
      </c>
      <c r="U1343" s="2" t="s">
        <v>39</v>
      </c>
      <c r="V1343" s="2" t="s">
        <v>40</v>
      </c>
      <c r="W1343" s="2" t="s">
        <v>6813</v>
      </c>
      <c r="X1343" s="2"/>
      <c r="Y1343" s="2"/>
      <c r="Z1343" s="2"/>
      <c r="AA1343" s="2" t="s">
        <v>832</v>
      </c>
      <c r="AB1343" s="2" t="s">
        <v>3221</v>
      </c>
      <c r="AC1343" s="4" t="s">
        <v>44</v>
      </c>
    </row>
    <row r="1344" spans="1:29" x14ac:dyDescent="0.25">
      <c r="A1344" s="1">
        <v>1916</v>
      </c>
      <c r="B1344" s="17" t="s">
        <v>6814</v>
      </c>
      <c r="C1344" s="2" t="s">
        <v>6815</v>
      </c>
      <c r="D1344" s="15" t="s">
        <v>2756</v>
      </c>
      <c r="E1344" s="9" t="s">
        <v>495</v>
      </c>
      <c r="F1344" s="9" t="s">
        <v>4400</v>
      </c>
      <c r="G1344" s="9" t="s">
        <v>1037</v>
      </c>
      <c r="H1344" s="2" t="s">
        <v>35</v>
      </c>
      <c r="I1344" s="3">
        <v>36067</v>
      </c>
      <c r="J1344" s="9" t="str">
        <f t="shared" ca="1" si="22"/>
        <v>24 ans</v>
      </c>
      <c r="K1344" s="2" t="s">
        <v>123</v>
      </c>
      <c r="L1344" s="2" t="str">
        <f>"195"</f>
        <v>195</v>
      </c>
      <c r="M1344" s="2"/>
      <c r="N1344" s="2" t="str">
        <f>"RANG PROCULE"</f>
        <v>RANG PROCULE</v>
      </c>
      <c r="O1344" s="2" t="s">
        <v>3185</v>
      </c>
      <c r="P1344" s="9" t="str">
        <f>VLOOKUP($O1344,'Liste des Villes'!$B$2:$B$1128,1,FALSE)</f>
        <v>Saint-Jérôme</v>
      </c>
      <c r="Q1344" s="9" t="str">
        <f>IFERROR($P1344,PROPER(VLOOKUP($O1344,'Villes en erreur'!$A$2:$B$72,2,FALSE)))</f>
        <v>Saint-Jérôme</v>
      </c>
      <c r="R1344" s="9" t="s">
        <v>3186</v>
      </c>
      <c r="S1344" s="9" t="str">
        <f>IF(ISBLANK($R1344),"",VLOOKUP($R1344,'Liste des Villes'!$B$2:$H$1128,4,FALSE))</f>
        <v>Laurentides</v>
      </c>
      <c r="T1344" s="2" t="s">
        <v>3517</v>
      </c>
      <c r="U1344" s="2" t="s">
        <v>39</v>
      </c>
      <c r="V1344" s="2" t="s">
        <v>40</v>
      </c>
      <c r="W1344" s="2" t="s">
        <v>6816</v>
      </c>
      <c r="X1344" s="2"/>
      <c r="Y1344" s="2"/>
      <c r="Z1344" s="2"/>
      <c r="AA1344" s="2" t="s">
        <v>832</v>
      </c>
      <c r="AB1344" s="2" t="s">
        <v>3221</v>
      </c>
      <c r="AC1344" s="4" t="s">
        <v>44</v>
      </c>
    </row>
    <row r="1345" spans="1:29" x14ac:dyDescent="0.25">
      <c r="A1345" s="1">
        <v>1509</v>
      </c>
      <c r="B1345" s="17" t="s">
        <v>6817</v>
      </c>
      <c r="C1345" s="2" t="s">
        <v>6818</v>
      </c>
      <c r="D1345" s="15" t="s">
        <v>531</v>
      </c>
      <c r="E1345" s="9" t="s">
        <v>2561</v>
      </c>
      <c r="F1345" s="9" t="s">
        <v>6819</v>
      </c>
      <c r="G1345" s="9" t="s">
        <v>6820</v>
      </c>
      <c r="H1345" s="2" t="s">
        <v>35</v>
      </c>
      <c r="I1345" s="3">
        <v>35313</v>
      </c>
      <c r="J1345" s="9" t="str">
        <f t="shared" ca="1" si="22"/>
        <v>26 ans</v>
      </c>
      <c r="K1345" s="2" t="s">
        <v>36</v>
      </c>
      <c r="L1345" s="2" t="str">
        <f>"109"</f>
        <v>109</v>
      </c>
      <c r="M1345" s="2"/>
      <c r="N1345" s="2" t="str">
        <f>"CHEMIN DES CHANTERELLES"</f>
        <v>CHEMIN DES CHANTERELLES</v>
      </c>
      <c r="O1345" s="2" t="s">
        <v>3185</v>
      </c>
      <c r="P1345" s="9" t="str">
        <f>VLOOKUP($O1345,'Liste des Villes'!$B$2:$B$1128,1,FALSE)</f>
        <v>Saint-Jérôme</v>
      </c>
      <c r="Q1345" s="9" t="str">
        <f>IFERROR($P1345,PROPER(VLOOKUP($O1345,'Villes en erreur'!$A$2:$B$72,2,FALSE)))</f>
        <v>Saint-Jérôme</v>
      </c>
      <c r="R1345" s="9" t="s">
        <v>3186</v>
      </c>
      <c r="S1345" s="9" t="str">
        <f>IF(ISBLANK($R1345),"",VLOOKUP($R1345,'Liste des Villes'!$B$2:$H$1128,4,FALSE))</f>
        <v>Laurentides</v>
      </c>
      <c r="T1345" s="2" t="s">
        <v>3398</v>
      </c>
      <c r="U1345" s="2" t="s">
        <v>39</v>
      </c>
      <c r="V1345" s="2" t="s">
        <v>40</v>
      </c>
      <c r="W1345" s="2" t="s">
        <v>6821</v>
      </c>
      <c r="X1345" s="2"/>
      <c r="Y1345" s="2"/>
      <c r="Z1345" s="2"/>
      <c r="AA1345" s="2" t="s">
        <v>3189</v>
      </c>
      <c r="AB1345" s="2" t="s">
        <v>3200</v>
      </c>
      <c r="AC1345" s="4" t="s">
        <v>44</v>
      </c>
    </row>
    <row r="1346" spans="1:29" x14ac:dyDescent="0.25">
      <c r="A1346" s="1">
        <v>3796</v>
      </c>
      <c r="B1346" s="17" t="s">
        <v>6822</v>
      </c>
      <c r="C1346" s="2" t="s">
        <v>6823</v>
      </c>
      <c r="D1346" s="15" t="s">
        <v>6824</v>
      </c>
      <c r="E1346" s="9" t="s">
        <v>2381</v>
      </c>
      <c r="F1346" s="9" t="s">
        <v>6825</v>
      </c>
      <c r="G1346" s="9" t="s">
        <v>332</v>
      </c>
      <c r="H1346" s="2" t="s">
        <v>60</v>
      </c>
      <c r="I1346" s="3">
        <v>35552</v>
      </c>
      <c r="J1346" s="9" t="str">
        <f t="shared" ref="J1346:J1409" ca="1" si="23">_xlfn.CONCAT(INT((TODAY()-$I1346)/365.25)," ans")</f>
        <v>26 ans</v>
      </c>
      <c r="K1346" s="2" t="s">
        <v>36</v>
      </c>
      <c r="L1346" s="2" t="str">
        <f>"124"</f>
        <v>124</v>
      </c>
      <c r="M1346" s="2"/>
      <c r="N1346" s="2" t="str">
        <f>"CROIS DE LA SYRAH"</f>
        <v>CROIS DE LA SYRAH</v>
      </c>
      <c r="O1346" s="2" t="s">
        <v>3185</v>
      </c>
      <c r="P1346" s="9" t="str">
        <f>VLOOKUP($O1346,'Liste des Villes'!$B$2:$B$1128,1,FALSE)</f>
        <v>Saint-Jérôme</v>
      </c>
      <c r="Q1346" s="9" t="str">
        <f>IFERROR($P1346,PROPER(VLOOKUP($O1346,'Villes en erreur'!$A$2:$B$72,2,FALSE)))</f>
        <v>Saint-Jérôme</v>
      </c>
      <c r="R1346" s="9" t="s">
        <v>3186</v>
      </c>
      <c r="S1346" s="9" t="str">
        <f>IF(ISBLANK($R1346),"",VLOOKUP($R1346,'Liste des Villes'!$B$2:$H$1128,4,FALSE))</f>
        <v>Laurentides</v>
      </c>
      <c r="T1346" s="2" t="s">
        <v>3740</v>
      </c>
      <c r="U1346" s="2" t="s">
        <v>39</v>
      </c>
      <c r="V1346" s="2" t="s">
        <v>40</v>
      </c>
      <c r="W1346" s="2" t="s">
        <v>6826</v>
      </c>
      <c r="X1346" s="2"/>
      <c r="Y1346" s="2"/>
      <c r="Z1346" s="2"/>
      <c r="AA1346" s="2" t="s">
        <v>3199</v>
      </c>
      <c r="AB1346" s="2" t="s">
        <v>3221</v>
      </c>
      <c r="AC1346" s="4" t="s">
        <v>44</v>
      </c>
    </row>
    <row r="1347" spans="1:29" x14ac:dyDescent="0.25">
      <c r="A1347" s="1">
        <v>78</v>
      </c>
      <c r="B1347" s="17" t="s">
        <v>6827</v>
      </c>
      <c r="C1347" s="2" t="s">
        <v>6828</v>
      </c>
      <c r="D1347" s="15" t="s">
        <v>6829</v>
      </c>
      <c r="E1347" s="9" t="s">
        <v>6830</v>
      </c>
      <c r="F1347" s="9" t="s">
        <v>6831</v>
      </c>
      <c r="G1347" s="9" t="s">
        <v>6832</v>
      </c>
      <c r="H1347" s="2" t="s">
        <v>60</v>
      </c>
      <c r="I1347" s="3">
        <v>34376</v>
      </c>
      <c r="J1347" s="9" t="str">
        <f t="shared" ca="1" si="23"/>
        <v>29 ans</v>
      </c>
      <c r="K1347" s="2" t="s">
        <v>36</v>
      </c>
      <c r="L1347" s="2" t="str">
        <f>"55"</f>
        <v>55</v>
      </c>
      <c r="M1347" s="2"/>
      <c r="N1347" s="2" t="str">
        <f>"BOULEVARD SAINT-MARTIN OUEST"</f>
        <v>BOULEVARD SAINT-MARTIN OUEST</v>
      </c>
      <c r="O1347" s="2" t="s">
        <v>3185</v>
      </c>
      <c r="P1347" s="9" t="str">
        <f>VLOOKUP($O1347,'Liste des Villes'!$B$2:$B$1128,1,FALSE)</f>
        <v>Saint-Jérôme</v>
      </c>
      <c r="Q1347" s="9" t="str">
        <f>IFERROR($P1347,PROPER(VLOOKUP($O1347,'Villes en erreur'!$A$2:$B$72,2,FALSE)))</f>
        <v>Saint-Jérôme</v>
      </c>
      <c r="R1347" s="9" t="s">
        <v>3186</v>
      </c>
      <c r="S1347" s="9" t="str">
        <f>IF(ISBLANK($R1347),"",VLOOKUP($R1347,'Liste des Villes'!$B$2:$H$1128,4,FALSE))</f>
        <v>Laurentides</v>
      </c>
      <c r="T1347" s="2" t="s">
        <v>3291</v>
      </c>
      <c r="U1347" s="2" t="s">
        <v>39</v>
      </c>
      <c r="V1347" s="2" t="s">
        <v>40</v>
      </c>
      <c r="W1347" s="2" t="s">
        <v>6833</v>
      </c>
      <c r="X1347" s="2"/>
      <c r="Y1347" s="2"/>
      <c r="Z1347" s="2"/>
      <c r="AA1347" s="2" t="s">
        <v>3293</v>
      </c>
      <c r="AB1347" s="2" t="s">
        <v>53</v>
      </c>
      <c r="AC1347" s="4" t="s">
        <v>44</v>
      </c>
    </row>
    <row r="1348" spans="1:29" x14ac:dyDescent="0.25">
      <c r="A1348" s="1">
        <v>2940</v>
      </c>
      <c r="B1348" s="17" t="s">
        <v>6834</v>
      </c>
      <c r="C1348" s="2" t="s">
        <v>2891</v>
      </c>
      <c r="D1348" s="15" t="s">
        <v>718</v>
      </c>
      <c r="E1348" s="9" t="s">
        <v>381</v>
      </c>
      <c r="F1348" s="9" t="s">
        <v>6835</v>
      </c>
      <c r="G1348" s="9" t="s">
        <v>92</v>
      </c>
      <c r="H1348" s="2" t="s">
        <v>35</v>
      </c>
      <c r="I1348" s="3">
        <v>35388</v>
      </c>
      <c r="J1348" s="9" t="str">
        <f t="shared" ca="1" si="23"/>
        <v>26 ans</v>
      </c>
      <c r="K1348" s="2" t="s">
        <v>36</v>
      </c>
      <c r="L1348" s="2" t="str">
        <f>"113"</f>
        <v>113</v>
      </c>
      <c r="M1348" s="2"/>
      <c r="N1348" s="2" t="str">
        <f>"Chemin du Lac -Bertrand"</f>
        <v>Chemin du Lac -Bertrand</v>
      </c>
      <c r="O1348" s="2" t="s">
        <v>3185</v>
      </c>
      <c r="P1348" s="9" t="str">
        <f>VLOOKUP($O1348,'Liste des Villes'!$B$2:$B$1128,1,FALSE)</f>
        <v>Saint-Jérôme</v>
      </c>
      <c r="Q1348" s="9" t="str">
        <f>IFERROR($P1348,PROPER(VLOOKUP($O1348,'Villes en erreur'!$A$2:$B$72,2,FALSE)))</f>
        <v>Saint-Jérôme</v>
      </c>
      <c r="R1348" s="9" t="s">
        <v>3186</v>
      </c>
      <c r="S1348" s="9" t="str">
        <f>IF(ISBLANK($R1348),"",VLOOKUP($R1348,'Liste des Villes'!$B$2:$H$1128,4,FALSE))</f>
        <v>Laurentides</v>
      </c>
      <c r="T1348" s="2" t="s">
        <v>6836</v>
      </c>
      <c r="U1348" s="2" t="s">
        <v>39</v>
      </c>
      <c r="V1348" s="2" t="s">
        <v>40</v>
      </c>
      <c r="W1348" s="2" t="s">
        <v>6837</v>
      </c>
      <c r="X1348" s="2"/>
      <c r="Y1348" s="2"/>
      <c r="Z1348" s="2"/>
      <c r="AA1348" s="2" t="s">
        <v>3199</v>
      </c>
      <c r="AB1348" s="2" t="s">
        <v>3200</v>
      </c>
      <c r="AC1348" s="4" t="s">
        <v>44</v>
      </c>
    </row>
    <row r="1349" spans="1:29" x14ac:dyDescent="0.25">
      <c r="A1349" s="1">
        <v>881</v>
      </c>
      <c r="B1349" s="17" t="s">
        <v>6838</v>
      </c>
      <c r="C1349" s="2" t="s">
        <v>6839</v>
      </c>
      <c r="D1349" s="15" t="s">
        <v>6840</v>
      </c>
      <c r="E1349" s="9" t="s">
        <v>6841</v>
      </c>
      <c r="F1349" s="9" t="s">
        <v>2837</v>
      </c>
      <c r="G1349" s="9" t="s">
        <v>332</v>
      </c>
      <c r="H1349" s="2" t="s">
        <v>60</v>
      </c>
      <c r="I1349" s="3">
        <v>35575</v>
      </c>
      <c r="J1349" s="9" t="str">
        <f t="shared" ca="1" si="23"/>
        <v>26 ans</v>
      </c>
      <c r="K1349" s="2" t="s">
        <v>36</v>
      </c>
      <c r="L1349" s="2" t="str">
        <f>"126"</f>
        <v>126</v>
      </c>
      <c r="M1349" s="2"/>
      <c r="N1349" s="2" t="str">
        <f>"CROIS ROSAIRE-CUSSON"</f>
        <v>CROIS ROSAIRE-CUSSON</v>
      </c>
      <c r="O1349" s="2" t="s">
        <v>3185</v>
      </c>
      <c r="P1349" s="9" t="str">
        <f>VLOOKUP($O1349,'Liste des Villes'!$B$2:$B$1128,1,FALSE)</f>
        <v>Saint-Jérôme</v>
      </c>
      <c r="Q1349" s="9" t="str">
        <f>IFERROR($P1349,PROPER(VLOOKUP($O1349,'Villes en erreur'!$A$2:$B$72,2,FALSE)))</f>
        <v>Saint-Jérôme</v>
      </c>
      <c r="R1349" s="9" t="s">
        <v>3186</v>
      </c>
      <c r="S1349" s="9" t="str">
        <f>IF(ISBLANK($R1349),"",VLOOKUP($R1349,'Liste des Villes'!$B$2:$H$1128,4,FALSE))</f>
        <v>Laurentides</v>
      </c>
      <c r="T1349" s="2" t="s">
        <v>5697</v>
      </c>
      <c r="U1349" s="2" t="s">
        <v>39</v>
      </c>
      <c r="V1349" s="2" t="s">
        <v>40</v>
      </c>
      <c r="W1349" s="2" t="s">
        <v>6842</v>
      </c>
      <c r="X1349" s="2"/>
      <c r="Y1349" s="2"/>
      <c r="Z1349" s="2"/>
      <c r="AA1349" s="2" t="s">
        <v>3199</v>
      </c>
      <c r="AB1349" s="2" t="s">
        <v>3221</v>
      </c>
      <c r="AC1349" s="4" t="s">
        <v>44</v>
      </c>
    </row>
    <row r="1350" spans="1:29" x14ac:dyDescent="0.25">
      <c r="A1350" s="1">
        <v>1932</v>
      </c>
      <c r="B1350" s="17" t="s">
        <v>6843</v>
      </c>
      <c r="C1350" s="2" t="s">
        <v>6844</v>
      </c>
      <c r="D1350" s="15" t="s">
        <v>962</v>
      </c>
      <c r="E1350" s="9" t="s">
        <v>6845</v>
      </c>
      <c r="F1350" s="9" t="s">
        <v>961</v>
      </c>
      <c r="G1350" s="9" t="s">
        <v>6846</v>
      </c>
      <c r="H1350" s="2" t="s">
        <v>60</v>
      </c>
      <c r="I1350" s="3">
        <v>35011</v>
      </c>
      <c r="J1350" s="9" t="str">
        <f t="shared" ca="1" si="23"/>
        <v>27 ans</v>
      </c>
      <c r="K1350" s="2" t="s">
        <v>36</v>
      </c>
      <c r="L1350" s="2" t="str">
        <f>"93"</f>
        <v>93</v>
      </c>
      <c r="M1350" s="2"/>
      <c r="N1350" s="2" t="str">
        <f>"CH DU LAC-ÉCHO"</f>
        <v>CH DU LAC-ÉCHO</v>
      </c>
      <c r="O1350" s="2" t="s">
        <v>3185</v>
      </c>
      <c r="P1350" s="9" t="str">
        <f>VLOOKUP($O1350,'Liste des Villes'!$B$2:$B$1128,1,FALSE)</f>
        <v>Saint-Jérôme</v>
      </c>
      <c r="Q1350" s="9" t="str">
        <f>IFERROR($P1350,PROPER(VLOOKUP($O1350,'Villes en erreur'!$A$2:$B$72,2,FALSE)))</f>
        <v>Saint-Jérôme</v>
      </c>
      <c r="R1350" s="9" t="s">
        <v>3186</v>
      </c>
      <c r="S1350" s="9" t="str">
        <f>IF(ISBLANK($R1350),"",VLOOKUP($R1350,'Liste des Villes'!$B$2:$H$1128,4,FALSE))</f>
        <v>Laurentides</v>
      </c>
      <c r="T1350" s="2" t="s">
        <v>3187</v>
      </c>
      <c r="U1350" s="2" t="s">
        <v>39</v>
      </c>
      <c r="V1350" s="2" t="s">
        <v>40</v>
      </c>
      <c r="W1350" s="2" t="s">
        <v>6847</v>
      </c>
      <c r="X1350" s="2"/>
      <c r="Y1350" s="2"/>
      <c r="Z1350" s="2"/>
      <c r="AA1350" s="2" t="s">
        <v>3189</v>
      </c>
      <c r="AB1350" s="2" t="s">
        <v>53</v>
      </c>
      <c r="AC1350" s="4" t="s">
        <v>44</v>
      </c>
    </row>
    <row r="1351" spans="1:29" x14ac:dyDescent="0.25">
      <c r="A1351" s="1">
        <v>3445</v>
      </c>
      <c r="B1351" s="17" t="s">
        <v>6848</v>
      </c>
      <c r="C1351" s="2" t="s">
        <v>5314</v>
      </c>
      <c r="D1351" s="15" t="s">
        <v>957</v>
      </c>
      <c r="E1351" s="9" t="s">
        <v>5315</v>
      </c>
      <c r="F1351" s="9" t="s">
        <v>955</v>
      </c>
      <c r="G1351" s="9" t="s">
        <v>6849</v>
      </c>
      <c r="H1351" s="2" t="s">
        <v>60</v>
      </c>
      <c r="I1351" s="3">
        <v>35894</v>
      </c>
      <c r="J1351" s="9" t="str">
        <f t="shared" ca="1" si="23"/>
        <v>25 ans</v>
      </c>
      <c r="K1351" s="2" t="s">
        <v>123</v>
      </c>
      <c r="L1351" s="2" t="str">
        <f>"156"</f>
        <v>156</v>
      </c>
      <c r="M1351" s="2"/>
      <c r="N1351" s="2" t="str">
        <f>"MONTEE D'ARGENTEUIL"</f>
        <v>MONTEE D'ARGENTEUIL</v>
      </c>
      <c r="O1351" s="2" t="s">
        <v>3185</v>
      </c>
      <c r="P1351" s="9" t="str">
        <f>VLOOKUP($O1351,'Liste des Villes'!$B$2:$B$1128,1,FALSE)</f>
        <v>Saint-Jérôme</v>
      </c>
      <c r="Q1351" s="9" t="str">
        <f>IFERROR($P1351,PROPER(VLOOKUP($O1351,'Villes en erreur'!$A$2:$B$72,2,FALSE)))</f>
        <v>Saint-Jérôme</v>
      </c>
      <c r="R1351" s="9" t="s">
        <v>3186</v>
      </c>
      <c r="S1351" s="9" t="str">
        <f>IF(ISBLANK($R1351),"",VLOOKUP($R1351,'Liste des Villes'!$B$2:$H$1128,4,FALSE))</f>
        <v>Laurentides</v>
      </c>
      <c r="T1351" s="2" t="s">
        <v>5516</v>
      </c>
      <c r="U1351" s="2" t="s">
        <v>39</v>
      </c>
      <c r="V1351" s="2" t="s">
        <v>40</v>
      </c>
      <c r="W1351" s="2" t="s">
        <v>6850</v>
      </c>
      <c r="X1351" s="2"/>
      <c r="Y1351" s="2"/>
      <c r="Z1351" s="2"/>
      <c r="AA1351" s="2" t="s">
        <v>3243</v>
      </c>
      <c r="AB1351" s="2" t="s">
        <v>3221</v>
      </c>
      <c r="AC1351" s="4" t="s">
        <v>44</v>
      </c>
    </row>
    <row r="1352" spans="1:29" x14ac:dyDescent="0.25">
      <c r="A1352" s="1">
        <v>910</v>
      </c>
      <c r="B1352" s="17" t="s">
        <v>6851</v>
      </c>
      <c r="C1352" s="2" t="s">
        <v>6852</v>
      </c>
      <c r="D1352" s="15" t="s">
        <v>6853</v>
      </c>
      <c r="E1352" s="9" t="s">
        <v>341</v>
      </c>
      <c r="F1352" s="9" t="s">
        <v>2729</v>
      </c>
      <c r="G1352" s="9" t="s">
        <v>1037</v>
      </c>
      <c r="H1352" s="2" t="s">
        <v>60</v>
      </c>
      <c r="I1352" s="3">
        <v>36081</v>
      </c>
      <c r="J1352" s="9" t="str">
        <f t="shared" ca="1" si="23"/>
        <v>24 ans</v>
      </c>
      <c r="K1352" s="2" t="s">
        <v>123</v>
      </c>
      <c r="L1352" s="2" t="str">
        <f>"202"</f>
        <v>202</v>
      </c>
      <c r="M1352" s="2"/>
      <c r="N1352" s="2" t="str">
        <f>"RANG SAINT-ÉTIENNE"</f>
        <v>RANG SAINT-ÉTIENNE</v>
      </c>
      <c r="O1352" s="2" t="s">
        <v>3185</v>
      </c>
      <c r="P1352" s="9" t="str">
        <f>VLOOKUP($O1352,'Liste des Villes'!$B$2:$B$1128,1,FALSE)</f>
        <v>Saint-Jérôme</v>
      </c>
      <c r="Q1352" s="9" t="str">
        <f>IFERROR($P1352,PROPER(VLOOKUP($O1352,'Villes en erreur'!$A$2:$B$72,2,FALSE)))</f>
        <v>Saint-Jérôme</v>
      </c>
      <c r="R1352" s="9" t="s">
        <v>3186</v>
      </c>
      <c r="S1352" s="9" t="str">
        <f>IF(ISBLANK($R1352),"",VLOOKUP($R1352,'Liste des Villes'!$B$2:$H$1128,4,FALSE))</f>
        <v>Laurentides</v>
      </c>
      <c r="T1352" s="2" t="s">
        <v>5405</v>
      </c>
      <c r="U1352" s="2" t="s">
        <v>39</v>
      </c>
      <c r="V1352" s="2" t="s">
        <v>40</v>
      </c>
      <c r="W1352" s="2" t="s">
        <v>6854</v>
      </c>
      <c r="X1352" s="2"/>
      <c r="Y1352" s="2"/>
      <c r="Z1352" s="2"/>
      <c r="AA1352" s="2" t="s">
        <v>832</v>
      </c>
      <c r="AB1352" s="2" t="s">
        <v>3221</v>
      </c>
      <c r="AC1352" s="4" t="s">
        <v>44</v>
      </c>
    </row>
    <row r="1353" spans="1:29" x14ac:dyDescent="0.25">
      <c r="A1353" s="1">
        <v>3346</v>
      </c>
      <c r="B1353" s="17" t="s">
        <v>6855</v>
      </c>
      <c r="C1353" s="2" t="s">
        <v>2009</v>
      </c>
      <c r="D1353" s="15" t="s">
        <v>1076</v>
      </c>
      <c r="E1353" s="9" t="s">
        <v>332</v>
      </c>
      <c r="F1353" s="9" t="s">
        <v>2010</v>
      </c>
      <c r="G1353" s="9" t="s">
        <v>495</v>
      </c>
      <c r="H1353" s="2" t="s">
        <v>35</v>
      </c>
      <c r="I1353" s="3">
        <v>34561</v>
      </c>
      <c r="J1353" s="9" t="str">
        <f t="shared" ca="1" si="23"/>
        <v>29 ans</v>
      </c>
      <c r="K1353" s="2" t="s">
        <v>36</v>
      </c>
      <c r="L1353" s="2" t="str">
        <f>"66"</f>
        <v>66</v>
      </c>
      <c r="M1353" s="2"/>
      <c r="N1353" s="2" t="str">
        <f>"CH DE LA DARAISE"</f>
        <v>CH DE LA DARAISE</v>
      </c>
      <c r="O1353" s="2" t="s">
        <v>3185</v>
      </c>
      <c r="P1353" s="9" t="str">
        <f>VLOOKUP($O1353,'Liste des Villes'!$B$2:$B$1128,1,FALSE)</f>
        <v>Saint-Jérôme</v>
      </c>
      <c r="Q1353" s="9" t="str">
        <f>IFERROR($P1353,PROPER(VLOOKUP($O1353,'Villes en erreur'!$A$2:$B$72,2,FALSE)))</f>
        <v>Saint-Jérôme</v>
      </c>
      <c r="R1353" s="9" t="s">
        <v>3186</v>
      </c>
      <c r="S1353" s="9" t="str">
        <f>IF(ISBLANK($R1353),"",VLOOKUP($R1353,'Liste des Villes'!$B$2:$H$1128,4,FALSE))</f>
        <v>Laurentides</v>
      </c>
      <c r="T1353" s="2" t="s">
        <v>3954</v>
      </c>
      <c r="U1353" s="2" t="s">
        <v>39</v>
      </c>
      <c r="V1353" s="2" t="s">
        <v>40</v>
      </c>
      <c r="W1353" s="2" t="s">
        <v>6856</v>
      </c>
      <c r="X1353" s="2"/>
      <c r="Y1353" s="2"/>
      <c r="Z1353" s="2"/>
      <c r="AA1353" s="2" t="s">
        <v>3225</v>
      </c>
      <c r="AB1353" s="2" t="s">
        <v>53</v>
      </c>
      <c r="AC1353" s="4" t="s">
        <v>44</v>
      </c>
    </row>
    <row r="1354" spans="1:29" x14ac:dyDescent="0.25">
      <c r="A1354" s="1">
        <v>1652</v>
      </c>
      <c r="B1354" s="17" t="s">
        <v>6857</v>
      </c>
      <c r="C1354" s="2" t="s">
        <v>6858</v>
      </c>
      <c r="D1354" s="15" t="s">
        <v>460</v>
      </c>
      <c r="E1354" s="9" t="s">
        <v>3612</v>
      </c>
      <c r="F1354" s="9" t="s">
        <v>462</v>
      </c>
      <c r="G1354" s="9" t="s">
        <v>4190</v>
      </c>
      <c r="H1354" s="2" t="s">
        <v>60</v>
      </c>
      <c r="I1354" s="3">
        <v>35798</v>
      </c>
      <c r="J1354" s="9" t="str">
        <f t="shared" ca="1" si="23"/>
        <v>25 ans</v>
      </c>
      <c r="K1354" s="2" t="s">
        <v>123</v>
      </c>
      <c r="L1354" s="2" t="str">
        <f>"144"</f>
        <v>144</v>
      </c>
      <c r="M1354" s="2"/>
      <c r="N1354" s="2" t="str">
        <f>"HAUTBOIS"</f>
        <v>HAUTBOIS</v>
      </c>
      <c r="O1354" s="2" t="s">
        <v>3185</v>
      </c>
      <c r="P1354" s="9" t="str">
        <f>VLOOKUP($O1354,'Liste des Villes'!$B$2:$B$1128,1,FALSE)</f>
        <v>Saint-Jérôme</v>
      </c>
      <c r="Q1354" s="9" t="str">
        <f>IFERROR($P1354,PROPER(VLOOKUP($O1354,'Villes en erreur'!$A$2:$B$72,2,FALSE)))</f>
        <v>Saint-Jérôme</v>
      </c>
      <c r="R1354" s="9" t="s">
        <v>3186</v>
      </c>
      <c r="S1354" s="9" t="str">
        <f>IF(ISBLANK($R1354),"",VLOOKUP($R1354,'Liste des Villes'!$B$2:$H$1128,4,FALSE))</f>
        <v>Laurentides</v>
      </c>
      <c r="T1354" s="2" t="s">
        <v>6859</v>
      </c>
      <c r="U1354" s="2" t="s">
        <v>39</v>
      </c>
      <c r="V1354" s="2" t="s">
        <v>40</v>
      </c>
      <c r="W1354" s="2" t="s">
        <v>6860</v>
      </c>
      <c r="X1354" s="2"/>
      <c r="Y1354" s="2"/>
      <c r="Z1354" s="2"/>
      <c r="AA1354" s="2" t="s">
        <v>3243</v>
      </c>
      <c r="AB1354" s="2" t="s">
        <v>3221</v>
      </c>
      <c r="AC1354" s="4" t="s">
        <v>44</v>
      </c>
    </row>
    <row r="1355" spans="1:29" x14ac:dyDescent="0.25">
      <c r="A1355" s="1">
        <v>1792</v>
      </c>
      <c r="B1355" s="17" t="s">
        <v>6861</v>
      </c>
      <c r="C1355" s="2" t="s">
        <v>2047</v>
      </c>
      <c r="D1355" s="15" t="s">
        <v>2048</v>
      </c>
      <c r="E1355" s="9" t="s">
        <v>2049</v>
      </c>
      <c r="F1355" s="9" t="s">
        <v>2050</v>
      </c>
      <c r="G1355" s="9" t="s">
        <v>380</v>
      </c>
      <c r="H1355" s="2" t="s">
        <v>60</v>
      </c>
      <c r="I1355" s="3">
        <v>34440</v>
      </c>
      <c r="J1355" s="9" t="str">
        <f t="shared" ca="1" si="23"/>
        <v>29 ans</v>
      </c>
      <c r="K1355" s="2" t="s">
        <v>36</v>
      </c>
      <c r="L1355" s="2" t="str">
        <f>"58"</f>
        <v>58</v>
      </c>
      <c r="M1355" s="2"/>
      <c r="N1355" s="2" t="str">
        <f>"CARRÉ ARTHUR-BUIES"</f>
        <v>CARRÉ ARTHUR-BUIES</v>
      </c>
      <c r="O1355" s="2" t="s">
        <v>3185</v>
      </c>
      <c r="P1355" s="9" t="str">
        <f>VLOOKUP($O1355,'Liste des Villes'!$B$2:$B$1128,1,FALSE)</f>
        <v>Saint-Jérôme</v>
      </c>
      <c r="Q1355" s="9" t="str">
        <f>IFERROR($P1355,PROPER(VLOOKUP($O1355,'Villes en erreur'!$A$2:$B$72,2,FALSE)))</f>
        <v>Saint-Jérôme</v>
      </c>
      <c r="R1355" s="9" t="s">
        <v>3186</v>
      </c>
      <c r="S1355" s="9" t="str">
        <f>IF(ISBLANK($R1355),"",VLOOKUP($R1355,'Liste des Villes'!$B$2:$H$1128,4,FALSE))</f>
        <v>Laurentides</v>
      </c>
      <c r="T1355" s="2" t="s">
        <v>5654</v>
      </c>
      <c r="U1355" s="2" t="s">
        <v>39</v>
      </c>
      <c r="V1355" s="2" t="s">
        <v>40</v>
      </c>
      <c r="W1355" s="2" t="s">
        <v>6862</v>
      </c>
      <c r="X1355" s="2"/>
      <c r="Y1355" s="2"/>
      <c r="Z1355" s="2"/>
      <c r="AA1355" s="2" t="s">
        <v>3293</v>
      </c>
      <c r="AB1355" s="2" t="s">
        <v>53</v>
      </c>
      <c r="AC1355" s="4" t="s">
        <v>44</v>
      </c>
    </row>
    <row r="1356" spans="1:29" x14ac:dyDescent="0.25">
      <c r="A1356" s="1">
        <v>2120</v>
      </c>
      <c r="B1356" s="17" t="s">
        <v>6863</v>
      </c>
      <c r="C1356" s="2" t="s">
        <v>4939</v>
      </c>
      <c r="D1356" s="15" t="s">
        <v>1378</v>
      </c>
      <c r="E1356" s="9" t="s">
        <v>4940</v>
      </c>
      <c r="F1356" s="9" t="s">
        <v>1918</v>
      </c>
      <c r="G1356" s="9" t="s">
        <v>3265</v>
      </c>
      <c r="H1356" s="2" t="s">
        <v>60</v>
      </c>
      <c r="I1356" s="3">
        <v>35921</v>
      </c>
      <c r="J1356" s="9" t="str">
        <f t="shared" ca="1" si="23"/>
        <v>25 ans</v>
      </c>
      <c r="K1356" s="2" t="s">
        <v>123</v>
      </c>
      <c r="L1356" s="2" t="str">
        <f>"161"</f>
        <v>161</v>
      </c>
      <c r="M1356" s="2"/>
      <c r="N1356" s="2" t="str">
        <f>"MONTEE FILION"</f>
        <v>MONTEE FILION</v>
      </c>
      <c r="O1356" s="2" t="s">
        <v>3185</v>
      </c>
      <c r="P1356" s="9" t="str">
        <f>VLOOKUP($O1356,'Liste des Villes'!$B$2:$B$1128,1,FALSE)</f>
        <v>Saint-Jérôme</v>
      </c>
      <c r="Q1356" s="9" t="str">
        <f>IFERROR($P1356,PROPER(VLOOKUP($O1356,'Villes en erreur'!$A$2:$B$72,2,FALSE)))</f>
        <v>Saint-Jérôme</v>
      </c>
      <c r="R1356" s="9" t="s">
        <v>3186</v>
      </c>
      <c r="S1356" s="9" t="str">
        <f>IF(ISBLANK($R1356),"",VLOOKUP($R1356,'Liste des Villes'!$B$2:$H$1128,4,FALSE))</f>
        <v>Laurentides</v>
      </c>
      <c r="T1356" s="2" t="s">
        <v>6864</v>
      </c>
      <c r="U1356" s="2" t="s">
        <v>39</v>
      </c>
      <c r="V1356" s="2" t="s">
        <v>40</v>
      </c>
      <c r="W1356" s="2" t="s">
        <v>6865</v>
      </c>
      <c r="X1356" s="2"/>
      <c r="Y1356" s="2"/>
      <c r="Z1356" s="2"/>
      <c r="AA1356" s="2" t="s">
        <v>3243</v>
      </c>
      <c r="AB1356" s="2" t="s">
        <v>3221</v>
      </c>
      <c r="AC1356" s="4" t="s">
        <v>44</v>
      </c>
    </row>
    <row r="1357" spans="1:29" x14ac:dyDescent="0.25">
      <c r="A1357" s="1">
        <v>1847</v>
      </c>
      <c r="B1357" s="17" t="s">
        <v>6866</v>
      </c>
      <c r="C1357" s="2" t="s">
        <v>6867</v>
      </c>
      <c r="D1357" s="15" t="s">
        <v>6868</v>
      </c>
      <c r="E1357" s="9" t="s">
        <v>6869</v>
      </c>
      <c r="F1357" s="9" t="s">
        <v>1800</v>
      </c>
      <c r="G1357" s="9" t="s">
        <v>495</v>
      </c>
      <c r="H1357" s="2" t="s">
        <v>35</v>
      </c>
      <c r="I1357" s="3">
        <v>34734</v>
      </c>
      <c r="J1357" s="9" t="str">
        <f t="shared" ca="1" si="23"/>
        <v>28 ans</v>
      </c>
      <c r="K1357" s="2" t="s">
        <v>36</v>
      </c>
      <c r="L1357" s="2" t="str">
        <f>"73"</f>
        <v>73</v>
      </c>
      <c r="M1357" s="2"/>
      <c r="N1357" s="2" t="str">
        <f>"CH DE TOURAINE"</f>
        <v>CH DE TOURAINE</v>
      </c>
      <c r="O1357" s="2" t="s">
        <v>3185</v>
      </c>
      <c r="P1357" s="9" t="str">
        <f>VLOOKUP($O1357,'Liste des Villes'!$B$2:$B$1128,1,FALSE)</f>
        <v>Saint-Jérôme</v>
      </c>
      <c r="Q1357" s="9" t="str">
        <f>IFERROR($P1357,PROPER(VLOOKUP($O1357,'Villes en erreur'!$A$2:$B$72,2,FALSE)))</f>
        <v>Saint-Jérôme</v>
      </c>
      <c r="R1357" s="9" t="s">
        <v>3186</v>
      </c>
      <c r="S1357" s="9" t="str">
        <f>IF(ISBLANK($R1357),"",VLOOKUP($R1357,'Liste des Villes'!$B$2:$H$1128,4,FALSE))</f>
        <v>Laurentides</v>
      </c>
      <c r="T1357" s="2" t="s">
        <v>3187</v>
      </c>
      <c r="U1357" s="2" t="s">
        <v>39</v>
      </c>
      <c r="V1357" s="2" t="s">
        <v>40</v>
      </c>
      <c r="W1357" s="2" t="s">
        <v>6870</v>
      </c>
      <c r="X1357" s="2"/>
      <c r="Y1357" s="2"/>
      <c r="Z1357" s="2"/>
      <c r="AA1357" s="2" t="s">
        <v>3225</v>
      </c>
      <c r="AB1357" s="2" t="s">
        <v>53</v>
      </c>
      <c r="AC1357" s="4" t="s">
        <v>44</v>
      </c>
    </row>
    <row r="1358" spans="1:29" x14ac:dyDescent="0.25">
      <c r="A1358" s="1">
        <v>1031</v>
      </c>
      <c r="B1358" s="17" t="s">
        <v>6871</v>
      </c>
      <c r="C1358" s="2" t="s">
        <v>6872</v>
      </c>
      <c r="D1358" s="15" t="s">
        <v>6873</v>
      </c>
      <c r="E1358" s="9" t="s">
        <v>6874</v>
      </c>
      <c r="F1358" s="9" t="s">
        <v>6875</v>
      </c>
      <c r="G1358" s="9" t="s">
        <v>4691</v>
      </c>
      <c r="H1358" s="2" t="s">
        <v>60</v>
      </c>
      <c r="I1358" s="3">
        <v>35580</v>
      </c>
      <c r="J1358" s="9" t="str">
        <f t="shared" ca="1" si="23"/>
        <v>26 ans</v>
      </c>
      <c r="K1358" s="2" t="s">
        <v>36</v>
      </c>
      <c r="L1358" s="2" t="str">
        <f>"126"</f>
        <v>126</v>
      </c>
      <c r="M1358" s="2"/>
      <c r="N1358" s="2" t="str">
        <f>"CROISSANT DE LA TAMISE"</f>
        <v>CROISSANT DE LA TAMISE</v>
      </c>
      <c r="O1358" s="2" t="s">
        <v>3185</v>
      </c>
      <c r="P1358" s="9" t="str">
        <f>VLOOKUP($O1358,'Liste des Villes'!$B$2:$B$1128,1,FALSE)</f>
        <v>Saint-Jérôme</v>
      </c>
      <c r="Q1358" s="9" t="str">
        <f>IFERROR($P1358,PROPER(VLOOKUP($O1358,'Villes en erreur'!$A$2:$B$72,2,FALSE)))</f>
        <v>Saint-Jérôme</v>
      </c>
      <c r="R1358" s="9" t="s">
        <v>3186</v>
      </c>
      <c r="S1358" s="9" t="str">
        <f>IF(ISBLANK($R1358),"",VLOOKUP($R1358,'Liste des Villes'!$B$2:$H$1128,4,FALSE))</f>
        <v>Laurentides</v>
      </c>
      <c r="T1358" s="2" t="s">
        <v>6527</v>
      </c>
      <c r="U1358" s="2" t="s">
        <v>39</v>
      </c>
      <c r="V1358" s="2" t="s">
        <v>40</v>
      </c>
      <c r="W1358" s="2" t="s">
        <v>6876</v>
      </c>
      <c r="X1358" s="2"/>
      <c r="Y1358" s="2"/>
      <c r="Z1358" s="2"/>
      <c r="AA1358" s="2" t="s">
        <v>3199</v>
      </c>
      <c r="AB1358" s="2" t="s">
        <v>3221</v>
      </c>
      <c r="AC1358" s="4" t="s">
        <v>44</v>
      </c>
    </row>
    <row r="1359" spans="1:29" x14ac:dyDescent="0.25">
      <c r="A1359" s="1">
        <v>2971</v>
      </c>
      <c r="B1359" s="17" t="s">
        <v>6877</v>
      </c>
      <c r="C1359" s="2" t="s">
        <v>6878</v>
      </c>
      <c r="D1359" s="15" t="s">
        <v>6879</v>
      </c>
      <c r="E1359" s="9" t="s">
        <v>6880</v>
      </c>
      <c r="F1359" s="9" t="s">
        <v>6881</v>
      </c>
      <c r="G1359" s="9" t="s">
        <v>5448</v>
      </c>
      <c r="H1359" s="2" t="s">
        <v>60</v>
      </c>
      <c r="I1359" s="3">
        <v>36215</v>
      </c>
      <c r="J1359" s="9" t="str">
        <f t="shared" ca="1" si="23"/>
        <v>24 ans</v>
      </c>
      <c r="K1359" s="2" t="s">
        <v>123</v>
      </c>
      <c r="L1359" s="2" t="str">
        <f>"251"</f>
        <v>251</v>
      </c>
      <c r="M1359" s="2"/>
      <c r="N1359" s="2" t="str">
        <f>"RUE BASTIEN"</f>
        <v>RUE BASTIEN</v>
      </c>
      <c r="O1359" s="2" t="s">
        <v>3185</v>
      </c>
      <c r="P1359" s="9" t="str">
        <f>VLOOKUP($O1359,'Liste des Villes'!$B$2:$B$1128,1,FALSE)</f>
        <v>Saint-Jérôme</v>
      </c>
      <c r="Q1359" s="9" t="str">
        <f>IFERROR($P1359,PROPER(VLOOKUP($O1359,'Villes en erreur'!$A$2:$B$72,2,FALSE)))</f>
        <v>Saint-Jérôme</v>
      </c>
      <c r="R1359" s="9" t="s">
        <v>3186</v>
      </c>
      <c r="S1359" s="9" t="str">
        <f>IF(ISBLANK($R1359),"",VLOOKUP($R1359,'Liste des Villes'!$B$2:$H$1128,4,FALSE))</f>
        <v>Laurentides</v>
      </c>
      <c r="T1359" s="2" t="s">
        <v>4401</v>
      </c>
      <c r="U1359" s="2" t="s">
        <v>39</v>
      </c>
      <c r="V1359" s="2" t="s">
        <v>40</v>
      </c>
      <c r="W1359" s="2" t="s">
        <v>6882</v>
      </c>
      <c r="X1359" s="2"/>
      <c r="Y1359" s="2"/>
      <c r="Z1359" s="2"/>
      <c r="AA1359" s="2" t="s">
        <v>832</v>
      </c>
      <c r="AB1359" s="2" t="s">
        <v>3288</v>
      </c>
      <c r="AC1359" s="4" t="s">
        <v>44</v>
      </c>
    </row>
    <row r="1360" spans="1:29" x14ac:dyDescent="0.25">
      <c r="A1360" s="1">
        <v>1076</v>
      </c>
      <c r="B1360" s="17" t="s">
        <v>6883</v>
      </c>
      <c r="C1360" s="2" t="s">
        <v>598</v>
      </c>
      <c r="D1360" s="15" t="s">
        <v>599</v>
      </c>
      <c r="E1360" s="9" t="s">
        <v>600</v>
      </c>
      <c r="F1360" s="9" t="s">
        <v>6884</v>
      </c>
      <c r="G1360" s="9" t="s">
        <v>92</v>
      </c>
      <c r="H1360" s="2" t="s">
        <v>35</v>
      </c>
      <c r="I1360" s="3">
        <v>35461</v>
      </c>
      <c r="J1360" s="9" t="str">
        <f t="shared" ca="1" si="23"/>
        <v>26 ans</v>
      </c>
      <c r="K1360" s="2" t="s">
        <v>36</v>
      </c>
      <c r="L1360" s="2" t="str">
        <f>"116"</f>
        <v>116</v>
      </c>
      <c r="M1360" s="2"/>
      <c r="N1360" s="2" t="str">
        <f>"CHEMIN GASCON"</f>
        <v>CHEMIN GASCON</v>
      </c>
      <c r="O1360" s="2" t="s">
        <v>3185</v>
      </c>
      <c r="P1360" s="9" t="str">
        <f>VLOOKUP($O1360,'Liste des Villes'!$B$2:$B$1128,1,FALSE)</f>
        <v>Saint-Jérôme</v>
      </c>
      <c r="Q1360" s="9" t="str">
        <f>IFERROR($P1360,PROPER(VLOOKUP($O1360,'Villes en erreur'!$A$2:$B$72,2,FALSE)))</f>
        <v>Saint-Jérôme</v>
      </c>
      <c r="R1360" s="9" t="s">
        <v>3186</v>
      </c>
      <c r="S1360" s="9" t="str">
        <f>IF(ISBLANK($R1360),"",VLOOKUP($R1360,'Liste des Villes'!$B$2:$H$1128,4,FALSE))</f>
        <v>Laurentides</v>
      </c>
      <c r="T1360" s="2" t="s">
        <v>3369</v>
      </c>
      <c r="U1360" s="2" t="s">
        <v>39</v>
      </c>
      <c r="V1360" s="2" t="s">
        <v>40</v>
      </c>
      <c r="W1360" s="2" t="s">
        <v>6885</v>
      </c>
      <c r="X1360" s="2"/>
      <c r="Y1360" s="2"/>
      <c r="Z1360" s="2"/>
      <c r="AA1360" s="2" t="s">
        <v>3199</v>
      </c>
      <c r="AB1360" s="2" t="s">
        <v>3200</v>
      </c>
      <c r="AC1360" s="4" t="s">
        <v>44</v>
      </c>
    </row>
    <row r="1361" spans="1:29" x14ac:dyDescent="0.25">
      <c r="A1361" s="1">
        <v>3160</v>
      </c>
      <c r="B1361" s="17" t="s">
        <v>6886</v>
      </c>
      <c r="C1361" s="2" t="s">
        <v>6887</v>
      </c>
      <c r="D1361" s="15" t="s">
        <v>165</v>
      </c>
      <c r="E1361" s="9" t="s">
        <v>2779</v>
      </c>
      <c r="F1361" s="9" t="s">
        <v>2780</v>
      </c>
      <c r="G1361" s="9" t="s">
        <v>5197</v>
      </c>
      <c r="H1361" s="2" t="s">
        <v>35</v>
      </c>
      <c r="I1361" s="3">
        <v>35349</v>
      </c>
      <c r="J1361" s="9" t="str">
        <f t="shared" ca="1" si="23"/>
        <v>26 ans</v>
      </c>
      <c r="K1361" s="2" t="s">
        <v>36</v>
      </c>
      <c r="L1361" s="2" t="str">
        <f>"111"</f>
        <v>111</v>
      </c>
      <c r="M1361" s="2"/>
      <c r="N1361" s="2" t="str">
        <f>"CHEMIN DES MONTAGNES"</f>
        <v>CHEMIN DES MONTAGNES</v>
      </c>
      <c r="O1361" s="2" t="s">
        <v>3185</v>
      </c>
      <c r="P1361" s="9" t="str">
        <f>VLOOKUP($O1361,'Liste des Villes'!$B$2:$B$1128,1,FALSE)</f>
        <v>Saint-Jérôme</v>
      </c>
      <c r="Q1361" s="9" t="str">
        <f>IFERROR($P1361,PROPER(VLOOKUP($O1361,'Villes en erreur'!$A$2:$B$72,2,FALSE)))</f>
        <v>Saint-Jérôme</v>
      </c>
      <c r="R1361" s="9" t="s">
        <v>3186</v>
      </c>
      <c r="S1361" s="9" t="str">
        <f>IF(ISBLANK($R1361),"",VLOOKUP($R1361,'Liste des Villes'!$B$2:$H$1128,4,FALSE))</f>
        <v>Laurentides</v>
      </c>
      <c r="T1361" s="2" t="s">
        <v>3524</v>
      </c>
      <c r="U1361" s="2" t="s">
        <v>39</v>
      </c>
      <c r="V1361" s="2" t="s">
        <v>40</v>
      </c>
      <c r="W1361" s="2" t="s">
        <v>6888</v>
      </c>
      <c r="X1361" s="2"/>
      <c r="Y1361" s="2"/>
      <c r="Z1361" s="2"/>
      <c r="AA1361" s="2" t="s">
        <v>3189</v>
      </c>
      <c r="AB1361" s="2" t="s">
        <v>3200</v>
      </c>
      <c r="AC1361" s="4" t="s">
        <v>44</v>
      </c>
    </row>
    <row r="1362" spans="1:29" x14ac:dyDescent="0.25">
      <c r="A1362" s="1">
        <v>809</v>
      </c>
      <c r="B1362" s="17" t="s">
        <v>6889</v>
      </c>
      <c r="C1362" s="2" t="s">
        <v>1029</v>
      </c>
      <c r="D1362" s="15" t="s">
        <v>1030</v>
      </c>
      <c r="E1362" s="9" t="s">
        <v>698</v>
      </c>
      <c r="F1362" s="9" t="s">
        <v>1031</v>
      </c>
      <c r="G1362" s="9" t="s">
        <v>3306</v>
      </c>
      <c r="H1362" s="2" t="s">
        <v>35</v>
      </c>
      <c r="I1362" s="3">
        <v>35855</v>
      </c>
      <c r="J1362" s="9" t="str">
        <f t="shared" ca="1" si="23"/>
        <v>25 ans</v>
      </c>
      <c r="K1362" s="2" t="s">
        <v>123</v>
      </c>
      <c r="L1362" s="2" t="str">
        <f>"150"</f>
        <v>150</v>
      </c>
      <c r="M1362" s="2"/>
      <c r="N1362" s="2" t="str">
        <f>"Louis-Joseph Papineau"</f>
        <v>Louis-Joseph Papineau</v>
      </c>
      <c r="O1362" s="2" t="s">
        <v>3185</v>
      </c>
      <c r="P1362" s="9" t="str">
        <f>VLOOKUP($O1362,'Liste des Villes'!$B$2:$B$1128,1,FALSE)</f>
        <v>Saint-Jérôme</v>
      </c>
      <c r="Q1362" s="9" t="str">
        <f>IFERROR($P1362,PROPER(VLOOKUP($O1362,'Villes en erreur'!$A$2:$B$72,2,FALSE)))</f>
        <v>Saint-Jérôme</v>
      </c>
      <c r="R1362" s="9" t="s">
        <v>3186</v>
      </c>
      <c r="S1362" s="9" t="str">
        <f>IF(ISBLANK($R1362),"",VLOOKUP($R1362,'Liste des Villes'!$B$2:$H$1128,4,FALSE))</f>
        <v>Laurentides</v>
      </c>
      <c r="T1362" s="2" t="s">
        <v>6890</v>
      </c>
      <c r="U1362" s="2" t="s">
        <v>39</v>
      </c>
      <c r="V1362" s="2" t="s">
        <v>40</v>
      </c>
      <c r="W1362" s="2" t="s">
        <v>6891</v>
      </c>
      <c r="X1362" s="2"/>
      <c r="Y1362" s="2"/>
      <c r="Z1362" s="2"/>
      <c r="AA1362" s="2" t="s">
        <v>3243</v>
      </c>
      <c r="AB1362" s="2" t="s">
        <v>3221</v>
      </c>
      <c r="AC1362" s="4" t="s">
        <v>44</v>
      </c>
    </row>
    <row r="1363" spans="1:29" x14ac:dyDescent="0.25">
      <c r="A1363" s="1">
        <v>3700</v>
      </c>
      <c r="B1363" s="17" t="s">
        <v>6892</v>
      </c>
      <c r="C1363" s="2" t="s">
        <v>6893</v>
      </c>
      <c r="D1363" s="15" t="s">
        <v>1169</v>
      </c>
      <c r="E1363" s="9" t="s">
        <v>325</v>
      </c>
      <c r="F1363" s="9" t="s">
        <v>6894</v>
      </c>
      <c r="G1363" s="9" t="s">
        <v>6895</v>
      </c>
      <c r="H1363" s="2" t="s">
        <v>60</v>
      </c>
      <c r="I1363" s="3">
        <v>35312</v>
      </c>
      <c r="J1363" s="9" t="str">
        <f t="shared" ca="1" si="23"/>
        <v>26 ans</v>
      </c>
      <c r="K1363" s="2" t="s">
        <v>36</v>
      </c>
      <c r="L1363" s="2" t="str">
        <f>"109"</f>
        <v>109</v>
      </c>
      <c r="M1363" s="2"/>
      <c r="N1363" s="2" t="str">
        <f>"CHEMIN DES CHALUMEAUX"</f>
        <v>CHEMIN DES CHALUMEAUX</v>
      </c>
      <c r="O1363" s="2" t="s">
        <v>3185</v>
      </c>
      <c r="P1363" s="9" t="str">
        <f>VLOOKUP($O1363,'Liste des Villes'!$B$2:$B$1128,1,FALSE)</f>
        <v>Saint-Jérôme</v>
      </c>
      <c r="Q1363" s="9" t="str">
        <f>IFERROR($P1363,PROPER(VLOOKUP($O1363,'Villes en erreur'!$A$2:$B$72,2,FALSE)))</f>
        <v>Saint-Jérôme</v>
      </c>
      <c r="R1363" s="9" t="s">
        <v>3186</v>
      </c>
      <c r="S1363" s="9" t="str">
        <f>IF(ISBLANK($R1363),"",VLOOKUP($R1363,'Liste des Villes'!$B$2:$H$1128,4,FALSE))</f>
        <v>Laurentides</v>
      </c>
      <c r="T1363" s="2" t="s">
        <v>3398</v>
      </c>
      <c r="U1363" s="2" t="s">
        <v>39</v>
      </c>
      <c r="V1363" s="2" t="s">
        <v>40</v>
      </c>
      <c r="W1363" s="2" t="s">
        <v>6896</v>
      </c>
      <c r="X1363" s="2"/>
      <c r="Y1363" s="2"/>
      <c r="Z1363" s="2"/>
      <c r="AA1363" s="2" t="s">
        <v>3189</v>
      </c>
      <c r="AB1363" s="2" t="s">
        <v>3200</v>
      </c>
      <c r="AC1363" s="4" t="s">
        <v>44</v>
      </c>
    </row>
    <row r="1364" spans="1:29" x14ac:dyDescent="0.25">
      <c r="A1364" s="1">
        <v>167</v>
      </c>
      <c r="B1364" s="17" t="s">
        <v>6897</v>
      </c>
      <c r="C1364" s="2" t="s">
        <v>6898</v>
      </c>
      <c r="D1364" s="15" t="s">
        <v>1268</v>
      </c>
      <c r="E1364" s="9" t="s">
        <v>6899</v>
      </c>
      <c r="F1364" s="9" t="s">
        <v>6900</v>
      </c>
      <c r="G1364" s="9" t="s">
        <v>6901</v>
      </c>
      <c r="H1364" s="2" t="s">
        <v>60</v>
      </c>
      <c r="I1364" s="3">
        <v>35880</v>
      </c>
      <c r="J1364" s="9" t="str">
        <f t="shared" ca="1" si="23"/>
        <v>25 ans</v>
      </c>
      <c r="K1364" s="2" t="s">
        <v>123</v>
      </c>
      <c r="L1364" s="2" t="str">
        <f>"154"</f>
        <v>154</v>
      </c>
      <c r="M1364" s="2"/>
      <c r="N1364" s="2" t="str">
        <f>"MILLAU"</f>
        <v>MILLAU</v>
      </c>
      <c r="O1364" s="2" t="s">
        <v>3185</v>
      </c>
      <c r="P1364" s="9" t="str">
        <f>VLOOKUP($O1364,'Liste des Villes'!$B$2:$B$1128,1,FALSE)</f>
        <v>Saint-Jérôme</v>
      </c>
      <c r="Q1364" s="9" t="str">
        <f>IFERROR($P1364,PROPER(VLOOKUP($O1364,'Villes en erreur'!$A$2:$B$72,2,FALSE)))</f>
        <v>Saint-Jérôme</v>
      </c>
      <c r="R1364" s="9" t="s">
        <v>3186</v>
      </c>
      <c r="S1364" s="9" t="str">
        <f>IF(ISBLANK($R1364),"",VLOOKUP($R1364,'Liste des Villes'!$B$2:$H$1128,4,FALSE))</f>
        <v>Laurentides</v>
      </c>
      <c r="T1364" s="2" t="s">
        <v>6902</v>
      </c>
      <c r="U1364" s="2" t="s">
        <v>39</v>
      </c>
      <c r="V1364" s="2" t="s">
        <v>40</v>
      </c>
      <c r="W1364" s="2" t="s">
        <v>6903</v>
      </c>
      <c r="X1364" s="2"/>
      <c r="Y1364" s="2"/>
      <c r="Z1364" s="2"/>
      <c r="AA1364" s="2" t="s">
        <v>3243</v>
      </c>
      <c r="AB1364" s="2" t="s">
        <v>3221</v>
      </c>
      <c r="AC1364" s="4" t="s">
        <v>44</v>
      </c>
    </row>
    <row r="1365" spans="1:29" x14ac:dyDescent="0.25">
      <c r="A1365" s="1">
        <v>1608</v>
      </c>
      <c r="B1365" s="17" t="s">
        <v>6904</v>
      </c>
      <c r="C1365" s="2" t="s">
        <v>2354</v>
      </c>
      <c r="D1365" s="15" t="s">
        <v>582</v>
      </c>
      <c r="E1365" s="9" t="s">
        <v>2355</v>
      </c>
      <c r="F1365" s="9" t="s">
        <v>2001</v>
      </c>
      <c r="G1365" s="9" t="s">
        <v>469</v>
      </c>
      <c r="H1365" s="2" t="s">
        <v>35</v>
      </c>
      <c r="I1365" s="3">
        <v>35313</v>
      </c>
      <c r="J1365" s="9" t="str">
        <f t="shared" ca="1" si="23"/>
        <v>26 ans</v>
      </c>
      <c r="K1365" s="2" t="s">
        <v>36</v>
      </c>
      <c r="L1365" s="2" t="str">
        <f>"109"</f>
        <v>109</v>
      </c>
      <c r="M1365" s="2"/>
      <c r="N1365" s="2" t="str">
        <f>"CHEMIN DES CHÊNES"</f>
        <v>CHEMIN DES CHÊNES</v>
      </c>
      <c r="O1365" s="2" t="s">
        <v>3185</v>
      </c>
      <c r="P1365" s="9" t="str">
        <f>VLOOKUP($O1365,'Liste des Villes'!$B$2:$B$1128,1,FALSE)</f>
        <v>Saint-Jérôme</v>
      </c>
      <c r="Q1365" s="9" t="str">
        <f>IFERROR($P1365,PROPER(VLOOKUP($O1365,'Villes en erreur'!$A$2:$B$72,2,FALSE)))</f>
        <v>Saint-Jérôme</v>
      </c>
      <c r="R1365" s="9" t="s">
        <v>3186</v>
      </c>
      <c r="S1365" s="9" t="str">
        <f>IF(ISBLANK($R1365),"",VLOOKUP($R1365,'Liste des Villes'!$B$2:$H$1128,4,FALSE))</f>
        <v>Laurentides</v>
      </c>
      <c r="T1365" s="2" t="s">
        <v>4321</v>
      </c>
      <c r="U1365" s="2" t="s">
        <v>39</v>
      </c>
      <c r="V1365" s="2" t="s">
        <v>40</v>
      </c>
      <c r="W1365" s="2" t="s">
        <v>6905</v>
      </c>
      <c r="X1365" s="2"/>
      <c r="Y1365" s="2"/>
      <c r="Z1365" s="2"/>
      <c r="AA1365" s="2" t="s">
        <v>3189</v>
      </c>
      <c r="AB1365" s="2" t="s">
        <v>3200</v>
      </c>
      <c r="AC1365" s="4" t="s">
        <v>44</v>
      </c>
    </row>
    <row r="1366" spans="1:29" x14ac:dyDescent="0.25">
      <c r="A1366" s="1">
        <v>1004</v>
      </c>
      <c r="B1366" s="17" t="s">
        <v>6906</v>
      </c>
      <c r="C1366" s="2" t="s">
        <v>3936</v>
      </c>
      <c r="D1366" s="15" t="s">
        <v>3937</v>
      </c>
      <c r="E1366" s="9" t="s">
        <v>397</v>
      </c>
      <c r="F1366" s="9" t="s">
        <v>3341</v>
      </c>
      <c r="G1366" s="9" t="s">
        <v>6907</v>
      </c>
      <c r="H1366" s="2" t="s">
        <v>60</v>
      </c>
      <c r="I1366" s="3">
        <v>34790</v>
      </c>
      <c r="J1366" s="9" t="str">
        <f t="shared" ca="1" si="23"/>
        <v>28 ans</v>
      </c>
      <c r="K1366" s="2" t="s">
        <v>36</v>
      </c>
      <c r="L1366" s="2" t="str">
        <f>"76"</f>
        <v>76</v>
      </c>
      <c r="M1366" s="2"/>
      <c r="N1366" s="2" t="str">
        <f>"CH DES CHÊNES"</f>
        <v>CH DES CHÊNES</v>
      </c>
      <c r="O1366" s="2" t="s">
        <v>3185</v>
      </c>
      <c r="P1366" s="9" t="str">
        <f>VLOOKUP($O1366,'Liste des Villes'!$B$2:$B$1128,1,FALSE)</f>
        <v>Saint-Jérôme</v>
      </c>
      <c r="Q1366" s="9" t="str">
        <f>IFERROR($P1366,PROPER(VLOOKUP($O1366,'Villes en erreur'!$A$2:$B$72,2,FALSE)))</f>
        <v>Saint-Jérôme</v>
      </c>
      <c r="R1366" s="9" t="s">
        <v>3186</v>
      </c>
      <c r="S1366" s="9" t="str">
        <f>IF(ISBLANK($R1366),"",VLOOKUP($R1366,'Liste des Villes'!$B$2:$H$1128,4,FALSE))</f>
        <v>Laurentides</v>
      </c>
      <c r="T1366" s="2" t="s">
        <v>3187</v>
      </c>
      <c r="U1366" s="2" t="s">
        <v>39</v>
      </c>
      <c r="V1366" s="2" t="s">
        <v>40</v>
      </c>
      <c r="W1366" s="2" t="s">
        <v>6908</v>
      </c>
      <c r="X1366" s="2"/>
      <c r="Y1366" s="2"/>
      <c r="Z1366" s="2"/>
      <c r="AA1366" s="2" t="s">
        <v>3225</v>
      </c>
      <c r="AB1366" s="2" t="s">
        <v>53</v>
      </c>
      <c r="AC1366" s="4" t="s">
        <v>44</v>
      </c>
    </row>
    <row r="1367" spans="1:29" x14ac:dyDescent="0.25">
      <c r="A1367" s="1">
        <v>4171</v>
      </c>
      <c r="B1367" s="17" t="s">
        <v>6909</v>
      </c>
      <c r="C1367" s="2" t="s">
        <v>6910</v>
      </c>
      <c r="D1367" s="15" t="s">
        <v>1537</v>
      </c>
      <c r="E1367" s="9" t="s">
        <v>354</v>
      </c>
      <c r="F1367" s="9" t="s">
        <v>1536</v>
      </c>
      <c r="G1367" s="9" t="s">
        <v>6911</v>
      </c>
      <c r="H1367" s="2" t="s">
        <v>60</v>
      </c>
      <c r="I1367" s="3">
        <v>35937</v>
      </c>
      <c r="J1367" s="9" t="str">
        <f t="shared" ca="1" si="23"/>
        <v>25 ans</v>
      </c>
      <c r="K1367" s="2" t="s">
        <v>123</v>
      </c>
      <c r="L1367" s="2" t="str">
        <f>"164"</f>
        <v>164</v>
      </c>
      <c r="M1367" s="2"/>
      <c r="N1367" s="2" t="str">
        <f>"MONTEE MOREL"</f>
        <v>MONTEE MOREL</v>
      </c>
      <c r="O1367" s="2" t="s">
        <v>3185</v>
      </c>
      <c r="P1367" s="9" t="str">
        <f>VLOOKUP($O1367,'Liste des Villes'!$B$2:$B$1128,1,FALSE)</f>
        <v>Saint-Jérôme</v>
      </c>
      <c r="Q1367" s="9" t="str">
        <f>IFERROR($P1367,PROPER(VLOOKUP($O1367,'Villes en erreur'!$A$2:$B$72,2,FALSE)))</f>
        <v>Saint-Jérôme</v>
      </c>
      <c r="R1367" s="9" t="s">
        <v>3186</v>
      </c>
      <c r="S1367" s="9" t="str">
        <f>IF(ISBLANK($R1367),"",VLOOKUP($R1367,'Liste des Villes'!$B$2:$H$1128,4,FALSE))</f>
        <v>Laurentides</v>
      </c>
      <c r="T1367" s="2" t="s">
        <v>3632</v>
      </c>
      <c r="U1367" s="2" t="s">
        <v>39</v>
      </c>
      <c r="V1367" s="2" t="s">
        <v>40</v>
      </c>
      <c r="W1367" s="2" t="s">
        <v>6912</v>
      </c>
      <c r="X1367" s="2"/>
      <c r="Y1367" s="2"/>
      <c r="Z1367" s="2"/>
      <c r="AA1367" s="2" t="s">
        <v>832</v>
      </c>
      <c r="AB1367" s="2" t="s">
        <v>3221</v>
      </c>
      <c r="AC1367" s="4" t="s">
        <v>44</v>
      </c>
    </row>
    <row r="1368" spans="1:29" x14ac:dyDescent="0.25">
      <c r="A1368" s="1">
        <v>1478</v>
      </c>
      <c r="B1368" s="17" t="s">
        <v>6913</v>
      </c>
      <c r="C1368" s="2" t="s">
        <v>6914</v>
      </c>
      <c r="D1368" s="15" t="s">
        <v>6915</v>
      </c>
      <c r="E1368" s="9" t="s">
        <v>389</v>
      </c>
      <c r="F1368" s="9" t="s">
        <v>6916</v>
      </c>
      <c r="G1368" s="9" t="s">
        <v>495</v>
      </c>
      <c r="H1368" s="2" t="s">
        <v>35</v>
      </c>
      <c r="I1368" s="3">
        <v>34527</v>
      </c>
      <c r="J1368" s="9" t="str">
        <f t="shared" ca="1" si="23"/>
        <v>29 ans</v>
      </c>
      <c r="K1368" s="2" t="s">
        <v>36</v>
      </c>
      <c r="L1368" s="2" t="str">
        <f>"64"</f>
        <v>64</v>
      </c>
      <c r="M1368" s="2"/>
      <c r="N1368" s="2" t="str">
        <f>"CH DE KONINCK"</f>
        <v>CH DE KONINCK</v>
      </c>
      <c r="O1368" s="2" t="s">
        <v>3185</v>
      </c>
      <c r="P1368" s="9" t="str">
        <f>VLOOKUP($O1368,'Liste des Villes'!$B$2:$B$1128,1,FALSE)</f>
        <v>Saint-Jérôme</v>
      </c>
      <c r="Q1368" s="9" t="str">
        <f>IFERROR($P1368,PROPER(VLOOKUP($O1368,'Villes en erreur'!$A$2:$B$72,2,FALSE)))</f>
        <v>Saint-Jérôme</v>
      </c>
      <c r="R1368" s="9" t="s">
        <v>3186</v>
      </c>
      <c r="S1368" s="9" t="str">
        <f>IF(ISBLANK($R1368),"",VLOOKUP($R1368,'Liste des Villes'!$B$2:$H$1128,4,FALSE))</f>
        <v>Laurentides</v>
      </c>
      <c r="T1368" s="2" t="s">
        <v>3954</v>
      </c>
      <c r="U1368" s="2" t="s">
        <v>39</v>
      </c>
      <c r="V1368" s="2" t="s">
        <v>40</v>
      </c>
      <c r="W1368" s="2" t="s">
        <v>6917</v>
      </c>
      <c r="X1368" s="2"/>
      <c r="Y1368" s="2"/>
      <c r="Z1368" s="2"/>
      <c r="AA1368" s="2" t="s">
        <v>3225</v>
      </c>
      <c r="AB1368" s="2" t="s">
        <v>53</v>
      </c>
      <c r="AC1368" s="4" t="s">
        <v>44</v>
      </c>
    </row>
    <row r="1369" spans="1:29" x14ac:dyDescent="0.25">
      <c r="A1369" s="1">
        <v>2372</v>
      </c>
      <c r="B1369" s="17" t="s">
        <v>6918</v>
      </c>
      <c r="C1369" s="2" t="s">
        <v>6919</v>
      </c>
      <c r="D1369" s="15" t="s">
        <v>6240</v>
      </c>
      <c r="E1369" s="9" t="s">
        <v>1355</v>
      </c>
      <c r="F1369" s="9" t="s">
        <v>6239</v>
      </c>
      <c r="G1369" s="9" t="s">
        <v>186</v>
      </c>
      <c r="H1369" s="2" t="s">
        <v>60</v>
      </c>
      <c r="I1369" s="3">
        <v>34893</v>
      </c>
      <c r="J1369" s="9" t="str">
        <f t="shared" ca="1" si="23"/>
        <v>28 ans</v>
      </c>
      <c r="K1369" s="2" t="s">
        <v>36</v>
      </c>
      <c r="L1369" s="2" t="str">
        <f>"82"</f>
        <v>82</v>
      </c>
      <c r="M1369" s="2"/>
      <c r="N1369" s="2" t="str">
        <f>"CH DES SORBIERS"</f>
        <v>CH DES SORBIERS</v>
      </c>
      <c r="O1369" s="2" t="s">
        <v>3185</v>
      </c>
      <c r="P1369" s="9" t="str">
        <f>VLOOKUP($O1369,'Liste des Villes'!$B$2:$B$1128,1,FALSE)</f>
        <v>Saint-Jérôme</v>
      </c>
      <c r="Q1369" s="9" t="str">
        <f>IFERROR($P1369,PROPER(VLOOKUP($O1369,'Villes en erreur'!$A$2:$B$72,2,FALSE)))</f>
        <v>Saint-Jérôme</v>
      </c>
      <c r="R1369" s="9" t="s">
        <v>3186</v>
      </c>
      <c r="S1369" s="9" t="str">
        <f>IF(ISBLANK($R1369),"",VLOOKUP($R1369,'Liste des Villes'!$B$2:$H$1128,4,FALSE))</f>
        <v>Laurentides</v>
      </c>
      <c r="T1369" s="2" t="s">
        <v>3187</v>
      </c>
      <c r="U1369" s="2" t="s">
        <v>39</v>
      </c>
      <c r="V1369" s="2" t="s">
        <v>40</v>
      </c>
      <c r="W1369" s="2" t="s">
        <v>6920</v>
      </c>
      <c r="X1369" s="2"/>
      <c r="Y1369" s="2"/>
      <c r="Z1369" s="2"/>
      <c r="AA1369" s="2" t="s">
        <v>3231</v>
      </c>
      <c r="AB1369" s="2" t="s">
        <v>53</v>
      </c>
      <c r="AC1369" s="4" t="s">
        <v>44</v>
      </c>
    </row>
    <row r="1370" spans="1:29" x14ac:dyDescent="0.25">
      <c r="A1370" s="1">
        <v>4436</v>
      </c>
      <c r="B1370" s="17" t="s">
        <v>6921</v>
      </c>
      <c r="C1370" s="2" t="s">
        <v>5120</v>
      </c>
      <c r="D1370" s="15" t="s">
        <v>2700</v>
      </c>
      <c r="E1370" s="9" t="s">
        <v>509</v>
      </c>
      <c r="F1370" s="9" t="s">
        <v>2698</v>
      </c>
      <c r="G1370" s="9" t="s">
        <v>6922</v>
      </c>
      <c r="H1370" s="2" t="s">
        <v>35</v>
      </c>
      <c r="I1370" s="3">
        <v>35177</v>
      </c>
      <c r="J1370" s="9" t="str">
        <f t="shared" ca="1" si="23"/>
        <v>27 ans</v>
      </c>
      <c r="K1370" s="2" t="s">
        <v>36</v>
      </c>
      <c r="L1370" s="2" t="str">
        <f>"104"</f>
        <v>104</v>
      </c>
      <c r="M1370" s="2"/>
      <c r="N1370" s="2" t="str">
        <f>"CH SAINT-STANISLAS"</f>
        <v>CH SAINT-STANISLAS</v>
      </c>
      <c r="O1370" s="2" t="s">
        <v>3185</v>
      </c>
      <c r="P1370" s="9" t="str">
        <f>VLOOKUP($O1370,'Liste des Villes'!$B$2:$B$1128,1,FALSE)</f>
        <v>Saint-Jérôme</v>
      </c>
      <c r="Q1370" s="9" t="str">
        <f>IFERROR($P1370,PROPER(VLOOKUP($O1370,'Villes en erreur'!$A$2:$B$72,2,FALSE)))</f>
        <v>Saint-Jérôme</v>
      </c>
      <c r="R1370" s="9" t="s">
        <v>3186</v>
      </c>
      <c r="S1370" s="9" t="str">
        <f>IF(ISBLANK($R1370),"",VLOOKUP($R1370,'Liste des Villes'!$B$2:$H$1128,4,FALSE))</f>
        <v>Laurentides</v>
      </c>
      <c r="T1370" s="2" t="s">
        <v>3187</v>
      </c>
      <c r="U1370" s="2" t="s">
        <v>39</v>
      </c>
      <c r="V1370" s="2" t="s">
        <v>40</v>
      </c>
      <c r="W1370" s="2" t="s">
        <v>6923</v>
      </c>
      <c r="X1370" s="2"/>
      <c r="Y1370" s="2"/>
      <c r="Z1370" s="2"/>
      <c r="AA1370" s="2" t="s">
        <v>3189</v>
      </c>
      <c r="AB1370" s="2" t="s">
        <v>3190</v>
      </c>
      <c r="AC1370" s="4" t="s">
        <v>44</v>
      </c>
    </row>
    <row r="1371" spans="1:29" x14ac:dyDescent="0.25">
      <c r="A1371" s="1">
        <v>2340</v>
      </c>
      <c r="B1371" s="17" t="s">
        <v>6924</v>
      </c>
      <c r="C1371" s="2" t="s">
        <v>6925</v>
      </c>
      <c r="D1371" s="15" t="s">
        <v>6926</v>
      </c>
      <c r="E1371" s="9" t="s">
        <v>1560</v>
      </c>
      <c r="F1371" s="9" t="s">
        <v>867</v>
      </c>
      <c r="G1371" s="9" t="s">
        <v>1037</v>
      </c>
      <c r="H1371" s="2" t="s">
        <v>35</v>
      </c>
      <c r="I1371" s="3">
        <v>36064</v>
      </c>
      <c r="J1371" s="9" t="str">
        <f t="shared" ca="1" si="23"/>
        <v>24 ans</v>
      </c>
      <c r="K1371" s="2" t="s">
        <v>123</v>
      </c>
      <c r="L1371" s="2" t="str">
        <f>"194"</f>
        <v>194</v>
      </c>
      <c r="M1371" s="2"/>
      <c r="N1371" s="2" t="str">
        <f>"Rang Double"</f>
        <v>Rang Double</v>
      </c>
      <c r="O1371" s="2" t="s">
        <v>3185</v>
      </c>
      <c r="P1371" s="9" t="str">
        <f>VLOOKUP($O1371,'Liste des Villes'!$B$2:$B$1128,1,FALSE)</f>
        <v>Saint-Jérôme</v>
      </c>
      <c r="Q1371" s="9" t="str">
        <f>IFERROR($P1371,PROPER(VLOOKUP($O1371,'Villes en erreur'!$A$2:$B$72,2,FALSE)))</f>
        <v>Saint-Jérôme</v>
      </c>
      <c r="R1371" s="9" t="s">
        <v>3186</v>
      </c>
      <c r="S1371" s="9" t="str">
        <f>IF(ISBLANK($R1371),"",VLOOKUP($R1371,'Liste des Villes'!$B$2:$H$1128,4,FALSE))</f>
        <v>Laurentides</v>
      </c>
      <c r="T1371" s="2" t="s">
        <v>6927</v>
      </c>
      <c r="U1371" s="2" t="s">
        <v>39</v>
      </c>
      <c r="V1371" s="2" t="s">
        <v>40</v>
      </c>
      <c r="W1371" s="2" t="s">
        <v>6928</v>
      </c>
      <c r="X1371" s="2"/>
      <c r="Y1371" s="2"/>
      <c r="Z1371" s="2"/>
      <c r="AA1371" s="2" t="s">
        <v>832</v>
      </c>
      <c r="AB1371" s="2" t="s">
        <v>3221</v>
      </c>
      <c r="AC1371" s="4" t="s">
        <v>44</v>
      </c>
    </row>
    <row r="1372" spans="1:29" x14ac:dyDescent="0.25">
      <c r="A1372" s="1">
        <v>440</v>
      </c>
      <c r="B1372" s="17" t="s">
        <v>6929</v>
      </c>
      <c r="C1372" s="2" t="s">
        <v>6930</v>
      </c>
      <c r="D1372" s="15" t="s">
        <v>1237</v>
      </c>
      <c r="E1372" s="9" t="s">
        <v>6931</v>
      </c>
      <c r="F1372" s="9" t="s">
        <v>1235</v>
      </c>
      <c r="G1372" s="9" t="s">
        <v>6380</v>
      </c>
      <c r="H1372" s="2" t="s">
        <v>60</v>
      </c>
      <c r="I1372" s="3">
        <v>35476</v>
      </c>
      <c r="J1372" s="9" t="str">
        <f t="shared" ca="1" si="23"/>
        <v>26 ans</v>
      </c>
      <c r="K1372" s="2" t="s">
        <v>36</v>
      </c>
      <c r="L1372" s="2" t="str">
        <f>"117"</f>
        <v>117</v>
      </c>
      <c r="M1372" s="2"/>
      <c r="N1372" s="2" t="str">
        <f>"CHEMIN LAURIN"</f>
        <v>CHEMIN LAURIN</v>
      </c>
      <c r="O1372" s="2" t="s">
        <v>3185</v>
      </c>
      <c r="P1372" s="9" t="str">
        <f>VLOOKUP($O1372,'Liste des Villes'!$B$2:$B$1128,1,FALSE)</f>
        <v>Saint-Jérôme</v>
      </c>
      <c r="Q1372" s="9" t="str">
        <f>IFERROR($P1372,PROPER(VLOOKUP($O1372,'Villes en erreur'!$A$2:$B$72,2,FALSE)))</f>
        <v>Saint-Jérôme</v>
      </c>
      <c r="R1372" s="9" t="s">
        <v>3186</v>
      </c>
      <c r="S1372" s="9" t="str">
        <f>IF(ISBLANK($R1372),"",VLOOKUP($R1372,'Liste des Villes'!$B$2:$H$1128,4,FALSE))</f>
        <v>Laurentides</v>
      </c>
      <c r="T1372" s="2" t="s">
        <v>6932</v>
      </c>
      <c r="U1372" s="2" t="s">
        <v>39</v>
      </c>
      <c r="V1372" s="2" t="s">
        <v>40</v>
      </c>
      <c r="W1372" s="2" t="s">
        <v>6933</v>
      </c>
      <c r="X1372" s="2"/>
      <c r="Y1372" s="2"/>
      <c r="Z1372" s="2"/>
      <c r="AA1372" s="2" t="s">
        <v>3199</v>
      </c>
      <c r="AB1372" s="2" t="s">
        <v>3200</v>
      </c>
      <c r="AC1372" s="4" t="s">
        <v>44</v>
      </c>
    </row>
    <row r="1373" spans="1:29" x14ac:dyDescent="0.25">
      <c r="A1373" s="1">
        <v>819</v>
      </c>
      <c r="B1373" s="17" t="s">
        <v>6934</v>
      </c>
      <c r="C1373" s="2" t="s">
        <v>6935</v>
      </c>
      <c r="D1373" s="15" t="s">
        <v>562</v>
      </c>
      <c r="E1373" s="9" t="s">
        <v>6936</v>
      </c>
      <c r="F1373" s="9" t="s">
        <v>599</v>
      </c>
      <c r="G1373" s="9" t="s">
        <v>539</v>
      </c>
      <c r="H1373" s="2" t="s">
        <v>60</v>
      </c>
      <c r="I1373" s="3">
        <v>34361</v>
      </c>
      <c r="J1373" s="9" t="str">
        <f t="shared" ca="1" si="23"/>
        <v>29 ans</v>
      </c>
      <c r="K1373" s="2" t="s">
        <v>36</v>
      </c>
      <c r="L1373" s="2" t="str">
        <f>"53"</f>
        <v>53</v>
      </c>
      <c r="M1373" s="2"/>
      <c r="N1373" s="2" t="str">
        <f>"BOULEVARD RENÉ-LÉVESQUE"</f>
        <v>BOULEVARD RENÉ-LÉVESQUE</v>
      </c>
      <c r="O1373" s="2" t="s">
        <v>3185</v>
      </c>
      <c r="P1373" s="9" t="str">
        <f>VLOOKUP($O1373,'Liste des Villes'!$B$2:$B$1128,1,FALSE)</f>
        <v>Saint-Jérôme</v>
      </c>
      <c r="Q1373" s="9" t="str">
        <f>IFERROR($P1373,PROPER(VLOOKUP($O1373,'Villes en erreur'!$A$2:$B$72,2,FALSE)))</f>
        <v>Saint-Jérôme</v>
      </c>
      <c r="R1373" s="9" t="s">
        <v>3186</v>
      </c>
      <c r="S1373" s="9" t="str">
        <f>IF(ISBLANK($R1373),"",VLOOKUP($R1373,'Liste des Villes'!$B$2:$H$1128,4,FALSE))</f>
        <v>Laurentides</v>
      </c>
      <c r="T1373" s="2" t="s">
        <v>3291</v>
      </c>
      <c r="U1373" s="2" t="s">
        <v>39</v>
      </c>
      <c r="V1373" s="2" t="s">
        <v>40</v>
      </c>
      <c r="W1373" s="2" t="s">
        <v>6937</v>
      </c>
      <c r="X1373" s="2"/>
      <c r="Y1373" s="2"/>
      <c r="Z1373" s="2"/>
      <c r="AA1373" s="2" t="s">
        <v>3360</v>
      </c>
      <c r="AB1373" s="2" t="s">
        <v>53</v>
      </c>
      <c r="AC1373" s="4" t="s">
        <v>44</v>
      </c>
    </row>
    <row r="1374" spans="1:29" x14ac:dyDescent="0.25">
      <c r="A1374" s="1">
        <v>4000</v>
      </c>
      <c r="B1374" s="17" t="s">
        <v>6938</v>
      </c>
      <c r="C1374" s="2" t="s">
        <v>576</v>
      </c>
      <c r="D1374" s="15" t="s">
        <v>203</v>
      </c>
      <c r="E1374" s="9" t="s">
        <v>577</v>
      </c>
      <c r="F1374" s="9" t="s">
        <v>6939</v>
      </c>
      <c r="G1374" s="9" t="s">
        <v>179</v>
      </c>
      <c r="H1374" s="2" t="s">
        <v>60</v>
      </c>
      <c r="I1374" s="3">
        <v>36125</v>
      </c>
      <c r="J1374" s="9" t="str">
        <f t="shared" ca="1" si="23"/>
        <v>24 ans</v>
      </c>
      <c r="K1374" s="2" t="s">
        <v>123</v>
      </c>
      <c r="L1374" s="2" t="str">
        <f>"215"</f>
        <v>215</v>
      </c>
      <c r="M1374" s="2"/>
      <c r="N1374" s="2" t="str">
        <f>"RUE A. GUINDON"</f>
        <v>RUE A. GUINDON</v>
      </c>
      <c r="O1374" s="2" t="s">
        <v>3185</v>
      </c>
      <c r="P1374" s="9" t="str">
        <f>VLOOKUP($O1374,'Liste des Villes'!$B$2:$B$1128,1,FALSE)</f>
        <v>Saint-Jérôme</v>
      </c>
      <c r="Q1374" s="9" t="str">
        <f>IFERROR($P1374,PROPER(VLOOKUP($O1374,'Villes en erreur'!$A$2:$B$72,2,FALSE)))</f>
        <v>Saint-Jérôme</v>
      </c>
      <c r="R1374" s="9" t="s">
        <v>3186</v>
      </c>
      <c r="S1374" s="9" t="str">
        <f>IF(ISBLANK($R1374),"",VLOOKUP($R1374,'Liste des Villes'!$B$2:$H$1128,4,FALSE))</f>
        <v>Laurentides</v>
      </c>
      <c r="T1374" s="2" t="s">
        <v>6940</v>
      </c>
      <c r="U1374" s="2" t="s">
        <v>39</v>
      </c>
      <c r="V1374" s="2" t="s">
        <v>40</v>
      </c>
      <c r="W1374" s="2" t="s">
        <v>6941</v>
      </c>
      <c r="X1374" s="2"/>
      <c r="Y1374" s="2"/>
      <c r="Z1374" s="2"/>
      <c r="AA1374" s="2" t="s">
        <v>832</v>
      </c>
      <c r="AB1374" s="2" t="s">
        <v>3221</v>
      </c>
      <c r="AC1374" s="4" t="s">
        <v>44</v>
      </c>
    </row>
    <row r="1375" spans="1:29" x14ac:dyDescent="0.25">
      <c r="A1375" s="1">
        <v>1896</v>
      </c>
      <c r="B1375" s="17" t="s">
        <v>6942</v>
      </c>
      <c r="C1375" s="2" t="s">
        <v>105</v>
      </c>
      <c r="D1375" s="15" t="s">
        <v>106</v>
      </c>
      <c r="E1375" s="9" t="s">
        <v>107</v>
      </c>
      <c r="F1375" s="9" t="s">
        <v>5257</v>
      </c>
      <c r="G1375" s="9" t="s">
        <v>6943</v>
      </c>
      <c r="H1375" s="2" t="s">
        <v>60</v>
      </c>
      <c r="I1375" s="3">
        <v>34064</v>
      </c>
      <c r="J1375" s="9" t="str">
        <f t="shared" ca="1" si="23"/>
        <v>30 ans</v>
      </c>
      <c r="K1375" s="2" t="s">
        <v>36</v>
      </c>
      <c r="L1375" s="2" t="str">
        <f>"45"</f>
        <v>45</v>
      </c>
      <c r="M1375" s="2"/>
      <c r="N1375" s="2" t="str">
        <f>"BOUL. LAFONTAINE"</f>
        <v>BOUL. LAFONTAINE</v>
      </c>
      <c r="O1375" s="2" t="s">
        <v>3185</v>
      </c>
      <c r="P1375" s="9" t="str">
        <f>VLOOKUP($O1375,'Liste des Villes'!$B$2:$B$1128,1,FALSE)</f>
        <v>Saint-Jérôme</v>
      </c>
      <c r="Q1375" s="9" t="str">
        <f>IFERROR($P1375,PROPER(VLOOKUP($O1375,'Villes en erreur'!$A$2:$B$72,2,FALSE)))</f>
        <v>Saint-Jérôme</v>
      </c>
      <c r="R1375" s="9" t="s">
        <v>3186</v>
      </c>
      <c r="S1375" s="9" t="str">
        <f>IF(ISBLANK($R1375),"",VLOOKUP($R1375,'Liste des Villes'!$B$2:$H$1128,4,FALSE))</f>
        <v>Laurentides</v>
      </c>
      <c r="T1375" s="2" t="s">
        <v>3358</v>
      </c>
      <c r="U1375" s="2" t="s">
        <v>39</v>
      </c>
      <c r="V1375" s="2" t="s">
        <v>40</v>
      </c>
      <c r="W1375" s="2" t="s">
        <v>6944</v>
      </c>
      <c r="X1375" s="2"/>
      <c r="Y1375" s="2"/>
      <c r="Z1375" s="2"/>
      <c r="AA1375" s="2" t="s">
        <v>3360</v>
      </c>
      <c r="AB1375" s="2" t="s">
        <v>53</v>
      </c>
      <c r="AC1375" s="4" t="s">
        <v>44</v>
      </c>
    </row>
    <row r="1376" spans="1:29" x14ac:dyDescent="0.25">
      <c r="A1376" s="1">
        <v>1765</v>
      </c>
      <c r="B1376" s="17" t="s">
        <v>6945</v>
      </c>
      <c r="C1376" s="2" t="s">
        <v>6946</v>
      </c>
      <c r="D1376" s="15" t="s">
        <v>3122</v>
      </c>
      <c r="E1376" s="9" t="s">
        <v>6947</v>
      </c>
      <c r="F1376" s="9" t="s">
        <v>106</v>
      </c>
      <c r="G1376" s="9" t="s">
        <v>6948</v>
      </c>
      <c r="H1376" s="2" t="s">
        <v>60</v>
      </c>
      <c r="I1376" s="3">
        <v>35957</v>
      </c>
      <c r="J1376" s="9" t="str">
        <f t="shared" ca="1" si="23"/>
        <v>25 ans</v>
      </c>
      <c r="K1376" s="2" t="s">
        <v>123</v>
      </c>
      <c r="L1376" s="2" t="str">
        <f>"169"</f>
        <v>169</v>
      </c>
      <c r="M1376" s="2"/>
      <c r="N1376" s="2" t="str">
        <f>"Ouimet"</f>
        <v>Ouimet</v>
      </c>
      <c r="O1376" s="2" t="s">
        <v>3185</v>
      </c>
      <c r="P1376" s="9" t="str">
        <f>VLOOKUP($O1376,'Liste des Villes'!$B$2:$B$1128,1,FALSE)</f>
        <v>Saint-Jérôme</v>
      </c>
      <c r="Q1376" s="9" t="str">
        <f>IFERROR($P1376,PROPER(VLOOKUP($O1376,'Villes en erreur'!$A$2:$B$72,2,FALSE)))</f>
        <v>Saint-Jérôme</v>
      </c>
      <c r="R1376" s="9" t="s">
        <v>3186</v>
      </c>
      <c r="S1376" s="9" t="str">
        <f>IF(ISBLANK($R1376),"",VLOOKUP($R1376,'Liste des Villes'!$B$2:$H$1128,4,FALSE))</f>
        <v>Laurentides</v>
      </c>
      <c r="T1376" s="2" t="s">
        <v>5597</v>
      </c>
      <c r="U1376" s="2" t="s">
        <v>39</v>
      </c>
      <c r="V1376" s="2" t="s">
        <v>40</v>
      </c>
      <c r="W1376" s="2" t="s">
        <v>6949</v>
      </c>
      <c r="X1376" s="2"/>
      <c r="Y1376" s="2"/>
      <c r="Z1376" s="2"/>
      <c r="AA1376" s="2" t="s">
        <v>832</v>
      </c>
      <c r="AB1376" s="2" t="s">
        <v>3221</v>
      </c>
      <c r="AC1376" s="4" t="s">
        <v>44</v>
      </c>
    </row>
    <row r="1377" spans="1:29" x14ac:dyDescent="0.25">
      <c r="A1377" s="1">
        <v>3527</v>
      </c>
      <c r="B1377" s="17" t="s">
        <v>6950</v>
      </c>
      <c r="C1377" s="2" t="s">
        <v>6951</v>
      </c>
      <c r="D1377" s="15" t="s">
        <v>6952</v>
      </c>
      <c r="E1377" s="9" t="s">
        <v>6953</v>
      </c>
      <c r="F1377" s="9" t="s">
        <v>100</v>
      </c>
      <c r="G1377" s="9" t="s">
        <v>3218</v>
      </c>
      <c r="H1377" s="2" t="s">
        <v>60</v>
      </c>
      <c r="I1377" s="3">
        <v>34336</v>
      </c>
      <c r="J1377" s="9" t="str">
        <f t="shared" ca="1" si="23"/>
        <v>29 ans</v>
      </c>
      <c r="K1377" s="2" t="s">
        <v>36</v>
      </c>
      <c r="L1377" s="2" t="str">
        <f>"52"</f>
        <v>52</v>
      </c>
      <c r="M1377" s="2"/>
      <c r="N1377" s="2" t="str">
        <f>"BOULEVARD MONSEIGNEUR-DUB"</f>
        <v>BOULEVARD MONSEIGNEUR-DUB</v>
      </c>
      <c r="O1377" s="2" t="s">
        <v>3185</v>
      </c>
      <c r="P1377" s="9" t="str">
        <f>VLOOKUP($O1377,'Liste des Villes'!$B$2:$B$1128,1,FALSE)</f>
        <v>Saint-Jérôme</v>
      </c>
      <c r="Q1377" s="9" t="str">
        <f>IFERROR($P1377,PROPER(VLOOKUP($O1377,'Villes en erreur'!$A$2:$B$72,2,FALSE)))</f>
        <v>Saint-Jérôme</v>
      </c>
      <c r="R1377" s="9" t="s">
        <v>3186</v>
      </c>
      <c r="S1377" s="9" t="str">
        <f>IF(ISBLANK($R1377),"",VLOOKUP($R1377,'Liste des Villes'!$B$2:$H$1128,4,FALSE))</f>
        <v>Laurentides</v>
      </c>
      <c r="T1377" s="2" t="s">
        <v>3291</v>
      </c>
      <c r="U1377" s="2" t="s">
        <v>39</v>
      </c>
      <c r="V1377" s="2" t="s">
        <v>40</v>
      </c>
      <c r="W1377" s="2" t="s">
        <v>6954</v>
      </c>
      <c r="X1377" s="2"/>
      <c r="Y1377" s="2"/>
      <c r="Z1377" s="2"/>
      <c r="AA1377" s="2" t="s">
        <v>3360</v>
      </c>
      <c r="AB1377" s="2" t="s">
        <v>53</v>
      </c>
      <c r="AC1377" s="4" t="s">
        <v>44</v>
      </c>
    </row>
    <row r="1378" spans="1:29" x14ac:dyDescent="0.25">
      <c r="A1378" s="1">
        <v>4115</v>
      </c>
      <c r="B1378" s="17" t="s">
        <v>6955</v>
      </c>
      <c r="C1378" s="2" t="s">
        <v>6956</v>
      </c>
      <c r="D1378" s="15" t="s">
        <v>6957</v>
      </c>
      <c r="E1378" s="9" t="s">
        <v>6958</v>
      </c>
      <c r="F1378" s="9" t="s">
        <v>6959</v>
      </c>
      <c r="G1378" s="9" t="s">
        <v>179</v>
      </c>
      <c r="H1378" s="2" t="s">
        <v>60</v>
      </c>
      <c r="I1378" s="3">
        <v>36132</v>
      </c>
      <c r="J1378" s="9" t="str">
        <f t="shared" ca="1" si="23"/>
        <v>24 ans</v>
      </c>
      <c r="K1378" s="2" t="s">
        <v>123</v>
      </c>
      <c r="L1378" s="2" t="str">
        <f>"217"</f>
        <v>217</v>
      </c>
      <c r="M1378" s="2"/>
      <c r="N1378" s="2" t="str">
        <f>"RUE ALAIN"</f>
        <v>RUE ALAIN</v>
      </c>
      <c r="O1378" s="2" t="s">
        <v>3185</v>
      </c>
      <c r="P1378" s="9" t="str">
        <f>VLOOKUP($O1378,'Liste des Villes'!$B$2:$B$1128,1,FALSE)</f>
        <v>Saint-Jérôme</v>
      </c>
      <c r="Q1378" s="9" t="str">
        <f>IFERROR($P1378,PROPER(VLOOKUP($O1378,'Villes en erreur'!$A$2:$B$72,2,FALSE)))</f>
        <v>Saint-Jérôme</v>
      </c>
      <c r="R1378" s="9" t="s">
        <v>3186</v>
      </c>
      <c r="S1378" s="9" t="str">
        <f>IF(ISBLANK($R1378),"",VLOOKUP($R1378,'Liste des Villes'!$B$2:$H$1128,4,FALSE))</f>
        <v>Laurentides</v>
      </c>
      <c r="T1378" s="2" t="s">
        <v>4396</v>
      </c>
      <c r="U1378" s="2" t="s">
        <v>39</v>
      </c>
      <c r="V1378" s="2" t="s">
        <v>40</v>
      </c>
      <c r="W1378" s="2" t="s">
        <v>6960</v>
      </c>
      <c r="X1378" s="2"/>
      <c r="Y1378" s="2"/>
      <c r="Z1378" s="2"/>
      <c r="AA1378" s="2" t="s">
        <v>832</v>
      </c>
      <c r="AB1378" s="2" t="s">
        <v>3221</v>
      </c>
      <c r="AC1378" s="4" t="s">
        <v>44</v>
      </c>
    </row>
    <row r="1379" spans="1:29" x14ac:dyDescent="0.25">
      <c r="A1379" s="1">
        <v>265</v>
      </c>
      <c r="B1379" s="17" t="s">
        <v>6961</v>
      </c>
      <c r="C1379" s="2" t="s">
        <v>416</v>
      </c>
      <c r="D1379" s="15" t="s">
        <v>417</v>
      </c>
      <c r="E1379" s="9" t="s">
        <v>418</v>
      </c>
      <c r="F1379" s="9" t="s">
        <v>3541</v>
      </c>
      <c r="G1379" s="9" t="s">
        <v>186</v>
      </c>
      <c r="H1379" s="2" t="s">
        <v>60</v>
      </c>
      <c r="I1379" s="3">
        <v>34852</v>
      </c>
      <c r="J1379" s="9" t="str">
        <f t="shared" ca="1" si="23"/>
        <v>28 ans</v>
      </c>
      <c r="K1379" s="2" t="s">
        <v>36</v>
      </c>
      <c r="L1379" s="2" t="str">
        <f>"80"</f>
        <v>80</v>
      </c>
      <c r="M1379" s="2"/>
      <c r="N1379" s="2" t="str">
        <f>"CH DES MÉSANGES"</f>
        <v>CH DES MÉSANGES</v>
      </c>
      <c r="O1379" s="2" t="s">
        <v>3185</v>
      </c>
      <c r="P1379" s="9" t="str">
        <f>VLOOKUP($O1379,'Liste des Villes'!$B$2:$B$1128,1,FALSE)</f>
        <v>Saint-Jérôme</v>
      </c>
      <c r="Q1379" s="9" t="str">
        <f>IFERROR($P1379,PROPER(VLOOKUP($O1379,'Villes en erreur'!$A$2:$B$72,2,FALSE)))</f>
        <v>Saint-Jérôme</v>
      </c>
      <c r="R1379" s="9" t="s">
        <v>3186</v>
      </c>
      <c r="S1379" s="9" t="str">
        <f>IF(ISBLANK($R1379),"",VLOOKUP($R1379,'Liste des Villes'!$B$2:$H$1128,4,FALSE))</f>
        <v>Laurentides</v>
      </c>
      <c r="T1379" s="2" t="s">
        <v>3187</v>
      </c>
      <c r="U1379" s="2" t="s">
        <v>39</v>
      </c>
      <c r="V1379" s="2" t="s">
        <v>40</v>
      </c>
      <c r="W1379" s="2" t="s">
        <v>6962</v>
      </c>
      <c r="X1379" s="2"/>
      <c r="Y1379" s="2"/>
      <c r="Z1379" s="2"/>
      <c r="AA1379" s="2" t="s">
        <v>3231</v>
      </c>
      <c r="AB1379" s="2" t="s">
        <v>53</v>
      </c>
      <c r="AC1379" s="4" t="s">
        <v>44</v>
      </c>
    </row>
    <row r="1380" spans="1:29" x14ac:dyDescent="0.25">
      <c r="A1380" s="1">
        <v>3815</v>
      </c>
      <c r="B1380" s="17" t="s">
        <v>6963</v>
      </c>
      <c r="C1380" s="2" t="s">
        <v>4140</v>
      </c>
      <c r="D1380" s="15" t="s">
        <v>4141</v>
      </c>
      <c r="E1380" s="9" t="s">
        <v>2198</v>
      </c>
      <c r="F1380" s="9" t="s">
        <v>4142</v>
      </c>
      <c r="G1380" s="9" t="s">
        <v>2796</v>
      </c>
      <c r="H1380" s="2" t="s">
        <v>35</v>
      </c>
      <c r="I1380" s="3">
        <v>35259</v>
      </c>
      <c r="J1380" s="9" t="str">
        <f t="shared" ca="1" si="23"/>
        <v>27 ans</v>
      </c>
      <c r="K1380" s="2" t="s">
        <v>36</v>
      </c>
      <c r="L1380" s="2" t="str">
        <f>"106"</f>
        <v>106</v>
      </c>
      <c r="M1380" s="2"/>
      <c r="N1380" s="2" t="str">
        <f>"CHEMIN DE DALESVILLE SUD"</f>
        <v>CHEMIN DE DALESVILLE SUD</v>
      </c>
      <c r="O1380" s="2" t="s">
        <v>3185</v>
      </c>
      <c r="P1380" s="9" t="str">
        <f>VLOOKUP($O1380,'Liste des Villes'!$B$2:$B$1128,1,FALSE)</f>
        <v>Saint-Jérôme</v>
      </c>
      <c r="Q1380" s="9" t="str">
        <f>IFERROR($P1380,PROPER(VLOOKUP($O1380,'Villes en erreur'!$A$2:$B$72,2,FALSE)))</f>
        <v>Saint-Jérôme</v>
      </c>
      <c r="R1380" s="9" t="s">
        <v>3186</v>
      </c>
      <c r="S1380" s="9" t="str">
        <f>IF(ISBLANK($R1380),"",VLOOKUP($R1380,'Liste des Villes'!$B$2:$H$1128,4,FALSE))</f>
        <v>Laurentides</v>
      </c>
      <c r="T1380" s="2" t="s">
        <v>3187</v>
      </c>
      <c r="U1380" s="2" t="s">
        <v>39</v>
      </c>
      <c r="V1380" s="2" t="s">
        <v>40</v>
      </c>
      <c r="W1380" s="2" t="s">
        <v>6964</v>
      </c>
      <c r="X1380" s="2"/>
      <c r="Y1380" s="2"/>
      <c r="Z1380" s="2"/>
      <c r="AA1380" s="2" t="s">
        <v>3189</v>
      </c>
      <c r="AB1380" s="2" t="s">
        <v>3190</v>
      </c>
      <c r="AC1380" s="4" t="s">
        <v>44</v>
      </c>
    </row>
    <row r="1381" spans="1:29" x14ac:dyDescent="0.25">
      <c r="A1381" s="1">
        <v>550</v>
      </c>
      <c r="B1381" s="17" t="s">
        <v>6965</v>
      </c>
      <c r="C1381" s="2" t="s">
        <v>1435</v>
      </c>
      <c r="D1381" s="15" t="s">
        <v>1436</v>
      </c>
      <c r="E1381" s="9" t="s">
        <v>99</v>
      </c>
      <c r="F1381" s="9" t="s">
        <v>100</v>
      </c>
      <c r="G1381" s="9" t="s">
        <v>380</v>
      </c>
      <c r="H1381" s="2" t="s">
        <v>60</v>
      </c>
      <c r="I1381" s="3">
        <v>34434</v>
      </c>
      <c r="J1381" s="9" t="str">
        <f t="shared" ca="1" si="23"/>
        <v>29 ans</v>
      </c>
      <c r="K1381" s="2" t="s">
        <v>36</v>
      </c>
      <c r="L1381" s="2" t="str">
        <f>"58"</f>
        <v>58</v>
      </c>
      <c r="M1381" s="2"/>
      <c r="N1381" s="2" t="str">
        <f>"CAR LEMER-ST-GERMAIN"</f>
        <v>CAR LEMER-ST-GERMAIN</v>
      </c>
      <c r="O1381" s="2" t="s">
        <v>3185</v>
      </c>
      <c r="P1381" s="9" t="str">
        <f>VLOOKUP($O1381,'Liste des Villes'!$B$2:$B$1128,1,FALSE)</f>
        <v>Saint-Jérôme</v>
      </c>
      <c r="Q1381" s="9" t="str">
        <f>IFERROR($P1381,PROPER(VLOOKUP($O1381,'Villes en erreur'!$A$2:$B$72,2,FALSE)))</f>
        <v>Saint-Jérôme</v>
      </c>
      <c r="R1381" s="9" t="s">
        <v>3186</v>
      </c>
      <c r="S1381" s="9" t="str">
        <f>IF(ISBLANK($R1381),"",VLOOKUP($R1381,'Liste des Villes'!$B$2:$H$1128,4,FALSE))</f>
        <v>Laurentides</v>
      </c>
      <c r="T1381" s="2" t="s">
        <v>5654</v>
      </c>
      <c r="U1381" s="2" t="s">
        <v>39</v>
      </c>
      <c r="V1381" s="2" t="s">
        <v>40</v>
      </c>
      <c r="W1381" s="2" t="s">
        <v>6966</v>
      </c>
      <c r="X1381" s="2"/>
      <c r="Y1381" s="2"/>
      <c r="Z1381" s="2"/>
      <c r="AA1381" s="2" t="s">
        <v>3293</v>
      </c>
      <c r="AB1381" s="2" t="s">
        <v>53</v>
      </c>
      <c r="AC1381" s="4" t="s">
        <v>44</v>
      </c>
    </row>
    <row r="1382" spans="1:29" x14ac:dyDescent="0.25">
      <c r="A1382" s="1">
        <v>4036</v>
      </c>
      <c r="B1382" s="17" t="s">
        <v>6967</v>
      </c>
      <c r="C1382" s="2" t="s">
        <v>6968</v>
      </c>
      <c r="D1382" s="15" t="s">
        <v>6969</v>
      </c>
      <c r="E1382" s="9" t="s">
        <v>6970</v>
      </c>
      <c r="F1382" s="9" t="s">
        <v>1324</v>
      </c>
      <c r="G1382" s="9" t="s">
        <v>4474</v>
      </c>
      <c r="H1382" s="2" t="s">
        <v>60</v>
      </c>
      <c r="I1382" s="3">
        <v>35941</v>
      </c>
      <c r="J1382" s="9" t="str">
        <f t="shared" ca="1" si="23"/>
        <v>25 ans</v>
      </c>
      <c r="K1382" s="2" t="s">
        <v>123</v>
      </c>
      <c r="L1382" s="2" t="str">
        <f>"166"</f>
        <v>166</v>
      </c>
      <c r="M1382" s="2"/>
      <c r="N1382" s="2" t="str">
        <f>"MONTEE RAINVILLE"</f>
        <v>MONTEE RAINVILLE</v>
      </c>
      <c r="O1382" s="2" t="s">
        <v>3185</v>
      </c>
      <c r="P1382" s="9" t="str">
        <f>VLOOKUP($O1382,'Liste des Villes'!$B$2:$B$1128,1,FALSE)</f>
        <v>Saint-Jérôme</v>
      </c>
      <c r="Q1382" s="9" t="str">
        <f>IFERROR($P1382,PROPER(VLOOKUP($O1382,'Villes en erreur'!$A$2:$B$72,2,FALSE)))</f>
        <v>Saint-Jérôme</v>
      </c>
      <c r="R1382" s="9" t="s">
        <v>3186</v>
      </c>
      <c r="S1382" s="9" t="str">
        <f>IF(ISBLANK($R1382),"",VLOOKUP($R1382,'Liste des Villes'!$B$2:$H$1128,4,FALSE))</f>
        <v>Laurentides</v>
      </c>
      <c r="T1382" s="2" t="s">
        <v>6971</v>
      </c>
      <c r="U1382" s="2" t="s">
        <v>39</v>
      </c>
      <c r="V1382" s="2" t="s">
        <v>40</v>
      </c>
      <c r="W1382" s="2" t="s">
        <v>6972</v>
      </c>
      <c r="X1382" s="2"/>
      <c r="Y1382" s="2"/>
      <c r="Z1382" s="2"/>
      <c r="AA1382" s="2" t="s">
        <v>832</v>
      </c>
      <c r="AB1382" s="2" t="s">
        <v>3221</v>
      </c>
      <c r="AC1382" s="4" t="s">
        <v>44</v>
      </c>
    </row>
    <row r="1383" spans="1:29" x14ac:dyDescent="0.25">
      <c r="A1383" s="1">
        <v>3001</v>
      </c>
      <c r="B1383" s="17" t="s">
        <v>6973</v>
      </c>
      <c r="C1383" s="2" t="s">
        <v>4457</v>
      </c>
      <c r="D1383" s="15" t="s">
        <v>1808</v>
      </c>
      <c r="E1383" s="9" t="s">
        <v>2381</v>
      </c>
      <c r="F1383" s="9" t="s">
        <v>6974</v>
      </c>
      <c r="G1383" s="9" t="s">
        <v>4706</v>
      </c>
      <c r="H1383" s="2" t="s">
        <v>35</v>
      </c>
      <c r="I1383" s="3">
        <v>35583</v>
      </c>
      <c r="J1383" s="9" t="str">
        <f t="shared" ca="1" si="23"/>
        <v>26 ans</v>
      </c>
      <c r="K1383" s="2" t="s">
        <v>36</v>
      </c>
      <c r="L1383" s="2" t="str">
        <f>"126"</f>
        <v>126</v>
      </c>
      <c r="M1383" s="2"/>
      <c r="N1383" s="2" t="str">
        <f>"CROISSANT DESCARTES"</f>
        <v>CROISSANT DESCARTES</v>
      </c>
      <c r="O1383" s="2" t="s">
        <v>3185</v>
      </c>
      <c r="P1383" s="9" t="str">
        <f>VLOOKUP($O1383,'Liste des Villes'!$B$2:$B$1128,1,FALSE)</f>
        <v>Saint-Jérôme</v>
      </c>
      <c r="Q1383" s="9" t="str">
        <f>IFERROR($P1383,PROPER(VLOOKUP($O1383,'Villes en erreur'!$A$2:$B$72,2,FALSE)))</f>
        <v>Saint-Jérôme</v>
      </c>
      <c r="R1383" s="9" t="s">
        <v>3186</v>
      </c>
      <c r="S1383" s="9" t="str">
        <f>IF(ISBLANK($R1383),"",VLOOKUP($R1383,'Liste des Villes'!$B$2:$H$1128,4,FALSE))</f>
        <v>Laurentides</v>
      </c>
      <c r="T1383" s="2" t="s">
        <v>6527</v>
      </c>
      <c r="U1383" s="2" t="s">
        <v>39</v>
      </c>
      <c r="V1383" s="2" t="s">
        <v>40</v>
      </c>
      <c r="W1383" s="2" t="s">
        <v>6975</v>
      </c>
      <c r="X1383" s="2"/>
      <c r="Y1383" s="2"/>
      <c r="Z1383" s="2"/>
      <c r="AA1383" s="2" t="s">
        <v>3199</v>
      </c>
      <c r="AB1383" s="2" t="s">
        <v>3221</v>
      </c>
      <c r="AC1383" s="4" t="s">
        <v>44</v>
      </c>
    </row>
    <row r="1384" spans="1:29" x14ac:dyDescent="0.25">
      <c r="A1384" s="1">
        <v>2100</v>
      </c>
      <c r="B1384" s="17" t="s">
        <v>6976</v>
      </c>
      <c r="C1384" s="2" t="s">
        <v>3699</v>
      </c>
      <c r="D1384" s="15" t="s">
        <v>1716</v>
      </c>
      <c r="E1384" s="9" t="s">
        <v>3700</v>
      </c>
      <c r="F1384" s="9" t="s">
        <v>6977</v>
      </c>
      <c r="G1384" s="9" t="s">
        <v>671</v>
      </c>
      <c r="H1384" s="2" t="s">
        <v>60</v>
      </c>
      <c r="I1384" s="3">
        <v>35967</v>
      </c>
      <c r="J1384" s="9" t="str">
        <f t="shared" ca="1" si="23"/>
        <v>25 ans</v>
      </c>
      <c r="K1384" s="2" t="s">
        <v>123</v>
      </c>
      <c r="L1384" s="2" t="str">
        <f>"170"</f>
        <v>170</v>
      </c>
      <c r="M1384" s="2"/>
      <c r="N1384" s="2" t="str">
        <f>"PAUL-ALBERT"</f>
        <v>PAUL-ALBERT</v>
      </c>
      <c r="O1384" s="2" t="s">
        <v>3185</v>
      </c>
      <c r="P1384" s="9" t="str">
        <f>VLOOKUP($O1384,'Liste des Villes'!$B$2:$B$1128,1,FALSE)</f>
        <v>Saint-Jérôme</v>
      </c>
      <c r="Q1384" s="9" t="str">
        <f>IFERROR($P1384,PROPER(VLOOKUP($O1384,'Villes en erreur'!$A$2:$B$72,2,FALSE)))</f>
        <v>Saint-Jérôme</v>
      </c>
      <c r="R1384" s="9" t="s">
        <v>3186</v>
      </c>
      <c r="S1384" s="9" t="str">
        <f>IF(ISBLANK($R1384),"",VLOOKUP($R1384,'Liste des Villes'!$B$2:$H$1128,4,FALSE))</f>
        <v>Laurentides</v>
      </c>
      <c r="T1384" s="2" t="s">
        <v>6978</v>
      </c>
      <c r="U1384" s="2" t="s">
        <v>39</v>
      </c>
      <c r="V1384" s="2" t="s">
        <v>40</v>
      </c>
      <c r="W1384" s="2" t="s">
        <v>6979</v>
      </c>
      <c r="X1384" s="2"/>
      <c r="Y1384" s="2"/>
      <c r="Z1384" s="2"/>
      <c r="AA1384" s="2" t="s">
        <v>832</v>
      </c>
      <c r="AB1384" s="2" t="s">
        <v>3221</v>
      </c>
      <c r="AC1384" s="4" t="s">
        <v>44</v>
      </c>
    </row>
    <row r="1385" spans="1:29" x14ac:dyDescent="0.25">
      <c r="A1385" s="1">
        <v>4010</v>
      </c>
      <c r="B1385" s="17" t="s">
        <v>6980</v>
      </c>
      <c r="C1385" s="2" t="s">
        <v>6981</v>
      </c>
      <c r="D1385" s="15" t="s">
        <v>6982</v>
      </c>
      <c r="E1385" s="9" t="s">
        <v>2281</v>
      </c>
      <c r="F1385" s="9" t="s">
        <v>6983</v>
      </c>
      <c r="G1385" s="9" t="s">
        <v>1560</v>
      </c>
      <c r="H1385" s="2" t="s">
        <v>35</v>
      </c>
      <c r="I1385" s="3">
        <v>35613</v>
      </c>
      <c r="J1385" s="9" t="str">
        <f t="shared" ca="1" si="23"/>
        <v>26 ans</v>
      </c>
      <c r="K1385" s="2" t="s">
        <v>36</v>
      </c>
      <c r="L1385" s="2" t="str">
        <f>"129"</f>
        <v>129</v>
      </c>
      <c r="M1385" s="2"/>
      <c r="N1385" s="2" t="str">
        <f>"DE LA SALETTE BLVD"</f>
        <v>DE LA SALETTE BLVD</v>
      </c>
      <c r="O1385" s="2" t="s">
        <v>3185</v>
      </c>
      <c r="P1385" s="9" t="str">
        <f>VLOOKUP($O1385,'Liste des Villes'!$B$2:$B$1128,1,FALSE)</f>
        <v>Saint-Jérôme</v>
      </c>
      <c r="Q1385" s="9" t="str">
        <f>IFERROR($P1385,PROPER(VLOOKUP($O1385,'Villes en erreur'!$A$2:$B$72,2,FALSE)))</f>
        <v>Saint-Jérôme</v>
      </c>
      <c r="R1385" s="9" t="s">
        <v>3186</v>
      </c>
      <c r="S1385" s="9" t="str">
        <f>IF(ISBLANK($R1385),"",VLOOKUP($R1385,'Liste des Villes'!$B$2:$H$1128,4,FALSE))</f>
        <v>Laurentides</v>
      </c>
      <c r="T1385" s="2" t="s">
        <v>3446</v>
      </c>
      <c r="U1385" s="2" t="s">
        <v>39</v>
      </c>
      <c r="V1385" s="2" t="s">
        <v>40</v>
      </c>
      <c r="W1385" s="2" t="s">
        <v>6984</v>
      </c>
      <c r="X1385" s="2"/>
      <c r="Y1385" s="2"/>
      <c r="Z1385" s="2"/>
      <c r="AA1385" s="2" t="s">
        <v>3243</v>
      </c>
      <c r="AB1385" s="2" t="s">
        <v>3221</v>
      </c>
      <c r="AC1385" s="4" t="s">
        <v>44</v>
      </c>
    </row>
    <row r="1386" spans="1:29" x14ac:dyDescent="0.25">
      <c r="A1386" s="1">
        <v>3653</v>
      </c>
      <c r="B1386" s="17" t="s">
        <v>6985</v>
      </c>
      <c r="C1386" s="2" t="s">
        <v>1752</v>
      </c>
      <c r="D1386" s="15" t="s">
        <v>1753</v>
      </c>
      <c r="E1386" s="9" t="s">
        <v>1754</v>
      </c>
      <c r="F1386" s="9" t="s">
        <v>101</v>
      </c>
      <c r="G1386" s="9" t="s">
        <v>1283</v>
      </c>
      <c r="H1386" s="2" t="s">
        <v>60</v>
      </c>
      <c r="I1386" s="3">
        <v>35811</v>
      </c>
      <c r="J1386" s="9" t="str">
        <f t="shared" ca="1" si="23"/>
        <v>25 ans</v>
      </c>
      <c r="K1386" s="2" t="s">
        <v>123</v>
      </c>
      <c r="L1386" s="2" t="str">
        <f>"144"</f>
        <v>144</v>
      </c>
      <c r="M1386" s="2"/>
      <c r="N1386" s="2" t="str">
        <f>"HONORÉ-BEAUGRAND"</f>
        <v>HONORÉ-BEAUGRAND</v>
      </c>
      <c r="O1386" s="2" t="s">
        <v>3185</v>
      </c>
      <c r="P1386" s="9" t="str">
        <f>VLOOKUP($O1386,'Liste des Villes'!$B$2:$B$1128,1,FALSE)</f>
        <v>Saint-Jérôme</v>
      </c>
      <c r="Q1386" s="9" t="str">
        <f>IFERROR($P1386,PROPER(VLOOKUP($O1386,'Villes en erreur'!$A$2:$B$72,2,FALSE)))</f>
        <v>Saint-Jérôme</v>
      </c>
      <c r="R1386" s="9" t="s">
        <v>3186</v>
      </c>
      <c r="S1386" s="9" t="str">
        <f>IF(ISBLANK($R1386),"",VLOOKUP($R1386,'Liste des Villes'!$B$2:$H$1128,4,FALSE))</f>
        <v>Laurentides</v>
      </c>
      <c r="T1386" s="2" t="s">
        <v>3750</v>
      </c>
      <c r="U1386" s="2" t="s">
        <v>39</v>
      </c>
      <c r="V1386" s="2" t="s">
        <v>40</v>
      </c>
      <c r="W1386" s="2" t="s">
        <v>6986</v>
      </c>
      <c r="X1386" s="2"/>
      <c r="Y1386" s="2"/>
      <c r="Z1386" s="2"/>
      <c r="AA1386" s="2" t="s">
        <v>3243</v>
      </c>
      <c r="AB1386" s="2" t="s">
        <v>3221</v>
      </c>
      <c r="AC1386" s="4" t="s">
        <v>44</v>
      </c>
    </row>
    <row r="1387" spans="1:29" x14ac:dyDescent="0.25">
      <c r="A1387" s="1">
        <v>2731</v>
      </c>
      <c r="B1387" s="17" t="s">
        <v>6987</v>
      </c>
      <c r="C1387" s="2" t="s">
        <v>6988</v>
      </c>
      <c r="D1387" s="15" t="s">
        <v>6989</v>
      </c>
      <c r="E1387" s="9" t="s">
        <v>370</v>
      </c>
      <c r="F1387" s="9" t="s">
        <v>6990</v>
      </c>
      <c r="G1387" s="9" t="s">
        <v>3019</v>
      </c>
      <c r="H1387" s="2" t="s">
        <v>60</v>
      </c>
      <c r="I1387" s="3">
        <v>35110</v>
      </c>
      <c r="J1387" s="9" t="str">
        <f t="shared" ca="1" si="23"/>
        <v>27 ans</v>
      </c>
      <c r="K1387" s="2" t="s">
        <v>36</v>
      </c>
      <c r="L1387" s="2" t="str">
        <f>"101"</f>
        <v>101</v>
      </c>
      <c r="M1387" s="2"/>
      <c r="N1387" s="2" t="str">
        <f>"CH LEGAULT"</f>
        <v>CH LEGAULT</v>
      </c>
      <c r="O1387" s="2" t="s">
        <v>3186</v>
      </c>
      <c r="P1387" s="9" t="str">
        <f>VLOOKUP($O1387,'Liste des Villes'!$B$2:$B$1128,1,FALSE)</f>
        <v>Saint-Jérôme</v>
      </c>
      <c r="Q1387" s="9" t="str">
        <f>IFERROR($P1387,PROPER(VLOOKUP($O1387,'Villes en erreur'!$A$2:$B$72,2,FALSE)))</f>
        <v>Saint-Jérôme</v>
      </c>
      <c r="R1387" s="9" t="s">
        <v>3186</v>
      </c>
      <c r="S1387" s="9" t="str">
        <f>IF(ISBLANK($R1387),"",VLOOKUP($R1387,'Liste des Villes'!$B$2:$H$1128,4,FALSE))</f>
        <v>Laurentides</v>
      </c>
      <c r="T1387" s="2" t="s">
        <v>3187</v>
      </c>
      <c r="U1387" s="2" t="s">
        <v>39</v>
      </c>
      <c r="V1387" s="2" t="s">
        <v>40</v>
      </c>
      <c r="W1387" s="2" t="s">
        <v>6991</v>
      </c>
      <c r="X1387" s="2"/>
      <c r="Y1387" s="2"/>
      <c r="Z1387" s="2"/>
      <c r="AA1387" s="2" t="s">
        <v>3189</v>
      </c>
      <c r="AB1387" s="2" t="s">
        <v>3190</v>
      </c>
      <c r="AC1387" s="4" t="s">
        <v>44</v>
      </c>
    </row>
    <row r="1388" spans="1:29" x14ac:dyDescent="0.25">
      <c r="A1388" s="1">
        <v>1914</v>
      </c>
      <c r="B1388" s="17" t="s">
        <v>6992</v>
      </c>
      <c r="C1388" s="2" t="s">
        <v>6993</v>
      </c>
      <c r="D1388" s="15" t="s">
        <v>6994</v>
      </c>
      <c r="E1388" s="9" t="s">
        <v>6995</v>
      </c>
      <c r="F1388" s="9" t="s">
        <v>2910</v>
      </c>
      <c r="G1388" s="9" t="s">
        <v>495</v>
      </c>
      <c r="H1388" s="2" t="s">
        <v>35</v>
      </c>
      <c r="I1388" s="3">
        <v>34497</v>
      </c>
      <c r="J1388" s="9" t="str">
        <f t="shared" ca="1" si="23"/>
        <v>29 ans</v>
      </c>
      <c r="K1388" s="2" t="s">
        <v>36</v>
      </c>
      <c r="L1388" s="2" t="str">
        <f>"61"</f>
        <v>61</v>
      </c>
      <c r="M1388" s="2"/>
      <c r="N1388" s="2" t="str">
        <f>"CH BEAULNE"</f>
        <v>CH BEAULNE</v>
      </c>
      <c r="O1388" s="2" t="s">
        <v>3185</v>
      </c>
      <c r="P1388" s="9" t="str">
        <f>VLOOKUP($O1388,'Liste des Villes'!$B$2:$B$1128,1,FALSE)</f>
        <v>Saint-Jérôme</v>
      </c>
      <c r="Q1388" s="9" t="str">
        <f>IFERROR($P1388,PROPER(VLOOKUP($O1388,'Villes en erreur'!$A$2:$B$72,2,FALSE)))</f>
        <v>Saint-Jérôme</v>
      </c>
      <c r="R1388" s="9" t="s">
        <v>3186</v>
      </c>
      <c r="S1388" s="9" t="str">
        <f>IF(ISBLANK($R1388),"",VLOOKUP($R1388,'Liste des Villes'!$B$2:$H$1128,4,FALSE))</f>
        <v>Laurentides</v>
      </c>
      <c r="T1388" s="2" t="s">
        <v>3507</v>
      </c>
      <c r="U1388" s="2" t="s">
        <v>39</v>
      </c>
      <c r="V1388" s="2" t="s">
        <v>40</v>
      </c>
      <c r="W1388" s="2" t="s">
        <v>6996</v>
      </c>
      <c r="X1388" s="2"/>
      <c r="Y1388" s="2"/>
      <c r="Z1388" s="2"/>
      <c r="AA1388" s="2" t="s">
        <v>3293</v>
      </c>
      <c r="AB1388" s="2" t="s">
        <v>53</v>
      </c>
      <c r="AC1388" s="4" t="s">
        <v>44</v>
      </c>
    </row>
    <row r="1389" spans="1:29" x14ac:dyDescent="0.25">
      <c r="A1389" s="1">
        <v>4471</v>
      </c>
      <c r="B1389" s="17" t="s">
        <v>6997</v>
      </c>
      <c r="C1389" s="2" t="s">
        <v>2009</v>
      </c>
      <c r="D1389" s="15" t="s">
        <v>1076</v>
      </c>
      <c r="E1389" s="9" t="s">
        <v>332</v>
      </c>
      <c r="F1389" s="9" t="s">
        <v>2010</v>
      </c>
      <c r="G1389" s="9" t="s">
        <v>5197</v>
      </c>
      <c r="H1389" s="2" t="s">
        <v>35</v>
      </c>
      <c r="I1389" s="3">
        <v>35350</v>
      </c>
      <c r="J1389" s="9" t="str">
        <f t="shared" ca="1" si="23"/>
        <v>26 ans</v>
      </c>
      <c r="K1389" s="2" t="s">
        <v>36</v>
      </c>
      <c r="L1389" s="2" t="str">
        <f>"111"</f>
        <v>111</v>
      </c>
      <c r="M1389" s="2"/>
      <c r="N1389" s="2" t="str">
        <f>"CHEMIN DES MONTAGNES"</f>
        <v>CHEMIN DES MONTAGNES</v>
      </c>
      <c r="O1389" s="2" t="s">
        <v>3185</v>
      </c>
      <c r="P1389" s="9" t="str">
        <f>VLOOKUP($O1389,'Liste des Villes'!$B$2:$B$1128,1,FALSE)</f>
        <v>Saint-Jérôme</v>
      </c>
      <c r="Q1389" s="9" t="str">
        <f>IFERROR($P1389,PROPER(VLOOKUP($O1389,'Villes en erreur'!$A$2:$B$72,2,FALSE)))</f>
        <v>Saint-Jérôme</v>
      </c>
      <c r="R1389" s="9" t="s">
        <v>3186</v>
      </c>
      <c r="S1389" s="9" t="str">
        <f>IF(ISBLANK($R1389),"",VLOOKUP($R1389,'Liste des Villes'!$B$2:$H$1128,4,FALSE))</f>
        <v>Laurentides</v>
      </c>
      <c r="T1389" s="2" t="s">
        <v>3524</v>
      </c>
      <c r="U1389" s="2" t="s">
        <v>39</v>
      </c>
      <c r="V1389" s="2" t="s">
        <v>40</v>
      </c>
      <c r="W1389" s="2" t="s">
        <v>6998</v>
      </c>
      <c r="X1389" s="2"/>
      <c r="Y1389" s="2"/>
      <c r="Z1389" s="2"/>
      <c r="AA1389" s="2" t="s">
        <v>3189</v>
      </c>
      <c r="AB1389" s="2" t="s">
        <v>3200</v>
      </c>
      <c r="AC1389" s="4" t="s">
        <v>44</v>
      </c>
    </row>
    <row r="1390" spans="1:29" x14ac:dyDescent="0.25">
      <c r="A1390" s="1">
        <v>3181</v>
      </c>
      <c r="B1390" s="17" t="s">
        <v>6999</v>
      </c>
      <c r="C1390" s="2" t="s">
        <v>5725</v>
      </c>
      <c r="D1390" s="15" t="s">
        <v>5726</v>
      </c>
      <c r="E1390" s="9" t="s">
        <v>2049</v>
      </c>
      <c r="F1390" s="9" t="s">
        <v>7000</v>
      </c>
      <c r="G1390" s="9" t="s">
        <v>5660</v>
      </c>
      <c r="H1390" s="2" t="s">
        <v>60</v>
      </c>
      <c r="I1390" s="3">
        <v>34241</v>
      </c>
      <c r="J1390" s="9" t="str">
        <f t="shared" ca="1" si="23"/>
        <v>29 ans</v>
      </c>
      <c r="K1390" s="2" t="s">
        <v>36</v>
      </c>
      <c r="L1390" s="2" t="str">
        <f>"50"</f>
        <v>50</v>
      </c>
      <c r="M1390" s="2"/>
      <c r="N1390" s="2" t="str">
        <f>"BOULEVARD DES SEIGNEURS DUMONT"</f>
        <v>BOULEVARD DES SEIGNEURS DUMONT</v>
      </c>
      <c r="O1390" s="2" t="s">
        <v>3185</v>
      </c>
      <c r="P1390" s="9" t="str">
        <f>VLOOKUP($O1390,'Liste des Villes'!$B$2:$B$1128,1,FALSE)</f>
        <v>Saint-Jérôme</v>
      </c>
      <c r="Q1390" s="9" t="str">
        <f>IFERROR($P1390,PROPER(VLOOKUP($O1390,'Villes en erreur'!$A$2:$B$72,2,FALSE)))</f>
        <v>Saint-Jérôme</v>
      </c>
      <c r="R1390" s="9" t="s">
        <v>3186</v>
      </c>
      <c r="S1390" s="9" t="str">
        <f>IF(ISBLANK($R1390),"",VLOOKUP($R1390,'Liste des Villes'!$B$2:$H$1128,4,FALSE))</f>
        <v>Laurentides</v>
      </c>
      <c r="T1390" s="2" t="s">
        <v>3520</v>
      </c>
      <c r="U1390" s="2" t="s">
        <v>39</v>
      </c>
      <c r="V1390" s="2" t="s">
        <v>40</v>
      </c>
      <c r="W1390" s="2" t="s">
        <v>7001</v>
      </c>
      <c r="X1390" s="2"/>
      <c r="Y1390" s="2"/>
      <c r="Z1390" s="2"/>
      <c r="AA1390" s="2" t="s">
        <v>3360</v>
      </c>
      <c r="AB1390" s="2" t="s">
        <v>53</v>
      </c>
      <c r="AC1390" s="4" t="s">
        <v>44</v>
      </c>
    </row>
    <row r="1391" spans="1:29" x14ac:dyDescent="0.25">
      <c r="A1391" s="1">
        <v>4074</v>
      </c>
      <c r="B1391" s="17" t="s">
        <v>7002</v>
      </c>
      <c r="C1391" s="2" t="s">
        <v>1103</v>
      </c>
      <c r="D1391" s="15" t="s">
        <v>1104</v>
      </c>
      <c r="E1391" s="9" t="s">
        <v>277</v>
      </c>
      <c r="F1391" s="9" t="s">
        <v>3744</v>
      </c>
      <c r="G1391" s="9" t="s">
        <v>1037</v>
      </c>
      <c r="H1391" s="2" t="s">
        <v>35</v>
      </c>
      <c r="I1391" s="3">
        <v>36080</v>
      </c>
      <c r="J1391" s="9" t="str">
        <f t="shared" ca="1" si="23"/>
        <v>24 ans</v>
      </c>
      <c r="K1391" s="2" t="s">
        <v>123</v>
      </c>
      <c r="L1391" s="2" t="str">
        <f>"201"</f>
        <v>201</v>
      </c>
      <c r="M1391" s="2"/>
      <c r="N1391" s="2" t="str">
        <f>"RANG SAINTE-HENRIETTE"</f>
        <v>RANG SAINTE-HENRIETTE</v>
      </c>
      <c r="O1391" s="2" t="s">
        <v>3185</v>
      </c>
      <c r="P1391" s="9" t="str">
        <f>VLOOKUP($O1391,'Liste des Villes'!$B$2:$B$1128,1,FALSE)</f>
        <v>Saint-Jérôme</v>
      </c>
      <c r="Q1391" s="9" t="str">
        <f>IFERROR($P1391,PROPER(VLOOKUP($O1391,'Villes en erreur'!$A$2:$B$72,2,FALSE)))</f>
        <v>Saint-Jérôme</v>
      </c>
      <c r="R1391" s="9" t="s">
        <v>3186</v>
      </c>
      <c r="S1391" s="9" t="str">
        <f>IF(ISBLANK($R1391),"",VLOOKUP($R1391,'Liste des Villes'!$B$2:$H$1128,4,FALSE))</f>
        <v>Laurentides</v>
      </c>
      <c r="T1391" s="2" t="s">
        <v>5147</v>
      </c>
      <c r="U1391" s="2" t="s">
        <v>39</v>
      </c>
      <c r="V1391" s="2" t="s">
        <v>40</v>
      </c>
      <c r="W1391" s="2" t="s">
        <v>7003</v>
      </c>
      <c r="X1391" s="2"/>
      <c r="Y1391" s="2"/>
      <c r="Z1391" s="2"/>
      <c r="AA1391" s="2" t="s">
        <v>832</v>
      </c>
      <c r="AB1391" s="2" t="s">
        <v>3221</v>
      </c>
      <c r="AC1391" s="4" t="s">
        <v>44</v>
      </c>
    </row>
    <row r="1392" spans="1:29" x14ac:dyDescent="0.25">
      <c r="A1392" s="1">
        <v>3942</v>
      </c>
      <c r="B1392" s="17" t="s">
        <v>7004</v>
      </c>
      <c r="C1392" s="2" t="s">
        <v>7005</v>
      </c>
      <c r="D1392" s="15" t="s">
        <v>4411</v>
      </c>
      <c r="E1392" s="9" t="s">
        <v>7006</v>
      </c>
      <c r="F1392" s="9" t="s">
        <v>7007</v>
      </c>
      <c r="G1392" s="9" t="s">
        <v>92</v>
      </c>
      <c r="H1392" s="2" t="s">
        <v>35</v>
      </c>
      <c r="I1392" s="3">
        <v>35445</v>
      </c>
      <c r="J1392" s="9" t="str">
        <f t="shared" ca="1" si="23"/>
        <v>26 ans</v>
      </c>
      <c r="K1392" s="2" t="s">
        <v>36</v>
      </c>
      <c r="L1392" s="2" t="str">
        <f>"116"</f>
        <v>116</v>
      </c>
      <c r="M1392" s="2"/>
      <c r="N1392" s="2" t="str">
        <f>"CHEMIN DU VAL DES MONTS"</f>
        <v>CHEMIN DU VAL DES MONTS</v>
      </c>
      <c r="O1392" s="2" t="s">
        <v>3185</v>
      </c>
      <c r="P1392" s="9" t="str">
        <f>VLOOKUP($O1392,'Liste des Villes'!$B$2:$B$1128,1,FALSE)</f>
        <v>Saint-Jérôme</v>
      </c>
      <c r="Q1392" s="9" t="str">
        <f>IFERROR($P1392,PROPER(VLOOKUP($O1392,'Villes en erreur'!$A$2:$B$72,2,FALSE)))</f>
        <v>Saint-Jérôme</v>
      </c>
      <c r="R1392" s="9" t="s">
        <v>3186</v>
      </c>
      <c r="S1392" s="9" t="str">
        <f>IF(ISBLANK($R1392),"",VLOOKUP($R1392,'Liste des Villes'!$B$2:$H$1128,4,FALSE))</f>
        <v>Laurentides</v>
      </c>
      <c r="T1392" s="2" t="s">
        <v>3369</v>
      </c>
      <c r="U1392" s="2" t="s">
        <v>39</v>
      </c>
      <c r="V1392" s="2" t="s">
        <v>40</v>
      </c>
      <c r="W1392" s="2" t="s">
        <v>7008</v>
      </c>
      <c r="X1392" s="2"/>
      <c r="Y1392" s="2"/>
      <c r="Z1392" s="2"/>
      <c r="AA1392" s="2" t="s">
        <v>3199</v>
      </c>
      <c r="AB1392" s="2" t="s">
        <v>3200</v>
      </c>
      <c r="AC1392" s="4" t="s">
        <v>44</v>
      </c>
    </row>
    <row r="1393" spans="1:29" x14ac:dyDescent="0.25">
      <c r="A1393" s="1">
        <v>3740</v>
      </c>
      <c r="B1393" s="17" t="s">
        <v>7009</v>
      </c>
      <c r="C1393" s="2" t="s">
        <v>7010</v>
      </c>
      <c r="D1393" s="15" t="s">
        <v>7011</v>
      </c>
      <c r="E1393" s="9" t="s">
        <v>5869</v>
      </c>
      <c r="F1393" s="9" t="s">
        <v>7012</v>
      </c>
      <c r="G1393" s="9" t="s">
        <v>186</v>
      </c>
      <c r="H1393" s="2" t="s">
        <v>60</v>
      </c>
      <c r="I1393" s="3">
        <v>34853</v>
      </c>
      <c r="J1393" s="9" t="str">
        <f t="shared" ca="1" si="23"/>
        <v>28 ans</v>
      </c>
      <c r="K1393" s="2" t="s">
        <v>36</v>
      </c>
      <c r="L1393" s="2" t="str">
        <f>"81"</f>
        <v>81</v>
      </c>
      <c r="M1393" s="2"/>
      <c r="N1393" s="2" t="str">
        <f>"CH DES ORMES"</f>
        <v>CH DES ORMES</v>
      </c>
      <c r="O1393" s="2" t="s">
        <v>3185</v>
      </c>
      <c r="P1393" s="9" t="str">
        <f>VLOOKUP($O1393,'Liste des Villes'!$B$2:$B$1128,1,FALSE)</f>
        <v>Saint-Jérôme</v>
      </c>
      <c r="Q1393" s="9" t="str">
        <f>IFERROR($P1393,PROPER(VLOOKUP($O1393,'Villes en erreur'!$A$2:$B$72,2,FALSE)))</f>
        <v>Saint-Jérôme</v>
      </c>
      <c r="R1393" s="9" t="s">
        <v>3186</v>
      </c>
      <c r="S1393" s="9" t="str">
        <f>IF(ISBLANK($R1393),"",VLOOKUP($R1393,'Liste des Villes'!$B$2:$H$1128,4,FALSE))</f>
        <v>Laurentides</v>
      </c>
      <c r="T1393" s="2" t="s">
        <v>3187</v>
      </c>
      <c r="U1393" s="2" t="s">
        <v>39</v>
      </c>
      <c r="V1393" s="2" t="s">
        <v>40</v>
      </c>
      <c r="W1393" s="2" t="s">
        <v>7013</v>
      </c>
      <c r="X1393" s="2"/>
      <c r="Y1393" s="2"/>
      <c r="Z1393" s="2"/>
      <c r="AA1393" s="2" t="s">
        <v>3231</v>
      </c>
      <c r="AB1393" s="2" t="s">
        <v>53</v>
      </c>
      <c r="AC1393" s="4" t="s">
        <v>44</v>
      </c>
    </row>
    <row r="1394" spans="1:29" x14ac:dyDescent="0.25">
      <c r="A1394" s="1">
        <v>1373</v>
      </c>
      <c r="B1394" s="17" t="s">
        <v>7014</v>
      </c>
      <c r="C1394" s="2" t="s">
        <v>7015</v>
      </c>
      <c r="D1394" s="15" t="s">
        <v>7016</v>
      </c>
      <c r="E1394" s="9" t="s">
        <v>1729</v>
      </c>
      <c r="F1394" s="9" t="s">
        <v>7017</v>
      </c>
      <c r="G1394" s="9" t="s">
        <v>7018</v>
      </c>
      <c r="H1394" s="2" t="s">
        <v>60</v>
      </c>
      <c r="I1394" s="3">
        <v>35704</v>
      </c>
      <c r="J1394" s="9" t="str">
        <f t="shared" ca="1" si="23"/>
        <v>25 ans</v>
      </c>
      <c r="K1394" s="2" t="s">
        <v>123</v>
      </c>
      <c r="L1394" s="2" t="str">
        <f>"136"</f>
        <v>136</v>
      </c>
      <c r="M1394" s="2"/>
      <c r="N1394" s="2" t="str">
        <f>"DES SEIGNEURS BLVD"</f>
        <v>DES SEIGNEURS BLVD</v>
      </c>
      <c r="O1394" s="2" t="s">
        <v>3185</v>
      </c>
      <c r="P1394" s="9" t="str">
        <f>VLOOKUP($O1394,'Liste des Villes'!$B$2:$B$1128,1,FALSE)</f>
        <v>Saint-Jérôme</v>
      </c>
      <c r="Q1394" s="9" t="str">
        <f>IFERROR($P1394,PROPER(VLOOKUP($O1394,'Villes en erreur'!$A$2:$B$72,2,FALSE)))</f>
        <v>Saint-Jérôme</v>
      </c>
      <c r="R1394" s="9" t="s">
        <v>3186</v>
      </c>
      <c r="S1394" s="9" t="str">
        <f>IF(ISBLANK($R1394),"",VLOOKUP($R1394,'Liste des Villes'!$B$2:$H$1128,4,FALSE))</f>
        <v>Laurentides</v>
      </c>
      <c r="T1394" s="2" t="s">
        <v>7019</v>
      </c>
      <c r="U1394" s="2" t="s">
        <v>39</v>
      </c>
      <c r="V1394" s="2" t="s">
        <v>40</v>
      </c>
      <c r="W1394" s="2" t="s">
        <v>7020</v>
      </c>
      <c r="X1394" s="2"/>
      <c r="Y1394" s="2"/>
      <c r="Z1394" s="2"/>
      <c r="AA1394" s="2" t="s">
        <v>3243</v>
      </c>
      <c r="AB1394" s="2" t="s">
        <v>3221</v>
      </c>
      <c r="AC1394" s="4" t="s">
        <v>44</v>
      </c>
    </row>
    <row r="1395" spans="1:29" x14ac:dyDescent="0.25">
      <c r="A1395" s="1">
        <v>4426</v>
      </c>
      <c r="B1395" s="17" t="s">
        <v>7021</v>
      </c>
      <c r="C1395" s="2" t="s">
        <v>7022</v>
      </c>
      <c r="D1395" s="15" t="s">
        <v>7023</v>
      </c>
      <c r="E1395" s="9" t="s">
        <v>1560</v>
      </c>
      <c r="F1395" s="9" t="s">
        <v>867</v>
      </c>
      <c r="G1395" s="9" t="s">
        <v>6380</v>
      </c>
      <c r="H1395" s="2" t="s">
        <v>60</v>
      </c>
      <c r="I1395" s="3">
        <v>35478</v>
      </c>
      <c r="J1395" s="9" t="str">
        <f t="shared" ca="1" si="23"/>
        <v>26 ans</v>
      </c>
      <c r="K1395" s="2" t="s">
        <v>36</v>
      </c>
      <c r="L1395" s="2" t="str">
        <f>"117"</f>
        <v>117</v>
      </c>
      <c r="M1395" s="2"/>
      <c r="N1395" s="2" t="str">
        <f>"CHEMIN O'BRIEN"</f>
        <v>CHEMIN O'BRIEN</v>
      </c>
      <c r="O1395" s="2" t="s">
        <v>3185</v>
      </c>
      <c r="P1395" s="9" t="str">
        <f>VLOOKUP($O1395,'Liste des Villes'!$B$2:$B$1128,1,FALSE)</f>
        <v>Saint-Jérôme</v>
      </c>
      <c r="Q1395" s="9" t="str">
        <f>IFERROR($P1395,PROPER(VLOOKUP($O1395,'Villes en erreur'!$A$2:$B$72,2,FALSE)))</f>
        <v>Saint-Jérôme</v>
      </c>
      <c r="R1395" s="9" t="s">
        <v>3186</v>
      </c>
      <c r="S1395" s="9" t="str">
        <f>IF(ISBLANK($R1395),"",VLOOKUP($R1395,'Liste des Villes'!$B$2:$H$1128,4,FALSE))</f>
        <v>Laurentides</v>
      </c>
      <c r="T1395" s="2" t="s">
        <v>3532</v>
      </c>
      <c r="U1395" s="2" t="s">
        <v>39</v>
      </c>
      <c r="V1395" s="2" t="s">
        <v>40</v>
      </c>
      <c r="W1395" s="2" t="s">
        <v>7024</v>
      </c>
      <c r="X1395" s="2"/>
      <c r="Y1395" s="2"/>
      <c r="Z1395" s="2"/>
      <c r="AA1395" s="2" t="s">
        <v>3199</v>
      </c>
      <c r="AB1395" s="2" t="s">
        <v>3200</v>
      </c>
      <c r="AC1395" s="4" t="s">
        <v>44</v>
      </c>
    </row>
    <row r="1396" spans="1:29" x14ac:dyDescent="0.25">
      <c r="A1396" s="1">
        <v>2381</v>
      </c>
      <c r="B1396" s="17" t="s">
        <v>7025</v>
      </c>
      <c r="C1396" s="2" t="s">
        <v>7026</v>
      </c>
      <c r="D1396" s="15" t="s">
        <v>7027</v>
      </c>
      <c r="E1396" s="9" t="s">
        <v>7028</v>
      </c>
      <c r="F1396" s="9" t="s">
        <v>2115</v>
      </c>
      <c r="G1396" s="9" t="s">
        <v>3404</v>
      </c>
      <c r="H1396" s="2" t="s">
        <v>35</v>
      </c>
      <c r="I1396" s="3">
        <v>35698</v>
      </c>
      <c r="J1396" s="9" t="str">
        <f t="shared" ca="1" si="23"/>
        <v>25 ans</v>
      </c>
      <c r="K1396" s="2" t="s">
        <v>123</v>
      </c>
      <c r="L1396" s="2" t="str">
        <f>"135"</f>
        <v>135</v>
      </c>
      <c r="M1396" s="2"/>
      <c r="N1396" s="2" t="str">
        <f>"DES MONTS BLVD"</f>
        <v>DES MONTS BLVD</v>
      </c>
      <c r="O1396" s="2" t="s">
        <v>3185</v>
      </c>
      <c r="P1396" s="9" t="str">
        <f>VLOOKUP($O1396,'Liste des Villes'!$B$2:$B$1128,1,FALSE)</f>
        <v>Saint-Jérôme</v>
      </c>
      <c r="Q1396" s="9" t="str">
        <f>IFERROR($P1396,PROPER(VLOOKUP($O1396,'Villes en erreur'!$A$2:$B$72,2,FALSE)))</f>
        <v>Saint-Jérôme</v>
      </c>
      <c r="R1396" s="9" t="s">
        <v>3186</v>
      </c>
      <c r="S1396" s="9" t="str">
        <f>IF(ISBLANK($R1396),"",VLOOKUP($R1396,'Liste des Villes'!$B$2:$H$1128,4,FALSE))</f>
        <v>Laurentides</v>
      </c>
      <c r="T1396" s="2" t="s">
        <v>7029</v>
      </c>
      <c r="U1396" s="2" t="s">
        <v>39</v>
      </c>
      <c r="V1396" s="2" t="s">
        <v>40</v>
      </c>
      <c r="W1396" s="2" t="s">
        <v>7030</v>
      </c>
      <c r="X1396" s="2"/>
      <c r="Y1396" s="2"/>
      <c r="Z1396" s="2"/>
      <c r="AA1396" s="2" t="s">
        <v>3243</v>
      </c>
      <c r="AB1396" s="2" t="s">
        <v>3221</v>
      </c>
      <c r="AC1396" s="4" t="s">
        <v>44</v>
      </c>
    </row>
    <row r="1397" spans="1:29" x14ac:dyDescent="0.25">
      <c r="A1397" s="1">
        <v>478</v>
      </c>
      <c r="B1397" s="17" t="s">
        <v>7031</v>
      </c>
      <c r="C1397" s="2" t="s">
        <v>7032</v>
      </c>
      <c r="D1397" s="15" t="s">
        <v>7033</v>
      </c>
      <c r="E1397" s="9" t="s">
        <v>3375</v>
      </c>
      <c r="F1397" s="9" t="s">
        <v>714</v>
      </c>
      <c r="G1397" s="9" t="s">
        <v>1560</v>
      </c>
      <c r="H1397" s="2" t="s">
        <v>35</v>
      </c>
      <c r="I1397" s="3">
        <v>35603</v>
      </c>
      <c r="J1397" s="9" t="str">
        <f t="shared" ca="1" si="23"/>
        <v>26 ans</v>
      </c>
      <c r="K1397" s="2" t="s">
        <v>36</v>
      </c>
      <c r="L1397" s="2" t="str">
        <f>"129"</f>
        <v>129</v>
      </c>
      <c r="M1397" s="2"/>
      <c r="N1397" s="2" t="str">
        <f>"DE LA PASSION"</f>
        <v>DE LA PASSION</v>
      </c>
      <c r="O1397" s="2" t="s">
        <v>3185</v>
      </c>
      <c r="P1397" s="9" t="str">
        <f>VLOOKUP($O1397,'Liste des Villes'!$B$2:$B$1128,1,FALSE)</f>
        <v>Saint-Jérôme</v>
      </c>
      <c r="Q1397" s="9" t="str">
        <f>IFERROR($P1397,PROPER(VLOOKUP($O1397,'Villes en erreur'!$A$2:$B$72,2,FALSE)))</f>
        <v>Saint-Jérôme</v>
      </c>
      <c r="R1397" s="9" t="s">
        <v>3186</v>
      </c>
      <c r="S1397" s="9" t="str">
        <f>IF(ISBLANK($R1397),"",VLOOKUP($R1397,'Liste des Villes'!$B$2:$H$1128,4,FALSE))</f>
        <v>Laurentides</v>
      </c>
      <c r="T1397" s="2" t="s">
        <v>7034</v>
      </c>
      <c r="U1397" s="2" t="s">
        <v>39</v>
      </c>
      <c r="V1397" s="2" t="s">
        <v>40</v>
      </c>
      <c r="W1397" s="2" t="s">
        <v>7035</v>
      </c>
      <c r="X1397" s="2"/>
      <c r="Y1397" s="2"/>
      <c r="Z1397" s="2"/>
      <c r="AA1397" s="2" t="s">
        <v>3243</v>
      </c>
      <c r="AB1397" s="2" t="s">
        <v>3221</v>
      </c>
      <c r="AC1397" s="4" t="s">
        <v>44</v>
      </c>
    </row>
    <row r="1398" spans="1:29" x14ac:dyDescent="0.25">
      <c r="A1398" s="1">
        <v>909</v>
      </c>
      <c r="B1398" s="17" t="s">
        <v>7036</v>
      </c>
      <c r="C1398" s="2" t="s">
        <v>7037</v>
      </c>
      <c r="D1398" s="15" t="s">
        <v>3659</v>
      </c>
      <c r="E1398" s="9" t="s">
        <v>743</v>
      </c>
      <c r="F1398" s="9" t="s">
        <v>1870</v>
      </c>
      <c r="G1398" s="9" t="s">
        <v>495</v>
      </c>
      <c r="H1398" s="2" t="s">
        <v>35</v>
      </c>
      <c r="I1398" s="3">
        <v>34623</v>
      </c>
      <c r="J1398" s="9" t="str">
        <f t="shared" ca="1" si="23"/>
        <v>28 ans</v>
      </c>
      <c r="K1398" s="2" t="s">
        <v>36</v>
      </c>
      <c r="L1398" s="2" t="str">
        <f>"68"</f>
        <v>68</v>
      </c>
      <c r="M1398" s="2"/>
      <c r="N1398" s="2" t="str">
        <f>"CH DE LA PINERAIE"</f>
        <v>CH DE LA PINERAIE</v>
      </c>
      <c r="O1398" s="2" t="s">
        <v>3185</v>
      </c>
      <c r="P1398" s="9" t="str">
        <f>VLOOKUP($O1398,'Liste des Villes'!$B$2:$B$1128,1,FALSE)</f>
        <v>Saint-Jérôme</v>
      </c>
      <c r="Q1398" s="9" t="str">
        <f>IFERROR($P1398,PROPER(VLOOKUP($O1398,'Villes en erreur'!$A$2:$B$72,2,FALSE)))</f>
        <v>Saint-Jérôme</v>
      </c>
      <c r="R1398" s="9" t="s">
        <v>3186</v>
      </c>
      <c r="S1398" s="9" t="str">
        <f>IF(ISBLANK($R1398),"",VLOOKUP($R1398,'Liste des Villes'!$B$2:$H$1128,4,FALSE))</f>
        <v>Laurentides</v>
      </c>
      <c r="T1398" s="2" t="s">
        <v>3223</v>
      </c>
      <c r="U1398" s="2" t="s">
        <v>39</v>
      </c>
      <c r="V1398" s="2" t="s">
        <v>40</v>
      </c>
      <c r="W1398" s="2" t="s">
        <v>7038</v>
      </c>
      <c r="X1398" s="2"/>
      <c r="Y1398" s="2"/>
      <c r="Z1398" s="2"/>
      <c r="AA1398" s="2" t="s">
        <v>3225</v>
      </c>
      <c r="AB1398" s="2" t="s">
        <v>53</v>
      </c>
      <c r="AC1398" s="4" t="s">
        <v>44</v>
      </c>
    </row>
    <row r="1399" spans="1:29" x14ac:dyDescent="0.25">
      <c r="A1399" s="1">
        <v>3436</v>
      </c>
      <c r="B1399" s="17" t="s">
        <v>7039</v>
      </c>
      <c r="C1399" s="2" t="s">
        <v>5985</v>
      </c>
      <c r="D1399" s="15" t="s">
        <v>5986</v>
      </c>
      <c r="E1399" s="9" t="s">
        <v>92</v>
      </c>
      <c r="F1399" s="9" t="s">
        <v>944</v>
      </c>
      <c r="G1399" s="9" t="s">
        <v>7040</v>
      </c>
      <c r="H1399" s="2" t="s">
        <v>60</v>
      </c>
      <c r="I1399" s="3">
        <v>36030</v>
      </c>
      <c r="J1399" s="9" t="str">
        <f t="shared" ca="1" si="23"/>
        <v>25 ans</v>
      </c>
      <c r="K1399" s="2" t="s">
        <v>123</v>
      </c>
      <c r="L1399" s="2" t="str">
        <f>"184"</f>
        <v>184</v>
      </c>
      <c r="M1399" s="2"/>
      <c r="N1399" s="2" t="str">
        <f>"PLACE LÉON-CHARBONNEAU"</f>
        <v>PLACE LÉON-CHARBONNEAU</v>
      </c>
      <c r="O1399" s="2" t="s">
        <v>3185</v>
      </c>
      <c r="P1399" s="9" t="str">
        <f>VLOOKUP($O1399,'Liste des Villes'!$B$2:$B$1128,1,FALSE)</f>
        <v>Saint-Jérôme</v>
      </c>
      <c r="Q1399" s="9" t="str">
        <f>IFERROR($P1399,PROPER(VLOOKUP($O1399,'Villes en erreur'!$A$2:$B$72,2,FALSE)))</f>
        <v>Saint-Jérôme</v>
      </c>
      <c r="R1399" s="9" t="s">
        <v>3186</v>
      </c>
      <c r="S1399" s="9" t="str">
        <f>IF(ISBLANK($R1399),"",VLOOKUP($R1399,'Liste des Villes'!$B$2:$H$1128,4,FALSE))</f>
        <v>Laurentides</v>
      </c>
      <c r="T1399" s="2" t="s">
        <v>5017</v>
      </c>
      <c r="U1399" s="2" t="s">
        <v>39</v>
      </c>
      <c r="V1399" s="2" t="s">
        <v>40</v>
      </c>
      <c r="W1399" s="2" t="s">
        <v>7041</v>
      </c>
      <c r="X1399" s="2"/>
      <c r="Y1399" s="2"/>
      <c r="Z1399" s="2"/>
      <c r="AA1399" s="2" t="s">
        <v>832</v>
      </c>
      <c r="AB1399" s="2" t="s">
        <v>3221</v>
      </c>
      <c r="AC1399" s="4" t="s">
        <v>44</v>
      </c>
    </row>
    <row r="1400" spans="1:29" x14ac:dyDescent="0.25">
      <c r="A1400" s="1">
        <v>1534</v>
      </c>
      <c r="B1400" s="17" t="s">
        <v>7042</v>
      </c>
      <c r="C1400" s="2" t="s">
        <v>3699</v>
      </c>
      <c r="D1400" s="15" t="s">
        <v>1716</v>
      </c>
      <c r="E1400" s="9" t="s">
        <v>3700</v>
      </c>
      <c r="F1400" s="9" t="s">
        <v>7043</v>
      </c>
      <c r="G1400" s="9" t="s">
        <v>1168</v>
      </c>
      <c r="H1400" s="2" t="s">
        <v>60</v>
      </c>
      <c r="I1400" s="3">
        <v>35312</v>
      </c>
      <c r="J1400" s="9" t="str">
        <f t="shared" ca="1" si="23"/>
        <v>26 ans</v>
      </c>
      <c r="K1400" s="2" t="s">
        <v>36</v>
      </c>
      <c r="L1400" s="2" t="str">
        <f>"109"</f>
        <v>109</v>
      </c>
      <c r="M1400" s="2"/>
      <c r="N1400" s="2" t="str">
        <f>"CHEMIN DES CÈDRES"</f>
        <v>CHEMIN DES CÈDRES</v>
      </c>
      <c r="O1400" s="2" t="s">
        <v>3185</v>
      </c>
      <c r="P1400" s="9" t="str">
        <f>VLOOKUP($O1400,'Liste des Villes'!$B$2:$B$1128,1,FALSE)</f>
        <v>Saint-Jérôme</v>
      </c>
      <c r="Q1400" s="9" t="str">
        <f>IFERROR($P1400,PROPER(VLOOKUP($O1400,'Villes en erreur'!$A$2:$B$72,2,FALSE)))</f>
        <v>Saint-Jérôme</v>
      </c>
      <c r="R1400" s="9" t="s">
        <v>3186</v>
      </c>
      <c r="S1400" s="9" t="str">
        <f>IF(ISBLANK($R1400),"",VLOOKUP($R1400,'Liste des Villes'!$B$2:$H$1128,4,FALSE))</f>
        <v>Laurentides</v>
      </c>
      <c r="T1400" s="2" t="s">
        <v>3398</v>
      </c>
      <c r="U1400" s="2" t="s">
        <v>39</v>
      </c>
      <c r="V1400" s="2" t="s">
        <v>40</v>
      </c>
      <c r="W1400" s="2" t="s">
        <v>7044</v>
      </c>
      <c r="X1400" s="2"/>
      <c r="Y1400" s="2"/>
      <c r="Z1400" s="2"/>
      <c r="AA1400" s="2" t="s">
        <v>3189</v>
      </c>
      <c r="AB1400" s="2" t="s">
        <v>3200</v>
      </c>
      <c r="AC1400" s="4" t="s">
        <v>44</v>
      </c>
    </row>
    <row r="1401" spans="1:29" x14ac:dyDescent="0.25">
      <c r="A1401" s="1">
        <v>649</v>
      </c>
      <c r="B1401" s="17" t="s">
        <v>7045</v>
      </c>
      <c r="C1401" s="2" t="s">
        <v>3455</v>
      </c>
      <c r="D1401" s="15" t="s">
        <v>584</v>
      </c>
      <c r="E1401" s="9" t="s">
        <v>405</v>
      </c>
      <c r="F1401" s="9" t="s">
        <v>7046</v>
      </c>
      <c r="G1401" s="9" t="s">
        <v>3695</v>
      </c>
      <c r="H1401" s="2" t="s">
        <v>60</v>
      </c>
      <c r="I1401" s="3">
        <v>35732</v>
      </c>
      <c r="J1401" s="9" t="str">
        <f t="shared" ca="1" si="23"/>
        <v>25 ans</v>
      </c>
      <c r="K1401" s="2" t="s">
        <v>123</v>
      </c>
      <c r="L1401" s="2" t="str">
        <f>"138"</f>
        <v>138</v>
      </c>
      <c r="M1401" s="2"/>
      <c r="N1401" s="2" t="str">
        <f>"DU CURÉ-LABELLE BLVD"</f>
        <v>DU CURÉ-LABELLE BLVD</v>
      </c>
      <c r="O1401" s="2" t="s">
        <v>3185</v>
      </c>
      <c r="P1401" s="9" t="str">
        <f>VLOOKUP($O1401,'Liste des Villes'!$B$2:$B$1128,1,FALSE)</f>
        <v>Saint-Jérôme</v>
      </c>
      <c r="Q1401" s="9" t="str">
        <f>IFERROR($P1401,PROPER(VLOOKUP($O1401,'Villes en erreur'!$A$2:$B$72,2,FALSE)))</f>
        <v>Saint-Jérôme</v>
      </c>
      <c r="R1401" s="9" t="s">
        <v>3186</v>
      </c>
      <c r="S1401" s="9" t="str">
        <f>IF(ISBLANK($R1401),"",VLOOKUP($R1401,'Liste des Villes'!$B$2:$H$1128,4,FALSE))</f>
        <v>Laurentides</v>
      </c>
      <c r="T1401" s="2" t="s">
        <v>7047</v>
      </c>
      <c r="U1401" s="2" t="s">
        <v>39</v>
      </c>
      <c r="V1401" s="2" t="s">
        <v>40</v>
      </c>
      <c r="W1401" s="2" t="s">
        <v>7048</v>
      </c>
      <c r="X1401" s="2"/>
      <c r="Y1401" s="2"/>
      <c r="Z1401" s="2"/>
      <c r="AA1401" s="2" t="s">
        <v>3243</v>
      </c>
      <c r="AB1401" s="2" t="s">
        <v>3221</v>
      </c>
      <c r="AC1401" s="4" t="s">
        <v>44</v>
      </c>
    </row>
    <row r="1402" spans="1:29" x14ac:dyDescent="0.25">
      <c r="A1402" s="1">
        <v>1596</v>
      </c>
      <c r="B1402" s="17" t="s">
        <v>7049</v>
      </c>
      <c r="C1402" s="2" t="s">
        <v>7050</v>
      </c>
      <c r="D1402" s="15" t="s">
        <v>7051</v>
      </c>
      <c r="E1402" s="9" t="s">
        <v>348</v>
      </c>
      <c r="F1402" s="9" t="s">
        <v>2233</v>
      </c>
      <c r="G1402" s="9" t="s">
        <v>186</v>
      </c>
      <c r="H1402" s="2" t="s">
        <v>60</v>
      </c>
      <c r="I1402" s="3">
        <v>34918</v>
      </c>
      <c r="J1402" s="9" t="str">
        <f t="shared" ca="1" si="23"/>
        <v>28 ans</v>
      </c>
      <c r="K1402" s="2" t="s">
        <v>36</v>
      </c>
      <c r="L1402" s="2" t="str">
        <f>"84"</f>
        <v>84</v>
      </c>
      <c r="M1402" s="2"/>
      <c r="N1402" s="2" t="str">
        <f>"CH D'OKA"</f>
        <v>CH D'OKA</v>
      </c>
      <c r="O1402" s="2" t="s">
        <v>3185</v>
      </c>
      <c r="P1402" s="9" t="str">
        <f>VLOOKUP($O1402,'Liste des Villes'!$B$2:$B$1128,1,FALSE)</f>
        <v>Saint-Jérôme</v>
      </c>
      <c r="Q1402" s="9" t="str">
        <f>IFERROR($P1402,PROPER(VLOOKUP($O1402,'Villes en erreur'!$A$2:$B$72,2,FALSE)))</f>
        <v>Saint-Jérôme</v>
      </c>
      <c r="R1402" s="9" t="s">
        <v>3186</v>
      </c>
      <c r="S1402" s="9" t="str">
        <f>IF(ISBLANK($R1402),"",VLOOKUP($R1402,'Liste des Villes'!$B$2:$H$1128,4,FALSE))</f>
        <v>Laurentides</v>
      </c>
      <c r="T1402" s="2" t="s">
        <v>3187</v>
      </c>
      <c r="U1402" s="2" t="s">
        <v>39</v>
      </c>
      <c r="V1402" s="2" t="s">
        <v>40</v>
      </c>
      <c r="W1402" s="2" t="s">
        <v>7052</v>
      </c>
      <c r="X1402" s="2"/>
      <c r="Y1402" s="2"/>
      <c r="Z1402" s="2"/>
      <c r="AA1402" s="2" t="s">
        <v>3231</v>
      </c>
      <c r="AB1402" s="2" t="s">
        <v>53</v>
      </c>
      <c r="AC1402" s="4" t="s">
        <v>44</v>
      </c>
    </row>
    <row r="1403" spans="1:29" x14ac:dyDescent="0.25">
      <c r="A1403" s="1">
        <v>264</v>
      </c>
      <c r="B1403" s="17" t="s">
        <v>7053</v>
      </c>
      <c r="C1403" s="2" t="s">
        <v>7054</v>
      </c>
      <c r="D1403" s="15" t="s">
        <v>6227</v>
      </c>
      <c r="E1403" s="9" t="s">
        <v>7055</v>
      </c>
      <c r="F1403" s="9" t="s">
        <v>4353</v>
      </c>
      <c r="G1403" s="9" t="s">
        <v>996</v>
      </c>
      <c r="H1403" s="2" t="s">
        <v>60</v>
      </c>
      <c r="I1403" s="3">
        <v>35031</v>
      </c>
      <c r="J1403" s="9" t="str">
        <f t="shared" ca="1" si="23"/>
        <v>27 ans</v>
      </c>
      <c r="K1403" s="2" t="s">
        <v>36</v>
      </c>
      <c r="L1403" s="2" t="str">
        <f>"96"</f>
        <v>96</v>
      </c>
      <c r="M1403" s="2"/>
      <c r="N1403" s="2" t="str">
        <f>"CH DU MISTRAL"</f>
        <v>CH DU MISTRAL</v>
      </c>
      <c r="O1403" s="2" t="s">
        <v>3185</v>
      </c>
      <c r="P1403" s="9" t="str">
        <f>VLOOKUP($O1403,'Liste des Villes'!$B$2:$B$1128,1,FALSE)</f>
        <v>Saint-Jérôme</v>
      </c>
      <c r="Q1403" s="9" t="str">
        <f>IFERROR($P1403,PROPER(VLOOKUP($O1403,'Villes en erreur'!$A$2:$B$72,2,FALSE)))</f>
        <v>Saint-Jérôme</v>
      </c>
      <c r="R1403" s="9" t="s">
        <v>3186</v>
      </c>
      <c r="S1403" s="9" t="str">
        <f>IF(ISBLANK($R1403),"",VLOOKUP($R1403,'Liste des Villes'!$B$2:$H$1128,4,FALSE))</f>
        <v>Laurentides</v>
      </c>
      <c r="T1403" s="2" t="s">
        <v>3187</v>
      </c>
      <c r="U1403" s="2" t="s">
        <v>39</v>
      </c>
      <c r="V1403" s="2" t="s">
        <v>40</v>
      </c>
      <c r="W1403" s="2" t="s">
        <v>7056</v>
      </c>
      <c r="X1403" s="2"/>
      <c r="Y1403" s="2"/>
      <c r="Z1403" s="2"/>
      <c r="AA1403" s="2" t="s">
        <v>3189</v>
      </c>
      <c r="AB1403" s="2" t="s">
        <v>53</v>
      </c>
      <c r="AC1403" s="4" t="s">
        <v>44</v>
      </c>
    </row>
    <row r="1404" spans="1:29" x14ac:dyDescent="0.25">
      <c r="A1404" s="1">
        <v>1048</v>
      </c>
      <c r="B1404" s="17" t="s">
        <v>7057</v>
      </c>
      <c r="C1404" s="2" t="s">
        <v>7058</v>
      </c>
      <c r="D1404" s="15" t="s">
        <v>449</v>
      </c>
      <c r="E1404" s="9" t="s">
        <v>7059</v>
      </c>
      <c r="F1404" s="9" t="s">
        <v>3779</v>
      </c>
      <c r="G1404" s="9" t="s">
        <v>1978</v>
      </c>
      <c r="H1404" s="2" t="s">
        <v>60</v>
      </c>
      <c r="I1404" s="3">
        <v>35944</v>
      </c>
      <c r="J1404" s="9" t="str">
        <f t="shared" ca="1" si="23"/>
        <v>25 ans</v>
      </c>
      <c r="K1404" s="2" t="s">
        <v>123</v>
      </c>
      <c r="L1404" s="2" t="str">
        <f>"168"</f>
        <v>168</v>
      </c>
      <c r="M1404" s="2"/>
      <c r="N1404" s="2" t="str">
        <f>"MONTEE SAINTE-THÉRÈSE"</f>
        <v>MONTEE SAINTE-THÉRÈSE</v>
      </c>
      <c r="O1404" s="2" t="s">
        <v>3185</v>
      </c>
      <c r="P1404" s="9" t="str">
        <f>VLOOKUP($O1404,'Liste des Villes'!$B$2:$B$1128,1,FALSE)</f>
        <v>Saint-Jérôme</v>
      </c>
      <c r="Q1404" s="9" t="str">
        <f>IFERROR($P1404,PROPER(VLOOKUP($O1404,'Villes en erreur'!$A$2:$B$72,2,FALSE)))</f>
        <v>Saint-Jérôme</v>
      </c>
      <c r="R1404" s="9" t="s">
        <v>3186</v>
      </c>
      <c r="S1404" s="9" t="str">
        <f>IF(ISBLANK($R1404),"",VLOOKUP($R1404,'Liste des Villes'!$B$2:$H$1128,4,FALSE))</f>
        <v>Laurentides</v>
      </c>
      <c r="T1404" s="2" t="s">
        <v>7060</v>
      </c>
      <c r="U1404" s="2" t="s">
        <v>39</v>
      </c>
      <c r="V1404" s="2" t="s">
        <v>40</v>
      </c>
      <c r="W1404" s="2" t="s">
        <v>7061</v>
      </c>
      <c r="X1404" s="2"/>
      <c r="Y1404" s="2"/>
      <c r="Z1404" s="2"/>
      <c r="AA1404" s="2" t="s">
        <v>832</v>
      </c>
      <c r="AB1404" s="2" t="s">
        <v>3221</v>
      </c>
      <c r="AC1404" s="4" t="s">
        <v>44</v>
      </c>
    </row>
    <row r="1405" spans="1:29" x14ac:dyDescent="0.25">
      <c r="A1405" s="1">
        <v>249</v>
      </c>
      <c r="B1405" s="17" t="s">
        <v>7062</v>
      </c>
      <c r="C1405" s="2" t="s">
        <v>7063</v>
      </c>
      <c r="D1405" s="15" t="s">
        <v>419</v>
      </c>
      <c r="E1405" s="9" t="s">
        <v>1447</v>
      </c>
      <c r="F1405" s="9" t="s">
        <v>417</v>
      </c>
      <c r="G1405" s="9" t="s">
        <v>179</v>
      </c>
      <c r="H1405" s="2" t="s">
        <v>60</v>
      </c>
      <c r="I1405" s="3">
        <v>36116</v>
      </c>
      <c r="J1405" s="9" t="str">
        <f t="shared" ca="1" si="23"/>
        <v>24 ans</v>
      </c>
      <c r="K1405" s="2" t="s">
        <v>123</v>
      </c>
      <c r="L1405" s="2" t="str">
        <f>"212"</f>
        <v>212</v>
      </c>
      <c r="M1405" s="2"/>
      <c r="N1405" s="2" t="str">
        <f>"RTE ARTHUR-SAUVÉ"</f>
        <v>RTE ARTHUR-SAUVÉ</v>
      </c>
      <c r="O1405" s="2" t="s">
        <v>3185</v>
      </c>
      <c r="P1405" s="9" t="str">
        <f>VLOOKUP($O1405,'Liste des Villes'!$B$2:$B$1128,1,FALSE)</f>
        <v>Saint-Jérôme</v>
      </c>
      <c r="Q1405" s="9" t="str">
        <f>IFERROR($P1405,PROPER(VLOOKUP($O1405,'Villes en erreur'!$A$2:$B$72,2,FALSE)))</f>
        <v>Saint-Jérôme</v>
      </c>
      <c r="R1405" s="9" t="s">
        <v>3186</v>
      </c>
      <c r="S1405" s="9" t="str">
        <f>IF(ISBLANK($R1405),"",VLOOKUP($R1405,'Liste des Villes'!$B$2:$H$1128,4,FALSE))</f>
        <v>Laurentides</v>
      </c>
      <c r="T1405" s="2" t="s">
        <v>3603</v>
      </c>
      <c r="U1405" s="2" t="s">
        <v>39</v>
      </c>
      <c r="V1405" s="2" t="s">
        <v>40</v>
      </c>
      <c r="W1405" s="2" t="s">
        <v>7064</v>
      </c>
      <c r="X1405" s="2"/>
      <c r="Y1405" s="2"/>
      <c r="Z1405" s="2"/>
      <c r="AA1405" s="2" t="s">
        <v>832</v>
      </c>
      <c r="AB1405" s="2" t="s">
        <v>3221</v>
      </c>
      <c r="AC1405" s="4" t="s">
        <v>44</v>
      </c>
    </row>
    <row r="1406" spans="1:29" x14ac:dyDescent="0.25">
      <c r="A1406" s="1">
        <v>1211</v>
      </c>
      <c r="B1406" s="17" t="s">
        <v>7065</v>
      </c>
      <c r="C1406" s="2" t="s">
        <v>7066</v>
      </c>
      <c r="D1406" s="15" t="s">
        <v>7067</v>
      </c>
      <c r="E1406" s="9" t="s">
        <v>370</v>
      </c>
      <c r="F1406" s="9" t="s">
        <v>371</v>
      </c>
      <c r="G1406" s="9" t="s">
        <v>1246</v>
      </c>
      <c r="H1406" s="2" t="s">
        <v>35</v>
      </c>
      <c r="I1406" s="3">
        <v>34109</v>
      </c>
      <c r="J1406" s="9" t="str">
        <f t="shared" ca="1" si="23"/>
        <v>30 ans</v>
      </c>
      <c r="K1406" s="2" t="s">
        <v>36</v>
      </c>
      <c r="L1406" s="2" t="str">
        <f>"46"</f>
        <v>46</v>
      </c>
      <c r="M1406" s="2"/>
      <c r="N1406" s="2" t="str">
        <f>"BOULEVARD CURÉ-LABELLE"</f>
        <v>BOULEVARD CURÉ-LABELLE</v>
      </c>
      <c r="O1406" s="2" t="s">
        <v>3185</v>
      </c>
      <c r="P1406" s="9" t="str">
        <f>VLOOKUP($O1406,'Liste des Villes'!$B$2:$B$1128,1,FALSE)</f>
        <v>Saint-Jérôme</v>
      </c>
      <c r="Q1406" s="9" t="str">
        <f>IFERROR($P1406,PROPER(VLOOKUP($O1406,'Villes en erreur'!$A$2:$B$72,2,FALSE)))</f>
        <v>Saint-Jérôme</v>
      </c>
      <c r="R1406" s="9" t="s">
        <v>3186</v>
      </c>
      <c r="S1406" s="9" t="str">
        <f>IF(ISBLANK($R1406),"",VLOOKUP($R1406,'Liste des Villes'!$B$2:$H$1128,4,FALSE))</f>
        <v>Laurentides</v>
      </c>
      <c r="T1406" s="2" t="s">
        <v>3358</v>
      </c>
      <c r="U1406" s="2" t="s">
        <v>39</v>
      </c>
      <c r="V1406" s="2" t="s">
        <v>40</v>
      </c>
      <c r="W1406" s="2" t="s">
        <v>7068</v>
      </c>
      <c r="X1406" s="2"/>
      <c r="Y1406" s="2"/>
      <c r="Z1406" s="2"/>
      <c r="AA1406" s="2" t="s">
        <v>3360</v>
      </c>
      <c r="AB1406" s="2" t="s">
        <v>53</v>
      </c>
      <c r="AC1406" s="4" t="s">
        <v>44</v>
      </c>
    </row>
    <row r="1407" spans="1:29" x14ac:dyDescent="0.25">
      <c r="A1407" s="1">
        <v>4232</v>
      </c>
      <c r="B1407" s="17" t="s">
        <v>7069</v>
      </c>
      <c r="C1407" s="2" t="s">
        <v>5137</v>
      </c>
      <c r="D1407" s="15" t="s">
        <v>861</v>
      </c>
      <c r="E1407" s="9" t="s">
        <v>332</v>
      </c>
      <c r="F1407" s="9" t="s">
        <v>859</v>
      </c>
      <c r="G1407" s="9" t="s">
        <v>195</v>
      </c>
      <c r="H1407" s="2" t="s">
        <v>60</v>
      </c>
      <c r="I1407" s="3">
        <v>34995</v>
      </c>
      <c r="J1407" s="9" t="str">
        <f t="shared" ca="1" si="23"/>
        <v>27 ans</v>
      </c>
      <c r="K1407" s="2" t="s">
        <v>36</v>
      </c>
      <c r="L1407" s="2" t="str">
        <f>"91"</f>
        <v>91</v>
      </c>
      <c r="M1407" s="2"/>
      <c r="N1407" s="2" t="str">
        <f>"CH DU LAC-BRÛLÉ"</f>
        <v>CH DU LAC-BRÛLÉ</v>
      </c>
      <c r="O1407" s="2" t="s">
        <v>3185</v>
      </c>
      <c r="P1407" s="9" t="str">
        <f>VLOOKUP($O1407,'Liste des Villes'!$B$2:$B$1128,1,FALSE)</f>
        <v>Saint-Jérôme</v>
      </c>
      <c r="Q1407" s="9" t="str">
        <f>IFERROR($P1407,PROPER(VLOOKUP($O1407,'Villes en erreur'!$A$2:$B$72,2,FALSE)))</f>
        <v>Saint-Jérôme</v>
      </c>
      <c r="R1407" s="9" t="s">
        <v>3186</v>
      </c>
      <c r="S1407" s="9" t="str">
        <f>IF(ISBLANK($R1407),"",VLOOKUP($R1407,'Liste des Villes'!$B$2:$H$1128,4,FALSE))</f>
        <v>Laurentides</v>
      </c>
      <c r="T1407" s="2" t="s">
        <v>3187</v>
      </c>
      <c r="U1407" s="2" t="s">
        <v>39</v>
      </c>
      <c r="V1407" s="2" t="s">
        <v>40</v>
      </c>
      <c r="W1407" s="2" t="s">
        <v>7070</v>
      </c>
      <c r="X1407" s="2"/>
      <c r="Y1407" s="2"/>
      <c r="Z1407" s="2"/>
      <c r="AA1407" s="2" t="s">
        <v>3189</v>
      </c>
      <c r="AB1407" s="2" t="s">
        <v>53</v>
      </c>
      <c r="AC1407" s="4" t="s">
        <v>44</v>
      </c>
    </row>
    <row r="1408" spans="1:29" x14ac:dyDescent="0.25">
      <c r="A1408" s="1">
        <v>2128</v>
      </c>
      <c r="B1408" s="17" t="s">
        <v>7071</v>
      </c>
      <c r="C1408" s="2" t="s">
        <v>7072</v>
      </c>
      <c r="D1408" s="15" t="s">
        <v>56</v>
      </c>
      <c r="E1408" s="9" t="s">
        <v>7073</v>
      </c>
      <c r="F1408" s="9" t="s">
        <v>7074</v>
      </c>
      <c r="G1408" s="9" t="s">
        <v>1447</v>
      </c>
      <c r="H1408" s="2" t="s">
        <v>60</v>
      </c>
      <c r="I1408" s="3">
        <v>35483</v>
      </c>
      <c r="J1408" s="9" t="str">
        <f t="shared" ca="1" si="23"/>
        <v>26 ans</v>
      </c>
      <c r="K1408" s="2" t="s">
        <v>36</v>
      </c>
      <c r="L1408" s="2" t="str">
        <f>"118"</f>
        <v>118</v>
      </c>
      <c r="M1408" s="2"/>
      <c r="N1408" s="2" t="str">
        <f>"CHEMIN PRINCIPAL"</f>
        <v>CHEMIN PRINCIPAL</v>
      </c>
      <c r="O1408" s="2" t="s">
        <v>3185</v>
      </c>
      <c r="P1408" s="9" t="str">
        <f>VLOOKUP($O1408,'Liste des Villes'!$B$2:$B$1128,1,FALSE)</f>
        <v>Saint-Jérôme</v>
      </c>
      <c r="Q1408" s="9" t="str">
        <f>IFERROR($P1408,PROPER(VLOOKUP($O1408,'Villes en erreur'!$A$2:$B$72,2,FALSE)))</f>
        <v>Saint-Jérôme</v>
      </c>
      <c r="R1408" s="9" t="s">
        <v>3186</v>
      </c>
      <c r="S1408" s="9" t="str">
        <f>IF(ISBLANK($R1408),"",VLOOKUP($R1408,'Liste des Villes'!$B$2:$H$1128,4,FALSE))</f>
        <v>Laurentides</v>
      </c>
      <c r="T1408" s="2" t="s">
        <v>3532</v>
      </c>
      <c r="U1408" s="2" t="s">
        <v>39</v>
      </c>
      <c r="V1408" s="2" t="s">
        <v>40</v>
      </c>
      <c r="W1408" s="2" t="s">
        <v>7075</v>
      </c>
      <c r="X1408" s="2"/>
      <c r="Y1408" s="2"/>
      <c r="Z1408" s="2"/>
      <c r="AA1408" s="2" t="s">
        <v>3199</v>
      </c>
      <c r="AB1408" s="2" t="s">
        <v>3200</v>
      </c>
      <c r="AC1408" s="4" t="s">
        <v>44</v>
      </c>
    </row>
    <row r="1409" spans="1:29" x14ac:dyDescent="0.25">
      <c r="A1409" s="1">
        <v>3570</v>
      </c>
      <c r="B1409" s="17" t="s">
        <v>7076</v>
      </c>
      <c r="C1409" s="2" t="s">
        <v>46</v>
      </c>
      <c r="D1409" s="15" t="s">
        <v>47</v>
      </c>
      <c r="E1409" s="9" t="s">
        <v>48</v>
      </c>
      <c r="F1409" s="9" t="s">
        <v>5792</v>
      </c>
      <c r="G1409" s="9" t="s">
        <v>92</v>
      </c>
      <c r="H1409" s="2" t="s">
        <v>35</v>
      </c>
      <c r="I1409" s="3">
        <v>35437</v>
      </c>
      <c r="J1409" s="9" t="str">
        <f t="shared" ca="1" si="23"/>
        <v>26 ans</v>
      </c>
      <c r="K1409" s="2" t="s">
        <v>36</v>
      </c>
      <c r="L1409" s="2" t="str">
        <f>"115"</f>
        <v>115</v>
      </c>
      <c r="M1409" s="2"/>
      <c r="N1409" s="2" t="str">
        <f>"CHEMIN DU PANORAMA"</f>
        <v>CHEMIN DU PANORAMA</v>
      </c>
      <c r="O1409" s="2" t="s">
        <v>3185</v>
      </c>
      <c r="P1409" s="9" t="str">
        <f>VLOOKUP($O1409,'Liste des Villes'!$B$2:$B$1128,1,FALSE)</f>
        <v>Saint-Jérôme</v>
      </c>
      <c r="Q1409" s="9" t="str">
        <f>IFERROR($P1409,PROPER(VLOOKUP($O1409,'Villes en erreur'!$A$2:$B$72,2,FALSE)))</f>
        <v>Saint-Jérôme</v>
      </c>
      <c r="R1409" s="9" t="s">
        <v>3186</v>
      </c>
      <c r="S1409" s="9" t="str">
        <f>IF(ISBLANK($R1409),"",VLOOKUP($R1409,'Liste des Villes'!$B$2:$H$1128,4,FALSE))</f>
        <v>Laurentides</v>
      </c>
      <c r="T1409" s="2" t="s">
        <v>3369</v>
      </c>
      <c r="U1409" s="2" t="s">
        <v>39</v>
      </c>
      <c r="V1409" s="2" t="s">
        <v>40</v>
      </c>
      <c r="W1409" s="2" t="s">
        <v>7077</v>
      </c>
      <c r="X1409" s="2"/>
      <c r="Y1409" s="2"/>
      <c r="Z1409" s="2"/>
      <c r="AA1409" s="2" t="s">
        <v>3199</v>
      </c>
      <c r="AB1409" s="2" t="s">
        <v>3200</v>
      </c>
      <c r="AC1409" s="4" t="s">
        <v>44</v>
      </c>
    </row>
    <row r="1410" spans="1:29" x14ac:dyDescent="0.25">
      <c r="A1410" s="1">
        <v>879</v>
      </c>
      <c r="B1410" s="17" t="s">
        <v>7078</v>
      </c>
      <c r="C1410" s="2" t="s">
        <v>7079</v>
      </c>
      <c r="D1410" s="15" t="s">
        <v>7080</v>
      </c>
      <c r="E1410" s="9" t="s">
        <v>101</v>
      </c>
      <c r="F1410" s="9" t="s">
        <v>7081</v>
      </c>
      <c r="G1410" s="9" t="s">
        <v>380</v>
      </c>
      <c r="H1410" s="2" t="s">
        <v>60</v>
      </c>
      <c r="I1410" s="3">
        <v>34395</v>
      </c>
      <c r="J1410" s="9" t="str">
        <f t="shared" ref="J1410:J1473" ca="1" si="24">_xlfn.CONCAT(INT((TODAY()-$I1410)/365.25)," ans")</f>
        <v>29 ans</v>
      </c>
      <c r="K1410" s="2" t="s">
        <v>36</v>
      </c>
      <c r="L1410" s="2" t="str">
        <f>"57"</f>
        <v>57</v>
      </c>
      <c r="M1410" s="2"/>
      <c r="N1410" s="2" t="str">
        <f>"CAR DEBUSSY"</f>
        <v>CAR DEBUSSY</v>
      </c>
      <c r="O1410" s="2" t="s">
        <v>3185</v>
      </c>
      <c r="P1410" s="9" t="str">
        <f>VLOOKUP($O1410,'Liste des Villes'!$B$2:$B$1128,1,FALSE)</f>
        <v>Saint-Jérôme</v>
      </c>
      <c r="Q1410" s="9" t="str">
        <f>IFERROR($P1410,PROPER(VLOOKUP($O1410,'Villes en erreur'!$A$2:$B$72,2,FALSE)))</f>
        <v>Saint-Jérôme</v>
      </c>
      <c r="R1410" s="9" t="s">
        <v>3186</v>
      </c>
      <c r="S1410" s="9" t="str">
        <f>IF(ISBLANK($R1410),"",VLOOKUP($R1410,'Liste des Villes'!$B$2:$H$1128,4,FALSE))</f>
        <v>Laurentides</v>
      </c>
      <c r="T1410" s="2" t="s">
        <v>3291</v>
      </c>
      <c r="U1410" s="2" t="s">
        <v>39</v>
      </c>
      <c r="V1410" s="2" t="s">
        <v>40</v>
      </c>
      <c r="W1410" s="2" t="s">
        <v>7082</v>
      </c>
      <c r="X1410" s="2"/>
      <c r="Y1410" s="2"/>
      <c r="Z1410" s="2"/>
      <c r="AA1410" s="2" t="s">
        <v>3293</v>
      </c>
      <c r="AB1410" s="2" t="s">
        <v>53</v>
      </c>
      <c r="AC1410" s="4" t="s">
        <v>44</v>
      </c>
    </row>
    <row r="1411" spans="1:29" x14ac:dyDescent="0.25">
      <c r="A1411" s="1">
        <v>2711</v>
      </c>
      <c r="B1411" s="17" t="s">
        <v>7083</v>
      </c>
      <c r="C1411" s="2" t="s">
        <v>7084</v>
      </c>
      <c r="D1411" s="15" t="s">
        <v>7085</v>
      </c>
      <c r="E1411" s="9" t="s">
        <v>3618</v>
      </c>
      <c r="F1411" s="9" t="s">
        <v>2841</v>
      </c>
      <c r="G1411" s="9" t="s">
        <v>380</v>
      </c>
      <c r="H1411" s="2" t="s">
        <v>60</v>
      </c>
      <c r="I1411" s="3">
        <v>34416</v>
      </c>
      <c r="J1411" s="9" t="str">
        <f t="shared" ca="1" si="24"/>
        <v>29 ans</v>
      </c>
      <c r="K1411" s="2" t="s">
        <v>36</v>
      </c>
      <c r="L1411" s="2" t="str">
        <f>"58"</f>
        <v>58</v>
      </c>
      <c r="M1411" s="2"/>
      <c r="N1411" s="2" t="str">
        <f>"CAR ÉTIENNE-BLYTH"</f>
        <v>CAR ÉTIENNE-BLYTH</v>
      </c>
      <c r="O1411" s="2" t="s">
        <v>3185</v>
      </c>
      <c r="P1411" s="9" t="str">
        <f>VLOOKUP($O1411,'Liste des Villes'!$B$2:$B$1128,1,FALSE)</f>
        <v>Saint-Jérôme</v>
      </c>
      <c r="Q1411" s="9" t="str">
        <f>IFERROR($P1411,PROPER(VLOOKUP($O1411,'Villes en erreur'!$A$2:$B$72,2,FALSE)))</f>
        <v>Saint-Jérôme</v>
      </c>
      <c r="R1411" s="9" t="s">
        <v>3186</v>
      </c>
      <c r="S1411" s="9" t="str">
        <f>IF(ISBLANK($R1411),"",VLOOKUP($R1411,'Liste des Villes'!$B$2:$H$1128,4,FALSE))</f>
        <v>Laurentides</v>
      </c>
      <c r="T1411" s="2" t="s">
        <v>5654</v>
      </c>
      <c r="U1411" s="2" t="s">
        <v>39</v>
      </c>
      <c r="V1411" s="2" t="s">
        <v>40</v>
      </c>
      <c r="W1411" s="2" t="s">
        <v>7086</v>
      </c>
      <c r="X1411" s="2"/>
      <c r="Y1411" s="2"/>
      <c r="Z1411" s="2"/>
      <c r="AA1411" s="2" t="s">
        <v>3293</v>
      </c>
      <c r="AB1411" s="2" t="s">
        <v>53</v>
      </c>
      <c r="AC1411" s="4" t="s">
        <v>44</v>
      </c>
    </row>
    <row r="1412" spans="1:29" x14ac:dyDescent="0.25">
      <c r="A1412" s="1">
        <v>1975</v>
      </c>
      <c r="B1412" s="17" t="s">
        <v>7087</v>
      </c>
      <c r="C1412" s="2" t="s">
        <v>7088</v>
      </c>
      <c r="D1412" s="15" t="s">
        <v>56</v>
      </c>
      <c r="E1412" s="9" t="s">
        <v>7089</v>
      </c>
      <c r="F1412" s="9" t="s">
        <v>7090</v>
      </c>
      <c r="G1412" s="9" t="s">
        <v>495</v>
      </c>
      <c r="H1412" s="2" t="s">
        <v>35</v>
      </c>
      <c r="I1412" s="3">
        <v>34716</v>
      </c>
      <c r="J1412" s="9" t="str">
        <f t="shared" ca="1" si="24"/>
        <v>28 ans</v>
      </c>
      <c r="K1412" s="2" t="s">
        <v>36</v>
      </c>
      <c r="L1412" s="2" t="str">
        <f>"71"</f>
        <v>71</v>
      </c>
      <c r="M1412" s="2"/>
      <c r="N1412" s="2" t="str">
        <f>"CH DE L'ÉRABLIÈRE"</f>
        <v>CH DE L'ÉRABLIÈRE</v>
      </c>
      <c r="O1412" s="2" t="s">
        <v>3185</v>
      </c>
      <c r="P1412" s="9" t="str">
        <f>VLOOKUP($O1412,'Liste des Villes'!$B$2:$B$1128,1,FALSE)</f>
        <v>Saint-Jérôme</v>
      </c>
      <c r="Q1412" s="9" t="str">
        <f>IFERROR($P1412,PROPER(VLOOKUP($O1412,'Villes en erreur'!$A$2:$B$72,2,FALSE)))</f>
        <v>Saint-Jérôme</v>
      </c>
      <c r="R1412" s="9" t="s">
        <v>3186</v>
      </c>
      <c r="S1412" s="9" t="str">
        <f>IF(ISBLANK($R1412),"",VLOOKUP($R1412,'Liste des Villes'!$B$2:$H$1128,4,FALSE))</f>
        <v>Laurentides</v>
      </c>
      <c r="T1412" s="2" t="s">
        <v>3187</v>
      </c>
      <c r="U1412" s="2" t="s">
        <v>39</v>
      </c>
      <c r="V1412" s="2" t="s">
        <v>40</v>
      </c>
      <c r="W1412" s="2" t="s">
        <v>7091</v>
      </c>
      <c r="X1412" s="2"/>
      <c r="Y1412" s="2"/>
      <c r="Z1412" s="2"/>
      <c r="AA1412" s="2" t="s">
        <v>3225</v>
      </c>
      <c r="AB1412" s="2" t="s">
        <v>53</v>
      </c>
      <c r="AC1412" s="4" t="s">
        <v>44</v>
      </c>
    </row>
    <row r="1413" spans="1:29" x14ac:dyDescent="0.25">
      <c r="A1413" s="1">
        <v>3087</v>
      </c>
      <c r="B1413" s="17" t="s">
        <v>7092</v>
      </c>
      <c r="C1413" s="2" t="s">
        <v>7093</v>
      </c>
      <c r="D1413" s="15" t="s">
        <v>7094</v>
      </c>
      <c r="E1413" s="9" t="s">
        <v>2381</v>
      </c>
      <c r="F1413" s="9" t="s">
        <v>1807</v>
      </c>
      <c r="G1413" s="9" t="s">
        <v>5660</v>
      </c>
      <c r="H1413" s="2" t="s">
        <v>60</v>
      </c>
      <c r="I1413" s="3">
        <v>34242</v>
      </c>
      <c r="J1413" s="9" t="str">
        <f t="shared" ca="1" si="24"/>
        <v>29 ans</v>
      </c>
      <c r="K1413" s="2" t="s">
        <v>36</v>
      </c>
      <c r="L1413" s="2" t="str">
        <f>"50"</f>
        <v>50</v>
      </c>
      <c r="M1413" s="2"/>
      <c r="N1413" s="2" t="str">
        <f>"BOULEVARD D'ORLÉANS"</f>
        <v>BOULEVARD D'ORLÉANS</v>
      </c>
      <c r="O1413" s="2" t="s">
        <v>3185</v>
      </c>
      <c r="P1413" s="9" t="str">
        <f>VLOOKUP($O1413,'Liste des Villes'!$B$2:$B$1128,1,FALSE)</f>
        <v>Saint-Jérôme</v>
      </c>
      <c r="Q1413" s="9" t="str">
        <f>IFERROR($P1413,PROPER(VLOOKUP($O1413,'Villes en erreur'!$A$2:$B$72,2,FALSE)))</f>
        <v>Saint-Jérôme</v>
      </c>
      <c r="R1413" s="9" t="s">
        <v>3186</v>
      </c>
      <c r="S1413" s="9" t="str">
        <f>IF(ISBLANK($R1413),"",VLOOKUP($R1413,'Liste des Villes'!$B$2:$H$1128,4,FALSE))</f>
        <v>Laurentides</v>
      </c>
      <c r="T1413" s="2" t="s">
        <v>3520</v>
      </c>
      <c r="U1413" s="2" t="s">
        <v>39</v>
      </c>
      <c r="V1413" s="2" t="s">
        <v>40</v>
      </c>
      <c r="W1413" s="2" t="s">
        <v>7095</v>
      </c>
      <c r="X1413" s="2"/>
      <c r="Y1413" s="2"/>
      <c r="Z1413" s="2"/>
      <c r="AA1413" s="2" t="s">
        <v>3360</v>
      </c>
      <c r="AB1413" s="2" t="s">
        <v>53</v>
      </c>
      <c r="AC1413" s="4" t="s">
        <v>44</v>
      </c>
    </row>
    <row r="1414" spans="1:29" x14ac:dyDescent="0.25">
      <c r="A1414" s="1">
        <v>3259</v>
      </c>
      <c r="B1414" s="17" t="s">
        <v>7096</v>
      </c>
      <c r="C1414" s="2" t="s">
        <v>7097</v>
      </c>
      <c r="D1414" s="15" t="s">
        <v>7098</v>
      </c>
      <c r="E1414" s="9" t="s">
        <v>92</v>
      </c>
      <c r="F1414" s="9" t="s">
        <v>93</v>
      </c>
      <c r="G1414" s="9" t="s">
        <v>7099</v>
      </c>
      <c r="H1414" s="2" t="s">
        <v>60</v>
      </c>
      <c r="I1414" s="3">
        <v>35363</v>
      </c>
      <c r="J1414" s="9" t="str">
        <f t="shared" ca="1" si="24"/>
        <v>26 ans</v>
      </c>
      <c r="K1414" s="2" t="s">
        <v>36</v>
      </c>
      <c r="L1414" s="2" t="str">
        <f>"112"</f>
        <v>112</v>
      </c>
      <c r="M1414" s="2"/>
      <c r="N1414" s="2" t="str">
        <f>"CHEMIN DES PRÉS"</f>
        <v>CHEMIN DES PRÉS</v>
      </c>
      <c r="O1414" s="2" t="s">
        <v>3185</v>
      </c>
      <c r="P1414" s="9" t="str">
        <f>VLOOKUP($O1414,'Liste des Villes'!$B$2:$B$1128,1,FALSE)</f>
        <v>Saint-Jérôme</v>
      </c>
      <c r="Q1414" s="9" t="str">
        <f>IFERROR($P1414,PROPER(VLOOKUP($O1414,'Villes en erreur'!$A$2:$B$72,2,FALSE)))</f>
        <v>Saint-Jérôme</v>
      </c>
      <c r="R1414" s="9" t="s">
        <v>3186</v>
      </c>
      <c r="S1414" s="9" t="str">
        <f>IF(ISBLANK($R1414),"",VLOOKUP($R1414,'Liste des Villes'!$B$2:$H$1128,4,FALSE))</f>
        <v>Laurentides</v>
      </c>
      <c r="T1414" s="2" t="s">
        <v>3524</v>
      </c>
      <c r="U1414" s="2" t="s">
        <v>39</v>
      </c>
      <c r="V1414" s="2" t="s">
        <v>40</v>
      </c>
      <c r="W1414" s="2" t="s">
        <v>7100</v>
      </c>
      <c r="X1414" s="2"/>
      <c r="Y1414" s="2"/>
      <c r="Z1414" s="2"/>
      <c r="AA1414" s="2" t="s">
        <v>3189</v>
      </c>
      <c r="AB1414" s="2" t="s">
        <v>3200</v>
      </c>
      <c r="AC1414" s="4" t="s">
        <v>44</v>
      </c>
    </row>
    <row r="1415" spans="1:29" x14ac:dyDescent="0.25">
      <c r="A1415" s="1">
        <v>1387</v>
      </c>
      <c r="B1415" s="17" t="s">
        <v>7101</v>
      </c>
      <c r="C1415" s="2" t="s">
        <v>7102</v>
      </c>
      <c r="D1415" s="15" t="s">
        <v>7103</v>
      </c>
      <c r="E1415" s="9" t="s">
        <v>685</v>
      </c>
      <c r="F1415" s="9" t="s">
        <v>7104</v>
      </c>
      <c r="G1415" s="9" t="s">
        <v>186</v>
      </c>
      <c r="H1415" s="2" t="s">
        <v>60</v>
      </c>
      <c r="I1415" s="3">
        <v>34896</v>
      </c>
      <c r="J1415" s="9" t="str">
        <f t="shared" ca="1" si="24"/>
        <v>28 ans</v>
      </c>
      <c r="K1415" s="2" t="s">
        <v>36</v>
      </c>
      <c r="L1415" s="2" t="str">
        <f>"83"</f>
        <v>83</v>
      </c>
      <c r="M1415" s="2"/>
      <c r="N1415" s="2" t="str">
        <f>"CH DES TILLEULS"</f>
        <v>CH DES TILLEULS</v>
      </c>
      <c r="O1415" s="2" t="s">
        <v>3185</v>
      </c>
      <c r="P1415" s="9" t="str">
        <f>VLOOKUP($O1415,'Liste des Villes'!$B$2:$B$1128,1,FALSE)</f>
        <v>Saint-Jérôme</v>
      </c>
      <c r="Q1415" s="9" t="str">
        <f>IFERROR($P1415,PROPER(VLOOKUP($O1415,'Villes en erreur'!$A$2:$B$72,2,FALSE)))</f>
        <v>Saint-Jérôme</v>
      </c>
      <c r="R1415" s="9" t="s">
        <v>3186</v>
      </c>
      <c r="S1415" s="9" t="str">
        <f>IF(ISBLANK($R1415),"",VLOOKUP($R1415,'Liste des Villes'!$B$2:$H$1128,4,FALSE))</f>
        <v>Laurentides</v>
      </c>
      <c r="T1415" s="2" t="s">
        <v>3187</v>
      </c>
      <c r="U1415" s="2" t="s">
        <v>39</v>
      </c>
      <c r="V1415" s="2" t="s">
        <v>40</v>
      </c>
      <c r="W1415" s="2" t="s">
        <v>7105</v>
      </c>
      <c r="X1415" s="2"/>
      <c r="Y1415" s="2"/>
      <c r="Z1415" s="2"/>
      <c r="AA1415" s="2" t="s">
        <v>3231</v>
      </c>
      <c r="AB1415" s="2" t="s">
        <v>53</v>
      </c>
      <c r="AC1415" s="4" t="s">
        <v>44</v>
      </c>
    </row>
    <row r="1416" spans="1:29" x14ac:dyDescent="0.25">
      <c r="A1416" s="1">
        <v>1517</v>
      </c>
      <c r="B1416" s="17" t="s">
        <v>7106</v>
      </c>
      <c r="C1416" s="2" t="s">
        <v>7107</v>
      </c>
      <c r="D1416" s="15" t="s">
        <v>2108</v>
      </c>
      <c r="E1416" s="9" t="s">
        <v>7108</v>
      </c>
      <c r="F1416" s="9" t="s">
        <v>2106</v>
      </c>
      <c r="G1416" s="9" t="s">
        <v>7109</v>
      </c>
      <c r="H1416" s="2" t="s">
        <v>60</v>
      </c>
      <c r="I1416" s="3">
        <v>34986</v>
      </c>
      <c r="J1416" s="9" t="str">
        <f t="shared" ca="1" si="24"/>
        <v>27 ans</v>
      </c>
      <c r="K1416" s="2" t="s">
        <v>36</v>
      </c>
      <c r="L1416" s="2" t="str">
        <f>"89"</f>
        <v>89</v>
      </c>
      <c r="M1416" s="2"/>
      <c r="N1416" s="2" t="str">
        <f>"CH DU LAC-BERTRAND"</f>
        <v>CH DU LAC-BERTRAND</v>
      </c>
      <c r="O1416" s="2" t="s">
        <v>3185</v>
      </c>
      <c r="P1416" s="9" t="str">
        <f>VLOOKUP($O1416,'Liste des Villes'!$B$2:$B$1128,1,FALSE)</f>
        <v>Saint-Jérôme</v>
      </c>
      <c r="Q1416" s="9" t="str">
        <f>IFERROR($P1416,PROPER(VLOOKUP($O1416,'Villes en erreur'!$A$2:$B$72,2,FALSE)))</f>
        <v>Saint-Jérôme</v>
      </c>
      <c r="R1416" s="9" t="s">
        <v>3186</v>
      </c>
      <c r="S1416" s="9" t="str">
        <f>IF(ISBLANK($R1416),"",VLOOKUP($R1416,'Liste des Villes'!$B$2:$H$1128,4,FALSE))</f>
        <v>Laurentides</v>
      </c>
      <c r="T1416" s="2" t="s">
        <v>3187</v>
      </c>
      <c r="U1416" s="2" t="s">
        <v>39</v>
      </c>
      <c r="V1416" s="2" t="s">
        <v>40</v>
      </c>
      <c r="W1416" s="2" t="s">
        <v>7110</v>
      </c>
      <c r="X1416" s="2"/>
      <c r="Y1416" s="2"/>
      <c r="Z1416" s="2"/>
      <c r="AA1416" s="2" t="s">
        <v>3189</v>
      </c>
      <c r="AB1416" s="2" t="s">
        <v>53</v>
      </c>
      <c r="AC1416" s="4" t="s">
        <v>44</v>
      </c>
    </row>
    <row r="1417" spans="1:29" x14ac:dyDescent="0.25">
      <c r="A1417" s="1">
        <v>3606</v>
      </c>
      <c r="B1417" s="17" t="s">
        <v>7111</v>
      </c>
      <c r="C1417" s="2" t="s">
        <v>7112</v>
      </c>
      <c r="D1417" s="15" t="s">
        <v>7113</v>
      </c>
      <c r="E1417" s="9" t="s">
        <v>600</v>
      </c>
      <c r="F1417" s="9" t="s">
        <v>7114</v>
      </c>
      <c r="G1417" s="9" t="s">
        <v>1037</v>
      </c>
      <c r="H1417" s="2" t="s">
        <v>35</v>
      </c>
      <c r="I1417" s="3">
        <v>36082</v>
      </c>
      <c r="J1417" s="9" t="str">
        <f t="shared" ca="1" si="24"/>
        <v>24 ans</v>
      </c>
      <c r="K1417" s="2" t="s">
        <v>123</v>
      </c>
      <c r="L1417" s="2" t="str">
        <f>"203"</f>
        <v>203</v>
      </c>
      <c r="M1417" s="2"/>
      <c r="N1417" s="2" t="str">
        <f>"RANG SAINT-VINCENT"</f>
        <v>RANG SAINT-VINCENT</v>
      </c>
      <c r="O1417" s="2" t="s">
        <v>3185</v>
      </c>
      <c r="P1417" s="9" t="str">
        <f>VLOOKUP($O1417,'Liste des Villes'!$B$2:$B$1128,1,FALSE)</f>
        <v>Saint-Jérôme</v>
      </c>
      <c r="Q1417" s="9" t="str">
        <f>IFERROR($P1417,PROPER(VLOOKUP($O1417,'Villes en erreur'!$A$2:$B$72,2,FALSE)))</f>
        <v>Saint-Jérôme</v>
      </c>
      <c r="R1417" s="9" t="s">
        <v>3186</v>
      </c>
      <c r="S1417" s="9" t="str">
        <f>IF(ISBLANK($R1417),"",VLOOKUP($R1417,'Liste des Villes'!$B$2:$H$1128,4,FALSE))</f>
        <v>Laurentides</v>
      </c>
      <c r="T1417" s="2" t="s">
        <v>7115</v>
      </c>
      <c r="U1417" s="2" t="s">
        <v>39</v>
      </c>
      <c r="V1417" s="2" t="s">
        <v>40</v>
      </c>
      <c r="W1417" s="2" t="s">
        <v>7116</v>
      </c>
      <c r="X1417" s="2"/>
      <c r="Y1417" s="2"/>
      <c r="Z1417" s="2"/>
      <c r="AA1417" s="2" t="s">
        <v>832</v>
      </c>
      <c r="AB1417" s="2" t="s">
        <v>3221</v>
      </c>
      <c r="AC1417" s="4" t="s">
        <v>44</v>
      </c>
    </row>
    <row r="1418" spans="1:29" x14ac:dyDescent="0.25">
      <c r="A1418" s="1">
        <v>555</v>
      </c>
      <c r="B1418" s="17" t="s">
        <v>7117</v>
      </c>
      <c r="C1418" s="2" t="s">
        <v>7118</v>
      </c>
      <c r="D1418" s="15" t="s">
        <v>7119</v>
      </c>
      <c r="E1418" s="9" t="s">
        <v>698</v>
      </c>
      <c r="F1418" s="9" t="s">
        <v>3042</v>
      </c>
      <c r="G1418" s="9" t="s">
        <v>3404</v>
      </c>
      <c r="H1418" s="2" t="s">
        <v>35</v>
      </c>
      <c r="I1418" s="3">
        <v>35682</v>
      </c>
      <c r="J1418" s="9" t="str">
        <f t="shared" ca="1" si="24"/>
        <v>25 ans</v>
      </c>
      <c r="K1418" s="2" t="s">
        <v>123</v>
      </c>
      <c r="L1418" s="2" t="str">
        <f>"134"</f>
        <v>134</v>
      </c>
      <c r="M1418" s="2"/>
      <c r="N1418" s="2" t="str">
        <f>"DES GALERIES D'ANJOU BLVD"</f>
        <v>DES GALERIES D'ANJOU BLVD</v>
      </c>
      <c r="O1418" s="2" t="s">
        <v>3185</v>
      </c>
      <c r="P1418" s="9" t="str">
        <f>VLOOKUP($O1418,'Liste des Villes'!$B$2:$B$1128,1,FALSE)</f>
        <v>Saint-Jérôme</v>
      </c>
      <c r="Q1418" s="9" t="str">
        <f>IFERROR($P1418,PROPER(VLOOKUP($O1418,'Villes en erreur'!$A$2:$B$72,2,FALSE)))</f>
        <v>Saint-Jérôme</v>
      </c>
      <c r="R1418" s="9" t="s">
        <v>3186</v>
      </c>
      <c r="S1418" s="9" t="str">
        <f>IF(ISBLANK($R1418),"",VLOOKUP($R1418,'Liste des Villes'!$B$2:$H$1128,4,FALSE))</f>
        <v>Laurentides</v>
      </c>
      <c r="T1418" s="2" t="s">
        <v>7120</v>
      </c>
      <c r="U1418" s="2" t="s">
        <v>39</v>
      </c>
      <c r="V1418" s="2" t="s">
        <v>40</v>
      </c>
      <c r="W1418" s="2" t="s">
        <v>7121</v>
      </c>
      <c r="X1418" s="2"/>
      <c r="Y1418" s="2"/>
      <c r="Z1418" s="2"/>
      <c r="AA1418" s="2" t="s">
        <v>3243</v>
      </c>
      <c r="AB1418" s="2" t="s">
        <v>3221</v>
      </c>
      <c r="AC1418" s="4" t="s">
        <v>44</v>
      </c>
    </row>
    <row r="1419" spans="1:29" x14ac:dyDescent="0.25">
      <c r="A1419" s="1">
        <v>4593</v>
      </c>
      <c r="B1419" s="17" t="s">
        <v>7122</v>
      </c>
      <c r="C1419" s="2" t="s">
        <v>7123</v>
      </c>
      <c r="D1419" s="15" t="s">
        <v>2892</v>
      </c>
      <c r="E1419" s="9" t="s">
        <v>5511</v>
      </c>
      <c r="F1419" s="9" t="s">
        <v>718</v>
      </c>
      <c r="G1419" s="9" t="s">
        <v>7124</v>
      </c>
      <c r="H1419" s="2" t="s">
        <v>60</v>
      </c>
      <c r="I1419" s="3">
        <v>35831</v>
      </c>
      <c r="J1419" s="9" t="str">
        <f t="shared" ca="1" si="24"/>
        <v>25 ans</v>
      </c>
      <c r="K1419" s="2" t="s">
        <v>123</v>
      </c>
      <c r="L1419" s="2" t="str">
        <f>"145"</f>
        <v>145</v>
      </c>
      <c r="M1419" s="2"/>
      <c r="N1419" s="2" t="str">
        <f>"JÉROBELLE BLVD"</f>
        <v>JÉROBELLE BLVD</v>
      </c>
      <c r="O1419" s="2" t="s">
        <v>3185</v>
      </c>
      <c r="P1419" s="9" t="str">
        <f>VLOOKUP($O1419,'Liste des Villes'!$B$2:$B$1128,1,FALSE)</f>
        <v>Saint-Jérôme</v>
      </c>
      <c r="Q1419" s="9" t="str">
        <f>IFERROR($P1419,PROPER(VLOOKUP($O1419,'Villes en erreur'!$A$2:$B$72,2,FALSE)))</f>
        <v>Saint-Jérôme</v>
      </c>
      <c r="R1419" s="9" t="s">
        <v>3186</v>
      </c>
      <c r="S1419" s="9" t="str">
        <f>IF(ISBLANK($R1419),"",VLOOKUP($R1419,'Liste des Villes'!$B$2:$H$1128,4,FALSE))</f>
        <v>Laurentides</v>
      </c>
      <c r="T1419" s="2" t="s">
        <v>6305</v>
      </c>
      <c r="U1419" s="2" t="s">
        <v>39</v>
      </c>
      <c r="V1419" s="2" t="s">
        <v>40</v>
      </c>
      <c r="W1419" s="2" t="s">
        <v>7125</v>
      </c>
      <c r="X1419" s="2"/>
      <c r="Y1419" s="2"/>
      <c r="Z1419" s="2"/>
      <c r="AA1419" s="2" t="s">
        <v>3243</v>
      </c>
      <c r="AB1419" s="2" t="s">
        <v>3221</v>
      </c>
      <c r="AC1419" s="4" t="s">
        <v>44</v>
      </c>
    </row>
    <row r="1420" spans="1:29" x14ac:dyDescent="0.25">
      <c r="A1420" s="1">
        <v>3566</v>
      </c>
      <c r="B1420" s="17" t="s">
        <v>7126</v>
      </c>
      <c r="C1420" s="2" t="s">
        <v>7127</v>
      </c>
      <c r="D1420" s="15" t="s">
        <v>957</v>
      </c>
      <c r="E1420" s="9" t="s">
        <v>7128</v>
      </c>
      <c r="F1420" s="9" t="s">
        <v>955</v>
      </c>
      <c r="G1420" s="9" t="s">
        <v>7129</v>
      </c>
      <c r="H1420" s="2" t="s">
        <v>60</v>
      </c>
      <c r="I1420" s="3">
        <v>35706</v>
      </c>
      <c r="J1420" s="9" t="str">
        <f t="shared" ca="1" si="24"/>
        <v>25 ans</v>
      </c>
      <c r="K1420" s="2" t="s">
        <v>123</v>
      </c>
      <c r="L1420" s="2" t="str">
        <f>"136"</f>
        <v>136</v>
      </c>
      <c r="M1420" s="2"/>
      <c r="N1420" s="2" t="str">
        <f>"DES SEIGNEURS-DUMONT BLVD"</f>
        <v>DES SEIGNEURS-DUMONT BLVD</v>
      </c>
      <c r="O1420" s="2" t="s">
        <v>3185</v>
      </c>
      <c r="P1420" s="9" t="str">
        <f>VLOOKUP($O1420,'Liste des Villes'!$B$2:$B$1128,1,FALSE)</f>
        <v>Saint-Jérôme</v>
      </c>
      <c r="Q1420" s="9" t="str">
        <f>IFERROR($P1420,PROPER(VLOOKUP($O1420,'Villes en erreur'!$A$2:$B$72,2,FALSE)))</f>
        <v>Saint-Jérôme</v>
      </c>
      <c r="R1420" s="9" t="s">
        <v>3186</v>
      </c>
      <c r="S1420" s="9" t="str">
        <f>IF(ISBLANK($R1420),"",VLOOKUP($R1420,'Liste des Villes'!$B$2:$H$1128,4,FALSE))</f>
        <v>Laurentides</v>
      </c>
      <c r="T1420" s="2" t="s">
        <v>7019</v>
      </c>
      <c r="U1420" s="2" t="s">
        <v>39</v>
      </c>
      <c r="V1420" s="2" t="s">
        <v>40</v>
      </c>
      <c r="W1420" s="2" t="s">
        <v>7130</v>
      </c>
      <c r="X1420" s="2"/>
      <c r="Y1420" s="2"/>
      <c r="Z1420" s="2"/>
      <c r="AA1420" s="2" t="s">
        <v>3243</v>
      </c>
      <c r="AB1420" s="2" t="s">
        <v>3221</v>
      </c>
      <c r="AC1420" s="4" t="s">
        <v>44</v>
      </c>
    </row>
    <row r="1421" spans="1:29" x14ac:dyDescent="0.25">
      <c r="A1421" s="1">
        <v>3559</v>
      </c>
      <c r="B1421" s="17" t="s">
        <v>7131</v>
      </c>
      <c r="C1421" s="2" t="s">
        <v>2954</v>
      </c>
      <c r="D1421" s="15" t="s">
        <v>2724</v>
      </c>
      <c r="E1421" s="9" t="s">
        <v>341</v>
      </c>
      <c r="F1421" s="9" t="s">
        <v>2723</v>
      </c>
      <c r="G1421" s="9" t="s">
        <v>2397</v>
      </c>
      <c r="H1421" s="2" t="s">
        <v>60</v>
      </c>
      <c r="I1421" s="3">
        <v>35097</v>
      </c>
      <c r="J1421" s="9" t="str">
        <f t="shared" ca="1" si="24"/>
        <v>27 ans</v>
      </c>
      <c r="K1421" s="2" t="s">
        <v>36</v>
      </c>
      <c r="L1421" s="2" t="str">
        <f>"101"</f>
        <v>101</v>
      </c>
      <c r="M1421" s="2"/>
      <c r="N1421" s="2" t="str">
        <f>"CH GODEFROY"</f>
        <v>CH GODEFROY</v>
      </c>
      <c r="O1421" s="2" t="s">
        <v>3186</v>
      </c>
      <c r="P1421" s="9" t="str">
        <f>VLOOKUP($O1421,'Liste des Villes'!$B$2:$B$1128,1,FALSE)</f>
        <v>Saint-Jérôme</v>
      </c>
      <c r="Q1421" s="9" t="str">
        <f>IFERROR($P1421,PROPER(VLOOKUP($O1421,'Villes en erreur'!$A$2:$B$72,2,FALSE)))</f>
        <v>Saint-Jérôme</v>
      </c>
      <c r="R1421" s="9" t="s">
        <v>3186</v>
      </c>
      <c r="S1421" s="9" t="str">
        <f>IF(ISBLANK($R1421),"",VLOOKUP($R1421,'Liste des Villes'!$B$2:$H$1128,4,FALSE))</f>
        <v>Laurentides</v>
      </c>
      <c r="T1421" s="2" t="s">
        <v>3187</v>
      </c>
      <c r="U1421" s="2" t="s">
        <v>39</v>
      </c>
      <c r="V1421" s="2" t="s">
        <v>40</v>
      </c>
      <c r="W1421" s="2" t="s">
        <v>7132</v>
      </c>
      <c r="X1421" s="2"/>
      <c r="Y1421" s="2"/>
      <c r="Z1421" s="2"/>
      <c r="AA1421" s="2" t="s">
        <v>3189</v>
      </c>
      <c r="AB1421" s="2" t="s">
        <v>3190</v>
      </c>
      <c r="AC1421" s="4" t="s">
        <v>44</v>
      </c>
    </row>
    <row r="1422" spans="1:29" x14ac:dyDescent="0.25">
      <c r="A1422" s="1">
        <v>1300</v>
      </c>
      <c r="B1422" s="17" t="s">
        <v>7133</v>
      </c>
      <c r="C1422" s="2" t="s">
        <v>4307</v>
      </c>
      <c r="D1422" s="15" t="s">
        <v>4308</v>
      </c>
      <c r="E1422" s="9" t="s">
        <v>3265</v>
      </c>
      <c r="F1422" s="9" t="s">
        <v>6414</v>
      </c>
      <c r="G1422" s="9" t="s">
        <v>2686</v>
      </c>
      <c r="H1422" s="2" t="s">
        <v>60</v>
      </c>
      <c r="I1422" s="3">
        <v>34960</v>
      </c>
      <c r="J1422" s="9" t="str">
        <f t="shared" ca="1" si="24"/>
        <v>27 ans</v>
      </c>
      <c r="K1422" s="2" t="s">
        <v>36</v>
      </c>
      <c r="L1422" s="2" t="str">
        <f>"87"</f>
        <v>87</v>
      </c>
      <c r="M1422" s="2"/>
      <c r="N1422" s="2" t="str">
        <f>"CH DU GRAND-BRÛLÉ"</f>
        <v>CH DU GRAND-BRÛLÉ</v>
      </c>
      <c r="O1422" s="2" t="s">
        <v>3185</v>
      </c>
      <c r="P1422" s="9" t="str">
        <f>VLOOKUP($O1422,'Liste des Villes'!$B$2:$B$1128,1,FALSE)</f>
        <v>Saint-Jérôme</v>
      </c>
      <c r="Q1422" s="9" t="str">
        <f>IFERROR($P1422,PROPER(VLOOKUP($O1422,'Villes en erreur'!$A$2:$B$72,2,FALSE)))</f>
        <v>Saint-Jérôme</v>
      </c>
      <c r="R1422" s="9" t="s">
        <v>3186</v>
      </c>
      <c r="S1422" s="9" t="str">
        <f>IF(ISBLANK($R1422),"",VLOOKUP($R1422,'Liste des Villes'!$B$2:$H$1128,4,FALSE))</f>
        <v>Laurentides</v>
      </c>
      <c r="T1422" s="2" t="s">
        <v>3187</v>
      </c>
      <c r="U1422" s="2" t="s">
        <v>39</v>
      </c>
      <c r="V1422" s="2" t="s">
        <v>40</v>
      </c>
      <c r="W1422" s="2" t="s">
        <v>7134</v>
      </c>
      <c r="X1422" s="2"/>
      <c r="Y1422" s="2"/>
      <c r="Z1422" s="2"/>
      <c r="AA1422" s="2" t="s">
        <v>3231</v>
      </c>
      <c r="AB1422" s="2" t="s">
        <v>53</v>
      </c>
      <c r="AC1422" s="4" t="s">
        <v>44</v>
      </c>
    </row>
    <row r="1423" spans="1:29" x14ac:dyDescent="0.25">
      <c r="A1423" s="1">
        <v>3503</v>
      </c>
      <c r="B1423" s="17" t="s">
        <v>7135</v>
      </c>
      <c r="C1423" s="2" t="s">
        <v>7136</v>
      </c>
      <c r="D1423" s="15" t="s">
        <v>1590</v>
      </c>
      <c r="E1423" s="9" t="s">
        <v>7137</v>
      </c>
      <c r="F1423" s="9" t="s">
        <v>1592</v>
      </c>
      <c r="G1423" s="9" t="s">
        <v>1135</v>
      </c>
      <c r="H1423" s="2" t="s">
        <v>60</v>
      </c>
      <c r="I1423" s="3">
        <v>36238</v>
      </c>
      <c r="J1423" s="9" t="str">
        <f t="shared" ca="1" si="24"/>
        <v>24 ans</v>
      </c>
      <c r="K1423" s="2" t="s">
        <v>123</v>
      </c>
      <c r="L1423" s="2" t="str">
        <f>"264"</f>
        <v>264</v>
      </c>
      <c r="M1423" s="2"/>
      <c r="N1423" s="2" t="str">
        <f>"RUE BÉLANGER"</f>
        <v>RUE BÉLANGER</v>
      </c>
      <c r="O1423" s="2" t="s">
        <v>3185</v>
      </c>
      <c r="P1423" s="9" t="str">
        <f>VLOOKUP($O1423,'Liste des Villes'!$B$2:$B$1128,1,FALSE)</f>
        <v>Saint-Jérôme</v>
      </c>
      <c r="Q1423" s="9" t="str">
        <f>IFERROR($P1423,PROPER(VLOOKUP($O1423,'Villes en erreur'!$A$2:$B$72,2,FALSE)))</f>
        <v>Saint-Jérôme</v>
      </c>
      <c r="R1423" s="9" t="s">
        <v>3186</v>
      </c>
      <c r="S1423" s="9" t="str">
        <f>IF(ISBLANK($R1423),"",VLOOKUP($R1423,'Liste des Villes'!$B$2:$H$1128,4,FALSE))</f>
        <v>Laurentides</v>
      </c>
      <c r="T1423" s="2" t="s">
        <v>4027</v>
      </c>
      <c r="U1423" s="2" t="s">
        <v>39</v>
      </c>
      <c r="V1423" s="2" t="s">
        <v>40</v>
      </c>
      <c r="W1423" s="2" t="s">
        <v>7138</v>
      </c>
      <c r="X1423" s="2"/>
      <c r="Y1423" s="2"/>
      <c r="Z1423" s="2"/>
      <c r="AA1423" s="2" t="s">
        <v>832</v>
      </c>
      <c r="AB1423" s="2" t="s">
        <v>73</v>
      </c>
      <c r="AC1423" s="4" t="s">
        <v>44</v>
      </c>
    </row>
    <row r="1424" spans="1:29" x14ac:dyDescent="0.25">
      <c r="A1424" s="1">
        <v>4132</v>
      </c>
      <c r="B1424" s="17" t="s">
        <v>7139</v>
      </c>
      <c r="C1424" s="2" t="s">
        <v>7140</v>
      </c>
      <c r="D1424" s="15" t="s">
        <v>7141</v>
      </c>
      <c r="E1424" s="9" t="s">
        <v>685</v>
      </c>
      <c r="F1424" s="9" t="s">
        <v>7142</v>
      </c>
      <c r="G1424" s="9" t="s">
        <v>600</v>
      </c>
      <c r="H1424" s="2" t="s">
        <v>60</v>
      </c>
      <c r="I1424" s="3">
        <v>35986</v>
      </c>
      <c r="J1424" s="9" t="str">
        <f t="shared" ca="1" si="24"/>
        <v>25 ans</v>
      </c>
      <c r="K1424" s="2" t="s">
        <v>123</v>
      </c>
      <c r="L1424" s="2" t="str">
        <f>"173"</f>
        <v>173</v>
      </c>
      <c r="M1424" s="2"/>
      <c r="N1424" s="2" t="str">
        <f>"PLACE CLAUDE-DAGENAIS"</f>
        <v>PLACE CLAUDE-DAGENAIS</v>
      </c>
      <c r="O1424" s="2" t="s">
        <v>3185</v>
      </c>
      <c r="P1424" s="9" t="str">
        <f>VLOOKUP($O1424,'Liste des Villes'!$B$2:$B$1128,1,FALSE)</f>
        <v>Saint-Jérôme</v>
      </c>
      <c r="Q1424" s="9" t="str">
        <f>IFERROR($P1424,PROPER(VLOOKUP($O1424,'Villes en erreur'!$A$2:$B$72,2,FALSE)))</f>
        <v>Saint-Jérôme</v>
      </c>
      <c r="R1424" s="9" t="s">
        <v>3186</v>
      </c>
      <c r="S1424" s="9" t="str">
        <f>IF(ISBLANK($R1424),"",VLOOKUP($R1424,'Liste des Villes'!$B$2:$H$1128,4,FALSE))</f>
        <v>Laurentides</v>
      </c>
      <c r="T1424" s="2" t="s">
        <v>7143</v>
      </c>
      <c r="U1424" s="2" t="s">
        <v>39</v>
      </c>
      <c r="V1424" s="2" t="s">
        <v>40</v>
      </c>
      <c r="W1424" s="2" t="s">
        <v>7144</v>
      </c>
      <c r="X1424" s="2"/>
      <c r="Y1424" s="2"/>
      <c r="Z1424" s="2"/>
      <c r="AA1424" s="2" t="s">
        <v>832</v>
      </c>
      <c r="AB1424" s="2" t="s">
        <v>3221</v>
      </c>
      <c r="AC1424" s="4" t="s">
        <v>44</v>
      </c>
    </row>
    <row r="1425" spans="1:29" x14ac:dyDescent="0.25">
      <c r="A1425" s="1">
        <v>2941</v>
      </c>
      <c r="B1425" s="17" t="s">
        <v>7145</v>
      </c>
      <c r="C1425" s="2" t="s">
        <v>2485</v>
      </c>
      <c r="D1425" s="15" t="s">
        <v>2486</v>
      </c>
      <c r="E1425" s="9" t="s">
        <v>541</v>
      </c>
      <c r="F1425" s="9" t="s">
        <v>3055</v>
      </c>
      <c r="G1425" s="9" t="s">
        <v>6380</v>
      </c>
      <c r="H1425" s="2" t="s">
        <v>60</v>
      </c>
      <c r="I1425" s="3">
        <v>35477</v>
      </c>
      <c r="J1425" s="9" t="str">
        <f t="shared" ca="1" si="24"/>
        <v>26 ans</v>
      </c>
      <c r="K1425" s="2" t="s">
        <v>36</v>
      </c>
      <c r="L1425" s="2" t="str">
        <f>"117"</f>
        <v>117</v>
      </c>
      <c r="M1425" s="2"/>
      <c r="N1425" s="2" t="str">
        <f>"CHEMIN MORRISSON"</f>
        <v>CHEMIN MORRISSON</v>
      </c>
      <c r="O1425" s="2" t="s">
        <v>3185</v>
      </c>
      <c r="P1425" s="9" t="str">
        <f>VLOOKUP($O1425,'Liste des Villes'!$B$2:$B$1128,1,FALSE)</f>
        <v>Saint-Jérôme</v>
      </c>
      <c r="Q1425" s="9" t="str">
        <f>IFERROR($P1425,PROPER(VLOOKUP($O1425,'Villes en erreur'!$A$2:$B$72,2,FALSE)))</f>
        <v>Saint-Jérôme</v>
      </c>
      <c r="R1425" s="9" t="s">
        <v>3186</v>
      </c>
      <c r="S1425" s="9" t="str">
        <f>IF(ISBLANK($R1425),"",VLOOKUP($R1425,'Liste des Villes'!$B$2:$H$1128,4,FALSE))</f>
        <v>Laurentides</v>
      </c>
      <c r="T1425" s="2" t="s">
        <v>3532</v>
      </c>
      <c r="U1425" s="2" t="s">
        <v>39</v>
      </c>
      <c r="V1425" s="2" t="s">
        <v>40</v>
      </c>
      <c r="W1425" s="2" t="s">
        <v>7146</v>
      </c>
      <c r="X1425" s="2"/>
      <c r="Y1425" s="2"/>
      <c r="Z1425" s="2"/>
      <c r="AA1425" s="2" t="s">
        <v>3199</v>
      </c>
      <c r="AB1425" s="2" t="s">
        <v>3200</v>
      </c>
      <c r="AC1425" s="4" t="s">
        <v>44</v>
      </c>
    </row>
    <row r="1426" spans="1:29" x14ac:dyDescent="0.25">
      <c r="A1426" s="1">
        <v>211</v>
      </c>
      <c r="B1426" s="17" t="s">
        <v>7147</v>
      </c>
      <c r="C1426" s="2" t="s">
        <v>7148</v>
      </c>
      <c r="D1426" s="15" t="s">
        <v>144</v>
      </c>
      <c r="E1426" s="9" t="s">
        <v>3143</v>
      </c>
      <c r="F1426" s="9" t="s">
        <v>7149</v>
      </c>
      <c r="G1426" s="9" t="s">
        <v>1560</v>
      </c>
      <c r="H1426" s="2" t="s">
        <v>35</v>
      </c>
      <c r="I1426" s="3">
        <v>35634</v>
      </c>
      <c r="J1426" s="9" t="str">
        <f t="shared" ca="1" si="24"/>
        <v>26 ans</v>
      </c>
      <c r="K1426" s="2" t="s">
        <v>36</v>
      </c>
      <c r="L1426" s="2" t="str">
        <f>"130"</f>
        <v>130</v>
      </c>
      <c r="M1426" s="2"/>
      <c r="N1426" s="2" t="str">
        <f>"DE L'EAU VIVE"</f>
        <v>DE L'EAU VIVE</v>
      </c>
      <c r="O1426" s="2" t="s">
        <v>3185</v>
      </c>
      <c r="P1426" s="9" t="str">
        <f>VLOOKUP($O1426,'Liste des Villes'!$B$2:$B$1128,1,FALSE)</f>
        <v>Saint-Jérôme</v>
      </c>
      <c r="Q1426" s="9" t="str">
        <f>IFERROR($P1426,PROPER(VLOOKUP($O1426,'Villes en erreur'!$A$2:$B$72,2,FALSE)))</f>
        <v>Saint-Jérôme</v>
      </c>
      <c r="R1426" s="9" t="s">
        <v>3186</v>
      </c>
      <c r="S1426" s="9" t="str">
        <f>IF(ISBLANK($R1426),"",VLOOKUP($R1426,'Liste des Villes'!$B$2:$H$1128,4,FALSE))</f>
        <v>Laurentides</v>
      </c>
      <c r="T1426" s="2" t="s">
        <v>6067</v>
      </c>
      <c r="U1426" s="2" t="s">
        <v>39</v>
      </c>
      <c r="V1426" s="2" t="s">
        <v>40</v>
      </c>
      <c r="W1426" s="2" t="s">
        <v>7150</v>
      </c>
      <c r="X1426" s="2"/>
      <c r="Y1426" s="2"/>
      <c r="Z1426" s="2"/>
      <c r="AA1426" s="2" t="s">
        <v>3243</v>
      </c>
      <c r="AB1426" s="2" t="s">
        <v>3221</v>
      </c>
      <c r="AC1426" s="4" t="s">
        <v>44</v>
      </c>
    </row>
    <row r="1427" spans="1:29" x14ac:dyDescent="0.25">
      <c r="A1427" s="1">
        <v>2912</v>
      </c>
      <c r="B1427" s="17" t="s">
        <v>7151</v>
      </c>
      <c r="C1427" s="2" t="s">
        <v>7152</v>
      </c>
      <c r="D1427" s="15" t="s">
        <v>6894</v>
      </c>
      <c r="E1427" s="9" t="s">
        <v>7153</v>
      </c>
      <c r="F1427" s="9" t="s">
        <v>1169</v>
      </c>
      <c r="G1427" s="9" t="s">
        <v>7154</v>
      </c>
      <c r="H1427" s="2" t="s">
        <v>60</v>
      </c>
      <c r="I1427" s="3">
        <v>34768</v>
      </c>
      <c r="J1427" s="9" t="str">
        <f t="shared" ca="1" si="24"/>
        <v>28 ans</v>
      </c>
      <c r="K1427" s="2" t="s">
        <v>36</v>
      </c>
      <c r="L1427" s="2" t="str">
        <f>"75"</f>
        <v>75</v>
      </c>
      <c r="M1427" s="2"/>
      <c r="N1427" s="2" t="str">
        <f>"CH DES BELLES-MONTAGNES"</f>
        <v>CH DES BELLES-MONTAGNES</v>
      </c>
      <c r="O1427" s="2" t="s">
        <v>3185</v>
      </c>
      <c r="P1427" s="9" t="str">
        <f>VLOOKUP($O1427,'Liste des Villes'!$B$2:$B$1128,1,FALSE)</f>
        <v>Saint-Jérôme</v>
      </c>
      <c r="Q1427" s="9" t="str">
        <f>IFERROR($P1427,PROPER(VLOOKUP($O1427,'Villes en erreur'!$A$2:$B$72,2,FALSE)))</f>
        <v>Saint-Jérôme</v>
      </c>
      <c r="R1427" s="9" t="s">
        <v>3186</v>
      </c>
      <c r="S1427" s="9" t="str">
        <f>IF(ISBLANK($R1427),"",VLOOKUP($R1427,'Liste des Villes'!$B$2:$H$1128,4,FALSE))</f>
        <v>Laurentides</v>
      </c>
      <c r="T1427" s="2" t="s">
        <v>3187</v>
      </c>
      <c r="U1427" s="2" t="s">
        <v>39</v>
      </c>
      <c r="V1427" s="2" t="s">
        <v>40</v>
      </c>
      <c r="W1427" s="2" t="s">
        <v>7155</v>
      </c>
      <c r="X1427" s="2"/>
      <c r="Y1427" s="2"/>
      <c r="Z1427" s="2"/>
      <c r="AA1427" s="2" t="s">
        <v>3225</v>
      </c>
      <c r="AB1427" s="2" t="s">
        <v>53</v>
      </c>
      <c r="AC1427" s="4" t="s">
        <v>44</v>
      </c>
    </row>
    <row r="1428" spans="1:29" x14ac:dyDescent="0.25">
      <c r="A1428" s="1">
        <v>3820</v>
      </c>
      <c r="B1428" s="17" t="s">
        <v>7156</v>
      </c>
      <c r="C1428" s="2" t="s">
        <v>7157</v>
      </c>
      <c r="D1428" s="15" t="s">
        <v>7158</v>
      </c>
      <c r="E1428" s="9" t="s">
        <v>7159</v>
      </c>
      <c r="F1428" s="9" t="s">
        <v>225</v>
      </c>
      <c r="G1428" s="9" t="s">
        <v>332</v>
      </c>
      <c r="H1428" s="2" t="s">
        <v>60</v>
      </c>
      <c r="I1428" s="3">
        <v>35532</v>
      </c>
      <c r="J1428" s="9" t="str">
        <f t="shared" ca="1" si="24"/>
        <v>26 ans</v>
      </c>
      <c r="K1428" s="2" t="s">
        <v>36</v>
      </c>
      <c r="L1428" s="2" t="str">
        <f>"121"</f>
        <v>121</v>
      </c>
      <c r="M1428" s="2"/>
      <c r="N1428" s="2" t="str">
        <f>"CÔTE SAINT-ANDRÉ"</f>
        <v>CÔTE SAINT-ANDRÉ</v>
      </c>
      <c r="O1428" s="2" t="s">
        <v>3185</v>
      </c>
      <c r="P1428" s="9" t="str">
        <f>VLOOKUP($O1428,'Liste des Villes'!$B$2:$B$1128,1,FALSE)</f>
        <v>Saint-Jérôme</v>
      </c>
      <c r="Q1428" s="9" t="str">
        <f>IFERROR($P1428,PROPER(VLOOKUP($O1428,'Villes en erreur'!$A$2:$B$72,2,FALSE)))</f>
        <v>Saint-Jérôme</v>
      </c>
      <c r="R1428" s="9" t="s">
        <v>3186</v>
      </c>
      <c r="S1428" s="9" t="str">
        <f>IF(ISBLANK($R1428),"",VLOOKUP($R1428,'Liste des Villes'!$B$2:$H$1128,4,FALSE))</f>
        <v>Laurentides</v>
      </c>
      <c r="T1428" s="2" t="s">
        <v>3532</v>
      </c>
      <c r="U1428" s="2" t="s">
        <v>39</v>
      </c>
      <c r="V1428" s="2" t="s">
        <v>40</v>
      </c>
      <c r="W1428" s="2" t="s">
        <v>7160</v>
      </c>
      <c r="X1428" s="2"/>
      <c r="Y1428" s="2"/>
      <c r="Z1428" s="2"/>
      <c r="AA1428" s="2" t="s">
        <v>3199</v>
      </c>
      <c r="AB1428" s="2" t="s">
        <v>3200</v>
      </c>
      <c r="AC1428" s="4" t="s">
        <v>44</v>
      </c>
    </row>
    <row r="1429" spans="1:29" x14ac:dyDescent="0.25">
      <c r="A1429" s="1">
        <v>1372</v>
      </c>
      <c r="B1429" s="17" t="s">
        <v>7161</v>
      </c>
      <c r="C1429" s="2" t="s">
        <v>7162</v>
      </c>
      <c r="D1429" s="15" t="s">
        <v>225</v>
      </c>
      <c r="E1429" s="9" t="s">
        <v>7163</v>
      </c>
      <c r="F1429" s="9" t="s">
        <v>227</v>
      </c>
      <c r="G1429" s="9" t="s">
        <v>3274</v>
      </c>
      <c r="H1429" s="2" t="s">
        <v>35</v>
      </c>
      <c r="I1429" s="3">
        <v>35155</v>
      </c>
      <c r="J1429" s="9" t="str">
        <f t="shared" ca="1" si="24"/>
        <v>27 ans</v>
      </c>
      <c r="K1429" s="2" t="s">
        <v>36</v>
      </c>
      <c r="L1429" s="2" t="str">
        <f>"103"</f>
        <v>103</v>
      </c>
      <c r="M1429" s="2"/>
      <c r="N1429" s="2" t="str">
        <f>"CH SAINTE-ANNE"</f>
        <v>CH SAINTE-ANNE</v>
      </c>
      <c r="O1429" s="2" t="s">
        <v>3185</v>
      </c>
      <c r="P1429" s="9" t="str">
        <f>VLOOKUP($O1429,'Liste des Villes'!$B$2:$B$1128,1,FALSE)</f>
        <v>Saint-Jérôme</v>
      </c>
      <c r="Q1429" s="9" t="str">
        <f>IFERROR($P1429,PROPER(VLOOKUP($O1429,'Villes en erreur'!$A$2:$B$72,2,FALSE)))</f>
        <v>Saint-Jérôme</v>
      </c>
      <c r="R1429" s="9" t="s">
        <v>3186</v>
      </c>
      <c r="S1429" s="9" t="str">
        <f>IF(ISBLANK($R1429),"",VLOOKUP($R1429,'Liste des Villes'!$B$2:$H$1128,4,FALSE))</f>
        <v>Laurentides</v>
      </c>
      <c r="T1429" s="2" t="s">
        <v>3187</v>
      </c>
      <c r="U1429" s="2" t="s">
        <v>39</v>
      </c>
      <c r="V1429" s="2" t="s">
        <v>40</v>
      </c>
      <c r="W1429" s="2" t="s">
        <v>7164</v>
      </c>
      <c r="X1429" s="2"/>
      <c r="Y1429" s="2"/>
      <c r="Z1429" s="2"/>
      <c r="AA1429" s="2" t="s">
        <v>3189</v>
      </c>
      <c r="AB1429" s="2" t="s">
        <v>3190</v>
      </c>
      <c r="AC1429" s="4" t="s">
        <v>44</v>
      </c>
    </row>
    <row r="1430" spans="1:29" x14ac:dyDescent="0.25">
      <c r="A1430" s="1">
        <v>2105</v>
      </c>
      <c r="B1430" s="17" t="s">
        <v>7165</v>
      </c>
      <c r="C1430" s="2" t="s">
        <v>7166</v>
      </c>
      <c r="D1430" s="15" t="s">
        <v>7167</v>
      </c>
      <c r="E1430" s="9" t="s">
        <v>7168</v>
      </c>
      <c r="F1430" s="9" t="s">
        <v>3783</v>
      </c>
      <c r="G1430" s="9" t="s">
        <v>7169</v>
      </c>
      <c r="H1430" s="2" t="s">
        <v>35</v>
      </c>
      <c r="I1430" s="3">
        <v>35827</v>
      </c>
      <c r="J1430" s="9" t="str">
        <f t="shared" ca="1" si="24"/>
        <v>25 ans</v>
      </c>
      <c r="K1430" s="2" t="s">
        <v>123</v>
      </c>
      <c r="L1430" s="2" t="str">
        <f>"145"</f>
        <v>145</v>
      </c>
      <c r="M1430" s="2"/>
      <c r="N1430" s="2" t="str">
        <f>"JAURAN"</f>
        <v>JAURAN</v>
      </c>
      <c r="O1430" s="2" t="s">
        <v>3185</v>
      </c>
      <c r="P1430" s="9" t="str">
        <f>VLOOKUP($O1430,'Liste des Villes'!$B$2:$B$1128,1,FALSE)</f>
        <v>Saint-Jérôme</v>
      </c>
      <c r="Q1430" s="9" t="str">
        <f>IFERROR($P1430,PROPER(VLOOKUP($O1430,'Villes en erreur'!$A$2:$B$72,2,FALSE)))</f>
        <v>Saint-Jérôme</v>
      </c>
      <c r="R1430" s="9" t="s">
        <v>3186</v>
      </c>
      <c r="S1430" s="9" t="str">
        <f>IF(ISBLANK($R1430),"",VLOOKUP($R1430,'Liste des Villes'!$B$2:$H$1128,4,FALSE))</f>
        <v>Laurentides</v>
      </c>
      <c r="T1430" s="2" t="s">
        <v>7170</v>
      </c>
      <c r="U1430" s="2" t="s">
        <v>39</v>
      </c>
      <c r="V1430" s="2" t="s">
        <v>40</v>
      </c>
      <c r="W1430" s="2" t="s">
        <v>7171</v>
      </c>
      <c r="X1430" s="2"/>
      <c r="Y1430" s="2"/>
      <c r="Z1430" s="2"/>
      <c r="AA1430" s="2" t="s">
        <v>3243</v>
      </c>
      <c r="AB1430" s="2" t="s">
        <v>3221</v>
      </c>
      <c r="AC1430" s="4" t="s">
        <v>44</v>
      </c>
    </row>
    <row r="1431" spans="1:29" x14ac:dyDescent="0.25">
      <c r="A1431" s="1">
        <v>1709</v>
      </c>
      <c r="B1431" s="17" t="s">
        <v>7172</v>
      </c>
      <c r="C1431" s="2" t="s">
        <v>844</v>
      </c>
      <c r="D1431" s="15" t="s">
        <v>845</v>
      </c>
      <c r="E1431" s="9" t="s">
        <v>509</v>
      </c>
      <c r="F1431" s="9" t="s">
        <v>510</v>
      </c>
      <c r="G1431" s="9" t="s">
        <v>92</v>
      </c>
      <c r="H1431" s="2" t="s">
        <v>35</v>
      </c>
      <c r="I1431" s="3">
        <v>35438</v>
      </c>
      <c r="J1431" s="9" t="str">
        <f t="shared" ca="1" si="24"/>
        <v>26 ans</v>
      </c>
      <c r="K1431" s="2" t="s">
        <v>36</v>
      </c>
      <c r="L1431" s="2" t="str">
        <f>"115"</f>
        <v>115</v>
      </c>
      <c r="M1431" s="2"/>
      <c r="N1431" s="2" t="str">
        <f>"CHEMIN DU POÈTE"</f>
        <v>CHEMIN DU POÈTE</v>
      </c>
      <c r="O1431" s="2" t="s">
        <v>3185</v>
      </c>
      <c r="P1431" s="9" t="str">
        <f>VLOOKUP($O1431,'Liste des Villes'!$B$2:$B$1128,1,FALSE)</f>
        <v>Saint-Jérôme</v>
      </c>
      <c r="Q1431" s="9" t="str">
        <f>IFERROR($P1431,PROPER(VLOOKUP($O1431,'Villes en erreur'!$A$2:$B$72,2,FALSE)))</f>
        <v>Saint-Jérôme</v>
      </c>
      <c r="R1431" s="9" t="s">
        <v>3186</v>
      </c>
      <c r="S1431" s="9" t="str">
        <f>IF(ISBLANK($R1431),"",VLOOKUP($R1431,'Liste des Villes'!$B$2:$H$1128,4,FALSE))</f>
        <v>Laurentides</v>
      </c>
      <c r="T1431" s="2" t="s">
        <v>3369</v>
      </c>
      <c r="U1431" s="2" t="s">
        <v>39</v>
      </c>
      <c r="V1431" s="2" t="s">
        <v>40</v>
      </c>
      <c r="W1431" s="2" t="s">
        <v>7173</v>
      </c>
      <c r="X1431" s="2"/>
      <c r="Y1431" s="2"/>
      <c r="Z1431" s="2"/>
      <c r="AA1431" s="2" t="s">
        <v>3199</v>
      </c>
      <c r="AB1431" s="2" t="s">
        <v>3200</v>
      </c>
      <c r="AC1431" s="4" t="s">
        <v>44</v>
      </c>
    </row>
    <row r="1432" spans="1:29" x14ac:dyDescent="0.25">
      <c r="A1432" s="1">
        <v>3650</v>
      </c>
      <c r="B1432" s="17" t="s">
        <v>7174</v>
      </c>
      <c r="C1432" s="2" t="s">
        <v>7175</v>
      </c>
      <c r="D1432" s="15" t="s">
        <v>5942</v>
      </c>
      <c r="E1432" s="9" t="s">
        <v>1397</v>
      </c>
      <c r="F1432" s="9" t="s">
        <v>1030</v>
      </c>
      <c r="G1432" s="9" t="s">
        <v>3274</v>
      </c>
      <c r="H1432" s="2" t="s">
        <v>35</v>
      </c>
      <c r="I1432" s="3">
        <v>35156</v>
      </c>
      <c r="J1432" s="9" t="str">
        <f t="shared" ca="1" si="24"/>
        <v>27 ans</v>
      </c>
      <c r="K1432" s="2" t="s">
        <v>36</v>
      </c>
      <c r="L1432" s="2" t="str">
        <f>"103"</f>
        <v>103</v>
      </c>
      <c r="M1432" s="2"/>
      <c r="N1432" s="2" t="str">
        <f>"CH SAINT-FRANÇOIS"</f>
        <v>CH SAINT-FRANÇOIS</v>
      </c>
      <c r="O1432" s="2" t="s">
        <v>3185</v>
      </c>
      <c r="P1432" s="9" t="str">
        <f>VLOOKUP($O1432,'Liste des Villes'!$B$2:$B$1128,1,FALSE)</f>
        <v>Saint-Jérôme</v>
      </c>
      <c r="Q1432" s="9" t="str">
        <f>IFERROR($P1432,PROPER(VLOOKUP($O1432,'Villes en erreur'!$A$2:$B$72,2,FALSE)))</f>
        <v>Saint-Jérôme</v>
      </c>
      <c r="R1432" s="9" t="s">
        <v>3186</v>
      </c>
      <c r="S1432" s="9" t="str">
        <f>IF(ISBLANK($R1432),"",VLOOKUP($R1432,'Liste des Villes'!$B$2:$H$1128,4,FALSE))</f>
        <v>Laurentides</v>
      </c>
      <c r="T1432" s="2" t="s">
        <v>3187</v>
      </c>
      <c r="U1432" s="2" t="s">
        <v>39</v>
      </c>
      <c r="V1432" s="2" t="s">
        <v>40</v>
      </c>
      <c r="W1432" s="2" t="s">
        <v>7176</v>
      </c>
      <c r="X1432" s="2"/>
      <c r="Y1432" s="2"/>
      <c r="Z1432" s="2"/>
      <c r="AA1432" s="2" t="s">
        <v>3189</v>
      </c>
      <c r="AB1432" s="2" t="s">
        <v>3190</v>
      </c>
      <c r="AC1432" s="4" t="s">
        <v>44</v>
      </c>
    </row>
    <row r="1433" spans="1:29" x14ac:dyDescent="0.25">
      <c r="A1433" s="1">
        <v>3602</v>
      </c>
      <c r="B1433" s="17" t="s">
        <v>7177</v>
      </c>
      <c r="C1433" s="2" t="s">
        <v>7178</v>
      </c>
      <c r="D1433" s="15" t="s">
        <v>7179</v>
      </c>
      <c r="E1433" s="9" t="s">
        <v>7180</v>
      </c>
      <c r="F1433" s="9" t="s">
        <v>3654</v>
      </c>
      <c r="G1433" s="9" t="s">
        <v>635</v>
      </c>
      <c r="H1433" s="2" t="s">
        <v>35</v>
      </c>
      <c r="I1433" s="3">
        <v>33947</v>
      </c>
      <c r="J1433" s="9" t="str">
        <f t="shared" ca="1" si="24"/>
        <v>30 ans</v>
      </c>
      <c r="K1433" s="2" t="s">
        <v>36</v>
      </c>
      <c r="L1433" s="2" t="str">
        <f>"42"</f>
        <v>42</v>
      </c>
      <c r="M1433" s="2"/>
      <c r="N1433" s="2" t="str">
        <f>"BARRETTE"</f>
        <v>BARRETTE</v>
      </c>
      <c r="O1433" s="2" t="s">
        <v>3185</v>
      </c>
      <c r="P1433" s="9" t="str">
        <f>VLOOKUP($O1433,'Liste des Villes'!$B$2:$B$1128,1,FALSE)</f>
        <v>Saint-Jérôme</v>
      </c>
      <c r="Q1433" s="9" t="str">
        <f>IFERROR($P1433,PROPER(VLOOKUP($O1433,'Villes en erreur'!$A$2:$B$72,2,FALSE)))</f>
        <v>Saint-Jérôme</v>
      </c>
      <c r="R1433" s="9" t="s">
        <v>3186</v>
      </c>
      <c r="S1433" s="9" t="str">
        <f>IF(ISBLANK($R1433),"",VLOOKUP($R1433,'Liste des Villes'!$B$2:$H$1128,4,FALSE))</f>
        <v>Laurentides</v>
      </c>
      <c r="T1433" s="2" t="s">
        <v>3093</v>
      </c>
      <c r="U1433" s="2" t="s">
        <v>39</v>
      </c>
      <c r="V1433" s="2" t="s">
        <v>40</v>
      </c>
      <c r="W1433" s="2" t="s">
        <v>7181</v>
      </c>
      <c r="X1433" s="2"/>
      <c r="Y1433" s="2"/>
      <c r="Z1433" s="2"/>
      <c r="AA1433" s="2" t="s">
        <v>3207</v>
      </c>
      <c r="AB1433" s="2" t="s">
        <v>53</v>
      </c>
      <c r="AC1433" s="4" t="s">
        <v>44</v>
      </c>
    </row>
    <row r="1434" spans="1:29" x14ac:dyDescent="0.25">
      <c r="A1434" s="1">
        <v>3654</v>
      </c>
      <c r="B1434" s="17" t="s">
        <v>7182</v>
      </c>
      <c r="C1434" s="2" t="s">
        <v>7183</v>
      </c>
      <c r="D1434" s="15" t="s">
        <v>2469</v>
      </c>
      <c r="E1434" s="9" t="s">
        <v>1355</v>
      </c>
      <c r="F1434" s="9" t="s">
        <v>2467</v>
      </c>
      <c r="G1434" s="9" t="s">
        <v>891</v>
      </c>
      <c r="H1434" s="2" t="s">
        <v>60</v>
      </c>
      <c r="I1434" s="3">
        <v>35320</v>
      </c>
      <c r="J1434" s="9" t="str">
        <f t="shared" ca="1" si="24"/>
        <v>26 ans</v>
      </c>
      <c r="K1434" s="2" t="s">
        <v>36</v>
      </c>
      <c r="L1434" s="2" t="str">
        <f>"110"</f>
        <v>110</v>
      </c>
      <c r="M1434" s="2"/>
      <c r="N1434" s="2" t="str">
        <f>"CHEMIN DES COULEURS"</f>
        <v>CHEMIN DES COULEURS</v>
      </c>
      <c r="O1434" s="2" t="s">
        <v>3185</v>
      </c>
      <c r="P1434" s="9" t="str">
        <f>VLOOKUP($O1434,'Liste des Villes'!$B$2:$B$1128,1,FALSE)</f>
        <v>Saint-Jérôme</v>
      </c>
      <c r="Q1434" s="9" t="str">
        <f>IFERROR($P1434,PROPER(VLOOKUP($O1434,'Villes en erreur'!$A$2:$B$72,2,FALSE)))</f>
        <v>Saint-Jérôme</v>
      </c>
      <c r="R1434" s="9" t="s">
        <v>3186</v>
      </c>
      <c r="S1434" s="9" t="str">
        <f>IF(ISBLANK($R1434),"",VLOOKUP($R1434,'Liste des Villes'!$B$2:$H$1128,4,FALSE))</f>
        <v>Laurentides</v>
      </c>
      <c r="T1434" s="2" t="s">
        <v>4321</v>
      </c>
      <c r="U1434" s="2" t="s">
        <v>39</v>
      </c>
      <c r="V1434" s="2" t="s">
        <v>40</v>
      </c>
      <c r="W1434" s="2" t="s">
        <v>7184</v>
      </c>
      <c r="X1434" s="2"/>
      <c r="Y1434" s="2"/>
      <c r="Z1434" s="2"/>
      <c r="AA1434" s="2" t="s">
        <v>3189</v>
      </c>
      <c r="AB1434" s="2" t="s">
        <v>3200</v>
      </c>
      <c r="AC1434" s="4" t="s">
        <v>44</v>
      </c>
    </row>
    <row r="1435" spans="1:29" x14ac:dyDescent="0.25">
      <c r="A1435" s="1">
        <v>4449</v>
      </c>
      <c r="B1435" s="17" t="s">
        <v>7185</v>
      </c>
      <c r="C1435" s="2" t="s">
        <v>7186</v>
      </c>
      <c r="D1435" s="15" t="s">
        <v>6781</v>
      </c>
      <c r="E1435" s="9" t="s">
        <v>495</v>
      </c>
      <c r="F1435" s="9" t="s">
        <v>5021</v>
      </c>
      <c r="G1435" s="9" t="s">
        <v>635</v>
      </c>
      <c r="H1435" s="2" t="s">
        <v>35</v>
      </c>
      <c r="I1435" s="3">
        <v>33837</v>
      </c>
      <c r="J1435" s="9" t="str">
        <f t="shared" ca="1" si="24"/>
        <v>31 ans</v>
      </c>
      <c r="K1435" s="2" t="s">
        <v>36</v>
      </c>
      <c r="L1435" s="2" t="str">
        <f>"39"</f>
        <v>39</v>
      </c>
      <c r="M1435" s="2"/>
      <c r="N1435" s="2" t="str">
        <f>"AVENUE DU PARC"</f>
        <v>AVENUE DU PARC</v>
      </c>
      <c r="O1435" s="2" t="s">
        <v>3185</v>
      </c>
      <c r="P1435" s="9" t="str">
        <f>VLOOKUP($O1435,'Liste des Villes'!$B$2:$B$1128,1,FALSE)</f>
        <v>Saint-Jérôme</v>
      </c>
      <c r="Q1435" s="9" t="str">
        <f>IFERROR($P1435,PROPER(VLOOKUP($O1435,'Villes en erreur'!$A$2:$B$72,2,FALSE)))</f>
        <v>Saint-Jérôme</v>
      </c>
      <c r="R1435" s="9" t="s">
        <v>3186</v>
      </c>
      <c r="S1435" s="9" t="str">
        <f>IF(ISBLANK($R1435),"",VLOOKUP($R1435,'Liste des Villes'!$B$2:$H$1128,4,FALSE))</f>
        <v>Laurentides</v>
      </c>
      <c r="T1435" s="2" t="s">
        <v>3093</v>
      </c>
      <c r="U1435" s="2" t="s">
        <v>39</v>
      </c>
      <c r="V1435" s="2" t="s">
        <v>40</v>
      </c>
      <c r="W1435" s="2" t="s">
        <v>7187</v>
      </c>
      <c r="X1435" s="2"/>
      <c r="Y1435" s="2"/>
      <c r="Z1435" s="2"/>
      <c r="AA1435" s="2" t="s">
        <v>3207</v>
      </c>
      <c r="AB1435" s="2" t="s">
        <v>53</v>
      </c>
      <c r="AC1435" s="4" t="s">
        <v>44</v>
      </c>
    </row>
    <row r="1436" spans="1:29" x14ac:dyDescent="0.25">
      <c r="A1436" s="1">
        <v>223</v>
      </c>
      <c r="B1436" s="17" t="s">
        <v>7188</v>
      </c>
      <c r="C1436" s="2" t="s">
        <v>7189</v>
      </c>
      <c r="D1436" s="15" t="s">
        <v>3773</v>
      </c>
      <c r="E1436" s="9" t="s">
        <v>4292</v>
      </c>
      <c r="F1436" s="9" t="s">
        <v>7190</v>
      </c>
      <c r="G1436" s="9" t="s">
        <v>2397</v>
      </c>
      <c r="H1436" s="2" t="s">
        <v>60</v>
      </c>
      <c r="I1436" s="3">
        <v>35096</v>
      </c>
      <c r="J1436" s="9" t="str">
        <f t="shared" ca="1" si="24"/>
        <v>27 ans</v>
      </c>
      <c r="K1436" s="2" t="s">
        <v>36</v>
      </c>
      <c r="L1436" s="2" t="str">
        <f>"100"</f>
        <v>100</v>
      </c>
      <c r="M1436" s="2"/>
      <c r="N1436" s="2" t="str">
        <f>"CH FILIATRAULT"</f>
        <v>CH FILIATRAULT</v>
      </c>
      <c r="O1436" s="2" t="s">
        <v>3185</v>
      </c>
      <c r="P1436" s="9" t="str">
        <f>VLOOKUP($O1436,'Liste des Villes'!$B$2:$B$1128,1,FALSE)</f>
        <v>Saint-Jérôme</v>
      </c>
      <c r="Q1436" s="9" t="str">
        <f>IFERROR($P1436,PROPER(VLOOKUP($O1436,'Villes en erreur'!$A$2:$B$72,2,FALSE)))</f>
        <v>Saint-Jérôme</v>
      </c>
      <c r="R1436" s="9" t="s">
        <v>3186</v>
      </c>
      <c r="S1436" s="9" t="str">
        <f>IF(ISBLANK($R1436),"",VLOOKUP($R1436,'Liste des Villes'!$B$2:$H$1128,4,FALSE))</f>
        <v>Laurentides</v>
      </c>
      <c r="T1436" s="2" t="s">
        <v>3187</v>
      </c>
      <c r="U1436" s="2" t="s">
        <v>39</v>
      </c>
      <c r="V1436" s="2" t="s">
        <v>40</v>
      </c>
      <c r="W1436" s="2" t="s">
        <v>7191</v>
      </c>
      <c r="X1436" s="2"/>
      <c r="Y1436" s="2"/>
      <c r="Z1436" s="2"/>
      <c r="AA1436" s="2" t="s">
        <v>3189</v>
      </c>
      <c r="AB1436" s="2" t="s">
        <v>3190</v>
      </c>
      <c r="AC1436" s="4" t="s">
        <v>44</v>
      </c>
    </row>
    <row r="1437" spans="1:29" x14ac:dyDescent="0.25">
      <c r="A1437" s="1">
        <v>4553</v>
      </c>
      <c r="B1437" s="17" t="s">
        <v>7192</v>
      </c>
      <c r="C1437" s="2" t="s">
        <v>779</v>
      </c>
      <c r="D1437" s="15" t="s">
        <v>780</v>
      </c>
      <c r="E1437" s="9" t="s">
        <v>781</v>
      </c>
      <c r="F1437" s="9" t="s">
        <v>782</v>
      </c>
      <c r="G1437" s="9" t="s">
        <v>6475</v>
      </c>
      <c r="H1437" s="2" t="s">
        <v>35</v>
      </c>
      <c r="I1437" s="3">
        <v>35177</v>
      </c>
      <c r="J1437" s="9" t="str">
        <f t="shared" ca="1" si="24"/>
        <v>27 ans</v>
      </c>
      <c r="K1437" s="2" t="s">
        <v>36</v>
      </c>
      <c r="L1437" s="2" t="str">
        <f>"104"</f>
        <v>104</v>
      </c>
      <c r="M1437" s="2"/>
      <c r="N1437" s="2" t="str">
        <f>"CH SAINT-LOUIS"</f>
        <v>CH SAINT-LOUIS</v>
      </c>
      <c r="O1437" s="2" t="s">
        <v>3185</v>
      </c>
      <c r="P1437" s="9" t="str">
        <f>VLOOKUP($O1437,'Liste des Villes'!$B$2:$B$1128,1,FALSE)</f>
        <v>Saint-Jérôme</v>
      </c>
      <c r="Q1437" s="9" t="str">
        <f>IFERROR($P1437,PROPER(VLOOKUP($O1437,'Villes en erreur'!$A$2:$B$72,2,FALSE)))</f>
        <v>Saint-Jérôme</v>
      </c>
      <c r="R1437" s="9" t="s">
        <v>3186</v>
      </c>
      <c r="S1437" s="9" t="str">
        <f>IF(ISBLANK($R1437),"",VLOOKUP($R1437,'Liste des Villes'!$B$2:$H$1128,4,FALSE))</f>
        <v>Laurentides</v>
      </c>
      <c r="T1437" s="2" t="s">
        <v>3187</v>
      </c>
      <c r="U1437" s="2" t="s">
        <v>39</v>
      </c>
      <c r="V1437" s="2" t="s">
        <v>40</v>
      </c>
      <c r="W1437" s="2" t="s">
        <v>7193</v>
      </c>
      <c r="X1437" s="2"/>
      <c r="Y1437" s="2"/>
      <c r="Z1437" s="2"/>
      <c r="AA1437" s="2" t="s">
        <v>3189</v>
      </c>
      <c r="AB1437" s="2" t="s">
        <v>3190</v>
      </c>
      <c r="AC1437" s="4" t="s">
        <v>44</v>
      </c>
    </row>
    <row r="1438" spans="1:29" x14ac:dyDescent="0.25">
      <c r="A1438" s="1">
        <v>4109</v>
      </c>
      <c r="B1438" s="17" t="s">
        <v>7194</v>
      </c>
      <c r="C1438" s="2" t="s">
        <v>1370</v>
      </c>
      <c r="D1438" s="15" t="s">
        <v>1092</v>
      </c>
      <c r="E1438" s="9" t="s">
        <v>92</v>
      </c>
      <c r="F1438" s="9" t="s">
        <v>1371</v>
      </c>
      <c r="G1438" s="9" t="s">
        <v>179</v>
      </c>
      <c r="H1438" s="2" t="s">
        <v>60</v>
      </c>
      <c r="I1438" s="3">
        <v>36099</v>
      </c>
      <c r="J1438" s="9" t="str">
        <f t="shared" ca="1" si="24"/>
        <v>24 ans</v>
      </c>
      <c r="K1438" s="2" t="s">
        <v>123</v>
      </c>
      <c r="L1438" s="2" t="str">
        <f>"207"</f>
        <v>207</v>
      </c>
      <c r="M1438" s="2"/>
      <c r="N1438" s="2" t="str">
        <f>"ROUTE SIR WILFRID LAURIER"</f>
        <v>ROUTE SIR WILFRID LAURIER</v>
      </c>
      <c r="O1438" s="2" t="s">
        <v>3185</v>
      </c>
      <c r="P1438" s="9" t="str">
        <f>VLOOKUP($O1438,'Liste des Villes'!$B$2:$B$1128,1,FALSE)</f>
        <v>Saint-Jérôme</v>
      </c>
      <c r="Q1438" s="9" t="str">
        <f>IFERROR($P1438,PROPER(VLOOKUP($O1438,'Villes en erreur'!$A$2:$B$72,2,FALSE)))</f>
        <v>Saint-Jérôme</v>
      </c>
      <c r="R1438" s="9" t="s">
        <v>3186</v>
      </c>
      <c r="S1438" s="9" t="str">
        <f>IF(ISBLANK($R1438),"",VLOOKUP($R1438,'Liste des Villes'!$B$2:$H$1128,4,FALSE))</f>
        <v>Laurentides</v>
      </c>
      <c r="T1438" s="2" t="s">
        <v>6715</v>
      </c>
      <c r="U1438" s="2" t="s">
        <v>39</v>
      </c>
      <c r="V1438" s="2" t="s">
        <v>40</v>
      </c>
      <c r="W1438" s="2" t="s">
        <v>7195</v>
      </c>
      <c r="X1438" s="2"/>
      <c r="Y1438" s="2"/>
      <c r="Z1438" s="2"/>
      <c r="AA1438" s="2" t="s">
        <v>832</v>
      </c>
      <c r="AB1438" s="2" t="s">
        <v>3221</v>
      </c>
      <c r="AC1438" s="4" t="s">
        <v>44</v>
      </c>
    </row>
    <row r="1439" spans="1:29" x14ac:dyDescent="0.25">
      <c r="A1439" s="1">
        <v>1862</v>
      </c>
      <c r="B1439" s="17" t="s">
        <v>7196</v>
      </c>
      <c r="C1439" s="2" t="s">
        <v>3065</v>
      </c>
      <c r="D1439" s="15" t="s">
        <v>1477</v>
      </c>
      <c r="E1439" s="9" t="s">
        <v>3066</v>
      </c>
      <c r="F1439" s="9" t="s">
        <v>1479</v>
      </c>
      <c r="G1439" s="9" t="s">
        <v>2570</v>
      </c>
      <c r="H1439" s="2" t="s">
        <v>60</v>
      </c>
      <c r="I1439" s="3">
        <v>34045</v>
      </c>
      <c r="J1439" s="9" t="str">
        <f t="shared" ca="1" si="24"/>
        <v>30 ans</v>
      </c>
      <c r="K1439" s="2" t="s">
        <v>36</v>
      </c>
      <c r="L1439" s="2" t="str">
        <f>"44"</f>
        <v>44</v>
      </c>
      <c r="M1439" s="2"/>
      <c r="N1439" s="2" t="str">
        <f>"BOUL MAISONNEUVE"</f>
        <v>BOUL MAISONNEUVE</v>
      </c>
      <c r="O1439" s="2" t="s">
        <v>3185</v>
      </c>
      <c r="P1439" s="9" t="str">
        <f>VLOOKUP($O1439,'Liste des Villes'!$B$2:$B$1128,1,FALSE)</f>
        <v>Saint-Jérôme</v>
      </c>
      <c r="Q1439" s="9" t="str">
        <f>IFERROR($P1439,PROPER(VLOOKUP($O1439,'Villes en erreur'!$A$2:$B$72,2,FALSE)))</f>
        <v>Saint-Jérôme</v>
      </c>
      <c r="R1439" s="9" t="s">
        <v>3186</v>
      </c>
      <c r="S1439" s="9" t="str">
        <f>IF(ISBLANK($R1439),"",VLOOKUP($R1439,'Liste des Villes'!$B$2:$H$1128,4,FALSE))</f>
        <v>Laurentides</v>
      </c>
      <c r="T1439" s="2" t="s">
        <v>3205</v>
      </c>
      <c r="U1439" s="2" t="s">
        <v>39</v>
      </c>
      <c r="V1439" s="2" t="s">
        <v>40</v>
      </c>
      <c r="W1439" s="2" t="s">
        <v>7197</v>
      </c>
      <c r="X1439" s="2"/>
      <c r="Y1439" s="2"/>
      <c r="Z1439" s="2"/>
      <c r="AA1439" s="2" t="s">
        <v>3207</v>
      </c>
      <c r="AB1439" s="2" t="s">
        <v>53</v>
      </c>
      <c r="AC1439" s="4" t="s">
        <v>44</v>
      </c>
    </row>
    <row r="1440" spans="1:29" x14ac:dyDescent="0.25">
      <c r="A1440" s="1">
        <v>757</v>
      </c>
      <c r="B1440" s="17" t="s">
        <v>7198</v>
      </c>
      <c r="C1440" s="2" t="s">
        <v>7199</v>
      </c>
      <c r="D1440" s="15" t="s">
        <v>7200</v>
      </c>
      <c r="E1440" s="9" t="s">
        <v>7201</v>
      </c>
      <c r="F1440" s="9" t="s">
        <v>7202</v>
      </c>
      <c r="G1440" s="9" t="s">
        <v>3218</v>
      </c>
      <c r="H1440" s="2" t="s">
        <v>60</v>
      </c>
      <c r="I1440" s="3">
        <v>34326</v>
      </c>
      <c r="J1440" s="9" t="str">
        <f t="shared" ca="1" si="24"/>
        <v>29 ans</v>
      </c>
      <c r="K1440" s="2" t="s">
        <v>36</v>
      </c>
      <c r="L1440" s="2" t="str">
        <f>"52"</f>
        <v>52</v>
      </c>
      <c r="M1440" s="2"/>
      <c r="N1440" s="2" t="str">
        <f>"BOULEVARD LOUIS-PHILIPPE-PICARD"</f>
        <v>BOULEVARD LOUIS-PHILIPPE-PICARD</v>
      </c>
      <c r="O1440" s="2" t="s">
        <v>3185</v>
      </c>
      <c r="P1440" s="9" t="str">
        <f>VLOOKUP($O1440,'Liste des Villes'!$B$2:$B$1128,1,FALSE)</f>
        <v>Saint-Jérôme</v>
      </c>
      <c r="Q1440" s="9" t="str">
        <f>IFERROR($P1440,PROPER(VLOOKUP($O1440,'Villes en erreur'!$A$2:$B$72,2,FALSE)))</f>
        <v>Saint-Jérôme</v>
      </c>
      <c r="R1440" s="9" t="s">
        <v>3186</v>
      </c>
      <c r="S1440" s="9" t="str">
        <f>IF(ISBLANK($R1440),"",VLOOKUP($R1440,'Liste des Villes'!$B$2:$H$1128,4,FALSE))</f>
        <v>Laurentides</v>
      </c>
      <c r="T1440" s="2" t="s">
        <v>3520</v>
      </c>
      <c r="U1440" s="2" t="s">
        <v>39</v>
      </c>
      <c r="V1440" s="2" t="s">
        <v>40</v>
      </c>
      <c r="W1440" s="2" t="s">
        <v>7203</v>
      </c>
      <c r="X1440" s="2"/>
      <c r="Y1440" s="2"/>
      <c r="Z1440" s="2"/>
      <c r="AA1440" s="2" t="s">
        <v>3360</v>
      </c>
      <c r="AB1440" s="2" t="s">
        <v>53</v>
      </c>
      <c r="AC1440" s="4" t="s">
        <v>44</v>
      </c>
    </row>
    <row r="1441" spans="1:29" x14ac:dyDescent="0.25">
      <c r="A1441" s="1">
        <v>2228</v>
      </c>
      <c r="B1441" s="17" t="s">
        <v>7204</v>
      </c>
      <c r="C1441" s="2" t="s">
        <v>3455</v>
      </c>
      <c r="D1441" s="15" t="s">
        <v>584</v>
      </c>
      <c r="E1441" s="9" t="s">
        <v>405</v>
      </c>
      <c r="F1441" s="9" t="s">
        <v>7205</v>
      </c>
      <c r="G1441" s="9" t="s">
        <v>1560</v>
      </c>
      <c r="H1441" s="2" t="s">
        <v>35</v>
      </c>
      <c r="I1441" s="3">
        <v>35642</v>
      </c>
      <c r="J1441" s="9" t="str">
        <f t="shared" ca="1" si="24"/>
        <v>26 ans</v>
      </c>
      <c r="K1441" s="2" t="s">
        <v>36</v>
      </c>
      <c r="L1441" s="2" t="str">
        <f>"131"</f>
        <v>131</v>
      </c>
      <c r="M1441" s="2"/>
      <c r="N1441" s="2" t="str">
        <f>"DE L'ÉPERVIER"</f>
        <v>DE L'ÉPERVIER</v>
      </c>
      <c r="O1441" s="2" t="s">
        <v>3185</v>
      </c>
      <c r="P1441" s="9" t="str">
        <f>VLOOKUP($O1441,'Liste des Villes'!$B$2:$B$1128,1,FALSE)</f>
        <v>Saint-Jérôme</v>
      </c>
      <c r="Q1441" s="9" t="str">
        <f>IFERROR($P1441,PROPER(VLOOKUP($O1441,'Villes en erreur'!$A$2:$B$72,2,FALSE)))</f>
        <v>Saint-Jérôme</v>
      </c>
      <c r="R1441" s="9" t="s">
        <v>3186</v>
      </c>
      <c r="S1441" s="9" t="str">
        <f>IF(ISBLANK($R1441),"",VLOOKUP($R1441,'Liste des Villes'!$B$2:$H$1128,4,FALSE))</f>
        <v>Laurentides</v>
      </c>
      <c r="T1441" s="2" t="s">
        <v>7206</v>
      </c>
      <c r="U1441" s="2" t="s">
        <v>39</v>
      </c>
      <c r="V1441" s="2" t="s">
        <v>40</v>
      </c>
      <c r="W1441" s="2" t="s">
        <v>7207</v>
      </c>
      <c r="X1441" s="2"/>
      <c r="Y1441" s="2"/>
      <c r="Z1441" s="2"/>
      <c r="AA1441" s="2" t="s">
        <v>3243</v>
      </c>
      <c r="AB1441" s="2" t="s">
        <v>3221</v>
      </c>
      <c r="AC1441" s="4" t="s">
        <v>44</v>
      </c>
    </row>
    <row r="1442" spans="1:29" x14ac:dyDescent="0.25">
      <c r="A1442" s="1">
        <v>934</v>
      </c>
      <c r="B1442" s="17" t="s">
        <v>7208</v>
      </c>
      <c r="C1442" s="2" t="s">
        <v>7209</v>
      </c>
      <c r="D1442" s="15" t="s">
        <v>272</v>
      </c>
      <c r="E1442" s="9" t="s">
        <v>6958</v>
      </c>
      <c r="F1442" s="9" t="s">
        <v>7210</v>
      </c>
      <c r="G1442" s="9" t="s">
        <v>643</v>
      </c>
      <c r="H1442" s="2" t="s">
        <v>60</v>
      </c>
      <c r="I1442" s="3">
        <v>34942</v>
      </c>
      <c r="J1442" s="9" t="str">
        <f t="shared" ca="1" si="24"/>
        <v>27 ans</v>
      </c>
      <c r="K1442" s="2" t="s">
        <v>36</v>
      </c>
      <c r="L1442" s="2" t="str">
        <f>"86"</f>
        <v>86</v>
      </c>
      <c r="M1442" s="2"/>
      <c r="N1442" s="2" t="str">
        <f>"CH DU DOMAINE-VAL-MORIN"</f>
        <v>CH DU DOMAINE-VAL-MORIN</v>
      </c>
      <c r="O1442" s="2" t="s">
        <v>3185</v>
      </c>
      <c r="P1442" s="9" t="str">
        <f>VLOOKUP($O1442,'Liste des Villes'!$B$2:$B$1128,1,FALSE)</f>
        <v>Saint-Jérôme</v>
      </c>
      <c r="Q1442" s="9" t="str">
        <f>IFERROR($P1442,PROPER(VLOOKUP($O1442,'Villes en erreur'!$A$2:$B$72,2,FALSE)))</f>
        <v>Saint-Jérôme</v>
      </c>
      <c r="R1442" s="9" t="s">
        <v>3186</v>
      </c>
      <c r="S1442" s="9" t="str">
        <f>IF(ISBLANK($R1442),"",VLOOKUP($R1442,'Liste des Villes'!$B$2:$H$1128,4,FALSE))</f>
        <v>Laurentides</v>
      </c>
      <c r="T1442" s="2" t="s">
        <v>3187</v>
      </c>
      <c r="U1442" s="2" t="s">
        <v>39</v>
      </c>
      <c r="V1442" s="2" t="s">
        <v>40</v>
      </c>
      <c r="W1442" s="2" t="s">
        <v>7211</v>
      </c>
      <c r="X1442" s="2"/>
      <c r="Y1442" s="2"/>
      <c r="Z1442" s="2"/>
      <c r="AA1442" s="2" t="s">
        <v>3231</v>
      </c>
      <c r="AB1442" s="2" t="s">
        <v>53</v>
      </c>
      <c r="AC1442" s="4" t="s">
        <v>44</v>
      </c>
    </row>
    <row r="1443" spans="1:29" x14ac:dyDescent="0.25">
      <c r="A1443" s="1">
        <v>2137</v>
      </c>
      <c r="B1443" s="17" t="s">
        <v>7212</v>
      </c>
      <c r="C1443" s="2" t="s">
        <v>7213</v>
      </c>
      <c r="D1443" s="15" t="s">
        <v>7214</v>
      </c>
      <c r="E1443" s="9" t="s">
        <v>7215</v>
      </c>
      <c r="F1443" s="9" t="s">
        <v>5520</v>
      </c>
      <c r="G1443" s="9" t="s">
        <v>380</v>
      </c>
      <c r="H1443" s="2" t="s">
        <v>60</v>
      </c>
      <c r="I1443" s="3">
        <v>34380</v>
      </c>
      <c r="J1443" s="9" t="str">
        <f t="shared" ca="1" si="24"/>
        <v>29 ans</v>
      </c>
      <c r="K1443" s="2" t="s">
        <v>36</v>
      </c>
      <c r="L1443" s="2" t="str">
        <f>"56"</f>
        <v>56</v>
      </c>
      <c r="M1443" s="2"/>
      <c r="N1443" s="2" t="str">
        <f>"BOULEVARD ST-PLACIDE"</f>
        <v>BOULEVARD ST-PLACIDE</v>
      </c>
      <c r="O1443" s="2" t="s">
        <v>3185</v>
      </c>
      <c r="P1443" s="9" t="str">
        <f>VLOOKUP($O1443,'Liste des Villes'!$B$2:$B$1128,1,FALSE)</f>
        <v>Saint-Jérôme</v>
      </c>
      <c r="Q1443" s="9" t="str">
        <f>IFERROR($P1443,PROPER(VLOOKUP($O1443,'Villes en erreur'!$A$2:$B$72,2,FALSE)))</f>
        <v>Saint-Jérôme</v>
      </c>
      <c r="R1443" s="9" t="s">
        <v>3186</v>
      </c>
      <c r="S1443" s="9" t="str">
        <f>IF(ISBLANK($R1443),"",VLOOKUP($R1443,'Liste des Villes'!$B$2:$H$1128,4,FALSE))</f>
        <v>Laurentides</v>
      </c>
      <c r="T1443" s="2" t="s">
        <v>3291</v>
      </c>
      <c r="U1443" s="2" t="s">
        <v>39</v>
      </c>
      <c r="V1443" s="2" t="s">
        <v>40</v>
      </c>
      <c r="W1443" s="2" t="s">
        <v>7216</v>
      </c>
      <c r="X1443" s="2"/>
      <c r="Y1443" s="2"/>
      <c r="Z1443" s="2"/>
      <c r="AA1443" s="2" t="s">
        <v>3293</v>
      </c>
      <c r="AB1443" s="2" t="s">
        <v>53</v>
      </c>
      <c r="AC1443" s="4" t="s">
        <v>44</v>
      </c>
    </row>
    <row r="1444" spans="1:29" x14ac:dyDescent="0.25">
      <c r="A1444" s="1">
        <v>1761</v>
      </c>
      <c r="B1444" s="17" t="s">
        <v>7217</v>
      </c>
      <c r="C1444" s="2" t="s">
        <v>7218</v>
      </c>
      <c r="D1444" s="15" t="s">
        <v>7219</v>
      </c>
      <c r="E1444" s="9" t="s">
        <v>85</v>
      </c>
      <c r="F1444" s="9" t="s">
        <v>2291</v>
      </c>
      <c r="G1444" s="9" t="s">
        <v>1560</v>
      </c>
      <c r="H1444" s="2" t="s">
        <v>35</v>
      </c>
      <c r="I1444" s="3">
        <v>35641</v>
      </c>
      <c r="J1444" s="9" t="str">
        <f t="shared" ca="1" si="24"/>
        <v>26 ans</v>
      </c>
      <c r="K1444" s="2" t="s">
        <v>36</v>
      </c>
      <c r="L1444" s="2" t="str">
        <f>"130"</f>
        <v>130</v>
      </c>
      <c r="M1444" s="2"/>
      <c r="N1444" s="2" t="str">
        <f>"DE L'ÉCUME"</f>
        <v>DE L'ÉCUME</v>
      </c>
      <c r="O1444" s="2" t="s">
        <v>3186</v>
      </c>
      <c r="P1444" s="9" t="str">
        <f>VLOOKUP($O1444,'Liste des Villes'!$B$2:$B$1128,1,FALSE)</f>
        <v>Saint-Jérôme</v>
      </c>
      <c r="Q1444" s="9" t="str">
        <f>IFERROR($P1444,PROPER(VLOOKUP($O1444,'Villes en erreur'!$A$2:$B$72,2,FALSE)))</f>
        <v>Saint-Jérôme</v>
      </c>
      <c r="R1444" s="9" t="s">
        <v>3186</v>
      </c>
      <c r="S1444" s="9" t="str">
        <f>IF(ISBLANK($R1444),"",VLOOKUP($R1444,'Liste des Villes'!$B$2:$H$1128,4,FALSE))</f>
        <v>Laurentides</v>
      </c>
      <c r="T1444" s="2" t="s">
        <v>7206</v>
      </c>
      <c r="U1444" s="2" t="s">
        <v>39</v>
      </c>
      <c r="V1444" s="2" t="s">
        <v>40</v>
      </c>
      <c r="W1444" s="2" t="s">
        <v>7220</v>
      </c>
      <c r="X1444" s="2"/>
      <c r="Y1444" s="2"/>
      <c r="Z1444" s="2"/>
      <c r="AA1444" s="2" t="s">
        <v>3243</v>
      </c>
      <c r="AB1444" s="2" t="s">
        <v>3221</v>
      </c>
      <c r="AC1444" s="4" t="s">
        <v>44</v>
      </c>
    </row>
    <row r="1445" spans="1:29" x14ac:dyDescent="0.25">
      <c r="A1445" s="1">
        <v>2676</v>
      </c>
      <c r="B1445" s="17" t="s">
        <v>7221</v>
      </c>
      <c r="C1445" s="2" t="s">
        <v>7222</v>
      </c>
      <c r="D1445" s="15" t="s">
        <v>7223</v>
      </c>
      <c r="E1445" s="9" t="s">
        <v>1560</v>
      </c>
      <c r="F1445" s="9" t="s">
        <v>867</v>
      </c>
      <c r="G1445" s="9" t="s">
        <v>577</v>
      </c>
      <c r="H1445" s="2" t="s">
        <v>60</v>
      </c>
      <c r="I1445" s="3">
        <v>35911</v>
      </c>
      <c r="J1445" s="9" t="str">
        <f t="shared" ca="1" si="24"/>
        <v>25 ans</v>
      </c>
      <c r="K1445" s="2" t="s">
        <v>123</v>
      </c>
      <c r="L1445" s="2" t="str">
        <f>"158"</f>
        <v>158</v>
      </c>
      <c r="M1445" s="2"/>
      <c r="N1445" s="2" t="str">
        <f>"MONTEE DU PONT-BLEU"</f>
        <v>MONTEE DU PONT-BLEU</v>
      </c>
      <c r="O1445" s="2" t="s">
        <v>3185</v>
      </c>
      <c r="P1445" s="9" t="str">
        <f>VLOOKUP($O1445,'Liste des Villes'!$B$2:$B$1128,1,FALSE)</f>
        <v>Saint-Jérôme</v>
      </c>
      <c r="Q1445" s="9" t="str">
        <f>IFERROR($P1445,PROPER(VLOOKUP($O1445,'Villes en erreur'!$A$2:$B$72,2,FALSE)))</f>
        <v>Saint-Jérôme</v>
      </c>
      <c r="R1445" s="9" t="s">
        <v>3186</v>
      </c>
      <c r="S1445" s="9" t="str">
        <f>IF(ISBLANK($R1445),"",VLOOKUP($R1445,'Liste des Villes'!$B$2:$H$1128,4,FALSE))</f>
        <v>Laurentides</v>
      </c>
      <c r="T1445" s="2" t="s">
        <v>7224</v>
      </c>
      <c r="U1445" s="2" t="s">
        <v>39</v>
      </c>
      <c r="V1445" s="2" t="s">
        <v>40</v>
      </c>
      <c r="W1445" s="2" t="s">
        <v>7225</v>
      </c>
      <c r="X1445" s="2"/>
      <c r="Y1445" s="2"/>
      <c r="Z1445" s="2"/>
      <c r="AA1445" s="2" t="s">
        <v>3243</v>
      </c>
      <c r="AB1445" s="2" t="s">
        <v>3221</v>
      </c>
      <c r="AC1445" s="4" t="s">
        <v>44</v>
      </c>
    </row>
    <row r="1446" spans="1:29" x14ac:dyDescent="0.25">
      <c r="A1446" s="1">
        <v>2693</v>
      </c>
      <c r="B1446" s="17" t="s">
        <v>7226</v>
      </c>
      <c r="C1446" s="2" t="s">
        <v>7227</v>
      </c>
      <c r="D1446" s="15" t="s">
        <v>7228</v>
      </c>
      <c r="E1446" s="9" t="s">
        <v>7229</v>
      </c>
      <c r="F1446" s="9" t="s">
        <v>56</v>
      </c>
      <c r="G1446" s="9" t="s">
        <v>7230</v>
      </c>
      <c r="H1446" s="2" t="s">
        <v>35</v>
      </c>
      <c r="I1446" s="3">
        <v>36082</v>
      </c>
      <c r="J1446" s="9" t="str">
        <f t="shared" ca="1" si="24"/>
        <v>24 ans</v>
      </c>
      <c r="K1446" s="2" t="s">
        <v>123</v>
      </c>
      <c r="L1446" s="2" t="str">
        <f>"204"</f>
        <v>204</v>
      </c>
      <c r="M1446" s="2"/>
      <c r="N1446" s="2" t="str">
        <f>"RAYMOND BLVD"</f>
        <v>RAYMOND BLVD</v>
      </c>
      <c r="O1446" s="2" t="s">
        <v>3185</v>
      </c>
      <c r="P1446" s="9" t="str">
        <f>VLOOKUP($O1446,'Liste des Villes'!$B$2:$B$1128,1,FALSE)</f>
        <v>Saint-Jérôme</v>
      </c>
      <c r="Q1446" s="9" t="str">
        <f>IFERROR($P1446,PROPER(VLOOKUP($O1446,'Villes en erreur'!$A$2:$B$72,2,FALSE)))</f>
        <v>Saint-Jérôme</v>
      </c>
      <c r="R1446" s="9" t="s">
        <v>3186</v>
      </c>
      <c r="S1446" s="9" t="str">
        <f>IF(ISBLANK($R1446),"",VLOOKUP($R1446,'Liste des Villes'!$B$2:$H$1128,4,FALSE))</f>
        <v>Laurentides</v>
      </c>
      <c r="T1446" s="2" t="s">
        <v>7115</v>
      </c>
      <c r="U1446" s="2" t="s">
        <v>39</v>
      </c>
      <c r="V1446" s="2" t="s">
        <v>40</v>
      </c>
      <c r="W1446" s="2" t="s">
        <v>7231</v>
      </c>
      <c r="X1446" s="2"/>
      <c r="Y1446" s="2"/>
      <c r="Z1446" s="2"/>
      <c r="AA1446" s="2" t="s">
        <v>832</v>
      </c>
      <c r="AB1446" s="2" t="s">
        <v>3221</v>
      </c>
      <c r="AC1446" s="4" t="s">
        <v>44</v>
      </c>
    </row>
    <row r="1447" spans="1:29" x14ac:dyDescent="0.25">
      <c r="A1447" s="1">
        <v>1254</v>
      </c>
      <c r="B1447" s="17" t="s">
        <v>7232</v>
      </c>
      <c r="C1447" s="2" t="s">
        <v>7233</v>
      </c>
      <c r="D1447" s="15" t="s">
        <v>7234</v>
      </c>
      <c r="E1447" s="9" t="s">
        <v>7235</v>
      </c>
      <c r="F1447" s="9" t="s">
        <v>875</v>
      </c>
      <c r="G1447" s="9" t="s">
        <v>495</v>
      </c>
      <c r="H1447" s="2" t="s">
        <v>35</v>
      </c>
      <c r="I1447" s="3">
        <v>34718</v>
      </c>
      <c r="J1447" s="9" t="str">
        <f t="shared" ca="1" si="24"/>
        <v>28 ans</v>
      </c>
      <c r="K1447" s="2" t="s">
        <v>36</v>
      </c>
      <c r="L1447" s="2" t="str">
        <f>"72"</f>
        <v>72</v>
      </c>
      <c r="M1447" s="2"/>
      <c r="N1447" s="2" t="str">
        <f>"CH DE L'HÉRITAGE"</f>
        <v>CH DE L'HÉRITAGE</v>
      </c>
      <c r="O1447" s="2" t="s">
        <v>3185</v>
      </c>
      <c r="P1447" s="9" t="str">
        <f>VLOOKUP($O1447,'Liste des Villes'!$B$2:$B$1128,1,FALSE)</f>
        <v>Saint-Jérôme</v>
      </c>
      <c r="Q1447" s="9" t="str">
        <f>IFERROR($P1447,PROPER(VLOOKUP($O1447,'Villes en erreur'!$A$2:$B$72,2,FALSE)))</f>
        <v>Saint-Jérôme</v>
      </c>
      <c r="R1447" s="9" t="s">
        <v>3186</v>
      </c>
      <c r="S1447" s="9" t="str">
        <f>IF(ISBLANK($R1447),"",VLOOKUP($R1447,'Liste des Villes'!$B$2:$H$1128,4,FALSE))</f>
        <v>Laurentides</v>
      </c>
      <c r="T1447" s="2" t="s">
        <v>3187</v>
      </c>
      <c r="U1447" s="2" t="s">
        <v>39</v>
      </c>
      <c r="V1447" s="2" t="s">
        <v>40</v>
      </c>
      <c r="W1447" s="2" t="s">
        <v>7236</v>
      </c>
      <c r="X1447" s="2"/>
      <c r="Y1447" s="2"/>
      <c r="Z1447" s="2"/>
      <c r="AA1447" s="2" t="s">
        <v>3225</v>
      </c>
      <c r="AB1447" s="2" t="s">
        <v>53</v>
      </c>
      <c r="AC1447" s="4" t="s">
        <v>44</v>
      </c>
    </row>
    <row r="1448" spans="1:29" x14ac:dyDescent="0.25">
      <c r="A1448" s="1">
        <v>2270</v>
      </c>
      <c r="B1448" s="17" t="s">
        <v>7237</v>
      </c>
      <c r="C1448" s="2" t="s">
        <v>5374</v>
      </c>
      <c r="D1448" s="15" t="s">
        <v>260</v>
      </c>
      <c r="E1448" s="9" t="s">
        <v>253</v>
      </c>
      <c r="F1448" s="9" t="s">
        <v>5757</v>
      </c>
      <c r="G1448" s="9" t="s">
        <v>6489</v>
      </c>
      <c r="H1448" s="2" t="s">
        <v>60</v>
      </c>
      <c r="I1448" s="3">
        <v>35587</v>
      </c>
      <c r="J1448" s="9" t="str">
        <f t="shared" ca="1" si="24"/>
        <v>26 ans</v>
      </c>
      <c r="K1448" s="2" t="s">
        <v>36</v>
      </c>
      <c r="L1448" s="2" t="str">
        <f>"127"</f>
        <v>127</v>
      </c>
      <c r="M1448" s="2"/>
      <c r="N1448" s="2" t="str">
        <f>"D'AUTEUIL BLVD"</f>
        <v>D'AUTEUIL BLVD</v>
      </c>
      <c r="O1448" s="2" t="s">
        <v>3185</v>
      </c>
      <c r="P1448" s="9" t="str">
        <f>VLOOKUP($O1448,'Liste des Villes'!$B$2:$B$1128,1,FALSE)</f>
        <v>Saint-Jérôme</v>
      </c>
      <c r="Q1448" s="9" t="str">
        <f>IFERROR($P1448,PROPER(VLOOKUP($O1448,'Villes en erreur'!$A$2:$B$72,2,FALSE)))</f>
        <v>Saint-Jérôme</v>
      </c>
      <c r="R1448" s="9" t="s">
        <v>3186</v>
      </c>
      <c r="S1448" s="9" t="str">
        <f>IF(ISBLANK($R1448),"",VLOOKUP($R1448,'Liste des Villes'!$B$2:$H$1128,4,FALSE))</f>
        <v>Laurentides</v>
      </c>
      <c r="T1448" s="2" t="s">
        <v>3576</v>
      </c>
      <c r="U1448" s="2" t="s">
        <v>39</v>
      </c>
      <c r="V1448" s="2" t="s">
        <v>40</v>
      </c>
      <c r="W1448" s="2" t="s">
        <v>7238</v>
      </c>
      <c r="X1448" s="2"/>
      <c r="Y1448" s="2"/>
      <c r="Z1448" s="2"/>
      <c r="AA1448" s="2" t="s">
        <v>3243</v>
      </c>
      <c r="AB1448" s="2" t="s">
        <v>3221</v>
      </c>
      <c r="AC1448" s="4" t="s">
        <v>44</v>
      </c>
    </row>
    <row r="1449" spans="1:29" x14ac:dyDescent="0.25">
      <c r="A1449" s="1">
        <v>213</v>
      </c>
      <c r="B1449" s="17" t="s">
        <v>7239</v>
      </c>
      <c r="C1449" s="2" t="s">
        <v>7240</v>
      </c>
      <c r="D1449" s="15" t="s">
        <v>7241</v>
      </c>
      <c r="E1449" s="9" t="s">
        <v>1853</v>
      </c>
      <c r="F1449" s="9" t="s">
        <v>982</v>
      </c>
      <c r="G1449" s="9" t="s">
        <v>2796</v>
      </c>
      <c r="H1449" s="2" t="s">
        <v>35</v>
      </c>
      <c r="I1449" s="3">
        <v>35253</v>
      </c>
      <c r="J1449" s="9" t="str">
        <f t="shared" ca="1" si="24"/>
        <v>27 ans</v>
      </c>
      <c r="K1449" s="2" t="s">
        <v>36</v>
      </c>
      <c r="L1449" s="2" t="str">
        <f>"106"</f>
        <v>106</v>
      </c>
      <c r="M1449" s="2"/>
      <c r="N1449" s="2" t="str">
        <f>"CHEMIN D'AIGREMONT"</f>
        <v>CHEMIN D'AIGREMONT</v>
      </c>
      <c r="O1449" s="2" t="s">
        <v>3185</v>
      </c>
      <c r="P1449" s="9" t="str">
        <f>VLOOKUP($O1449,'Liste des Villes'!$B$2:$B$1128,1,FALSE)</f>
        <v>Saint-Jérôme</v>
      </c>
      <c r="Q1449" s="9" t="str">
        <f>IFERROR($P1449,PROPER(VLOOKUP($O1449,'Villes en erreur'!$A$2:$B$72,2,FALSE)))</f>
        <v>Saint-Jérôme</v>
      </c>
      <c r="R1449" s="9" t="s">
        <v>3186</v>
      </c>
      <c r="S1449" s="9" t="str">
        <f>IF(ISBLANK($R1449),"",VLOOKUP($R1449,'Liste des Villes'!$B$2:$H$1128,4,FALSE))</f>
        <v>Laurentides</v>
      </c>
      <c r="T1449" s="2" t="s">
        <v>3187</v>
      </c>
      <c r="U1449" s="2" t="s">
        <v>39</v>
      </c>
      <c r="V1449" s="2" t="s">
        <v>40</v>
      </c>
      <c r="W1449" s="2" t="s">
        <v>7242</v>
      </c>
      <c r="X1449" s="2"/>
      <c r="Y1449" s="2"/>
      <c r="Z1449" s="2"/>
      <c r="AA1449" s="2" t="s">
        <v>3189</v>
      </c>
      <c r="AB1449" s="2" t="s">
        <v>3190</v>
      </c>
      <c r="AC1449" s="4" t="s">
        <v>44</v>
      </c>
    </row>
    <row r="1450" spans="1:29" x14ac:dyDescent="0.25">
      <c r="A1450" s="1">
        <v>2016</v>
      </c>
      <c r="B1450" s="17" t="s">
        <v>7243</v>
      </c>
      <c r="C1450" s="2" t="s">
        <v>7244</v>
      </c>
      <c r="D1450" s="15" t="s">
        <v>4142</v>
      </c>
      <c r="E1450" s="9" t="s">
        <v>4068</v>
      </c>
      <c r="F1450" s="9" t="s">
        <v>7245</v>
      </c>
      <c r="G1450" s="9" t="s">
        <v>495</v>
      </c>
      <c r="H1450" s="2" t="s">
        <v>35</v>
      </c>
      <c r="I1450" s="3">
        <v>34656</v>
      </c>
      <c r="J1450" s="9" t="str">
        <f t="shared" ca="1" si="24"/>
        <v>28 ans</v>
      </c>
      <c r="K1450" s="2" t="s">
        <v>36</v>
      </c>
      <c r="L1450" s="2" t="str">
        <f>"69"</f>
        <v>69</v>
      </c>
      <c r="M1450" s="2"/>
      <c r="N1450" s="2" t="str">
        <f>"CH DE LA QUÉBÉCOISE"</f>
        <v>CH DE LA QUÉBÉCOISE</v>
      </c>
      <c r="O1450" s="2" t="s">
        <v>3185</v>
      </c>
      <c r="P1450" s="9" t="str">
        <f>VLOOKUP($O1450,'Liste des Villes'!$B$2:$B$1128,1,FALSE)</f>
        <v>Saint-Jérôme</v>
      </c>
      <c r="Q1450" s="9" t="str">
        <f>IFERROR($P1450,PROPER(VLOOKUP($O1450,'Villes en erreur'!$A$2:$B$72,2,FALSE)))</f>
        <v>Saint-Jérôme</v>
      </c>
      <c r="R1450" s="9" t="s">
        <v>3186</v>
      </c>
      <c r="S1450" s="9" t="str">
        <f>IF(ISBLANK($R1450),"",VLOOKUP($R1450,'Liste des Villes'!$B$2:$H$1128,4,FALSE))</f>
        <v>Laurentides</v>
      </c>
      <c r="T1450" s="2" t="s">
        <v>3223</v>
      </c>
      <c r="U1450" s="2" t="s">
        <v>39</v>
      </c>
      <c r="V1450" s="2" t="s">
        <v>40</v>
      </c>
      <c r="W1450" s="2" t="s">
        <v>7246</v>
      </c>
      <c r="X1450" s="2"/>
      <c r="Y1450" s="2"/>
      <c r="Z1450" s="2"/>
      <c r="AA1450" s="2" t="s">
        <v>3225</v>
      </c>
      <c r="AB1450" s="2" t="s">
        <v>53</v>
      </c>
      <c r="AC1450" s="4" t="s">
        <v>44</v>
      </c>
    </row>
    <row r="1451" spans="1:29" x14ac:dyDescent="0.25">
      <c r="A1451" s="1">
        <v>287</v>
      </c>
      <c r="B1451" s="17" t="s">
        <v>7247</v>
      </c>
      <c r="C1451" s="2" t="s">
        <v>4701</v>
      </c>
      <c r="D1451" s="15" t="s">
        <v>363</v>
      </c>
      <c r="E1451" s="9" t="s">
        <v>3695</v>
      </c>
      <c r="F1451" s="9" t="s">
        <v>1048</v>
      </c>
      <c r="G1451" s="9" t="s">
        <v>209</v>
      </c>
      <c r="H1451" s="2" t="s">
        <v>60</v>
      </c>
      <c r="I1451" s="3">
        <v>34226</v>
      </c>
      <c r="J1451" s="9" t="str">
        <f t="shared" ca="1" si="24"/>
        <v>29 ans</v>
      </c>
      <c r="K1451" s="2" t="s">
        <v>36</v>
      </c>
      <c r="L1451" s="2" t="str">
        <f>"49"</f>
        <v>49</v>
      </c>
      <c r="M1451" s="2"/>
      <c r="N1451" s="2" t="str">
        <f>"BOULEVARD DES LAURENTIDES"</f>
        <v>BOULEVARD DES LAURENTIDES</v>
      </c>
      <c r="O1451" s="2" t="s">
        <v>3185</v>
      </c>
      <c r="P1451" s="9" t="str">
        <f>VLOOKUP($O1451,'Liste des Villes'!$B$2:$B$1128,1,FALSE)</f>
        <v>Saint-Jérôme</v>
      </c>
      <c r="Q1451" s="9" t="str">
        <f>IFERROR($P1451,PROPER(VLOOKUP($O1451,'Villes en erreur'!$A$2:$B$72,2,FALSE)))</f>
        <v>Saint-Jérôme</v>
      </c>
      <c r="R1451" s="9" t="s">
        <v>3186</v>
      </c>
      <c r="S1451" s="9" t="str">
        <f>IF(ISBLANK($R1451),"",VLOOKUP($R1451,'Liste des Villes'!$B$2:$H$1128,4,FALSE))</f>
        <v>Laurentides</v>
      </c>
      <c r="T1451" s="2" t="s">
        <v>3520</v>
      </c>
      <c r="U1451" s="2" t="s">
        <v>39</v>
      </c>
      <c r="V1451" s="2" t="s">
        <v>40</v>
      </c>
      <c r="W1451" s="2" t="s">
        <v>7248</v>
      </c>
      <c r="X1451" s="2"/>
      <c r="Y1451" s="2"/>
      <c r="Z1451" s="2"/>
      <c r="AA1451" s="2" t="s">
        <v>3360</v>
      </c>
      <c r="AB1451" s="2" t="s">
        <v>53</v>
      </c>
      <c r="AC1451" s="4" t="s">
        <v>44</v>
      </c>
    </row>
    <row r="1452" spans="1:29" x14ac:dyDescent="0.25">
      <c r="A1452" s="1">
        <v>138</v>
      </c>
      <c r="B1452" s="17" t="s">
        <v>7249</v>
      </c>
      <c r="C1452" s="2" t="s">
        <v>5552</v>
      </c>
      <c r="D1452" s="15" t="s">
        <v>2898</v>
      </c>
      <c r="E1452" s="9" t="s">
        <v>704</v>
      </c>
      <c r="F1452" s="9" t="s">
        <v>6350</v>
      </c>
      <c r="G1452" s="9" t="s">
        <v>2978</v>
      </c>
      <c r="H1452" s="2" t="s">
        <v>60</v>
      </c>
      <c r="I1452" s="3">
        <v>35664</v>
      </c>
      <c r="J1452" s="9" t="str">
        <f t="shared" ca="1" si="24"/>
        <v>26 ans</v>
      </c>
      <c r="K1452" s="2" t="s">
        <v>36</v>
      </c>
      <c r="L1452" s="2" t="str">
        <f>"132"</f>
        <v>132</v>
      </c>
      <c r="M1452" s="2"/>
      <c r="N1452" s="2" t="str">
        <f>"DE SOREL"</f>
        <v>DE SOREL</v>
      </c>
      <c r="O1452" s="2" t="s">
        <v>3185</v>
      </c>
      <c r="P1452" s="9" t="str">
        <f>VLOOKUP($O1452,'Liste des Villes'!$B$2:$B$1128,1,FALSE)</f>
        <v>Saint-Jérôme</v>
      </c>
      <c r="Q1452" s="9" t="str">
        <f>IFERROR($P1452,PROPER(VLOOKUP($O1452,'Villes en erreur'!$A$2:$B$72,2,FALSE)))</f>
        <v>Saint-Jérôme</v>
      </c>
      <c r="R1452" s="9" t="s">
        <v>3186</v>
      </c>
      <c r="S1452" s="9" t="str">
        <f>IF(ISBLANK($R1452),"",VLOOKUP($R1452,'Liste des Villes'!$B$2:$H$1128,4,FALSE))</f>
        <v>Laurentides</v>
      </c>
      <c r="T1452" s="2" t="s">
        <v>3382</v>
      </c>
      <c r="U1452" s="2" t="s">
        <v>39</v>
      </c>
      <c r="V1452" s="2" t="s">
        <v>40</v>
      </c>
      <c r="W1452" s="2" t="s">
        <v>7250</v>
      </c>
      <c r="X1452" s="2"/>
      <c r="Y1452" s="2"/>
      <c r="Z1452" s="2"/>
      <c r="AA1452" s="2" t="s">
        <v>3243</v>
      </c>
      <c r="AB1452" s="2" t="s">
        <v>3221</v>
      </c>
      <c r="AC1452" s="4" t="s">
        <v>44</v>
      </c>
    </row>
    <row r="1453" spans="1:29" x14ac:dyDescent="0.25">
      <c r="A1453" s="1">
        <v>4090</v>
      </c>
      <c r="B1453" s="17" t="s">
        <v>7251</v>
      </c>
      <c r="C1453" s="2" t="s">
        <v>7252</v>
      </c>
      <c r="D1453" s="15" t="s">
        <v>7253</v>
      </c>
      <c r="E1453" s="9" t="s">
        <v>7254</v>
      </c>
      <c r="F1453" s="9" t="s">
        <v>7255</v>
      </c>
      <c r="G1453" s="9" t="s">
        <v>2086</v>
      </c>
      <c r="H1453" s="2" t="s">
        <v>60</v>
      </c>
      <c r="I1453" s="3">
        <v>36017</v>
      </c>
      <c r="J1453" s="9" t="str">
        <f t="shared" ca="1" si="24"/>
        <v>25 ans</v>
      </c>
      <c r="K1453" s="2" t="s">
        <v>123</v>
      </c>
      <c r="L1453" s="2" t="str">
        <f>"181"</f>
        <v>181</v>
      </c>
      <c r="M1453" s="2"/>
      <c r="N1453" s="2" t="str">
        <f>"PLACE DU GOLF-DE-MONT-GABRIEL"</f>
        <v>PLACE DU GOLF-DE-MONT-GABRIEL</v>
      </c>
      <c r="O1453" s="2" t="s">
        <v>3185</v>
      </c>
      <c r="P1453" s="9" t="str">
        <f>VLOOKUP($O1453,'Liste des Villes'!$B$2:$B$1128,1,FALSE)</f>
        <v>Saint-Jérôme</v>
      </c>
      <c r="Q1453" s="9" t="str">
        <f>IFERROR($P1453,PROPER(VLOOKUP($O1453,'Villes en erreur'!$A$2:$B$72,2,FALSE)))</f>
        <v>Saint-Jérôme</v>
      </c>
      <c r="R1453" s="9" t="s">
        <v>3186</v>
      </c>
      <c r="S1453" s="9" t="str">
        <f>IF(ISBLANK($R1453),"",VLOOKUP($R1453,'Liste des Villes'!$B$2:$H$1128,4,FALSE))</f>
        <v>Laurentides</v>
      </c>
      <c r="T1453" s="2" t="s">
        <v>3279</v>
      </c>
      <c r="U1453" s="2" t="s">
        <v>39</v>
      </c>
      <c r="V1453" s="2" t="s">
        <v>40</v>
      </c>
      <c r="W1453" s="2" t="s">
        <v>7256</v>
      </c>
      <c r="X1453" s="2"/>
      <c r="Y1453" s="2"/>
      <c r="Z1453" s="2"/>
      <c r="AA1453" s="2" t="s">
        <v>832</v>
      </c>
      <c r="AB1453" s="2" t="s">
        <v>3221</v>
      </c>
      <c r="AC1453" s="4" t="s">
        <v>44</v>
      </c>
    </row>
    <row r="1454" spans="1:29" x14ac:dyDescent="0.25">
      <c r="A1454" s="1">
        <v>742</v>
      </c>
      <c r="B1454" s="17" t="s">
        <v>7257</v>
      </c>
      <c r="C1454" s="2" t="s">
        <v>4674</v>
      </c>
      <c r="D1454" s="15" t="s">
        <v>488</v>
      </c>
      <c r="E1454" s="9" t="s">
        <v>4675</v>
      </c>
      <c r="F1454" s="9" t="s">
        <v>3326</v>
      </c>
      <c r="G1454" s="9" t="s">
        <v>1024</v>
      </c>
      <c r="H1454" s="2" t="s">
        <v>35</v>
      </c>
      <c r="I1454" s="3">
        <v>36170</v>
      </c>
      <c r="J1454" s="9" t="str">
        <f t="shared" ca="1" si="24"/>
        <v>24 ans</v>
      </c>
      <c r="K1454" s="2" t="s">
        <v>123</v>
      </c>
      <c r="L1454" s="2" t="str">
        <f>"232"</f>
        <v>232</v>
      </c>
      <c r="M1454" s="2"/>
      <c r="N1454" s="2" t="str">
        <f>"RUE ANDRÉ-GIDE"</f>
        <v>RUE ANDRÉ-GIDE</v>
      </c>
      <c r="O1454" s="2" t="s">
        <v>3185</v>
      </c>
      <c r="P1454" s="9" t="str">
        <f>VLOOKUP($O1454,'Liste des Villes'!$B$2:$B$1128,1,FALSE)</f>
        <v>Saint-Jérôme</v>
      </c>
      <c r="Q1454" s="9" t="str">
        <f>IFERROR($P1454,PROPER(VLOOKUP($O1454,'Villes en erreur'!$A$2:$B$72,2,FALSE)))</f>
        <v>Saint-Jérôme</v>
      </c>
      <c r="R1454" s="9" t="s">
        <v>3186</v>
      </c>
      <c r="S1454" s="9" t="str">
        <f>IF(ISBLANK($R1454),"",VLOOKUP($R1454,'Liste des Villes'!$B$2:$H$1128,4,FALSE))</f>
        <v>Laurentides</v>
      </c>
      <c r="T1454" s="2" t="s">
        <v>4558</v>
      </c>
      <c r="U1454" s="2" t="s">
        <v>39</v>
      </c>
      <c r="V1454" s="2" t="s">
        <v>40</v>
      </c>
      <c r="W1454" s="2" t="s">
        <v>7258</v>
      </c>
      <c r="X1454" s="2"/>
      <c r="Y1454" s="2"/>
      <c r="Z1454" s="2"/>
      <c r="AA1454" s="2" t="s">
        <v>832</v>
      </c>
      <c r="AB1454" s="2" t="s">
        <v>3221</v>
      </c>
      <c r="AC1454" s="4" t="s">
        <v>44</v>
      </c>
    </row>
    <row r="1455" spans="1:29" x14ac:dyDescent="0.25">
      <c r="A1455" s="1">
        <v>3398</v>
      </c>
      <c r="B1455" s="17" t="s">
        <v>7259</v>
      </c>
      <c r="C1455" s="2" t="s">
        <v>7260</v>
      </c>
      <c r="D1455" s="15" t="s">
        <v>1167</v>
      </c>
      <c r="E1455" s="9" t="s">
        <v>5931</v>
      </c>
      <c r="F1455" s="9" t="s">
        <v>1169</v>
      </c>
      <c r="G1455" s="9" t="s">
        <v>495</v>
      </c>
      <c r="H1455" s="2" t="s">
        <v>35</v>
      </c>
      <c r="I1455" s="3">
        <v>34609</v>
      </c>
      <c r="J1455" s="9" t="str">
        <f t="shared" ca="1" si="24"/>
        <v>28 ans</v>
      </c>
      <c r="K1455" s="2" t="s">
        <v>36</v>
      </c>
      <c r="L1455" s="2" t="str">
        <f>"67"</f>
        <v>67</v>
      </c>
      <c r="M1455" s="2"/>
      <c r="N1455" s="2" t="str">
        <f>"CH DE LA MONTAGNE"</f>
        <v>CH DE LA MONTAGNE</v>
      </c>
      <c r="O1455" s="2" t="s">
        <v>3186</v>
      </c>
      <c r="P1455" s="9" t="str">
        <f>VLOOKUP($O1455,'Liste des Villes'!$B$2:$B$1128,1,FALSE)</f>
        <v>Saint-Jérôme</v>
      </c>
      <c r="Q1455" s="9" t="str">
        <f>IFERROR($P1455,PROPER(VLOOKUP($O1455,'Villes en erreur'!$A$2:$B$72,2,FALSE)))</f>
        <v>Saint-Jérôme</v>
      </c>
      <c r="R1455" s="9" t="s">
        <v>3186</v>
      </c>
      <c r="S1455" s="9" t="str">
        <f>IF(ISBLANK($R1455),"",VLOOKUP($R1455,'Liste des Villes'!$B$2:$H$1128,4,FALSE))</f>
        <v>Laurentides</v>
      </c>
      <c r="T1455" s="2" t="s">
        <v>3223</v>
      </c>
      <c r="U1455" s="2" t="s">
        <v>39</v>
      </c>
      <c r="V1455" s="2" t="s">
        <v>40</v>
      </c>
      <c r="W1455" s="2" t="s">
        <v>7261</v>
      </c>
      <c r="X1455" s="2"/>
      <c r="Y1455" s="2"/>
      <c r="Z1455" s="2"/>
      <c r="AA1455" s="2" t="s">
        <v>3225</v>
      </c>
      <c r="AB1455" s="2" t="s">
        <v>53</v>
      </c>
      <c r="AC1455" s="4" t="s">
        <v>44</v>
      </c>
    </row>
    <row r="1456" spans="1:29" x14ac:dyDescent="0.25">
      <c r="A1456" s="1">
        <v>2636</v>
      </c>
      <c r="B1456" s="17" t="s">
        <v>7262</v>
      </c>
      <c r="C1456" s="2" t="s">
        <v>3900</v>
      </c>
      <c r="D1456" s="15" t="s">
        <v>1489</v>
      </c>
      <c r="E1456" s="9" t="s">
        <v>3531</v>
      </c>
      <c r="F1456" s="9" t="s">
        <v>1175</v>
      </c>
      <c r="G1456" s="9" t="s">
        <v>495</v>
      </c>
      <c r="H1456" s="2" t="s">
        <v>35</v>
      </c>
      <c r="I1456" s="3">
        <v>34532</v>
      </c>
      <c r="J1456" s="9" t="str">
        <f t="shared" ca="1" si="24"/>
        <v>29 ans</v>
      </c>
      <c r="K1456" s="2" t="s">
        <v>36</v>
      </c>
      <c r="L1456" s="2" t="str">
        <f>"65"</f>
        <v>65</v>
      </c>
      <c r="M1456" s="2"/>
      <c r="N1456" s="2" t="str">
        <f>"CH DE LA CARRIÈRE"</f>
        <v>CH DE LA CARRIÈRE</v>
      </c>
      <c r="O1456" s="2" t="s">
        <v>3185</v>
      </c>
      <c r="P1456" s="9" t="str">
        <f>VLOOKUP($O1456,'Liste des Villes'!$B$2:$B$1128,1,FALSE)</f>
        <v>Saint-Jérôme</v>
      </c>
      <c r="Q1456" s="9" t="str">
        <f>IFERROR($P1456,PROPER(VLOOKUP($O1456,'Villes en erreur'!$A$2:$B$72,2,FALSE)))</f>
        <v>Saint-Jérôme</v>
      </c>
      <c r="R1456" s="9" t="s">
        <v>3186</v>
      </c>
      <c r="S1456" s="9" t="str">
        <f>IF(ISBLANK($R1456),"",VLOOKUP($R1456,'Liste des Villes'!$B$2:$H$1128,4,FALSE))</f>
        <v>Laurentides</v>
      </c>
      <c r="T1456" s="2" t="s">
        <v>3954</v>
      </c>
      <c r="U1456" s="2" t="s">
        <v>39</v>
      </c>
      <c r="V1456" s="2" t="s">
        <v>40</v>
      </c>
      <c r="W1456" s="2" t="s">
        <v>7263</v>
      </c>
      <c r="X1456" s="2"/>
      <c r="Y1456" s="2"/>
      <c r="Z1456" s="2"/>
      <c r="AA1456" s="2" t="s">
        <v>3225</v>
      </c>
      <c r="AB1456" s="2" t="s">
        <v>53</v>
      </c>
      <c r="AC1456" s="4" t="s">
        <v>44</v>
      </c>
    </row>
    <row r="1457" spans="1:29" x14ac:dyDescent="0.25">
      <c r="A1457" s="1">
        <v>3832</v>
      </c>
      <c r="B1457" s="17" t="s">
        <v>7264</v>
      </c>
      <c r="C1457" s="2" t="s">
        <v>7265</v>
      </c>
      <c r="D1457" s="15" t="s">
        <v>1061</v>
      </c>
      <c r="E1457" s="9" t="s">
        <v>1560</v>
      </c>
      <c r="F1457" s="9" t="s">
        <v>7266</v>
      </c>
      <c r="G1457" s="9" t="s">
        <v>4106</v>
      </c>
      <c r="H1457" s="2" t="s">
        <v>35</v>
      </c>
      <c r="I1457" s="3">
        <v>36032</v>
      </c>
      <c r="J1457" s="9" t="str">
        <f t="shared" ca="1" si="24"/>
        <v>24 ans</v>
      </c>
      <c r="K1457" s="2" t="s">
        <v>123</v>
      </c>
      <c r="L1457" s="2" t="str">
        <f>"185"</f>
        <v>185</v>
      </c>
      <c r="M1457" s="2"/>
      <c r="N1457" s="2" t="str">
        <f>"PLACE MARIE-HÉLÈNE"</f>
        <v>PLACE MARIE-HÉLÈNE</v>
      </c>
      <c r="O1457" s="2" t="s">
        <v>3185</v>
      </c>
      <c r="P1457" s="9" t="str">
        <f>VLOOKUP($O1457,'Liste des Villes'!$B$2:$B$1128,1,FALSE)</f>
        <v>Saint-Jérôme</v>
      </c>
      <c r="Q1457" s="9" t="str">
        <f>IFERROR($P1457,PROPER(VLOOKUP($O1457,'Villes en erreur'!$A$2:$B$72,2,FALSE)))</f>
        <v>Saint-Jérôme</v>
      </c>
      <c r="R1457" s="9" t="s">
        <v>3186</v>
      </c>
      <c r="S1457" s="9" t="str">
        <f>IF(ISBLANK($R1457),"",VLOOKUP($R1457,'Liste des Villes'!$B$2:$H$1128,4,FALSE))</f>
        <v>Laurentides</v>
      </c>
      <c r="T1457" s="2" t="s">
        <v>4107</v>
      </c>
      <c r="U1457" s="2" t="s">
        <v>39</v>
      </c>
      <c r="V1457" s="2" t="s">
        <v>40</v>
      </c>
      <c r="W1457" s="2" t="s">
        <v>7267</v>
      </c>
      <c r="X1457" s="2"/>
      <c r="Y1457" s="2"/>
      <c r="Z1457" s="2"/>
      <c r="AA1457" s="2" t="s">
        <v>832</v>
      </c>
      <c r="AB1457" s="2" t="s">
        <v>3221</v>
      </c>
      <c r="AC1457" s="4" t="s">
        <v>44</v>
      </c>
    </row>
    <row r="1458" spans="1:29" x14ac:dyDescent="0.25">
      <c r="A1458" s="1">
        <v>4219</v>
      </c>
      <c r="B1458" s="17" t="s">
        <v>7268</v>
      </c>
      <c r="C1458" s="2" t="s">
        <v>7269</v>
      </c>
      <c r="D1458" s="15" t="s">
        <v>7270</v>
      </c>
      <c r="E1458" s="9" t="s">
        <v>354</v>
      </c>
      <c r="F1458" s="9" t="s">
        <v>1536</v>
      </c>
      <c r="G1458" s="9" t="s">
        <v>3668</v>
      </c>
      <c r="H1458" s="2" t="s">
        <v>60</v>
      </c>
      <c r="I1458" s="3">
        <v>36223</v>
      </c>
      <c r="J1458" s="9" t="str">
        <f t="shared" ca="1" si="24"/>
        <v>24 ans</v>
      </c>
      <c r="K1458" s="2" t="s">
        <v>123</v>
      </c>
      <c r="L1458" s="2" t="str">
        <f>"255"</f>
        <v>255</v>
      </c>
      <c r="M1458" s="2"/>
      <c r="N1458" s="2" t="str">
        <f>"RUE BEAUPRÉ"</f>
        <v>RUE BEAUPRÉ</v>
      </c>
      <c r="O1458" s="2" t="s">
        <v>3185</v>
      </c>
      <c r="P1458" s="9" t="str">
        <f>VLOOKUP($O1458,'Liste des Villes'!$B$2:$B$1128,1,FALSE)</f>
        <v>Saint-Jérôme</v>
      </c>
      <c r="Q1458" s="9" t="str">
        <f>IFERROR($P1458,PROPER(VLOOKUP($O1458,'Villes en erreur'!$A$2:$B$72,2,FALSE)))</f>
        <v>Saint-Jérôme</v>
      </c>
      <c r="R1458" s="9" t="s">
        <v>3186</v>
      </c>
      <c r="S1458" s="9" t="str">
        <f>IF(ISBLANK($R1458),"",VLOOKUP($R1458,'Liste des Villes'!$B$2:$H$1128,4,FALSE))</f>
        <v>Laurentides</v>
      </c>
      <c r="T1458" s="2" t="s">
        <v>6584</v>
      </c>
      <c r="U1458" s="2" t="s">
        <v>39</v>
      </c>
      <c r="V1458" s="2" t="s">
        <v>40</v>
      </c>
      <c r="W1458" s="2" t="s">
        <v>7271</v>
      </c>
      <c r="X1458" s="2"/>
      <c r="Y1458" s="2"/>
      <c r="Z1458" s="2"/>
      <c r="AA1458" s="2" t="s">
        <v>832</v>
      </c>
      <c r="AB1458" s="2" t="s">
        <v>3288</v>
      </c>
      <c r="AC1458" s="4" t="s">
        <v>44</v>
      </c>
    </row>
    <row r="1459" spans="1:29" x14ac:dyDescent="0.25">
      <c r="A1459" s="1">
        <v>699</v>
      </c>
      <c r="B1459" s="17" t="s">
        <v>7272</v>
      </c>
      <c r="C1459" s="2" t="s">
        <v>105</v>
      </c>
      <c r="D1459" s="15" t="s">
        <v>106</v>
      </c>
      <c r="E1459" s="9" t="s">
        <v>107</v>
      </c>
      <c r="F1459" s="9" t="s">
        <v>7273</v>
      </c>
      <c r="G1459" s="9" t="s">
        <v>1560</v>
      </c>
      <c r="H1459" s="2" t="s">
        <v>35</v>
      </c>
      <c r="I1459" s="3">
        <v>35641</v>
      </c>
      <c r="J1459" s="9" t="str">
        <f t="shared" ca="1" si="24"/>
        <v>26 ans</v>
      </c>
      <c r="K1459" s="2" t="s">
        <v>36</v>
      </c>
      <c r="L1459" s="2" t="str">
        <f>"130"</f>
        <v>130</v>
      </c>
      <c r="M1459" s="2"/>
      <c r="N1459" s="2" t="str">
        <f>"DE L'ÉPERVIER"</f>
        <v>DE L'ÉPERVIER</v>
      </c>
      <c r="O1459" s="2" t="s">
        <v>3185</v>
      </c>
      <c r="P1459" s="9" t="str">
        <f>VLOOKUP($O1459,'Liste des Villes'!$B$2:$B$1128,1,FALSE)</f>
        <v>Saint-Jérôme</v>
      </c>
      <c r="Q1459" s="9" t="str">
        <f>IFERROR($P1459,PROPER(VLOOKUP($O1459,'Villes en erreur'!$A$2:$B$72,2,FALSE)))</f>
        <v>Saint-Jérôme</v>
      </c>
      <c r="R1459" s="9" t="s">
        <v>3186</v>
      </c>
      <c r="S1459" s="9" t="str">
        <f>IF(ISBLANK($R1459),"",VLOOKUP($R1459,'Liste des Villes'!$B$2:$H$1128,4,FALSE))</f>
        <v>Laurentides</v>
      </c>
      <c r="T1459" s="2" t="s">
        <v>7206</v>
      </c>
      <c r="U1459" s="2" t="s">
        <v>39</v>
      </c>
      <c r="V1459" s="2" t="s">
        <v>40</v>
      </c>
      <c r="W1459" s="2" t="s">
        <v>7274</v>
      </c>
      <c r="X1459" s="2"/>
      <c r="Y1459" s="2"/>
      <c r="Z1459" s="2"/>
      <c r="AA1459" s="2" t="s">
        <v>3243</v>
      </c>
      <c r="AB1459" s="2" t="s">
        <v>3221</v>
      </c>
      <c r="AC1459" s="4" t="s">
        <v>44</v>
      </c>
    </row>
    <row r="1460" spans="1:29" x14ac:dyDescent="0.25">
      <c r="A1460" s="1">
        <v>1489</v>
      </c>
      <c r="B1460" s="17" t="s">
        <v>7275</v>
      </c>
      <c r="C1460" s="2" t="s">
        <v>6633</v>
      </c>
      <c r="D1460" s="15" t="s">
        <v>6634</v>
      </c>
      <c r="E1460" s="9" t="s">
        <v>775</v>
      </c>
      <c r="F1460" s="9" t="s">
        <v>3765</v>
      </c>
      <c r="G1460" s="9" t="s">
        <v>4088</v>
      </c>
      <c r="H1460" s="2" t="s">
        <v>60</v>
      </c>
      <c r="I1460" s="3">
        <v>35118</v>
      </c>
      <c r="J1460" s="9" t="str">
        <f t="shared" ca="1" si="24"/>
        <v>27 ans</v>
      </c>
      <c r="K1460" s="2" t="s">
        <v>36</v>
      </c>
      <c r="L1460" s="2" t="str">
        <f>"101"</f>
        <v>101</v>
      </c>
      <c r="M1460" s="2"/>
      <c r="N1460" s="2" t="str">
        <f>"CH MOREL"</f>
        <v>CH MOREL</v>
      </c>
      <c r="O1460" s="2" t="s">
        <v>3185</v>
      </c>
      <c r="P1460" s="9" t="str">
        <f>VLOOKUP($O1460,'Liste des Villes'!$B$2:$B$1128,1,FALSE)</f>
        <v>Saint-Jérôme</v>
      </c>
      <c r="Q1460" s="9" t="str">
        <f>IFERROR($P1460,PROPER(VLOOKUP($O1460,'Villes en erreur'!$A$2:$B$72,2,FALSE)))</f>
        <v>Saint-Jérôme</v>
      </c>
      <c r="R1460" s="9" t="s">
        <v>3186</v>
      </c>
      <c r="S1460" s="9" t="str">
        <f>IF(ISBLANK($R1460),"",VLOOKUP($R1460,'Liste des Villes'!$B$2:$H$1128,4,FALSE))</f>
        <v>Laurentides</v>
      </c>
      <c r="T1460" s="2" t="s">
        <v>3187</v>
      </c>
      <c r="U1460" s="2" t="s">
        <v>39</v>
      </c>
      <c r="V1460" s="2" t="s">
        <v>40</v>
      </c>
      <c r="W1460" s="2" t="s">
        <v>7276</v>
      </c>
      <c r="X1460" s="2"/>
      <c r="Y1460" s="2"/>
      <c r="Z1460" s="2"/>
      <c r="AA1460" s="2" t="s">
        <v>3189</v>
      </c>
      <c r="AB1460" s="2" t="s">
        <v>3190</v>
      </c>
      <c r="AC1460" s="4" t="s">
        <v>44</v>
      </c>
    </row>
    <row r="1461" spans="1:29" x14ac:dyDescent="0.25">
      <c r="A1461" s="1">
        <v>1788</v>
      </c>
      <c r="B1461" s="17" t="s">
        <v>7277</v>
      </c>
      <c r="C1461" s="2" t="s">
        <v>7278</v>
      </c>
      <c r="D1461" s="15" t="s">
        <v>3760</v>
      </c>
      <c r="E1461" s="9" t="s">
        <v>1560</v>
      </c>
      <c r="F1461" s="9" t="s">
        <v>867</v>
      </c>
      <c r="G1461" s="9" t="s">
        <v>7279</v>
      </c>
      <c r="H1461" s="2" t="s">
        <v>35</v>
      </c>
      <c r="I1461" s="3">
        <v>35863</v>
      </c>
      <c r="J1461" s="9" t="str">
        <f t="shared" ca="1" si="24"/>
        <v>25 ans</v>
      </c>
      <c r="K1461" s="2" t="s">
        <v>123</v>
      </c>
      <c r="L1461" s="2" t="str">
        <f>"151"</f>
        <v>151</v>
      </c>
      <c r="M1461" s="2"/>
      <c r="N1461" s="2" t="str">
        <f>"MAISONNEUVE BLVD"</f>
        <v>MAISONNEUVE BLVD</v>
      </c>
      <c r="O1461" s="2" t="s">
        <v>3185</v>
      </c>
      <c r="P1461" s="9" t="str">
        <f>VLOOKUP($O1461,'Liste des Villes'!$B$2:$B$1128,1,FALSE)</f>
        <v>Saint-Jérôme</v>
      </c>
      <c r="Q1461" s="9" t="str">
        <f>IFERROR($P1461,PROPER(VLOOKUP($O1461,'Villes en erreur'!$A$2:$B$72,2,FALSE)))</f>
        <v>Saint-Jérôme</v>
      </c>
      <c r="R1461" s="9" t="s">
        <v>3186</v>
      </c>
      <c r="S1461" s="9" t="str">
        <f>IF(ISBLANK($R1461),"",VLOOKUP($R1461,'Liste des Villes'!$B$2:$H$1128,4,FALSE))</f>
        <v>Laurentides</v>
      </c>
      <c r="T1461" s="2" t="s">
        <v>6077</v>
      </c>
      <c r="U1461" s="2" t="s">
        <v>39</v>
      </c>
      <c r="V1461" s="2" t="s">
        <v>40</v>
      </c>
      <c r="W1461" s="2" t="s">
        <v>7280</v>
      </c>
      <c r="X1461" s="2"/>
      <c r="Y1461" s="2"/>
      <c r="Z1461" s="2"/>
      <c r="AA1461" s="2" t="s">
        <v>3243</v>
      </c>
      <c r="AB1461" s="2" t="s">
        <v>3221</v>
      </c>
      <c r="AC1461" s="4" t="s">
        <v>44</v>
      </c>
    </row>
    <row r="1462" spans="1:29" x14ac:dyDescent="0.25">
      <c r="A1462" s="1">
        <v>2625</v>
      </c>
      <c r="B1462" s="17" t="s">
        <v>7281</v>
      </c>
      <c r="C1462" s="2" t="s">
        <v>6426</v>
      </c>
      <c r="D1462" s="15" t="s">
        <v>5154</v>
      </c>
      <c r="E1462" s="9" t="s">
        <v>929</v>
      </c>
      <c r="F1462" s="9" t="s">
        <v>2983</v>
      </c>
      <c r="G1462" s="9" t="s">
        <v>3397</v>
      </c>
      <c r="H1462" s="2" t="s">
        <v>60</v>
      </c>
      <c r="I1462" s="3">
        <v>35299</v>
      </c>
      <c r="J1462" s="9" t="str">
        <f t="shared" ca="1" si="24"/>
        <v>27 ans</v>
      </c>
      <c r="K1462" s="2" t="s">
        <v>36</v>
      </c>
      <c r="L1462" s="2" t="str">
        <f>"108"</f>
        <v>108</v>
      </c>
      <c r="M1462" s="2"/>
      <c r="N1462" s="2" t="str">
        <f>"CHEMIN DE VENDÉE"</f>
        <v>CHEMIN DE VENDÉE</v>
      </c>
      <c r="O1462" s="2" t="s">
        <v>3185</v>
      </c>
      <c r="P1462" s="9" t="str">
        <f>VLOOKUP($O1462,'Liste des Villes'!$B$2:$B$1128,1,FALSE)</f>
        <v>Saint-Jérôme</v>
      </c>
      <c r="Q1462" s="9" t="str">
        <f>IFERROR($P1462,PROPER(VLOOKUP($O1462,'Villes en erreur'!$A$2:$B$72,2,FALSE)))</f>
        <v>Saint-Jérôme</v>
      </c>
      <c r="R1462" s="9" t="s">
        <v>3186</v>
      </c>
      <c r="S1462" s="9" t="str">
        <f>IF(ISBLANK($R1462),"",VLOOKUP($R1462,'Liste des Villes'!$B$2:$H$1128,4,FALSE))</f>
        <v>Laurentides</v>
      </c>
      <c r="T1462" s="2" t="s">
        <v>3398</v>
      </c>
      <c r="U1462" s="2" t="s">
        <v>39</v>
      </c>
      <c r="V1462" s="2" t="s">
        <v>40</v>
      </c>
      <c r="W1462" s="2" t="s">
        <v>7282</v>
      </c>
      <c r="X1462" s="2"/>
      <c r="Y1462" s="2"/>
      <c r="Z1462" s="2"/>
      <c r="AA1462" s="2" t="s">
        <v>3189</v>
      </c>
      <c r="AB1462" s="2" t="s">
        <v>3200</v>
      </c>
      <c r="AC1462" s="4" t="s">
        <v>44</v>
      </c>
    </row>
    <row r="1463" spans="1:29" x14ac:dyDescent="0.25">
      <c r="A1463" s="1">
        <v>2214</v>
      </c>
      <c r="B1463" s="17" t="s">
        <v>7283</v>
      </c>
      <c r="C1463" s="2" t="s">
        <v>7284</v>
      </c>
      <c r="D1463" s="15" t="s">
        <v>7285</v>
      </c>
      <c r="E1463" s="9" t="s">
        <v>2217</v>
      </c>
      <c r="F1463" s="9" t="s">
        <v>7286</v>
      </c>
      <c r="G1463" s="9" t="s">
        <v>7287</v>
      </c>
      <c r="H1463" s="2" t="s">
        <v>35</v>
      </c>
      <c r="I1463" s="3">
        <v>35283</v>
      </c>
      <c r="J1463" s="9" t="str">
        <f t="shared" ca="1" si="24"/>
        <v>27 ans</v>
      </c>
      <c r="K1463" s="2" t="s">
        <v>36</v>
      </c>
      <c r="L1463" s="2" t="str">
        <f>"108"</f>
        <v>108</v>
      </c>
      <c r="M1463" s="2"/>
      <c r="N1463" s="2" t="str">
        <f>"CHEMIN DE LA RIVIÈRE-CACHÉE"</f>
        <v>CHEMIN DE LA RIVIÈRE-CACHÉE</v>
      </c>
      <c r="O1463" s="2" t="s">
        <v>3185</v>
      </c>
      <c r="P1463" s="9" t="str">
        <f>VLOOKUP($O1463,'Liste des Villes'!$B$2:$B$1128,1,FALSE)</f>
        <v>Saint-Jérôme</v>
      </c>
      <c r="Q1463" s="9" t="str">
        <f>IFERROR($P1463,PROPER(VLOOKUP($O1463,'Villes en erreur'!$A$2:$B$72,2,FALSE)))</f>
        <v>Saint-Jérôme</v>
      </c>
      <c r="R1463" s="9" t="s">
        <v>3186</v>
      </c>
      <c r="S1463" s="9" t="str">
        <f>IF(ISBLANK($R1463),"",VLOOKUP($R1463,'Liste des Villes'!$B$2:$H$1128,4,FALSE))</f>
        <v>Laurentides</v>
      </c>
      <c r="T1463" s="2" t="s">
        <v>7288</v>
      </c>
      <c r="U1463" s="2" t="s">
        <v>39</v>
      </c>
      <c r="V1463" s="2" t="s">
        <v>40</v>
      </c>
      <c r="W1463" s="2" t="s">
        <v>7289</v>
      </c>
      <c r="X1463" s="2"/>
      <c r="Y1463" s="2"/>
      <c r="Z1463" s="2"/>
      <c r="AA1463" s="2" t="s">
        <v>3189</v>
      </c>
      <c r="AB1463" s="2" t="s">
        <v>3190</v>
      </c>
      <c r="AC1463" s="4" t="s">
        <v>44</v>
      </c>
    </row>
    <row r="1464" spans="1:29" x14ac:dyDescent="0.25">
      <c r="A1464" s="1">
        <v>1689</v>
      </c>
      <c r="B1464" s="17" t="s">
        <v>7290</v>
      </c>
      <c r="C1464" s="2" t="s">
        <v>2000</v>
      </c>
      <c r="D1464" s="15" t="s">
        <v>2001</v>
      </c>
      <c r="E1464" s="9" t="s">
        <v>219</v>
      </c>
      <c r="F1464" s="9" t="s">
        <v>582</v>
      </c>
      <c r="G1464" s="9" t="s">
        <v>7291</v>
      </c>
      <c r="H1464" s="2" t="s">
        <v>60</v>
      </c>
      <c r="I1464" s="3">
        <v>35879</v>
      </c>
      <c r="J1464" s="9" t="str">
        <f t="shared" ca="1" si="24"/>
        <v>25 ans</v>
      </c>
      <c r="K1464" s="2" t="s">
        <v>123</v>
      </c>
      <c r="L1464" s="2" t="str">
        <f>"153"</f>
        <v>153</v>
      </c>
      <c r="M1464" s="2"/>
      <c r="N1464" s="2" t="str">
        <f>"MERCIER"</f>
        <v>MERCIER</v>
      </c>
      <c r="O1464" s="2" t="s">
        <v>3185</v>
      </c>
      <c r="P1464" s="9" t="str">
        <f>VLOOKUP($O1464,'Liste des Villes'!$B$2:$B$1128,1,FALSE)</f>
        <v>Saint-Jérôme</v>
      </c>
      <c r="Q1464" s="9" t="str">
        <f>IFERROR($P1464,PROPER(VLOOKUP($O1464,'Villes en erreur'!$A$2:$B$72,2,FALSE)))</f>
        <v>Saint-Jérôme</v>
      </c>
      <c r="R1464" s="9" t="s">
        <v>3186</v>
      </c>
      <c r="S1464" s="9" t="str">
        <f>IF(ISBLANK($R1464),"",VLOOKUP($R1464,'Liste des Villes'!$B$2:$H$1128,4,FALSE))</f>
        <v>Laurentides</v>
      </c>
      <c r="T1464" s="2" t="s">
        <v>7292</v>
      </c>
      <c r="U1464" s="2" t="s">
        <v>39</v>
      </c>
      <c r="V1464" s="2" t="s">
        <v>40</v>
      </c>
      <c r="W1464" s="2" t="s">
        <v>7293</v>
      </c>
      <c r="X1464" s="2"/>
      <c r="Y1464" s="2"/>
      <c r="Z1464" s="2"/>
      <c r="AA1464" s="2" t="s">
        <v>3243</v>
      </c>
      <c r="AB1464" s="2" t="s">
        <v>3221</v>
      </c>
      <c r="AC1464" s="4" t="s">
        <v>44</v>
      </c>
    </row>
    <row r="1465" spans="1:29" x14ac:dyDescent="0.25">
      <c r="A1465" s="1">
        <v>4350</v>
      </c>
      <c r="B1465" s="17" t="s">
        <v>7294</v>
      </c>
      <c r="C1465" s="2" t="s">
        <v>2954</v>
      </c>
      <c r="D1465" s="15" t="s">
        <v>2724</v>
      </c>
      <c r="E1465" s="9" t="s">
        <v>341</v>
      </c>
      <c r="F1465" s="9" t="s">
        <v>7295</v>
      </c>
      <c r="G1465" s="9" t="s">
        <v>1978</v>
      </c>
      <c r="H1465" s="2" t="s">
        <v>60</v>
      </c>
      <c r="I1465" s="3">
        <v>35944</v>
      </c>
      <c r="J1465" s="9" t="str">
        <f t="shared" ca="1" si="24"/>
        <v>25 ans</v>
      </c>
      <c r="K1465" s="2" t="s">
        <v>123</v>
      </c>
      <c r="L1465" s="2" t="str">
        <f>"167"</f>
        <v>167</v>
      </c>
      <c r="M1465" s="2"/>
      <c r="N1465" s="2" t="str">
        <f>"MONTEE SAINTE-THÉRÈSE"</f>
        <v>MONTEE SAINTE-THÉRÈSE</v>
      </c>
      <c r="O1465" s="2" t="s">
        <v>3185</v>
      </c>
      <c r="P1465" s="9" t="str">
        <f>VLOOKUP($O1465,'Liste des Villes'!$B$2:$B$1128,1,FALSE)</f>
        <v>Saint-Jérôme</v>
      </c>
      <c r="Q1465" s="9" t="str">
        <f>IFERROR($P1465,PROPER(VLOOKUP($O1465,'Villes en erreur'!$A$2:$B$72,2,FALSE)))</f>
        <v>Saint-Jérôme</v>
      </c>
      <c r="R1465" s="9" t="s">
        <v>3186</v>
      </c>
      <c r="S1465" s="9" t="str">
        <f>IF(ISBLANK($R1465),"",VLOOKUP($R1465,'Liste des Villes'!$B$2:$H$1128,4,FALSE))</f>
        <v>Laurentides</v>
      </c>
      <c r="T1465" s="2" t="s">
        <v>5805</v>
      </c>
      <c r="U1465" s="2" t="s">
        <v>39</v>
      </c>
      <c r="V1465" s="2" t="s">
        <v>40</v>
      </c>
      <c r="W1465" s="2" t="s">
        <v>7296</v>
      </c>
      <c r="X1465" s="2"/>
      <c r="Y1465" s="2"/>
      <c r="Z1465" s="2"/>
      <c r="AA1465" s="2" t="s">
        <v>832</v>
      </c>
      <c r="AB1465" s="2" t="s">
        <v>3221</v>
      </c>
      <c r="AC1465" s="4" t="s">
        <v>44</v>
      </c>
    </row>
    <row r="1466" spans="1:29" x14ac:dyDescent="0.25">
      <c r="A1466" s="1">
        <v>2330</v>
      </c>
      <c r="B1466" s="17" t="s">
        <v>7297</v>
      </c>
      <c r="C1466" s="2" t="s">
        <v>7298</v>
      </c>
      <c r="D1466" s="15" t="s">
        <v>2199</v>
      </c>
      <c r="E1466" s="9" t="s">
        <v>3668</v>
      </c>
      <c r="F1466" s="9" t="s">
        <v>7299</v>
      </c>
      <c r="G1466" s="9" t="s">
        <v>495</v>
      </c>
      <c r="H1466" s="2" t="s">
        <v>35</v>
      </c>
      <c r="I1466" s="3">
        <v>34522</v>
      </c>
      <c r="J1466" s="9" t="str">
        <f t="shared" ca="1" si="24"/>
        <v>29 ans</v>
      </c>
      <c r="K1466" s="2" t="s">
        <v>36</v>
      </c>
      <c r="L1466" s="2" t="str">
        <f>"63"</f>
        <v>63</v>
      </c>
      <c r="M1466" s="2"/>
      <c r="N1466" s="2" t="str">
        <f>"CH DE KILKENNY"</f>
        <v>CH DE KILKENNY</v>
      </c>
      <c r="O1466" s="2" t="s">
        <v>3185</v>
      </c>
      <c r="P1466" s="9" t="str">
        <f>VLOOKUP($O1466,'Liste des Villes'!$B$2:$B$1128,1,FALSE)</f>
        <v>Saint-Jérôme</v>
      </c>
      <c r="Q1466" s="9" t="str">
        <f>IFERROR($P1466,PROPER(VLOOKUP($O1466,'Villes en erreur'!$A$2:$B$72,2,FALSE)))</f>
        <v>Saint-Jérôme</v>
      </c>
      <c r="R1466" s="9" t="s">
        <v>3186</v>
      </c>
      <c r="S1466" s="9" t="str">
        <f>IF(ISBLANK($R1466),"",VLOOKUP($R1466,'Liste des Villes'!$B$2:$H$1128,4,FALSE))</f>
        <v>Laurentides</v>
      </c>
      <c r="T1466" s="2" t="s">
        <v>3391</v>
      </c>
      <c r="U1466" s="2" t="s">
        <v>39</v>
      </c>
      <c r="V1466" s="2" t="s">
        <v>40</v>
      </c>
      <c r="W1466" s="2" t="s">
        <v>7300</v>
      </c>
      <c r="X1466" s="2"/>
      <c r="Y1466" s="2"/>
      <c r="Z1466" s="2"/>
      <c r="AA1466" s="2" t="s">
        <v>3225</v>
      </c>
      <c r="AB1466" s="2" t="s">
        <v>53</v>
      </c>
      <c r="AC1466" s="4" t="s">
        <v>44</v>
      </c>
    </row>
    <row r="1467" spans="1:29" x14ac:dyDescent="0.25">
      <c r="A1467" s="1">
        <v>921</v>
      </c>
      <c r="B1467" s="17" t="s">
        <v>7301</v>
      </c>
      <c r="C1467" s="2" t="s">
        <v>960</v>
      </c>
      <c r="D1467" s="15" t="s">
        <v>961</v>
      </c>
      <c r="E1467" s="9" t="s">
        <v>219</v>
      </c>
      <c r="F1467" s="9" t="s">
        <v>7302</v>
      </c>
      <c r="G1467" s="9" t="s">
        <v>2796</v>
      </c>
      <c r="H1467" s="2" t="s">
        <v>35</v>
      </c>
      <c r="I1467" s="3">
        <v>35255</v>
      </c>
      <c r="J1467" s="9" t="str">
        <f t="shared" ca="1" si="24"/>
        <v>27 ans</v>
      </c>
      <c r="K1467" s="2" t="s">
        <v>36</v>
      </c>
      <c r="L1467" s="2" t="str">
        <f>"106"</f>
        <v>106</v>
      </c>
      <c r="M1467" s="2"/>
      <c r="N1467" s="2" t="str">
        <f>"CHEMIN DE BERESFORD PARK"</f>
        <v>CHEMIN DE BERESFORD PARK</v>
      </c>
      <c r="O1467" s="2" t="s">
        <v>3185</v>
      </c>
      <c r="P1467" s="9" t="str">
        <f>VLOOKUP($O1467,'Liste des Villes'!$B$2:$B$1128,1,FALSE)</f>
        <v>Saint-Jérôme</v>
      </c>
      <c r="Q1467" s="9" t="str">
        <f>IFERROR($P1467,PROPER(VLOOKUP($O1467,'Villes en erreur'!$A$2:$B$72,2,FALSE)))</f>
        <v>Saint-Jérôme</v>
      </c>
      <c r="R1467" s="9" t="s">
        <v>3186</v>
      </c>
      <c r="S1467" s="9" t="str">
        <f>IF(ISBLANK($R1467),"",VLOOKUP($R1467,'Liste des Villes'!$B$2:$H$1128,4,FALSE))</f>
        <v>Laurentides</v>
      </c>
      <c r="T1467" s="2" t="s">
        <v>3187</v>
      </c>
      <c r="U1467" s="2" t="s">
        <v>39</v>
      </c>
      <c r="V1467" s="2" t="s">
        <v>40</v>
      </c>
      <c r="W1467" s="2" t="s">
        <v>7303</v>
      </c>
      <c r="X1467" s="2"/>
      <c r="Y1467" s="2"/>
      <c r="Z1467" s="2"/>
      <c r="AA1467" s="2" t="s">
        <v>3189</v>
      </c>
      <c r="AB1467" s="2" t="s">
        <v>3190</v>
      </c>
      <c r="AC1467" s="4" t="s">
        <v>44</v>
      </c>
    </row>
    <row r="1468" spans="1:29" x14ac:dyDescent="0.25">
      <c r="A1468" s="1">
        <v>1911</v>
      </c>
      <c r="B1468" s="17" t="s">
        <v>7304</v>
      </c>
      <c r="C1468" s="2" t="s">
        <v>3601</v>
      </c>
      <c r="D1468" s="15" t="s">
        <v>1167</v>
      </c>
      <c r="E1468" s="9" t="s">
        <v>3397</v>
      </c>
      <c r="F1468" s="9" t="s">
        <v>5948</v>
      </c>
      <c r="G1468" s="9" t="s">
        <v>7305</v>
      </c>
      <c r="H1468" s="2" t="s">
        <v>60</v>
      </c>
      <c r="I1468" s="3">
        <v>35501</v>
      </c>
      <c r="J1468" s="9" t="str">
        <f t="shared" ca="1" si="24"/>
        <v>26 ans</v>
      </c>
      <c r="K1468" s="2" t="s">
        <v>36</v>
      </c>
      <c r="L1468" s="2" t="str">
        <f>"120"</f>
        <v>120</v>
      </c>
      <c r="M1468" s="2"/>
      <c r="N1468" s="2" t="str">
        <f>"CHEMIN TOMALTY"</f>
        <v>CHEMIN TOMALTY</v>
      </c>
      <c r="O1468" s="2" t="s">
        <v>3185</v>
      </c>
      <c r="P1468" s="9" t="str">
        <f>VLOOKUP($O1468,'Liste des Villes'!$B$2:$B$1128,1,FALSE)</f>
        <v>Saint-Jérôme</v>
      </c>
      <c r="Q1468" s="9" t="str">
        <f>IFERROR($P1468,PROPER(VLOOKUP($O1468,'Villes en erreur'!$A$2:$B$72,2,FALSE)))</f>
        <v>Saint-Jérôme</v>
      </c>
      <c r="R1468" s="9" t="s">
        <v>3186</v>
      </c>
      <c r="S1468" s="9" t="str">
        <f>IF(ISBLANK($R1468),"",VLOOKUP($R1468,'Liste des Villes'!$B$2:$H$1128,4,FALSE))</f>
        <v>Laurentides</v>
      </c>
      <c r="T1468" s="2" t="s">
        <v>3532</v>
      </c>
      <c r="U1468" s="2" t="s">
        <v>39</v>
      </c>
      <c r="V1468" s="2" t="s">
        <v>40</v>
      </c>
      <c r="W1468" s="2" t="s">
        <v>7306</v>
      </c>
      <c r="X1468" s="2"/>
      <c r="Y1468" s="2"/>
      <c r="Z1468" s="2"/>
      <c r="AA1468" s="2" t="s">
        <v>3199</v>
      </c>
      <c r="AB1468" s="2" t="s">
        <v>3200</v>
      </c>
      <c r="AC1468" s="4" t="s">
        <v>44</v>
      </c>
    </row>
    <row r="1469" spans="1:29" x14ac:dyDescent="0.25">
      <c r="A1469" s="1">
        <v>576</v>
      </c>
      <c r="B1469" s="17" t="s">
        <v>7307</v>
      </c>
      <c r="C1469" s="2" t="s">
        <v>7308</v>
      </c>
      <c r="D1469" s="15" t="s">
        <v>7104</v>
      </c>
      <c r="E1469" s="9" t="s">
        <v>7309</v>
      </c>
      <c r="F1469" s="9" t="s">
        <v>7103</v>
      </c>
      <c r="G1469" s="9" t="s">
        <v>2334</v>
      </c>
      <c r="H1469" s="2" t="s">
        <v>60</v>
      </c>
      <c r="I1469" s="3">
        <v>35950</v>
      </c>
      <c r="J1469" s="9" t="str">
        <f t="shared" ca="1" si="24"/>
        <v>25 ans</v>
      </c>
      <c r="K1469" s="2" t="s">
        <v>123</v>
      </c>
      <c r="L1469" s="2" t="str">
        <f>"169"</f>
        <v>169</v>
      </c>
      <c r="M1469" s="2"/>
      <c r="N1469" s="2" t="str">
        <f>"MONTÉE SAINTE-THÉRÈSE"</f>
        <v>MONTÉE SAINTE-THÉRÈSE</v>
      </c>
      <c r="O1469" s="2" t="s">
        <v>3185</v>
      </c>
      <c r="P1469" s="9" t="str">
        <f>VLOOKUP($O1469,'Liste des Villes'!$B$2:$B$1128,1,FALSE)</f>
        <v>Saint-Jérôme</v>
      </c>
      <c r="Q1469" s="9" t="str">
        <f>IFERROR($P1469,PROPER(VLOOKUP($O1469,'Villes en erreur'!$A$2:$B$72,2,FALSE)))</f>
        <v>Saint-Jérôme</v>
      </c>
      <c r="R1469" s="9" t="s">
        <v>3186</v>
      </c>
      <c r="S1469" s="9" t="str">
        <f>IF(ISBLANK($R1469),"",VLOOKUP($R1469,'Liste des Villes'!$B$2:$H$1128,4,FALSE))</f>
        <v>Laurentides</v>
      </c>
      <c r="T1469" s="2" t="s">
        <v>4723</v>
      </c>
      <c r="U1469" s="2" t="s">
        <v>39</v>
      </c>
      <c r="V1469" s="2" t="s">
        <v>40</v>
      </c>
      <c r="W1469" s="2" t="s">
        <v>7310</v>
      </c>
      <c r="X1469" s="2"/>
      <c r="Y1469" s="2"/>
      <c r="Z1469" s="2"/>
      <c r="AA1469" s="2" t="s">
        <v>832</v>
      </c>
      <c r="AB1469" s="2" t="s">
        <v>3221</v>
      </c>
      <c r="AC1469" s="4" t="s">
        <v>44</v>
      </c>
    </row>
    <row r="1470" spans="1:29" x14ac:dyDescent="0.25">
      <c r="A1470" s="1">
        <v>4349</v>
      </c>
      <c r="B1470" s="17" t="s">
        <v>7311</v>
      </c>
      <c r="C1470" s="2" t="s">
        <v>7312</v>
      </c>
      <c r="D1470" s="15" t="s">
        <v>2648</v>
      </c>
      <c r="E1470" s="9" t="s">
        <v>7313</v>
      </c>
      <c r="F1470" s="9" t="s">
        <v>2647</v>
      </c>
      <c r="G1470" s="9" t="s">
        <v>635</v>
      </c>
      <c r="H1470" s="2" t="s">
        <v>35</v>
      </c>
      <c r="I1470" s="3">
        <v>33873</v>
      </c>
      <c r="J1470" s="9" t="str">
        <f t="shared" ca="1" si="24"/>
        <v>30 ans</v>
      </c>
      <c r="K1470" s="2" t="s">
        <v>36</v>
      </c>
      <c r="L1470" s="2" t="str">
        <f>"40"</f>
        <v>40</v>
      </c>
      <c r="M1470" s="2"/>
      <c r="N1470" s="2" t="str">
        <f>"AVENUE FÉLIX LECLERC"</f>
        <v>AVENUE FÉLIX LECLERC</v>
      </c>
      <c r="O1470" s="2" t="s">
        <v>3185</v>
      </c>
      <c r="P1470" s="9" t="str">
        <f>VLOOKUP($O1470,'Liste des Villes'!$B$2:$B$1128,1,FALSE)</f>
        <v>Saint-Jérôme</v>
      </c>
      <c r="Q1470" s="9" t="str">
        <f>IFERROR($P1470,PROPER(VLOOKUP($O1470,'Villes en erreur'!$A$2:$B$72,2,FALSE)))</f>
        <v>Saint-Jérôme</v>
      </c>
      <c r="R1470" s="9" t="s">
        <v>3186</v>
      </c>
      <c r="S1470" s="9" t="str">
        <f>IF(ISBLANK($R1470),"",VLOOKUP($R1470,'Liste des Villes'!$B$2:$H$1128,4,FALSE))</f>
        <v>Laurentides</v>
      </c>
      <c r="T1470" s="2" t="s">
        <v>3093</v>
      </c>
      <c r="U1470" s="2" t="s">
        <v>39</v>
      </c>
      <c r="V1470" s="2" t="s">
        <v>40</v>
      </c>
      <c r="W1470" s="2" t="s">
        <v>7314</v>
      </c>
      <c r="X1470" s="2"/>
      <c r="Y1470" s="2"/>
      <c r="Z1470" s="2"/>
      <c r="AA1470" s="2" t="s">
        <v>3207</v>
      </c>
      <c r="AB1470" s="2" t="s">
        <v>53</v>
      </c>
      <c r="AC1470" s="4" t="s">
        <v>44</v>
      </c>
    </row>
    <row r="1471" spans="1:29" x14ac:dyDescent="0.25">
      <c r="A1471" s="1">
        <v>3244</v>
      </c>
      <c r="B1471" s="17" t="s">
        <v>7315</v>
      </c>
      <c r="C1471" s="2" t="s">
        <v>7316</v>
      </c>
      <c r="D1471" s="15" t="s">
        <v>7317</v>
      </c>
      <c r="E1471" s="9" t="s">
        <v>737</v>
      </c>
      <c r="F1471" s="9" t="s">
        <v>86</v>
      </c>
      <c r="G1471" s="9" t="s">
        <v>4297</v>
      </c>
      <c r="H1471" s="2" t="s">
        <v>60</v>
      </c>
      <c r="I1471" s="3">
        <v>34967</v>
      </c>
      <c r="J1471" s="9" t="str">
        <f t="shared" ca="1" si="24"/>
        <v>27 ans</v>
      </c>
      <c r="K1471" s="2" t="s">
        <v>36</v>
      </c>
      <c r="L1471" s="2" t="str">
        <f>"88"</f>
        <v>88</v>
      </c>
      <c r="M1471" s="2"/>
      <c r="N1471" s="2" t="str">
        <f>"CH DU JOLI-BOIS"</f>
        <v>CH DU JOLI-BOIS</v>
      </c>
      <c r="O1471" s="2" t="s">
        <v>3185</v>
      </c>
      <c r="P1471" s="9" t="str">
        <f>VLOOKUP($O1471,'Liste des Villes'!$B$2:$B$1128,1,FALSE)</f>
        <v>Saint-Jérôme</v>
      </c>
      <c r="Q1471" s="9" t="str">
        <f>IFERROR($P1471,PROPER(VLOOKUP($O1471,'Villes en erreur'!$A$2:$B$72,2,FALSE)))</f>
        <v>Saint-Jérôme</v>
      </c>
      <c r="R1471" s="9" t="s">
        <v>3186</v>
      </c>
      <c r="S1471" s="9" t="str">
        <f>IF(ISBLANK($R1471),"",VLOOKUP($R1471,'Liste des Villes'!$B$2:$H$1128,4,FALSE))</f>
        <v>Laurentides</v>
      </c>
      <c r="T1471" s="2" t="s">
        <v>3187</v>
      </c>
      <c r="U1471" s="2" t="s">
        <v>39</v>
      </c>
      <c r="V1471" s="2" t="s">
        <v>40</v>
      </c>
      <c r="W1471" s="2" t="s">
        <v>7318</v>
      </c>
      <c r="X1471" s="2"/>
      <c r="Y1471" s="2"/>
      <c r="Z1471" s="2"/>
      <c r="AA1471" s="2" t="s">
        <v>3189</v>
      </c>
      <c r="AB1471" s="2" t="s">
        <v>53</v>
      </c>
      <c r="AC1471" s="4" t="s">
        <v>44</v>
      </c>
    </row>
    <row r="1472" spans="1:29" x14ac:dyDescent="0.25">
      <c r="A1472" s="1">
        <v>1005</v>
      </c>
      <c r="B1472" s="17" t="s">
        <v>7319</v>
      </c>
      <c r="C1472" s="2" t="s">
        <v>2901</v>
      </c>
      <c r="D1472" s="15" t="s">
        <v>2181</v>
      </c>
      <c r="E1472" s="9" t="s">
        <v>380</v>
      </c>
      <c r="F1472" s="9" t="s">
        <v>304</v>
      </c>
      <c r="G1472" s="9" t="s">
        <v>1397</v>
      </c>
      <c r="H1472" s="2" t="s">
        <v>60</v>
      </c>
      <c r="I1472" s="3">
        <v>35200</v>
      </c>
      <c r="J1472" s="9" t="str">
        <f t="shared" ca="1" si="24"/>
        <v>27 ans</v>
      </c>
      <c r="K1472" s="2" t="s">
        <v>36</v>
      </c>
      <c r="L1472" s="2" t="str">
        <f>"104"</f>
        <v>104</v>
      </c>
      <c r="M1472" s="2"/>
      <c r="N1472" s="2" t="str">
        <f>"CH SINCLAIR"</f>
        <v>CH SINCLAIR</v>
      </c>
      <c r="O1472" s="2" t="s">
        <v>3185</v>
      </c>
      <c r="P1472" s="9" t="str">
        <f>VLOOKUP($O1472,'Liste des Villes'!$B$2:$B$1128,1,FALSE)</f>
        <v>Saint-Jérôme</v>
      </c>
      <c r="Q1472" s="9" t="str">
        <f>IFERROR($P1472,PROPER(VLOOKUP($O1472,'Villes en erreur'!$A$2:$B$72,2,FALSE)))</f>
        <v>Saint-Jérôme</v>
      </c>
      <c r="R1472" s="9" t="s">
        <v>3186</v>
      </c>
      <c r="S1472" s="9" t="str">
        <f>IF(ISBLANK($R1472),"",VLOOKUP($R1472,'Liste des Villes'!$B$2:$H$1128,4,FALSE))</f>
        <v>Laurentides</v>
      </c>
      <c r="T1472" s="2" t="s">
        <v>3187</v>
      </c>
      <c r="U1472" s="2" t="s">
        <v>39</v>
      </c>
      <c r="V1472" s="2" t="s">
        <v>40</v>
      </c>
      <c r="W1472" s="2" t="s">
        <v>7320</v>
      </c>
      <c r="X1472" s="2"/>
      <c r="Y1472" s="2"/>
      <c r="Z1472" s="2"/>
      <c r="AA1472" s="2" t="s">
        <v>3189</v>
      </c>
      <c r="AB1472" s="2" t="s">
        <v>3190</v>
      </c>
      <c r="AC1472" s="4" t="s">
        <v>44</v>
      </c>
    </row>
    <row r="1473" spans="1:29" x14ac:dyDescent="0.25">
      <c r="A1473" s="1">
        <v>2149</v>
      </c>
      <c r="B1473" s="17" t="s">
        <v>7321</v>
      </c>
      <c r="C1473" s="2" t="s">
        <v>7322</v>
      </c>
      <c r="D1473" s="15" t="s">
        <v>2218</v>
      </c>
      <c r="E1473" s="9" t="s">
        <v>664</v>
      </c>
      <c r="F1473" s="9" t="s">
        <v>7323</v>
      </c>
      <c r="G1473" s="9" t="s">
        <v>92</v>
      </c>
      <c r="H1473" s="2" t="s">
        <v>35</v>
      </c>
      <c r="I1473" s="3">
        <v>35457</v>
      </c>
      <c r="J1473" s="9" t="str">
        <f t="shared" ca="1" si="24"/>
        <v>26 ans</v>
      </c>
      <c r="K1473" s="2" t="s">
        <v>36</v>
      </c>
      <c r="L1473" s="2" t="str">
        <f>"116"</f>
        <v>116</v>
      </c>
      <c r="M1473" s="2"/>
      <c r="N1473" s="2" t="str">
        <f>"CHEMIN EDWISE"</f>
        <v>CHEMIN EDWISE</v>
      </c>
      <c r="O1473" s="2" t="s">
        <v>3185</v>
      </c>
      <c r="P1473" s="9" t="str">
        <f>VLOOKUP($O1473,'Liste des Villes'!$B$2:$B$1128,1,FALSE)</f>
        <v>Saint-Jérôme</v>
      </c>
      <c r="Q1473" s="9" t="str">
        <f>IFERROR($P1473,PROPER(VLOOKUP($O1473,'Villes en erreur'!$A$2:$B$72,2,FALSE)))</f>
        <v>Saint-Jérôme</v>
      </c>
      <c r="R1473" s="9" t="s">
        <v>3186</v>
      </c>
      <c r="S1473" s="9" t="str">
        <f>IF(ISBLANK($R1473),"",VLOOKUP($R1473,'Liste des Villes'!$B$2:$H$1128,4,FALSE))</f>
        <v>Laurentides</v>
      </c>
      <c r="T1473" s="2" t="s">
        <v>3369</v>
      </c>
      <c r="U1473" s="2" t="s">
        <v>39</v>
      </c>
      <c r="V1473" s="2" t="s">
        <v>40</v>
      </c>
      <c r="W1473" s="2" t="s">
        <v>7324</v>
      </c>
      <c r="X1473" s="2"/>
      <c r="Y1473" s="2"/>
      <c r="Z1473" s="2"/>
      <c r="AA1473" s="2" t="s">
        <v>3199</v>
      </c>
      <c r="AB1473" s="2" t="s">
        <v>3200</v>
      </c>
      <c r="AC1473" s="4" t="s">
        <v>44</v>
      </c>
    </row>
    <row r="1474" spans="1:29" x14ac:dyDescent="0.25">
      <c r="A1474" s="1">
        <v>3692</v>
      </c>
      <c r="B1474" s="17" t="s">
        <v>7325</v>
      </c>
      <c r="C1474" s="2" t="s">
        <v>7326</v>
      </c>
      <c r="D1474" s="15" t="s">
        <v>4907</v>
      </c>
      <c r="E1474" s="9" t="s">
        <v>616</v>
      </c>
      <c r="F1474" s="9" t="s">
        <v>803</v>
      </c>
      <c r="G1474" s="9" t="s">
        <v>92</v>
      </c>
      <c r="H1474" s="2" t="s">
        <v>35</v>
      </c>
      <c r="I1474" s="3">
        <v>35434</v>
      </c>
      <c r="J1474" s="9" t="str">
        <f t="shared" ref="J1474:J1537" ca="1" si="25">_xlfn.CONCAT(INT((TODAY()-$I1474)/365.25)," ans")</f>
        <v>26 ans</v>
      </c>
      <c r="K1474" s="2" t="s">
        <v>36</v>
      </c>
      <c r="L1474" s="2" t="str">
        <f>"115"</f>
        <v>115</v>
      </c>
      <c r="M1474" s="2"/>
      <c r="N1474" s="2" t="str">
        <f>"CHEMIN DU MONT-SAUVAGE"</f>
        <v>CHEMIN DU MONT-SAUVAGE</v>
      </c>
      <c r="O1474" s="2" t="s">
        <v>3185</v>
      </c>
      <c r="P1474" s="9" t="str">
        <f>VLOOKUP($O1474,'Liste des Villes'!$B$2:$B$1128,1,FALSE)</f>
        <v>Saint-Jérôme</v>
      </c>
      <c r="Q1474" s="9" t="str">
        <f>IFERROR($P1474,PROPER(VLOOKUP($O1474,'Villes en erreur'!$A$2:$B$72,2,FALSE)))</f>
        <v>Saint-Jérôme</v>
      </c>
      <c r="R1474" s="9" t="s">
        <v>3186</v>
      </c>
      <c r="S1474" s="9" t="str">
        <f>IF(ISBLANK($R1474),"",VLOOKUP($R1474,'Liste des Villes'!$B$2:$H$1128,4,FALSE))</f>
        <v>Laurentides</v>
      </c>
      <c r="T1474" s="2" t="s">
        <v>3369</v>
      </c>
      <c r="U1474" s="2" t="s">
        <v>39</v>
      </c>
      <c r="V1474" s="2" t="s">
        <v>40</v>
      </c>
      <c r="W1474" s="2" t="s">
        <v>7327</v>
      </c>
      <c r="X1474" s="2"/>
      <c r="Y1474" s="2"/>
      <c r="Z1474" s="2"/>
      <c r="AA1474" s="2" t="s">
        <v>3199</v>
      </c>
      <c r="AB1474" s="2" t="s">
        <v>3200</v>
      </c>
      <c r="AC1474" s="4" t="s">
        <v>44</v>
      </c>
    </row>
    <row r="1475" spans="1:29" x14ac:dyDescent="0.25">
      <c r="A1475" s="1">
        <v>3053</v>
      </c>
      <c r="B1475" s="17" t="s">
        <v>7328</v>
      </c>
      <c r="C1475" s="2" t="s">
        <v>598</v>
      </c>
      <c r="D1475" s="15" t="s">
        <v>599</v>
      </c>
      <c r="E1475" s="9" t="s">
        <v>600</v>
      </c>
      <c r="F1475" s="9" t="s">
        <v>562</v>
      </c>
      <c r="G1475" s="9" t="s">
        <v>380</v>
      </c>
      <c r="H1475" s="2" t="s">
        <v>60</v>
      </c>
      <c r="I1475" s="3">
        <v>34453</v>
      </c>
      <c r="J1475" s="9" t="str">
        <f t="shared" ca="1" si="25"/>
        <v>29 ans</v>
      </c>
      <c r="K1475" s="2" t="s">
        <v>36</v>
      </c>
      <c r="L1475" s="2" t="str">
        <f>"58"</f>
        <v>58</v>
      </c>
      <c r="M1475" s="2"/>
      <c r="N1475" s="2" t="str">
        <f>"CARRÉ LEMER-ST-GERMAIN"</f>
        <v>CARRÉ LEMER-ST-GERMAIN</v>
      </c>
      <c r="O1475" s="2" t="s">
        <v>3185</v>
      </c>
      <c r="P1475" s="9" t="str">
        <f>VLOOKUP($O1475,'Liste des Villes'!$B$2:$B$1128,1,FALSE)</f>
        <v>Saint-Jérôme</v>
      </c>
      <c r="Q1475" s="9" t="str">
        <f>IFERROR($P1475,PROPER(VLOOKUP($O1475,'Villes en erreur'!$A$2:$B$72,2,FALSE)))</f>
        <v>Saint-Jérôme</v>
      </c>
      <c r="R1475" s="9" t="s">
        <v>3186</v>
      </c>
      <c r="S1475" s="9" t="str">
        <f>IF(ISBLANK($R1475),"",VLOOKUP($R1475,'Liste des Villes'!$B$2:$H$1128,4,FALSE))</f>
        <v>Laurentides</v>
      </c>
      <c r="T1475" s="2" t="s">
        <v>5654</v>
      </c>
      <c r="U1475" s="2" t="s">
        <v>39</v>
      </c>
      <c r="V1475" s="2" t="s">
        <v>40</v>
      </c>
      <c r="W1475" s="2" t="s">
        <v>7329</v>
      </c>
      <c r="X1475" s="2"/>
      <c r="Y1475" s="2"/>
      <c r="Z1475" s="2"/>
      <c r="AA1475" s="2" t="s">
        <v>3293</v>
      </c>
      <c r="AB1475" s="2" t="s">
        <v>53</v>
      </c>
      <c r="AC1475" s="4" t="s">
        <v>44</v>
      </c>
    </row>
    <row r="1476" spans="1:29" x14ac:dyDescent="0.25">
      <c r="A1476" s="1">
        <v>4268</v>
      </c>
      <c r="B1476" s="17" t="s">
        <v>7330</v>
      </c>
      <c r="C1476" s="2" t="s">
        <v>7331</v>
      </c>
      <c r="D1476" s="15" t="s">
        <v>7332</v>
      </c>
      <c r="E1476" s="9" t="s">
        <v>2107</v>
      </c>
      <c r="F1476" s="9" t="s">
        <v>3484</v>
      </c>
      <c r="G1476" s="9" t="s">
        <v>7333</v>
      </c>
      <c r="H1476" s="2" t="s">
        <v>35</v>
      </c>
      <c r="I1476" s="3">
        <v>35585</v>
      </c>
      <c r="J1476" s="9" t="str">
        <f t="shared" ca="1" si="25"/>
        <v>26 ans</v>
      </c>
      <c r="K1476" s="2" t="s">
        <v>36</v>
      </c>
      <c r="L1476" s="2" t="str">
        <f>"127"</f>
        <v>127</v>
      </c>
      <c r="M1476" s="2"/>
      <c r="N1476" s="2" t="str">
        <f>"CROISSANT L'ÉCUYER"</f>
        <v>CROISSANT L'ÉCUYER</v>
      </c>
      <c r="O1476" s="2" t="s">
        <v>3185</v>
      </c>
      <c r="P1476" s="9" t="str">
        <f>VLOOKUP($O1476,'Liste des Villes'!$B$2:$B$1128,1,FALSE)</f>
        <v>Saint-Jérôme</v>
      </c>
      <c r="Q1476" s="9" t="str">
        <f>IFERROR($P1476,PROPER(VLOOKUP($O1476,'Villes en erreur'!$A$2:$B$72,2,FALSE)))</f>
        <v>Saint-Jérôme</v>
      </c>
      <c r="R1476" s="9" t="s">
        <v>3186</v>
      </c>
      <c r="S1476" s="9" t="str">
        <f>IF(ISBLANK($R1476),"",VLOOKUP($R1476,'Liste des Villes'!$B$2:$H$1128,4,FALSE))</f>
        <v>Laurentides</v>
      </c>
      <c r="T1476" s="2" t="s">
        <v>3576</v>
      </c>
      <c r="U1476" s="2" t="s">
        <v>39</v>
      </c>
      <c r="V1476" s="2" t="s">
        <v>40</v>
      </c>
      <c r="W1476" s="2" t="s">
        <v>7334</v>
      </c>
      <c r="X1476" s="2"/>
      <c r="Y1476" s="2"/>
      <c r="Z1476" s="2"/>
      <c r="AA1476" s="2" t="s">
        <v>3243</v>
      </c>
      <c r="AB1476" s="2" t="s">
        <v>3221</v>
      </c>
      <c r="AC1476" s="4" t="s">
        <v>44</v>
      </c>
    </row>
    <row r="1477" spans="1:29" x14ac:dyDescent="0.25">
      <c r="A1477" s="1">
        <v>1246</v>
      </c>
      <c r="B1477" s="17" t="s">
        <v>7335</v>
      </c>
      <c r="C1477" s="2" t="s">
        <v>7336</v>
      </c>
      <c r="D1477" s="15" t="s">
        <v>1479</v>
      </c>
      <c r="E1477" s="9" t="s">
        <v>5779</v>
      </c>
      <c r="F1477" s="9" t="s">
        <v>1477</v>
      </c>
      <c r="G1477" s="9" t="s">
        <v>5788</v>
      </c>
      <c r="H1477" s="2" t="s">
        <v>60</v>
      </c>
      <c r="I1477" s="3">
        <v>35956</v>
      </c>
      <c r="J1477" s="9" t="str">
        <f t="shared" ca="1" si="25"/>
        <v>25 ans</v>
      </c>
      <c r="K1477" s="2" t="s">
        <v>123</v>
      </c>
      <c r="L1477" s="2" t="str">
        <f>"169"</f>
        <v>169</v>
      </c>
      <c r="M1477" s="2"/>
      <c r="N1477" s="2" t="str">
        <f>"MONTÉE ST-VINCENT"</f>
        <v>MONTÉE ST-VINCENT</v>
      </c>
      <c r="O1477" s="2" t="s">
        <v>3185</v>
      </c>
      <c r="P1477" s="9" t="str">
        <f>VLOOKUP($O1477,'Liste des Villes'!$B$2:$B$1128,1,FALSE)</f>
        <v>Saint-Jérôme</v>
      </c>
      <c r="Q1477" s="9" t="str">
        <f>IFERROR($P1477,PROPER(VLOOKUP($O1477,'Villes en erreur'!$A$2:$B$72,2,FALSE)))</f>
        <v>Saint-Jérôme</v>
      </c>
      <c r="R1477" s="9" t="s">
        <v>3186</v>
      </c>
      <c r="S1477" s="9" t="str">
        <f>IF(ISBLANK($R1477),"",VLOOKUP($R1477,'Liste des Villes'!$B$2:$H$1128,4,FALSE))</f>
        <v>Laurentides</v>
      </c>
      <c r="T1477" s="2" t="s">
        <v>5597</v>
      </c>
      <c r="U1477" s="2" t="s">
        <v>39</v>
      </c>
      <c r="V1477" s="2" t="s">
        <v>40</v>
      </c>
      <c r="W1477" s="2" t="s">
        <v>7337</v>
      </c>
      <c r="X1477" s="2"/>
      <c r="Y1477" s="2"/>
      <c r="Z1477" s="2"/>
      <c r="AA1477" s="2" t="s">
        <v>832</v>
      </c>
      <c r="AB1477" s="2" t="s">
        <v>3221</v>
      </c>
      <c r="AC1477" s="4" t="s">
        <v>44</v>
      </c>
    </row>
    <row r="1478" spans="1:29" x14ac:dyDescent="0.25">
      <c r="A1478" s="1">
        <v>339</v>
      </c>
      <c r="B1478" s="17" t="s">
        <v>7338</v>
      </c>
      <c r="C1478" s="2" t="s">
        <v>1733</v>
      </c>
      <c r="D1478" s="15" t="s">
        <v>100</v>
      </c>
      <c r="E1478" s="9" t="s">
        <v>122</v>
      </c>
      <c r="F1478" s="9" t="s">
        <v>7339</v>
      </c>
      <c r="G1478" s="9" t="s">
        <v>1283</v>
      </c>
      <c r="H1478" s="2" t="s">
        <v>60</v>
      </c>
      <c r="I1478" s="3">
        <v>35817</v>
      </c>
      <c r="J1478" s="9" t="str">
        <f t="shared" ca="1" si="25"/>
        <v>25 ans</v>
      </c>
      <c r="K1478" s="2" t="s">
        <v>123</v>
      </c>
      <c r="L1478" s="2" t="str">
        <f>"145"</f>
        <v>145</v>
      </c>
      <c r="M1478" s="2"/>
      <c r="N1478" s="2" t="str">
        <f>"JACQUES"</f>
        <v>JACQUES</v>
      </c>
      <c r="O1478" s="2" t="s">
        <v>3185</v>
      </c>
      <c r="P1478" s="9" t="str">
        <f>VLOOKUP($O1478,'Liste des Villes'!$B$2:$B$1128,1,FALSE)</f>
        <v>Saint-Jérôme</v>
      </c>
      <c r="Q1478" s="9" t="str">
        <f>IFERROR($P1478,PROPER(VLOOKUP($O1478,'Villes en erreur'!$A$2:$B$72,2,FALSE)))</f>
        <v>Saint-Jérôme</v>
      </c>
      <c r="R1478" s="9" t="s">
        <v>3186</v>
      </c>
      <c r="S1478" s="9" t="str">
        <f>IF(ISBLANK($R1478),"",VLOOKUP($R1478,'Liste des Villes'!$B$2:$H$1128,4,FALSE))</f>
        <v>Laurentides</v>
      </c>
      <c r="T1478" s="2" t="s">
        <v>7340</v>
      </c>
      <c r="U1478" s="2" t="s">
        <v>39</v>
      </c>
      <c r="V1478" s="2" t="s">
        <v>40</v>
      </c>
      <c r="W1478" s="2" t="s">
        <v>7341</v>
      </c>
      <c r="X1478" s="2"/>
      <c r="Y1478" s="2"/>
      <c r="Z1478" s="2"/>
      <c r="AA1478" s="2" t="s">
        <v>3243</v>
      </c>
      <c r="AB1478" s="2" t="s">
        <v>3221</v>
      </c>
      <c r="AC1478" s="4" t="s">
        <v>44</v>
      </c>
    </row>
    <row r="1479" spans="1:29" x14ac:dyDescent="0.25">
      <c r="A1479" s="1">
        <v>4433</v>
      </c>
      <c r="B1479" s="17" t="s">
        <v>7342</v>
      </c>
      <c r="C1479" s="2" t="s">
        <v>696</v>
      </c>
      <c r="D1479" s="15" t="s">
        <v>697</v>
      </c>
      <c r="E1479" s="9" t="s">
        <v>698</v>
      </c>
      <c r="F1479" s="9" t="s">
        <v>3273</v>
      </c>
      <c r="G1479" s="9" t="s">
        <v>7343</v>
      </c>
      <c r="H1479" s="2" t="s">
        <v>35</v>
      </c>
      <c r="I1479" s="3">
        <v>35851</v>
      </c>
      <c r="J1479" s="9" t="str">
        <f t="shared" ca="1" si="25"/>
        <v>25 ans</v>
      </c>
      <c r="K1479" s="2" t="s">
        <v>123</v>
      </c>
      <c r="L1479" s="2" t="str">
        <f>"149"</f>
        <v>149</v>
      </c>
      <c r="M1479" s="2"/>
      <c r="N1479" s="2" t="str">
        <f>"LÉPINE"</f>
        <v>LÉPINE</v>
      </c>
      <c r="O1479" s="2" t="s">
        <v>3185</v>
      </c>
      <c r="P1479" s="9" t="str">
        <f>VLOOKUP($O1479,'Liste des Villes'!$B$2:$B$1128,1,FALSE)</f>
        <v>Saint-Jérôme</v>
      </c>
      <c r="Q1479" s="9" t="str">
        <f>IFERROR($P1479,PROPER(VLOOKUP($O1479,'Villes en erreur'!$A$2:$B$72,2,FALSE)))</f>
        <v>Saint-Jérôme</v>
      </c>
      <c r="R1479" s="9" t="s">
        <v>3186</v>
      </c>
      <c r="S1479" s="9" t="str">
        <f>IF(ISBLANK($R1479),"",VLOOKUP($R1479,'Liste des Villes'!$B$2:$H$1128,4,FALSE))</f>
        <v>Laurentides</v>
      </c>
      <c r="T1479" s="2" t="s">
        <v>5056</v>
      </c>
      <c r="U1479" s="2" t="s">
        <v>39</v>
      </c>
      <c r="V1479" s="2" t="s">
        <v>40</v>
      </c>
      <c r="W1479" s="2" t="s">
        <v>7344</v>
      </c>
      <c r="X1479" s="2"/>
      <c r="Y1479" s="2"/>
      <c r="Z1479" s="2"/>
      <c r="AA1479" s="2" t="s">
        <v>3243</v>
      </c>
      <c r="AB1479" s="2" t="s">
        <v>3221</v>
      </c>
      <c r="AC1479" s="4" t="s">
        <v>44</v>
      </c>
    </row>
    <row r="1480" spans="1:29" x14ac:dyDescent="0.25">
      <c r="A1480" s="1">
        <v>1136</v>
      </c>
      <c r="B1480" s="17" t="s">
        <v>7345</v>
      </c>
      <c r="C1480" s="2" t="s">
        <v>7346</v>
      </c>
      <c r="D1480" s="15" t="s">
        <v>7347</v>
      </c>
      <c r="E1480" s="9" t="s">
        <v>2334</v>
      </c>
      <c r="F1480" s="9" t="s">
        <v>562</v>
      </c>
      <c r="G1480" s="9" t="s">
        <v>635</v>
      </c>
      <c r="H1480" s="2" t="s">
        <v>35</v>
      </c>
      <c r="I1480" s="3">
        <v>33918</v>
      </c>
      <c r="J1480" s="9" t="str">
        <f t="shared" ca="1" si="25"/>
        <v>30 ans</v>
      </c>
      <c r="K1480" s="2" t="s">
        <v>36</v>
      </c>
      <c r="L1480" s="2" t="str">
        <f>"41"</f>
        <v>41</v>
      </c>
      <c r="M1480" s="2"/>
      <c r="N1480" s="2" t="str">
        <f>"AVENUE PHILLIPS"</f>
        <v>AVENUE PHILLIPS</v>
      </c>
      <c r="O1480" s="2" t="s">
        <v>3185</v>
      </c>
      <c r="P1480" s="9" t="str">
        <f>VLOOKUP($O1480,'Liste des Villes'!$B$2:$B$1128,1,FALSE)</f>
        <v>Saint-Jérôme</v>
      </c>
      <c r="Q1480" s="9" t="str">
        <f>IFERROR($P1480,PROPER(VLOOKUP($O1480,'Villes en erreur'!$A$2:$B$72,2,FALSE)))</f>
        <v>Saint-Jérôme</v>
      </c>
      <c r="R1480" s="9" t="s">
        <v>3186</v>
      </c>
      <c r="S1480" s="9" t="str">
        <f>IF(ISBLANK($R1480),"",VLOOKUP($R1480,'Liste des Villes'!$B$2:$H$1128,4,FALSE))</f>
        <v>Laurentides</v>
      </c>
      <c r="T1480" s="2" t="s">
        <v>3093</v>
      </c>
      <c r="U1480" s="2" t="s">
        <v>39</v>
      </c>
      <c r="V1480" s="2" t="s">
        <v>40</v>
      </c>
      <c r="W1480" s="2" t="s">
        <v>7348</v>
      </c>
      <c r="X1480" s="2"/>
      <c r="Y1480" s="2"/>
      <c r="Z1480" s="2"/>
      <c r="AA1480" s="2" t="s">
        <v>3207</v>
      </c>
      <c r="AB1480" s="2" t="s">
        <v>53</v>
      </c>
      <c r="AC1480" s="4" t="s">
        <v>44</v>
      </c>
    </row>
    <row r="1481" spans="1:29" x14ac:dyDescent="0.25">
      <c r="A1481" s="1">
        <v>4190</v>
      </c>
      <c r="B1481" s="17" t="s">
        <v>7349</v>
      </c>
      <c r="C1481" s="2" t="s">
        <v>7350</v>
      </c>
      <c r="D1481" s="15" t="s">
        <v>7351</v>
      </c>
      <c r="E1481" s="9" t="s">
        <v>4949</v>
      </c>
      <c r="F1481" s="9" t="s">
        <v>3705</v>
      </c>
      <c r="G1481" s="9" t="s">
        <v>5676</v>
      </c>
      <c r="H1481" s="2" t="s">
        <v>60</v>
      </c>
      <c r="I1481" s="3">
        <v>36216</v>
      </c>
      <c r="J1481" s="9" t="str">
        <f t="shared" ca="1" si="25"/>
        <v>24 ans</v>
      </c>
      <c r="K1481" s="2" t="s">
        <v>123</v>
      </c>
      <c r="L1481" s="2" t="str">
        <f>"252"</f>
        <v>252</v>
      </c>
      <c r="M1481" s="2"/>
      <c r="N1481" s="2" t="str">
        <f>"RUE BEAUCHAMP"</f>
        <v>RUE BEAUCHAMP</v>
      </c>
      <c r="O1481" s="2" t="s">
        <v>3185</v>
      </c>
      <c r="P1481" s="9" t="str">
        <f>VLOOKUP($O1481,'Liste des Villes'!$B$2:$B$1128,1,FALSE)</f>
        <v>Saint-Jérôme</v>
      </c>
      <c r="Q1481" s="9" t="str">
        <f>IFERROR($P1481,PROPER(VLOOKUP($O1481,'Villes en erreur'!$A$2:$B$72,2,FALSE)))</f>
        <v>Saint-Jérôme</v>
      </c>
      <c r="R1481" s="9" t="s">
        <v>3186</v>
      </c>
      <c r="S1481" s="9" t="str">
        <f>IF(ISBLANK($R1481),"",VLOOKUP($R1481,'Liste des Villes'!$B$2:$H$1128,4,FALSE))</f>
        <v>Laurentides</v>
      </c>
      <c r="T1481" s="2" t="s">
        <v>3376</v>
      </c>
      <c r="U1481" s="2" t="s">
        <v>39</v>
      </c>
      <c r="V1481" s="2" t="s">
        <v>40</v>
      </c>
      <c r="W1481" s="2" t="s">
        <v>7352</v>
      </c>
      <c r="X1481" s="2"/>
      <c r="Y1481" s="2"/>
      <c r="Z1481" s="2"/>
      <c r="AA1481" s="2" t="s">
        <v>832</v>
      </c>
      <c r="AB1481" s="2" t="s">
        <v>3288</v>
      </c>
      <c r="AC1481" s="4" t="s">
        <v>44</v>
      </c>
    </row>
    <row r="1482" spans="1:29" x14ac:dyDescent="0.25">
      <c r="A1482" s="1">
        <v>1465</v>
      </c>
      <c r="B1482" s="17" t="s">
        <v>7353</v>
      </c>
      <c r="C1482" s="2" t="s">
        <v>7354</v>
      </c>
      <c r="D1482" s="15" t="s">
        <v>7355</v>
      </c>
      <c r="E1482" s="9" t="s">
        <v>233</v>
      </c>
      <c r="F1482" s="9" t="s">
        <v>2670</v>
      </c>
      <c r="G1482" s="9" t="s">
        <v>92</v>
      </c>
      <c r="H1482" s="2" t="s">
        <v>35</v>
      </c>
      <c r="I1482" s="3">
        <v>35425</v>
      </c>
      <c r="J1482" s="9" t="str">
        <f t="shared" ca="1" si="25"/>
        <v>26 ans</v>
      </c>
      <c r="K1482" s="2" t="s">
        <v>36</v>
      </c>
      <c r="L1482" s="2" t="str">
        <f>"114"</f>
        <v>114</v>
      </c>
      <c r="M1482" s="2"/>
      <c r="N1482" s="2" t="str">
        <f>"CHEMIN DU LAC VERT"</f>
        <v>CHEMIN DU LAC VERT</v>
      </c>
      <c r="O1482" s="2" t="s">
        <v>3185</v>
      </c>
      <c r="P1482" s="9" t="str">
        <f>VLOOKUP($O1482,'Liste des Villes'!$B$2:$B$1128,1,FALSE)</f>
        <v>Saint-Jérôme</v>
      </c>
      <c r="Q1482" s="9" t="str">
        <f>IFERROR($P1482,PROPER(VLOOKUP($O1482,'Villes en erreur'!$A$2:$B$72,2,FALSE)))</f>
        <v>Saint-Jérôme</v>
      </c>
      <c r="R1482" s="9" t="s">
        <v>3186</v>
      </c>
      <c r="S1482" s="9" t="str">
        <f>IF(ISBLANK($R1482),"",VLOOKUP($R1482,'Liste des Villes'!$B$2:$H$1128,4,FALSE))</f>
        <v>Laurentides</v>
      </c>
      <c r="T1482" s="2" t="s">
        <v>4032</v>
      </c>
      <c r="U1482" s="2" t="s">
        <v>39</v>
      </c>
      <c r="V1482" s="2" t="s">
        <v>40</v>
      </c>
      <c r="W1482" s="2" t="s">
        <v>7356</v>
      </c>
      <c r="X1482" s="2"/>
      <c r="Y1482" s="2"/>
      <c r="Z1482" s="2"/>
      <c r="AA1482" s="2" t="s">
        <v>3199</v>
      </c>
      <c r="AB1482" s="2" t="s">
        <v>3200</v>
      </c>
      <c r="AC1482" s="4" t="s">
        <v>44</v>
      </c>
    </row>
    <row r="1483" spans="1:29" x14ac:dyDescent="0.25">
      <c r="A1483" s="1">
        <v>2182</v>
      </c>
      <c r="B1483" s="17" t="s">
        <v>7357</v>
      </c>
      <c r="C1483" s="2" t="s">
        <v>844</v>
      </c>
      <c r="D1483" s="15" t="s">
        <v>845</v>
      </c>
      <c r="E1483" s="9" t="s">
        <v>509</v>
      </c>
      <c r="F1483" s="9" t="s">
        <v>846</v>
      </c>
      <c r="G1483" s="9" t="s">
        <v>2086</v>
      </c>
      <c r="H1483" s="2" t="s">
        <v>60</v>
      </c>
      <c r="I1483" s="3">
        <v>36018</v>
      </c>
      <c r="J1483" s="9" t="str">
        <f t="shared" ca="1" si="25"/>
        <v>25 ans</v>
      </c>
      <c r="K1483" s="2" t="s">
        <v>123</v>
      </c>
      <c r="L1483" s="2" t="str">
        <f>"181"</f>
        <v>181</v>
      </c>
      <c r="M1483" s="2"/>
      <c r="N1483" s="2" t="str">
        <f>"PLACE DU LOUVRE"</f>
        <v>PLACE DU LOUVRE</v>
      </c>
      <c r="O1483" s="2" t="s">
        <v>3185</v>
      </c>
      <c r="P1483" s="9" t="str">
        <f>VLOOKUP($O1483,'Liste des Villes'!$B$2:$B$1128,1,FALSE)</f>
        <v>Saint-Jérôme</v>
      </c>
      <c r="Q1483" s="9" t="str">
        <f>IFERROR($P1483,PROPER(VLOOKUP($O1483,'Villes en erreur'!$A$2:$B$72,2,FALSE)))</f>
        <v>Saint-Jérôme</v>
      </c>
      <c r="R1483" s="9" t="s">
        <v>3186</v>
      </c>
      <c r="S1483" s="9" t="str">
        <f>IF(ISBLANK($R1483),"",VLOOKUP($R1483,'Liste des Villes'!$B$2:$H$1128,4,FALSE))</f>
        <v>Laurentides</v>
      </c>
      <c r="T1483" s="2" t="s">
        <v>3279</v>
      </c>
      <c r="U1483" s="2" t="s">
        <v>39</v>
      </c>
      <c r="V1483" s="2" t="s">
        <v>40</v>
      </c>
      <c r="W1483" s="2" t="s">
        <v>7358</v>
      </c>
      <c r="X1483" s="2"/>
      <c r="Y1483" s="2"/>
      <c r="Z1483" s="2"/>
      <c r="AA1483" s="2" t="s">
        <v>832</v>
      </c>
      <c r="AB1483" s="2" t="s">
        <v>3221</v>
      </c>
      <c r="AC1483" s="4" t="s">
        <v>44</v>
      </c>
    </row>
    <row r="1484" spans="1:29" x14ac:dyDescent="0.25">
      <c r="A1484" s="1">
        <v>3603</v>
      </c>
      <c r="B1484" s="17" t="s">
        <v>7359</v>
      </c>
      <c r="C1484" s="2" t="s">
        <v>7360</v>
      </c>
      <c r="D1484" s="15" t="s">
        <v>7361</v>
      </c>
      <c r="E1484" s="9" t="s">
        <v>101</v>
      </c>
      <c r="F1484" s="9" t="s">
        <v>7362</v>
      </c>
      <c r="G1484" s="9" t="s">
        <v>92</v>
      </c>
      <c r="H1484" s="2" t="s">
        <v>35</v>
      </c>
      <c r="I1484" s="3">
        <v>35387</v>
      </c>
      <c r="J1484" s="9" t="str">
        <f t="shared" ca="1" si="25"/>
        <v>26 ans</v>
      </c>
      <c r="K1484" s="2" t="s">
        <v>36</v>
      </c>
      <c r="L1484" s="2" t="str">
        <f>"112"</f>
        <v>112</v>
      </c>
      <c r="M1484" s="2"/>
      <c r="N1484" s="2" t="str">
        <f>"CHEMIN DU LAC BERTRAND"</f>
        <v>CHEMIN DU LAC BERTRAND</v>
      </c>
      <c r="O1484" s="2" t="s">
        <v>3185</v>
      </c>
      <c r="P1484" s="9" t="str">
        <f>VLOOKUP($O1484,'Liste des Villes'!$B$2:$B$1128,1,FALSE)</f>
        <v>Saint-Jérôme</v>
      </c>
      <c r="Q1484" s="9" t="str">
        <f>IFERROR($P1484,PROPER(VLOOKUP($O1484,'Villes en erreur'!$A$2:$B$72,2,FALSE)))</f>
        <v>Saint-Jérôme</v>
      </c>
      <c r="R1484" s="9" t="s">
        <v>3186</v>
      </c>
      <c r="S1484" s="9" t="str">
        <f>IF(ISBLANK($R1484),"",VLOOKUP($R1484,'Liste des Villes'!$B$2:$H$1128,4,FALSE))</f>
        <v>Laurentides</v>
      </c>
      <c r="T1484" s="2" t="s">
        <v>3827</v>
      </c>
      <c r="U1484" s="2" t="s">
        <v>39</v>
      </c>
      <c r="V1484" s="2" t="s">
        <v>40</v>
      </c>
      <c r="W1484" s="2" t="s">
        <v>7363</v>
      </c>
      <c r="X1484" s="2"/>
      <c r="Y1484" s="2"/>
      <c r="Z1484" s="2"/>
      <c r="AA1484" s="2" t="s">
        <v>3189</v>
      </c>
      <c r="AB1484" s="2" t="s">
        <v>3200</v>
      </c>
      <c r="AC1484" s="4" t="s">
        <v>44</v>
      </c>
    </row>
    <row r="1485" spans="1:29" x14ac:dyDescent="0.25">
      <c r="A1485" s="1">
        <v>1441</v>
      </c>
      <c r="B1485" s="17" t="s">
        <v>7364</v>
      </c>
      <c r="C1485" s="2" t="s">
        <v>7365</v>
      </c>
      <c r="D1485" s="15" t="s">
        <v>1284</v>
      </c>
      <c r="E1485" s="9" t="s">
        <v>7366</v>
      </c>
      <c r="F1485" s="9" t="s">
        <v>7367</v>
      </c>
      <c r="G1485" s="9" t="s">
        <v>3668</v>
      </c>
      <c r="H1485" s="2" t="s">
        <v>60</v>
      </c>
      <c r="I1485" s="3">
        <v>36224</v>
      </c>
      <c r="J1485" s="9" t="str">
        <f t="shared" ca="1" si="25"/>
        <v>24 ans</v>
      </c>
      <c r="K1485" s="2" t="s">
        <v>123</v>
      </c>
      <c r="L1485" s="2" t="str">
        <f>"256"</f>
        <v>256</v>
      </c>
      <c r="M1485" s="2"/>
      <c r="N1485" s="2" t="str">
        <f>"RUE BEAUREGARD"</f>
        <v>RUE BEAUREGARD</v>
      </c>
      <c r="O1485" s="2" t="s">
        <v>3185</v>
      </c>
      <c r="P1485" s="9" t="str">
        <f>VLOOKUP($O1485,'Liste des Villes'!$B$2:$B$1128,1,FALSE)</f>
        <v>Saint-Jérôme</v>
      </c>
      <c r="Q1485" s="9" t="str">
        <f>IFERROR($P1485,PROPER(VLOOKUP($O1485,'Villes en erreur'!$A$2:$B$72,2,FALSE)))</f>
        <v>Saint-Jérôme</v>
      </c>
      <c r="R1485" s="9" t="s">
        <v>3186</v>
      </c>
      <c r="S1485" s="9" t="str">
        <f>IF(ISBLANK($R1485),"",VLOOKUP($R1485,'Liste des Villes'!$B$2:$H$1128,4,FALSE))</f>
        <v>Laurentides</v>
      </c>
      <c r="T1485" s="2" t="s">
        <v>7368</v>
      </c>
      <c r="U1485" s="2" t="s">
        <v>39</v>
      </c>
      <c r="V1485" s="2" t="s">
        <v>40</v>
      </c>
      <c r="W1485" s="2" t="s">
        <v>7369</v>
      </c>
      <c r="X1485" s="2"/>
      <c r="Y1485" s="2"/>
      <c r="Z1485" s="2"/>
      <c r="AA1485" s="2" t="s">
        <v>832</v>
      </c>
      <c r="AB1485" s="2" t="s">
        <v>3288</v>
      </c>
      <c r="AC1485" s="4" t="s">
        <v>44</v>
      </c>
    </row>
    <row r="1486" spans="1:29" x14ac:dyDescent="0.25">
      <c r="A1486" s="1">
        <v>218</v>
      </c>
      <c r="B1486" s="17" t="s">
        <v>7370</v>
      </c>
      <c r="C1486" s="2" t="s">
        <v>4140</v>
      </c>
      <c r="D1486" s="15" t="s">
        <v>4141</v>
      </c>
      <c r="E1486" s="9" t="s">
        <v>2198</v>
      </c>
      <c r="F1486" s="9" t="s">
        <v>4142</v>
      </c>
      <c r="G1486" s="9" t="s">
        <v>996</v>
      </c>
      <c r="H1486" s="2" t="s">
        <v>60</v>
      </c>
      <c r="I1486" s="3">
        <v>35035</v>
      </c>
      <c r="J1486" s="9" t="str">
        <f t="shared" ca="1" si="25"/>
        <v>27 ans</v>
      </c>
      <c r="K1486" s="2" t="s">
        <v>36</v>
      </c>
      <c r="L1486" s="2" t="str">
        <f>"97"</f>
        <v>97</v>
      </c>
      <c r="M1486" s="2"/>
      <c r="N1486" s="2" t="str">
        <f>"CH DU MOULIN"</f>
        <v>CH DU MOULIN</v>
      </c>
      <c r="O1486" s="2" t="s">
        <v>3185</v>
      </c>
      <c r="P1486" s="9" t="str">
        <f>VLOOKUP($O1486,'Liste des Villes'!$B$2:$B$1128,1,FALSE)</f>
        <v>Saint-Jérôme</v>
      </c>
      <c r="Q1486" s="9" t="str">
        <f>IFERROR($P1486,PROPER(VLOOKUP($O1486,'Villes en erreur'!$A$2:$B$72,2,FALSE)))</f>
        <v>Saint-Jérôme</v>
      </c>
      <c r="R1486" s="9" t="s">
        <v>3186</v>
      </c>
      <c r="S1486" s="9" t="str">
        <f>IF(ISBLANK($R1486),"",VLOOKUP($R1486,'Liste des Villes'!$B$2:$H$1128,4,FALSE))</f>
        <v>Laurentides</v>
      </c>
      <c r="T1486" s="2" t="s">
        <v>3187</v>
      </c>
      <c r="U1486" s="2" t="s">
        <v>39</v>
      </c>
      <c r="V1486" s="2" t="s">
        <v>40</v>
      </c>
      <c r="W1486" s="2" t="s">
        <v>7371</v>
      </c>
      <c r="X1486" s="2"/>
      <c r="Y1486" s="2"/>
      <c r="Z1486" s="2"/>
      <c r="AA1486" s="2" t="s">
        <v>3189</v>
      </c>
      <c r="AB1486" s="2" t="s">
        <v>53</v>
      </c>
      <c r="AC1486" s="4" t="s">
        <v>44</v>
      </c>
    </row>
    <row r="1487" spans="1:29" x14ac:dyDescent="0.25">
      <c r="A1487" s="1">
        <v>2997</v>
      </c>
      <c r="B1487" s="17" t="s">
        <v>7372</v>
      </c>
      <c r="C1487" s="2" t="s">
        <v>7373</v>
      </c>
      <c r="D1487" s="15" t="s">
        <v>7374</v>
      </c>
      <c r="E1487" s="9" t="s">
        <v>7375</v>
      </c>
      <c r="F1487" s="9" t="s">
        <v>203</v>
      </c>
      <c r="G1487" s="9" t="s">
        <v>3404</v>
      </c>
      <c r="H1487" s="2" t="s">
        <v>35</v>
      </c>
      <c r="I1487" s="3">
        <v>35697</v>
      </c>
      <c r="J1487" s="9" t="str">
        <f t="shared" ca="1" si="25"/>
        <v>25 ans</v>
      </c>
      <c r="K1487" s="2" t="s">
        <v>123</v>
      </c>
      <c r="L1487" s="2" t="str">
        <f>"135"</f>
        <v>135</v>
      </c>
      <c r="M1487" s="2"/>
      <c r="N1487" s="2" t="str">
        <f>"DES MILLE-ÎLES BLVD E"</f>
        <v>DES MILLE-ÎLES BLVD E</v>
      </c>
      <c r="O1487" s="2" t="s">
        <v>3185</v>
      </c>
      <c r="P1487" s="9" t="str">
        <f>VLOOKUP($O1487,'Liste des Villes'!$B$2:$B$1128,1,FALSE)</f>
        <v>Saint-Jérôme</v>
      </c>
      <c r="Q1487" s="9" t="str">
        <f>IFERROR($P1487,PROPER(VLOOKUP($O1487,'Villes en erreur'!$A$2:$B$72,2,FALSE)))</f>
        <v>Saint-Jérôme</v>
      </c>
      <c r="R1487" s="9" t="s">
        <v>3186</v>
      </c>
      <c r="S1487" s="9" t="str">
        <f>IF(ISBLANK($R1487),"",VLOOKUP($R1487,'Liste des Villes'!$B$2:$H$1128,4,FALSE))</f>
        <v>Laurentides</v>
      </c>
      <c r="T1487" s="2" t="s">
        <v>7376</v>
      </c>
      <c r="U1487" s="2" t="s">
        <v>39</v>
      </c>
      <c r="V1487" s="2" t="s">
        <v>40</v>
      </c>
      <c r="W1487" s="2" t="s">
        <v>7377</v>
      </c>
      <c r="X1487" s="2"/>
      <c r="Y1487" s="2"/>
      <c r="Z1487" s="2"/>
      <c r="AA1487" s="2" t="s">
        <v>3243</v>
      </c>
      <c r="AB1487" s="2" t="s">
        <v>3221</v>
      </c>
      <c r="AC1487" s="4" t="s">
        <v>44</v>
      </c>
    </row>
    <row r="1488" spans="1:29" x14ac:dyDescent="0.25">
      <c r="A1488" s="1">
        <v>1427</v>
      </c>
      <c r="B1488" s="17" t="s">
        <v>7378</v>
      </c>
      <c r="C1488" s="2" t="s">
        <v>7379</v>
      </c>
      <c r="D1488" s="15" t="s">
        <v>6322</v>
      </c>
      <c r="E1488" s="9" t="s">
        <v>7380</v>
      </c>
      <c r="F1488" s="9" t="s">
        <v>7381</v>
      </c>
      <c r="G1488" s="9" t="s">
        <v>179</v>
      </c>
      <c r="H1488" s="2" t="s">
        <v>60</v>
      </c>
      <c r="I1488" s="3">
        <v>36102</v>
      </c>
      <c r="J1488" s="9" t="str">
        <f t="shared" ca="1" si="25"/>
        <v>24 ans</v>
      </c>
      <c r="K1488" s="2" t="s">
        <v>123</v>
      </c>
      <c r="L1488" s="2" t="str">
        <f>"208"</f>
        <v>208</v>
      </c>
      <c r="M1488" s="2"/>
      <c r="N1488" s="2" t="str">
        <f>"RTE 104"</f>
        <v>RTE 104</v>
      </c>
      <c r="O1488" s="2" t="s">
        <v>3186</v>
      </c>
      <c r="P1488" s="9" t="str">
        <f>VLOOKUP($O1488,'Liste des Villes'!$B$2:$B$1128,1,FALSE)</f>
        <v>Saint-Jérôme</v>
      </c>
      <c r="Q1488" s="9" t="str">
        <f>IFERROR($P1488,PROPER(VLOOKUP($O1488,'Villes en erreur'!$A$2:$B$72,2,FALSE)))</f>
        <v>Saint-Jérôme</v>
      </c>
      <c r="R1488" s="9" t="s">
        <v>3186</v>
      </c>
      <c r="S1488" s="9" t="str">
        <f>IF(ISBLANK($R1488),"",VLOOKUP($R1488,'Liste des Villes'!$B$2:$H$1128,4,FALSE))</f>
        <v>Laurentides</v>
      </c>
      <c r="T1488" s="2" t="s">
        <v>7382</v>
      </c>
      <c r="U1488" s="2" t="s">
        <v>39</v>
      </c>
      <c r="V1488" s="2" t="s">
        <v>40</v>
      </c>
      <c r="W1488" s="2" t="s">
        <v>7383</v>
      </c>
      <c r="X1488" s="2"/>
      <c r="Y1488" s="2"/>
      <c r="Z1488" s="2"/>
      <c r="AA1488" s="2" t="s">
        <v>832</v>
      </c>
      <c r="AB1488" s="2" t="s">
        <v>3221</v>
      </c>
      <c r="AC1488" s="4" t="s">
        <v>44</v>
      </c>
    </row>
    <row r="1489" spans="1:29" x14ac:dyDescent="0.25">
      <c r="A1489" s="1">
        <v>1311</v>
      </c>
      <c r="B1489" s="17" t="s">
        <v>7384</v>
      </c>
      <c r="C1489" s="2" t="s">
        <v>7385</v>
      </c>
      <c r="D1489" s="15" t="s">
        <v>7386</v>
      </c>
      <c r="E1489" s="9" t="s">
        <v>600</v>
      </c>
      <c r="F1489" s="9" t="s">
        <v>7387</v>
      </c>
      <c r="G1489" s="9" t="s">
        <v>7159</v>
      </c>
      <c r="H1489" s="2" t="s">
        <v>60</v>
      </c>
      <c r="I1489" s="3">
        <v>34787</v>
      </c>
      <c r="J1489" s="9" t="str">
        <f t="shared" ca="1" si="25"/>
        <v>28 ans</v>
      </c>
      <c r="K1489" s="2" t="s">
        <v>36</v>
      </c>
      <c r="L1489" s="2" t="str">
        <f>"76"</f>
        <v>76</v>
      </c>
      <c r="M1489" s="2"/>
      <c r="N1489" s="2" t="str">
        <f>"CH DES CHATONS"</f>
        <v>CH DES CHATONS</v>
      </c>
      <c r="O1489" s="2" t="s">
        <v>3185</v>
      </c>
      <c r="P1489" s="9" t="str">
        <f>VLOOKUP($O1489,'Liste des Villes'!$B$2:$B$1128,1,FALSE)</f>
        <v>Saint-Jérôme</v>
      </c>
      <c r="Q1489" s="9" t="str">
        <f>IFERROR($P1489,PROPER(VLOOKUP($O1489,'Villes en erreur'!$A$2:$B$72,2,FALSE)))</f>
        <v>Saint-Jérôme</v>
      </c>
      <c r="R1489" s="9" t="s">
        <v>3186</v>
      </c>
      <c r="S1489" s="9" t="str">
        <f>IF(ISBLANK($R1489),"",VLOOKUP($R1489,'Liste des Villes'!$B$2:$H$1128,4,FALSE))</f>
        <v>Laurentides</v>
      </c>
      <c r="T1489" s="2" t="s">
        <v>3187</v>
      </c>
      <c r="U1489" s="2" t="s">
        <v>39</v>
      </c>
      <c r="V1489" s="2" t="s">
        <v>40</v>
      </c>
      <c r="W1489" s="2" t="s">
        <v>7388</v>
      </c>
      <c r="X1489" s="2"/>
      <c r="Y1489" s="2"/>
      <c r="Z1489" s="2"/>
      <c r="AA1489" s="2" t="s">
        <v>3225</v>
      </c>
      <c r="AB1489" s="2" t="s">
        <v>53</v>
      </c>
      <c r="AC1489" s="4" t="s">
        <v>44</v>
      </c>
    </row>
    <row r="1490" spans="1:29" x14ac:dyDescent="0.25">
      <c r="A1490" s="1">
        <v>1620</v>
      </c>
      <c r="B1490" s="17" t="s">
        <v>7389</v>
      </c>
      <c r="C1490" s="2" t="s">
        <v>7390</v>
      </c>
      <c r="D1490" s="15" t="s">
        <v>7391</v>
      </c>
      <c r="E1490" s="9" t="s">
        <v>1377</v>
      </c>
      <c r="F1490" s="9" t="s">
        <v>6879</v>
      </c>
      <c r="G1490" s="9" t="s">
        <v>7392</v>
      </c>
      <c r="H1490" s="2" t="s">
        <v>60</v>
      </c>
      <c r="I1490" s="3">
        <v>35794</v>
      </c>
      <c r="J1490" s="9" t="str">
        <f t="shared" ca="1" si="25"/>
        <v>25 ans</v>
      </c>
      <c r="K1490" s="2" t="s">
        <v>123</v>
      </c>
      <c r="L1490" s="2" t="str">
        <f>"143"</f>
        <v>143</v>
      </c>
      <c r="M1490" s="2"/>
      <c r="N1490" s="2" t="str">
        <f>"GRIGNON BLVD"</f>
        <v>GRIGNON BLVD</v>
      </c>
      <c r="O1490" s="2" t="s">
        <v>3185</v>
      </c>
      <c r="P1490" s="9" t="str">
        <f>VLOOKUP($O1490,'Liste des Villes'!$B$2:$B$1128,1,FALSE)</f>
        <v>Saint-Jérôme</v>
      </c>
      <c r="Q1490" s="9" t="str">
        <f>IFERROR($P1490,PROPER(VLOOKUP($O1490,'Villes en erreur'!$A$2:$B$72,2,FALSE)))</f>
        <v>Saint-Jérôme</v>
      </c>
      <c r="R1490" s="9" t="s">
        <v>3186</v>
      </c>
      <c r="S1490" s="9" t="str">
        <f>IF(ISBLANK($R1490),"",VLOOKUP($R1490,'Liste des Villes'!$B$2:$H$1128,4,FALSE))</f>
        <v>Laurentides</v>
      </c>
      <c r="T1490" s="2" t="s">
        <v>7393</v>
      </c>
      <c r="U1490" s="2" t="s">
        <v>39</v>
      </c>
      <c r="V1490" s="2" t="s">
        <v>40</v>
      </c>
      <c r="W1490" s="2" t="s">
        <v>7394</v>
      </c>
      <c r="X1490" s="2"/>
      <c r="Y1490" s="2"/>
      <c r="Z1490" s="2"/>
      <c r="AA1490" s="2" t="s">
        <v>3243</v>
      </c>
      <c r="AB1490" s="2" t="s">
        <v>3221</v>
      </c>
      <c r="AC1490" s="4" t="s">
        <v>44</v>
      </c>
    </row>
    <row r="1491" spans="1:29" x14ac:dyDescent="0.25">
      <c r="A1491" s="1">
        <v>3351</v>
      </c>
      <c r="B1491" s="17" t="s">
        <v>7395</v>
      </c>
      <c r="C1491" s="2" t="s">
        <v>7396</v>
      </c>
      <c r="D1491" s="15" t="s">
        <v>5420</v>
      </c>
      <c r="E1491" s="9" t="s">
        <v>7397</v>
      </c>
      <c r="F1491" s="9" t="s">
        <v>4296</v>
      </c>
      <c r="G1491" s="9" t="s">
        <v>425</v>
      </c>
      <c r="H1491" s="2" t="s">
        <v>60</v>
      </c>
      <c r="I1491" s="3">
        <v>35361</v>
      </c>
      <c r="J1491" s="9" t="str">
        <f t="shared" ca="1" si="25"/>
        <v>26 ans</v>
      </c>
      <c r="K1491" s="2" t="s">
        <v>36</v>
      </c>
      <c r="L1491" s="2" t="str">
        <f>"111"</f>
        <v>111</v>
      </c>
      <c r="M1491" s="2"/>
      <c r="N1491" s="2" t="str">
        <f>"CHEMIN DES PINS OUEST"</f>
        <v>CHEMIN DES PINS OUEST</v>
      </c>
      <c r="O1491" s="2" t="s">
        <v>3185</v>
      </c>
      <c r="P1491" s="9" t="str">
        <f>VLOOKUP($O1491,'Liste des Villes'!$B$2:$B$1128,1,FALSE)</f>
        <v>Saint-Jérôme</v>
      </c>
      <c r="Q1491" s="9" t="str">
        <f>IFERROR($P1491,PROPER(VLOOKUP($O1491,'Villes en erreur'!$A$2:$B$72,2,FALSE)))</f>
        <v>Saint-Jérôme</v>
      </c>
      <c r="R1491" s="9" t="s">
        <v>3186</v>
      </c>
      <c r="S1491" s="9" t="str">
        <f>IF(ISBLANK($R1491),"",VLOOKUP($R1491,'Liste des Villes'!$B$2:$H$1128,4,FALSE))</f>
        <v>Laurentides</v>
      </c>
      <c r="T1491" s="2" t="s">
        <v>3524</v>
      </c>
      <c r="U1491" s="2" t="s">
        <v>39</v>
      </c>
      <c r="V1491" s="2" t="s">
        <v>40</v>
      </c>
      <c r="W1491" s="2" t="s">
        <v>7398</v>
      </c>
      <c r="X1491" s="2"/>
      <c r="Y1491" s="2"/>
      <c r="Z1491" s="2"/>
      <c r="AA1491" s="2" t="s">
        <v>3189</v>
      </c>
      <c r="AB1491" s="2" t="s">
        <v>3200</v>
      </c>
      <c r="AC1491" s="4" t="s">
        <v>44</v>
      </c>
    </row>
    <row r="1492" spans="1:29" x14ac:dyDescent="0.25">
      <c r="A1492" s="1">
        <v>437</v>
      </c>
      <c r="B1492" s="17" t="s">
        <v>7399</v>
      </c>
      <c r="C1492" s="2" t="s">
        <v>7400</v>
      </c>
      <c r="D1492" s="15" t="s">
        <v>2087</v>
      </c>
      <c r="E1492" s="9" t="s">
        <v>2217</v>
      </c>
      <c r="F1492" s="9" t="s">
        <v>2085</v>
      </c>
      <c r="G1492" s="9" t="s">
        <v>114</v>
      </c>
      <c r="H1492" s="2" t="s">
        <v>60</v>
      </c>
      <c r="I1492" s="3">
        <v>36247</v>
      </c>
      <c r="J1492" s="9" t="str">
        <f t="shared" ca="1" si="25"/>
        <v>24 ans</v>
      </c>
      <c r="K1492" s="2" t="s">
        <v>123</v>
      </c>
      <c r="L1492" s="2" t="str">
        <f>"265"</f>
        <v>265</v>
      </c>
      <c r="M1492" s="2"/>
      <c r="N1492" s="2" t="str">
        <f>"RUE BELISLE"</f>
        <v>RUE BELISLE</v>
      </c>
      <c r="O1492" s="2" t="s">
        <v>3185</v>
      </c>
      <c r="P1492" s="9" t="str">
        <f>VLOOKUP($O1492,'Liste des Villes'!$B$2:$B$1128,1,FALSE)</f>
        <v>Saint-Jérôme</v>
      </c>
      <c r="Q1492" s="9" t="str">
        <f>IFERROR($P1492,PROPER(VLOOKUP($O1492,'Villes en erreur'!$A$2:$B$72,2,FALSE)))</f>
        <v>Saint-Jérôme</v>
      </c>
      <c r="R1492" s="9" t="s">
        <v>3186</v>
      </c>
      <c r="S1492" s="9" t="str">
        <f>IF(ISBLANK($R1492),"",VLOOKUP($R1492,'Liste des Villes'!$B$2:$H$1128,4,FALSE))</f>
        <v>Laurentides</v>
      </c>
      <c r="T1492" s="2" t="s">
        <v>3308</v>
      </c>
      <c r="U1492" s="2" t="s">
        <v>39</v>
      </c>
      <c r="V1492" s="2" t="s">
        <v>40</v>
      </c>
      <c r="W1492" s="2" t="s">
        <v>7401</v>
      </c>
      <c r="X1492" s="2"/>
      <c r="Y1492" s="2"/>
      <c r="Z1492" s="2"/>
      <c r="AA1492" s="2" t="s">
        <v>832</v>
      </c>
      <c r="AB1492" s="2" t="s">
        <v>73</v>
      </c>
      <c r="AC1492" s="4" t="s">
        <v>44</v>
      </c>
    </row>
    <row r="1493" spans="1:29" x14ac:dyDescent="0.25">
      <c r="A1493" s="1">
        <v>4461</v>
      </c>
      <c r="B1493" s="17" t="s">
        <v>7402</v>
      </c>
      <c r="C1493" s="2" t="s">
        <v>4583</v>
      </c>
      <c r="D1493" s="15" t="s">
        <v>462</v>
      </c>
      <c r="E1493" s="9" t="s">
        <v>4584</v>
      </c>
      <c r="F1493" s="9" t="s">
        <v>460</v>
      </c>
      <c r="G1493" s="9" t="s">
        <v>6911</v>
      </c>
      <c r="H1493" s="2" t="s">
        <v>60</v>
      </c>
      <c r="I1493" s="3">
        <v>35938</v>
      </c>
      <c r="J1493" s="9" t="str">
        <f t="shared" ca="1" si="25"/>
        <v>25 ans</v>
      </c>
      <c r="K1493" s="2" t="s">
        <v>123</v>
      </c>
      <c r="L1493" s="2" t="str">
        <f>"164"</f>
        <v>164</v>
      </c>
      <c r="M1493" s="2"/>
      <c r="N1493" s="2" t="str">
        <f>"MONTEE MOREL"</f>
        <v>MONTEE MOREL</v>
      </c>
      <c r="O1493" s="2" t="s">
        <v>3185</v>
      </c>
      <c r="P1493" s="9" t="str">
        <f>VLOOKUP($O1493,'Liste des Villes'!$B$2:$B$1128,1,FALSE)</f>
        <v>Saint-Jérôme</v>
      </c>
      <c r="Q1493" s="9" t="str">
        <f>IFERROR($P1493,PROPER(VLOOKUP($O1493,'Villes en erreur'!$A$2:$B$72,2,FALSE)))</f>
        <v>Saint-Jérôme</v>
      </c>
      <c r="R1493" s="9" t="s">
        <v>3186</v>
      </c>
      <c r="S1493" s="9" t="str">
        <f>IF(ISBLANK($R1493),"",VLOOKUP($R1493,'Liste des Villes'!$B$2:$H$1128,4,FALSE))</f>
        <v>Laurentides</v>
      </c>
      <c r="T1493" s="2" t="s">
        <v>3632</v>
      </c>
      <c r="U1493" s="2" t="s">
        <v>39</v>
      </c>
      <c r="V1493" s="2" t="s">
        <v>40</v>
      </c>
      <c r="W1493" s="2" t="s">
        <v>7403</v>
      </c>
      <c r="X1493" s="2"/>
      <c r="Y1493" s="2"/>
      <c r="Z1493" s="2"/>
      <c r="AA1493" s="2" t="s">
        <v>832</v>
      </c>
      <c r="AB1493" s="2" t="s">
        <v>3221</v>
      </c>
      <c r="AC1493" s="4" t="s">
        <v>44</v>
      </c>
    </row>
    <row r="1494" spans="1:29" x14ac:dyDescent="0.25">
      <c r="A1494" s="1">
        <v>2034</v>
      </c>
      <c r="B1494" s="17" t="s">
        <v>7404</v>
      </c>
      <c r="C1494" s="2" t="s">
        <v>7405</v>
      </c>
      <c r="D1494" s="15" t="s">
        <v>7406</v>
      </c>
      <c r="E1494" s="9" t="s">
        <v>7055</v>
      </c>
      <c r="F1494" s="9" t="s">
        <v>4353</v>
      </c>
      <c r="G1494" s="9" t="s">
        <v>7407</v>
      </c>
      <c r="H1494" s="2" t="s">
        <v>60</v>
      </c>
      <c r="I1494" s="3">
        <v>34051</v>
      </c>
      <c r="J1494" s="9" t="str">
        <f t="shared" ca="1" si="25"/>
        <v>30 ans</v>
      </c>
      <c r="K1494" s="2" t="s">
        <v>36</v>
      </c>
      <c r="L1494" s="2" t="str">
        <f>"44"</f>
        <v>44</v>
      </c>
      <c r="M1494" s="2"/>
      <c r="N1494" s="2" t="str">
        <f>"boul Saint-Canut"</f>
        <v>boul Saint-Canut</v>
      </c>
      <c r="O1494" s="2" t="s">
        <v>3185</v>
      </c>
      <c r="P1494" s="9" t="str">
        <f>VLOOKUP($O1494,'Liste des Villes'!$B$2:$B$1128,1,FALSE)</f>
        <v>Saint-Jérôme</v>
      </c>
      <c r="Q1494" s="9" t="str">
        <f>IFERROR($P1494,PROPER(VLOOKUP($O1494,'Villes en erreur'!$A$2:$B$72,2,FALSE)))</f>
        <v>Saint-Jérôme</v>
      </c>
      <c r="R1494" s="9" t="s">
        <v>3186</v>
      </c>
      <c r="S1494" s="9" t="str">
        <f>IF(ISBLANK($R1494),"",VLOOKUP($R1494,'Liste des Villes'!$B$2:$H$1128,4,FALSE))</f>
        <v>Laurentides</v>
      </c>
      <c r="T1494" s="2" t="s">
        <v>3205</v>
      </c>
      <c r="U1494" s="2" t="s">
        <v>39</v>
      </c>
      <c r="V1494" s="2" t="s">
        <v>40</v>
      </c>
      <c r="W1494" s="2" t="s">
        <v>7408</v>
      </c>
      <c r="X1494" s="2"/>
      <c r="Y1494" s="2"/>
      <c r="Z1494" s="2"/>
      <c r="AA1494" s="2" t="s">
        <v>3207</v>
      </c>
      <c r="AB1494" s="2" t="s">
        <v>53</v>
      </c>
      <c r="AC1494" s="4" t="s">
        <v>44</v>
      </c>
    </row>
    <row r="1495" spans="1:29" x14ac:dyDescent="0.25">
      <c r="A1495" s="1">
        <v>1726</v>
      </c>
      <c r="B1495" s="17" t="s">
        <v>7409</v>
      </c>
      <c r="C1495" s="2" t="s">
        <v>7410</v>
      </c>
      <c r="D1495" s="15" t="s">
        <v>5451</v>
      </c>
      <c r="E1495" s="9" t="s">
        <v>397</v>
      </c>
      <c r="F1495" s="9" t="s">
        <v>3341</v>
      </c>
      <c r="G1495" s="9" t="s">
        <v>600</v>
      </c>
      <c r="H1495" s="2" t="s">
        <v>60</v>
      </c>
      <c r="I1495" s="3">
        <v>35975</v>
      </c>
      <c r="J1495" s="9" t="str">
        <f t="shared" ca="1" si="25"/>
        <v>25 ans</v>
      </c>
      <c r="K1495" s="2" t="s">
        <v>123</v>
      </c>
      <c r="L1495" s="2" t="str">
        <f>"171"</f>
        <v>171</v>
      </c>
      <c r="M1495" s="2"/>
      <c r="N1495" s="2" t="str">
        <f>"PERRAS BLVD"</f>
        <v>PERRAS BLVD</v>
      </c>
      <c r="O1495" s="2" t="s">
        <v>3185</v>
      </c>
      <c r="P1495" s="9" t="str">
        <f>VLOOKUP($O1495,'Liste des Villes'!$B$2:$B$1128,1,FALSE)</f>
        <v>Saint-Jérôme</v>
      </c>
      <c r="Q1495" s="9" t="str">
        <f>IFERROR($P1495,PROPER(VLOOKUP($O1495,'Villes en erreur'!$A$2:$B$72,2,FALSE)))</f>
        <v>Saint-Jérôme</v>
      </c>
      <c r="R1495" s="9" t="s">
        <v>3186</v>
      </c>
      <c r="S1495" s="9" t="str">
        <f>IF(ISBLANK($R1495),"",VLOOKUP($R1495,'Liste des Villes'!$B$2:$H$1128,4,FALSE))</f>
        <v>Laurentides</v>
      </c>
      <c r="T1495" s="2" t="s">
        <v>7411</v>
      </c>
      <c r="U1495" s="2" t="s">
        <v>39</v>
      </c>
      <c r="V1495" s="2" t="s">
        <v>40</v>
      </c>
      <c r="W1495" s="2" t="s">
        <v>7412</v>
      </c>
      <c r="X1495" s="2"/>
      <c r="Y1495" s="2"/>
      <c r="Z1495" s="2"/>
      <c r="AA1495" s="2" t="s">
        <v>832</v>
      </c>
      <c r="AB1495" s="2" t="s">
        <v>3221</v>
      </c>
      <c r="AC1495" s="4" t="s">
        <v>44</v>
      </c>
    </row>
    <row r="1496" spans="1:29" x14ac:dyDescent="0.25">
      <c r="A1496" s="1">
        <v>4584</v>
      </c>
      <c r="B1496" s="17" t="s">
        <v>7413</v>
      </c>
      <c r="C1496" s="2" t="s">
        <v>3962</v>
      </c>
      <c r="D1496" s="15" t="s">
        <v>3963</v>
      </c>
      <c r="E1496" s="9" t="s">
        <v>3964</v>
      </c>
      <c r="F1496" s="9" t="s">
        <v>1800</v>
      </c>
      <c r="G1496" s="9" t="s">
        <v>5462</v>
      </c>
      <c r="H1496" s="2" t="s">
        <v>60</v>
      </c>
      <c r="I1496" s="3">
        <v>36193</v>
      </c>
      <c r="J1496" s="9" t="str">
        <f t="shared" ca="1" si="25"/>
        <v>24 ans</v>
      </c>
      <c r="K1496" s="2" t="s">
        <v>123</v>
      </c>
      <c r="L1496" s="2" t="str">
        <f>"238"</f>
        <v>238</v>
      </c>
      <c r="M1496" s="2"/>
      <c r="N1496" s="2" t="str">
        <f>"RUE ANTONIN-CAMPEAU"</f>
        <v>RUE ANTONIN-CAMPEAU</v>
      </c>
      <c r="O1496" s="2" t="s">
        <v>3185</v>
      </c>
      <c r="P1496" s="9" t="str">
        <f>VLOOKUP($O1496,'Liste des Villes'!$B$2:$B$1128,1,FALSE)</f>
        <v>Saint-Jérôme</v>
      </c>
      <c r="Q1496" s="9" t="str">
        <f>IFERROR($P1496,PROPER(VLOOKUP($O1496,'Villes en erreur'!$A$2:$B$72,2,FALSE)))</f>
        <v>Saint-Jérôme</v>
      </c>
      <c r="R1496" s="9" t="s">
        <v>3186</v>
      </c>
      <c r="S1496" s="9" t="str">
        <f>IF(ISBLANK($R1496),"",VLOOKUP($R1496,'Liste des Villes'!$B$2:$H$1128,4,FALSE))</f>
        <v>Laurentides</v>
      </c>
      <c r="T1496" s="2" t="s">
        <v>7414</v>
      </c>
      <c r="U1496" s="2" t="s">
        <v>39</v>
      </c>
      <c r="V1496" s="2" t="s">
        <v>40</v>
      </c>
      <c r="W1496" s="2" t="s">
        <v>7415</v>
      </c>
      <c r="X1496" s="2"/>
      <c r="Y1496" s="2"/>
      <c r="Z1496" s="2"/>
      <c r="AA1496" s="2" t="s">
        <v>832</v>
      </c>
      <c r="AB1496" s="2" t="s">
        <v>3288</v>
      </c>
      <c r="AC1496" s="4" t="s">
        <v>44</v>
      </c>
    </row>
    <row r="1497" spans="1:29" x14ac:dyDescent="0.25">
      <c r="A1497" s="1">
        <v>1424</v>
      </c>
      <c r="B1497" s="17" t="s">
        <v>7416</v>
      </c>
      <c r="C1497" s="2" t="s">
        <v>4624</v>
      </c>
      <c r="D1497" s="15" t="s">
        <v>1070</v>
      </c>
      <c r="E1497" s="9" t="s">
        <v>1236</v>
      </c>
      <c r="F1497" s="9" t="s">
        <v>2698</v>
      </c>
      <c r="G1497" s="9" t="s">
        <v>3766</v>
      </c>
      <c r="H1497" s="2" t="s">
        <v>35</v>
      </c>
      <c r="I1497" s="3">
        <v>36031</v>
      </c>
      <c r="J1497" s="9" t="str">
        <f t="shared" ca="1" si="25"/>
        <v>25 ans</v>
      </c>
      <c r="K1497" s="2" t="s">
        <v>123</v>
      </c>
      <c r="L1497" s="2" t="str">
        <f>"184"</f>
        <v>184</v>
      </c>
      <c r="M1497" s="2"/>
      <c r="N1497" s="2" t="str">
        <f>"PLACE LESAGE"</f>
        <v>PLACE LESAGE</v>
      </c>
      <c r="O1497" s="2" t="s">
        <v>3185</v>
      </c>
      <c r="P1497" s="9" t="str">
        <f>VLOOKUP($O1497,'Liste des Villes'!$B$2:$B$1128,1,FALSE)</f>
        <v>Saint-Jérôme</v>
      </c>
      <c r="Q1497" s="9" t="str">
        <f>IFERROR($P1497,PROPER(VLOOKUP($O1497,'Villes en erreur'!$A$2:$B$72,2,FALSE)))</f>
        <v>Saint-Jérôme</v>
      </c>
      <c r="R1497" s="9" t="s">
        <v>3186</v>
      </c>
      <c r="S1497" s="9" t="str">
        <f>IF(ISBLANK($R1497),"",VLOOKUP($R1497,'Liste des Villes'!$B$2:$H$1128,4,FALSE))</f>
        <v>Laurentides</v>
      </c>
      <c r="T1497" s="2" t="s">
        <v>4107</v>
      </c>
      <c r="U1497" s="2" t="s">
        <v>39</v>
      </c>
      <c r="V1497" s="2" t="s">
        <v>40</v>
      </c>
      <c r="W1497" s="2" t="s">
        <v>7417</v>
      </c>
      <c r="X1497" s="2"/>
      <c r="Y1497" s="2"/>
      <c r="Z1497" s="2"/>
      <c r="AA1497" s="2" t="s">
        <v>832</v>
      </c>
      <c r="AB1497" s="2" t="s">
        <v>3221</v>
      </c>
      <c r="AC1497" s="4" t="s">
        <v>44</v>
      </c>
    </row>
    <row r="1498" spans="1:29" x14ac:dyDescent="0.25">
      <c r="A1498" s="1">
        <v>2785</v>
      </c>
      <c r="B1498" s="17" t="s">
        <v>7418</v>
      </c>
      <c r="C1498" s="2" t="s">
        <v>7419</v>
      </c>
      <c r="D1498" s="15" t="s">
        <v>3765</v>
      </c>
      <c r="E1498" s="9" t="s">
        <v>7040</v>
      </c>
      <c r="F1498" s="9" t="s">
        <v>7420</v>
      </c>
      <c r="G1498" s="9" t="s">
        <v>2461</v>
      </c>
      <c r="H1498" s="2" t="s">
        <v>60</v>
      </c>
      <c r="I1498" s="3">
        <v>35669</v>
      </c>
      <c r="J1498" s="9" t="str">
        <f t="shared" ca="1" si="25"/>
        <v>25 ans</v>
      </c>
      <c r="K1498" s="2" t="s">
        <v>36</v>
      </c>
      <c r="L1498" s="2" t="str">
        <f>"133"</f>
        <v>133</v>
      </c>
      <c r="M1498" s="2"/>
      <c r="N1498" s="2" t="str">
        <f>"DE VENISE"</f>
        <v>DE VENISE</v>
      </c>
      <c r="O1498" s="2" t="s">
        <v>3185</v>
      </c>
      <c r="P1498" s="9" t="str">
        <f>VLOOKUP($O1498,'Liste des Villes'!$B$2:$B$1128,1,FALSE)</f>
        <v>Saint-Jérôme</v>
      </c>
      <c r="Q1498" s="9" t="str">
        <f>IFERROR($P1498,PROPER(VLOOKUP($O1498,'Villes en erreur'!$A$2:$B$72,2,FALSE)))</f>
        <v>Saint-Jérôme</v>
      </c>
      <c r="R1498" s="9" t="s">
        <v>3186</v>
      </c>
      <c r="S1498" s="9" t="str">
        <f>IF(ISBLANK($R1498),"",VLOOKUP($R1498,'Liste des Villes'!$B$2:$H$1128,4,FALSE))</f>
        <v>Laurentides</v>
      </c>
      <c r="T1498" s="2" t="s">
        <v>7421</v>
      </c>
      <c r="U1498" s="2" t="s">
        <v>39</v>
      </c>
      <c r="V1498" s="2" t="s">
        <v>40</v>
      </c>
      <c r="W1498" s="2" t="s">
        <v>7422</v>
      </c>
      <c r="X1498" s="2"/>
      <c r="Y1498" s="2"/>
      <c r="Z1498" s="2"/>
      <c r="AA1498" s="2" t="s">
        <v>3243</v>
      </c>
      <c r="AB1498" s="2" t="s">
        <v>3221</v>
      </c>
      <c r="AC1498" s="4" t="s">
        <v>44</v>
      </c>
    </row>
    <row r="1499" spans="1:29" x14ac:dyDescent="0.25">
      <c r="A1499" s="1">
        <v>362</v>
      </c>
      <c r="B1499" s="17" t="s">
        <v>7423</v>
      </c>
      <c r="C1499" s="2" t="s">
        <v>7424</v>
      </c>
      <c r="D1499" s="15" t="s">
        <v>7425</v>
      </c>
      <c r="E1499" s="9" t="s">
        <v>354</v>
      </c>
      <c r="F1499" s="9" t="s">
        <v>7426</v>
      </c>
      <c r="G1499" s="9" t="s">
        <v>332</v>
      </c>
      <c r="H1499" s="2" t="s">
        <v>60</v>
      </c>
      <c r="I1499" s="3">
        <v>35576</v>
      </c>
      <c r="J1499" s="9" t="str">
        <f t="shared" ca="1" si="25"/>
        <v>26 ans</v>
      </c>
      <c r="K1499" s="2" t="s">
        <v>36</v>
      </c>
      <c r="L1499" s="2" t="str">
        <f>"126"</f>
        <v>126</v>
      </c>
      <c r="M1499" s="2"/>
      <c r="N1499" s="2" t="str">
        <f>"CROIS VARIN"</f>
        <v>CROIS VARIN</v>
      </c>
      <c r="O1499" s="2" t="s">
        <v>3185</v>
      </c>
      <c r="P1499" s="9" t="str">
        <f>VLOOKUP($O1499,'Liste des Villes'!$B$2:$B$1128,1,FALSE)</f>
        <v>Saint-Jérôme</v>
      </c>
      <c r="Q1499" s="9" t="str">
        <f>IFERROR($P1499,PROPER(VLOOKUP($O1499,'Villes en erreur'!$A$2:$B$72,2,FALSE)))</f>
        <v>Saint-Jérôme</v>
      </c>
      <c r="R1499" s="9" t="s">
        <v>3186</v>
      </c>
      <c r="S1499" s="9" t="str">
        <f>IF(ISBLANK($R1499),"",VLOOKUP($R1499,'Liste des Villes'!$B$2:$H$1128,4,FALSE))</f>
        <v>Laurentides</v>
      </c>
      <c r="T1499" s="2" t="s">
        <v>5697</v>
      </c>
      <c r="U1499" s="2" t="s">
        <v>39</v>
      </c>
      <c r="V1499" s="2" t="s">
        <v>40</v>
      </c>
      <c r="W1499" s="2" t="s">
        <v>7427</v>
      </c>
      <c r="X1499" s="2"/>
      <c r="Y1499" s="2"/>
      <c r="Z1499" s="2"/>
      <c r="AA1499" s="2" t="s">
        <v>3199</v>
      </c>
      <c r="AB1499" s="2" t="s">
        <v>3221</v>
      </c>
      <c r="AC1499" s="4" t="s">
        <v>44</v>
      </c>
    </row>
    <row r="1500" spans="1:29" x14ac:dyDescent="0.25">
      <c r="A1500" s="1">
        <v>480</v>
      </c>
      <c r="B1500" s="17" t="s">
        <v>7428</v>
      </c>
      <c r="C1500" s="2" t="s">
        <v>7429</v>
      </c>
      <c r="D1500" s="15" t="s">
        <v>7430</v>
      </c>
      <c r="E1500" s="9" t="s">
        <v>5476</v>
      </c>
      <c r="F1500" s="9" t="s">
        <v>31</v>
      </c>
      <c r="G1500" s="9" t="s">
        <v>2134</v>
      </c>
      <c r="H1500" s="2" t="s">
        <v>60</v>
      </c>
      <c r="I1500" s="3">
        <v>34785</v>
      </c>
      <c r="J1500" s="9" t="str">
        <f t="shared" ca="1" si="25"/>
        <v>28 ans</v>
      </c>
      <c r="K1500" s="2" t="s">
        <v>36</v>
      </c>
      <c r="L1500" s="2" t="str">
        <f>"76"</f>
        <v>76</v>
      </c>
      <c r="M1500" s="2"/>
      <c r="N1500" s="2" t="str">
        <f>"CH DES CASCADES"</f>
        <v>CH DES CASCADES</v>
      </c>
      <c r="O1500" s="2" t="s">
        <v>3185</v>
      </c>
      <c r="P1500" s="9" t="str">
        <f>VLOOKUP($O1500,'Liste des Villes'!$B$2:$B$1128,1,FALSE)</f>
        <v>Saint-Jérôme</v>
      </c>
      <c r="Q1500" s="9" t="str">
        <f>IFERROR($P1500,PROPER(VLOOKUP($O1500,'Villes en erreur'!$A$2:$B$72,2,FALSE)))</f>
        <v>Saint-Jérôme</v>
      </c>
      <c r="R1500" s="9" t="s">
        <v>3186</v>
      </c>
      <c r="S1500" s="9" t="str">
        <f>IF(ISBLANK($R1500),"",VLOOKUP($R1500,'Liste des Villes'!$B$2:$H$1128,4,FALSE))</f>
        <v>Laurentides</v>
      </c>
      <c r="T1500" s="2" t="s">
        <v>3187</v>
      </c>
      <c r="U1500" s="2" t="s">
        <v>39</v>
      </c>
      <c r="V1500" s="2" t="s">
        <v>40</v>
      </c>
      <c r="W1500" s="2" t="s">
        <v>7431</v>
      </c>
      <c r="X1500" s="2"/>
      <c r="Y1500" s="2"/>
      <c r="Z1500" s="2"/>
      <c r="AA1500" s="2" t="s">
        <v>3225</v>
      </c>
      <c r="AB1500" s="2" t="s">
        <v>53</v>
      </c>
      <c r="AC1500" s="4" t="s">
        <v>44</v>
      </c>
    </row>
    <row r="1501" spans="1:29" x14ac:dyDescent="0.25">
      <c r="A1501" s="1">
        <v>2257</v>
      </c>
      <c r="B1501" s="17" t="s">
        <v>7432</v>
      </c>
      <c r="C1501" s="2" t="s">
        <v>7433</v>
      </c>
      <c r="D1501" s="15" t="s">
        <v>6916</v>
      </c>
      <c r="E1501" s="9" t="s">
        <v>253</v>
      </c>
      <c r="F1501" s="9" t="s">
        <v>6915</v>
      </c>
      <c r="G1501" s="9" t="s">
        <v>1037</v>
      </c>
      <c r="H1501" s="2" t="s">
        <v>35</v>
      </c>
      <c r="I1501" s="3">
        <v>36070</v>
      </c>
      <c r="J1501" s="9" t="str">
        <f t="shared" ca="1" si="25"/>
        <v>24 ans</v>
      </c>
      <c r="K1501" s="2" t="s">
        <v>123</v>
      </c>
      <c r="L1501" s="2" t="str">
        <f>"197"</f>
        <v>197</v>
      </c>
      <c r="M1501" s="2"/>
      <c r="N1501" s="2" t="str">
        <f>"RANG SAINT-AMBROISE"</f>
        <v>RANG SAINT-AMBROISE</v>
      </c>
      <c r="O1501" s="2" t="s">
        <v>3185</v>
      </c>
      <c r="P1501" s="9" t="str">
        <f>VLOOKUP($O1501,'Liste des Villes'!$B$2:$B$1128,1,FALSE)</f>
        <v>Saint-Jérôme</v>
      </c>
      <c r="Q1501" s="9" t="str">
        <f>IFERROR($P1501,PROPER(VLOOKUP($O1501,'Villes en erreur'!$A$2:$B$72,2,FALSE)))</f>
        <v>Saint-Jérôme</v>
      </c>
      <c r="R1501" s="9" t="s">
        <v>3186</v>
      </c>
      <c r="S1501" s="9" t="str">
        <f>IF(ISBLANK($R1501),"",VLOOKUP($R1501,'Liste des Villes'!$B$2:$H$1128,4,FALSE))</f>
        <v>Laurentides</v>
      </c>
      <c r="T1501" s="2" t="s">
        <v>7434</v>
      </c>
      <c r="U1501" s="2" t="s">
        <v>39</v>
      </c>
      <c r="V1501" s="2" t="s">
        <v>40</v>
      </c>
      <c r="W1501" s="2" t="s">
        <v>7435</v>
      </c>
      <c r="X1501" s="2"/>
      <c r="Y1501" s="2"/>
      <c r="Z1501" s="2"/>
      <c r="AA1501" s="2" t="s">
        <v>832</v>
      </c>
      <c r="AB1501" s="2" t="s">
        <v>3221</v>
      </c>
      <c r="AC1501" s="4" t="s">
        <v>44</v>
      </c>
    </row>
    <row r="1502" spans="1:29" x14ac:dyDescent="0.25">
      <c r="A1502" s="1">
        <v>673</v>
      </c>
      <c r="B1502" s="17" t="s">
        <v>7436</v>
      </c>
      <c r="C1502" s="2" t="s">
        <v>7437</v>
      </c>
      <c r="D1502" s="15" t="s">
        <v>7033</v>
      </c>
      <c r="E1502" s="9" t="s">
        <v>5676</v>
      </c>
      <c r="F1502" s="9" t="s">
        <v>7438</v>
      </c>
      <c r="G1502" s="9" t="s">
        <v>7153</v>
      </c>
      <c r="H1502" s="2" t="s">
        <v>60</v>
      </c>
      <c r="I1502" s="3">
        <v>35286</v>
      </c>
      <c r="J1502" s="9" t="str">
        <f t="shared" ca="1" si="25"/>
        <v>27 ans</v>
      </c>
      <c r="K1502" s="2" t="s">
        <v>36</v>
      </c>
      <c r="L1502" s="2" t="str">
        <f>"108"</f>
        <v>108</v>
      </c>
      <c r="M1502" s="2"/>
      <c r="N1502" s="2" t="str">
        <f>"CHEMIN DE L'ACHIGAN SUD"</f>
        <v>CHEMIN DE L'ACHIGAN SUD</v>
      </c>
      <c r="O1502" s="2" t="s">
        <v>3185</v>
      </c>
      <c r="P1502" s="9" t="str">
        <f>VLOOKUP($O1502,'Liste des Villes'!$B$2:$B$1128,1,FALSE)</f>
        <v>Saint-Jérôme</v>
      </c>
      <c r="Q1502" s="9" t="str">
        <f>IFERROR($P1502,PROPER(VLOOKUP($O1502,'Villes en erreur'!$A$2:$B$72,2,FALSE)))</f>
        <v>Saint-Jérôme</v>
      </c>
      <c r="R1502" s="9" t="s">
        <v>3186</v>
      </c>
      <c r="S1502" s="9" t="str">
        <f>IF(ISBLANK($R1502),"",VLOOKUP($R1502,'Liste des Villes'!$B$2:$H$1128,4,FALSE))</f>
        <v>Laurentides</v>
      </c>
      <c r="T1502" s="2" t="s">
        <v>7288</v>
      </c>
      <c r="U1502" s="2" t="s">
        <v>39</v>
      </c>
      <c r="V1502" s="2" t="s">
        <v>40</v>
      </c>
      <c r="W1502" s="2" t="s">
        <v>7439</v>
      </c>
      <c r="X1502" s="2"/>
      <c r="Y1502" s="2"/>
      <c r="Z1502" s="2"/>
      <c r="AA1502" s="2" t="s">
        <v>3189</v>
      </c>
      <c r="AB1502" s="2" t="s">
        <v>3190</v>
      </c>
      <c r="AC1502" s="4" t="s">
        <v>44</v>
      </c>
    </row>
    <row r="1503" spans="1:29" x14ac:dyDescent="0.25">
      <c r="A1503" s="1">
        <v>2103</v>
      </c>
      <c r="B1503" s="17" t="s">
        <v>7440</v>
      </c>
      <c r="C1503" s="2" t="s">
        <v>7441</v>
      </c>
      <c r="D1503" s="15" t="s">
        <v>5738</v>
      </c>
      <c r="E1503" s="9" t="s">
        <v>495</v>
      </c>
      <c r="F1503" s="9" t="s">
        <v>438</v>
      </c>
      <c r="G1503" s="9" t="s">
        <v>332</v>
      </c>
      <c r="H1503" s="2" t="s">
        <v>60</v>
      </c>
      <c r="I1503" s="3">
        <v>35572</v>
      </c>
      <c r="J1503" s="9" t="str">
        <f t="shared" ca="1" si="25"/>
        <v>26 ans</v>
      </c>
      <c r="K1503" s="2" t="s">
        <v>36</v>
      </c>
      <c r="L1503" s="2" t="str">
        <f>"125"</f>
        <v>125</v>
      </c>
      <c r="M1503" s="2"/>
      <c r="N1503" s="2" t="str">
        <f>"CROIS L'ÉCUYER"</f>
        <v>CROIS L'ÉCUYER</v>
      </c>
      <c r="O1503" s="2" t="s">
        <v>3185</v>
      </c>
      <c r="P1503" s="9" t="str">
        <f>VLOOKUP($O1503,'Liste des Villes'!$B$2:$B$1128,1,FALSE)</f>
        <v>Saint-Jérôme</v>
      </c>
      <c r="Q1503" s="9" t="str">
        <f>IFERROR($P1503,PROPER(VLOOKUP($O1503,'Villes en erreur'!$A$2:$B$72,2,FALSE)))</f>
        <v>Saint-Jérôme</v>
      </c>
      <c r="R1503" s="9" t="s">
        <v>3186</v>
      </c>
      <c r="S1503" s="9" t="str">
        <f>IF(ISBLANK($R1503),"",VLOOKUP($R1503,'Liste des Villes'!$B$2:$H$1128,4,FALSE))</f>
        <v>Laurentides</v>
      </c>
      <c r="T1503" s="2" t="s">
        <v>5697</v>
      </c>
      <c r="U1503" s="2" t="s">
        <v>39</v>
      </c>
      <c r="V1503" s="2" t="s">
        <v>40</v>
      </c>
      <c r="W1503" s="2" t="s">
        <v>7442</v>
      </c>
      <c r="X1503" s="2"/>
      <c r="Y1503" s="2"/>
      <c r="Z1503" s="2"/>
      <c r="AA1503" s="2" t="s">
        <v>3199</v>
      </c>
      <c r="AB1503" s="2" t="s">
        <v>3221</v>
      </c>
      <c r="AC1503" s="4" t="s">
        <v>44</v>
      </c>
    </row>
    <row r="1504" spans="1:29" x14ac:dyDescent="0.25">
      <c r="A1504" s="1">
        <v>3880</v>
      </c>
      <c r="B1504" s="17" t="s">
        <v>7443</v>
      </c>
      <c r="C1504" s="2" t="s">
        <v>7444</v>
      </c>
      <c r="D1504" s="15" t="s">
        <v>7445</v>
      </c>
      <c r="E1504" s="9" t="s">
        <v>956</v>
      </c>
      <c r="F1504" s="9" t="s">
        <v>106</v>
      </c>
      <c r="G1504" s="9" t="s">
        <v>114</v>
      </c>
      <c r="H1504" s="2" t="s">
        <v>60</v>
      </c>
      <c r="I1504" s="3">
        <v>36254</v>
      </c>
      <c r="J1504" s="9" t="str">
        <f t="shared" ca="1" si="25"/>
        <v>24 ans</v>
      </c>
      <c r="K1504" s="2" t="s">
        <v>123</v>
      </c>
      <c r="L1504" s="2" t="str">
        <f>"270"</f>
        <v>270</v>
      </c>
      <c r="M1504" s="2"/>
      <c r="N1504" s="2" t="str">
        <f>"RUE BERNARD"</f>
        <v>RUE BERNARD</v>
      </c>
      <c r="O1504" s="2" t="s">
        <v>3185</v>
      </c>
      <c r="P1504" s="9" t="str">
        <f>VLOOKUP($O1504,'Liste des Villes'!$B$2:$B$1128,1,FALSE)</f>
        <v>Saint-Jérôme</v>
      </c>
      <c r="Q1504" s="9" t="str">
        <f>IFERROR($P1504,PROPER(VLOOKUP($O1504,'Villes en erreur'!$A$2:$B$72,2,FALSE)))</f>
        <v>Saint-Jérôme</v>
      </c>
      <c r="R1504" s="9" t="s">
        <v>3186</v>
      </c>
      <c r="S1504" s="9" t="str">
        <f>IF(ISBLANK($R1504),"",VLOOKUP($R1504,'Liste des Villes'!$B$2:$H$1128,4,FALSE))</f>
        <v>Laurentides</v>
      </c>
      <c r="T1504" s="2" t="s">
        <v>1238</v>
      </c>
      <c r="U1504" s="2" t="s">
        <v>39</v>
      </c>
      <c r="V1504" s="2" t="s">
        <v>40</v>
      </c>
      <c r="W1504" s="2" t="s">
        <v>7446</v>
      </c>
      <c r="X1504" s="2"/>
      <c r="Y1504" s="2"/>
      <c r="Z1504" s="2"/>
      <c r="AA1504" s="2" t="s">
        <v>832</v>
      </c>
      <c r="AB1504" s="2" t="s">
        <v>73</v>
      </c>
      <c r="AC1504" s="4" t="s">
        <v>44</v>
      </c>
    </row>
    <row r="1505" spans="1:29" x14ac:dyDescent="0.25">
      <c r="A1505" s="1">
        <v>2127</v>
      </c>
      <c r="B1505" s="17" t="s">
        <v>7447</v>
      </c>
      <c r="C1505" s="2" t="s">
        <v>1922</v>
      </c>
      <c r="D1505" s="15" t="s">
        <v>1923</v>
      </c>
      <c r="E1505" s="9" t="s">
        <v>1924</v>
      </c>
      <c r="F1505" s="9" t="s">
        <v>1925</v>
      </c>
      <c r="G1505" s="9" t="s">
        <v>7448</v>
      </c>
      <c r="H1505" s="2" t="s">
        <v>60</v>
      </c>
      <c r="I1505" s="3">
        <v>35822</v>
      </c>
      <c r="J1505" s="9" t="str">
        <f t="shared" ca="1" si="25"/>
        <v>25 ans</v>
      </c>
      <c r="K1505" s="2" t="s">
        <v>123</v>
      </c>
      <c r="L1505" s="2" t="str">
        <f>"145"</f>
        <v>145</v>
      </c>
      <c r="M1505" s="2"/>
      <c r="N1505" s="2" t="str">
        <f>"JACQUES-FERRON"</f>
        <v>JACQUES-FERRON</v>
      </c>
      <c r="O1505" s="2" t="s">
        <v>3185</v>
      </c>
      <c r="P1505" s="9" t="str">
        <f>VLOOKUP($O1505,'Liste des Villes'!$B$2:$B$1128,1,FALSE)</f>
        <v>Saint-Jérôme</v>
      </c>
      <c r="Q1505" s="9" t="str">
        <f>IFERROR($P1505,PROPER(VLOOKUP($O1505,'Villes en erreur'!$A$2:$B$72,2,FALSE)))</f>
        <v>Saint-Jérôme</v>
      </c>
      <c r="R1505" s="9" t="s">
        <v>3186</v>
      </c>
      <c r="S1505" s="9" t="str">
        <f>IF(ISBLANK($R1505),"",VLOOKUP($R1505,'Liste des Villes'!$B$2:$H$1128,4,FALSE))</f>
        <v>Laurentides</v>
      </c>
      <c r="T1505" s="2" t="s">
        <v>7170</v>
      </c>
      <c r="U1505" s="2" t="s">
        <v>39</v>
      </c>
      <c r="V1505" s="2" t="s">
        <v>40</v>
      </c>
      <c r="W1505" s="2" t="s">
        <v>7449</v>
      </c>
      <c r="X1505" s="2"/>
      <c r="Y1505" s="2"/>
      <c r="Z1505" s="2"/>
      <c r="AA1505" s="2" t="s">
        <v>3243</v>
      </c>
      <c r="AB1505" s="2" t="s">
        <v>3221</v>
      </c>
      <c r="AC1505" s="4" t="s">
        <v>44</v>
      </c>
    </row>
    <row r="1506" spans="1:29" x14ac:dyDescent="0.25">
      <c r="A1506" s="1">
        <v>926</v>
      </c>
      <c r="B1506" s="17" t="s">
        <v>7450</v>
      </c>
      <c r="C1506" s="2" t="s">
        <v>7451</v>
      </c>
      <c r="D1506" s="15" t="s">
        <v>7452</v>
      </c>
      <c r="E1506" s="9" t="s">
        <v>860</v>
      </c>
      <c r="F1506" s="9" t="s">
        <v>861</v>
      </c>
      <c r="G1506" s="9" t="s">
        <v>3274</v>
      </c>
      <c r="H1506" s="2" t="s">
        <v>35</v>
      </c>
      <c r="I1506" s="3">
        <v>35136</v>
      </c>
      <c r="J1506" s="9" t="str">
        <f t="shared" ca="1" si="25"/>
        <v>27 ans</v>
      </c>
      <c r="K1506" s="2" t="s">
        <v>36</v>
      </c>
      <c r="L1506" s="2" t="str">
        <f>"102"</f>
        <v>102</v>
      </c>
      <c r="M1506" s="2"/>
      <c r="N1506" s="2" t="str">
        <f>"CH NYMARK"</f>
        <v>CH NYMARK</v>
      </c>
      <c r="O1506" s="2" t="s">
        <v>3185</v>
      </c>
      <c r="P1506" s="9" t="str">
        <f>VLOOKUP($O1506,'Liste des Villes'!$B$2:$B$1128,1,FALSE)</f>
        <v>Saint-Jérôme</v>
      </c>
      <c r="Q1506" s="9" t="str">
        <f>IFERROR($P1506,PROPER(VLOOKUP($O1506,'Villes en erreur'!$A$2:$B$72,2,FALSE)))</f>
        <v>Saint-Jérôme</v>
      </c>
      <c r="R1506" s="9" t="s">
        <v>3186</v>
      </c>
      <c r="S1506" s="9" t="str">
        <f>IF(ISBLANK($R1506),"",VLOOKUP($R1506,'Liste des Villes'!$B$2:$H$1128,4,FALSE))</f>
        <v>Laurentides</v>
      </c>
      <c r="T1506" s="2" t="s">
        <v>3187</v>
      </c>
      <c r="U1506" s="2" t="s">
        <v>39</v>
      </c>
      <c r="V1506" s="2" t="s">
        <v>40</v>
      </c>
      <c r="W1506" s="2" t="s">
        <v>7453</v>
      </c>
      <c r="X1506" s="2"/>
      <c r="Y1506" s="2"/>
      <c r="Z1506" s="2"/>
      <c r="AA1506" s="2" t="s">
        <v>3189</v>
      </c>
      <c r="AB1506" s="2" t="s">
        <v>3190</v>
      </c>
      <c r="AC1506" s="4" t="s">
        <v>44</v>
      </c>
    </row>
    <row r="1507" spans="1:29" x14ac:dyDescent="0.25">
      <c r="A1507" s="1">
        <v>4441</v>
      </c>
      <c r="B1507" s="17" t="s">
        <v>7454</v>
      </c>
      <c r="C1507" s="2" t="s">
        <v>7455</v>
      </c>
      <c r="D1507" s="15" t="s">
        <v>7456</v>
      </c>
      <c r="E1507" s="9" t="s">
        <v>1091</v>
      </c>
      <c r="F1507" s="9" t="s">
        <v>7457</v>
      </c>
      <c r="G1507" s="9" t="s">
        <v>332</v>
      </c>
      <c r="H1507" s="2" t="s">
        <v>60</v>
      </c>
      <c r="I1507" s="3">
        <v>35522</v>
      </c>
      <c r="J1507" s="9" t="str">
        <f t="shared" ca="1" si="25"/>
        <v>26 ans</v>
      </c>
      <c r="K1507" s="2" t="s">
        <v>36</v>
      </c>
      <c r="L1507" s="2" t="str">
        <f>"120"</f>
        <v>120</v>
      </c>
      <c r="M1507" s="2"/>
      <c r="N1507" s="2" t="str">
        <f>"CÔTE SAINT PAUL"</f>
        <v>CÔTE SAINT PAUL</v>
      </c>
      <c r="O1507" s="2" t="s">
        <v>3185</v>
      </c>
      <c r="P1507" s="9" t="str">
        <f>VLOOKUP($O1507,'Liste des Villes'!$B$2:$B$1128,1,FALSE)</f>
        <v>Saint-Jérôme</v>
      </c>
      <c r="Q1507" s="9" t="str">
        <f>IFERROR($P1507,PROPER(VLOOKUP($O1507,'Villes en erreur'!$A$2:$B$72,2,FALSE)))</f>
        <v>Saint-Jérôme</v>
      </c>
      <c r="R1507" s="9" t="s">
        <v>3186</v>
      </c>
      <c r="S1507" s="9" t="str">
        <f>IF(ISBLANK($R1507),"",VLOOKUP($R1507,'Liste des Villes'!$B$2:$H$1128,4,FALSE))</f>
        <v>Laurentides</v>
      </c>
      <c r="T1507" s="2" t="s">
        <v>3532</v>
      </c>
      <c r="U1507" s="2" t="s">
        <v>39</v>
      </c>
      <c r="V1507" s="2" t="s">
        <v>40</v>
      </c>
      <c r="W1507" s="2" t="s">
        <v>7458</v>
      </c>
      <c r="X1507" s="2"/>
      <c r="Y1507" s="2"/>
      <c r="Z1507" s="2"/>
      <c r="AA1507" s="2" t="s">
        <v>3199</v>
      </c>
      <c r="AB1507" s="2" t="s">
        <v>3200</v>
      </c>
      <c r="AC1507" s="4" t="s">
        <v>44</v>
      </c>
    </row>
    <row r="1508" spans="1:29" x14ac:dyDescent="0.25">
      <c r="A1508" s="1">
        <v>527</v>
      </c>
      <c r="B1508" s="17" t="s">
        <v>7459</v>
      </c>
      <c r="C1508" s="2" t="s">
        <v>7460</v>
      </c>
      <c r="D1508" s="15" t="s">
        <v>7461</v>
      </c>
      <c r="E1508" s="9" t="s">
        <v>1591</v>
      </c>
      <c r="F1508" s="9" t="s">
        <v>7462</v>
      </c>
      <c r="G1508" s="9" t="s">
        <v>3265</v>
      </c>
      <c r="H1508" s="2" t="s">
        <v>60</v>
      </c>
      <c r="I1508" s="3">
        <v>35922</v>
      </c>
      <c r="J1508" s="9" t="str">
        <f t="shared" ca="1" si="25"/>
        <v>25 ans</v>
      </c>
      <c r="K1508" s="2" t="s">
        <v>123</v>
      </c>
      <c r="L1508" s="2" t="str">
        <f>"161"</f>
        <v>161</v>
      </c>
      <c r="M1508" s="2"/>
      <c r="N1508" s="2" t="str">
        <f>"MONTEE GAGNON"</f>
        <v>MONTEE GAGNON</v>
      </c>
      <c r="O1508" s="2" t="s">
        <v>3185</v>
      </c>
      <c r="P1508" s="9" t="str">
        <f>VLOOKUP($O1508,'Liste des Villes'!$B$2:$B$1128,1,FALSE)</f>
        <v>Saint-Jérôme</v>
      </c>
      <c r="Q1508" s="9" t="str">
        <f>IFERROR($P1508,PROPER(VLOOKUP($O1508,'Villes en erreur'!$A$2:$B$72,2,FALSE)))</f>
        <v>Saint-Jérôme</v>
      </c>
      <c r="R1508" s="9" t="s">
        <v>3186</v>
      </c>
      <c r="S1508" s="9" t="str">
        <f>IF(ISBLANK($R1508),"",VLOOKUP($R1508,'Liste des Villes'!$B$2:$H$1128,4,FALSE))</f>
        <v>Laurentides</v>
      </c>
      <c r="T1508" s="2" t="s">
        <v>6864</v>
      </c>
      <c r="U1508" s="2" t="s">
        <v>39</v>
      </c>
      <c r="V1508" s="2" t="s">
        <v>40</v>
      </c>
      <c r="W1508" s="2" t="s">
        <v>7463</v>
      </c>
      <c r="X1508" s="2"/>
      <c r="Y1508" s="2"/>
      <c r="Z1508" s="2"/>
      <c r="AA1508" s="2" t="s">
        <v>3243</v>
      </c>
      <c r="AB1508" s="2" t="s">
        <v>3221</v>
      </c>
      <c r="AC1508" s="4" t="s">
        <v>44</v>
      </c>
    </row>
    <row r="1509" spans="1:29" x14ac:dyDescent="0.25">
      <c r="A1509" s="1">
        <v>4016</v>
      </c>
      <c r="B1509" s="17" t="s">
        <v>7464</v>
      </c>
      <c r="C1509" s="2" t="s">
        <v>7465</v>
      </c>
      <c r="D1509" s="15" t="s">
        <v>7466</v>
      </c>
      <c r="E1509" s="9" t="s">
        <v>495</v>
      </c>
      <c r="F1509" s="9" t="s">
        <v>438</v>
      </c>
      <c r="G1509" s="9" t="s">
        <v>851</v>
      </c>
      <c r="H1509" s="2" t="s">
        <v>35</v>
      </c>
      <c r="I1509" s="3">
        <v>36150</v>
      </c>
      <c r="J1509" s="9" t="str">
        <f t="shared" ca="1" si="25"/>
        <v>24 ans</v>
      </c>
      <c r="K1509" s="2" t="s">
        <v>123</v>
      </c>
      <c r="L1509" s="2" t="str">
        <f>"221"</f>
        <v>221</v>
      </c>
      <c r="M1509" s="2"/>
      <c r="N1509" s="2" t="str">
        <f>"RUE ALBERT-RAYMOND"</f>
        <v>RUE ALBERT-RAYMOND</v>
      </c>
      <c r="O1509" s="2" t="s">
        <v>3185</v>
      </c>
      <c r="P1509" s="9" t="str">
        <f>VLOOKUP($O1509,'Liste des Villes'!$B$2:$B$1128,1,FALSE)</f>
        <v>Saint-Jérôme</v>
      </c>
      <c r="Q1509" s="9" t="str">
        <f>IFERROR($P1509,PROPER(VLOOKUP($O1509,'Villes en erreur'!$A$2:$B$72,2,FALSE)))</f>
        <v>Saint-Jérôme</v>
      </c>
      <c r="R1509" s="9" t="s">
        <v>3186</v>
      </c>
      <c r="S1509" s="9" t="str">
        <f>IF(ISBLANK($R1509),"",VLOOKUP($R1509,'Liste des Villes'!$B$2:$H$1128,4,FALSE))</f>
        <v>Laurentides</v>
      </c>
      <c r="T1509" s="2" t="s">
        <v>7467</v>
      </c>
      <c r="U1509" s="2" t="s">
        <v>39</v>
      </c>
      <c r="V1509" s="2" t="s">
        <v>40</v>
      </c>
      <c r="W1509" s="2" t="s">
        <v>7468</v>
      </c>
      <c r="X1509" s="2"/>
      <c r="Y1509" s="2"/>
      <c r="Z1509" s="2"/>
      <c r="AA1509" s="2" t="s">
        <v>832</v>
      </c>
      <c r="AB1509" s="2" t="s">
        <v>3221</v>
      </c>
      <c r="AC1509" s="4" t="s">
        <v>44</v>
      </c>
    </row>
    <row r="1510" spans="1:29" x14ac:dyDescent="0.25">
      <c r="A1510" s="1">
        <v>274</v>
      </c>
      <c r="B1510" s="17" t="s">
        <v>7469</v>
      </c>
      <c r="C1510" s="2" t="s">
        <v>7470</v>
      </c>
      <c r="D1510" s="15" t="s">
        <v>49</v>
      </c>
      <c r="E1510" s="9" t="s">
        <v>1315</v>
      </c>
      <c r="F1510" s="9" t="s">
        <v>47</v>
      </c>
      <c r="G1510" s="9" t="s">
        <v>3531</v>
      </c>
      <c r="H1510" s="2" t="s">
        <v>60</v>
      </c>
      <c r="I1510" s="3">
        <v>35520</v>
      </c>
      <c r="J1510" s="9" t="str">
        <f t="shared" ca="1" si="25"/>
        <v>26 ans</v>
      </c>
      <c r="K1510" s="2" t="s">
        <v>36</v>
      </c>
      <c r="L1510" s="2" t="str">
        <f>"120"</f>
        <v>120</v>
      </c>
      <c r="M1510" s="2"/>
      <c r="N1510" s="2" t="str">
        <f>"CONCESSION 2E"</f>
        <v>CONCESSION 2E</v>
      </c>
      <c r="O1510" s="2" t="s">
        <v>3185</v>
      </c>
      <c r="P1510" s="9" t="str">
        <f>VLOOKUP($O1510,'Liste des Villes'!$B$2:$B$1128,1,FALSE)</f>
        <v>Saint-Jérôme</v>
      </c>
      <c r="Q1510" s="9" t="str">
        <f>IFERROR($P1510,PROPER(VLOOKUP($O1510,'Villes en erreur'!$A$2:$B$72,2,FALSE)))</f>
        <v>Saint-Jérôme</v>
      </c>
      <c r="R1510" s="9" t="s">
        <v>3186</v>
      </c>
      <c r="S1510" s="9" t="str">
        <f>IF(ISBLANK($R1510),"",VLOOKUP($R1510,'Liste des Villes'!$B$2:$H$1128,4,FALSE))</f>
        <v>Laurentides</v>
      </c>
      <c r="T1510" s="2" t="s">
        <v>3532</v>
      </c>
      <c r="U1510" s="2" t="s">
        <v>39</v>
      </c>
      <c r="V1510" s="2" t="s">
        <v>40</v>
      </c>
      <c r="W1510" s="2" t="s">
        <v>7471</v>
      </c>
      <c r="X1510" s="2"/>
      <c r="Y1510" s="2"/>
      <c r="Z1510" s="2"/>
      <c r="AA1510" s="2" t="s">
        <v>3199</v>
      </c>
      <c r="AB1510" s="2" t="s">
        <v>3200</v>
      </c>
      <c r="AC1510" s="4" t="s">
        <v>44</v>
      </c>
    </row>
    <row r="1511" spans="1:29" x14ac:dyDescent="0.25">
      <c r="A1511" s="1">
        <v>1126</v>
      </c>
      <c r="B1511" s="17" t="s">
        <v>7472</v>
      </c>
      <c r="C1511" s="2" t="s">
        <v>2009</v>
      </c>
      <c r="D1511" s="15" t="s">
        <v>1076</v>
      </c>
      <c r="E1511" s="9" t="s">
        <v>332</v>
      </c>
      <c r="F1511" s="9" t="s">
        <v>7473</v>
      </c>
      <c r="G1511" s="9" t="s">
        <v>7474</v>
      </c>
      <c r="H1511" s="2" t="s">
        <v>35</v>
      </c>
      <c r="I1511" s="3">
        <v>33954</v>
      </c>
      <c r="J1511" s="9" t="str">
        <f t="shared" ca="1" si="25"/>
        <v>30 ans</v>
      </c>
      <c r="K1511" s="2" t="s">
        <v>36</v>
      </c>
      <c r="L1511" s="2" t="str">
        <f>"42"</f>
        <v>42</v>
      </c>
      <c r="M1511" s="2"/>
      <c r="N1511" s="2" t="str">
        <f>"BLÉRIOT"</f>
        <v>BLÉRIOT</v>
      </c>
      <c r="O1511" s="2" t="s">
        <v>3185</v>
      </c>
      <c r="P1511" s="9" t="str">
        <f>VLOOKUP($O1511,'Liste des Villes'!$B$2:$B$1128,1,FALSE)</f>
        <v>Saint-Jérôme</v>
      </c>
      <c r="Q1511" s="9" t="str">
        <f>IFERROR($P1511,PROPER(VLOOKUP($O1511,'Villes en erreur'!$A$2:$B$72,2,FALSE)))</f>
        <v>Saint-Jérôme</v>
      </c>
      <c r="R1511" s="9" t="s">
        <v>3186</v>
      </c>
      <c r="S1511" s="9" t="str">
        <f>IF(ISBLANK($R1511),"",VLOOKUP($R1511,'Liste des Villes'!$B$2:$H$1128,4,FALSE))</f>
        <v>Laurentides</v>
      </c>
      <c r="T1511" s="2" t="s">
        <v>7475</v>
      </c>
      <c r="U1511" s="2" t="s">
        <v>39</v>
      </c>
      <c r="V1511" s="2" t="s">
        <v>40</v>
      </c>
      <c r="W1511" s="2" t="s">
        <v>7476</v>
      </c>
      <c r="X1511" s="2"/>
      <c r="Y1511" s="2"/>
      <c r="Z1511" s="2"/>
      <c r="AA1511" s="2" t="s">
        <v>3207</v>
      </c>
      <c r="AB1511" s="2" t="s">
        <v>53</v>
      </c>
      <c r="AC1511" s="4" t="s">
        <v>44</v>
      </c>
    </row>
    <row r="1512" spans="1:29" x14ac:dyDescent="0.25">
      <c r="A1512" s="1">
        <v>4434</v>
      </c>
      <c r="B1512" s="17" t="s">
        <v>7477</v>
      </c>
      <c r="C1512" s="2" t="s">
        <v>2542</v>
      </c>
      <c r="D1512" s="15" t="s">
        <v>34</v>
      </c>
      <c r="E1512" s="9" t="s">
        <v>341</v>
      </c>
      <c r="F1512" s="9" t="s">
        <v>782</v>
      </c>
      <c r="G1512" s="9" t="s">
        <v>186</v>
      </c>
      <c r="H1512" s="2" t="s">
        <v>60</v>
      </c>
      <c r="I1512" s="3">
        <v>34919</v>
      </c>
      <c r="J1512" s="9" t="str">
        <f t="shared" ca="1" si="25"/>
        <v>28 ans</v>
      </c>
      <c r="K1512" s="2" t="s">
        <v>36</v>
      </c>
      <c r="L1512" s="2" t="str">
        <f>"84"</f>
        <v>84</v>
      </c>
      <c r="M1512" s="2"/>
      <c r="N1512" s="2" t="str">
        <f>"CH D'OKA"</f>
        <v>CH D'OKA</v>
      </c>
      <c r="O1512" s="2" t="s">
        <v>3185</v>
      </c>
      <c r="P1512" s="9" t="str">
        <f>VLOOKUP($O1512,'Liste des Villes'!$B$2:$B$1128,1,FALSE)</f>
        <v>Saint-Jérôme</v>
      </c>
      <c r="Q1512" s="9" t="str">
        <f>IFERROR($P1512,PROPER(VLOOKUP($O1512,'Villes en erreur'!$A$2:$B$72,2,FALSE)))</f>
        <v>Saint-Jérôme</v>
      </c>
      <c r="R1512" s="9" t="s">
        <v>3186</v>
      </c>
      <c r="S1512" s="9" t="str">
        <f>IF(ISBLANK($R1512),"",VLOOKUP($R1512,'Liste des Villes'!$B$2:$H$1128,4,FALSE))</f>
        <v>Laurentides</v>
      </c>
      <c r="T1512" s="2" t="s">
        <v>3187</v>
      </c>
      <c r="U1512" s="2" t="s">
        <v>39</v>
      </c>
      <c r="V1512" s="2" t="s">
        <v>40</v>
      </c>
      <c r="W1512" s="2" t="s">
        <v>7478</v>
      </c>
      <c r="X1512" s="2"/>
      <c r="Y1512" s="2"/>
      <c r="Z1512" s="2"/>
      <c r="AA1512" s="2" t="s">
        <v>3231</v>
      </c>
      <c r="AB1512" s="2" t="s">
        <v>53</v>
      </c>
      <c r="AC1512" s="4" t="s">
        <v>44</v>
      </c>
    </row>
    <row r="1513" spans="1:29" x14ac:dyDescent="0.25">
      <c r="A1513" s="1">
        <v>1469</v>
      </c>
      <c r="B1513" s="17" t="s">
        <v>7479</v>
      </c>
      <c r="C1513" s="2" t="s">
        <v>7480</v>
      </c>
      <c r="D1513" s="15" t="s">
        <v>7481</v>
      </c>
      <c r="E1513" s="9" t="s">
        <v>1024</v>
      </c>
      <c r="F1513" s="9" t="s">
        <v>1845</v>
      </c>
      <c r="G1513" s="9" t="s">
        <v>1037</v>
      </c>
      <c r="H1513" s="2" t="s">
        <v>35</v>
      </c>
      <c r="I1513" s="3">
        <v>36054</v>
      </c>
      <c r="J1513" s="9" t="str">
        <f t="shared" ca="1" si="25"/>
        <v>24 ans</v>
      </c>
      <c r="K1513" s="2" t="s">
        <v>123</v>
      </c>
      <c r="L1513" s="2" t="str">
        <f>"189"</f>
        <v>189</v>
      </c>
      <c r="M1513" s="2"/>
      <c r="N1513" s="2" t="str">
        <f>"QUÉBEC 335"</f>
        <v>QUÉBEC 335</v>
      </c>
      <c r="O1513" s="2" t="s">
        <v>3185</v>
      </c>
      <c r="P1513" s="9" t="str">
        <f>VLOOKUP($O1513,'Liste des Villes'!$B$2:$B$1128,1,FALSE)</f>
        <v>Saint-Jérôme</v>
      </c>
      <c r="Q1513" s="9" t="str">
        <f>IFERROR($P1513,PROPER(VLOOKUP($O1513,'Villes en erreur'!$A$2:$B$72,2,FALSE)))</f>
        <v>Saint-Jérôme</v>
      </c>
      <c r="R1513" s="9" t="s">
        <v>3186</v>
      </c>
      <c r="S1513" s="9" t="str">
        <f>IF(ISBLANK($R1513),"",VLOOKUP($R1513,'Liste des Villes'!$B$2:$H$1128,4,FALSE))</f>
        <v>Laurentides</v>
      </c>
      <c r="T1513" s="2" t="s">
        <v>4855</v>
      </c>
      <c r="U1513" s="2" t="s">
        <v>39</v>
      </c>
      <c r="V1513" s="2" t="s">
        <v>40</v>
      </c>
      <c r="W1513" s="2" t="s">
        <v>7482</v>
      </c>
      <c r="X1513" s="2"/>
      <c r="Y1513" s="2"/>
      <c r="Z1513" s="2"/>
      <c r="AA1513" s="2" t="s">
        <v>832</v>
      </c>
      <c r="AB1513" s="2" t="s">
        <v>3221</v>
      </c>
      <c r="AC1513" s="4" t="s">
        <v>44</v>
      </c>
    </row>
    <row r="1514" spans="1:29" x14ac:dyDescent="0.25">
      <c r="A1514" s="1">
        <v>505</v>
      </c>
      <c r="B1514" s="17" t="s">
        <v>7483</v>
      </c>
      <c r="C1514" s="2" t="s">
        <v>2060</v>
      </c>
      <c r="D1514" s="15" t="s">
        <v>2061</v>
      </c>
      <c r="E1514" s="9" t="s">
        <v>2062</v>
      </c>
      <c r="F1514" s="9" t="s">
        <v>850</v>
      </c>
      <c r="G1514" s="9" t="s">
        <v>1024</v>
      </c>
      <c r="H1514" s="2" t="s">
        <v>35</v>
      </c>
      <c r="I1514" s="3">
        <v>36188</v>
      </c>
      <c r="J1514" s="9" t="str">
        <f t="shared" ca="1" si="25"/>
        <v>24 ans</v>
      </c>
      <c r="K1514" s="2" t="s">
        <v>123</v>
      </c>
      <c r="L1514" s="2" t="str">
        <f>"236"</f>
        <v>236</v>
      </c>
      <c r="M1514" s="2"/>
      <c r="N1514" s="2" t="str">
        <f>"RUE ANNE HÉBERT"</f>
        <v>RUE ANNE HÉBERT</v>
      </c>
      <c r="O1514" s="2" t="s">
        <v>3185</v>
      </c>
      <c r="P1514" s="9" t="str">
        <f>VLOOKUP($O1514,'Liste des Villes'!$B$2:$B$1128,1,FALSE)</f>
        <v>Saint-Jérôme</v>
      </c>
      <c r="Q1514" s="9" t="str">
        <f>IFERROR($P1514,PROPER(VLOOKUP($O1514,'Villes en erreur'!$A$2:$B$72,2,FALSE)))</f>
        <v>Saint-Jérôme</v>
      </c>
      <c r="R1514" s="9" t="s">
        <v>3186</v>
      </c>
      <c r="S1514" s="9" t="str">
        <f>IF(ISBLANK($R1514),"",VLOOKUP($R1514,'Liste des Villes'!$B$2:$H$1128,4,FALSE))</f>
        <v>Laurentides</v>
      </c>
      <c r="T1514" s="2" t="s">
        <v>4621</v>
      </c>
      <c r="U1514" s="2" t="s">
        <v>39</v>
      </c>
      <c r="V1514" s="2" t="s">
        <v>40</v>
      </c>
      <c r="W1514" s="2" t="s">
        <v>7484</v>
      </c>
      <c r="X1514" s="2"/>
      <c r="Y1514" s="2"/>
      <c r="Z1514" s="2"/>
      <c r="AA1514" s="2" t="s">
        <v>832</v>
      </c>
      <c r="AB1514" s="2" t="s">
        <v>3288</v>
      </c>
      <c r="AC1514" s="4" t="s">
        <v>44</v>
      </c>
    </row>
    <row r="1515" spans="1:29" x14ac:dyDescent="0.25">
      <c r="A1515" s="1">
        <v>3935</v>
      </c>
      <c r="B1515" s="17" t="s">
        <v>7485</v>
      </c>
      <c r="C1515" s="2" t="s">
        <v>7486</v>
      </c>
      <c r="D1515" s="15" t="s">
        <v>5635</v>
      </c>
      <c r="E1515" s="9" t="s">
        <v>325</v>
      </c>
      <c r="F1515" s="9" t="s">
        <v>5634</v>
      </c>
      <c r="G1515" s="9" t="s">
        <v>186</v>
      </c>
      <c r="H1515" s="2" t="s">
        <v>60</v>
      </c>
      <c r="I1515" s="3">
        <v>34911</v>
      </c>
      <c r="J1515" s="9" t="str">
        <f t="shared" ca="1" si="25"/>
        <v>28 ans</v>
      </c>
      <c r="K1515" s="2" t="s">
        <v>36</v>
      </c>
      <c r="L1515" s="2" t="str">
        <f>"83"</f>
        <v>83</v>
      </c>
      <c r="M1515" s="2"/>
      <c r="N1515" s="2" t="str">
        <f>"CH DES VALLONS"</f>
        <v>CH DES VALLONS</v>
      </c>
      <c r="O1515" s="2" t="s">
        <v>3185</v>
      </c>
      <c r="P1515" s="9" t="str">
        <f>VLOOKUP($O1515,'Liste des Villes'!$B$2:$B$1128,1,FALSE)</f>
        <v>Saint-Jérôme</v>
      </c>
      <c r="Q1515" s="9" t="str">
        <f>IFERROR($P1515,PROPER(VLOOKUP($O1515,'Villes en erreur'!$A$2:$B$72,2,FALSE)))</f>
        <v>Saint-Jérôme</v>
      </c>
      <c r="R1515" s="9" t="s">
        <v>3186</v>
      </c>
      <c r="S1515" s="9" t="str">
        <f>IF(ISBLANK($R1515),"",VLOOKUP($R1515,'Liste des Villes'!$B$2:$H$1128,4,FALSE))</f>
        <v>Laurentides</v>
      </c>
      <c r="T1515" s="2" t="s">
        <v>3187</v>
      </c>
      <c r="U1515" s="2" t="s">
        <v>39</v>
      </c>
      <c r="V1515" s="2" t="s">
        <v>40</v>
      </c>
      <c r="W1515" s="2" t="s">
        <v>7487</v>
      </c>
      <c r="X1515" s="2"/>
      <c r="Y1515" s="2"/>
      <c r="Z1515" s="2"/>
      <c r="AA1515" s="2" t="s">
        <v>3231</v>
      </c>
      <c r="AB1515" s="2" t="s">
        <v>53</v>
      </c>
      <c r="AC1515" s="4" t="s">
        <v>44</v>
      </c>
    </row>
    <row r="1516" spans="1:29" x14ac:dyDescent="0.25">
      <c r="A1516" s="1">
        <v>2299</v>
      </c>
      <c r="B1516" s="17" t="s">
        <v>7488</v>
      </c>
      <c r="C1516" s="2" t="s">
        <v>4624</v>
      </c>
      <c r="D1516" s="15" t="s">
        <v>1070</v>
      </c>
      <c r="E1516" s="9" t="s">
        <v>1236</v>
      </c>
      <c r="F1516" s="9" t="s">
        <v>2698</v>
      </c>
      <c r="G1516" s="9" t="s">
        <v>3708</v>
      </c>
      <c r="H1516" s="2" t="s">
        <v>60</v>
      </c>
      <c r="I1516" s="3">
        <v>36233</v>
      </c>
      <c r="J1516" s="9" t="str">
        <f t="shared" ca="1" si="25"/>
        <v>24 ans</v>
      </c>
      <c r="K1516" s="2" t="s">
        <v>123</v>
      </c>
      <c r="L1516" s="2" t="str">
        <f>"260"</f>
        <v>260</v>
      </c>
      <c r="M1516" s="2"/>
      <c r="N1516" s="2" t="str">
        <f>"RUE BÉDARD"</f>
        <v>RUE BÉDARD</v>
      </c>
      <c r="O1516" s="2" t="s">
        <v>3185</v>
      </c>
      <c r="P1516" s="9" t="str">
        <f>VLOOKUP($O1516,'Liste des Villes'!$B$2:$B$1128,1,FALSE)</f>
        <v>Saint-Jérôme</v>
      </c>
      <c r="Q1516" s="9" t="str">
        <f>IFERROR($P1516,PROPER(VLOOKUP($O1516,'Villes en erreur'!$A$2:$B$72,2,FALSE)))</f>
        <v>Saint-Jérôme</v>
      </c>
      <c r="R1516" s="9" t="s">
        <v>3186</v>
      </c>
      <c r="S1516" s="9" t="str">
        <f>IF(ISBLANK($R1516),"",VLOOKUP($R1516,'Liste des Villes'!$B$2:$H$1128,4,FALSE))</f>
        <v>Laurentides</v>
      </c>
      <c r="T1516" s="2" t="s">
        <v>7489</v>
      </c>
      <c r="U1516" s="2" t="s">
        <v>39</v>
      </c>
      <c r="V1516" s="2" t="s">
        <v>40</v>
      </c>
      <c r="W1516" s="2" t="s">
        <v>7490</v>
      </c>
      <c r="X1516" s="2"/>
      <c r="Y1516" s="2"/>
      <c r="Z1516" s="2"/>
      <c r="AA1516" s="2" t="s">
        <v>832</v>
      </c>
      <c r="AB1516" s="2" t="s">
        <v>73</v>
      </c>
      <c r="AC1516" s="4" t="s">
        <v>44</v>
      </c>
    </row>
    <row r="1517" spans="1:29" x14ac:dyDescent="0.25">
      <c r="A1517" s="1">
        <v>1497</v>
      </c>
      <c r="B1517" s="17" t="s">
        <v>7491</v>
      </c>
      <c r="C1517" s="2" t="s">
        <v>4394</v>
      </c>
      <c r="D1517" s="15" t="s">
        <v>617</v>
      </c>
      <c r="E1517" s="9" t="s">
        <v>2404</v>
      </c>
      <c r="F1517" s="9" t="s">
        <v>7492</v>
      </c>
      <c r="G1517" s="9" t="s">
        <v>92</v>
      </c>
      <c r="H1517" s="2" t="s">
        <v>35</v>
      </c>
      <c r="I1517" s="3">
        <v>35424</v>
      </c>
      <c r="J1517" s="9" t="str">
        <f t="shared" ca="1" si="25"/>
        <v>26 ans</v>
      </c>
      <c r="K1517" s="2" t="s">
        <v>36</v>
      </c>
      <c r="L1517" s="2" t="str">
        <f>"114"</f>
        <v>114</v>
      </c>
      <c r="M1517" s="2"/>
      <c r="N1517" s="2" t="str">
        <f>"CHEMIN DU LAC ROBERT"</f>
        <v>CHEMIN DU LAC ROBERT</v>
      </c>
      <c r="O1517" s="2" t="s">
        <v>3185</v>
      </c>
      <c r="P1517" s="9" t="str">
        <f>VLOOKUP($O1517,'Liste des Villes'!$B$2:$B$1128,1,FALSE)</f>
        <v>Saint-Jérôme</v>
      </c>
      <c r="Q1517" s="9" t="str">
        <f>IFERROR($P1517,PROPER(VLOOKUP($O1517,'Villes en erreur'!$A$2:$B$72,2,FALSE)))</f>
        <v>Saint-Jérôme</v>
      </c>
      <c r="R1517" s="9" t="s">
        <v>3186</v>
      </c>
      <c r="S1517" s="9" t="str">
        <f>IF(ISBLANK($R1517),"",VLOOKUP($R1517,'Liste des Villes'!$B$2:$H$1128,4,FALSE))</f>
        <v>Laurentides</v>
      </c>
      <c r="T1517" s="2" t="s">
        <v>4032</v>
      </c>
      <c r="U1517" s="2" t="s">
        <v>39</v>
      </c>
      <c r="V1517" s="2" t="s">
        <v>40</v>
      </c>
      <c r="W1517" s="2" t="s">
        <v>7493</v>
      </c>
      <c r="X1517" s="2"/>
      <c r="Y1517" s="2"/>
      <c r="Z1517" s="2"/>
      <c r="AA1517" s="2" t="s">
        <v>3199</v>
      </c>
      <c r="AB1517" s="2" t="s">
        <v>3200</v>
      </c>
      <c r="AC1517" s="4" t="s">
        <v>44</v>
      </c>
    </row>
    <row r="1518" spans="1:29" x14ac:dyDescent="0.25">
      <c r="A1518" s="1">
        <v>948</v>
      </c>
      <c r="B1518" s="17" t="s">
        <v>7494</v>
      </c>
      <c r="C1518" s="2" t="s">
        <v>7495</v>
      </c>
      <c r="D1518" s="15" t="s">
        <v>7496</v>
      </c>
      <c r="E1518" s="9" t="s">
        <v>334</v>
      </c>
      <c r="F1518" s="9" t="s">
        <v>7497</v>
      </c>
      <c r="G1518" s="9" t="s">
        <v>3497</v>
      </c>
      <c r="H1518" s="2" t="s">
        <v>60</v>
      </c>
      <c r="I1518" s="3">
        <v>35789</v>
      </c>
      <c r="J1518" s="9" t="str">
        <f t="shared" ca="1" si="25"/>
        <v>25 ans</v>
      </c>
      <c r="K1518" s="2" t="s">
        <v>123</v>
      </c>
      <c r="L1518" s="2" t="str">
        <f>"143"</f>
        <v>143</v>
      </c>
      <c r="M1518" s="2"/>
      <c r="N1518" s="2" t="str">
        <f>"GRANDS DUCS"</f>
        <v>GRANDS DUCS</v>
      </c>
      <c r="O1518" s="2" t="s">
        <v>3185</v>
      </c>
      <c r="P1518" s="9" t="str">
        <f>VLOOKUP($O1518,'Liste des Villes'!$B$2:$B$1128,1,FALSE)</f>
        <v>Saint-Jérôme</v>
      </c>
      <c r="Q1518" s="9" t="str">
        <f>IFERROR($P1518,PROPER(VLOOKUP($O1518,'Villes en erreur'!$A$2:$B$72,2,FALSE)))</f>
        <v>Saint-Jérôme</v>
      </c>
      <c r="R1518" s="9" t="s">
        <v>3186</v>
      </c>
      <c r="S1518" s="9" t="str">
        <f>IF(ISBLANK($R1518),"",VLOOKUP($R1518,'Liste des Villes'!$B$2:$H$1128,4,FALSE))</f>
        <v>Laurentides</v>
      </c>
      <c r="T1518" s="2" t="s">
        <v>7498</v>
      </c>
      <c r="U1518" s="2" t="s">
        <v>39</v>
      </c>
      <c r="V1518" s="2" t="s">
        <v>40</v>
      </c>
      <c r="W1518" s="2" t="s">
        <v>7499</v>
      </c>
      <c r="X1518" s="2"/>
      <c r="Y1518" s="2"/>
      <c r="Z1518" s="2"/>
      <c r="AA1518" s="2" t="s">
        <v>3243</v>
      </c>
      <c r="AB1518" s="2" t="s">
        <v>3221</v>
      </c>
      <c r="AC1518" s="4" t="s">
        <v>44</v>
      </c>
    </row>
    <row r="1519" spans="1:29" x14ac:dyDescent="0.25">
      <c r="A1519" s="1">
        <v>3698</v>
      </c>
      <c r="B1519" s="17" t="s">
        <v>7500</v>
      </c>
      <c r="C1519" s="2" t="s">
        <v>7501</v>
      </c>
      <c r="D1519" s="15" t="s">
        <v>7502</v>
      </c>
      <c r="E1519" s="9" t="s">
        <v>5569</v>
      </c>
      <c r="F1519" s="9" t="s">
        <v>4643</v>
      </c>
      <c r="G1519" s="9" t="s">
        <v>332</v>
      </c>
      <c r="H1519" s="2" t="s">
        <v>60</v>
      </c>
      <c r="I1519" s="3">
        <v>35550</v>
      </c>
      <c r="J1519" s="9" t="str">
        <f t="shared" ca="1" si="25"/>
        <v>26 ans</v>
      </c>
      <c r="K1519" s="2" t="s">
        <v>36</v>
      </c>
      <c r="L1519" s="2" t="str">
        <f>"123"</f>
        <v>123</v>
      </c>
      <c r="M1519" s="2"/>
      <c r="N1519" s="2" t="str">
        <f>"CROIS CHEVIGNY"</f>
        <v>CROIS CHEVIGNY</v>
      </c>
      <c r="O1519" s="2" t="s">
        <v>3185</v>
      </c>
      <c r="P1519" s="9" t="str">
        <f>VLOOKUP($O1519,'Liste des Villes'!$B$2:$B$1128,1,FALSE)</f>
        <v>Saint-Jérôme</v>
      </c>
      <c r="Q1519" s="9" t="str">
        <f>IFERROR($P1519,PROPER(VLOOKUP($O1519,'Villes en erreur'!$A$2:$B$72,2,FALSE)))</f>
        <v>Saint-Jérôme</v>
      </c>
      <c r="R1519" s="9" t="s">
        <v>3186</v>
      </c>
      <c r="S1519" s="9" t="str">
        <f>IF(ISBLANK($R1519),"",VLOOKUP($R1519,'Liste des Villes'!$B$2:$H$1128,4,FALSE))</f>
        <v>Laurentides</v>
      </c>
      <c r="T1519" s="2" t="s">
        <v>3740</v>
      </c>
      <c r="U1519" s="2" t="s">
        <v>39</v>
      </c>
      <c r="V1519" s="2" t="s">
        <v>40</v>
      </c>
      <c r="W1519" s="2" t="s">
        <v>7503</v>
      </c>
      <c r="X1519" s="2"/>
      <c r="Y1519" s="2"/>
      <c r="Z1519" s="2"/>
      <c r="AA1519" s="2" t="s">
        <v>3199</v>
      </c>
      <c r="AB1519" s="2" t="s">
        <v>3221</v>
      </c>
      <c r="AC1519" s="4" t="s">
        <v>44</v>
      </c>
    </row>
    <row r="1520" spans="1:29" x14ac:dyDescent="0.25">
      <c r="A1520" s="1">
        <v>1192</v>
      </c>
      <c r="B1520" s="17" t="s">
        <v>7504</v>
      </c>
      <c r="C1520" s="2" t="s">
        <v>7505</v>
      </c>
      <c r="D1520" s="15" t="s">
        <v>7506</v>
      </c>
      <c r="E1520" s="9" t="s">
        <v>380</v>
      </c>
      <c r="F1520" s="9" t="s">
        <v>304</v>
      </c>
      <c r="G1520" s="9" t="s">
        <v>495</v>
      </c>
      <c r="H1520" s="2" t="s">
        <v>35</v>
      </c>
      <c r="I1520" s="3">
        <v>34526</v>
      </c>
      <c r="J1520" s="9" t="str">
        <f t="shared" ca="1" si="25"/>
        <v>29 ans</v>
      </c>
      <c r="K1520" s="2" t="s">
        <v>36</v>
      </c>
      <c r="L1520" s="2" t="str">
        <f>"64"</f>
        <v>64</v>
      </c>
      <c r="M1520" s="2"/>
      <c r="N1520" s="2" t="str">
        <f>"CH DE KILKENNY"</f>
        <v>CH DE KILKENNY</v>
      </c>
      <c r="O1520" s="2" t="s">
        <v>3185</v>
      </c>
      <c r="P1520" s="9" t="str">
        <f>VLOOKUP($O1520,'Liste des Villes'!$B$2:$B$1128,1,FALSE)</f>
        <v>Saint-Jérôme</v>
      </c>
      <c r="Q1520" s="9" t="str">
        <f>IFERROR($P1520,PROPER(VLOOKUP($O1520,'Villes en erreur'!$A$2:$B$72,2,FALSE)))</f>
        <v>Saint-Jérôme</v>
      </c>
      <c r="R1520" s="9" t="s">
        <v>3186</v>
      </c>
      <c r="S1520" s="9" t="str">
        <f>IF(ISBLANK($R1520),"",VLOOKUP($R1520,'Liste des Villes'!$B$2:$H$1128,4,FALSE))</f>
        <v>Laurentides</v>
      </c>
      <c r="T1520" s="2" t="s">
        <v>3391</v>
      </c>
      <c r="U1520" s="2" t="s">
        <v>39</v>
      </c>
      <c r="V1520" s="2" t="s">
        <v>40</v>
      </c>
      <c r="W1520" s="2" t="s">
        <v>7507</v>
      </c>
      <c r="X1520" s="2"/>
      <c r="Y1520" s="2"/>
      <c r="Z1520" s="2"/>
      <c r="AA1520" s="2" t="s">
        <v>3225</v>
      </c>
      <c r="AB1520" s="2" t="s">
        <v>53</v>
      </c>
      <c r="AC1520" s="4" t="s">
        <v>44</v>
      </c>
    </row>
    <row r="1521" spans="1:29" x14ac:dyDescent="0.25">
      <c r="A1521" s="1">
        <v>2416</v>
      </c>
      <c r="B1521" s="17" t="s">
        <v>7508</v>
      </c>
      <c r="C1521" s="2" t="s">
        <v>7509</v>
      </c>
      <c r="D1521" s="15" t="s">
        <v>3772</v>
      </c>
      <c r="E1521" s="9" t="s">
        <v>7230</v>
      </c>
      <c r="F1521" s="9" t="s">
        <v>5824</v>
      </c>
      <c r="G1521" s="9" t="s">
        <v>1658</v>
      </c>
      <c r="H1521" s="2" t="s">
        <v>35</v>
      </c>
      <c r="I1521" s="3">
        <v>35285</v>
      </c>
      <c r="J1521" s="9" t="str">
        <f t="shared" ca="1" si="25"/>
        <v>27 ans</v>
      </c>
      <c r="K1521" s="2" t="s">
        <v>36</v>
      </c>
      <c r="L1521" s="2" t="str">
        <f>"108"</f>
        <v>108</v>
      </c>
      <c r="M1521" s="2"/>
      <c r="N1521" s="2" t="str">
        <f>"CHEMIN DE LA TOUR"</f>
        <v>CHEMIN DE LA TOUR</v>
      </c>
      <c r="O1521" s="2" t="s">
        <v>3185</v>
      </c>
      <c r="P1521" s="9" t="str">
        <f>VLOOKUP($O1521,'Liste des Villes'!$B$2:$B$1128,1,FALSE)</f>
        <v>Saint-Jérôme</v>
      </c>
      <c r="Q1521" s="9" t="str">
        <f>IFERROR($P1521,PROPER(VLOOKUP($O1521,'Villes en erreur'!$A$2:$B$72,2,FALSE)))</f>
        <v>Saint-Jérôme</v>
      </c>
      <c r="R1521" s="9" t="s">
        <v>3186</v>
      </c>
      <c r="S1521" s="9" t="str">
        <f>IF(ISBLANK($R1521),"",VLOOKUP($R1521,'Liste des Villes'!$B$2:$H$1128,4,FALSE))</f>
        <v>Laurentides</v>
      </c>
      <c r="T1521" s="2" t="s">
        <v>7288</v>
      </c>
      <c r="U1521" s="2" t="s">
        <v>39</v>
      </c>
      <c r="V1521" s="2" t="s">
        <v>40</v>
      </c>
      <c r="W1521" s="2" t="s">
        <v>7510</v>
      </c>
      <c r="X1521" s="2"/>
      <c r="Y1521" s="2"/>
      <c r="Z1521" s="2"/>
      <c r="AA1521" s="2" t="s">
        <v>3189</v>
      </c>
      <c r="AB1521" s="2" t="s">
        <v>3190</v>
      </c>
      <c r="AC1521" s="4" t="s">
        <v>44</v>
      </c>
    </row>
    <row r="1522" spans="1:29" x14ac:dyDescent="0.25">
      <c r="A1522" s="1">
        <v>4480</v>
      </c>
      <c r="B1522" s="17" t="s">
        <v>7511</v>
      </c>
      <c r="C1522" s="2" t="s">
        <v>7512</v>
      </c>
      <c r="D1522" s="15" t="s">
        <v>4052</v>
      </c>
      <c r="E1522" s="9" t="s">
        <v>3497</v>
      </c>
      <c r="F1522" s="9" t="s">
        <v>4050</v>
      </c>
      <c r="G1522" s="9" t="s">
        <v>1024</v>
      </c>
      <c r="H1522" s="2" t="s">
        <v>35</v>
      </c>
      <c r="I1522" s="3">
        <v>36170</v>
      </c>
      <c r="J1522" s="9" t="str">
        <f t="shared" ca="1" si="25"/>
        <v>24 ans</v>
      </c>
      <c r="K1522" s="2" t="s">
        <v>123</v>
      </c>
      <c r="L1522" s="2" t="str">
        <f>"232"</f>
        <v>232</v>
      </c>
      <c r="M1522" s="2"/>
      <c r="N1522" s="2" t="str">
        <f>"RUE ANDRÉ-MATHIEU"</f>
        <v>RUE ANDRÉ-MATHIEU</v>
      </c>
      <c r="O1522" s="2" t="s">
        <v>3185</v>
      </c>
      <c r="P1522" s="9" t="str">
        <f>VLOOKUP($O1522,'Liste des Villes'!$B$2:$B$1128,1,FALSE)</f>
        <v>Saint-Jérôme</v>
      </c>
      <c r="Q1522" s="9" t="str">
        <f>IFERROR($P1522,PROPER(VLOOKUP($O1522,'Villes en erreur'!$A$2:$B$72,2,FALSE)))</f>
        <v>Saint-Jérôme</v>
      </c>
      <c r="R1522" s="9" t="s">
        <v>3186</v>
      </c>
      <c r="S1522" s="9" t="str">
        <f>IF(ISBLANK($R1522),"",VLOOKUP($R1522,'Liste des Villes'!$B$2:$H$1128,4,FALSE))</f>
        <v>Laurentides</v>
      </c>
      <c r="T1522" s="2" t="s">
        <v>4558</v>
      </c>
      <c r="U1522" s="2" t="s">
        <v>39</v>
      </c>
      <c r="V1522" s="2" t="s">
        <v>40</v>
      </c>
      <c r="W1522" s="2" t="s">
        <v>7513</v>
      </c>
      <c r="X1522" s="2"/>
      <c r="Y1522" s="2"/>
      <c r="Z1522" s="2"/>
      <c r="AA1522" s="2" t="s">
        <v>832</v>
      </c>
      <c r="AB1522" s="2" t="s">
        <v>3221</v>
      </c>
      <c r="AC1522" s="4" t="s">
        <v>44</v>
      </c>
    </row>
    <row r="1523" spans="1:29" x14ac:dyDescent="0.25">
      <c r="A1523" s="1">
        <v>1833</v>
      </c>
      <c r="B1523" s="17" t="s">
        <v>7514</v>
      </c>
      <c r="C1523" s="2" t="s">
        <v>4583</v>
      </c>
      <c r="D1523" s="15" t="s">
        <v>462</v>
      </c>
      <c r="E1523" s="9" t="s">
        <v>4584</v>
      </c>
      <c r="F1523" s="9" t="s">
        <v>460</v>
      </c>
      <c r="G1523" s="9" t="s">
        <v>5788</v>
      </c>
      <c r="H1523" s="2" t="s">
        <v>60</v>
      </c>
      <c r="I1523" s="3">
        <v>35956</v>
      </c>
      <c r="J1523" s="9" t="str">
        <f t="shared" ca="1" si="25"/>
        <v>25 ans</v>
      </c>
      <c r="K1523" s="2" t="s">
        <v>123</v>
      </c>
      <c r="L1523" s="2" t="str">
        <f>"169"</f>
        <v>169</v>
      </c>
      <c r="M1523" s="2"/>
      <c r="N1523" s="2" t="str">
        <f>"MONTÉE SAUVAGE"</f>
        <v>MONTÉE SAUVAGE</v>
      </c>
      <c r="O1523" s="2" t="s">
        <v>3185</v>
      </c>
      <c r="P1523" s="9" t="str">
        <f>VLOOKUP($O1523,'Liste des Villes'!$B$2:$B$1128,1,FALSE)</f>
        <v>Saint-Jérôme</v>
      </c>
      <c r="Q1523" s="9" t="str">
        <f>IFERROR($P1523,PROPER(VLOOKUP($O1523,'Villes en erreur'!$A$2:$B$72,2,FALSE)))</f>
        <v>Saint-Jérôme</v>
      </c>
      <c r="R1523" s="9" t="s">
        <v>3186</v>
      </c>
      <c r="S1523" s="9" t="str">
        <f>IF(ISBLANK($R1523),"",VLOOKUP($R1523,'Liste des Villes'!$B$2:$H$1128,4,FALSE))</f>
        <v>Laurentides</v>
      </c>
      <c r="T1523" s="2" t="s">
        <v>5597</v>
      </c>
      <c r="U1523" s="2" t="s">
        <v>39</v>
      </c>
      <c r="V1523" s="2" t="s">
        <v>40</v>
      </c>
      <c r="W1523" s="2" t="s">
        <v>7515</v>
      </c>
      <c r="X1523" s="2"/>
      <c r="Y1523" s="2"/>
      <c r="Z1523" s="2"/>
      <c r="AA1523" s="2" t="s">
        <v>832</v>
      </c>
      <c r="AB1523" s="2" t="s">
        <v>3221</v>
      </c>
      <c r="AC1523" s="4" t="s">
        <v>44</v>
      </c>
    </row>
    <row r="1524" spans="1:29" x14ac:dyDescent="0.25">
      <c r="A1524" s="1">
        <v>4511</v>
      </c>
      <c r="B1524" s="17" t="s">
        <v>7516</v>
      </c>
      <c r="C1524" s="2" t="s">
        <v>493</v>
      </c>
      <c r="D1524" s="15" t="s">
        <v>494</v>
      </c>
      <c r="E1524" s="9" t="s">
        <v>495</v>
      </c>
      <c r="F1524" s="9" t="s">
        <v>6463</v>
      </c>
      <c r="G1524" s="9" t="s">
        <v>3265</v>
      </c>
      <c r="H1524" s="2" t="s">
        <v>60</v>
      </c>
      <c r="I1524" s="3">
        <v>35935</v>
      </c>
      <c r="J1524" s="9" t="str">
        <f t="shared" ca="1" si="25"/>
        <v>25 ans</v>
      </c>
      <c r="K1524" s="2" t="s">
        <v>123</v>
      </c>
      <c r="L1524" s="2" t="str">
        <f>"164"</f>
        <v>164</v>
      </c>
      <c r="M1524" s="2"/>
      <c r="N1524" s="2" t="str">
        <f>"MONTEE MAJOR"</f>
        <v>MONTEE MAJOR</v>
      </c>
      <c r="O1524" s="2" t="s">
        <v>3185</v>
      </c>
      <c r="P1524" s="9" t="str">
        <f>VLOOKUP($O1524,'Liste des Villes'!$B$2:$B$1128,1,FALSE)</f>
        <v>Saint-Jérôme</v>
      </c>
      <c r="Q1524" s="9" t="str">
        <f>IFERROR($P1524,PROPER(VLOOKUP($O1524,'Villes en erreur'!$A$2:$B$72,2,FALSE)))</f>
        <v>Saint-Jérôme</v>
      </c>
      <c r="R1524" s="9" t="s">
        <v>3186</v>
      </c>
      <c r="S1524" s="9" t="str">
        <f>IF(ISBLANK($R1524),"",VLOOKUP($R1524,'Liste des Villes'!$B$2:$H$1128,4,FALSE))</f>
        <v>Laurentides</v>
      </c>
      <c r="T1524" s="2" t="s">
        <v>7517</v>
      </c>
      <c r="U1524" s="2" t="s">
        <v>39</v>
      </c>
      <c r="V1524" s="2" t="s">
        <v>40</v>
      </c>
      <c r="W1524" s="2" t="s">
        <v>7518</v>
      </c>
      <c r="X1524" s="2"/>
      <c r="Y1524" s="2"/>
      <c r="Z1524" s="2"/>
      <c r="AA1524" s="2" t="s">
        <v>832</v>
      </c>
      <c r="AB1524" s="2" t="s">
        <v>3221</v>
      </c>
      <c r="AC1524" s="4" t="s">
        <v>44</v>
      </c>
    </row>
    <row r="1525" spans="1:29" x14ac:dyDescent="0.25">
      <c r="A1525" s="1">
        <v>2046</v>
      </c>
      <c r="B1525" s="17" t="s">
        <v>7519</v>
      </c>
      <c r="C1525" s="2" t="s">
        <v>5297</v>
      </c>
      <c r="D1525" s="15" t="s">
        <v>533</v>
      </c>
      <c r="E1525" s="9" t="s">
        <v>495</v>
      </c>
      <c r="F1525" s="9" t="s">
        <v>531</v>
      </c>
      <c r="G1525" s="9" t="s">
        <v>3695</v>
      </c>
      <c r="H1525" s="2" t="s">
        <v>60</v>
      </c>
      <c r="I1525" s="3">
        <v>35731</v>
      </c>
      <c r="J1525" s="9" t="str">
        <f t="shared" ca="1" si="25"/>
        <v>25 ans</v>
      </c>
      <c r="K1525" s="2" t="s">
        <v>123</v>
      </c>
      <c r="L1525" s="2" t="str">
        <f>"138"</f>
        <v>138</v>
      </c>
      <c r="M1525" s="2"/>
      <c r="N1525" s="2" t="str">
        <f>"DU CLOS-DU-MARQUIS"</f>
        <v>DU CLOS-DU-MARQUIS</v>
      </c>
      <c r="O1525" s="2" t="s">
        <v>3185</v>
      </c>
      <c r="P1525" s="9" t="str">
        <f>VLOOKUP($O1525,'Liste des Villes'!$B$2:$B$1128,1,FALSE)</f>
        <v>Saint-Jérôme</v>
      </c>
      <c r="Q1525" s="9" t="str">
        <f>IFERROR($P1525,PROPER(VLOOKUP($O1525,'Villes en erreur'!$A$2:$B$72,2,FALSE)))</f>
        <v>Saint-Jérôme</v>
      </c>
      <c r="R1525" s="9" t="s">
        <v>3186</v>
      </c>
      <c r="S1525" s="9" t="str">
        <f>IF(ISBLANK($R1525),"",VLOOKUP($R1525,'Liste des Villes'!$B$2:$H$1128,4,FALSE))</f>
        <v>Laurentides</v>
      </c>
      <c r="T1525" s="2" t="s">
        <v>7520</v>
      </c>
      <c r="U1525" s="2" t="s">
        <v>39</v>
      </c>
      <c r="V1525" s="2" t="s">
        <v>40</v>
      </c>
      <c r="W1525" s="2" t="s">
        <v>7521</v>
      </c>
      <c r="X1525" s="2"/>
      <c r="Y1525" s="2"/>
      <c r="Z1525" s="2"/>
      <c r="AA1525" s="2" t="s">
        <v>3243</v>
      </c>
      <c r="AB1525" s="2" t="s">
        <v>3221</v>
      </c>
      <c r="AC1525" s="4" t="s">
        <v>44</v>
      </c>
    </row>
    <row r="1526" spans="1:29" x14ac:dyDescent="0.25">
      <c r="A1526" s="1">
        <v>4106</v>
      </c>
      <c r="B1526" s="17" t="s">
        <v>7522</v>
      </c>
      <c r="C1526" s="2" t="s">
        <v>2390</v>
      </c>
      <c r="D1526" s="15" t="s">
        <v>2391</v>
      </c>
      <c r="E1526" s="9" t="s">
        <v>1410</v>
      </c>
      <c r="F1526" s="9" t="s">
        <v>1523</v>
      </c>
      <c r="G1526" s="9" t="s">
        <v>92</v>
      </c>
      <c r="H1526" s="2" t="s">
        <v>35</v>
      </c>
      <c r="I1526" s="3">
        <v>35390</v>
      </c>
      <c r="J1526" s="9" t="str">
        <f t="shared" ca="1" si="25"/>
        <v>26 ans</v>
      </c>
      <c r="K1526" s="2" t="s">
        <v>36</v>
      </c>
      <c r="L1526" s="2" t="str">
        <f>"113"</f>
        <v>113</v>
      </c>
      <c r="M1526" s="2"/>
      <c r="N1526" s="2" t="str">
        <f>"CHEMIN DU LAC BLEU"</f>
        <v>CHEMIN DU LAC BLEU</v>
      </c>
      <c r="O1526" s="2" t="s">
        <v>3185</v>
      </c>
      <c r="P1526" s="9" t="str">
        <f>VLOOKUP($O1526,'Liste des Villes'!$B$2:$B$1128,1,FALSE)</f>
        <v>Saint-Jérôme</v>
      </c>
      <c r="Q1526" s="9" t="str">
        <f>IFERROR($P1526,PROPER(VLOOKUP($O1526,'Villes en erreur'!$A$2:$B$72,2,FALSE)))</f>
        <v>Saint-Jérôme</v>
      </c>
      <c r="R1526" s="9" t="s">
        <v>3186</v>
      </c>
      <c r="S1526" s="9" t="str">
        <f>IF(ISBLANK($R1526),"",VLOOKUP($R1526,'Liste des Villes'!$B$2:$H$1128,4,FALSE))</f>
        <v>Laurentides</v>
      </c>
      <c r="T1526" s="2" t="s">
        <v>6836</v>
      </c>
      <c r="U1526" s="2" t="s">
        <v>39</v>
      </c>
      <c r="V1526" s="2" t="s">
        <v>40</v>
      </c>
      <c r="W1526" s="2" t="s">
        <v>7523</v>
      </c>
      <c r="X1526" s="2"/>
      <c r="Y1526" s="2"/>
      <c r="Z1526" s="2"/>
      <c r="AA1526" s="2" t="s">
        <v>3199</v>
      </c>
      <c r="AB1526" s="2" t="s">
        <v>3200</v>
      </c>
      <c r="AC1526" s="4" t="s">
        <v>44</v>
      </c>
    </row>
    <row r="1527" spans="1:29" x14ac:dyDescent="0.25">
      <c r="A1527" s="1">
        <v>1560</v>
      </c>
      <c r="B1527" s="17" t="s">
        <v>7524</v>
      </c>
      <c r="C1527" s="2" t="s">
        <v>7525</v>
      </c>
      <c r="D1527" s="15" t="s">
        <v>7526</v>
      </c>
      <c r="E1527" s="9" t="s">
        <v>94</v>
      </c>
      <c r="F1527" s="9" t="s">
        <v>6322</v>
      </c>
      <c r="G1527" s="9" t="s">
        <v>495</v>
      </c>
      <c r="H1527" s="2" t="s">
        <v>35</v>
      </c>
      <c r="I1527" s="3">
        <v>34546</v>
      </c>
      <c r="J1527" s="9" t="str">
        <f t="shared" ca="1" si="25"/>
        <v>29 ans</v>
      </c>
      <c r="K1527" s="2" t="s">
        <v>36</v>
      </c>
      <c r="L1527" s="2" t="str">
        <f>"65"</f>
        <v>65</v>
      </c>
      <c r="M1527" s="2"/>
      <c r="N1527" s="2" t="str">
        <f>"CH DE LA CORNICHE"</f>
        <v>CH DE LA CORNICHE</v>
      </c>
      <c r="O1527" s="2" t="s">
        <v>3185</v>
      </c>
      <c r="P1527" s="9" t="str">
        <f>VLOOKUP($O1527,'Liste des Villes'!$B$2:$B$1128,1,FALSE)</f>
        <v>Saint-Jérôme</v>
      </c>
      <c r="Q1527" s="9" t="str">
        <f>IFERROR($P1527,PROPER(VLOOKUP($O1527,'Villes en erreur'!$A$2:$B$72,2,FALSE)))</f>
        <v>Saint-Jérôme</v>
      </c>
      <c r="R1527" s="9" t="s">
        <v>3186</v>
      </c>
      <c r="S1527" s="9" t="str">
        <f>IF(ISBLANK($R1527),"",VLOOKUP($R1527,'Liste des Villes'!$B$2:$H$1128,4,FALSE))</f>
        <v>Laurentides</v>
      </c>
      <c r="T1527" s="2" t="s">
        <v>3954</v>
      </c>
      <c r="U1527" s="2" t="s">
        <v>39</v>
      </c>
      <c r="V1527" s="2" t="s">
        <v>40</v>
      </c>
      <c r="W1527" s="2" t="s">
        <v>7527</v>
      </c>
      <c r="X1527" s="2"/>
      <c r="Y1527" s="2"/>
      <c r="Z1527" s="2"/>
      <c r="AA1527" s="2" t="s">
        <v>3225</v>
      </c>
      <c r="AB1527" s="2" t="s">
        <v>53</v>
      </c>
      <c r="AC1527" s="4" t="s">
        <v>44</v>
      </c>
    </row>
    <row r="1528" spans="1:29" x14ac:dyDescent="0.25">
      <c r="A1528" s="1">
        <v>2424</v>
      </c>
      <c r="B1528" s="17" t="s">
        <v>7528</v>
      </c>
      <c r="C1528" s="2" t="s">
        <v>7529</v>
      </c>
      <c r="D1528" s="15" t="s">
        <v>6411</v>
      </c>
      <c r="E1528" s="9" t="s">
        <v>271</v>
      </c>
      <c r="F1528" s="9" t="s">
        <v>272</v>
      </c>
      <c r="G1528" s="9" t="s">
        <v>3531</v>
      </c>
      <c r="H1528" s="2" t="s">
        <v>60</v>
      </c>
      <c r="I1528" s="3">
        <v>35522</v>
      </c>
      <c r="J1528" s="9" t="str">
        <f t="shared" ca="1" si="25"/>
        <v>26 ans</v>
      </c>
      <c r="K1528" s="2" t="s">
        <v>36</v>
      </c>
      <c r="L1528" s="2" t="str">
        <f>"120"</f>
        <v>120</v>
      </c>
      <c r="M1528" s="2"/>
      <c r="N1528" s="2" t="str">
        <f>"COTE DES BOUCHARD"</f>
        <v>COTE DES BOUCHARD</v>
      </c>
      <c r="O1528" s="2" t="s">
        <v>3185</v>
      </c>
      <c r="P1528" s="9" t="str">
        <f>VLOOKUP($O1528,'Liste des Villes'!$B$2:$B$1128,1,FALSE)</f>
        <v>Saint-Jérôme</v>
      </c>
      <c r="Q1528" s="9" t="str">
        <f>IFERROR($P1528,PROPER(VLOOKUP($O1528,'Villes en erreur'!$A$2:$B$72,2,FALSE)))</f>
        <v>Saint-Jérôme</v>
      </c>
      <c r="R1528" s="9" t="s">
        <v>3186</v>
      </c>
      <c r="S1528" s="9" t="str">
        <f>IF(ISBLANK($R1528),"",VLOOKUP($R1528,'Liste des Villes'!$B$2:$H$1128,4,FALSE))</f>
        <v>Laurentides</v>
      </c>
      <c r="T1528" s="2" t="s">
        <v>3532</v>
      </c>
      <c r="U1528" s="2" t="s">
        <v>39</v>
      </c>
      <c r="V1528" s="2" t="s">
        <v>40</v>
      </c>
      <c r="W1528" s="2" t="s">
        <v>7530</v>
      </c>
      <c r="X1528" s="2"/>
      <c r="Y1528" s="2"/>
      <c r="Z1528" s="2"/>
      <c r="AA1528" s="2" t="s">
        <v>3199</v>
      </c>
      <c r="AB1528" s="2" t="s">
        <v>3200</v>
      </c>
      <c r="AC1528" s="4" t="s">
        <v>44</v>
      </c>
    </row>
    <row r="1529" spans="1:29" x14ac:dyDescent="0.25">
      <c r="A1529" s="1">
        <v>2230</v>
      </c>
      <c r="B1529" s="17" t="s">
        <v>7531</v>
      </c>
      <c r="C1529" s="2" t="s">
        <v>1949</v>
      </c>
      <c r="D1529" s="15" t="s">
        <v>1950</v>
      </c>
      <c r="E1529" s="9" t="s">
        <v>277</v>
      </c>
      <c r="F1529" s="9" t="s">
        <v>1951</v>
      </c>
      <c r="G1529" s="9" t="s">
        <v>577</v>
      </c>
      <c r="H1529" s="2" t="s">
        <v>60</v>
      </c>
      <c r="I1529" s="3">
        <v>35909</v>
      </c>
      <c r="J1529" s="9" t="str">
        <f t="shared" ca="1" si="25"/>
        <v>25 ans</v>
      </c>
      <c r="K1529" s="2" t="s">
        <v>123</v>
      </c>
      <c r="L1529" s="2" t="str">
        <f>"157"</f>
        <v>157</v>
      </c>
      <c r="M1529" s="2"/>
      <c r="N1529" s="2" t="str">
        <f>"MONTEE DES LAMOUREUX"</f>
        <v>MONTEE DES LAMOUREUX</v>
      </c>
      <c r="O1529" s="2" t="s">
        <v>3186</v>
      </c>
      <c r="P1529" s="9" t="str">
        <f>VLOOKUP($O1529,'Liste des Villes'!$B$2:$B$1128,1,FALSE)</f>
        <v>Saint-Jérôme</v>
      </c>
      <c r="Q1529" s="9" t="str">
        <f>IFERROR($P1529,PROPER(VLOOKUP($O1529,'Villes en erreur'!$A$2:$B$72,2,FALSE)))</f>
        <v>Saint-Jérôme</v>
      </c>
      <c r="R1529" s="9" t="s">
        <v>3186</v>
      </c>
      <c r="S1529" s="9" t="str">
        <f>IF(ISBLANK($R1529),"",VLOOKUP($R1529,'Liste des Villes'!$B$2:$H$1128,4,FALSE))</f>
        <v>Laurentides</v>
      </c>
      <c r="T1529" s="2" t="s">
        <v>7532</v>
      </c>
      <c r="U1529" s="2" t="s">
        <v>39</v>
      </c>
      <c r="V1529" s="2" t="s">
        <v>40</v>
      </c>
      <c r="W1529" s="2" t="s">
        <v>7533</v>
      </c>
      <c r="X1529" s="2"/>
      <c r="Y1529" s="2"/>
      <c r="Z1529" s="2"/>
      <c r="AA1529" s="2" t="s">
        <v>3243</v>
      </c>
      <c r="AB1529" s="2" t="s">
        <v>3221</v>
      </c>
      <c r="AC1529" s="4" t="s">
        <v>44</v>
      </c>
    </row>
    <row r="1530" spans="1:29" x14ac:dyDescent="0.25">
      <c r="A1530" s="1">
        <v>2890</v>
      </c>
      <c r="B1530" s="17" t="s">
        <v>7534</v>
      </c>
      <c r="C1530" s="2" t="s">
        <v>7535</v>
      </c>
      <c r="D1530" s="15" t="s">
        <v>1367</v>
      </c>
      <c r="E1530" s="9" t="s">
        <v>643</v>
      </c>
      <c r="F1530" s="9" t="s">
        <v>1366</v>
      </c>
      <c r="G1530" s="9" t="s">
        <v>7536</v>
      </c>
      <c r="H1530" s="2" t="s">
        <v>35</v>
      </c>
      <c r="I1530" s="3">
        <v>36149</v>
      </c>
      <c r="J1530" s="9" t="str">
        <f t="shared" ca="1" si="25"/>
        <v>24 ans</v>
      </c>
      <c r="K1530" s="2" t="s">
        <v>123</v>
      </c>
      <c r="L1530" s="2" t="str">
        <f>"221"</f>
        <v>221</v>
      </c>
      <c r="M1530" s="2"/>
      <c r="N1530" s="2" t="str">
        <f>"RUE ALBERT-GINGRAS"</f>
        <v>RUE ALBERT-GINGRAS</v>
      </c>
      <c r="O1530" s="2" t="s">
        <v>3185</v>
      </c>
      <c r="P1530" s="9" t="str">
        <f>VLOOKUP($O1530,'Liste des Villes'!$B$2:$B$1128,1,FALSE)</f>
        <v>Saint-Jérôme</v>
      </c>
      <c r="Q1530" s="9" t="str">
        <f>IFERROR($P1530,PROPER(VLOOKUP($O1530,'Villes en erreur'!$A$2:$B$72,2,FALSE)))</f>
        <v>Saint-Jérôme</v>
      </c>
      <c r="R1530" s="9" t="s">
        <v>3186</v>
      </c>
      <c r="S1530" s="9" t="str">
        <f>IF(ISBLANK($R1530),"",VLOOKUP($R1530,'Liste des Villes'!$B$2:$H$1128,4,FALSE))</f>
        <v>Laurentides</v>
      </c>
      <c r="T1530" s="2" t="s">
        <v>5198</v>
      </c>
      <c r="U1530" s="2" t="s">
        <v>39</v>
      </c>
      <c r="V1530" s="2" t="s">
        <v>40</v>
      </c>
      <c r="W1530" s="2" t="s">
        <v>7537</v>
      </c>
      <c r="X1530" s="2"/>
      <c r="Y1530" s="2"/>
      <c r="Z1530" s="2"/>
      <c r="AA1530" s="2" t="s">
        <v>832</v>
      </c>
      <c r="AB1530" s="2" t="s">
        <v>3221</v>
      </c>
      <c r="AC1530" s="4" t="s">
        <v>44</v>
      </c>
    </row>
    <row r="1531" spans="1:29" x14ac:dyDescent="0.25">
      <c r="A1531" s="1">
        <v>2010</v>
      </c>
      <c r="B1531" s="17" t="s">
        <v>7538</v>
      </c>
      <c r="C1531" s="2" t="s">
        <v>1813</v>
      </c>
      <c r="D1531" s="15" t="s">
        <v>1814</v>
      </c>
      <c r="E1531" s="9" t="s">
        <v>549</v>
      </c>
      <c r="F1531" s="9" t="s">
        <v>7539</v>
      </c>
      <c r="G1531" s="9" t="s">
        <v>996</v>
      </c>
      <c r="H1531" s="2" t="s">
        <v>60</v>
      </c>
      <c r="I1531" s="3">
        <v>35022</v>
      </c>
      <c r="J1531" s="9" t="str">
        <f t="shared" ca="1" si="25"/>
        <v>27 ans</v>
      </c>
      <c r="K1531" s="2" t="s">
        <v>36</v>
      </c>
      <c r="L1531" s="2" t="str">
        <f>"94"</f>
        <v>94</v>
      </c>
      <c r="M1531" s="2"/>
      <c r="N1531" s="2" t="str">
        <f>"CH DU LAC-LYNCH"</f>
        <v>CH DU LAC-LYNCH</v>
      </c>
      <c r="O1531" s="2" t="s">
        <v>3185</v>
      </c>
      <c r="P1531" s="9" t="str">
        <f>VLOOKUP($O1531,'Liste des Villes'!$B$2:$B$1128,1,FALSE)</f>
        <v>Saint-Jérôme</v>
      </c>
      <c r="Q1531" s="9" t="str">
        <f>IFERROR($P1531,PROPER(VLOOKUP($O1531,'Villes en erreur'!$A$2:$B$72,2,FALSE)))</f>
        <v>Saint-Jérôme</v>
      </c>
      <c r="R1531" s="9" t="s">
        <v>3186</v>
      </c>
      <c r="S1531" s="9" t="str">
        <f>IF(ISBLANK($R1531),"",VLOOKUP($R1531,'Liste des Villes'!$B$2:$H$1128,4,FALSE))</f>
        <v>Laurentides</v>
      </c>
      <c r="T1531" s="2" t="s">
        <v>3187</v>
      </c>
      <c r="U1531" s="2" t="s">
        <v>39</v>
      </c>
      <c r="V1531" s="2" t="s">
        <v>40</v>
      </c>
      <c r="W1531" s="2" t="s">
        <v>7540</v>
      </c>
      <c r="X1531" s="2"/>
      <c r="Y1531" s="2"/>
      <c r="Z1531" s="2"/>
      <c r="AA1531" s="2" t="s">
        <v>3189</v>
      </c>
      <c r="AB1531" s="2" t="s">
        <v>53</v>
      </c>
      <c r="AC1531" s="4" t="s">
        <v>44</v>
      </c>
    </row>
    <row r="1532" spans="1:29" x14ac:dyDescent="0.25">
      <c r="A1532" s="1">
        <v>4358</v>
      </c>
      <c r="B1532" s="17" t="s">
        <v>7541</v>
      </c>
      <c r="C1532" s="2" t="s">
        <v>3535</v>
      </c>
      <c r="D1532" s="15" t="s">
        <v>3536</v>
      </c>
      <c r="E1532" s="9" t="s">
        <v>1037</v>
      </c>
      <c r="F1532" s="9" t="s">
        <v>898</v>
      </c>
      <c r="G1532" s="9" t="s">
        <v>7542</v>
      </c>
      <c r="H1532" s="2" t="s">
        <v>60</v>
      </c>
      <c r="I1532" s="3">
        <v>35748</v>
      </c>
      <c r="J1532" s="9" t="str">
        <f t="shared" ca="1" si="25"/>
        <v>25 ans</v>
      </c>
      <c r="K1532" s="2" t="s">
        <v>123</v>
      </c>
      <c r="L1532" s="2" t="str">
        <f>"139"</f>
        <v>139</v>
      </c>
      <c r="M1532" s="2"/>
      <c r="N1532" s="2" t="str">
        <f>"DU GEAI-BLEU"</f>
        <v>DU GEAI-BLEU</v>
      </c>
      <c r="O1532" s="2" t="s">
        <v>3185</v>
      </c>
      <c r="P1532" s="9" t="str">
        <f>VLOOKUP($O1532,'Liste des Villes'!$B$2:$B$1128,1,FALSE)</f>
        <v>Saint-Jérôme</v>
      </c>
      <c r="Q1532" s="9" t="str">
        <f>IFERROR($P1532,PROPER(VLOOKUP($O1532,'Villes en erreur'!$A$2:$B$72,2,FALSE)))</f>
        <v>Saint-Jérôme</v>
      </c>
      <c r="R1532" s="9" t="s">
        <v>3186</v>
      </c>
      <c r="S1532" s="9" t="str">
        <f>IF(ISBLANK($R1532),"",VLOOKUP($R1532,'Liste des Villes'!$B$2:$H$1128,4,FALSE))</f>
        <v>Laurentides</v>
      </c>
      <c r="T1532" s="2" t="s">
        <v>6251</v>
      </c>
      <c r="U1532" s="2" t="s">
        <v>39</v>
      </c>
      <c r="V1532" s="2" t="s">
        <v>40</v>
      </c>
      <c r="W1532" s="2" t="s">
        <v>7543</v>
      </c>
      <c r="X1532" s="2"/>
      <c r="Y1532" s="2"/>
      <c r="Z1532" s="2"/>
      <c r="AA1532" s="2" t="s">
        <v>3243</v>
      </c>
      <c r="AB1532" s="2" t="s">
        <v>3221</v>
      </c>
      <c r="AC1532" s="4" t="s">
        <v>44</v>
      </c>
    </row>
    <row r="1533" spans="1:29" x14ac:dyDescent="0.25">
      <c r="A1533" s="1">
        <v>3528</v>
      </c>
      <c r="B1533" s="17" t="s">
        <v>7544</v>
      </c>
      <c r="C1533" s="2" t="s">
        <v>7545</v>
      </c>
      <c r="D1533" s="15" t="s">
        <v>726</v>
      </c>
      <c r="E1533" s="9" t="s">
        <v>7546</v>
      </c>
      <c r="F1533" s="9" t="s">
        <v>5037</v>
      </c>
      <c r="G1533" s="9" t="s">
        <v>332</v>
      </c>
      <c r="H1533" s="2" t="s">
        <v>60</v>
      </c>
      <c r="I1533" s="3">
        <v>35524</v>
      </c>
      <c r="J1533" s="9" t="str">
        <f t="shared" ca="1" si="25"/>
        <v>26 ans</v>
      </c>
      <c r="K1533" s="2" t="s">
        <v>36</v>
      </c>
      <c r="L1533" s="2" t="str">
        <f>"121"</f>
        <v>121</v>
      </c>
      <c r="M1533" s="2"/>
      <c r="N1533" s="2" t="str">
        <f>"CÔTE SAINT PAUL"</f>
        <v>CÔTE SAINT PAUL</v>
      </c>
      <c r="O1533" s="2" t="s">
        <v>3185</v>
      </c>
      <c r="P1533" s="9" t="str">
        <f>VLOOKUP($O1533,'Liste des Villes'!$B$2:$B$1128,1,FALSE)</f>
        <v>Saint-Jérôme</v>
      </c>
      <c r="Q1533" s="9" t="str">
        <f>IFERROR($P1533,PROPER(VLOOKUP($O1533,'Villes en erreur'!$A$2:$B$72,2,FALSE)))</f>
        <v>Saint-Jérôme</v>
      </c>
      <c r="R1533" s="9" t="s">
        <v>3186</v>
      </c>
      <c r="S1533" s="9" t="str">
        <f>IF(ISBLANK($R1533),"",VLOOKUP($R1533,'Liste des Villes'!$B$2:$H$1128,4,FALSE))</f>
        <v>Laurentides</v>
      </c>
      <c r="T1533" s="2" t="s">
        <v>3532</v>
      </c>
      <c r="U1533" s="2" t="s">
        <v>39</v>
      </c>
      <c r="V1533" s="2" t="s">
        <v>40</v>
      </c>
      <c r="W1533" s="2" t="s">
        <v>7547</v>
      </c>
      <c r="X1533" s="2"/>
      <c r="Y1533" s="2"/>
      <c r="Z1533" s="2"/>
      <c r="AA1533" s="2" t="s">
        <v>3199</v>
      </c>
      <c r="AB1533" s="2" t="s">
        <v>3200</v>
      </c>
      <c r="AC1533" s="4" t="s">
        <v>44</v>
      </c>
    </row>
    <row r="1534" spans="1:29" x14ac:dyDescent="0.25">
      <c r="A1534" s="1">
        <v>3388</v>
      </c>
      <c r="B1534" s="17" t="s">
        <v>7548</v>
      </c>
      <c r="C1534" s="2" t="s">
        <v>3202</v>
      </c>
      <c r="D1534" s="15" t="s">
        <v>3203</v>
      </c>
      <c r="E1534" s="9" t="s">
        <v>2217</v>
      </c>
      <c r="F1534" s="9" t="s">
        <v>3204</v>
      </c>
      <c r="G1534" s="9" t="s">
        <v>495</v>
      </c>
      <c r="H1534" s="2" t="s">
        <v>35</v>
      </c>
      <c r="I1534" s="3">
        <v>34484</v>
      </c>
      <c r="J1534" s="9" t="str">
        <f t="shared" ca="1" si="25"/>
        <v>29 ans</v>
      </c>
      <c r="K1534" s="2" t="s">
        <v>36</v>
      </c>
      <c r="L1534" s="2" t="str">
        <f>"61"</f>
        <v>61</v>
      </c>
      <c r="M1534" s="2"/>
      <c r="N1534" s="2" t="str">
        <f>"CH ANGERS"</f>
        <v>CH ANGERS</v>
      </c>
      <c r="O1534" s="2" t="s">
        <v>3185</v>
      </c>
      <c r="P1534" s="9" t="str">
        <f>VLOOKUP($O1534,'Liste des Villes'!$B$2:$B$1128,1,FALSE)</f>
        <v>Saint-Jérôme</v>
      </c>
      <c r="Q1534" s="9" t="str">
        <f>IFERROR($P1534,PROPER(VLOOKUP($O1534,'Villes en erreur'!$A$2:$B$72,2,FALSE)))</f>
        <v>Saint-Jérôme</v>
      </c>
      <c r="R1534" s="9" t="s">
        <v>3186</v>
      </c>
      <c r="S1534" s="9" t="str">
        <f>IF(ISBLANK($R1534),"",VLOOKUP($R1534,'Liste des Villes'!$B$2:$H$1128,4,FALSE))</f>
        <v>Laurentides</v>
      </c>
      <c r="T1534" s="2" t="s">
        <v>3507</v>
      </c>
      <c r="U1534" s="2" t="s">
        <v>39</v>
      </c>
      <c r="V1534" s="2" t="s">
        <v>40</v>
      </c>
      <c r="W1534" s="2" t="s">
        <v>7549</v>
      </c>
      <c r="X1534" s="2"/>
      <c r="Y1534" s="2"/>
      <c r="Z1534" s="2"/>
      <c r="AA1534" s="2" t="s">
        <v>3293</v>
      </c>
      <c r="AB1534" s="2" t="s">
        <v>53</v>
      </c>
      <c r="AC1534" s="4" t="s">
        <v>44</v>
      </c>
    </row>
    <row r="1535" spans="1:29" x14ac:dyDescent="0.25">
      <c r="A1535" s="1">
        <v>4430</v>
      </c>
      <c r="B1535" s="17" t="s">
        <v>7550</v>
      </c>
      <c r="C1535" s="2" t="s">
        <v>7551</v>
      </c>
      <c r="D1535" s="15" t="s">
        <v>1523</v>
      </c>
      <c r="E1535" s="9" t="s">
        <v>7552</v>
      </c>
      <c r="F1535" s="9" t="s">
        <v>1409</v>
      </c>
      <c r="G1535" s="9" t="s">
        <v>7553</v>
      </c>
      <c r="H1535" s="2" t="s">
        <v>35</v>
      </c>
      <c r="I1535" s="3">
        <v>35588</v>
      </c>
      <c r="J1535" s="9" t="str">
        <f t="shared" ca="1" si="25"/>
        <v>26 ans</v>
      </c>
      <c r="K1535" s="2" t="s">
        <v>36</v>
      </c>
      <c r="L1535" s="2" t="str">
        <f>"127"</f>
        <v>127</v>
      </c>
      <c r="M1535" s="2"/>
      <c r="N1535" s="2" t="str">
        <f>"DE LA CANADIENNE"</f>
        <v>DE LA CANADIENNE</v>
      </c>
      <c r="O1535" s="2" t="s">
        <v>3185</v>
      </c>
      <c r="P1535" s="9" t="str">
        <f>VLOOKUP($O1535,'Liste des Villes'!$B$2:$B$1128,1,FALSE)</f>
        <v>Saint-Jérôme</v>
      </c>
      <c r="Q1535" s="9" t="str">
        <f>IFERROR($P1535,PROPER(VLOOKUP($O1535,'Villes en erreur'!$A$2:$B$72,2,FALSE)))</f>
        <v>Saint-Jérôme</v>
      </c>
      <c r="R1535" s="9" t="s">
        <v>3186</v>
      </c>
      <c r="S1535" s="9" t="str">
        <f>IF(ISBLANK($R1535),"",VLOOKUP($R1535,'Liste des Villes'!$B$2:$H$1128,4,FALSE))</f>
        <v>Laurentides</v>
      </c>
      <c r="T1535" s="2" t="s">
        <v>3576</v>
      </c>
      <c r="U1535" s="2" t="s">
        <v>39</v>
      </c>
      <c r="V1535" s="2" t="s">
        <v>40</v>
      </c>
      <c r="W1535" s="2" t="s">
        <v>7554</v>
      </c>
      <c r="X1535" s="2"/>
      <c r="Y1535" s="2"/>
      <c r="Z1535" s="2"/>
      <c r="AA1535" s="2" t="s">
        <v>3243</v>
      </c>
      <c r="AB1535" s="2" t="s">
        <v>3221</v>
      </c>
      <c r="AC1535" s="4" t="s">
        <v>44</v>
      </c>
    </row>
    <row r="1536" spans="1:29" x14ac:dyDescent="0.25">
      <c r="A1536" s="1">
        <v>2440</v>
      </c>
      <c r="B1536" s="17" t="s">
        <v>7555</v>
      </c>
      <c r="C1536" s="2" t="s">
        <v>7556</v>
      </c>
      <c r="D1536" s="15" t="s">
        <v>7387</v>
      </c>
      <c r="E1536" s="9" t="s">
        <v>2217</v>
      </c>
      <c r="F1536" s="9" t="s">
        <v>7386</v>
      </c>
      <c r="G1536" s="9" t="s">
        <v>495</v>
      </c>
      <c r="H1536" s="2" t="s">
        <v>35</v>
      </c>
      <c r="I1536" s="3">
        <v>34755</v>
      </c>
      <c r="J1536" s="9" t="str">
        <f t="shared" ca="1" si="25"/>
        <v>28 ans</v>
      </c>
      <c r="K1536" s="2" t="s">
        <v>36</v>
      </c>
      <c r="L1536" s="2" t="str">
        <f>"74"</f>
        <v>74</v>
      </c>
      <c r="M1536" s="2"/>
      <c r="N1536" s="2" t="str">
        <f>"CH DE VIMY"</f>
        <v>CH DE VIMY</v>
      </c>
      <c r="O1536" s="2" t="s">
        <v>3185</v>
      </c>
      <c r="P1536" s="9" t="str">
        <f>VLOOKUP($O1536,'Liste des Villes'!$B$2:$B$1128,1,FALSE)</f>
        <v>Saint-Jérôme</v>
      </c>
      <c r="Q1536" s="9" t="str">
        <f>IFERROR($P1536,PROPER(VLOOKUP($O1536,'Villes en erreur'!$A$2:$B$72,2,FALSE)))</f>
        <v>Saint-Jérôme</v>
      </c>
      <c r="R1536" s="9" t="s">
        <v>3186</v>
      </c>
      <c r="S1536" s="9" t="str">
        <f>IF(ISBLANK($R1536),"",VLOOKUP($R1536,'Liste des Villes'!$B$2:$H$1128,4,FALSE))</f>
        <v>Laurentides</v>
      </c>
      <c r="T1536" s="2" t="s">
        <v>3187</v>
      </c>
      <c r="U1536" s="2" t="s">
        <v>39</v>
      </c>
      <c r="V1536" s="2" t="s">
        <v>40</v>
      </c>
      <c r="W1536" s="2" t="s">
        <v>7557</v>
      </c>
      <c r="X1536" s="2"/>
      <c r="Y1536" s="2"/>
      <c r="Z1536" s="2"/>
      <c r="AA1536" s="2" t="s">
        <v>3225</v>
      </c>
      <c r="AB1536" s="2" t="s">
        <v>53</v>
      </c>
      <c r="AC1536" s="4" t="s">
        <v>44</v>
      </c>
    </row>
    <row r="1537" spans="1:29" x14ac:dyDescent="0.25">
      <c r="A1537" s="1">
        <v>1028</v>
      </c>
      <c r="B1537" s="17" t="s">
        <v>7558</v>
      </c>
      <c r="C1537" s="2" t="s">
        <v>7559</v>
      </c>
      <c r="D1537" s="15" t="s">
        <v>7560</v>
      </c>
      <c r="E1537" s="9" t="s">
        <v>1467</v>
      </c>
      <c r="F1537" s="9" t="s">
        <v>7561</v>
      </c>
      <c r="G1537" s="9" t="s">
        <v>635</v>
      </c>
      <c r="H1537" s="2" t="s">
        <v>35</v>
      </c>
      <c r="I1537" s="3">
        <v>33941</v>
      </c>
      <c r="J1537" s="9" t="str">
        <f t="shared" ca="1" si="25"/>
        <v>30 ans</v>
      </c>
      <c r="K1537" s="2" t="s">
        <v>36</v>
      </c>
      <c r="L1537" s="2" t="str">
        <f>"41"</f>
        <v>41</v>
      </c>
      <c r="M1537" s="2"/>
      <c r="N1537" s="2" t="str">
        <f>"AVENUE VAN HORNE"</f>
        <v>AVENUE VAN HORNE</v>
      </c>
      <c r="O1537" s="2" t="s">
        <v>3185</v>
      </c>
      <c r="P1537" s="9" t="str">
        <f>VLOOKUP($O1537,'Liste des Villes'!$B$2:$B$1128,1,FALSE)</f>
        <v>Saint-Jérôme</v>
      </c>
      <c r="Q1537" s="9" t="str">
        <f>IFERROR($P1537,PROPER(VLOOKUP($O1537,'Villes en erreur'!$A$2:$B$72,2,FALSE)))</f>
        <v>Saint-Jérôme</v>
      </c>
      <c r="R1537" s="9" t="s">
        <v>3186</v>
      </c>
      <c r="S1537" s="9" t="str">
        <f>IF(ISBLANK($R1537),"",VLOOKUP($R1537,'Liste des Villes'!$B$2:$H$1128,4,FALSE))</f>
        <v>Laurentides</v>
      </c>
      <c r="T1537" s="2" t="s">
        <v>3093</v>
      </c>
      <c r="U1537" s="2" t="s">
        <v>39</v>
      </c>
      <c r="V1537" s="2" t="s">
        <v>40</v>
      </c>
      <c r="W1537" s="2" t="s">
        <v>7562</v>
      </c>
      <c r="X1537" s="2"/>
      <c r="Y1537" s="2"/>
      <c r="Z1537" s="2"/>
      <c r="AA1537" s="2" t="s">
        <v>3207</v>
      </c>
      <c r="AB1537" s="2" t="s">
        <v>53</v>
      </c>
      <c r="AC1537" s="4" t="s">
        <v>44</v>
      </c>
    </row>
    <row r="1538" spans="1:29" x14ac:dyDescent="0.25">
      <c r="A1538" s="1">
        <v>104</v>
      </c>
      <c r="B1538" s="17" t="s">
        <v>7563</v>
      </c>
      <c r="C1538" s="2" t="s">
        <v>7564</v>
      </c>
      <c r="D1538" s="15" t="s">
        <v>7565</v>
      </c>
      <c r="E1538" s="9" t="s">
        <v>186</v>
      </c>
      <c r="F1538" s="9" t="s">
        <v>7566</v>
      </c>
      <c r="G1538" s="9" t="s">
        <v>179</v>
      </c>
      <c r="H1538" s="2" t="s">
        <v>60</v>
      </c>
      <c r="I1538" s="3">
        <v>36103</v>
      </c>
      <c r="J1538" s="9" t="str">
        <f t="shared" ref="J1538:J1601" ca="1" si="26">_xlfn.CONCAT(INT((TODAY()-$I1538)/365.25)," ans")</f>
        <v>24 ans</v>
      </c>
      <c r="K1538" s="2" t="s">
        <v>123</v>
      </c>
      <c r="L1538" s="2" t="str">
        <f>"209"</f>
        <v>209</v>
      </c>
      <c r="M1538" s="2"/>
      <c r="N1538" s="2" t="str">
        <f>"RTE 117"</f>
        <v>RTE 117</v>
      </c>
      <c r="O1538" s="2" t="s">
        <v>3185</v>
      </c>
      <c r="P1538" s="9" t="str">
        <f>VLOOKUP($O1538,'Liste des Villes'!$B$2:$B$1128,1,FALSE)</f>
        <v>Saint-Jérôme</v>
      </c>
      <c r="Q1538" s="9" t="str">
        <f>IFERROR($P1538,PROPER(VLOOKUP($O1538,'Villes en erreur'!$A$2:$B$72,2,FALSE)))</f>
        <v>Saint-Jérôme</v>
      </c>
      <c r="R1538" s="9" t="s">
        <v>3186</v>
      </c>
      <c r="S1538" s="9" t="str">
        <f>IF(ISBLANK($R1538),"",VLOOKUP($R1538,'Liste des Villes'!$B$2:$H$1128,4,FALSE))</f>
        <v>Laurentides</v>
      </c>
      <c r="T1538" s="2" t="s">
        <v>7382</v>
      </c>
      <c r="U1538" s="2" t="s">
        <v>39</v>
      </c>
      <c r="V1538" s="2" t="s">
        <v>40</v>
      </c>
      <c r="W1538" s="2" t="s">
        <v>7567</v>
      </c>
      <c r="X1538" s="2"/>
      <c r="Y1538" s="2"/>
      <c r="Z1538" s="2"/>
      <c r="AA1538" s="2" t="s">
        <v>832</v>
      </c>
      <c r="AB1538" s="2" t="s">
        <v>3221</v>
      </c>
      <c r="AC1538" s="4" t="s">
        <v>44</v>
      </c>
    </row>
    <row r="1539" spans="1:29" x14ac:dyDescent="0.25">
      <c r="A1539" s="1">
        <v>3593</v>
      </c>
      <c r="B1539" s="17" t="s">
        <v>7568</v>
      </c>
      <c r="C1539" s="2" t="s">
        <v>3579</v>
      </c>
      <c r="D1539" s="15" t="s">
        <v>2698</v>
      </c>
      <c r="E1539" s="9" t="s">
        <v>3580</v>
      </c>
      <c r="F1539" s="9" t="s">
        <v>5394</v>
      </c>
      <c r="G1539" s="9" t="s">
        <v>3218</v>
      </c>
      <c r="H1539" s="2" t="s">
        <v>60</v>
      </c>
      <c r="I1539" s="3">
        <v>34308</v>
      </c>
      <c r="J1539" s="9" t="str">
        <f t="shared" ca="1" si="26"/>
        <v>29 ans</v>
      </c>
      <c r="K1539" s="2" t="s">
        <v>36</v>
      </c>
      <c r="L1539" s="2" t="str">
        <f>"51"</f>
        <v>51</v>
      </c>
      <c r="M1539" s="2"/>
      <c r="N1539" s="2" t="str">
        <f>"BOULEVARD LAFONTAINE"</f>
        <v>BOULEVARD LAFONTAINE</v>
      </c>
      <c r="O1539" s="2" t="s">
        <v>3185</v>
      </c>
      <c r="P1539" s="9" t="str">
        <f>VLOOKUP($O1539,'Liste des Villes'!$B$2:$B$1128,1,FALSE)</f>
        <v>Saint-Jérôme</v>
      </c>
      <c r="Q1539" s="9" t="str">
        <f>IFERROR($P1539,PROPER(VLOOKUP($O1539,'Villes en erreur'!$A$2:$B$72,2,FALSE)))</f>
        <v>Saint-Jérôme</v>
      </c>
      <c r="R1539" s="9" t="s">
        <v>3186</v>
      </c>
      <c r="S1539" s="9" t="str">
        <f>IF(ISBLANK($R1539),"",VLOOKUP($R1539,'Liste des Villes'!$B$2:$H$1128,4,FALSE))</f>
        <v>Laurentides</v>
      </c>
      <c r="T1539" s="2" t="s">
        <v>3520</v>
      </c>
      <c r="U1539" s="2" t="s">
        <v>39</v>
      </c>
      <c r="V1539" s="2" t="s">
        <v>40</v>
      </c>
      <c r="W1539" s="2" t="s">
        <v>7569</v>
      </c>
      <c r="X1539" s="2"/>
      <c r="Y1539" s="2"/>
      <c r="Z1539" s="2"/>
      <c r="AA1539" s="2" t="s">
        <v>3360</v>
      </c>
      <c r="AB1539" s="2" t="s">
        <v>53</v>
      </c>
      <c r="AC1539" s="4" t="s">
        <v>44</v>
      </c>
    </row>
    <row r="1540" spans="1:29" x14ac:dyDescent="0.25">
      <c r="A1540" s="1">
        <v>3564</v>
      </c>
      <c r="B1540" s="17" t="s">
        <v>7570</v>
      </c>
      <c r="C1540" s="2" t="s">
        <v>7571</v>
      </c>
      <c r="D1540" s="15" t="s">
        <v>2729</v>
      </c>
      <c r="E1540" s="9" t="s">
        <v>2928</v>
      </c>
      <c r="F1540" s="9" t="s">
        <v>2728</v>
      </c>
      <c r="G1540" s="9" t="s">
        <v>332</v>
      </c>
      <c r="H1540" s="2" t="s">
        <v>60</v>
      </c>
      <c r="I1540" s="3">
        <v>35541</v>
      </c>
      <c r="J1540" s="9" t="str">
        <f t="shared" ca="1" si="26"/>
        <v>26 ans</v>
      </c>
      <c r="K1540" s="2" t="s">
        <v>36</v>
      </c>
      <c r="L1540" s="2" t="str">
        <f>"122"</f>
        <v>122</v>
      </c>
      <c r="M1540" s="2"/>
      <c r="N1540" s="2" t="str">
        <f>"COTE SAINT-PAUL"</f>
        <v>COTE SAINT-PAUL</v>
      </c>
      <c r="O1540" s="2" t="s">
        <v>3185</v>
      </c>
      <c r="P1540" s="9" t="str">
        <f>VLOOKUP($O1540,'Liste des Villes'!$B$2:$B$1128,1,FALSE)</f>
        <v>Saint-Jérôme</v>
      </c>
      <c r="Q1540" s="9" t="str">
        <f>IFERROR($P1540,PROPER(VLOOKUP($O1540,'Villes en erreur'!$A$2:$B$72,2,FALSE)))</f>
        <v>Saint-Jérôme</v>
      </c>
      <c r="R1540" s="9" t="s">
        <v>3186</v>
      </c>
      <c r="S1540" s="9" t="str">
        <f>IF(ISBLANK($R1540),"",VLOOKUP($R1540,'Liste des Villes'!$B$2:$H$1128,4,FALSE))</f>
        <v>Laurentides</v>
      </c>
      <c r="T1540" s="2" t="s">
        <v>4804</v>
      </c>
      <c r="U1540" s="2" t="s">
        <v>39</v>
      </c>
      <c r="V1540" s="2" t="s">
        <v>40</v>
      </c>
      <c r="W1540" s="2" t="s">
        <v>7572</v>
      </c>
      <c r="X1540" s="2"/>
      <c r="Y1540" s="2"/>
      <c r="Z1540" s="2"/>
      <c r="AA1540" s="2" t="s">
        <v>3199</v>
      </c>
      <c r="AB1540" s="2" t="s">
        <v>3221</v>
      </c>
      <c r="AC1540" s="4" t="s">
        <v>44</v>
      </c>
    </row>
    <row r="1541" spans="1:29" x14ac:dyDescent="0.25">
      <c r="A1541" s="1">
        <v>1194</v>
      </c>
      <c r="B1541" s="17" t="s">
        <v>7573</v>
      </c>
      <c r="C1541" s="2" t="s">
        <v>7574</v>
      </c>
      <c r="D1541" s="15" t="s">
        <v>7575</v>
      </c>
      <c r="E1541" s="9" t="s">
        <v>1355</v>
      </c>
      <c r="F1541" s="9" t="s">
        <v>7576</v>
      </c>
      <c r="G1541" s="9" t="s">
        <v>6386</v>
      </c>
      <c r="H1541" s="2" t="s">
        <v>35</v>
      </c>
      <c r="I1541" s="3">
        <v>36094</v>
      </c>
      <c r="J1541" s="9" t="str">
        <f t="shared" ca="1" si="26"/>
        <v>24 ans</v>
      </c>
      <c r="K1541" s="2" t="s">
        <v>123</v>
      </c>
      <c r="L1541" s="2" t="str">
        <f>"206"</f>
        <v>206</v>
      </c>
      <c r="M1541" s="2"/>
      <c r="N1541" s="2" t="str">
        <f>"ROLAND-DURAND BLVD"</f>
        <v>ROLAND-DURAND BLVD</v>
      </c>
      <c r="O1541" s="2" t="s">
        <v>3185</v>
      </c>
      <c r="P1541" s="9" t="str">
        <f>VLOOKUP($O1541,'Liste des Villes'!$B$2:$B$1128,1,FALSE)</f>
        <v>Saint-Jérôme</v>
      </c>
      <c r="Q1541" s="9" t="str">
        <f>IFERROR($P1541,PROPER(VLOOKUP($O1541,'Villes en erreur'!$A$2:$B$72,2,FALSE)))</f>
        <v>Saint-Jérôme</v>
      </c>
      <c r="R1541" s="9" t="s">
        <v>3186</v>
      </c>
      <c r="S1541" s="9" t="str">
        <f>IF(ISBLANK($R1541),"",VLOOKUP($R1541,'Liste des Villes'!$B$2:$H$1128,4,FALSE))</f>
        <v>Laurentides</v>
      </c>
      <c r="T1541" s="2" t="s">
        <v>7577</v>
      </c>
      <c r="U1541" s="2" t="s">
        <v>39</v>
      </c>
      <c r="V1541" s="2" t="s">
        <v>40</v>
      </c>
      <c r="W1541" s="2" t="s">
        <v>7578</v>
      </c>
      <c r="X1541" s="2"/>
      <c r="Y1541" s="2"/>
      <c r="Z1541" s="2"/>
      <c r="AA1541" s="2" t="s">
        <v>832</v>
      </c>
      <c r="AB1541" s="2" t="s">
        <v>3221</v>
      </c>
      <c r="AC1541" s="4" t="s">
        <v>44</v>
      </c>
    </row>
    <row r="1542" spans="1:29" x14ac:dyDescent="0.25">
      <c r="A1542" s="1">
        <v>4333</v>
      </c>
      <c r="B1542" s="17" t="s">
        <v>7579</v>
      </c>
      <c r="C1542" s="2" t="s">
        <v>7580</v>
      </c>
      <c r="D1542" s="15" t="s">
        <v>7581</v>
      </c>
      <c r="E1542" s="9" t="s">
        <v>1246</v>
      </c>
      <c r="F1542" s="9" t="s">
        <v>7582</v>
      </c>
      <c r="G1542" s="9" t="s">
        <v>635</v>
      </c>
      <c r="H1542" s="2" t="s">
        <v>35</v>
      </c>
      <c r="I1542" s="3">
        <v>33885</v>
      </c>
      <c r="J1542" s="9" t="str">
        <f t="shared" ca="1" si="26"/>
        <v>30 ans</v>
      </c>
      <c r="K1542" s="2" t="s">
        <v>36</v>
      </c>
      <c r="L1542" s="2" t="str">
        <f>"40"</f>
        <v>40</v>
      </c>
      <c r="M1542" s="2"/>
      <c r="N1542" s="2" t="str">
        <f>"AVENUE HAMFORD"</f>
        <v>AVENUE HAMFORD</v>
      </c>
      <c r="O1542" s="2" t="s">
        <v>3185</v>
      </c>
      <c r="P1542" s="9" t="str">
        <f>VLOOKUP($O1542,'Liste des Villes'!$B$2:$B$1128,1,FALSE)</f>
        <v>Saint-Jérôme</v>
      </c>
      <c r="Q1542" s="9" t="str">
        <f>IFERROR($P1542,PROPER(VLOOKUP($O1542,'Villes en erreur'!$A$2:$B$72,2,FALSE)))</f>
        <v>Saint-Jérôme</v>
      </c>
      <c r="R1542" s="9" t="s">
        <v>3186</v>
      </c>
      <c r="S1542" s="9" t="str">
        <f>IF(ISBLANK($R1542),"",VLOOKUP($R1542,'Liste des Villes'!$B$2:$H$1128,4,FALSE))</f>
        <v>Laurentides</v>
      </c>
      <c r="T1542" s="2" t="s">
        <v>3093</v>
      </c>
      <c r="U1542" s="2" t="s">
        <v>39</v>
      </c>
      <c r="V1542" s="2" t="s">
        <v>40</v>
      </c>
      <c r="W1542" s="2" t="s">
        <v>7583</v>
      </c>
      <c r="X1542" s="2"/>
      <c r="Y1542" s="2"/>
      <c r="Z1542" s="2"/>
      <c r="AA1542" s="2" t="s">
        <v>3207</v>
      </c>
      <c r="AB1542" s="2" t="s">
        <v>53</v>
      </c>
      <c r="AC1542" s="4" t="s">
        <v>44</v>
      </c>
    </row>
    <row r="1543" spans="1:29" x14ac:dyDescent="0.25">
      <c r="A1543" s="1">
        <v>4198</v>
      </c>
      <c r="B1543" s="17" t="s">
        <v>7584</v>
      </c>
      <c r="C1543" s="2" t="s">
        <v>7585</v>
      </c>
      <c r="D1543" s="15" t="s">
        <v>3177</v>
      </c>
      <c r="E1543" s="9" t="s">
        <v>7586</v>
      </c>
      <c r="F1543" s="9" t="s">
        <v>7587</v>
      </c>
      <c r="G1543" s="9" t="s">
        <v>5246</v>
      </c>
      <c r="H1543" s="2" t="s">
        <v>35</v>
      </c>
      <c r="I1543" s="3">
        <v>35232</v>
      </c>
      <c r="J1543" s="9" t="str">
        <f t="shared" ca="1" si="26"/>
        <v>27 ans</v>
      </c>
      <c r="K1543" s="2" t="s">
        <v>36</v>
      </c>
      <c r="L1543" s="2" t="str">
        <f>"106"</f>
        <v>106</v>
      </c>
      <c r="M1543" s="2"/>
      <c r="N1543" s="2" t="str">
        <f>"CHEMIN CHAMPAGNE"</f>
        <v>CHEMIN CHAMPAGNE</v>
      </c>
      <c r="O1543" s="2" t="s">
        <v>3185</v>
      </c>
      <c r="P1543" s="9" t="str">
        <f>VLOOKUP($O1543,'Liste des Villes'!$B$2:$B$1128,1,FALSE)</f>
        <v>Saint-Jérôme</v>
      </c>
      <c r="Q1543" s="9" t="str">
        <f>IFERROR($P1543,PROPER(VLOOKUP($O1543,'Villes en erreur'!$A$2:$B$72,2,FALSE)))</f>
        <v>Saint-Jérôme</v>
      </c>
      <c r="R1543" s="9" t="s">
        <v>3186</v>
      </c>
      <c r="S1543" s="9" t="str">
        <f>IF(ISBLANK($R1543),"",VLOOKUP($R1543,'Liste des Villes'!$B$2:$H$1128,4,FALSE))</f>
        <v>Laurentides</v>
      </c>
      <c r="T1543" s="2" t="s">
        <v>3187</v>
      </c>
      <c r="U1543" s="2" t="s">
        <v>39</v>
      </c>
      <c r="V1543" s="2" t="s">
        <v>40</v>
      </c>
      <c r="W1543" s="2" t="s">
        <v>7588</v>
      </c>
      <c r="X1543" s="2"/>
      <c r="Y1543" s="2"/>
      <c r="Z1543" s="2"/>
      <c r="AA1543" s="2" t="s">
        <v>3189</v>
      </c>
      <c r="AB1543" s="2" t="s">
        <v>3190</v>
      </c>
      <c r="AC1543" s="4" t="s">
        <v>44</v>
      </c>
    </row>
    <row r="1544" spans="1:29" x14ac:dyDescent="0.25">
      <c r="A1544" s="1">
        <v>4484</v>
      </c>
      <c r="B1544" s="17" t="s">
        <v>7589</v>
      </c>
      <c r="C1544" s="2" t="s">
        <v>7590</v>
      </c>
      <c r="D1544" s="15" t="s">
        <v>7591</v>
      </c>
      <c r="E1544" s="9" t="s">
        <v>7592</v>
      </c>
      <c r="F1544" s="9" t="s">
        <v>7593</v>
      </c>
      <c r="G1544" s="9" t="s">
        <v>3404</v>
      </c>
      <c r="H1544" s="2" t="s">
        <v>35</v>
      </c>
      <c r="I1544" s="3">
        <v>35683</v>
      </c>
      <c r="J1544" s="9" t="str">
        <f t="shared" ca="1" si="26"/>
        <v>25 ans</v>
      </c>
      <c r="K1544" s="2" t="s">
        <v>123</v>
      </c>
      <c r="L1544" s="2" t="str">
        <f>"134"</f>
        <v>134</v>
      </c>
      <c r="M1544" s="2"/>
      <c r="N1544" s="2" t="str">
        <f>"DES HAUTEURS BLVD"</f>
        <v>DES HAUTEURS BLVD</v>
      </c>
      <c r="O1544" s="2" t="s">
        <v>3185</v>
      </c>
      <c r="P1544" s="9" t="str">
        <f>VLOOKUP($O1544,'Liste des Villes'!$B$2:$B$1128,1,FALSE)</f>
        <v>Saint-Jérôme</v>
      </c>
      <c r="Q1544" s="9" t="str">
        <f>IFERROR($P1544,PROPER(VLOOKUP($O1544,'Villes en erreur'!$A$2:$B$72,2,FALSE)))</f>
        <v>Saint-Jérôme</v>
      </c>
      <c r="R1544" s="9" t="s">
        <v>3186</v>
      </c>
      <c r="S1544" s="9" t="str">
        <f>IF(ISBLANK($R1544),"",VLOOKUP($R1544,'Liste des Villes'!$B$2:$H$1128,4,FALSE))</f>
        <v>Laurentides</v>
      </c>
      <c r="T1544" s="2" t="s">
        <v>5617</v>
      </c>
      <c r="U1544" s="2" t="s">
        <v>39</v>
      </c>
      <c r="V1544" s="2" t="s">
        <v>40</v>
      </c>
      <c r="W1544" s="2" t="s">
        <v>7594</v>
      </c>
      <c r="X1544" s="2"/>
      <c r="Y1544" s="2"/>
      <c r="Z1544" s="2"/>
      <c r="AA1544" s="2" t="s">
        <v>3243</v>
      </c>
      <c r="AB1544" s="2" t="s">
        <v>3221</v>
      </c>
      <c r="AC1544" s="4" t="s">
        <v>44</v>
      </c>
    </row>
    <row r="1545" spans="1:29" x14ac:dyDescent="0.25">
      <c r="A1545" s="1">
        <v>787</v>
      </c>
      <c r="B1545" s="17" t="s">
        <v>7595</v>
      </c>
      <c r="C1545" s="2" t="s">
        <v>7596</v>
      </c>
      <c r="D1545" s="15" t="s">
        <v>7597</v>
      </c>
      <c r="E1545" s="9" t="s">
        <v>5798</v>
      </c>
      <c r="F1545" s="9" t="s">
        <v>7598</v>
      </c>
      <c r="G1545" s="9" t="s">
        <v>2635</v>
      </c>
      <c r="H1545" s="2" t="s">
        <v>60</v>
      </c>
      <c r="I1545" s="3">
        <v>35779</v>
      </c>
      <c r="J1545" s="9" t="str">
        <f t="shared" ca="1" si="26"/>
        <v>25 ans</v>
      </c>
      <c r="K1545" s="2" t="s">
        <v>123</v>
      </c>
      <c r="L1545" s="2" t="str">
        <f>"141"</f>
        <v>141</v>
      </c>
      <c r="M1545" s="2"/>
      <c r="N1545" s="2" t="str">
        <f>"Germaine-Guèvremont"</f>
        <v>Germaine-Guèvremont</v>
      </c>
      <c r="O1545" s="2" t="s">
        <v>3185</v>
      </c>
      <c r="P1545" s="9" t="str">
        <f>VLOOKUP($O1545,'Liste des Villes'!$B$2:$B$1128,1,FALSE)</f>
        <v>Saint-Jérôme</v>
      </c>
      <c r="Q1545" s="9" t="str">
        <f>IFERROR($P1545,PROPER(VLOOKUP($O1545,'Villes en erreur'!$A$2:$B$72,2,FALSE)))</f>
        <v>Saint-Jérôme</v>
      </c>
      <c r="R1545" s="9" t="s">
        <v>3186</v>
      </c>
      <c r="S1545" s="9" t="str">
        <f>IF(ISBLANK($R1545),"",VLOOKUP($R1545,'Liste des Villes'!$B$2:$H$1128,4,FALSE))</f>
        <v>Laurentides</v>
      </c>
      <c r="T1545" s="2" t="s">
        <v>4173</v>
      </c>
      <c r="U1545" s="2" t="s">
        <v>39</v>
      </c>
      <c r="V1545" s="2" t="s">
        <v>40</v>
      </c>
      <c r="W1545" s="2" t="s">
        <v>7599</v>
      </c>
      <c r="X1545" s="2"/>
      <c r="Y1545" s="2"/>
      <c r="Z1545" s="2"/>
      <c r="AA1545" s="2" t="s">
        <v>3243</v>
      </c>
      <c r="AB1545" s="2" t="s">
        <v>3221</v>
      </c>
      <c r="AC1545" s="4" t="s">
        <v>44</v>
      </c>
    </row>
    <row r="1546" spans="1:29" x14ac:dyDescent="0.25">
      <c r="A1546" s="1">
        <v>1343</v>
      </c>
      <c r="B1546" s="17" t="s">
        <v>7600</v>
      </c>
      <c r="C1546" s="2" t="s">
        <v>7601</v>
      </c>
      <c r="D1546" s="15" t="s">
        <v>7576</v>
      </c>
      <c r="E1546" s="9" t="s">
        <v>7602</v>
      </c>
      <c r="F1546" s="9" t="s">
        <v>7575</v>
      </c>
      <c r="G1546" s="9" t="s">
        <v>1944</v>
      </c>
      <c r="H1546" s="2" t="s">
        <v>60</v>
      </c>
      <c r="I1546" s="3">
        <v>36046</v>
      </c>
      <c r="J1546" s="9" t="str">
        <f t="shared" ca="1" si="26"/>
        <v>24 ans</v>
      </c>
      <c r="K1546" s="2" t="s">
        <v>123</v>
      </c>
      <c r="L1546" s="2" t="str">
        <f>"187"</f>
        <v>187</v>
      </c>
      <c r="M1546" s="2"/>
      <c r="N1546" s="2" t="str">
        <f>"PLACE SAINTE-CLAIRE"</f>
        <v>PLACE SAINTE-CLAIRE</v>
      </c>
      <c r="O1546" s="2" t="s">
        <v>3185</v>
      </c>
      <c r="P1546" s="9" t="str">
        <f>VLOOKUP($O1546,'Liste des Villes'!$B$2:$B$1128,1,FALSE)</f>
        <v>Saint-Jérôme</v>
      </c>
      <c r="Q1546" s="9" t="str">
        <f>IFERROR($P1546,PROPER(VLOOKUP($O1546,'Villes en erreur'!$A$2:$B$72,2,FALSE)))</f>
        <v>Saint-Jérôme</v>
      </c>
      <c r="R1546" s="9" t="s">
        <v>3186</v>
      </c>
      <c r="S1546" s="9" t="str">
        <f>IF(ISBLANK($R1546),"",VLOOKUP($R1546,'Liste des Villes'!$B$2:$H$1128,4,FALSE))</f>
        <v>Laurentides</v>
      </c>
      <c r="T1546" s="2" t="s">
        <v>7603</v>
      </c>
      <c r="U1546" s="2" t="s">
        <v>39</v>
      </c>
      <c r="V1546" s="2" t="s">
        <v>40</v>
      </c>
      <c r="W1546" s="2" t="s">
        <v>7604</v>
      </c>
      <c r="X1546" s="2"/>
      <c r="Y1546" s="2"/>
      <c r="Z1546" s="2"/>
      <c r="AA1546" s="2" t="s">
        <v>832</v>
      </c>
      <c r="AB1546" s="2" t="s">
        <v>3221</v>
      </c>
      <c r="AC1546" s="4" t="s">
        <v>44</v>
      </c>
    </row>
    <row r="1547" spans="1:29" x14ac:dyDescent="0.25">
      <c r="A1547" s="1">
        <v>3863</v>
      </c>
      <c r="B1547" s="17" t="s">
        <v>7605</v>
      </c>
      <c r="C1547" s="2" t="s">
        <v>7606</v>
      </c>
      <c r="D1547" s="15" t="s">
        <v>1411</v>
      </c>
      <c r="E1547" s="9" t="s">
        <v>4422</v>
      </c>
      <c r="F1547" s="9" t="s">
        <v>1409</v>
      </c>
      <c r="G1547" s="9" t="s">
        <v>664</v>
      </c>
      <c r="H1547" s="2" t="s">
        <v>60</v>
      </c>
      <c r="I1547" s="3">
        <v>36000</v>
      </c>
      <c r="J1547" s="9" t="str">
        <f t="shared" ca="1" si="26"/>
        <v>25 ans</v>
      </c>
      <c r="K1547" s="2" t="s">
        <v>123</v>
      </c>
      <c r="L1547" s="2" t="str">
        <f>"177"</f>
        <v>177</v>
      </c>
      <c r="M1547" s="2"/>
      <c r="N1547" s="2" t="str">
        <f>"PLACE DES ENTAILLES"</f>
        <v>PLACE DES ENTAILLES</v>
      </c>
      <c r="O1547" s="2" t="s">
        <v>3185</v>
      </c>
      <c r="P1547" s="9" t="str">
        <f>VLOOKUP($O1547,'Liste des Villes'!$B$2:$B$1128,1,FALSE)</f>
        <v>Saint-Jérôme</v>
      </c>
      <c r="Q1547" s="9" t="str">
        <f>IFERROR($P1547,PROPER(VLOOKUP($O1547,'Villes en erreur'!$A$2:$B$72,2,FALSE)))</f>
        <v>Saint-Jérôme</v>
      </c>
      <c r="R1547" s="9" t="s">
        <v>3186</v>
      </c>
      <c r="S1547" s="9" t="str">
        <f>IF(ISBLANK($R1547),"",VLOOKUP($R1547,'Liste des Villes'!$B$2:$H$1128,4,FALSE))</f>
        <v>Laurentides</v>
      </c>
      <c r="T1547" s="2" t="s">
        <v>4143</v>
      </c>
      <c r="U1547" s="2" t="s">
        <v>39</v>
      </c>
      <c r="V1547" s="2" t="s">
        <v>40</v>
      </c>
      <c r="W1547" s="2" t="s">
        <v>7607</v>
      </c>
      <c r="X1547" s="2"/>
      <c r="Y1547" s="2"/>
      <c r="Z1547" s="2"/>
      <c r="AA1547" s="2" t="s">
        <v>832</v>
      </c>
      <c r="AB1547" s="2" t="s">
        <v>3221</v>
      </c>
      <c r="AC1547" s="4" t="s">
        <v>44</v>
      </c>
    </row>
    <row r="1548" spans="1:29" x14ac:dyDescent="0.25">
      <c r="A1548" s="1">
        <v>36</v>
      </c>
      <c r="B1548" s="17" t="s">
        <v>7608</v>
      </c>
      <c r="C1548" s="2" t="s">
        <v>7609</v>
      </c>
      <c r="D1548" s="15" t="s">
        <v>7610</v>
      </c>
      <c r="E1548" s="9" t="s">
        <v>397</v>
      </c>
      <c r="F1548" s="9" t="s">
        <v>3341</v>
      </c>
      <c r="G1548" s="9" t="s">
        <v>7611</v>
      </c>
      <c r="H1548" s="2" t="s">
        <v>35</v>
      </c>
      <c r="I1548" s="3">
        <v>35238</v>
      </c>
      <c r="J1548" s="9" t="str">
        <f t="shared" ca="1" si="26"/>
        <v>27 ans</v>
      </c>
      <c r="K1548" s="2" t="s">
        <v>36</v>
      </c>
      <c r="L1548" s="2" t="str">
        <f>"106"</f>
        <v>106</v>
      </c>
      <c r="M1548" s="2"/>
      <c r="N1548" s="2" t="str">
        <f>"CHEMIN CLÉMENT-PESANT"</f>
        <v>CHEMIN CLÉMENT-PESANT</v>
      </c>
      <c r="O1548" s="2" t="s">
        <v>3185</v>
      </c>
      <c r="P1548" s="9" t="str">
        <f>VLOOKUP($O1548,'Liste des Villes'!$B$2:$B$1128,1,FALSE)</f>
        <v>Saint-Jérôme</v>
      </c>
      <c r="Q1548" s="9" t="str">
        <f>IFERROR($P1548,PROPER(VLOOKUP($O1548,'Villes en erreur'!$A$2:$B$72,2,FALSE)))</f>
        <v>Saint-Jérôme</v>
      </c>
      <c r="R1548" s="9" t="s">
        <v>3186</v>
      </c>
      <c r="S1548" s="9" t="str">
        <f>IF(ISBLANK($R1548),"",VLOOKUP($R1548,'Liste des Villes'!$B$2:$H$1128,4,FALSE))</f>
        <v>Laurentides</v>
      </c>
      <c r="T1548" s="2" t="s">
        <v>3187</v>
      </c>
      <c r="U1548" s="2" t="s">
        <v>39</v>
      </c>
      <c r="V1548" s="2" t="s">
        <v>40</v>
      </c>
      <c r="W1548" s="2" t="s">
        <v>7612</v>
      </c>
      <c r="X1548" s="2"/>
      <c r="Y1548" s="2"/>
      <c r="Z1548" s="2"/>
      <c r="AA1548" s="2" t="s">
        <v>3189</v>
      </c>
      <c r="AB1548" s="2" t="s">
        <v>3190</v>
      </c>
      <c r="AC1548" s="4" t="s">
        <v>44</v>
      </c>
    </row>
    <row r="1549" spans="1:29" x14ac:dyDescent="0.25">
      <c r="A1549" s="1">
        <v>4111</v>
      </c>
      <c r="B1549" s="17" t="s">
        <v>7613</v>
      </c>
      <c r="C1549" s="2" t="s">
        <v>7614</v>
      </c>
      <c r="D1549" s="15" t="s">
        <v>7615</v>
      </c>
      <c r="E1549" s="9" t="s">
        <v>3143</v>
      </c>
      <c r="F1549" s="9" t="s">
        <v>5666</v>
      </c>
      <c r="G1549" s="9" t="s">
        <v>92</v>
      </c>
      <c r="H1549" s="2" t="s">
        <v>35</v>
      </c>
      <c r="I1549" s="3">
        <v>35426</v>
      </c>
      <c r="J1549" s="9" t="str">
        <f t="shared" ca="1" si="26"/>
        <v>26 ans</v>
      </c>
      <c r="K1549" s="2" t="s">
        <v>36</v>
      </c>
      <c r="L1549" s="2" t="str">
        <f>"114"</f>
        <v>114</v>
      </c>
      <c r="M1549" s="2"/>
      <c r="N1549" s="2" t="str">
        <f>"CHEMIN DU LAC-MILLETTE"</f>
        <v>CHEMIN DU LAC-MILLETTE</v>
      </c>
      <c r="O1549" s="2" t="s">
        <v>3185</v>
      </c>
      <c r="P1549" s="9" t="str">
        <f>VLOOKUP($O1549,'Liste des Villes'!$B$2:$B$1128,1,FALSE)</f>
        <v>Saint-Jérôme</v>
      </c>
      <c r="Q1549" s="9" t="str">
        <f>IFERROR($P1549,PROPER(VLOOKUP($O1549,'Villes en erreur'!$A$2:$B$72,2,FALSE)))</f>
        <v>Saint-Jérôme</v>
      </c>
      <c r="R1549" s="9" t="s">
        <v>3186</v>
      </c>
      <c r="S1549" s="9" t="str">
        <f>IF(ISBLANK($R1549),"",VLOOKUP($R1549,'Liste des Villes'!$B$2:$H$1128,4,FALSE))</f>
        <v>Laurentides</v>
      </c>
      <c r="T1549" s="2" t="s">
        <v>4032</v>
      </c>
      <c r="U1549" s="2" t="s">
        <v>39</v>
      </c>
      <c r="V1549" s="2" t="s">
        <v>40</v>
      </c>
      <c r="W1549" s="2" t="s">
        <v>7616</v>
      </c>
      <c r="X1549" s="2"/>
      <c r="Y1549" s="2"/>
      <c r="Z1549" s="2"/>
      <c r="AA1549" s="2" t="s">
        <v>3199</v>
      </c>
      <c r="AB1549" s="2" t="s">
        <v>3200</v>
      </c>
      <c r="AC1549" s="4" t="s">
        <v>44</v>
      </c>
    </row>
    <row r="1550" spans="1:29" x14ac:dyDescent="0.25">
      <c r="A1550" s="1">
        <v>4364</v>
      </c>
      <c r="B1550" s="17" t="s">
        <v>7617</v>
      </c>
      <c r="C1550" s="2" t="s">
        <v>4593</v>
      </c>
      <c r="D1550" s="15" t="s">
        <v>788</v>
      </c>
      <c r="E1550" s="9" t="s">
        <v>4594</v>
      </c>
      <c r="F1550" s="9" t="s">
        <v>750</v>
      </c>
      <c r="G1550" s="9" t="s">
        <v>6776</v>
      </c>
      <c r="H1550" s="2" t="s">
        <v>60</v>
      </c>
      <c r="I1550" s="3">
        <v>36209</v>
      </c>
      <c r="J1550" s="9" t="str">
        <f t="shared" ca="1" si="26"/>
        <v>24 ans</v>
      </c>
      <c r="K1550" s="2" t="s">
        <v>123</v>
      </c>
      <c r="L1550" s="2" t="str">
        <f>"246"</f>
        <v>246</v>
      </c>
      <c r="M1550" s="2"/>
      <c r="N1550" s="2" t="str">
        <f>"RUE AVALON"</f>
        <v>RUE AVALON</v>
      </c>
      <c r="O1550" s="2" t="s">
        <v>3185</v>
      </c>
      <c r="P1550" s="9" t="str">
        <f>VLOOKUP($O1550,'Liste des Villes'!$B$2:$B$1128,1,FALSE)</f>
        <v>Saint-Jérôme</v>
      </c>
      <c r="Q1550" s="9" t="str">
        <f>IFERROR($P1550,PROPER(VLOOKUP($O1550,'Villes en erreur'!$A$2:$B$72,2,FALSE)))</f>
        <v>Saint-Jérôme</v>
      </c>
      <c r="R1550" s="9" t="s">
        <v>3186</v>
      </c>
      <c r="S1550" s="9" t="str">
        <f>IF(ISBLANK($R1550),"",VLOOKUP($R1550,'Liste des Villes'!$B$2:$H$1128,4,FALSE))</f>
        <v>Laurentides</v>
      </c>
      <c r="T1550" s="2" t="s">
        <v>7618</v>
      </c>
      <c r="U1550" s="2" t="s">
        <v>39</v>
      </c>
      <c r="V1550" s="2" t="s">
        <v>40</v>
      </c>
      <c r="W1550" s="2" t="s">
        <v>7619</v>
      </c>
      <c r="X1550" s="2"/>
      <c r="Y1550" s="2"/>
      <c r="Z1550" s="2"/>
      <c r="AA1550" s="2" t="s">
        <v>832</v>
      </c>
      <c r="AB1550" s="2" t="s">
        <v>3288</v>
      </c>
      <c r="AC1550" s="4" t="s">
        <v>44</v>
      </c>
    </row>
    <row r="1551" spans="1:29" x14ac:dyDescent="0.25">
      <c r="A1551" s="1">
        <v>3629</v>
      </c>
      <c r="B1551" s="17" t="s">
        <v>7620</v>
      </c>
      <c r="C1551" s="2" t="s">
        <v>7621</v>
      </c>
      <c r="D1551" s="15" t="s">
        <v>7622</v>
      </c>
      <c r="E1551" s="9" t="s">
        <v>7623</v>
      </c>
      <c r="F1551" s="9" t="s">
        <v>7624</v>
      </c>
      <c r="G1551" s="9" t="s">
        <v>2796</v>
      </c>
      <c r="H1551" s="2" t="s">
        <v>35</v>
      </c>
      <c r="I1551" s="3">
        <v>35267</v>
      </c>
      <c r="J1551" s="9" t="str">
        <f t="shared" ca="1" si="26"/>
        <v>27 ans</v>
      </c>
      <c r="K1551" s="2" t="s">
        <v>36</v>
      </c>
      <c r="L1551" s="2" t="str">
        <f>"106"</f>
        <v>106</v>
      </c>
      <c r="M1551" s="2"/>
      <c r="N1551" s="2" t="str">
        <f>"CHEMIN DE DUNANY"</f>
        <v>CHEMIN DE DUNANY</v>
      </c>
      <c r="O1551" s="2" t="s">
        <v>3185</v>
      </c>
      <c r="P1551" s="9" t="str">
        <f>VLOOKUP($O1551,'Liste des Villes'!$B$2:$B$1128,1,FALSE)</f>
        <v>Saint-Jérôme</v>
      </c>
      <c r="Q1551" s="9" t="str">
        <f>IFERROR($P1551,PROPER(VLOOKUP($O1551,'Villes en erreur'!$A$2:$B$72,2,FALSE)))</f>
        <v>Saint-Jérôme</v>
      </c>
      <c r="R1551" s="9" t="s">
        <v>3186</v>
      </c>
      <c r="S1551" s="9" t="str">
        <f>IF(ISBLANK($R1551),"",VLOOKUP($R1551,'Liste des Villes'!$B$2:$H$1128,4,FALSE))</f>
        <v>Laurentides</v>
      </c>
      <c r="T1551" s="2" t="s">
        <v>3187</v>
      </c>
      <c r="U1551" s="2" t="s">
        <v>39</v>
      </c>
      <c r="V1551" s="2" t="s">
        <v>40</v>
      </c>
      <c r="W1551" s="2" t="s">
        <v>7625</v>
      </c>
      <c r="X1551" s="2"/>
      <c r="Y1551" s="2"/>
      <c r="Z1551" s="2"/>
      <c r="AA1551" s="2" t="s">
        <v>3189</v>
      </c>
      <c r="AB1551" s="2" t="s">
        <v>3190</v>
      </c>
      <c r="AC1551" s="4" t="s">
        <v>44</v>
      </c>
    </row>
    <row r="1552" spans="1:29" x14ac:dyDescent="0.25">
      <c r="A1552" s="1">
        <v>4588</v>
      </c>
      <c r="B1552" s="17" t="s">
        <v>7626</v>
      </c>
      <c r="C1552" s="2" t="s">
        <v>7627</v>
      </c>
      <c r="D1552" s="15" t="s">
        <v>4954</v>
      </c>
      <c r="E1552" s="9" t="s">
        <v>4803</v>
      </c>
      <c r="F1552" s="9" t="s">
        <v>4953</v>
      </c>
      <c r="G1552" s="9" t="s">
        <v>195</v>
      </c>
      <c r="H1552" s="2" t="s">
        <v>60</v>
      </c>
      <c r="I1552" s="3">
        <v>34990</v>
      </c>
      <c r="J1552" s="9" t="str">
        <f t="shared" ca="1" si="26"/>
        <v>27 ans</v>
      </c>
      <c r="K1552" s="2" t="s">
        <v>36</v>
      </c>
      <c r="L1552" s="2" t="str">
        <f>"90"</f>
        <v>90</v>
      </c>
      <c r="M1552" s="2"/>
      <c r="N1552" s="2" t="str">
        <f>"CH DU LAC-BLANC"</f>
        <v>CH DU LAC-BLANC</v>
      </c>
      <c r="O1552" s="2" t="s">
        <v>3185</v>
      </c>
      <c r="P1552" s="9" t="str">
        <f>VLOOKUP($O1552,'Liste des Villes'!$B$2:$B$1128,1,FALSE)</f>
        <v>Saint-Jérôme</v>
      </c>
      <c r="Q1552" s="9" t="str">
        <f>IFERROR($P1552,PROPER(VLOOKUP($O1552,'Villes en erreur'!$A$2:$B$72,2,FALSE)))</f>
        <v>Saint-Jérôme</v>
      </c>
      <c r="R1552" s="9" t="s">
        <v>3186</v>
      </c>
      <c r="S1552" s="9" t="str">
        <f>IF(ISBLANK($R1552),"",VLOOKUP($R1552,'Liste des Villes'!$B$2:$H$1128,4,FALSE))</f>
        <v>Laurentides</v>
      </c>
      <c r="T1552" s="2" t="s">
        <v>3187</v>
      </c>
      <c r="U1552" s="2" t="s">
        <v>39</v>
      </c>
      <c r="V1552" s="2" t="s">
        <v>40</v>
      </c>
      <c r="W1552" s="2" t="s">
        <v>7628</v>
      </c>
      <c r="X1552" s="2"/>
      <c r="Y1552" s="2"/>
      <c r="Z1552" s="2"/>
      <c r="AA1552" s="2" t="s">
        <v>3189</v>
      </c>
      <c r="AB1552" s="2" t="s">
        <v>53</v>
      </c>
      <c r="AC1552" s="4" t="s">
        <v>44</v>
      </c>
    </row>
    <row r="1553" spans="1:29" x14ac:dyDescent="0.25">
      <c r="A1553" s="1">
        <v>1813</v>
      </c>
      <c r="B1553" s="17" t="s">
        <v>7629</v>
      </c>
      <c r="C1553" s="2" t="s">
        <v>7630</v>
      </c>
      <c r="D1553" s="15" t="s">
        <v>7631</v>
      </c>
      <c r="E1553" s="9" t="s">
        <v>610</v>
      </c>
      <c r="F1553" s="9" t="s">
        <v>7632</v>
      </c>
      <c r="G1553" s="9" t="s">
        <v>179</v>
      </c>
      <c r="H1553" s="2" t="s">
        <v>60</v>
      </c>
      <c r="I1553" s="3">
        <v>36116</v>
      </c>
      <c r="J1553" s="9" t="str">
        <f t="shared" ca="1" si="26"/>
        <v>24 ans</v>
      </c>
      <c r="K1553" s="2" t="s">
        <v>123</v>
      </c>
      <c r="L1553" s="2" t="str">
        <f>"212"</f>
        <v>212</v>
      </c>
      <c r="M1553" s="2"/>
      <c r="N1553" s="2" t="str">
        <f>"RTE DU CANTON"</f>
        <v>RTE DU CANTON</v>
      </c>
      <c r="O1553" s="2" t="s">
        <v>3185</v>
      </c>
      <c r="P1553" s="9" t="str">
        <f>VLOOKUP($O1553,'Liste des Villes'!$B$2:$B$1128,1,FALSE)</f>
        <v>Saint-Jérôme</v>
      </c>
      <c r="Q1553" s="9" t="str">
        <f>IFERROR($P1553,PROPER(VLOOKUP($O1553,'Villes en erreur'!$A$2:$B$72,2,FALSE)))</f>
        <v>Saint-Jérôme</v>
      </c>
      <c r="R1553" s="9" t="s">
        <v>3186</v>
      </c>
      <c r="S1553" s="9" t="str">
        <f>IF(ISBLANK($R1553),"",VLOOKUP($R1553,'Liste des Villes'!$B$2:$H$1128,4,FALSE))</f>
        <v>Laurentides</v>
      </c>
      <c r="T1553" s="2" t="s">
        <v>6091</v>
      </c>
      <c r="U1553" s="2" t="s">
        <v>39</v>
      </c>
      <c r="V1553" s="2" t="s">
        <v>40</v>
      </c>
      <c r="W1553" s="2" t="s">
        <v>7633</v>
      </c>
      <c r="X1553" s="2"/>
      <c r="Y1553" s="2"/>
      <c r="Z1553" s="2"/>
      <c r="AA1553" s="2" t="s">
        <v>832</v>
      </c>
      <c r="AB1553" s="2" t="s">
        <v>3221</v>
      </c>
      <c r="AC1553" s="4" t="s">
        <v>44</v>
      </c>
    </row>
    <row r="1554" spans="1:29" x14ac:dyDescent="0.25">
      <c r="A1554" s="1">
        <v>2648</v>
      </c>
      <c r="B1554" s="17" t="s">
        <v>7634</v>
      </c>
      <c r="C1554" s="2" t="s">
        <v>7596</v>
      </c>
      <c r="D1554" s="15" t="s">
        <v>7597</v>
      </c>
      <c r="E1554" s="9" t="s">
        <v>5798</v>
      </c>
      <c r="F1554" s="9" t="s">
        <v>7635</v>
      </c>
      <c r="G1554" s="9" t="s">
        <v>635</v>
      </c>
      <c r="H1554" s="2" t="s">
        <v>35</v>
      </c>
      <c r="I1554" s="3">
        <v>33818</v>
      </c>
      <c r="J1554" s="9" t="str">
        <f t="shared" ca="1" si="26"/>
        <v>31 ans</v>
      </c>
      <c r="K1554" s="2" t="s">
        <v>36</v>
      </c>
      <c r="L1554" s="2" t="str">
        <f>"39"</f>
        <v>39</v>
      </c>
      <c r="M1554" s="2"/>
      <c r="N1554" s="2" t="str">
        <f>"AVENUE DES PERDRIX"</f>
        <v>AVENUE DES PERDRIX</v>
      </c>
      <c r="O1554" s="2" t="s">
        <v>3185</v>
      </c>
      <c r="P1554" s="9" t="str">
        <f>VLOOKUP($O1554,'Liste des Villes'!$B$2:$B$1128,1,FALSE)</f>
        <v>Saint-Jérôme</v>
      </c>
      <c r="Q1554" s="9" t="str">
        <f>IFERROR($P1554,PROPER(VLOOKUP($O1554,'Villes en erreur'!$A$2:$B$72,2,FALSE)))</f>
        <v>Saint-Jérôme</v>
      </c>
      <c r="R1554" s="9" t="s">
        <v>3186</v>
      </c>
      <c r="S1554" s="9" t="str">
        <f>IF(ISBLANK($R1554),"",VLOOKUP($R1554,'Liste des Villes'!$B$2:$H$1128,4,FALSE))</f>
        <v>Laurentides</v>
      </c>
      <c r="T1554" s="2" t="s">
        <v>3093</v>
      </c>
      <c r="U1554" s="2" t="s">
        <v>39</v>
      </c>
      <c r="V1554" s="2" t="s">
        <v>40</v>
      </c>
      <c r="W1554" s="2" t="s">
        <v>7636</v>
      </c>
      <c r="X1554" s="2"/>
      <c r="Y1554" s="2"/>
      <c r="Z1554" s="2"/>
      <c r="AA1554" s="2" t="s">
        <v>3207</v>
      </c>
      <c r="AB1554" s="2" t="s">
        <v>53</v>
      </c>
      <c r="AC1554" s="4" t="s">
        <v>44</v>
      </c>
    </row>
    <row r="1555" spans="1:29" x14ac:dyDescent="0.25">
      <c r="A1555" s="1">
        <v>2464</v>
      </c>
      <c r="B1555" s="17" t="s">
        <v>7637</v>
      </c>
      <c r="C1555" s="2" t="s">
        <v>2606</v>
      </c>
      <c r="D1555" s="15" t="s">
        <v>2128</v>
      </c>
      <c r="E1555" s="9" t="s">
        <v>179</v>
      </c>
      <c r="F1555" s="9" t="s">
        <v>1024</v>
      </c>
      <c r="G1555" s="9" t="s">
        <v>4227</v>
      </c>
      <c r="H1555" s="2" t="s">
        <v>60</v>
      </c>
      <c r="I1555" s="3">
        <v>35739</v>
      </c>
      <c r="J1555" s="9" t="str">
        <f t="shared" ca="1" si="26"/>
        <v>25 ans</v>
      </c>
      <c r="K1555" s="2" t="s">
        <v>123</v>
      </c>
      <c r="L1555" s="2" t="str">
        <f>"138"</f>
        <v>138</v>
      </c>
      <c r="M1555" s="2"/>
      <c r="N1555" s="2" t="str">
        <f>"DU CURÉ-LABELLE BLVD"</f>
        <v>DU CURÉ-LABELLE BLVD</v>
      </c>
      <c r="O1555" s="2" t="s">
        <v>3185</v>
      </c>
      <c r="P1555" s="9" t="str">
        <f>VLOOKUP($O1555,'Liste des Villes'!$B$2:$B$1128,1,FALSE)</f>
        <v>Saint-Jérôme</v>
      </c>
      <c r="Q1555" s="9" t="str">
        <f>IFERROR($P1555,PROPER(VLOOKUP($O1555,'Villes en erreur'!$A$2:$B$72,2,FALSE)))</f>
        <v>Saint-Jérôme</v>
      </c>
      <c r="R1555" s="9" t="s">
        <v>3186</v>
      </c>
      <c r="S1555" s="9" t="str">
        <f>IF(ISBLANK($R1555),"",VLOOKUP($R1555,'Liste des Villes'!$B$2:$H$1128,4,FALSE))</f>
        <v>Laurentides</v>
      </c>
      <c r="T1555" s="2" t="s">
        <v>7638</v>
      </c>
      <c r="U1555" s="2" t="s">
        <v>39</v>
      </c>
      <c r="V1555" s="2" t="s">
        <v>40</v>
      </c>
      <c r="W1555" s="2" t="s">
        <v>7639</v>
      </c>
      <c r="X1555" s="2"/>
      <c r="Y1555" s="2"/>
      <c r="Z1555" s="2"/>
      <c r="AA1555" s="2" t="s">
        <v>3243</v>
      </c>
      <c r="AB1555" s="2" t="s">
        <v>3221</v>
      </c>
      <c r="AC1555" s="4" t="s">
        <v>44</v>
      </c>
    </row>
    <row r="1556" spans="1:29" x14ac:dyDescent="0.25">
      <c r="A1556" s="1">
        <v>119</v>
      </c>
      <c r="B1556" s="17" t="s">
        <v>7640</v>
      </c>
      <c r="C1556" s="2" t="s">
        <v>2606</v>
      </c>
      <c r="D1556" s="15" t="s">
        <v>2128</v>
      </c>
      <c r="E1556" s="9" t="s">
        <v>179</v>
      </c>
      <c r="F1556" s="9" t="s">
        <v>1024</v>
      </c>
      <c r="G1556" s="9" t="s">
        <v>1560</v>
      </c>
      <c r="H1556" s="2" t="s">
        <v>35</v>
      </c>
      <c r="I1556" s="3">
        <v>35596</v>
      </c>
      <c r="J1556" s="9" t="str">
        <f t="shared" ca="1" si="26"/>
        <v>26 ans</v>
      </c>
      <c r="K1556" s="2" t="s">
        <v>36</v>
      </c>
      <c r="L1556" s="2" t="str">
        <f>"128"</f>
        <v>128</v>
      </c>
      <c r="M1556" s="2"/>
      <c r="N1556" s="2" t="str">
        <f>"DE LA PASSION"</f>
        <v>DE LA PASSION</v>
      </c>
      <c r="O1556" s="2" t="s">
        <v>3185</v>
      </c>
      <c r="P1556" s="9" t="str">
        <f>VLOOKUP($O1556,'Liste des Villes'!$B$2:$B$1128,1,FALSE)</f>
        <v>Saint-Jérôme</v>
      </c>
      <c r="Q1556" s="9" t="str">
        <f>IFERROR($P1556,PROPER(VLOOKUP($O1556,'Villes en erreur'!$A$2:$B$72,2,FALSE)))</f>
        <v>Saint-Jérôme</v>
      </c>
      <c r="R1556" s="9" t="s">
        <v>3186</v>
      </c>
      <c r="S1556" s="9" t="str">
        <f>IF(ISBLANK($R1556),"",VLOOKUP($R1556,'Liste des Villes'!$B$2:$H$1128,4,FALSE))</f>
        <v>Laurentides</v>
      </c>
      <c r="T1556" s="2" t="s">
        <v>7641</v>
      </c>
      <c r="U1556" s="2" t="s">
        <v>39</v>
      </c>
      <c r="V1556" s="2" t="s">
        <v>40</v>
      </c>
      <c r="W1556" s="2" t="s">
        <v>7642</v>
      </c>
      <c r="X1556" s="2"/>
      <c r="Y1556" s="2"/>
      <c r="Z1556" s="2"/>
      <c r="AA1556" s="2" t="s">
        <v>3243</v>
      </c>
      <c r="AB1556" s="2" t="s">
        <v>3221</v>
      </c>
      <c r="AC1556" s="4" t="s">
        <v>44</v>
      </c>
    </row>
    <row r="1557" spans="1:29" x14ac:dyDescent="0.25">
      <c r="A1557" s="1">
        <v>310</v>
      </c>
      <c r="B1557" s="17" t="s">
        <v>7643</v>
      </c>
      <c r="C1557" s="2" t="s">
        <v>7644</v>
      </c>
      <c r="D1557" s="15" t="s">
        <v>7645</v>
      </c>
      <c r="E1557" s="9" t="s">
        <v>7646</v>
      </c>
      <c r="F1557" s="9" t="s">
        <v>7647</v>
      </c>
      <c r="G1557" s="9" t="s">
        <v>241</v>
      </c>
      <c r="H1557" s="2" t="s">
        <v>35</v>
      </c>
      <c r="I1557" s="3">
        <v>35678</v>
      </c>
      <c r="J1557" s="9" t="str">
        <f t="shared" ca="1" si="26"/>
        <v>25 ans</v>
      </c>
      <c r="K1557" s="2" t="s">
        <v>123</v>
      </c>
      <c r="L1557" s="2" t="str">
        <f>"134"</f>
        <v>134</v>
      </c>
      <c r="M1557" s="2"/>
      <c r="N1557" s="2" t="str">
        <f>"DES FEUILLES"</f>
        <v>DES FEUILLES</v>
      </c>
      <c r="O1557" s="2" t="s">
        <v>3186</v>
      </c>
      <c r="P1557" s="9" t="str">
        <f>VLOOKUP($O1557,'Liste des Villes'!$B$2:$B$1128,1,FALSE)</f>
        <v>Saint-Jérôme</v>
      </c>
      <c r="Q1557" s="9" t="str">
        <f>IFERROR($P1557,PROPER(VLOOKUP($O1557,'Villes en erreur'!$A$2:$B$72,2,FALSE)))</f>
        <v>Saint-Jérôme</v>
      </c>
      <c r="R1557" s="9" t="s">
        <v>3186</v>
      </c>
      <c r="S1557" s="9" t="str">
        <f>IF(ISBLANK($R1557),"",VLOOKUP($R1557,'Liste des Villes'!$B$2:$H$1128,4,FALSE))</f>
        <v>Laurentides</v>
      </c>
      <c r="T1557" s="2" t="s">
        <v>7648</v>
      </c>
      <c r="U1557" s="2" t="s">
        <v>39</v>
      </c>
      <c r="V1557" s="2" t="s">
        <v>40</v>
      </c>
      <c r="W1557" s="2" t="s">
        <v>7649</v>
      </c>
      <c r="X1557" s="2"/>
      <c r="Y1557" s="2"/>
      <c r="Z1557" s="2"/>
      <c r="AA1557" s="2" t="s">
        <v>3243</v>
      </c>
      <c r="AB1557" s="2" t="s">
        <v>3221</v>
      </c>
      <c r="AC1557" s="4" t="s">
        <v>44</v>
      </c>
    </row>
    <row r="1558" spans="1:29" x14ac:dyDescent="0.25">
      <c r="A1558" s="1">
        <v>4252</v>
      </c>
      <c r="B1558" s="17" t="s">
        <v>7650</v>
      </c>
      <c r="C1558" s="2" t="s">
        <v>7651</v>
      </c>
      <c r="D1558" s="15" t="s">
        <v>6900</v>
      </c>
      <c r="E1558" s="9" t="s">
        <v>996</v>
      </c>
      <c r="F1558" s="9" t="s">
        <v>1268</v>
      </c>
      <c r="G1558" s="9" t="s">
        <v>495</v>
      </c>
      <c r="H1558" s="2" t="s">
        <v>35</v>
      </c>
      <c r="I1558" s="3">
        <v>34569</v>
      </c>
      <c r="J1558" s="9" t="str">
        <f t="shared" ca="1" si="26"/>
        <v>29 ans</v>
      </c>
      <c r="K1558" s="2" t="s">
        <v>36</v>
      </c>
      <c r="L1558" s="2" t="str">
        <f>"66"</f>
        <v>66</v>
      </c>
      <c r="M1558" s="2"/>
      <c r="N1558" s="2" t="str">
        <f>"CH DE LA GARE"</f>
        <v>CH DE LA GARE</v>
      </c>
      <c r="O1558" s="2" t="s">
        <v>3185</v>
      </c>
      <c r="P1558" s="9" t="str">
        <f>VLOOKUP($O1558,'Liste des Villes'!$B$2:$B$1128,1,FALSE)</f>
        <v>Saint-Jérôme</v>
      </c>
      <c r="Q1558" s="9" t="str">
        <f>IFERROR($P1558,PROPER(VLOOKUP($O1558,'Villes en erreur'!$A$2:$B$72,2,FALSE)))</f>
        <v>Saint-Jérôme</v>
      </c>
      <c r="R1558" s="9" t="s">
        <v>3186</v>
      </c>
      <c r="S1558" s="9" t="str">
        <f>IF(ISBLANK($R1558),"",VLOOKUP($R1558,'Liste des Villes'!$B$2:$H$1128,4,FALSE))</f>
        <v>Laurentides</v>
      </c>
      <c r="T1558" s="2" t="s">
        <v>3954</v>
      </c>
      <c r="U1558" s="2" t="s">
        <v>39</v>
      </c>
      <c r="V1558" s="2" t="s">
        <v>40</v>
      </c>
      <c r="W1558" s="2" t="s">
        <v>7652</v>
      </c>
      <c r="X1558" s="2"/>
      <c r="Y1558" s="2"/>
      <c r="Z1558" s="2"/>
      <c r="AA1558" s="2" t="s">
        <v>3225</v>
      </c>
      <c r="AB1558" s="2" t="s">
        <v>53</v>
      </c>
      <c r="AC1558" s="4" t="s">
        <v>44</v>
      </c>
    </row>
    <row r="1559" spans="1:29" x14ac:dyDescent="0.25">
      <c r="A1559" s="1">
        <v>3391</v>
      </c>
      <c r="B1559" s="17" t="s">
        <v>7653</v>
      </c>
      <c r="C1559" s="2" t="s">
        <v>7654</v>
      </c>
      <c r="D1559" s="15" t="s">
        <v>3838</v>
      </c>
      <c r="E1559" s="9" t="s">
        <v>7655</v>
      </c>
      <c r="F1559" s="9" t="s">
        <v>750</v>
      </c>
      <c r="G1559" s="9" t="s">
        <v>92</v>
      </c>
      <c r="H1559" s="2" t="s">
        <v>35</v>
      </c>
      <c r="I1559" s="3">
        <v>35412</v>
      </c>
      <c r="J1559" s="9" t="str">
        <f t="shared" ca="1" si="26"/>
        <v>26 ans</v>
      </c>
      <c r="K1559" s="2" t="s">
        <v>36</v>
      </c>
      <c r="L1559" s="2" t="str">
        <f>"113"</f>
        <v>113</v>
      </c>
      <c r="M1559" s="2"/>
      <c r="N1559" s="2" t="str">
        <f>"CHEMIN DU LAC FORTIER"</f>
        <v>CHEMIN DU LAC FORTIER</v>
      </c>
      <c r="O1559" s="2" t="s">
        <v>3185</v>
      </c>
      <c r="P1559" s="9" t="str">
        <f>VLOOKUP($O1559,'Liste des Villes'!$B$2:$B$1128,1,FALSE)</f>
        <v>Saint-Jérôme</v>
      </c>
      <c r="Q1559" s="9" t="str">
        <f>IFERROR($P1559,PROPER(VLOOKUP($O1559,'Villes en erreur'!$A$2:$B$72,2,FALSE)))</f>
        <v>Saint-Jérôme</v>
      </c>
      <c r="R1559" s="9" t="s">
        <v>3186</v>
      </c>
      <c r="S1559" s="9" t="str">
        <f>IF(ISBLANK($R1559),"",VLOOKUP($R1559,'Liste des Villes'!$B$2:$H$1128,4,FALSE))</f>
        <v>Laurentides</v>
      </c>
      <c r="T1559" s="2" t="s">
        <v>4032</v>
      </c>
      <c r="U1559" s="2" t="s">
        <v>39</v>
      </c>
      <c r="V1559" s="2" t="s">
        <v>40</v>
      </c>
      <c r="W1559" s="2" t="s">
        <v>7656</v>
      </c>
      <c r="X1559" s="2"/>
      <c r="Y1559" s="2"/>
      <c r="Z1559" s="2"/>
      <c r="AA1559" s="2" t="s">
        <v>3199</v>
      </c>
      <c r="AB1559" s="2" t="s">
        <v>3200</v>
      </c>
      <c r="AC1559" s="4" t="s">
        <v>44</v>
      </c>
    </row>
    <row r="1560" spans="1:29" x14ac:dyDescent="0.25">
      <c r="A1560" s="1">
        <v>3821</v>
      </c>
      <c r="B1560" s="17" t="s">
        <v>7657</v>
      </c>
      <c r="C1560" s="2" t="s">
        <v>194</v>
      </c>
      <c r="D1560" s="15" t="s">
        <v>195</v>
      </c>
      <c r="E1560" s="9" t="s">
        <v>196</v>
      </c>
      <c r="F1560" s="9" t="s">
        <v>7658</v>
      </c>
      <c r="G1560" s="9" t="s">
        <v>5890</v>
      </c>
      <c r="H1560" s="2" t="s">
        <v>60</v>
      </c>
      <c r="I1560" s="3">
        <v>36212</v>
      </c>
      <c r="J1560" s="9" t="str">
        <f t="shared" ca="1" si="26"/>
        <v>24 ans</v>
      </c>
      <c r="K1560" s="2" t="s">
        <v>123</v>
      </c>
      <c r="L1560" s="2" t="str">
        <f>"249"</f>
        <v>249</v>
      </c>
      <c r="M1560" s="2"/>
      <c r="N1560" s="2" t="str">
        <f>"RUE BACH"</f>
        <v>RUE BACH</v>
      </c>
      <c r="O1560" s="2" t="s">
        <v>3185</v>
      </c>
      <c r="P1560" s="9" t="str">
        <f>VLOOKUP($O1560,'Liste des Villes'!$B$2:$B$1128,1,FALSE)</f>
        <v>Saint-Jérôme</v>
      </c>
      <c r="Q1560" s="9" t="str">
        <f>IFERROR($P1560,PROPER(VLOOKUP($O1560,'Villes en erreur'!$A$2:$B$72,2,FALSE)))</f>
        <v>Saint-Jérôme</v>
      </c>
      <c r="R1560" s="9" t="s">
        <v>3186</v>
      </c>
      <c r="S1560" s="9" t="str">
        <f>IF(ISBLANK($R1560),"",VLOOKUP($R1560,'Liste des Villes'!$B$2:$H$1128,4,FALSE))</f>
        <v>Laurentides</v>
      </c>
      <c r="T1560" s="2" t="s">
        <v>3322</v>
      </c>
      <c r="U1560" s="2" t="s">
        <v>39</v>
      </c>
      <c r="V1560" s="2" t="s">
        <v>40</v>
      </c>
      <c r="W1560" s="2" t="s">
        <v>7659</v>
      </c>
      <c r="X1560" s="2"/>
      <c r="Y1560" s="2"/>
      <c r="Z1560" s="2"/>
      <c r="AA1560" s="2" t="s">
        <v>832</v>
      </c>
      <c r="AB1560" s="2" t="s">
        <v>3288</v>
      </c>
      <c r="AC1560" s="4" t="s">
        <v>44</v>
      </c>
    </row>
    <row r="1561" spans="1:29" x14ac:dyDescent="0.25">
      <c r="A1561" s="1">
        <v>3738</v>
      </c>
      <c r="B1561" s="17" t="s">
        <v>7660</v>
      </c>
      <c r="C1561" s="2" t="s">
        <v>7661</v>
      </c>
      <c r="D1561" s="15" t="s">
        <v>5272</v>
      </c>
      <c r="E1561" s="9" t="s">
        <v>7662</v>
      </c>
      <c r="F1561" s="9" t="s">
        <v>7391</v>
      </c>
      <c r="G1561" s="9" t="s">
        <v>1397</v>
      </c>
      <c r="H1561" s="2" t="s">
        <v>60</v>
      </c>
      <c r="I1561" s="3">
        <v>35202</v>
      </c>
      <c r="J1561" s="9" t="str">
        <f t="shared" ca="1" si="26"/>
        <v>27 ans</v>
      </c>
      <c r="K1561" s="2" t="s">
        <v>36</v>
      </c>
      <c r="L1561" s="2" t="str">
        <f>"104"</f>
        <v>104</v>
      </c>
      <c r="M1561" s="2"/>
      <c r="N1561" s="2" t="str">
        <f>"CH TAMARACOUTA"</f>
        <v>CH TAMARACOUTA</v>
      </c>
      <c r="O1561" s="2" t="s">
        <v>3185</v>
      </c>
      <c r="P1561" s="9" t="str">
        <f>VLOOKUP($O1561,'Liste des Villes'!$B$2:$B$1128,1,FALSE)</f>
        <v>Saint-Jérôme</v>
      </c>
      <c r="Q1561" s="9" t="str">
        <f>IFERROR($P1561,PROPER(VLOOKUP($O1561,'Villes en erreur'!$A$2:$B$72,2,FALSE)))</f>
        <v>Saint-Jérôme</v>
      </c>
      <c r="R1561" s="9" t="s">
        <v>3186</v>
      </c>
      <c r="S1561" s="9" t="str">
        <f>IF(ISBLANK($R1561),"",VLOOKUP($R1561,'Liste des Villes'!$B$2:$H$1128,4,FALSE))</f>
        <v>Laurentides</v>
      </c>
      <c r="T1561" s="2" t="s">
        <v>3187</v>
      </c>
      <c r="U1561" s="2" t="s">
        <v>39</v>
      </c>
      <c r="V1561" s="2" t="s">
        <v>40</v>
      </c>
      <c r="W1561" s="2" t="s">
        <v>7663</v>
      </c>
      <c r="X1561" s="2"/>
      <c r="Y1561" s="2"/>
      <c r="Z1561" s="2"/>
      <c r="AA1561" s="2" t="s">
        <v>3189</v>
      </c>
      <c r="AB1561" s="2" t="s">
        <v>3190</v>
      </c>
      <c r="AC1561" s="4" t="s">
        <v>44</v>
      </c>
    </row>
    <row r="1562" spans="1:29" x14ac:dyDescent="0.25">
      <c r="A1562" s="1">
        <v>2720</v>
      </c>
      <c r="B1562" s="17" t="s">
        <v>7664</v>
      </c>
      <c r="C1562" s="2" t="s">
        <v>6651</v>
      </c>
      <c r="D1562" s="15" t="s">
        <v>6652</v>
      </c>
      <c r="E1562" s="9" t="s">
        <v>131</v>
      </c>
      <c r="F1562" s="9" t="s">
        <v>7665</v>
      </c>
      <c r="G1562" s="9" t="s">
        <v>7666</v>
      </c>
      <c r="H1562" s="2" t="s">
        <v>35</v>
      </c>
      <c r="I1562" s="3">
        <v>33797</v>
      </c>
      <c r="J1562" s="9" t="str">
        <f t="shared" ca="1" si="26"/>
        <v>31 ans</v>
      </c>
      <c r="K1562" s="2" t="s">
        <v>36</v>
      </c>
      <c r="L1562" s="2" t="str">
        <f>"38"</f>
        <v>38</v>
      </c>
      <c r="M1562" s="2"/>
      <c r="N1562" s="2" t="str">
        <f>"AVENUE DES MARQUISATS"</f>
        <v>AVENUE DES MARQUISATS</v>
      </c>
      <c r="O1562" s="2" t="s">
        <v>3185</v>
      </c>
      <c r="P1562" s="9" t="str">
        <f>VLOOKUP($O1562,'Liste des Villes'!$B$2:$B$1128,1,FALSE)</f>
        <v>Saint-Jérôme</v>
      </c>
      <c r="Q1562" s="9" t="str">
        <f>IFERROR($P1562,PROPER(VLOOKUP($O1562,'Villes en erreur'!$A$2:$B$72,2,FALSE)))</f>
        <v>Saint-Jérôme</v>
      </c>
      <c r="R1562" s="9" t="s">
        <v>3186</v>
      </c>
      <c r="S1562" s="9" t="str">
        <f>IF(ISBLANK($R1562),"",VLOOKUP($R1562,'Liste des Villes'!$B$2:$H$1128,4,FALSE))</f>
        <v>Laurentides</v>
      </c>
      <c r="T1562" s="2" t="s">
        <v>3093</v>
      </c>
      <c r="U1562" s="2" t="s">
        <v>39</v>
      </c>
      <c r="V1562" s="2" t="s">
        <v>40</v>
      </c>
      <c r="W1562" s="2" t="s">
        <v>7667</v>
      </c>
      <c r="X1562" s="2"/>
      <c r="Y1562" s="2"/>
      <c r="Z1562" s="2"/>
      <c r="AA1562" s="2" t="s">
        <v>213</v>
      </c>
      <c r="AB1562" s="2" t="s">
        <v>53</v>
      </c>
      <c r="AC1562" s="4" t="s">
        <v>44</v>
      </c>
    </row>
    <row r="1563" spans="1:29" x14ac:dyDescent="0.25">
      <c r="A1563" s="1">
        <v>582</v>
      </c>
      <c r="B1563" s="17" t="s">
        <v>7668</v>
      </c>
      <c r="C1563" s="2" t="s">
        <v>2060</v>
      </c>
      <c r="D1563" s="15" t="s">
        <v>2061</v>
      </c>
      <c r="E1563" s="9" t="s">
        <v>2062</v>
      </c>
      <c r="F1563" s="9" t="s">
        <v>7669</v>
      </c>
      <c r="G1563" s="9" t="s">
        <v>600</v>
      </c>
      <c r="H1563" s="2" t="s">
        <v>60</v>
      </c>
      <c r="I1563" s="3">
        <v>35986</v>
      </c>
      <c r="J1563" s="9" t="str">
        <f t="shared" ca="1" si="26"/>
        <v>25 ans</v>
      </c>
      <c r="K1563" s="2" t="s">
        <v>123</v>
      </c>
      <c r="L1563" s="2" t="str">
        <f>"173"</f>
        <v>173</v>
      </c>
      <c r="M1563" s="2"/>
      <c r="N1563" s="2" t="str">
        <f>"PLACE CLAUDE DAGENAIS"</f>
        <v>PLACE CLAUDE DAGENAIS</v>
      </c>
      <c r="O1563" s="2" t="s">
        <v>3185</v>
      </c>
      <c r="P1563" s="9" t="str">
        <f>VLOOKUP($O1563,'Liste des Villes'!$B$2:$B$1128,1,FALSE)</f>
        <v>Saint-Jérôme</v>
      </c>
      <c r="Q1563" s="9" t="str">
        <f>IFERROR($P1563,PROPER(VLOOKUP($O1563,'Villes en erreur'!$A$2:$B$72,2,FALSE)))</f>
        <v>Saint-Jérôme</v>
      </c>
      <c r="R1563" s="9" t="s">
        <v>3186</v>
      </c>
      <c r="S1563" s="9" t="str">
        <f>IF(ISBLANK($R1563),"",VLOOKUP($R1563,'Liste des Villes'!$B$2:$H$1128,4,FALSE))</f>
        <v>Laurentides</v>
      </c>
      <c r="T1563" s="2" t="s">
        <v>7670</v>
      </c>
      <c r="U1563" s="2" t="s">
        <v>39</v>
      </c>
      <c r="V1563" s="2" t="s">
        <v>40</v>
      </c>
      <c r="W1563" s="2" t="s">
        <v>7671</v>
      </c>
      <c r="X1563" s="2"/>
      <c r="Y1563" s="2"/>
      <c r="Z1563" s="2"/>
      <c r="AA1563" s="2" t="s">
        <v>832</v>
      </c>
      <c r="AB1563" s="2" t="s">
        <v>3221</v>
      </c>
      <c r="AC1563" s="4" t="s">
        <v>44</v>
      </c>
    </row>
    <row r="1564" spans="1:29" x14ac:dyDescent="0.25">
      <c r="A1564" s="1">
        <v>829</v>
      </c>
      <c r="B1564" s="17" t="s">
        <v>7672</v>
      </c>
      <c r="C1564" s="2" t="s">
        <v>2060</v>
      </c>
      <c r="D1564" s="15" t="s">
        <v>2061</v>
      </c>
      <c r="E1564" s="9" t="s">
        <v>2062</v>
      </c>
      <c r="F1564" s="9" t="s">
        <v>850</v>
      </c>
      <c r="G1564" s="9" t="s">
        <v>431</v>
      </c>
      <c r="H1564" s="2" t="s">
        <v>60</v>
      </c>
      <c r="I1564" s="3">
        <v>35900</v>
      </c>
      <c r="J1564" s="9" t="str">
        <f t="shared" ca="1" si="26"/>
        <v>25 ans</v>
      </c>
      <c r="K1564" s="2" t="s">
        <v>123</v>
      </c>
      <c r="L1564" s="2" t="str">
        <f>"156"</f>
        <v>156</v>
      </c>
      <c r="M1564" s="2"/>
      <c r="N1564" s="2" t="str">
        <f>"MONTÉE DE LA MER BLEUE"</f>
        <v>MONTÉE DE LA MER BLEUE</v>
      </c>
      <c r="O1564" s="2" t="s">
        <v>3185</v>
      </c>
      <c r="P1564" s="9" t="str">
        <f>VLOOKUP($O1564,'Liste des Villes'!$B$2:$B$1128,1,FALSE)</f>
        <v>Saint-Jérôme</v>
      </c>
      <c r="Q1564" s="9" t="str">
        <f>IFERROR($P1564,PROPER(VLOOKUP($O1564,'Villes en erreur'!$A$2:$B$72,2,FALSE)))</f>
        <v>Saint-Jérôme</v>
      </c>
      <c r="R1564" s="9" t="s">
        <v>3186</v>
      </c>
      <c r="S1564" s="9" t="str">
        <f>IF(ISBLANK($R1564),"",VLOOKUP($R1564,'Liste des Villes'!$B$2:$H$1128,4,FALSE))</f>
        <v>Laurentides</v>
      </c>
      <c r="T1564" s="2" t="s">
        <v>5516</v>
      </c>
      <c r="U1564" s="2" t="s">
        <v>39</v>
      </c>
      <c r="V1564" s="2" t="s">
        <v>40</v>
      </c>
      <c r="W1564" s="2" t="s">
        <v>7673</v>
      </c>
      <c r="X1564" s="2"/>
      <c r="Y1564" s="2"/>
      <c r="Z1564" s="2"/>
      <c r="AA1564" s="2" t="s">
        <v>3243</v>
      </c>
      <c r="AB1564" s="2" t="s">
        <v>3221</v>
      </c>
      <c r="AC1564" s="4" t="s">
        <v>44</v>
      </c>
    </row>
    <row r="1565" spans="1:29" x14ac:dyDescent="0.25">
      <c r="A1565" s="1">
        <v>1701</v>
      </c>
      <c r="B1565" s="17" t="s">
        <v>7674</v>
      </c>
      <c r="C1565" s="2" t="s">
        <v>6219</v>
      </c>
      <c r="D1565" s="15" t="s">
        <v>6220</v>
      </c>
      <c r="E1565" s="9" t="s">
        <v>1689</v>
      </c>
      <c r="F1565" s="9" t="s">
        <v>6221</v>
      </c>
      <c r="G1565" s="9" t="s">
        <v>600</v>
      </c>
      <c r="H1565" s="2" t="s">
        <v>60</v>
      </c>
      <c r="I1565" s="3">
        <v>35976</v>
      </c>
      <c r="J1565" s="9" t="str">
        <f t="shared" ca="1" si="26"/>
        <v>25 ans</v>
      </c>
      <c r="K1565" s="2" t="s">
        <v>123</v>
      </c>
      <c r="L1565" s="2" t="str">
        <f>"172"</f>
        <v>172</v>
      </c>
      <c r="M1565" s="2"/>
      <c r="N1565" s="2" t="str">
        <f>"PLACE ARMAND"</f>
        <v>PLACE ARMAND</v>
      </c>
      <c r="O1565" s="2" t="s">
        <v>3185</v>
      </c>
      <c r="P1565" s="9" t="str">
        <f>VLOOKUP($O1565,'Liste des Villes'!$B$2:$B$1128,1,FALSE)</f>
        <v>Saint-Jérôme</v>
      </c>
      <c r="Q1565" s="9" t="str">
        <f>IFERROR($P1565,PROPER(VLOOKUP($O1565,'Villes en erreur'!$A$2:$B$72,2,FALSE)))</f>
        <v>Saint-Jérôme</v>
      </c>
      <c r="R1565" s="9" t="s">
        <v>3186</v>
      </c>
      <c r="S1565" s="9" t="str">
        <f>IF(ISBLANK($R1565),"",VLOOKUP($R1565,'Liste des Villes'!$B$2:$H$1128,4,FALSE))</f>
        <v>Laurentides</v>
      </c>
      <c r="T1565" s="2" t="s">
        <v>3434</v>
      </c>
      <c r="U1565" s="2" t="s">
        <v>39</v>
      </c>
      <c r="V1565" s="2" t="s">
        <v>40</v>
      </c>
      <c r="W1565" s="2" t="s">
        <v>7675</v>
      </c>
      <c r="X1565" s="2"/>
      <c r="Y1565" s="2"/>
      <c r="Z1565" s="2"/>
      <c r="AA1565" s="2" t="s">
        <v>832</v>
      </c>
      <c r="AB1565" s="2" t="s">
        <v>3221</v>
      </c>
      <c r="AC1565" s="4" t="s">
        <v>44</v>
      </c>
    </row>
    <row r="1566" spans="1:29" x14ac:dyDescent="0.25">
      <c r="A1566" s="1">
        <v>4545</v>
      </c>
      <c r="B1566" s="17" t="s">
        <v>7676</v>
      </c>
      <c r="C1566" s="2" t="s">
        <v>4420</v>
      </c>
      <c r="D1566" s="15" t="s">
        <v>4421</v>
      </c>
      <c r="E1566" s="9" t="s">
        <v>4422</v>
      </c>
      <c r="F1566" s="9" t="s">
        <v>7677</v>
      </c>
      <c r="G1566" s="9" t="s">
        <v>179</v>
      </c>
      <c r="H1566" s="2" t="s">
        <v>60</v>
      </c>
      <c r="I1566" s="3">
        <v>36104</v>
      </c>
      <c r="J1566" s="9" t="str">
        <f t="shared" ca="1" si="26"/>
        <v>24 ans</v>
      </c>
      <c r="K1566" s="2" t="s">
        <v>123</v>
      </c>
      <c r="L1566" s="2" t="str">
        <f>"209"</f>
        <v>209</v>
      </c>
      <c r="M1566" s="2"/>
      <c r="N1566" s="2" t="str">
        <f>"RTE 148"</f>
        <v>RTE 148</v>
      </c>
      <c r="O1566" s="2" t="s">
        <v>3185</v>
      </c>
      <c r="P1566" s="9" t="str">
        <f>VLOOKUP($O1566,'Liste des Villes'!$B$2:$B$1128,1,FALSE)</f>
        <v>Saint-Jérôme</v>
      </c>
      <c r="Q1566" s="9" t="str">
        <f>IFERROR($P1566,PROPER(VLOOKUP($O1566,'Villes en erreur'!$A$2:$B$72,2,FALSE)))</f>
        <v>Saint-Jérôme</v>
      </c>
      <c r="R1566" s="9" t="s">
        <v>3186</v>
      </c>
      <c r="S1566" s="9" t="str">
        <f>IF(ISBLANK($R1566),"",VLOOKUP($R1566,'Liste des Villes'!$B$2:$H$1128,4,FALSE))</f>
        <v>Laurentides</v>
      </c>
      <c r="T1566" s="2" t="s">
        <v>4467</v>
      </c>
      <c r="U1566" s="2" t="s">
        <v>39</v>
      </c>
      <c r="V1566" s="2" t="s">
        <v>40</v>
      </c>
      <c r="W1566" s="2" t="s">
        <v>7678</v>
      </c>
      <c r="X1566" s="2"/>
      <c r="Y1566" s="2"/>
      <c r="Z1566" s="2"/>
      <c r="AA1566" s="2" t="s">
        <v>832</v>
      </c>
      <c r="AB1566" s="2" t="s">
        <v>3221</v>
      </c>
      <c r="AC1566" s="4" t="s">
        <v>44</v>
      </c>
    </row>
    <row r="1567" spans="1:29" x14ac:dyDescent="0.25">
      <c r="A1567" s="1">
        <v>1053</v>
      </c>
      <c r="B1567" s="17" t="s">
        <v>7679</v>
      </c>
      <c r="C1567" s="2" t="s">
        <v>7680</v>
      </c>
      <c r="D1567" s="15" t="s">
        <v>7681</v>
      </c>
      <c r="E1567" s="9" t="s">
        <v>1024</v>
      </c>
      <c r="F1567" s="9" t="s">
        <v>1452</v>
      </c>
      <c r="G1567" s="9" t="s">
        <v>539</v>
      </c>
      <c r="H1567" s="2" t="s">
        <v>60</v>
      </c>
      <c r="I1567" s="3">
        <v>34367</v>
      </c>
      <c r="J1567" s="9" t="str">
        <f t="shared" ca="1" si="26"/>
        <v>29 ans</v>
      </c>
      <c r="K1567" s="2" t="s">
        <v>36</v>
      </c>
      <c r="L1567" s="2" t="str">
        <f>"54"</f>
        <v>54</v>
      </c>
      <c r="M1567" s="2"/>
      <c r="N1567" s="2" t="str">
        <f>"BOULEVARD RENÉ-LÉVESQUE"</f>
        <v>BOULEVARD RENÉ-LÉVESQUE</v>
      </c>
      <c r="O1567" s="2" t="s">
        <v>3185</v>
      </c>
      <c r="P1567" s="9" t="str">
        <f>VLOOKUP($O1567,'Liste des Villes'!$B$2:$B$1128,1,FALSE)</f>
        <v>Saint-Jérôme</v>
      </c>
      <c r="Q1567" s="9" t="str">
        <f>IFERROR($P1567,PROPER(VLOOKUP($O1567,'Villes en erreur'!$A$2:$B$72,2,FALSE)))</f>
        <v>Saint-Jérôme</v>
      </c>
      <c r="R1567" s="9" t="s">
        <v>3186</v>
      </c>
      <c r="S1567" s="9" t="str">
        <f>IF(ISBLANK($R1567),"",VLOOKUP($R1567,'Liste des Villes'!$B$2:$H$1128,4,FALSE))</f>
        <v>Laurentides</v>
      </c>
      <c r="T1567" s="2" t="s">
        <v>3291</v>
      </c>
      <c r="U1567" s="2" t="s">
        <v>39</v>
      </c>
      <c r="V1567" s="2" t="s">
        <v>40</v>
      </c>
      <c r="W1567" s="2" t="s">
        <v>7682</v>
      </c>
      <c r="X1567" s="2"/>
      <c r="Y1567" s="2"/>
      <c r="Z1567" s="2"/>
      <c r="AA1567" s="2" t="s">
        <v>3360</v>
      </c>
      <c r="AB1567" s="2" t="s">
        <v>53</v>
      </c>
      <c r="AC1567" s="4" t="s">
        <v>44</v>
      </c>
    </row>
    <row r="1568" spans="1:29" x14ac:dyDescent="0.25">
      <c r="A1568" s="1">
        <v>2619</v>
      </c>
      <c r="B1568" s="17" t="s">
        <v>7683</v>
      </c>
      <c r="C1568" s="2" t="s">
        <v>2000</v>
      </c>
      <c r="D1568" s="15" t="s">
        <v>2001</v>
      </c>
      <c r="E1568" s="9" t="s">
        <v>219</v>
      </c>
      <c r="F1568" s="9" t="s">
        <v>582</v>
      </c>
      <c r="G1568" s="9" t="s">
        <v>4040</v>
      </c>
      <c r="H1568" s="2" t="s">
        <v>35</v>
      </c>
      <c r="I1568" s="3">
        <v>35179</v>
      </c>
      <c r="J1568" s="9" t="str">
        <f t="shared" ca="1" si="26"/>
        <v>27 ans</v>
      </c>
      <c r="K1568" s="2" t="s">
        <v>36</v>
      </c>
      <c r="L1568" s="2" t="str">
        <f>"104"</f>
        <v>104</v>
      </c>
      <c r="M1568" s="2"/>
      <c r="N1568" s="2" t="str">
        <f>"CH SAN-AIR"</f>
        <v>CH SAN-AIR</v>
      </c>
      <c r="O1568" s="2" t="s">
        <v>3185</v>
      </c>
      <c r="P1568" s="9" t="str">
        <f>VLOOKUP($O1568,'Liste des Villes'!$B$2:$B$1128,1,FALSE)</f>
        <v>Saint-Jérôme</v>
      </c>
      <c r="Q1568" s="9" t="str">
        <f>IFERROR($P1568,PROPER(VLOOKUP($O1568,'Villes en erreur'!$A$2:$B$72,2,FALSE)))</f>
        <v>Saint-Jérôme</v>
      </c>
      <c r="R1568" s="9" t="s">
        <v>3186</v>
      </c>
      <c r="S1568" s="9" t="str">
        <f>IF(ISBLANK($R1568),"",VLOOKUP($R1568,'Liste des Villes'!$B$2:$H$1128,4,FALSE))</f>
        <v>Laurentides</v>
      </c>
      <c r="T1568" s="2" t="s">
        <v>3187</v>
      </c>
      <c r="U1568" s="2" t="s">
        <v>39</v>
      </c>
      <c r="V1568" s="2" t="s">
        <v>40</v>
      </c>
      <c r="W1568" s="2" t="s">
        <v>7684</v>
      </c>
      <c r="X1568" s="2"/>
      <c r="Y1568" s="2"/>
      <c r="Z1568" s="2"/>
      <c r="AA1568" s="2" t="s">
        <v>3189</v>
      </c>
      <c r="AB1568" s="2" t="s">
        <v>3190</v>
      </c>
      <c r="AC1568" s="4" t="s">
        <v>44</v>
      </c>
    </row>
    <row r="1569" spans="1:29" x14ac:dyDescent="0.25">
      <c r="A1569" s="1">
        <v>414</v>
      </c>
      <c r="B1569" s="17" t="s">
        <v>7685</v>
      </c>
      <c r="C1569" s="2" t="s">
        <v>7686</v>
      </c>
      <c r="D1569" s="15" t="s">
        <v>6101</v>
      </c>
      <c r="E1569" s="9" t="s">
        <v>7687</v>
      </c>
      <c r="F1569" s="9" t="s">
        <v>6100</v>
      </c>
      <c r="G1569" s="9" t="s">
        <v>7688</v>
      </c>
      <c r="H1569" s="2" t="s">
        <v>60</v>
      </c>
      <c r="I1569" s="3">
        <v>34220</v>
      </c>
      <c r="J1569" s="9" t="str">
        <f t="shared" ca="1" si="26"/>
        <v>29 ans</v>
      </c>
      <c r="K1569" s="2" t="s">
        <v>36</v>
      </c>
      <c r="L1569" s="2" t="str">
        <f>"49"</f>
        <v>49</v>
      </c>
      <c r="M1569" s="2"/>
      <c r="N1569" s="2" t="str">
        <f>"BOULEVARD DE VERSAILLES"</f>
        <v>BOULEVARD DE VERSAILLES</v>
      </c>
      <c r="O1569" s="2" t="s">
        <v>3185</v>
      </c>
      <c r="P1569" s="9" t="str">
        <f>VLOOKUP($O1569,'Liste des Villes'!$B$2:$B$1128,1,FALSE)</f>
        <v>Saint-Jérôme</v>
      </c>
      <c r="Q1569" s="9" t="str">
        <f>IFERROR($P1569,PROPER(VLOOKUP($O1569,'Villes en erreur'!$A$2:$B$72,2,FALSE)))</f>
        <v>Saint-Jérôme</v>
      </c>
      <c r="R1569" s="9" t="s">
        <v>3186</v>
      </c>
      <c r="S1569" s="9" t="str">
        <f>IF(ISBLANK($R1569),"",VLOOKUP($R1569,'Liste des Villes'!$B$2:$H$1128,4,FALSE))</f>
        <v>Laurentides</v>
      </c>
      <c r="T1569" s="2" t="s">
        <v>3520</v>
      </c>
      <c r="U1569" s="2" t="s">
        <v>39</v>
      </c>
      <c r="V1569" s="2" t="s">
        <v>40</v>
      </c>
      <c r="W1569" s="2" t="s">
        <v>7689</v>
      </c>
      <c r="X1569" s="2"/>
      <c r="Y1569" s="2"/>
      <c r="Z1569" s="2"/>
      <c r="AA1569" s="2" t="s">
        <v>3360</v>
      </c>
      <c r="AB1569" s="2" t="s">
        <v>53</v>
      </c>
      <c r="AC1569" s="4" t="s">
        <v>44</v>
      </c>
    </row>
    <row r="1570" spans="1:29" x14ac:dyDescent="0.25">
      <c r="A1570" s="1">
        <v>1146</v>
      </c>
      <c r="B1570" s="17" t="s">
        <v>7690</v>
      </c>
      <c r="C1570" s="2" t="s">
        <v>7691</v>
      </c>
      <c r="D1570" s="15" t="s">
        <v>1800</v>
      </c>
      <c r="E1570" s="9" t="s">
        <v>7692</v>
      </c>
      <c r="F1570" s="9" t="s">
        <v>7693</v>
      </c>
      <c r="G1570" s="9" t="s">
        <v>5006</v>
      </c>
      <c r="H1570" s="2" t="s">
        <v>60</v>
      </c>
      <c r="I1570" s="3">
        <v>34214</v>
      </c>
      <c r="J1570" s="9" t="str">
        <f t="shared" ca="1" si="26"/>
        <v>29 ans</v>
      </c>
      <c r="K1570" s="2" t="s">
        <v>36</v>
      </c>
      <c r="L1570" s="2" t="str">
        <f>"49"</f>
        <v>49</v>
      </c>
      <c r="M1570" s="2"/>
      <c r="N1570" s="2" t="str">
        <f>"BOULEVARD DE SAINT CANUT"</f>
        <v>BOULEVARD DE SAINT CANUT</v>
      </c>
      <c r="O1570" s="2" t="s">
        <v>3185</v>
      </c>
      <c r="P1570" s="9" t="str">
        <f>VLOOKUP($O1570,'Liste des Villes'!$B$2:$B$1128,1,FALSE)</f>
        <v>Saint-Jérôme</v>
      </c>
      <c r="Q1570" s="9" t="str">
        <f>IFERROR($P1570,PROPER(VLOOKUP($O1570,'Villes en erreur'!$A$2:$B$72,2,FALSE)))</f>
        <v>Saint-Jérôme</v>
      </c>
      <c r="R1570" s="9" t="s">
        <v>3186</v>
      </c>
      <c r="S1570" s="9" t="str">
        <f>IF(ISBLANK($R1570),"",VLOOKUP($R1570,'Liste des Villes'!$B$2:$H$1128,4,FALSE))</f>
        <v>Laurentides</v>
      </c>
      <c r="T1570" s="2" t="s">
        <v>5007</v>
      </c>
      <c r="U1570" s="2" t="s">
        <v>39</v>
      </c>
      <c r="V1570" s="2" t="s">
        <v>40</v>
      </c>
      <c r="W1570" s="2" t="s">
        <v>7694</v>
      </c>
      <c r="X1570" s="2"/>
      <c r="Y1570" s="2"/>
      <c r="Z1570" s="2"/>
      <c r="AA1570" s="2" t="s">
        <v>3360</v>
      </c>
      <c r="AB1570" s="2" t="s">
        <v>53</v>
      </c>
      <c r="AC1570" s="4" t="s">
        <v>44</v>
      </c>
    </row>
    <row r="1571" spans="1:29" x14ac:dyDescent="0.25">
      <c r="A1571" s="1">
        <v>2843</v>
      </c>
      <c r="B1571" s="17" t="s">
        <v>7695</v>
      </c>
      <c r="C1571" s="2" t="s">
        <v>7696</v>
      </c>
      <c r="D1571" s="15" t="s">
        <v>7697</v>
      </c>
      <c r="E1571" s="9" t="s">
        <v>7698</v>
      </c>
      <c r="F1571" s="9" t="s">
        <v>171</v>
      </c>
      <c r="G1571" s="9" t="s">
        <v>1447</v>
      </c>
      <c r="H1571" s="2" t="s">
        <v>60</v>
      </c>
      <c r="I1571" s="3">
        <v>35497</v>
      </c>
      <c r="J1571" s="9" t="str">
        <f t="shared" ca="1" si="26"/>
        <v>26 ans</v>
      </c>
      <c r="K1571" s="2" t="s">
        <v>36</v>
      </c>
      <c r="L1571" s="2" t="str">
        <f>"119"</f>
        <v>119</v>
      </c>
      <c r="M1571" s="2"/>
      <c r="N1571" s="2" t="str">
        <f>"CHEMIN SCRAIRE"</f>
        <v>CHEMIN SCRAIRE</v>
      </c>
      <c r="O1571" s="2" t="s">
        <v>3185</v>
      </c>
      <c r="P1571" s="9" t="str">
        <f>VLOOKUP($O1571,'Liste des Villes'!$B$2:$B$1128,1,FALSE)</f>
        <v>Saint-Jérôme</v>
      </c>
      <c r="Q1571" s="9" t="str">
        <f>IFERROR($P1571,PROPER(VLOOKUP($O1571,'Villes en erreur'!$A$2:$B$72,2,FALSE)))</f>
        <v>Saint-Jérôme</v>
      </c>
      <c r="R1571" s="9" t="s">
        <v>3186</v>
      </c>
      <c r="S1571" s="9" t="str">
        <f>IF(ISBLANK($R1571),"",VLOOKUP($R1571,'Liste des Villes'!$B$2:$H$1128,4,FALSE))</f>
        <v>Laurentides</v>
      </c>
      <c r="T1571" s="2" t="s">
        <v>3532</v>
      </c>
      <c r="U1571" s="2" t="s">
        <v>39</v>
      </c>
      <c r="V1571" s="2" t="s">
        <v>40</v>
      </c>
      <c r="W1571" s="2" t="s">
        <v>7699</v>
      </c>
      <c r="X1571" s="2"/>
      <c r="Y1571" s="2"/>
      <c r="Z1571" s="2"/>
      <c r="AA1571" s="2" t="s">
        <v>3199</v>
      </c>
      <c r="AB1571" s="2" t="s">
        <v>3200</v>
      </c>
      <c r="AC1571" s="4" t="s">
        <v>44</v>
      </c>
    </row>
    <row r="1572" spans="1:29" x14ac:dyDescent="0.25">
      <c r="A1572" s="1">
        <v>785</v>
      </c>
      <c r="B1572" s="17" t="s">
        <v>7700</v>
      </c>
      <c r="C1572" s="2" t="s">
        <v>7701</v>
      </c>
      <c r="D1572" s="15" t="s">
        <v>504</v>
      </c>
      <c r="E1572" s="9" t="s">
        <v>1886</v>
      </c>
      <c r="F1572" s="9" t="s">
        <v>7702</v>
      </c>
      <c r="G1572" s="9" t="s">
        <v>3218</v>
      </c>
      <c r="H1572" s="2" t="s">
        <v>60</v>
      </c>
      <c r="I1572" s="3">
        <v>34319</v>
      </c>
      <c r="J1572" s="9" t="str">
        <f t="shared" ca="1" si="26"/>
        <v>29 ans</v>
      </c>
      <c r="K1572" s="2" t="s">
        <v>36</v>
      </c>
      <c r="L1572" s="2" t="str">
        <f>"52"</f>
        <v>52</v>
      </c>
      <c r="M1572" s="2"/>
      <c r="N1572" s="2" t="str">
        <f>"BOULEVARD LAJEUNESSE EST"</f>
        <v>BOULEVARD LAJEUNESSE EST</v>
      </c>
      <c r="O1572" s="2" t="s">
        <v>3185</v>
      </c>
      <c r="P1572" s="9" t="str">
        <f>VLOOKUP($O1572,'Liste des Villes'!$B$2:$B$1128,1,FALSE)</f>
        <v>Saint-Jérôme</v>
      </c>
      <c r="Q1572" s="9" t="str">
        <f>IFERROR($P1572,PROPER(VLOOKUP($O1572,'Villes en erreur'!$A$2:$B$72,2,FALSE)))</f>
        <v>Saint-Jérôme</v>
      </c>
      <c r="R1572" s="9" t="s">
        <v>3186</v>
      </c>
      <c r="S1572" s="9" t="str">
        <f>IF(ISBLANK($R1572),"",VLOOKUP($R1572,'Liste des Villes'!$B$2:$H$1128,4,FALSE))</f>
        <v>Laurentides</v>
      </c>
      <c r="T1572" s="2" t="s">
        <v>3520</v>
      </c>
      <c r="U1572" s="2" t="s">
        <v>39</v>
      </c>
      <c r="V1572" s="2" t="s">
        <v>40</v>
      </c>
      <c r="W1572" s="2" t="s">
        <v>7703</v>
      </c>
      <c r="X1572" s="2"/>
      <c r="Y1572" s="2"/>
      <c r="Z1572" s="2"/>
      <c r="AA1572" s="2" t="s">
        <v>3360</v>
      </c>
      <c r="AB1572" s="2" t="s">
        <v>53</v>
      </c>
      <c r="AC1572" s="4" t="s">
        <v>44</v>
      </c>
    </row>
    <row r="1573" spans="1:29" x14ac:dyDescent="0.25">
      <c r="A1573" s="1">
        <v>1262</v>
      </c>
      <c r="B1573" s="17" t="s">
        <v>7704</v>
      </c>
      <c r="C1573" s="2" t="s">
        <v>7705</v>
      </c>
      <c r="D1573" s="15" t="s">
        <v>4400</v>
      </c>
      <c r="E1573" s="9" t="s">
        <v>1689</v>
      </c>
      <c r="F1573" s="9" t="s">
        <v>2756</v>
      </c>
      <c r="G1573" s="9" t="s">
        <v>1135</v>
      </c>
      <c r="H1573" s="2" t="s">
        <v>60</v>
      </c>
      <c r="I1573" s="3">
        <v>36237</v>
      </c>
      <c r="J1573" s="9" t="str">
        <f t="shared" ca="1" si="26"/>
        <v>24 ans</v>
      </c>
      <c r="K1573" s="2" t="s">
        <v>123</v>
      </c>
      <c r="L1573" s="2" t="str">
        <f>"262"</f>
        <v>262</v>
      </c>
      <c r="M1573" s="2"/>
      <c r="N1573" s="2" t="str">
        <f>"RUE BÉLANGER"</f>
        <v>RUE BÉLANGER</v>
      </c>
      <c r="O1573" s="2" t="s">
        <v>3185</v>
      </c>
      <c r="P1573" s="9" t="str">
        <f>VLOOKUP($O1573,'Liste des Villes'!$B$2:$B$1128,1,FALSE)</f>
        <v>Saint-Jérôme</v>
      </c>
      <c r="Q1573" s="9" t="str">
        <f>IFERROR($P1573,PROPER(VLOOKUP($O1573,'Villes en erreur'!$A$2:$B$72,2,FALSE)))</f>
        <v>Saint-Jérôme</v>
      </c>
      <c r="R1573" s="9" t="s">
        <v>3186</v>
      </c>
      <c r="S1573" s="9" t="str">
        <f>IF(ISBLANK($R1573),"",VLOOKUP($R1573,'Liste des Villes'!$B$2:$H$1128,4,FALSE))</f>
        <v>Laurentides</v>
      </c>
      <c r="T1573" s="2" t="s">
        <v>7706</v>
      </c>
      <c r="U1573" s="2" t="s">
        <v>39</v>
      </c>
      <c r="V1573" s="2" t="s">
        <v>40</v>
      </c>
      <c r="W1573" s="2" t="s">
        <v>7707</v>
      </c>
      <c r="X1573" s="2"/>
      <c r="Y1573" s="2"/>
      <c r="Z1573" s="2"/>
      <c r="AA1573" s="2" t="s">
        <v>832</v>
      </c>
      <c r="AB1573" s="2" t="s">
        <v>73</v>
      </c>
      <c r="AC1573" s="4" t="s">
        <v>44</v>
      </c>
    </row>
    <row r="1574" spans="1:29" x14ac:dyDescent="0.25">
      <c r="A1574" s="1">
        <v>4496</v>
      </c>
      <c r="B1574" s="17" t="s">
        <v>7708</v>
      </c>
      <c r="C1574" s="2" t="s">
        <v>7709</v>
      </c>
      <c r="D1574" s="15" t="s">
        <v>7710</v>
      </c>
      <c r="E1574" s="9" t="s">
        <v>509</v>
      </c>
      <c r="F1574" s="9" t="s">
        <v>7711</v>
      </c>
      <c r="G1574" s="9" t="s">
        <v>2339</v>
      </c>
      <c r="H1574" s="2" t="s">
        <v>35</v>
      </c>
      <c r="I1574" s="3">
        <v>35847</v>
      </c>
      <c r="J1574" s="9" t="str">
        <f t="shared" ca="1" si="26"/>
        <v>25 ans</v>
      </c>
      <c r="K1574" s="2" t="s">
        <v>123</v>
      </c>
      <c r="L1574" s="2" t="str">
        <f>"148"</f>
        <v>148</v>
      </c>
      <c r="M1574" s="2"/>
      <c r="N1574" s="2" t="str">
        <f>"LAVIOLETTE"</f>
        <v>LAVIOLETTE</v>
      </c>
      <c r="O1574" s="2" t="s">
        <v>3185</v>
      </c>
      <c r="P1574" s="9" t="str">
        <f>VLOOKUP($O1574,'Liste des Villes'!$B$2:$B$1128,1,FALSE)</f>
        <v>Saint-Jérôme</v>
      </c>
      <c r="Q1574" s="9" t="str">
        <f>IFERROR($P1574,PROPER(VLOOKUP($O1574,'Villes en erreur'!$A$2:$B$72,2,FALSE)))</f>
        <v>Saint-Jérôme</v>
      </c>
      <c r="R1574" s="9" t="s">
        <v>3186</v>
      </c>
      <c r="S1574" s="9" t="str">
        <f>IF(ISBLANK($R1574),"",VLOOKUP($R1574,'Liste des Villes'!$B$2:$H$1128,4,FALSE))</f>
        <v>Laurentides</v>
      </c>
      <c r="T1574" s="2" t="s">
        <v>7712</v>
      </c>
      <c r="U1574" s="2" t="s">
        <v>39</v>
      </c>
      <c r="V1574" s="2" t="s">
        <v>40</v>
      </c>
      <c r="W1574" s="2" t="s">
        <v>7713</v>
      </c>
      <c r="X1574" s="2"/>
      <c r="Y1574" s="2"/>
      <c r="Z1574" s="2"/>
      <c r="AA1574" s="2" t="s">
        <v>3243</v>
      </c>
      <c r="AB1574" s="2" t="s">
        <v>3221</v>
      </c>
      <c r="AC1574" s="4" t="s">
        <v>44</v>
      </c>
    </row>
    <row r="1575" spans="1:29" x14ac:dyDescent="0.25">
      <c r="A1575" s="1">
        <v>3840</v>
      </c>
      <c r="B1575" s="17" t="s">
        <v>7714</v>
      </c>
      <c r="C1575" s="2" t="s">
        <v>105</v>
      </c>
      <c r="D1575" s="15" t="s">
        <v>106</v>
      </c>
      <c r="E1575" s="9" t="s">
        <v>107</v>
      </c>
      <c r="F1575" s="9" t="s">
        <v>7715</v>
      </c>
      <c r="G1575" s="9" t="s">
        <v>3618</v>
      </c>
      <c r="H1575" s="2" t="s">
        <v>60</v>
      </c>
      <c r="I1575" s="3">
        <v>36196</v>
      </c>
      <c r="J1575" s="9" t="str">
        <f t="shared" ca="1" si="26"/>
        <v>24 ans</v>
      </c>
      <c r="K1575" s="2" t="s">
        <v>123</v>
      </c>
      <c r="L1575" s="2" t="str">
        <f>"240"</f>
        <v>240</v>
      </c>
      <c r="M1575" s="2"/>
      <c r="N1575" s="2" t="str">
        <f>"RUE ARMAND BERTRAND"</f>
        <v>RUE ARMAND BERTRAND</v>
      </c>
      <c r="O1575" s="2" t="s">
        <v>3185</v>
      </c>
      <c r="P1575" s="9" t="str">
        <f>VLOOKUP($O1575,'Liste des Villes'!$B$2:$B$1128,1,FALSE)</f>
        <v>Saint-Jérôme</v>
      </c>
      <c r="Q1575" s="9" t="str">
        <f>IFERROR($P1575,PROPER(VLOOKUP($O1575,'Villes en erreur'!$A$2:$B$72,2,FALSE)))</f>
        <v>Saint-Jérôme</v>
      </c>
      <c r="R1575" s="9" t="s">
        <v>3186</v>
      </c>
      <c r="S1575" s="9" t="str">
        <f>IF(ISBLANK($R1575),"",VLOOKUP($R1575,'Liste des Villes'!$B$2:$H$1128,4,FALSE))</f>
        <v>Laurentides</v>
      </c>
      <c r="T1575" s="2" t="s">
        <v>4595</v>
      </c>
      <c r="U1575" s="2" t="s">
        <v>39</v>
      </c>
      <c r="V1575" s="2" t="s">
        <v>40</v>
      </c>
      <c r="W1575" s="2" t="s">
        <v>7716</v>
      </c>
      <c r="X1575" s="2"/>
      <c r="Y1575" s="2"/>
      <c r="Z1575" s="2"/>
      <c r="AA1575" s="2" t="s">
        <v>832</v>
      </c>
      <c r="AB1575" s="2" t="s">
        <v>3288</v>
      </c>
      <c r="AC1575" s="4" t="s">
        <v>44</v>
      </c>
    </row>
    <row r="1576" spans="1:29" x14ac:dyDescent="0.25">
      <c r="A1576" s="1">
        <v>4412</v>
      </c>
      <c r="B1576" s="17" t="s">
        <v>7717</v>
      </c>
      <c r="C1576" s="2" t="s">
        <v>4230</v>
      </c>
      <c r="D1576" s="15" t="s">
        <v>957</v>
      </c>
      <c r="E1576" s="9" t="s">
        <v>4231</v>
      </c>
      <c r="F1576" s="9" t="s">
        <v>955</v>
      </c>
      <c r="G1576" s="9" t="s">
        <v>3668</v>
      </c>
      <c r="H1576" s="2" t="s">
        <v>60</v>
      </c>
      <c r="I1576" s="3">
        <v>36230</v>
      </c>
      <c r="J1576" s="9" t="str">
        <f t="shared" ca="1" si="26"/>
        <v>24 ans</v>
      </c>
      <c r="K1576" s="2" t="s">
        <v>123</v>
      </c>
      <c r="L1576" s="2" t="str">
        <f>"259"</f>
        <v>259</v>
      </c>
      <c r="M1576" s="2"/>
      <c r="N1576" s="2" t="str">
        <f>"RUE BEAUSITE"</f>
        <v>RUE BEAUSITE</v>
      </c>
      <c r="O1576" s="2" t="s">
        <v>3185</v>
      </c>
      <c r="P1576" s="9" t="str">
        <f>VLOOKUP($O1576,'Liste des Villes'!$B$2:$B$1128,1,FALSE)</f>
        <v>Saint-Jérôme</v>
      </c>
      <c r="Q1576" s="9" t="str">
        <f>IFERROR($P1576,PROPER(VLOOKUP($O1576,'Villes en erreur'!$A$2:$B$72,2,FALSE)))</f>
        <v>Saint-Jérôme</v>
      </c>
      <c r="R1576" s="9" t="s">
        <v>3186</v>
      </c>
      <c r="S1576" s="9" t="str">
        <f>IF(ISBLANK($R1576),"",VLOOKUP($R1576,'Liste des Villes'!$B$2:$H$1128,4,FALSE))</f>
        <v>Laurentides</v>
      </c>
      <c r="T1576" s="2" t="s">
        <v>5304</v>
      </c>
      <c r="U1576" s="2" t="s">
        <v>39</v>
      </c>
      <c r="V1576" s="2" t="s">
        <v>40</v>
      </c>
      <c r="W1576" s="2" t="s">
        <v>7718</v>
      </c>
      <c r="X1576" s="2"/>
      <c r="Y1576" s="2"/>
      <c r="Z1576" s="2"/>
      <c r="AA1576" s="2" t="s">
        <v>832</v>
      </c>
      <c r="AB1576" s="2" t="s">
        <v>3288</v>
      </c>
      <c r="AC1576" s="4" t="s">
        <v>44</v>
      </c>
    </row>
    <row r="1577" spans="1:29" x14ac:dyDescent="0.25">
      <c r="A1577" s="1">
        <v>1422</v>
      </c>
      <c r="B1577" s="17" t="s">
        <v>7719</v>
      </c>
      <c r="C1577" s="2" t="s">
        <v>2511</v>
      </c>
      <c r="D1577" s="15" t="s">
        <v>304</v>
      </c>
      <c r="E1577" s="9" t="s">
        <v>2512</v>
      </c>
      <c r="F1577" s="9" t="s">
        <v>4347</v>
      </c>
      <c r="G1577" s="9" t="s">
        <v>7720</v>
      </c>
      <c r="H1577" s="2" t="s">
        <v>60</v>
      </c>
      <c r="I1577" s="3">
        <v>33981</v>
      </c>
      <c r="J1577" s="9" t="str">
        <f t="shared" ca="1" si="26"/>
        <v>30 ans</v>
      </c>
      <c r="K1577" s="2" t="s">
        <v>36</v>
      </c>
      <c r="L1577" s="2" t="str">
        <f>"42"</f>
        <v>42</v>
      </c>
      <c r="M1577" s="2"/>
      <c r="N1577" s="2" t="str">
        <f>"BOUL DE LA SALETTE"</f>
        <v>BOUL DE LA SALETTE</v>
      </c>
      <c r="O1577" s="2" t="s">
        <v>3185</v>
      </c>
      <c r="P1577" s="9" t="str">
        <f>VLOOKUP($O1577,'Liste des Villes'!$B$2:$B$1128,1,FALSE)</f>
        <v>Saint-Jérôme</v>
      </c>
      <c r="Q1577" s="9" t="str">
        <f>IFERROR($P1577,PROPER(VLOOKUP($O1577,'Villes en erreur'!$A$2:$B$72,2,FALSE)))</f>
        <v>Saint-Jérôme</v>
      </c>
      <c r="R1577" s="9" t="s">
        <v>3186</v>
      </c>
      <c r="S1577" s="9" t="str">
        <f>IF(ISBLANK($R1577),"",VLOOKUP($R1577,'Liste des Villes'!$B$2:$H$1128,4,FALSE))</f>
        <v>Laurentides</v>
      </c>
      <c r="T1577" s="2" t="s">
        <v>3205</v>
      </c>
      <c r="U1577" s="2" t="s">
        <v>39</v>
      </c>
      <c r="V1577" s="2" t="s">
        <v>40</v>
      </c>
      <c r="W1577" s="2" t="s">
        <v>7721</v>
      </c>
      <c r="X1577" s="2"/>
      <c r="Y1577" s="2"/>
      <c r="Z1577" s="2"/>
      <c r="AA1577" s="2" t="s">
        <v>3207</v>
      </c>
      <c r="AB1577" s="2" t="s">
        <v>53</v>
      </c>
      <c r="AC1577" s="4" t="s">
        <v>44</v>
      </c>
    </row>
    <row r="1578" spans="1:29" x14ac:dyDescent="0.25">
      <c r="A1578" s="1">
        <v>4240</v>
      </c>
      <c r="B1578" s="17" t="s">
        <v>7722</v>
      </c>
      <c r="C1578" s="2" t="s">
        <v>7723</v>
      </c>
      <c r="D1578" s="15" t="s">
        <v>4453</v>
      </c>
      <c r="E1578" s="9" t="s">
        <v>7724</v>
      </c>
      <c r="F1578" s="9" t="s">
        <v>4452</v>
      </c>
      <c r="G1578" s="9" t="s">
        <v>1283</v>
      </c>
      <c r="H1578" s="2" t="s">
        <v>60</v>
      </c>
      <c r="I1578" s="3">
        <v>35817</v>
      </c>
      <c r="J1578" s="9" t="str">
        <f t="shared" ca="1" si="26"/>
        <v>25 ans</v>
      </c>
      <c r="K1578" s="2" t="s">
        <v>123</v>
      </c>
      <c r="L1578" s="2" t="str">
        <f>"145"</f>
        <v>145</v>
      </c>
      <c r="M1578" s="2"/>
      <c r="N1578" s="2" t="str">
        <f>"JACQUES CARTIER"</f>
        <v>JACQUES CARTIER</v>
      </c>
      <c r="O1578" s="2" t="s">
        <v>3186</v>
      </c>
      <c r="P1578" s="9" t="str">
        <f>VLOOKUP($O1578,'Liste des Villes'!$B$2:$B$1128,1,FALSE)</f>
        <v>Saint-Jérôme</v>
      </c>
      <c r="Q1578" s="9" t="str">
        <f>IFERROR($P1578,PROPER(VLOOKUP($O1578,'Villes en erreur'!$A$2:$B$72,2,FALSE)))</f>
        <v>Saint-Jérôme</v>
      </c>
      <c r="R1578" s="9" t="s">
        <v>3186</v>
      </c>
      <c r="S1578" s="9" t="str">
        <f>IF(ISBLANK($R1578),"",VLOOKUP($R1578,'Liste des Villes'!$B$2:$H$1128,4,FALSE))</f>
        <v>Laurentides</v>
      </c>
      <c r="T1578" s="2" t="s">
        <v>7725</v>
      </c>
      <c r="U1578" s="2" t="s">
        <v>39</v>
      </c>
      <c r="V1578" s="2" t="s">
        <v>40</v>
      </c>
      <c r="W1578" s="2" t="s">
        <v>7726</v>
      </c>
      <c r="X1578" s="2"/>
      <c r="Y1578" s="2"/>
      <c r="Z1578" s="2"/>
      <c r="AA1578" s="2" t="s">
        <v>3243</v>
      </c>
      <c r="AB1578" s="2" t="s">
        <v>3221</v>
      </c>
      <c r="AC1578" s="4" t="s">
        <v>44</v>
      </c>
    </row>
    <row r="1579" spans="1:29" x14ac:dyDescent="0.25">
      <c r="A1579" s="1">
        <v>3358</v>
      </c>
      <c r="B1579" s="17" t="s">
        <v>7727</v>
      </c>
      <c r="C1579" s="2" t="s">
        <v>7728</v>
      </c>
      <c r="D1579" s="15" t="s">
        <v>7729</v>
      </c>
      <c r="E1579" s="9" t="s">
        <v>85</v>
      </c>
      <c r="F1579" s="9" t="s">
        <v>7730</v>
      </c>
      <c r="G1579" s="9" t="s">
        <v>1560</v>
      </c>
      <c r="H1579" s="2" t="s">
        <v>35</v>
      </c>
      <c r="I1579" s="3">
        <v>35623</v>
      </c>
      <c r="J1579" s="9" t="str">
        <f t="shared" ca="1" si="26"/>
        <v>26 ans</v>
      </c>
      <c r="K1579" s="2" t="s">
        <v>36</v>
      </c>
      <c r="L1579" s="2" t="str">
        <f>"130"</f>
        <v>130</v>
      </c>
      <c r="M1579" s="2"/>
      <c r="N1579" s="2" t="str">
        <f>"DE LA SALETTE BLVD"</f>
        <v>DE LA SALETTE BLVD</v>
      </c>
      <c r="O1579" s="2" t="s">
        <v>3185</v>
      </c>
      <c r="P1579" s="9" t="str">
        <f>VLOOKUP($O1579,'Liste des Villes'!$B$2:$B$1128,1,FALSE)</f>
        <v>Saint-Jérôme</v>
      </c>
      <c r="Q1579" s="9" t="str">
        <f>IFERROR($P1579,PROPER(VLOOKUP($O1579,'Villes en erreur'!$A$2:$B$72,2,FALSE)))</f>
        <v>Saint-Jérôme</v>
      </c>
      <c r="R1579" s="9" t="s">
        <v>3186</v>
      </c>
      <c r="S1579" s="9" t="str">
        <f>IF(ISBLANK($R1579),"",VLOOKUP($R1579,'Liste des Villes'!$B$2:$H$1128,4,FALSE))</f>
        <v>Laurentides</v>
      </c>
      <c r="T1579" s="2" t="s">
        <v>3446</v>
      </c>
      <c r="U1579" s="2" t="s">
        <v>39</v>
      </c>
      <c r="V1579" s="2" t="s">
        <v>40</v>
      </c>
      <c r="W1579" s="2" t="s">
        <v>7731</v>
      </c>
      <c r="X1579" s="2"/>
      <c r="Y1579" s="2"/>
      <c r="Z1579" s="2"/>
      <c r="AA1579" s="2" t="s">
        <v>3243</v>
      </c>
      <c r="AB1579" s="2" t="s">
        <v>3221</v>
      </c>
      <c r="AC1579" s="4" t="s">
        <v>44</v>
      </c>
    </row>
    <row r="1580" spans="1:29" x14ac:dyDescent="0.25">
      <c r="A1580" s="1">
        <v>3050</v>
      </c>
      <c r="B1580" s="17" t="s">
        <v>7732</v>
      </c>
      <c r="C1580" s="2" t="s">
        <v>7733</v>
      </c>
      <c r="D1580" s="15" t="s">
        <v>3252</v>
      </c>
      <c r="E1580" s="9" t="s">
        <v>2635</v>
      </c>
      <c r="F1580" s="9" t="s">
        <v>3250</v>
      </c>
      <c r="G1580" s="9" t="s">
        <v>577</v>
      </c>
      <c r="H1580" s="2" t="s">
        <v>60</v>
      </c>
      <c r="I1580" s="3">
        <v>35909</v>
      </c>
      <c r="J1580" s="9" t="str">
        <f t="shared" ca="1" si="26"/>
        <v>25 ans</v>
      </c>
      <c r="K1580" s="2" t="s">
        <v>123</v>
      </c>
      <c r="L1580" s="2" t="str">
        <f>"158"</f>
        <v>158</v>
      </c>
      <c r="M1580" s="2"/>
      <c r="N1580" s="2" t="str">
        <f>"MONTÉE DU LAC-LANTHIER"</f>
        <v>MONTÉE DU LAC-LANTHIER</v>
      </c>
      <c r="O1580" s="2" t="s">
        <v>3185</v>
      </c>
      <c r="P1580" s="9" t="str">
        <f>VLOOKUP($O1580,'Liste des Villes'!$B$2:$B$1128,1,FALSE)</f>
        <v>Saint-Jérôme</v>
      </c>
      <c r="Q1580" s="9" t="str">
        <f>IFERROR($P1580,PROPER(VLOOKUP($O1580,'Villes en erreur'!$A$2:$B$72,2,FALSE)))</f>
        <v>Saint-Jérôme</v>
      </c>
      <c r="R1580" s="9" t="s">
        <v>3186</v>
      </c>
      <c r="S1580" s="9" t="str">
        <f>IF(ISBLANK($R1580),"",VLOOKUP($R1580,'Liste des Villes'!$B$2:$H$1128,4,FALSE))</f>
        <v>Laurentides</v>
      </c>
      <c r="T1580" s="2" t="s">
        <v>7734</v>
      </c>
      <c r="U1580" s="2" t="s">
        <v>39</v>
      </c>
      <c r="V1580" s="2" t="s">
        <v>40</v>
      </c>
      <c r="W1580" s="2" t="s">
        <v>7735</v>
      </c>
      <c r="X1580" s="2"/>
      <c r="Y1580" s="2"/>
      <c r="Z1580" s="2"/>
      <c r="AA1580" s="2" t="s">
        <v>3243</v>
      </c>
      <c r="AB1580" s="2" t="s">
        <v>3221</v>
      </c>
      <c r="AC1580" s="4" t="s">
        <v>44</v>
      </c>
    </row>
    <row r="1581" spans="1:29" x14ac:dyDescent="0.25">
      <c r="A1581" s="1">
        <v>2675</v>
      </c>
      <c r="B1581" s="17" t="s">
        <v>7736</v>
      </c>
      <c r="C1581" s="2" t="s">
        <v>7396</v>
      </c>
      <c r="D1581" s="15" t="s">
        <v>5420</v>
      </c>
      <c r="E1581" s="9" t="s">
        <v>7397</v>
      </c>
      <c r="F1581" s="9" t="s">
        <v>7737</v>
      </c>
      <c r="G1581" s="9" t="s">
        <v>5462</v>
      </c>
      <c r="H1581" s="2" t="s">
        <v>60</v>
      </c>
      <c r="I1581" s="3">
        <v>36195</v>
      </c>
      <c r="J1581" s="9" t="str">
        <f t="shared" ca="1" si="26"/>
        <v>24 ans</v>
      </c>
      <c r="K1581" s="2" t="s">
        <v>123</v>
      </c>
      <c r="L1581" s="2" t="str">
        <f>"239"</f>
        <v>239</v>
      </c>
      <c r="M1581" s="2"/>
      <c r="N1581" s="2" t="str">
        <f>"RUE ARCHAMBAULT"</f>
        <v>RUE ARCHAMBAULT</v>
      </c>
      <c r="O1581" s="2" t="s">
        <v>3185</v>
      </c>
      <c r="P1581" s="9" t="str">
        <f>VLOOKUP($O1581,'Liste des Villes'!$B$2:$B$1128,1,FALSE)</f>
        <v>Saint-Jérôme</v>
      </c>
      <c r="Q1581" s="9" t="str">
        <f>IFERROR($P1581,PROPER(VLOOKUP($O1581,'Villes en erreur'!$A$2:$B$72,2,FALSE)))</f>
        <v>Saint-Jérôme</v>
      </c>
      <c r="R1581" s="9" t="s">
        <v>3186</v>
      </c>
      <c r="S1581" s="9" t="str">
        <f>IF(ISBLANK($R1581),"",VLOOKUP($R1581,'Liste des Villes'!$B$2:$H$1128,4,FALSE))</f>
        <v>Laurentides</v>
      </c>
      <c r="T1581" s="2" t="s">
        <v>7738</v>
      </c>
      <c r="U1581" s="2" t="s">
        <v>39</v>
      </c>
      <c r="V1581" s="2" t="s">
        <v>40</v>
      </c>
      <c r="W1581" s="2" t="s">
        <v>7739</v>
      </c>
      <c r="X1581" s="2"/>
      <c r="Y1581" s="2"/>
      <c r="Z1581" s="2"/>
      <c r="AA1581" s="2" t="s">
        <v>832</v>
      </c>
      <c r="AB1581" s="2" t="s">
        <v>3288</v>
      </c>
      <c r="AC1581" s="4" t="s">
        <v>44</v>
      </c>
    </row>
    <row r="1582" spans="1:29" x14ac:dyDescent="0.25">
      <c r="A1582" s="1">
        <v>1604</v>
      </c>
      <c r="B1582" s="17" t="s">
        <v>7740</v>
      </c>
      <c r="C1582" s="2" t="s">
        <v>7741</v>
      </c>
      <c r="D1582" s="15" t="s">
        <v>7742</v>
      </c>
      <c r="E1582" s="9" t="s">
        <v>137</v>
      </c>
      <c r="F1582" s="9" t="s">
        <v>7743</v>
      </c>
      <c r="G1582" s="9" t="s">
        <v>5958</v>
      </c>
      <c r="H1582" s="2" t="s">
        <v>60</v>
      </c>
      <c r="I1582" s="3">
        <v>35885</v>
      </c>
      <c r="J1582" s="9" t="str">
        <f t="shared" ca="1" si="26"/>
        <v>25 ans</v>
      </c>
      <c r="K1582" s="2" t="s">
        <v>123</v>
      </c>
      <c r="L1582" s="2" t="str">
        <f>"154"</f>
        <v>154</v>
      </c>
      <c r="M1582" s="2"/>
      <c r="N1582" s="2" t="str">
        <f>"MONTÉE BRISEBOIS"</f>
        <v>MONTÉE BRISEBOIS</v>
      </c>
      <c r="O1582" s="2" t="s">
        <v>3185</v>
      </c>
      <c r="P1582" s="9" t="str">
        <f>VLOOKUP($O1582,'Liste des Villes'!$B$2:$B$1128,1,FALSE)</f>
        <v>Saint-Jérôme</v>
      </c>
      <c r="Q1582" s="9" t="str">
        <f>IFERROR($P1582,PROPER(VLOOKUP($O1582,'Villes en erreur'!$A$2:$B$72,2,FALSE)))</f>
        <v>Saint-Jérôme</v>
      </c>
      <c r="R1582" s="9" t="s">
        <v>3186</v>
      </c>
      <c r="S1582" s="9" t="str">
        <f>IF(ISBLANK($R1582),"",VLOOKUP($R1582,'Liste des Villes'!$B$2:$H$1128,4,FALSE))</f>
        <v>Laurentides</v>
      </c>
      <c r="T1582" s="2" t="s">
        <v>7744</v>
      </c>
      <c r="U1582" s="2" t="s">
        <v>39</v>
      </c>
      <c r="V1582" s="2" t="s">
        <v>40</v>
      </c>
      <c r="W1582" s="2" t="s">
        <v>7745</v>
      </c>
      <c r="X1582" s="2"/>
      <c r="Y1582" s="2"/>
      <c r="Z1582" s="2"/>
      <c r="AA1582" s="2" t="s">
        <v>3243</v>
      </c>
      <c r="AB1582" s="2" t="s">
        <v>3221</v>
      </c>
      <c r="AC1582" s="4" t="s">
        <v>44</v>
      </c>
    </row>
    <row r="1583" spans="1:29" x14ac:dyDescent="0.25">
      <c r="A1583" s="1">
        <v>979</v>
      </c>
      <c r="B1583" s="17" t="s">
        <v>7746</v>
      </c>
      <c r="C1583" s="2" t="s">
        <v>7747</v>
      </c>
      <c r="D1583" s="15" t="s">
        <v>7748</v>
      </c>
      <c r="E1583" s="9" t="s">
        <v>7749</v>
      </c>
      <c r="F1583" s="9" t="s">
        <v>1959</v>
      </c>
      <c r="G1583" s="9" t="s">
        <v>1024</v>
      </c>
      <c r="H1583" s="2" t="s">
        <v>35</v>
      </c>
      <c r="I1583" s="3">
        <v>36167</v>
      </c>
      <c r="J1583" s="9" t="str">
        <f t="shared" ca="1" si="26"/>
        <v>24 ans</v>
      </c>
      <c r="K1583" s="2" t="s">
        <v>123</v>
      </c>
      <c r="L1583" s="2" t="str">
        <f>"229"</f>
        <v>229</v>
      </c>
      <c r="M1583" s="2"/>
      <c r="N1583" s="2" t="str">
        <f>"RUE AMÉLIE"</f>
        <v>RUE AMÉLIE</v>
      </c>
      <c r="O1583" s="2" t="s">
        <v>3185</v>
      </c>
      <c r="P1583" s="9" t="str">
        <f>VLOOKUP($O1583,'Liste des Villes'!$B$2:$B$1128,1,FALSE)</f>
        <v>Saint-Jérôme</v>
      </c>
      <c r="Q1583" s="9" t="str">
        <f>IFERROR($P1583,PROPER(VLOOKUP($O1583,'Villes en erreur'!$A$2:$B$72,2,FALSE)))</f>
        <v>Saint-Jérôme</v>
      </c>
      <c r="R1583" s="9" t="s">
        <v>3186</v>
      </c>
      <c r="S1583" s="9" t="str">
        <f>IF(ISBLANK($R1583),"",VLOOKUP($R1583,'Liste des Villes'!$B$2:$H$1128,4,FALSE))</f>
        <v>Laurentides</v>
      </c>
      <c r="T1583" s="2" t="s">
        <v>6346</v>
      </c>
      <c r="U1583" s="2" t="s">
        <v>39</v>
      </c>
      <c r="V1583" s="2" t="s">
        <v>40</v>
      </c>
      <c r="W1583" s="2" t="s">
        <v>7750</v>
      </c>
      <c r="X1583" s="2"/>
      <c r="Y1583" s="2"/>
      <c r="Z1583" s="2"/>
      <c r="AA1583" s="2" t="s">
        <v>832</v>
      </c>
      <c r="AB1583" s="2" t="s">
        <v>3221</v>
      </c>
      <c r="AC1583" s="4" t="s">
        <v>44</v>
      </c>
    </row>
    <row r="1584" spans="1:29" x14ac:dyDescent="0.25">
      <c r="A1584" s="1">
        <v>3898</v>
      </c>
      <c r="B1584" s="17" t="s">
        <v>7751</v>
      </c>
      <c r="C1584" s="2" t="s">
        <v>7752</v>
      </c>
      <c r="D1584" s="15" t="s">
        <v>3045</v>
      </c>
      <c r="E1584" s="9" t="s">
        <v>5476</v>
      </c>
      <c r="F1584" s="9" t="s">
        <v>31</v>
      </c>
      <c r="G1584" s="9" t="s">
        <v>2635</v>
      </c>
      <c r="H1584" s="2" t="s">
        <v>60</v>
      </c>
      <c r="I1584" s="3">
        <v>35767</v>
      </c>
      <c r="J1584" s="9" t="str">
        <f t="shared" ca="1" si="26"/>
        <v>25 ans</v>
      </c>
      <c r="K1584" s="2" t="s">
        <v>123</v>
      </c>
      <c r="L1584" s="2" t="str">
        <f>"141"</f>
        <v>141</v>
      </c>
      <c r="M1584" s="2"/>
      <c r="N1584" s="2" t="str">
        <f>"FOURNIER"</f>
        <v>FOURNIER</v>
      </c>
      <c r="O1584" s="2" t="s">
        <v>3185</v>
      </c>
      <c r="P1584" s="9" t="str">
        <f>VLOOKUP($O1584,'Liste des Villes'!$B$2:$B$1128,1,FALSE)</f>
        <v>Saint-Jérôme</v>
      </c>
      <c r="Q1584" s="9" t="str">
        <f>IFERROR($P1584,PROPER(VLOOKUP($O1584,'Villes en erreur'!$A$2:$B$72,2,FALSE)))</f>
        <v>Saint-Jérôme</v>
      </c>
      <c r="R1584" s="9" t="s">
        <v>3186</v>
      </c>
      <c r="S1584" s="9" t="str">
        <f>IF(ISBLANK($R1584),"",VLOOKUP($R1584,'Liste des Villes'!$B$2:$H$1128,4,FALSE))</f>
        <v>Laurentides</v>
      </c>
      <c r="T1584" s="2" t="s">
        <v>3331</v>
      </c>
      <c r="U1584" s="2" t="s">
        <v>39</v>
      </c>
      <c r="V1584" s="2" t="s">
        <v>40</v>
      </c>
      <c r="W1584" s="2" t="s">
        <v>7753</v>
      </c>
      <c r="X1584" s="2"/>
      <c r="Y1584" s="2"/>
      <c r="Z1584" s="2"/>
      <c r="AA1584" s="2" t="s">
        <v>3243</v>
      </c>
      <c r="AB1584" s="2" t="s">
        <v>3221</v>
      </c>
      <c r="AC1584" s="4" t="s">
        <v>44</v>
      </c>
    </row>
    <row r="1585" spans="1:29" x14ac:dyDescent="0.25">
      <c r="A1585" s="1">
        <v>2118</v>
      </c>
      <c r="B1585" s="17" t="s">
        <v>7754</v>
      </c>
      <c r="C1585" s="2" t="s">
        <v>7755</v>
      </c>
      <c r="D1585" s="15" t="s">
        <v>7756</v>
      </c>
      <c r="E1585" s="9" t="s">
        <v>2897</v>
      </c>
      <c r="F1585" s="9" t="s">
        <v>7757</v>
      </c>
      <c r="G1585" s="9" t="s">
        <v>664</v>
      </c>
      <c r="H1585" s="2" t="s">
        <v>60</v>
      </c>
      <c r="I1585" s="3">
        <v>36004</v>
      </c>
      <c r="J1585" s="9" t="str">
        <f t="shared" ca="1" si="26"/>
        <v>25 ans</v>
      </c>
      <c r="K1585" s="2" t="s">
        <v>123</v>
      </c>
      <c r="L1585" s="2" t="str">
        <f>"178"</f>
        <v>178</v>
      </c>
      <c r="M1585" s="2"/>
      <c r="N1585" s="2" t="str">
        <f>"PLACE DES MÉLÈZES"</f>
        <v>PLACE DES MÉLÈZES</v>
      </c>
      <c r="O1585" s="2" t="s">
        <v>3185</v>
      </c>
      <c r="P1585" s="9" t="str">
        <f>VLOOKUP($O1585,'Liste des Villes'!$B$2:$B$1128,1,FALSE)</f>
        <v>Saint-Jérôme</v>
      </c>
      <c r="Q1585" s="9" t="str">
        <f>IFERROR($P1585,PROPER(VLOOKUP($O1585,'Villes en erreur'!$A$2:$B$72,2,FALSE)))</f>
        <v>Saint-Jérôme</v>
      </c>
      <c r="R1585" s="9" t="s">
        <v>3186</v>
      </c>
      <c r="S1585" s="9" t="str">
        <f>IF(ISBLANK($R1585),"",VLOOKUP($R1585,'Liste des Villes'!$B$2:$H$1128,4,FALSE))</f>
        <v>Laurentides</v>
      </c>
      <c r="T1585" s="2" t="s">
        <v>4143</v>
      </c>
      <c r="U1585" s="2" t="s">
        <v>39</v>
      </c>
      <c r="V1585" s="2" t="s">
        <v>40</v>
      </c>
      <c r="W1585" s="2" t="s">
        <v>7758</v>
      </c>
      <c r="X1585" s="2"/>
      <c r="Y1585" s="2"/>
      <c r="Z1585" s="2"/>
      <c r="AA1585" s="2" t="s">
        <v>832</v>
      </c>
      <c r="AB1585" s="2" t="s">
        <v>3221</v>
      </c>
      <c r="AC1585" s="4" t="s">
        <v>44</v>
      </c>
    </row>
    <row r="1586" spans="1:29" x14ac:dyDescent="0.25">
      <c r="A1586" s="1">
        <v>3112</v>
      </c>
      <c r="B1586" s="17" t="s">
        <v>7759</v>
      </c>
      <c r="C1586" s="2" t="s">
        <v>7760</v>
      </c>
      <c r="D1586" s="15" t="s">
        <v>7761</v>
      </c>
      <c r="E1586" s="9" t="s">
        <v>6458</v>
      </c>
      <c r="F1586" s="9" t="s">
        <v>6459</v>
      </c>
      <c r="G1586" s="9" t="s">
        <v>7762</v>
      </c>
      <c r="H1586" s="2" t="s">
        <v>60</v>
      </c>
      <c r="I1586" s="3">
        <v>34189</v>
      </c>
      <c r="J1586" s="9" t="str">
        <f t="shared" ca="1" si="26"/>
        <v>30 ans</v>
      </c>
      <c r="K1586" s="2" t="s">
        <v>36</v>
      </c>
      <c r="L1586" s="2" t="str">
        <f>"48"</f>
        <v>48</v>
      </c>
      <c r="M1586" s="2"/>
      <c r="N1586" s="2" t="str">
        <f>"BOULEVARD DE SAINT CANUT"</f>
        <v>BOULEVARD DE SAINT CANUT</v>
      </c>
      <c r="O1586" s="2" t="s">
        <v>3185</v>
      </c>
      <c r="P1586" s="9" t="str">
        <f>VLOOKUP($O1586,'Liste des Villes'!$B$2:$B$1128,1,FALSE)</f>
        <v>Saint-Jérôme</v>
      </c>
      <c r="Q1586" s="9" t="str">
        <f>IFERROR($P1586,PROPER(VLOOKUP($O1586,'Villes en erreur'!$A$2:$B$72,2,FALSE)))</f>
        <v>Saint-Jérôme</v>
      </c>
      <c r="R1586" s="9" t="s">
        <v>3186</v>
      </c>
      <c r="S1586" s="9" t="str">
        <f>IF(ISBLANK($R1586),"",VLOOKUP($R1586,'Liste des Villes'!$B$2:$H$1128,4,FALSE))</f>
        <v>Laurentides</v>
      </c>
      <c r="T1586" s="2" t="s">
        <v>3358</v>
      </c>
      <c r="U1586" s="2" t="s">
        <v>39</v>
      </c>
      <c r="V1586" s="2" t="s">
        <v>40</v>
      </c>
      <c r="W1586" s="2" t="s">
        <v>7763</v>
      </c>
      <c r="X1586" s="2"/>
      <c r="Y1586" s="2"/>
      <c r="Z1586" s="2"/>
      <c r="AA1586" s="2" t="s">
        <v>3360</v>
      </c>
      <c r="AB1586" s="2" t="s">
        <v>53</v>
      </c>
      <c r="AC1586" s="4" t="s">
        <v>44</v>
      </c>
    </row>
    <row r="1587" spans="1:29" x14ac:dyDescent="0.25">
      <c r="A1587" s="1">
        <v>2530</v>
      </c>
      <c r="B1587" s="17" t="s">
        <v>7764</v>
      </c>
      <c r="C1587" s="2" t="s">
        <v>7765</v>
      </c>
      <c r="D1587" s="15" t="s">
        <v>6800</v>
      </c>
      <c r="E1587" s="9" t="s">
        <v>509</v>
      </c>
      <c r="F1587" s="9" t="s">
        <v>7766</v>
      </c>
      <c r="G1587" s="9" t="s">
        <v>664</v>
      </c>
      <c r="H1587" s="2" t="s">
        <v>60</v>
      </c>
      <c r="I1587" s="3">
        <v>35999</v>
      </c>
      <c r="J1587" s="9" t="str">
        <f t="shared" ca="1" si="26"/>
        <v>25 ans</v>
      </c>
      <c r="K1587" s="2" t="s">
        <v>123</v>
      </c>
      <c r="L1587" s="2" t="str">
        <f>"176"</f>
        <v>176</v>
      </c>
      <c r="M1587" s="2"/>
      <c r="N1587" s="2" t="str">
        <f>"PLACE DES COLVERTS"</f>
        <v>PLACE DES COLVERTS</v>
      </c>
      <c r="O1587" s="2" t="s">
        <v>3185</v>
      </c>
      <c r="P1587" s="9" t="str">
        <f>VLOOKUP($O1587,'Liste des Villes'!$B$2:$B$1128,1,FALSE)</f>
        <v>Saint-Jérôme</v>
      </c>
      <c r="Q1587" s="9" t="str">
        <f>IFERROR($P1587,PROPER(VLOOKUP($O1587,'Villes en erreur'!$A$2:$B$72,2,FALSE)))</f>
        <v>Saint-Jérôme</v>
      </c>
      <c r="R1587" s="9" t="s">
        <v>3186</v>
      </c>
      <c r="S1587" s="9" t="str">
        <f>IF(ISBLANK($R1587),"",VLOOKUP($R1587,'Liste des Villes'!$B$2:$H$1128,4,FALSE))</f>
        <v>Laurentides</v>
      </c>
      <c r="T1587" s="2" t="s">
        <v>4845</v>
      </c>
      <c r="U1587" s="2" t="s">
        <v>39</v>
      </c>
      <c r="V1587" s="2" t="s">
        <v>40</v>
      </c>
      <c r="W1587" s="2" t="s">
        <v>7767</v>
      </c>
      <c r="X1587" s="2"/>
      <c r="Y1587" s="2"/>
      <c r="Z1587" s="2"/>
      <c r="AA1587" s="2" t="s">
        <v>832</v>
      </c>
      <c r="AB1587" s="2" t="s">
        <v>3221</v>
      </c>
      <c r="AC1587" s="4" t="s">
        <v>44</v>
      </c>
    </row>
    <row r="1588" spans="1:29" x14ac:dyDescent="0.25">
      <c r="A1588" s="1">
        <v>2077</v>
      </c>
      <c r="B1588" s="17" t="s">
        <v>7768</v>
      </c>
      <c r="C1588" s="2" t="s">
        <v>7769</v>
      </c>
      <c r="D1588" s="15" t="s">
        <v>5949</v>
      </c>
      <c r="E1588" s="9" t="s">
        <v>6820</v>
      </c>
      <c r="F1588" s="9" t="s">
        <v>5948</v>
      </c>
      <c r="G1588" s="9" t="s">
        <v>3364</v>
      </c>
      <c r="H1588" s="2" t="s">
        <v>60</v>
      </c>
      <c r="I1588" s="3">
        <v>36036</v>
      </c>
      <c r="J1588" s="9" t="str">
        <f t="shared" ca="1" si="26"/>
        <v>24 ans</v>
      </c>
      <c r="K1588" s="2" t="s">
        <v>123</v>
      </c>
      <c r="L1588" s="2" t="str">
        <f>"185"</f>
        <v>185</v>
      </c>
      <c r="M1588" s="2"/>
      <c r="N1588" s="2" t="str">
        <f>"PLACE OSCAR GOYETTE"</f>
        <v>PLACE OSCAR GOYETTE</v>
      </c>
      <c r="O1588" s="2" t="s">
        <v>3185</v>
      </c>
      <c r="P1588" s="9" t="str">
        <f>VLOOKUP($O1588,'Liste des Villes'!$B$2:$B$1128,1,FALSE)</f>
        <v>Saint-Jérôme</v>
      </c>
      <c r="Q1588" s="9" t="str">
        <f>IFERROR($P1588,PROPER(VLOOKUP($O1588,'Villes en erreur'!$A$2:$B$72,2,FALSE)))</f>
        <v>Saint-Jérôme</v>
      </c>
      <c r="R1588" s="9" t="s">
        <v>3186</v>
      </c>
      <c r="S1588" s="9" t="str">
        <f>IF(ISBLANK($R1588),"",VLOOKUP($R1588,'Liste des Villes'!$B$2:$H$1128,4,FALSE))</f>
        <v>Laurentides</v>
      </c>
      <c r="T1588" s="2" t="s">
        <v>3365</v>
      </c>
      <c r="U1588" s="2" t="s">
        <v>39</v>
      </c>
      <c r="V1588" s="2" t="s">
        <v>40</v>
      </c>
      <c r="W1588" s="2" t="s">
        <v>7770</v>
      </c>
      <c r="X1588" s="2"/>
      <c r="Y1588" s="2"/>
      <c r="Z1588" s="2"/>
      <c r="AA1588" s="2" t="s">
        <v>832</v>
      </c>
      <c r="AB1588" s="2" t="s">
        <v>3221</v>
      </c>
      <c r="AC1588" s="4" t="s">
        <v>44</v>
      </c>
    </row>
    <row r="1589" spans="1:29" x14ac:dyDescent="0.25">
      <c r="A1589" s="1">
        <v>4374</v>
      </c>
      <c r="B1589" s="17" t="s">
        <v>7771</v>
      </c>
      <c r="C1589" s="2" t="s">
        <v>7772</v>
      </c>
      <c r="D1589" s="15" t="s">
        <v>7773</v>
      </c>
      <c r="E1589" s="9" t="s">
        <v>5774</v>
      </c>
      <c r="F1589" s="9" t="s">
        <v>2898</v>
      </c>
      <c r="G1589" s="9" t="s">
        <v>179</v>
      </c>
      <c r="H1589" s="2" t="s">
        <v>60</v>
      </c>
      <c r="I1589" s="3">
        <v>36133</v>
      </c>
      <c r="J1589" s="9" t="str">
        <f t="shared" ca="1" si="26"/>
        <v>24 ans</v>
      </c>
      <c r="K1589" s="2" t="s">
        <v>123</v>
      </c>
      <c r="L1589" s="2" t="str">
        <f>"218"</f>
        <v>218</v>
      </c>
      <c r="M1589" s="2"/>
      <c r="N1589" s="2" t="str">
        <f>"RUE ALAIN"</f>
        <v>RUE ALAIN</v>
      </c>
      <c r="O1589" s="2" t="s">
        <v>3185</v>
      </c>
      <c r="P1589" s="9" t="str">
        <f>VLOOKUP($O1589,'Liste des Villes'!$B$2:$B$1128,1,FALSE)</f>
        <v>Saint-Jérôme</v>
      </c>
      <c r="Q1589" s="9" t="str">
        <f>IFERROR($P1589,PROPER(VLOOKUP($O1589,'Villes en erreur'!$A$2:$B$72,2,FALSE)))</f>
        <v>Saint-Jérôme</v>
      </c>
      <c r="R1589" s="9" t="s">
        <v>3186</v>
      </c>
      <c r="S1589" s="9" t="str">
        <f>IF(ISBLANK($R1589),"",VLOOKUP($R1589,'Liste des Villes'!$B$2:$H$1128,4,FALSE))</f>
        <v>Laurentides</v>
      </c>
      <c r="T1589" s="2" t="s">
        <v>4396</v>
      </c>
      <c r="U1589" s="2" t="s">
        <v>39</v>
      </c>
      <c r="V1589" s="2" t="s">
        <v>40</v>
      </c>
      <c r="W1589" s="2" t="s">
        <v>7774</v>
      </c>
      <c r="X1589" s="2"/>
      <c r="Y1589" s="2"/>
      <c r="Z1589" s="2"/>
      <c r="AA1589" s="2" t="s">
        <v>832</v>
      </c>
      <c r="AB1589" s="2" t="s">
        <v>3221</v>
      </c>
      <c r="AC1589" s="4" t="s">
        <v>44</v>
      </c>
    </row>
    <row r="1590" spans="1:29" x14ac:dyDescent="0.25">
      <c r="A1590" s="1">
        <v>1003</v>
      </c>
      <c r="B1590" s="17" t="s">
        <v>7775</v>
      </c>
      <c r="C1590" s="2" t="s">
        <v>7776</v>
      </c>
      <c r="D1590" s="15" t="s">
        <v>719</v>
      </c>
      <c r="E1590" s="9" t="s">
        <v>7777</v>
      </c>
      <c r="F1590" s="9" t="s">
        <v>718</v>
      </c>
      <c r="G1590" s="9" t="s">
        <v>92</v>
      </c>
      <c r="H1590" s="2" t="s">
        <v>35</v>
      </c>
      <c r="I1590" s="3">
        <v>35448</v>
      </c>
      <c r="J1590" s="9" t="str">
        <f t="shared" ca="1" si="26"/>
        <v>26 ans</v>
      </c>
      <c r="K1590" s="2" t="s">
        <v>36</v>
      </c>
      <c r="L1590" s="2" t="str">
        <f>"116"</f>
        <v>116</v>
      </c>
      <c r="M1590" s="2"/>
      <c r="N1590" s="2" t="str">
        <f>"CHEMIN DU VILLAGE"</f>
        <v>CHEMIN DU VILLAGE</v>
      </c>
      <c r="O1590" s="2" t="s">
        <v>3185</v>
      </c>
      <c r="P1590" s="9" t="str">
        <f>VLOOKUP($O1590,'Liste des Villes'!$B$2:$B$1128,1,FALSE)</f>
        <v>Saint-Jérôme</v>
      </c>
      <c r="Q1590" s="9" t="str">
        <f>IFERROR($P1590,PROPER(VLOOKUP($O1590,'Villes en erreur'!$A$2:$B$72,2,FALSE)))</f>
        <v>Saint-Jérôme</v>
      </c>
      <c r="R1590" s="9" t="s">
        <v>3186</v>
      </c>
      <c r="S1590" s="9" t="str">
        <f>IF(ISBLANK($R1590),"",VLOOKUP($R1590,'Liste des Villes'!$B$2:$H$1128,4,FALSE))</f>
        <v>Laurentides</v>
      </c>
      <c r="T1590" s="2" t="s">
        <v>3369</v>
      </c>
      <c r="U1590" s="2" t="s">
        <v>39</v>
      </c>
      <c r="V1590" s="2" t="s">
        <v>40</v>
      </c>
      <c r="W1590" s="2" t="s">
        <v>7778</v>
      </c>
      <c r="X1590" s="2"/>
      <c r="Y1590" s="2"/>
      <c r="Z1590" s="2"/>
      <c r="AA1590" s="2" t="s">
        <v>3199</v>
      </c>
      <c r="AB1590" s="2" t="s">
        <v>3200</v>
      </c>
      <c r="AC1590" s="4" t="s">
        <v>44</v>
      </c>
    </row>
    <row r="1591" spans="1:29" x14ac:dyDescent="0.25">
      <c r="A1591" s="1">
        <v>537</v>
      </c>
      <c r="B1591" s="17" t="s">
        <v>7779</v>
      </c>
      <c r="C1591" s="2" t="s">
        <v>7780</v>
      </c>
      <c r="D1591" s="15" t="s">
        <v>1617</v>
      </c>
      <c r="E1591" s="9" t="s">
        <v>7781</v>
      </c>
      <c r="F1591" s="9" t="s">
        <v>246</v>
      </c>
      <c r="G1591" s="9" t="s">
        <v>7782</v>
      </c>
      <c r="H1591" s="2" t="s">
        <v>60</v>
      </c>
      <c r="I1591" s="3">
        <v>35969</v>
      </c>
      <c r="J1591" s="9" t="str">
        <f t="shared" ca="1" si="26"/>
        <v>25 ans</v>
      </c>
      <c r="K1591" s="2" t="s">
        <v>123</v>
      </c>
      <c r="L1591" s="2" t="str">
        <f>"171"</f>
        <v>171</v>
      </c>
      <c r="M1591" s="2"/>
      <c r="N1591" s="2" t="str">
        <f>"PAUL-ALBERT"</f>
        <v>PAUL-ALBERT</v>
      </c>
      <c r="O1591" s="2" t="s">
        <v>3185</v>
      </c>
      <c r="P1591" s="9" t="str">
        <f>VLOOKUP($O1591,'Liste des Villes'!$B$2:$B$1128,1,FALSE)</f>
        <v>Saint-Jérôme</v>
      </c>
      <c r="Q1591" s="9" t="str">
        <f>IFERROR($P1591,PROPER(VLOOKUP($O1591,'Villes en erreur'!$A$2:$B$72,2,FALSE)))</f>
        <v>Saint-Jérôme</v>
      </c>
      <c r="R1591" s="9" t="s">
        <v>3186</v>
      </c>
      <c r="S1591" s="9" t="str">
        <f>IF(ISBLANK($R1591),"",VLOOKUP($R1591,'Liste des Villes'!$B$2:$H$1128,4,FALSE))</f>
        <v>Laurentides</v>
      </c>
      <c r="T1591" s="2" t="s">
        <v>4244</v>
      </c>
      <c r="U1591" s="2" t="s">
        <v>39</v>
      </c>
      <c r="V1591" s="2" t="s">
        <v>40</v>
      </c>
      <c r="W1591" s="2" t="s">
        <v>7783</v>
      </c>
      <c r="X1591" s="2"/>
      <c r="Y1591" s="2"/>
      <c r="Z1591" s="2"/>
      <c r="AA1591" s="2" t="s">
        <v>832</v>
      </c>
      <c r="AB1591" s="2" t="s">
        <v>3221</v>
      </c>
      <c r="AC1591" s="4" t="s">
        <v>44</v>
      </c>
    </row>
    <row r="1592" spans="1:29" x14ac:dyDescent="0.25">
      <c r="A1592" s="1">
        <v>951</v>
      </c>
      <c r="B1592" s="17" t="s">
        <v>7784</v>
      </c>
      <c r="C1592" s="2" t="s">
        <v>170</v>
      </c>
      <c r="D1592" s="15" t="s">
        <v>171</v>
      </c>
      <c r="E1592" s="9" t="s">
        <v>172</v>
      </c>
      <c r="F1592" s="9" t="s">
        <v>173</v>
      </c>
      <c r="G1592" s="9" t="s">
        <v>7313</v>
      </c>
      <c r="H1592" s="2" t="s">
        <v>60</v>
      </c>
      <c r="I1592" s="3">
        <v>36039</v>
      </c>
      <c r="J1592" s="9" t="str">
        <f t="shared" ca="1" si="26"/>
        <v>24 ans</v>
      </c>
      <c r="K1592" s="2" t="s">
        <v>123</v>
      </c>
      <c r="L1592" s="2" t="str">
        <f>"186"</f>
        <v>186</v>
      </c>
      <c r="M1592" s="2"/>
      <c r="N1592" s="2" t="str">
        <f>"PLACE PRESSEAULT"</f>
        <v>PLACE PRESSEAULT</v>
      </c>
      <c r="O1592" s="2" t="s">
        <v>3185</v>
      </c>
      <c r="P1592" s="9" t="str">
        <f>VLOOKUP($O1592,'Liste des Villes'!$B$2:$B$1128,1,FALSE)</f>
        <v>Saint-Jérôme</v>
      </c>
      <c r="Q1592" s="9" t="str">
        <f>IFERROR($P1592,PROPER(VLOOKUP($O1592,'Villes en erreur'!$A$2:$B$72,2,FALSE)))</f>
        <v>Saint-Jérôme</v>
      </c>
      <c r="R1592" s="9" t="s">
        <v>3186</v>
      </c>
      <c r="S1592" s="9" t="str">
        <f>IF(ISBLANK($R1592),"",VLOOKUP($R1592,'Liste des Villes'!$B$2:$H$1128,4,FALSE))</f>
        <v>Laurentides</v>
      </c>
      <c r="T1592" s="2" t="s">
        <v>3365</v>
      </c>
      <c r="U1592" s="2" t="s">
        <v>39</v>
      </c>
      <c r="V1592" s="2" t="s">
        <v>40</v>
      </c>
      <c r="W1592" s="2" t="s">
        <v>7785</v>
      </c>
      <c r="X1592" s="2"/>
      <c r="Y1592" s="2"/>
      <c r="Z1592" s="2"/>
      <c r="AA1592" s="2" t="s">
        <v>832</v>
      </c>
      <c r="AB1592" s="2" t="s">
        <v>3221</v>
      </c>
      <c r="AC1592" s="4" t="s">
        <v>44</v>
      </c>
    </row>
    <row r="1593" spans="1:29" x14ac:dyDescent="0.25">
      <c r="A1593" s="1">
        <v>4396</v>
      </c>
      <c r="B1593" s="17" t="s">
        <v>7786</v>
      </c>
      <c r="C1593" s="2" t="s">
        <v>7787</v>
      </c>
      <c r="D1593" s="15" t="s">
        <v>7788</v>
      </c>
      <c r="E1593" s="9" t="s">
        <v>7789</v>
      </c>
      <c r="F1593" s="9" t="s">
        <v>1489</v>
      </c>
      <c r="G1593" s="9" t="s">
        <v>179</v>
      </c>
      <c r="H1593" s="2" t="s">
        <v>60</v>
      </c>
      <c r="I1593" s="3">
        <v>36124</v>
      </c>
      <c r="J1593" s="9" t="str">
        <f t="shared" ca="1" si="26"/>
        <v>24 ans</v>
      </c>
      <c r="K1593" s="2" t="s">
        <v>123</v>
      </c>
      <c r="L1593" s="2" t="str">
        <f>"215"</f>
        <v>215</v>
      </c>
      <c r="M1593" s="2"/>
      <c r="N1593" s="2" t="str">
        <f>"Rue  du Massif"</f>
        <v>Rue  du Massif</v>
      </c>
      <c r="O1593" s="2" t="s">
        <v>3185</v>
      </c>
      <c r="P1593" s="9" t="str">
        <f>VLOOKUP($O1593,'Liste des Villes'!$B$2:$B$1128,1,FALSE)</f>
        <v>Saint-Jérôme</v>
      </c>
      <c r="Q1593" s="9" t="str">
        <f>IFERROR($P1593,PROPER(VLOOKUP($O1593,'Villes en erreur'!$A$2:$B$72,2,FALSE)))</f>
        <v>Saint-Jérôme</v>
      </c>
      <c r="R1593" s="9" t="s">
        <v>3186</v>
      </c>
      <c r="S1593" s="9" t="str">
        <f>IF(ISBLANK($R1593),"",VLOOKUP($R1593,'Liste des Villes'!$B$2:$H$1128,4,FALSE))</f>
        <v>Laurentides</v>
      </c>
      <c r="T1593" s="2" t="s">
        <v>5330</v>
      </c>
      <c r="U1593" s="2" t="s">
        <v>39</v>
      </c>
      <c r="V1593" s="2" t="s">
        <v>40</v>
      </c>
      <c r="W1593" s="2" t="s">
        <v>7790</v>
      </c>
      <c r="X1593" s="2"/>
      <c r="Y1593" s="2"/>
      <c r="Z1593" s="2"/>
      <c r="AA1593" s="2" t="s">
        <v>832</v>
      </c>
      <c r="AB1593" s="2" t="s">
        <v>3221</v>
      </c>
      <c r="AC1593" s="4" t="s">
        <v>44</v>
      </c>
    </row>
    <row r="1594" spans="1:29" x14ac:dyDescent="0.25">
      <c r="A1594" s="1">
        <v>255</v>
      </c>
      <c r="B1594" s="17" t="s">
        <v>7791</v>
      </c>
      <c r="C1594" s="2" t="s">
        <v>7792</v>
      </c>
      <c r="D1594" s="15" t="s">
        <v>7793</v>
      </c>
      <c r="E1594" s="9" t="s">
        <v>7794</v>
      </c>
      <c r="F1594" s="9" t="s">
        <v>7795</v>
      </c>
      <c r="G1594" s="9" t="s">
        <v>114</v>
      </c>
      <c r="H1594" s="2" t="s">
        <v>60</v>
      </c>
      <c r="I1594" s="3">
        <v>36249</v>
      </c>
      <c r="J1594" s="9" t="str">
        <f t="shared" ca="1" si="26"/>
        <v>24 ans</v>
      </c>
      <c r="K1594" s="2" t="s">
        <v>123</v>
      </c>
      <c r="L1594" s="2" t="str">
        <f>"266"</f>
        <v>266</v>
      </c>
      <c r="M1594" s="2"/>
      <c r="N1594" s="2" t="str">
        <f>"RUE BELLEROSE"</f>
        <v>RUE BELLEROSE</v>
      </c>
      <c r="O1594" s="2" t="s">
        <v>3185</v>
      </c>
      <c r="P1594" s="9" t="str">
        <f>VLOOKUP($O1594,'Liste des Villes'!$B$2:$B$1128,1,FALSE)</f>
        <v>Saint-Jérôme</v>
      </c>
      <c r="Q1594" s="9" t="str">
        <f>IFERROR($P1594,PROPER(VLOOKUP($O1594,'Villes en erreur'!$A$2:$B$72,2,FALSE)))</f>
        <v>Saint-Jérôme</v>
      </c>
      <c r="R1594" s="9" t="s">
        <v>3186</v>
      </c>
      <c r="S1594" s="9" t="str">
        <f>IF(ISBLANK($R1594),"",VLOOKUP($R1594,'Liste des Villes'!$B$2:$H$1128,4,FALSE))</f>
        <v>Laurentides</v>
      </c>
      <c r="T1594" s="2" t="s">
        <v>6016</v>
      </c>
      <c r="U1594" s="2" t="s">
        <v>39</v>
      </c>
      <c r="V1594" s="2" t="s">
        <v>40</v>
      </c>
      <c r="W1594" s="2" t="s">
        <v>7796</v>
      </c>
      <c r="X1594" s="2"/>
      <c r="Y1594" s="2"/>
      <c r="Z1594" s="2"/>
      <c r="AA1594" s="2" t="s">
        <v>832</v>
      </c>
      <c r="AB1594" s="2" t="s">
        <v>73</v>
      </c>
      <c r="AC1594" s="4" t="s">
        <v>44</v>
      </c>
    </row>
    <row r="1595" spans="1:29" x14ac:dyDescent="0.25">
      <c r="A1595" s="1">
        <v>3126</v>
      </c>
      <c r="B1595" s="17" t="s">
        <v>7797</v>
      </c>
      <c r="C1595" s="2" t="s">
        <v>7798</v>
      </c>
      <c r="D1595" s="15" t="s">
        <v>7799</v>
      </c>
      <c r="E1595" s="9" t="s">
        <v>985</v>
      </c>
      <c r="F1595" s="9" t="s">
        <v>7800</v>
      </c>
      <c r="G1595" s="9" t="s">
        <v>1397</v>
      </c>
      <c r="H1595" s="2" t="s">
        <v>60</v>
      </c>
      <c r="I1595" s="3">
        <v>35198</v>
      </c>
      <c r="J1595" s="9" t="str">
        <f t="shared" ca="1" si="26"/>
        <v>27 ans</v>
      </c>
      <c r="K1595" s="2" t="s">
        <v>36</v>
      </c>
      <c r="L1595" s="2" t="str">
        <f>"104"</f>
        <v>104</v>
      </c>
      <c r="M1595" s="2"/>
      <c r="N1595" s="2" t="str">
        <f>"CH SINCLAIR"</f>
        <v>CH SINCLAIR</v>
      </c>
      <c r="O1595" s="2" t="s">
        <v>3185</v>
      </c>
      <c r="P1595" s="9" t="str">
        <f>VLOOKUP($O1595,'Liste des Villes'!$B$2:$B$1128,1,FALSE)</f>
        <v>Saint-Jérôme</v>
      </c>
      <c r="Q1595" s="9" t="str">
        <f>IFERROR($P1595,PROPER(VLOOKUP($O1595,'Villes en erreur'!$A$2:$B$72,2,FALSE)))</f>
        <v>Saint-Jérôme</v>
      </c>
      <c r="R1595" s="9" t="s">
        <v>3186</v>
      </c>
      <c r="S1595" s="9" t="str">
        <f>IF(ISBLANK($R1595),"",VLOOKUP($R1595,'Liste des Villes'!$B$2:$H$1128,4,FALSE))</f>
        <v>Laurentides</v>
      </c>
      <c r="T1595" s="2" t="s">
        <v>3187</v>
      </c>
      <c r="U1595" s="2" t="s">
        <v>39</v>
      </c>
      <c r="V1595" s="2" t="s">
        <v>40</v>
      </c>
      <c r="W1595" s="2" t="s">
        <v>7801</v>
      </c>
      <c r="X1595" s="2"/>
      <c r="Y1595" s="2"/>
      <c r="Z1595" s="2"/>
      <c r="AA1595" s="2" t="s">
        <v>3189</v>
      </c>
      <c r="AB1595" s="2" t="s">
        <v>3190</v>
      </c>
      <c r="AC1595" s="4" t="s">
        <v>44</v>
      </c>
    </row>
    <row r="1596" spans="1:29" x14ac:dyDescent="0.25">
      <c r="A1596" s="1">
        <v>2781</v>
      </c>
      <c r="B1596" s="17" t="s">
        <v>7802</v>
      </c>
      <c r="C1596" s="2" t="s">
        <v>7803</v>
      </c>
      <c r="D1596" s="15" t="s">
        <v>2474</v>
      </c>
      <c r="E1596" s="9" t="s">
        <v>7804</v>
      </c>
      <c r="F1596" s="9" t="s">
        <v>3161</v>
      </c>
      <c r="G1596" s="9" t="s">
        <v>1037</v>
      </c>
      <c r="H1596" s="2" t="s">
        <v>35</v>
      </c>
      <c r="I1596" s="3">
        <v>36064</v>
      </c>
      <c r="J1596" s="9" t="str">
        <f t="shared" ca="1" si="26"/>
        <v>24 ans</v>
      </c>
      <c r="K1596" s="2" t="s">
        <v>123</v>
      </c>
      <c r="L1596" s="2" t="str">
        <f>"194"</f>
        <v>194</v>
      </c>
      <c r="M1596" s="2"/>
      <c r="N1596" s="2" t="str">
        <f>"RANG DES PINS"</f>
        <v>RANG DES PINS</v>
      </c>
      <c r="O1596" s="2" t="s">
        <v>3185</v>
      </c>
      <c r="P1596" s="9" t="str">
        <f>VLOOKUP($O1596,'Liste des Villes'!$B$2:$B$1128,1,FALSE)</f>
        <v>Saint-Jérôme</v>
      </c>
      <c r="Q1596" s="9" t="str">
        <f>IFERROR($P1596,PROPER(VLOOKUP($O1596,'Villes en erreur'!$A$2:$B$72,2,FALSE)))</f>
        <v>Saint-Jérôme</v>
      </c>
      <c r="R1596" s="9" t="s">
        <v>3186</v>
      </c>
      <c r="S1596" s="9" t="str">
        <f>IF(ISBLANK($R1596),"",VLOOKUP($R1596,'Liste des Villes'!$B$2:$H$1128,4,FALSE))</f>
        <v>Laurentides</v>
      </c>
      <c r="T1596" s="2" t="s">
        <v>7805</v>
      </c>
      <c r="U1596" s="2" t="s">
        <v>39</v>
      </c>
      <c r="V1596" s="2" t="s">
        <v>40</v>
      </c>
      <c r="W1596" s="2" t="s">
        <v>7806</v>
      </c>
      <c r="X1596" s="2"/>
      <c r="Y1596" s="2"/>
      <c r="Z1596" s="2"/>
      <c r="AA1596" s="2" t="s">
        <v>832</v>
      </c>
      <c r="AB1596" s="2" t="s">
        <v>3221</v>
      </c>
      <c r="AC1596" s="4" t="s">
        <v>44</v>
      </c>
    </row>
    <row r="1597" spans="1:29" x14ac:dyDescent="0.25">
      <c r="A1597" s="1">
        <v>442</v>
      </c>
      <c r="B1597" s="17" t="s">
        <v>7807</v>
      </c>
      <c r="C1597" s="2" t="s">
        <v>5952</v>
      </c>
      <c r="D1597" s="15" t="s">
        <v>5727</v>
      </c>
      <c r="E1597" s="9" t="s">
        <v>1024</v>
      </c>
      <c r="F1597" s="9" t="s">
        <v>5726</v>
      </c>
      <c r="G1597" s="9" t="s">
        <v>495</v>
      </c>
      <c r="H1597" s="2" t="s">
        <v>35</v>
      </c>
      <c r="I1597" s="3">
        <v>34540</v>
      </c>
      <c r="J1597" s="9" t="str">
        <f t="shared" ca="1" si="26"/>
        <v>29 ans</v>
      </c>
      <c r="K1597" s="2" t="s">
        <v>36</v>
      </c>
      <c r="L1597" s="2" t="str">
        <f>"65"</f>
        <v>65</v>
      </c>
      <c r="M1597" s="2"/>
      <c r="N1597" s="2" t="str">
        <f>"CH DE LA CITÉ-DES-JEUNES"</f>
        <v>CH DE LA CITÉ-DES-JEUNES</v>
      </c>
      <c r="O1597" s="2" t="s">
        <v>3185</v>
      </c>
      <c r="P1597" s="9" t="str">
        <f>VLOOKUP($O1597,'Liste des Villes'!$B$2:$B$1128,1,FALSE)</f>
        <v>Saint-Jérôme</v>
      </c>
      <c r="Q1597" s="9" t="str">
        <f>IFERROR($P1597,PROPER(VLOOKUP($O1597,'Villes en erreur'!$A$2:$B$72,2,FALSE)))</f>
        <v>Saint-Jérôme</v>
      </c>
      <c r="R1597" s="9" t="s">
        <v>3186</v>
      </c>
      <c r="S1597" s="9" t="str">
        <f>IF(ISBLANK($R1597),"",VLOOKUP($R1597,'Liste des Villes'!$B$2:$H$1128,4,FALSE))</f>
        <v>Laurentides</v>
      </c>
      <c r="T1597" s="2" t="s">
        <v>3954</v>
      </c>
      <c r="U1597" s="2" t="s">
        <v>39</v>
      </c>
      <c r="V1597" s="2" t="s">
        <v>40</v>
      </c>
      <c r="W1597" s="2" t="s">
        <v>7808</v>
      </c>
      <c r="X1597" s="2"/>
      <c r="Y1597" s="2"/>
      <c r="Z1597" s="2"/>
      <c r="AA1597" s="2" t="s">
        <v>3225</v>
      </c>
      <c r="AB1597" s="2" t="s">
        <v>53</v>
      </c>
      <c r="AC1597" s="4" t="s">
        <v>44</v>
      </c>
    </row>
    <row r="1598" spans="1:29" x14ac:dyDescent="0.25">
      <c r="A1598" s="1">
        <v>1239</v>
      </c>
      <c r="B1598" s="17" t="s">
        <v>7809</v>
      </c>
      <c r="C1598" s="2" t="s">
        <v>7810</v>
      </c>
      <c r="D1598" s="15" t="s">
        <v>2979</v>
      </c>
      <c r="E1598" s="9" t="s">
        <v>7811</v>
      </c>
      <c r="F1598" s="9" t="s">
        <v>2977</v>
      </c>
      <c r="G1598" s="9" t="s">
        <v>2334</v>
      </c>
      <c r="H1598" s="2" t="s">
        <v>60</v>
      </c>
      <c r="I1598" s="3">
        <v>35954</v>
      </c>
      <c r="J1598" s="9" t="str">
        <f t="shared" ca="1" si="26"/>
        <v>25 ans</v>
      </c>
      <c r="K1598" s="2" t="s">
        <v>123</v>
      </c>
      <c r="L1598" s="2" t="str">
        <f>"169"</f>
        <v>169</v>
      </c>
      <c r="M1598" s="2"/>
      <c r="N1598" s="2" t="str">
        <f>"MONTÉE SAINTE-THÉRÈSE"</f>
        <v>MONTÉE SAINTE-THÉRÈSE</v>
      </c>
      <c r="O1598" s="2" t="s">
        <v>3185</v>
      </c>
      <c r="P1598" s="9" t="str">
        <f>VLOOKUP($O1598,'Liste des Villes'!$B$2:$B$1128,1,FALSE)</f>
        <v>Saint-Jérôme</v>
      </c>
      <c r="Q1598" s="9" t="str">
        <f>IFERROR($P1598,PROPER(VLOOKUP($O1598,'Villes en erreur'!$A$2:$B$72,2,FALSE)))</f>
        <v>Saint-Jérôme</v>
      </c>
      <c r="R1598" s="9" t="s">
        <v>3186</v>
      </c>
      <c r="S1598" s="9" t="str">
        <f>IF(ISBLANK($R1598),"",VLOOKUP($R1598,'Liste des Villes'!$B$2:$H$1128,4,FALSE))</f>
        <v>Laurentides</v>
      </c>
      <c r="T1598" s="2" t="s">
        <v>4723</v>
      </c>
      <c r="U1598" s="2" t="s">
        <v>39</v>
      </c>
      <c r="V1598" s="2" t="s">
        <v>40</v>
      </c>
      <c r="W1598" s="2" t="s">
        <v>7812</v>
      </c>
      <c r="X1598" s="2"/>
      <c r="Y1598" s="2"/>
      <c r="Z1598" s="2"/>
      <c r="AA1598" s="2" t="s">
        <v>832</v>
      </c>
      <c r="AB1598" s="2" t="s">
        <v>3221</v>
      </c>
      <c r="AC1598" s="4" t="s">
        <v>44</v>
      </c>
    </row>
    <row r="1599" spans="1:29" x14ac:dyDescent="0.25">
      <c r="A1599" s="1">
        <v>4397</v>
      </c>
      <c r="B1599" s="17" t="s">
        <v>7813</v>
      </c>
      <c r="C1599" s="2" t="s">
        <v>7814</v>
      </c>
      <c r="D1599" s="15" t="s">
        <v>7000</v>
      </c>
      <c r="E1599" s="9" t="s">
        <v>1024</v>
      </c>
      <c r="F1599" s="9" t="s">
        <v>5726</v>
      </c>
      <c r="G1599" s="9" t="s">
        <v>332</v>
      </c>
      <c r="H1599" s="2" t="s">
        <v>60</v>
      </c>
      <c r="I1599" s="3">
        <v>35570</v>
      </c>
      <c r="J1599" s="9" t="str">
        <f t="shared" ca="1" si="26"/>
        <v>26 ans</v>
      </c>
      <c r="K1599" s="2" t="s">
        <v>36</v>
      </c>
      <c r="L1599" s="2" t="str">
        <f>"125"</f>
        <v>125</v>
      </c>
      <c r="M1599" s="2"/>
      <c r="N1599" s="2" t="str">
        <f>"CROIS DU LUPIN"</f>
        <v>CROIS DU LUPIN</v>
      </c>
      <c r="O1599" s="2" t="s">
        <v>3185</v>
      </c>
      <c r="P1599" s="9" t="str">
        <f>VLOOKUP($O1599,'Liste des Villes'!$B$2:$B$1128,1,FALSE)</f>
        <v>Saint-Jérôme</v>
      </c>
      <c r="Q1599" s="9" t="str">
        <f>IFERROR($P1599,PROPER(VLOOKUP($O1599,'Villes en erreur'!$A$2:$B$72,2,FALSE)))</f>
        <v>Saint-Jérôme</v>
      </c>
      <c r="R1599" s="9" t="s">
        <v>3186</v>
      </c>
      <c r="S1599" s="9" t="str">
        <f>IF(ISBLANK($R1599),"",VLOOKUP($R1599,'Liste des Villes'!$B$2:$H$1128,4,FALSE))</f>
        <v>Laurentides</v>
      </c>
      <c r="T1599" s="2" t="s">
        <v>3740</v>
      </c>
      <c r="U1599" s="2" t="s">
        <v>39</v>
      </c>
      <c r="V1599" s="2" t="s">
        <v>40</v>
      </c>
      <c r="W1599" s="2" t="s">
        <v>7815</v>
      </c>
      <c r="X1599" s="2"/>
      <c r="Y1599" s="2"/>
      <c r="Z1599" s="2"/>
      <c r="AA1599" s="2" t="s">
        <v>3199</v>
      </c>
      <c r="AB1599" s="2" t="s">
        <v>3221</v>
      </c>
      <c r="AC1599" s="4" t="s">
        <v>44</v>
      </c>
    </row>
    <row r="1600" spans="1:29" x14ac:dyDescent="0.25">
      <c r="A1600" s="1">
        <v>1720</v>
      </c>
      <c r="B1600" s="17" t="s">
        <v>7816</v>
      </c>
      <c r="C1600" s="2" t="s">
        <v>7817</v>
      </c>
      <c r="D1600" s="15" t="s">
        <v>7818</v>
      </c>
      <c r="E1600" s="9" t="s">
        <v>381</v>
      </c>
      <c r="F1600" s="9" t="s">
        <v>719</v>
      </c>
      <c r="G1600" s="9" t="s">
        <v>996</v>
      </c>
      <c r="H1600" s="2" t="s">
        <v>60</v>
      </c>
      <c r="I1600" s="3">
        <v>35027</v>
      </c>
      <c r="J1600" s="9" t="str">
        <f t="shared" ca="1" si="26"/>
        <v>27 ans</v>
      </c>
      <c r="K1600" s="2" t="s">
        <v>36</v>
      </c>
      <c r="L1600" s="2" t="str">
        <f>"95"</f>
        <v>95</v>
      </c>
      <c r="M1600" s="2"/>
      <c r="N1600" s="2" t="str">
        <f>"CH DU LAC-RENAUD"</f>
        <v>CH DU LAC-RENAUD</v>
      </c>
      <c r="O1600" s="2" t="s">
        <v>3185</v>
      </c>
      <c r="P1600" s="9" t="str">
        <f>VLOOKUP($O1600,'Liste des Villes'!$B$2:$B$1128,1,FALSE)</f>
        <v>Saint-Jérôme</v>
      </c>
      <c r="Q1600" s="9" t="str">
        <f>IFERROR($P1600,PROPER(VLOOKUP($O1600,'Villes en erreur'!$A$2:$B$72,2,FALSE)))</f>
        <v>Saint-Jérôme</v>
      </c>
      <c r="R1600" s="9" t="s">
        <v>3186</v>
      </c>
      <c r="S1600" s="9" t="str">
        <f>IF(ISBLANK($R1600),"",VLOOKUP($R1600,'Liste des Villes'!$B$2:$H$1128,4,FALSE))</f>
        <v>Laurentides</v>
      </c>
      <c r="T1600" s="2" t="s">
        <v>3187</v>
      </c>
      <c r="U1600" s="2" t="s">
        <v>39</v>
      </c>
      <c r="V1600" s="2" t="s">
        <v>40</v>
      </c>
      <c r="W1600" s="2" t="s">
        <v>7819</v>
      </c>
      <c r="X1600" s="2"/>
      <c r="Y1600" s="2"/>
      <c r="Z1600" s="2"/>
      <c r="AA1600" s="2" t="s">
        <v>3189</v>
      </c>
      <c r="AB1600" s="2" t="s">
        <v>53</v>
      </c>
      <c r="AC1600" s="4" t="s">
        <v>44</v>
      </c>
    </row>
    <row r="1601" spans="1:29" x14ac:dyDescent="0.25">
      <c r="A1601" s="1">
        <v>411</v>
      </c>
      <c r="B1601" s="17" t="s">
        <v>7820</v>
      </c>
      <c r="C1601" s="2" t="s">
        <v>4278</v>
      </c>
      <c r="D1601" s="15" t="s">
        <v>4066</v>
      </c>
      <c r="E1601" s="9" t="s">
        <v>167</v>
      </c>
      <c r="F1601" s="9" t="s">
        <v>6422</v>
      </c>
      <c r="G1601" s="9" t="s">
        <v>2635</v>
      </c>
      <c r="H1601" s="2" t="s">
        <v>60</v>
      </c>
      <c r="I1601" s="3">
        <v>35766</v>
      </c>
      <c r="J1601" s="9" t="str">
        <f t="shared" ca="1" si="26"/>
        <v>25 ans</v>
      </c>
      <c r="K1601" s="2" t="s">
        <v>123</v>
      </c>
      <c r="L1601" s="2" t="str">
        <f>"140"</f>
        <v>140</v>
      </c>
      <c r="M1601" s="2"/>
      <c r="N1601" s="2" t="str">
        <f>"FÉLIX-ANTOINE-SAVARD"</f>
        <v>FÉLIX-ANTOINE-SAVARD</v>
      </c>
      <c r="O1601" s="2" t="s">
        <v>3185</v>
      </c>
      <c r="P1601" s="9" t="str">
        <f>VLOOKUP($O1601,'Liste des Villes'!$B$2:$B$1128,1,FALSE)</f>
        <v>Saint-Jérôme</v>
      </c>
      <c r="Q1601" s="9" t="str">
        <f>IFERROR($P1601,PROPER(VLOOKUP($O1601,'Villes en erreur'!$A$2:$B$72,2,FALSE)))</f>
        <v>Saint-Jérôme</v>
      </c>
      <c r="R1601" s="9" t="s">
        <v>3186</v>
      </c>
      <c r="S1601" s="9" t="str">
        <f>IF(ISBLANK($R1601),"",VLOOKUP($R1601,'Liste des Villes'!$B$2:$H$1128,4,FALSE))</f>
        <v>Laurentides</v>
      </c>
      <c r="T1601" s="2" t="s">
        <v>7821</v>
      </c>
      <c r="U1601" s="2" t="s">
        <v>39</v>
      </c>
      <c r="V1601" s="2" t="s">
        <v>40</v>
      </c>
      <c r="W1601" s="2" t="s">
        <v>7822</v>
      </c>
      <c r="X1601" s="2"/>
      <c r="Y1601" s="2"/>
      <c r="Z1601" s="2"/>
      <c r="AA1601" s="2" t="s">
        <v>3243</v>
      </c>
      <c r="AB1601" s="2" t="s">
        <v>3221</v>
      </c>
      <c r="AC1601" s="4" t="s">
        <v>44</v>
      </c>
    </row>
    <row r="1602" spans="1:29" x14ac:dyDescent="0.25">
      <c r="A1602" s="1">
        <v>1248</v>
      </c>
      <c r="B1602" s="17" t="s">
        <v>7823</v>
      </c>
      <c r="C1602" s="2" t="s">
        <v>1292</v>
      </c>
      <c r="D1602" s="15" t="s">
        <v>1293</v>
      </c>
      <c r="E1602" s="9" t="s">
        <v>450</v>
      </c>
      <c r="F1602" s="9" t="s">
        <v>1294</v>
      </c>
      <c r="G1602" s="9" t="s">
        <v>2334</v>
      </c>
      <c r="H1602" s="2" t="s">
        <v>60</v>
      </c>
      <c r="I1602" s="3">
        <v>35953</v>
      </c>
      <c r="J1602" s="9" t="str">
        <f t="shared" ref="J1602:J1665" ca="1" si="27">_xlfn.CONCAT(INT((TODAY()-$I1602)/365.25)," ans")</f>
        <v>25 ans</v>
      </c>
      <c r="K1602" s="2" t="s">
        <v>123</v>
      </c>
      <c r="L1602" s="2" t="str">
        <f>"169"</f>
        <v>169</v>
      </c>
      <c r="M1602" s="2"/>
      <c r="N1602" s="2" t="str">
        <f>"MONTÉE SAINTE-THÉRÈSE"</f>
        <v>MONTÉE SAINTE-THÉRÈSE</v>
      </c>
      <c r="O1602" s="2" t="s">
        <v>3185</v>
      </c>
      <c r="P1602" s="9" t="str">
        <f>VLOOKUP($O1602,'Liste des Villes'!$B$2:$B$1128,1,FALSE)</f>
        <v>Saint-Jérôme</v>
      </c>
      <c r="Q1602" s="9" t="str">
        <f>IFERROR($P1602,PROPER(VLOOKUP($O1602,'Villes en erreur'!$A$2:$B$72,2,FALSE)))</f>
        <v>Saint-Jérôme</v>
      </c>
      <c r="R1602" s="9" t="s">
        <v>3186</v>
      </c>
      <c r="S1602" s="9" t="str">
        <f>IF(ISBLANK($R1602),"",VLOOKUP($R1602,'Liste des Villes'!$B$2:$H$1128,4,FALSE))</f>
        <v>Laurentides</v>
      </c>
      <c r="T1602" s="2" t="s">
        <v>4723</v>
      </c>
      <c r="U1602" s="2" t="s">
        <v>39</v>
      </c>
      <c r="V1602" s="2" t="s">
        <v>40</v>
      </c>
      <c r="W1602" s="2" t="s">
        <v>7824</v>
      </c>
      <c r="X1602" s="2"/>
      <c r="Y1602" s="2"/>
      <c r="Z1602" s="2"/>
      <c r="AA1602" s="2" t="s">
        <v>832</v>
      </c>
      <c r="AB1602" s="2" t="s">
        <v>3221</v>
      </c>
      <c r="AC1602" s="4" t="s">
        <v>44</v>
      </c>
    </row>
    <row r="1603" spans="1:29" x14ac:dyDescent="0.25">
      <c r="A1603" s="1">
        <v>3745</v>
      </c>
      <c r="B1603" s="17" t="s">
        <v>7825</v>
      </c>
      <c r="C1603" s="2" t="s">
        <v>1869</v>
      </c>
      <c r="D1603" s="15" t="s">
        <v>1870</v>
      </c>
      <c r="E1603" s="9" t="s">
        <v>1560</v>
      </c>
      <c r="F1603" s="9" t="s">
        <v>3659</v>
      </c>
      <c r="G1603" s="9" t="s">
        <v>643</v>
      </c>
      <c r="H1603" s="2" t="s">
        <v>60</v>
      </c>
      <c r="I1603" s="3">
        <v>34944</v>
      </c>
      <c r="J1603" s="9" t="str">
        <f t="shared" ca="1" si="27"/>
        <v>27 ans</v>
      </c>
      <c r="K1603" s="2" t="s">
        <v>36</v>
      </c>
      <c r="L1603" s="2" t="str">
        <f>"86"</f>
        <v>86</v>
      </c>
      <c r="M1603" s="2"/>
      <c r="N1603" s="2" t="str">
        <f>"CH DU FAISAN"</f>
        <v>CH DU FAISAN</v>
      </c>
      <c r="O1603" s="2" t="s">
        <v>3185</v>
      </c>
      <c r="P1603" s="9" t="str">
        <f>VLOOKUP($O1603,'Liste des Villes'!$B$2:$B$1128,1,FALSE)</f>
        <v>Saint-Jérôme</v>
      </c>
      <c r="Q1603" s="9" t="str">
        <f>IFERROR($P1603,PROPER(VLOOKUP($O1603,'Villes en erreur'!$A$2:$B$72,2,FALSE)))</f>
        <v>Saint-Jérôme</v>
      </c>
      <c r="R1603" s="9" t="s">
        <v>3186</v>
      </c>
      <c r="S1603" s="9" t="str">
        <f>IF(ISBLANK($R1603),"",VLOOKUP($R1603,'Liste des Villes'!$B$2:$H$1128,4,FALSE))</f>
        <v>Laurentides</v>
      </c>
      <c r="T1603" s="2" t="s">
        <v>3187</v>
      </c>
      <c r="U1603" s="2" t="s">
        <v>39</v>
      </c>
      <c r="V1603" s="2" t="s">
        <v>40</v>
      </c>
      <c r="W1603" s="2" t="s">
        <v>7826</v>
      </c>
      <c r="X1603" s="2"/>
      <c r="Y1603" s="2"/>
      <c r="Z1603" s="2"/>
      <c r="AA1603" s="2" t="s">
        <v>3231</v>
      </c>
      <c r="AB1603" s="2" t="s">
        <v>53</v>
      </c>
      <c r="AC1603" s="4" t="s">
        <v>44</v>
      </c>
    </row>
    <row r="1604" spans="1:29" x14ac:dyDescent="0.25">
      <c r="A1604" s="1">
        <v>1286</v>
      </c>
      <c r="B1604" s="17" t="s">
        <v>7827</v>
      </c>
      <c r="C1604" s="2" t="s">
        <v>7828</v>
      </c>
      <c r="D1604" s="15" t="s">
        <v>246</v>
      </c>
      <c r="E1604" s="9" t="s">
        <v>6304</v>
      </c>
      <c r="F1604" s="9" t="s">
        <v>1617</v>
      </c>
      <c r="G1604" s="9" t="s">
        <v>495</v>
      </c>
      <c r="H1604" s="2" t="s">
        <v>35</v>
      </c>
      <c r="I1604" s="3">
        <v>34660</v>
      </c>
      <c r="J1604" s="9" t="str">
        <f t="shared" ca="1" si="27"/>
        <v>28 ans</v>
      </c>
      <c r="K1604" s="2" t="s">
        <v>36</v>
      </c>
      <c r="L1604" s="2" t="str">
        <f>"69"</f>
        <v>69</v>
      </c>
      <c r="M1604" s="2"/>
      <c r="N1604" s="2" t="str">
        <f>"CH DE LA REINE"</f>
        <v>CH DE LA REINE</v>
      </c>
      <c r="O1604" s="2" t="s">
        <v>3185</v>
      </c>
      <c r="P1604" s="9" t="str">
        <f>VLOOKUP($O1604,'Liste des Villes'!$B$2:$B$1128,1,FALSE)</f>
        <v>Saint-Jérôme</v>
      </c>
      <c r="Q1604" s="9" t="str">
        <f>IFERROR($P1604,PROPER(VLOOKUP($O1604,'Villes en erreur'!$A$2:$B$72,2,FALSE)))</f>
        <v>Saint-Jérôme</v>
      </c>
      <c r="R1604" s="9" t="s">
        <v>3186</v>
      </c>
      <c r="S1604" s="9" t="str">
        <f>IF(ISBLANK($R1604),"",VLOOKUP($R1604,'Liste des Villes'!$B$2:$H$1128,4,FALSE))</f>
        <v>Laurentides</v>
      </c>
      <c r="T1604" s="2" t="s">
        <v>3223</v>
      </c>
      <c r="U1604" s="2" t="s">
        <v>39</v>
      </c>
      <c r="V1604" s="2" t="s">
        <v>40</v>
      </c>
      <c r="W1604" s="2" t="s">
        <v>7829</v>
      </c>
      <c r="X1604" s="2"/>
      <c r="Y1604" s="2"/>
      <c r="Z1604" s="2"/>
      <c r="AA1604" s="2" t="s">
        <v>3225</v>
      </c>
      <c r="AB1604" s="2" t="s">
        <v>53</v>
      </c>
      <c r="AC1604" s="4" t="s">
        <v>44</v>
      </c>
    </row>
    <row r="1605" spans="1:29" x14ac:dyDescent="0.25">
      <c r="A1605" s="1">
        <v>2970</v>
      </c>
      <c r="B1605" s="17" t="s">
        <v>7830</v>
      </c>
      <c r="C1605" s="2" t="s">
        <v>7831</v>
      </c>
      <c r="D1605" s="15" t="s">
        <v>115</v>
      </c>
      <c r="E1605" s="9" t="s">
        <v>2614</v>
      </c>
      <c r="F1605" s="9" t="s">
        <v>7832</v>
      </c>
      <c r="G1605" s="9" t="s">
        <v>7833</v>
      </c>
      <c r="H1605" s="2" t="s">
        <v>35</v>
      </c>
      <c r="I1605" s="3">
        <v>34766</v>
      </c>
      <c r="J1605" s="9" t="str">
        <f t="shared" ca="1" si="27"/>
        <v>28 ans</v>
      </c>
      <c r="K1605" s="2" t="s">
        <v>36</v>
      </c>
      <c r="L1605" s="2" t="str">
        <f>"75"</f>
        <v>75</v>
      </c>
      <c r="M1605" s="2"/>
      <c r="N1605" s="2" t="str">
        <f>"CH DES ANCÊTRES"</f>
        <v>CH DES ANCÊTRES</v>
      </c>
      <c r="O1605" s="2" t="s">
        <v>3185</v>
      </c>
      <c r="P1605" s="9" t="str">
        <f>VLOOKUP($O1605,'Liste des Villes'!$B$2:$B$1128,1,FALSE)</f>
        <v>Saint-Jérôme</v>
      </c>
      <c r="Q1605" s="9" t="str">
        <f>IFERROR($P1605,PROPER(VLOOKUP($O1605,'Villes en erreur'!$A$2:$B$72,2,FALSE)))</f>
        <v>Saint-Jérôme</v>
      </c>
      <c r="R1605" s="9" t="s">
        <v>3186</v>
      </c>
      <c r="S1605" s="9" t="str">
        <f>IF(ISBLANK($R1605),"",VLOOKUP($R1605,'Liste des Villes'!$B$2:$H$1128,4,FALSE))</f>
        <v>Laurentides</v>
      </c>
      <c r="T1605" s="2" t="s">
        <v>3187</v>
      </c>
      <c r="U1605" s="2" t="s">
        <v>39</v>
      </c>
      <c r="V1605" s="2" t="s">
        <v>40</v>
      </c>
      <c r="W1605" s="2" t="s">
        <v>7834</v>
      </c>
      <c r="X1605" s="2"/>
      <c r="Y1605" s="2"/>
      <c r="Z1605" s="2"/>
      <c r="AA1605" s="2" t="s">
        <v>3225</v>
      </c>
      <c r="AB1605" s="2" t="s">
        <v>53</v>
      </c>
      <c r="AC1605" s="4" t="s">
        <v>44</v>
      </c>
    </row>
    <row r="1606" spans="1:29" x14ac:dyDescent="0.25">
      <c r="A1606" s="1">
        <v>1590</v>
      </c>
      <c r="B1606" s="17" t="s">
        <v>7835</v>
      </c>
      <c r="C1606" s="2" t="s">
        <v>7836</v>
      </c>
      <c r="D1606" s="15" t="s">
        <v>665</v>
      </c>
      <c r="E1606" s="9" t="s">
        <v>2217</v>
      </c>
      <c r="F1606" s="9" t="s">
        <v>663</v>
      </c>
      <c r="G1606" s="9" t="s">
        <v>186</v>
      </c>
      <c r="H1606" s="2" t="s">
        <v>60</v>
      </c>
      <c r="I1606" s="3">
        <v>34799</v>
      </c>
      <c r="J1606" s="9" t="str">
        <f t="shared" ca="1" si="27"/>
        <v>28 ans</v>
      </c>
      <c r="K1606" s="2" t="s">
        <v>36</v>
      </c>
      <c r="L1606" s="2" t="str">
        <f>"78"</f>
        <v>78</v>
      </c>
      <c r="M1606" s="2"/>
      <c r="N1606" s="2" t="str">
        <f>"CH DES CONIFÈRES"</f>
        <v>CH DES CONIFÈRES</v>
      </c>
      <c r="O1606" s="2" t="s">
        <v>3185</v>
      </c>
      <c r="P1606" s="9" t="str">
        <f>VLOOKUP($O1606,'Liste des Villes'!$B$2:$B$1128,1,FALSE)</f>
        <v>Saint-Jérôme</v>
      </c>
      <c r="Q1606" s="9" t="str">
        <f>IFERROR($P1606,PROPER(VLOOKUP($O1606,'Villes en erreur'!$A$2:$B$72,2,FALSE)))</f>
        <v>Saint-Jérôme</v>
      </c>
      <c r="R1606" s="9" t="s">
        <v>3186</v>
      </c>
      <c r="S1606" s="9" t="str">
        <f>IF(ISBLANK($R1606),"",VLOOKUP($R1606,'Liste des Villes'!$B$2:$H$1128,4,FALSE))</f>
        <v>Laurentides</v>
      </c>
      <c r="T1606" s="2" t="s">
        <v>3187</v>
      </c>
      <c r="U1606" s="2" t="s">
        <v>39</v>
      </c>
      <c r="V1606" s="2" t="s">
        <v>40</v>
      </c>
      <c r="W1606" s="2" t="s">
        <v>7837</v>
      </c>
      <c r="X1606" s="2"/>
      <c r="Y1606" s="2"/>
      <c r="Z1606" s="2"/>
      <c r="AA1606" s="2" t="s">
        <v>3225</v>
      </c>
      <c r="AB1606" s="2" t="s">
        <v>53</v>
      </c>
      <c r="AC1606" s="4" t="s">
        <v>44</v>
      </c>
    </row>
    <row r="1607" spans="1:29" x14ac:dyDescent="0.25">
      <c r="A1607" s="1">
        <v>143</v>
      </c>
      <c r="B1607" s="17" t="s">
        <v>7838</v>
      </c>
      <c r="C1607" s="2" t="s">
        <v>7839</v>
      </c>
      <c r="D1607" s="15" t="s">
        <v>2497</v>
      </c>
      <c r="E1607" s="9" t="s">
        <v>5151</v>
      </c>
      <c r="F1607" s="9" t="s">
        <v>2099</v>
      </c>
      <c r="G1607" s="9" t="s">
        <v>495</v>
      </c>
      <c r="H1607" s="2" t="s">
        <v>35</v>
      </c>
      <c r="I1607" s="3">
        <v>34711</v>
      </c>
      <c r="J1607" s="9" t="str">
        <f t="shared" ca="1" si="27"/>
        <v>28 ans</v>
      </c>
      <c r="K1607" s="2" t="s">
        <v>36</v>
      </c>
      <c r="L1607" s="2" t="str">
        <f>"71"</f>
        <v>71</v>
      </c>
      <c r="M1607" s="2"/>
      <c r="N1607" s="2" t="str">
        <f>"CH DE L'AVALANCHE"</f>
        <v>CH DE L'AVALANCHE</v>
      </c>
      <c r="O1607" s="2" t="s">
        <v>3185</v>
      </c>
      <c r="P1607" s="9" t="str">
        <f>VLOOKUP($O1607,'Liste des Villes'!$B$2:$B$1128,1,FALSE)</f>
        <v>Saint-Jérôme</v>
      </c>
      <c r="Q1607" s="9" t="str">
        <f>IFERROR($P1607,PROPER(VLOOKUP($O1607,'Villes en erreur'!$A$2:$B$72,2,FALSE)))</f>
        <v>Saint-Jérôme</v>
      </c>
      <c r="R1607" s="9" t="s">
        <v>3186</v>
      </c>
      <c r="S1607" s="9" t="str">
        <f>IF(ISBLANK($R1607),"",VLOOKUP($R1607,'Liste des Villes'!$B$2:$H$1128,4,FALSE))</f>
        <v>Laurentides</v>
      </c>
      <c r="T1607" s="2" t="s">
        <v>4119</v>
      </c>
      <c r="U1607" s="2" t="s">
        <v>39</v>
      </c>
      <c r="V1607" s="2" t="s">
        <v>40</v>
      </c>
      <c r="W1607" s="2" t="s">
        <v>7840</v>
      </c>
      <c r="X1607" s="2"/>
      <c r="Y1607" s="2"/>
      <c r="Z1607" s="2"/>
      <c r="AA1607" s="2" t="s">
        <v>3225</v>
      </c>
      <c r="AB1607" s="2" t="s">
        <v>53</v>
      </c>
      <c r="AC1607" s="4" t="s">
        <v>44</v>
      </c>
    </row>
    <row r="1608" spans="1:29" x14ac:dyDescent="0.25">
      <c r="A1608" s="1">
        <v>736</v>
      </c>
      <c r="B1608" s="17" t="s">
        <v>7841</v>
      </c>
      <c r="C1608" s="2" t="s">
        <v>7842</v>
      </c>
      <c r="D1608" s="15" t="s">
        <v>1360</v>
      </c>
      <c r="E1608" s="9" t="s">
        <v>7380</v>
      </c>
      <c r="F1608" s="9" t="s">
        <v>6577</v>
      </c>
      <c r="G1608" s="9" t="s">
        <v>635</v>
      </c>
      <c r="H1608" s="2" t="s">
        <v>35</v>
      </c>
      <c r="I1608" s="3">
        <v>33820</v>
      </c>
      <c r="J1608" s="9" t="str">
        <f t="shared" ca="1" si="27"/>
        <v>31 ans</v>
      </c>
      <c r="K1608" s="2" t="s">
        <v>36</v>
      </c>
      <c r="L1608" s="2" t="str">
        <f>"39"</f>
        <v>39</v>
      </c>
      <c r="M1608" s="2"/>
      <c r="N1608" s="2" t="str">
        <f>"AVENUE DES TILLEULS"</f>
        <v>AVENUE DES TILLEULS</v>
      </c>
      <c r="O1608" s="2" t="s">
        <v>3185</v>
      </c>
      <c r="P1608" s="9" t="str">
        <f>VLOOKUP($O1608,'Liste des Villes'!$B$2:$B$1128,1,FALSE)</f>
        <v>Saint-Jérôme</v>
      </c>
      <c r="Q1608" s="9" t="str">
        <f>IFERROR($P1608,PROPER(VLOOKUP($O1608,'Villes en erreur'!$A$2:$B$72,2,FALSE)))</f>
        <v>Saint-Jérôme</v>
      </c>
      <c r="R1608" s="9" t="s">
        <v>3186</v>
      </c>
      <c r="S1608" s="9" t="str">
        <f>IF(ISBLANK($R1608),"",VLOOKUP($R1608,'Liste des Villes'!$B$2:$H$1128,4,FALSE))</f>
        <v>Laurentides</v>
      </c>
      <c r="T1608" s="2" t="s">
        <v>3093</v>
      </c>
      <c r="U1608" s="2" t="s">
        <v>39</v>
      </c>
      <c r="V1608" s="2" t="s">
        <v>40</v>
      </c>
      <c r="W1608" s="2" t="s">
        <v>7843</v>
      </c>
      <c r="X1608" s="2"/>
      <c r="Y1608" s="2"/>
      <c r="Z1608" s="2"/>
      <c r="AA1608" s="2" t="s">
        <v>3207</v>
      </c>
      <c r="AB1608" s="2" t="s">
        <v>53</v>
      </c>
      <c r="AC1608" s="4" t="s">
        <v>44</v>
      </c>
    </row>
    <row r="1609" spans="1:29" x14ac:dyDescent="0.25">
      <c r="A1609" s="1">
        <v>1811</v>
      </c>
      <c r="B1609" s="17" t="s">
        <v>7844</v>
      </c>
      <c r="C1609" s="2" t="s">
        <v>7845</v>
      </c>
      <c r="D1609" s="15" t="s">
        <v>718</v>
      </c>
      <c r="E1609" s="9" t="s">
        <v>3009</v>
      </c>
      <c r="F1609" s="9" t="s">
        <v>6608</v>
      </c>
      <c r="G1609" s="9" t="s">
        <v>1037</v>
      </c>
      <c r="H1609" s="2" t="s">
        <v>35</v>
      </c>
      <c r="I1609" s="3">
        <v>36062</v>
      </c>
      <c r="J1609" s="9" t="str">
        <f t="shared" ca="1" si="27"/>
        <v>24 ans</v>
      </c>
      <c r="K1609" s="2" t="s">
        <v>123</v>
      </c>
      <c r="L1609" s="2" t="str">
        <f>"192"</f>
        <v>192</v>
      </c>
      <c r="M1609" s="2"/>
      <c r="N1609" s="2" t="str">
        <f>"RANG DE LA FRESNIÈRE"</f>
        <v>RANG DE LA FRESNIÈRE</v>
      </c>
      <c r="O1609" s="2" t="s">
        <v>3185</v>
      </c>
      <c r="P1609" s="9" t="str">
        <f>VLOOKUP($O1609,'Liste des Villes'!$B$2:$B$1128,1,FALSE)</f>
        <v>Saint-Jérôme</v>
      </c>
      <c r="Q1609" s="9" t="str">
        <f>IFERROR($P1609,PROPER(VLOOKUP($O1609,'Villes en erreur'!$A$2:$B$72,2,FALSE)))</f>
        <v>Saint-Jérôme</v>
      </c>
      <c r="R1609" s="9" t="s">
        <v>3186</v>
      </c>
      <c r="S1609" s="9" t="str">
        <f>IF(ISBLANK($R1609),"",VLOOKUP($R1609,'Liste des Villes'!$B$2:$H$1128,4,FALSE))</f>
        <v>Laurentides</v>
      </c>
      <c r="T1609" s="2" t="s">
        <v>3275</v>
      </c>
      <c r="U1609" s="2" t="s">
        <v>39</v>
      </c>
      <c r="V1609" s="2" t="s">
        <v>40</v>
      </c>
      <c r="W1609" s="2" t="s">
        <v>7846</v>
      </c>
      <c r="X1609" s="2"/>
      <c r="Y1609" s="2"/>
      <c r="Z1609" s="2"/>
      <c r="AA1609" s="2" t="s">
        <v>832</v>
      </c>
      <c r="AB1609" s="2" t="s">
        <v>3221</v>
      </c>
      <c r="AC1609" s="4" t="s">
        <v>44</v>
      </c>
    </row>
    <row r="1610" spans="1:29" x14ac:dyDescent="0.25">
      <c r="A1610" s="1">
        <v>703</v>
      </c>
      <c r="B1610" s="17" t="s">
        <v>7847</v>
      </c>
      <c r="C1610" s="2" t="s">
        <v>7848</v>
      </c>
      <c r="D1610" s="15" t="s">
        <v>6499</v>
      </c>
      <c r="E1610" s="9" t="s">
        <v>5798</v>
      </c>
      <c r="F1610" s="9" t="s">
        <v>6498</v>
      </c>
      <c r="G1610" s="9" t="s">
        <v>7849</v>
      </c>
      <c r="H1610" s="2" t="s">
        <v>60</v>
      </c>
      <c r="I1610" s="3">
        <v>35907</v>
      </c>
      <c r="J1610" s="9" t="str">
        <f t="shared" ca="1" si="27"/>
        <v>25 ans</v>
      </c>
      <c r="K1610" s="2" t="s">
        <v>123</v>
      </c>
      <c r="L1610" s="2" t="str">
        <f>"157"</f>
        <v>157</v>
      </c>
      <c r="M1610" s="2"/>
      <c r="N1610" s="2" t="str">
        <f>"MONTEE DE L'ÉGLISE"</f>
        <v>MONTEE DE L'ÉGLISE</v>
      </c>
      <c r="O1610" s="2" t="s">
        <v>3185</v>
      </c>
      <c r="P1610" s="9" t="str">
        <f>VLOOKUP($O1610,'Liste des Villes'!$B$2:$B$1128,1,FALSE)</f>
        <v>Saint-Jérôme</v>
      </c>
      <c r="Q1610" s="9" t="str">
        <f>IFERROR($P1610,PROPER(VLOOKUP($O1610,'Villes en erreur'!$A$2:$B$72,2,FALSE)))</f>
        <v>Saint-Jérôme</v>
      </c>
      <c r="R1610" s="9" t="s">
        <v>3186</v>
      </c>
      <c r="S1610" s="9" t="str">
        <f>IF(ISBLANK($R1610),"",VLOOKUP($R1610,'Liste des Villes'!$B$2:$H$1128,4,FALSE))</f>
        <v>Laurentides</v>
      </c>
      <c r="T1610" s="2" t="s">
        <v>3410</v>
      </c>
      <c r="U1610" s="2" t="s">
        <v>39</v>
      </c>
      <c r="V1610" s="2" t="s">
        <v>40</v>
      </c>
      <c r="W1610" s="2" t="s">
        <v>7850</v>
      </c>
      <c r="X1610" s="2"/>
      <c r="Y1610" s="2"/>
      <c r="Z1610" s="2"/>
      <c r="AA1610" s="2" t="s">
        <v>3243</v>
      </c>
      <c r="AB1610" s="2" t="s">
        <v>3221</v>
      </c>
      <c r="AC1610" s="4" t="s">
        <v>44</v>
      </c>
    </row>
    <row r="1611" spans="1:29" x14ac:dyDescent="0.25">
      <c r="A1611" s="1">
        <v>1324</v>
      </c>
      <c r="B1611" s="17" t="s">
        <v>7851</v>
      </c>
      <c r="C1611" s="2" t="s">
        <v>4506</v>
      </c>
      <c r="D1611" s="15" t="s">
        <v>3883</v>
      </c>
      <c r="E1611" s="9" t="s">
        <v>354</v>
      </c>
      <c r="F1611" s="9" t="s">
        <v>3882</v>
      </c>
      <c r="G1611" s="9" t="s">
        <v>1024</v>
      </c>
      <c r="H1611" s="2" t="s">
        <v>35</v>
      </c>
      <c r="I1611" s="3">
        <v>36168</v>
      </c>
      <c r="J1611" s="9" t="str">
        <f t="shared" ca="1" si="27"/>
        <v>24 ans</v>
      </c>
      <c r="K1611" s="2" t="s">
        <v>123</v>
      </c>
      <c r="L1611" s="2" t="str">
        <f>"231"</f>
        <v>231</v>
      </c>
      <c r="M1611" s="2"/>
      <c r="N1611" s="2" t="str">
        <f>"RUE AMIENS"</f>
        <v>RUE AMIENS</v>
      </c>
      <c r="O1611" s="2" t="s">
        <v>3185</v>
      </c>
      <c r="P1611" s="9" t="str">
        <f>VLOOKUP($O1611,'Liste des Villes'!$B$2:$B$1128,1,FALSE)</f>
        <v>Saint-Jérôme</v>
      </c>
      <c r="Q1611" s="9" t="str">
        <f>IFERROR($P1611,PROPER(VLOOKUP($O1611,'Villes en erreur'!$A$2:$B$72,2,FALSE)))</f>
        <v>Saint-Jérôme</v>
      </c>
      <c r="R1611" s="9" t="s">
        <v>3186</v>
      </c>
      <c r="S1611" s="9" t="str">
        <f>IF(ISBLANK($R1611),"",VLOOKUP($R1611,'Liste des Villes'!$B$2:$H$1128,4,FALSE))</f>
        <v>Laurentides</v>
      </c>
      <c r="T1611" s="2" t="s">
        <v>6346</v>
      </c>
      <c r="U1611" s="2" t="s">
        <v>39</v>
      </c>
      <c r="V1611" s="2" t="s">
        <v>40</v>
      </c>
      <c r="W1611" s="2" t="s">
        <v>7852</v>
      </c>
      <c r="X1611" s="2"/>
      <c r="Y1611" s="2"/>
      <c r="Z1611" s="2"/>
      <c r="AA1611" s="2" t="s">
        <v>832</v>
      </c>
      <c r="AB1611" s="2" t="s">
        <v>3221</v>
      </c>
      <c r="AC1611" s="4" t="s">
        <v>44</v>
      </c>
    </row>
    <row r="1612" spans="1:29" x14ac:dyDescent="0.25">
      <c r="A1612" s="1">
        <v>2281</v>
      </c>
      <c r="B1612" s="17" t="s">
        <v>7853</v>
      </c>
      <c r="C1612" s="2" t="s">
        <v>7854</v>
      </c>
      <c r="D1612" s="15" t="s">
        <v>2765</v>
      </c>
      <c r="E1612" s="9" t="s">
        <v>7855</v>
      </c>
      <c r="F1612" s="9" t="s">
        <v>7856</v>
      </c>
      <c r="G1612" s="9" t="s">
        <v>3265</v>
      </c>
      <c r="H1612" s="2" t="s">
        <v>60</v>
      </c>
      <c r="I1612" s="3">
        <v>35927</v>
      </c>
      <c r="J1612" s="9" t="str">
        <f t="shared" ca="1" si="27"/>
        <v>25 ans</v>
      </c>
      <c r="K1612" s="2" t="s">
        <v>123</v>
      </c>
      <c r="L1612" s="2" t="str">
        <f>"163"</f>
        <v>163</v>
      </c>
      <c r="M1612" s="2"/>
      <c r="N1612" s="2" t="str">
        <f>"MONTEE GIROUARD"</f>
        <v>MONTEE GIROUARD</v>
      </c>
      <c r="O1612" s="2" t="s">
        <v>3185</v>
      </c>
      <c r="P1612" s="9" t="str">
        <f>VLOOKUP($O1612,'Liste des Villes'!$B$2:$B$1128,1,FALSE)</f>
        <v>Saint-Jérôme</v>
      </c>
      <c r="Q1612" s="9" t="str">
        <f>IFERROR($P1612,PROPER(VLOOKUP($O1612,'Villes en erreur'!$A$2:$B$72,2,FALSE)))</f>
        <v>Saint-Jérôme</v>
      </c>
      <c r="R1612" s="9" t="s">
        <v>3186</v>
      </c>
      <c r="S1612" s="9" t="str">
        <f>IF(ISBLANK($R1612),"",VLOOKUP($R1612,'Liste des Villes'!$B$2:$H$1128,4,FALSE))</f>
        <v>Laurentides</v>
      </c>
      <c r="T1612" s="2" t="s">
        <v>7857</v>
      </c>
      <c r="U1612" s="2" t="s">
        <v>39</v>
      </c>
      <c r="V1612" s="2" t="s">
        <v>40</v>
      </c>
      <c r="W1612" s="2" t="s">
        <v>7858</v>
      </c>
      <c r="X1612" s="2"/>
      <c r="Y1612" s="2"/>
      <c r="Z1612" s="2"/>
      <c r="AA1612" s="2" t="s">
        <v>832</v>
      </c>
      <c r="AB1612" s="2" t="s">
        <v>3221</v>
      </c>
      <c r="AC1612" s="4" t="s">
        <v>44</v>
      </c>
    </row>
    <row r="1613" spans="1:29" x14ac:dyDescent="0.25">
      <c r="A1613" s="1">
        <v>4578</v>
      </c>
      <c r="B1613" s="17" t="s">
        <v>7859</v>
      </c>
      <c r="C1613" s="2" t="s">
        <v>2119</v>
      </c>
      <c r="D1613" s="15" t="s">
        <v>684</v>
      </c>
      <c r="E1613" s="9" t="s">
        <v>348</v>
      </c>
      <c r="F1613" s="9" t="s">
        <v>762</v>
      </c>
      <c r="G1613" s="9" t="s">
        <v>5197</v>
      </c>
      <c r="H1613" s="2" t="s">
        <v>35</v>
      </c>
      <c r="I1613" s="3">
        <v>35352</v>
      </c>
      <c r="J1613" s="9" t="str">
        <f t="shared" ca="1" si="27"/>
        <v>26 ans</v>
      </c>
      <c r="K1613" s="2" t="s">
        <v>36</v>
      </c>
      <c r="L1613" s="2" t="str">
        <f>"111"</f>
        <v>111</v>
      </c>
      <c r="M1613" s="2"/>
      <c r="N1613" s="2" t="str">
        <f>"CHEMIN DES OISEAUX"</f>
        <v>CHEMIN DES OISEAUX</v>
      </c>
      <c r="O1613" s="2" t="s">
        <v>3185</v>
      </c>
      <c r="P1613" s="9" t="str">
        <f>VLOOKUP($O1613,'Liste des Villes'!$B$2:$B$1128,1,FALSE)</f>
        <v>Saint-Jérôme</v>
      </c>
      <c r="Q1613" s="9" t="str">
        <f>IFERROR($P1613,PROPER(VLOOKUP($O1613,'Villes en erreur'!$A$2:$B$72,2,FALSE)))</f>
        <v>Saint-Jérôme</v>
      </c>
      <c r="R1613" s="9" t="s">
        <v>3186</v>
      </c>
      <c r="S1613" s="9" t="str">
        <f>IF(ISBLANK($R1613),"",VLOOKUP($R1613,'Liste des Villes'!$B$2:$H$1128,4,FALSE))</f>
        <v>Laurentides</v>
      </c>
      <c r="T1613" s="2" t="s">
        <v>3524</v>
      </c>
      <c r="U1613" s="2" t="s">
        <v>39</v>
      </c>
      <c r="V1613" s="2" t="s">
        <v>40</v>
      </c>
      <c r="W1613" s="2" t="s">
        <v>7860</v>
      </c>
      <c r="X1613" s="2"/>
      <c r="Y1613" s="2"/>
      <c r="Z1613" s="2"/>
      <c r="AA1613" s="2" t="s">
        <v>3189</v>
      </c>
      <c r="AB1613" s="2" t="s">
        <v>3200</v>
      </c>
      <c r="AC1613" s="4" t="s">
        <v>44</v>
      </c>
    </row>
    <row r="1614" spans="1:29" x14ac:dyDescent="0.25">
      <c r="A1614" s="1">
        <v>2881</v>
      </c>
      <c r="B1614" s="17" t="s">
        <v>7861</v>
      </c>
      <c r="C1614" s="2" t="s">
        <v>7862</v>
      </c>
      <c r="D1614" s="15" t="s">
        <v>225</v>
      </c>
      <c r="E1614" s="9" t="s">
        <v>7863</v>
      </c>
      <c r="F1614" s="9" t="s">
        <v>4488</v>
      </c>
      <c r="G1614" s="9" t="s">
        <v>2160</v>
      </c>
      <c r="H1614" s="2" t="s">
        <v>60</v>
      </c>
      <c r="I1614" s="3">
        <v>36046</v>
      </c>
      <c r="J1614" s="9" t="str">
        <f t="shared" ca="1" si="27"/>
        <v>24 ans</v>
      </c>
      <c r="K1614" s="2" t="s">
        <v>123</v>
      </c>
      <c r="L1614" s="2" t="str">
        <f>"187"</f>
        <v>187</v>
      </c>
      <c r="M1614" s="2"/>
      <c r="N1614" s="2" t="str">
        <f>"PLACE ROYALE"</f>
        <v>PLACE ROYALE</v>
      </c>
      <c r="O1614" s="2" t="s">
        <v>3185</v>
      </c>
      <c r="P1614" s="9" t="str">
        <f>VLOOKUP($O1614,'Liste des Villes'!$B$2:$B$1128,1,FALSE)</f>
        <v>Saint-Jérôme</v>
      </c>
      <c r="Q1614" s="9" t="str">
        <f>IFERROR($P1614,PROPER(VLOOKUP($O1614,'Villes en erreur'!$A$2:$B$72,2,FALSE)))</f>
        <v>Saint-Jérôme</v>
      </c>
      <c r="R1614" s="9" t="s">
        <v>3186</v>
      </c>
      <c r="S1614" s="9" t="str">
        <f>IF(ISBLANK($R1614),"",VLOOKUP($R1614,'Liste des Villes'!$B$2:$H$1128,4,FALSE))</f>
        <v>Laurentides</v>
      </c>
      <c r="T1614" s="2" t="s">
        <v>7864</v>
      </c>
      <c r="U1614" s="2" t="s">
        <v>39</v>
      </c>
      <c r="V1614" s="2" t="s">
        <v>40</v>
      </c>
      <c r="W1614" s="2" t="s">
        <v>7865</v>
      </c>
      <c r="X1614" s="2"/>
      <c r="Y1614" s="2"/>
      <c r="Z1614" s="2"/>
      <c r="AA1614" s="2" t="s">
        <v>832</v>
      </c>
      <c r="AB1614" s="2" t="s">
        <v>3221</v>
      </c>
      <c r="AC1614" s="4" t="s">
        <v>44</v>
      </c>
    </row>
    <row r="1615" spans="1:29" x14ac:dyDescent="0.25">
      <c r="A1615" s="1">
        <v>1312</v>
      </c>
      <c r="B1615" s="17" t="s">
        <v>7866</v>
      </c>
      <c r="C1615" s="2" t="s">
        <v>7867</v>
      </c>
      <c r="D1615" s="15" t="s">
        <v>7868</v>
      </c>
      <c r="E1615" s="9" t="s">
        <v>7869</v>
      </c>
      <c r="F1615" s="9" t="s">
        <v>7870</v>
      </c>
      <c r="G1615" s="9" t="s">
        <v>2764</v>
      </c>
      <c r="H1615" s="2" t="s">
        <v>35</v>
      </c>
      <c r="I1615" s="3">
        <v>36146</v>
      </c>
      <c r="J1615" s="9" t="str">
        <f t="shared" ca="1" si="27"/>
        <v>24 ans</v>
      </c>
      <c r="K1615" s="2" t="s">
        <v>123</v>
      </c>
      <c r="L1615" s="2" t="str">
        <f>"220"</f>
        <v>220</v>
      </c>
      <c r="M1615" s="2"/>
      <c r="N1615" s="2" t="str">
        <f>"RUE ALBERT"</f>
        <v>RUE ALBERT</v>
      </c>
      <c r="O1615" s="2" t="s">
        <v>3185</v>
      </c>
      <c r="P1615" s="9" t="str">
        <f>VLOOKUP($O1615,'Liste des Villes'!$B$2:$B$1128,1,FALSE)</f>
        <v>Saint-Jérôme</v>
      </c>
      <c r="Q1615" s="9" t="str">
        <f>IFERROR($P1615,PROPER(VLOOKUP($O1615,'Villes en erreur'!$A$2:$B$72,2,FALSE)))</f>
        <v>Saint-Jérôme</v>
      </c>
      <c r="R1615" s="9" t="s">
        <v>3186</v>
      </c>
      <c r="S1615" s="9" t="str">
        <f>IF(ISBLANK($R1615),"",VLOOKUP($R1615,'Liste des Villes'!$B$2:$H$1128,4,FALSE))</f>
        <v>Laurentides</v>
      </c>
      <c r="T1615" s="2" t="s">
        <v>6747</v>
      </c>
      <c r="U1615" s="2" t="s">
        <v>39</v>
      </c>
      <c r="V1615" s="2" t="s">
        <v>40</v>
      </c>
      <c r="W1615" s="2" t="s">
        <v>7871</v>
      </c>
      <c r="X1615" s="2"/>
      <c r="Y1615" s="2"/>
      <c r="Z1615" s="2"/>
      <c r="AA1615" s="2" t="s">
        <v>832</v>
      </c>
      <c r="AB1615" s="2" t="s">
        <v>3221</v>
      </c>
      <c r="AC1615" s="4" t="s">
        <v>44</v>
      </c>
    </row>
    <row r="1616" spans="1:29" x14ac:dyDescent="0.25">
      <c r="A1616" s="1">
        <v>1051</v>
      </c>
      <c r="B1616" s="17" t="s">
        <v>7872</v>
      </c>
      <c r="C1616" s="2" t="s">
        <v>7873</v>
      </c>
      <c r="D1616" s="15" t="s">
        <v>6405</v>
      </c>
      <c r="E1616" s="9" t="s">
        <v>1037</v>
      </c>
      <c r="F1616" s="9" t="s">
        <v>898</v>
      </c>
      <c r="G1616" s="9" t="s">
        <v>1024</v>
      </c>
      <c r="H1616" s="2" t="s">
        <v>35</v>
      </c>
      <c r="I1616" s="3">
        <v>36182</v>
      </c>
      <c r="J1616" s="9" t="str">
        <f t="shared" ca="1" si="27"/>
        <v>24 ans</v>
      </c>
      <c r="K1616" s="2" t="s">
        <v>123</v>
      </c>
      <c r="L1616" s="2" t="str">
        <f>"234"</f>
        <v>234</v>
      </c>
      <c r="M1616" s="2"/>
      <c r="N1616" s="2" t="str">
        <f>"RUE ANGÈLE"</f>
        <v>RUE ANGÈLE</v>
      </c>
      <c r="O1616" s="2" t="s">
        <v>3185</v>
      </c>
      <c r="P1616" s="9" t="str">
        <f>VLOOKUP($O1616,'Liste des Villes'!$B$2:$B$1128,1,FALSE)</f>
        <v>Saint-Jérôme</v>
      </c>
      <c r="Q1616" s="9" t="str">
        <f>IFERROR($P1616,PROPER(VLOOKUP($O1616,'Villes en erreur'!$A$2:$B$72,2,FALSE)))</f>
        <v>Saint-Jérôme</v>
      </c>
      <c r="R1616" s="9" t="s">
        <v>3186</v>
      </c>
      <c r="S1616" s="9" t="str">
        <f>IF(ISBLANK($R1616),"",VLOOKUP($R1616,'Liste des Villes'!$B$2:$H$1128,4,FALSE))</f>
        <v>Laurentides</v>
      </c>
      <c r="T1616" s="2" t="s">
        <v>3857</v>
      </c>
      <c r="U1616" s="2" t="s">
        <v>39</v>
      </c>
      <c r="V1616" s="2" t="s">
        <v>40</v>
      </c>
      <c r="W1616" s="2" t="s">
        <v>7874</v>
      </c>
      <c r="X1616" s="2"/>
      <c r="Y1616" s="2"/>
      <c r="Z1616" s="2"/>
      <c r="AA1616" s="2" t="s">
        <v>832</v>
      </c>
      <c r="AB1616" s="2" t="s">
        <v>3221</v>
      </c>
      <c r="AC1616" s="4" t="s">
        <v>44</v>
      </c>
    </row>
    <row r="1617" spans="1:29" x14ac:dyDescent="0.25">
      <c r="A1617" s="1">
        <v>2314</v>
      </c>
      <c r="B1617" s="17" t="s">
        <v>7875</v>
      </c>
      <c r="C1617" s="2" t="s">
        <v>2669</v>
      </c>
      <c r="D1617" s="15" t="s">
        <v>2670</v>
      </c>
      <c r="E1617" s="9" t="s">
        <v>92</v>
      </c>
      <c r="F1617" s="9" t="s">
        <v>7876</v>
      </c>
      <c r="G1617" s="9" t="s">
        <v>495</v>
      </c>
      <c r="H1617" s="2" t="s">
        <v>35</v>
      </c>
      <c r="I1617" s="3">
        <v>34495</v>
      </c>
      <c r="J1617" s="9" t="str">
        <f t="shared" ca="1" si="27"/>
        <v>29 ans</v>
      </c>
      <c r="K1617" s="2" t="s">
        <v>36</v>
      </c>
      <c r="L1617" s="2" t="str">
        <f>"61"</f>
        <v>61</v>
      </c>
      <c r="M1617" s="2"/>
      <c r="N1617" s="2" t="str">
        <f>"CH AUBIN"</f>
        <v>CH AUBIN</v>
      </c>
      <c r="O1617" s="2" t="s">
        <v>3185</v>
      </c>
      <c r="P1617" s="9" t="str">
        <f>VLOOKUP($O1617,'Liste des Villes'!$B$2:$B$1128,1,FALSE)</f>
        <v>Saint-Jérôme</v>
      </c>
      <c r="Q1617" s="9" t="str">
        <f>IFERROR($P1617,PROPER(VLOOKUP($O1617,'Villes en erreur'!$A$2:$B$72,2,FALSE)))</f>
        <v>Saint-Jérôme</v>
      </c>
      <c r="R1617" s="9" t="s">
        <v>3186</v>
      </c>
      <c r="S1617" s="9" t="str">
        <f>IF(ISBLANK($R1617),"",VLOOKUP($R1617,'Liste des Villes'!$B$2:$H$1128,4,FALSE))</f>
        <v>Laurentides</v>
      </c>
      <c r="T1617" s="2" t="s">
        <v>3507</v>
      </c>
      <c r="U1617" s="2" t="s">
        <v>39</v>
      </c>
      <c r="V1617" s="2" t="s">
        <v>40</v>
      </c>
      <c r="W1617" s="2" t="s">
        <v>7877</v>
      </c>
      <c r="X1617" s="2"/>
      <c r="Y1617" s="2"/>
      <c r="Z1617" s="2"/>
      <c r="AA1617" s="2" t="s">
        <v>3293</v>
      </c>
      <c r="AB1617" s="2" t="s">
        <v>53</v>
      </c>
      <c r="AC1617" s="4" t="s">
        <v>44</v>
      </c>
    </row>
    <row r="1618" spans="1:29" x14ac:dyDescent="0.25">
      <c r="A1618" s="1">
        <v>1626</v>
      </c>
      <c r="B1618" s="17" t="s">
        <v>7878</v>
      </c>
      <c r="C1618" s="2" t="s">
        <v>1451</v>
      </c>
      <c r="D1618" s="15" t="s">
        <v>1452</v>
      </c>
      <c r="E1618" s="9" t="s">
        <v>1453</v>
      </c>
      <c r="F1618" s="9" t="s">
        <v>2867</v>
      </c>
      <c r="G1618" s="9" t="s">
        <v>7879</v>
      </c>
      <c r="H1618" s="2" t="s">
        <v>35</v>
      </c>
      <c r="I1618" s="3">
        <v>35681</v>
      </c>
      <c r="J1618" s="9" t="str">
        <f t="shared" ca="1" si="27"/>
        <v>25 ans</v>
      </c>
      <c r="K1618" s="2" t="s">
        <v>123</v>
      </c>
      <c r="L1618" s="2" t="str">
        <f>"134"</f>
        <v>134</v>
      </c>
      <c r="M1618" s="2"/>
      <c r="N1618" s="2" t="str">
        <f>"DES FRENES"</f>
        <v>DES FRENES</v>
      </c>
      <c r="O1618" s="2" t="s">
        <v>3185</v>
      </c>
      <c r="P1618" s="9" t="str">
        <f>VLOOKUP($O1618,'Liste des Villes'!$B$2:$B$1128,1,FALSE)</f>
        <v>Saint-Jérôme</v>
      </c>
      <c r="Q1618" s="9" t="str">
        <f>IFERROR($P1618,PROPER(VLOOKUP($O1618,'Villes en erreur'!$A$2:$B$72,2,FALSE)))</f>
        <v>Saint-Jérôme</v>
      </c>
      <c r="R1618" s="9" t="s">
        <v>3186</v>
      </c>
      <c r="S1618" s="9" t="str">
        <f>IF(ISBLANK($R1618),"",VLOOKUP($R1618,'Liste des Villes'!$B$2:$H$1128,4,FALSE))</f>
        <v>Laurentides</v>
      </c>
      <c r="T1618" s="2" t="s">
        <v>7880</v>
      </c>
      <c r="U1618" s="2" t="s">
        <v>39</v>
      </c>
      <c r="V1618" s="2" t="s">
        <v>40</v>
      </c>
      <c r="W1618" s="2" t="s">
        <v>7881</v>
      </c>
      <c r="X1618" s="2"/>
      <c r="Y1618" s="2"/>
      <c r="Z1618" s="2"/>
      <c r="AA1618" s="2" t="s">
        <v>3243</v>
      </c>
      <c r="AB1618" s="2" t="s">
        <v>3221</v>
      </c>
      <c r="AC1618" s="4" t="s">
        <v>44</v>
      </c>
    </row>
    <row r="1619" spans="1:29" x14ac:dyDescent="0.25">
      <c r="A1619" s="1">
        <v>1032</v>
      </c>
      <c r="B1619" s="17" t="s">
        <v>7882</v>
      </c>
      <c r="C1619" s="2" t="s">
        <v>7883</v>
      </c>
      <c r="D1619" s="15" t="s">
        <v>7381</v>
      </c>
      <c r="E1619" s="9" t="s">
        <v>94</v>
      </c>
      <c r="F1619" s="9" t="s">
        <v>7884</v>
      </c>
      <c r="G1619" s="9" t="s">
        <v>1024</v>
      </c>
      <c r="H1619" s="2" t="s">
        <v>35</v>
      </c>
      <c r="I1619" s="3">
        <v>36177</v>
      </c>
      <c r="J1619" s="9" t="str">
        <f t="shared" ca="1" si="27"/>
        <v>24 ans</v>
      </c>
      <c r="K1619" s="2" t="s">
        <v>123</v>
      </c>
      <c r="L1619" s="2" t="str">
        <f>"234"</f>
        <v>234</v>
      </c>
      <c r="M1619" s="2"/>
      <c r="N1619" s="2" t="str">
        <f>"RUE ANDRÉ-PRÉVOST"</f>
        <v>RUE ANDRÉ-PRÉVOST</v>
      </c>
      <c r="O1619" s="2" t="s">
        <v>3185</v>
      </c>
      <c r="P1619" s="9" t="str">
        <f>VLOOKUP($O1619,'Liste des Villes'!$B$2:$B$1128,1,FALSE)</f>
        <v>Saint-Jérôme</v>
      </c>
      <c r="Q1619" s="9" t="str">
        <f>IFERROR($P1619,PROPER(VLOOKUP($O1619,'Villes en erreur'!$A$2:$B$72,2,FALSE)))</f>
        <v>Saint-Jérôme</v>
      </c>
      <c r="R1619" s="9" t="s">
        <v>3186</v>
      </c>
      <c r="S1619" s="9" t="str">
        <f>IF(ISBLANK($R1619),"",VLOOKUP($R1619,'Liste des Villes'!$B$2:$H$1128,4,FALSE))</f>
        <v>Laurentides</v>
      </c>
      <c r="T1619" s="2" t="s">
        <v>3857</v>
      </c>
      <c r="U1619" s="2" t="s">
        <v>39</v>
      </c>
      <c r="V1619" s="2" t="s">
        <v>40</v>
      </c>
      <c r="W1619" s="2" t="s">
        <v>7885</v>
      </c>
      <c r="X1619" s="2"/>
      <c r="Y1619" s="2"/>
      <c r="Z1619" s="2"/>
      <c r="AA1619" s="2" t="s">
        <v>832</v>
      </c>
      <c r="AB1619" s="2" t="s">
        <v>3221</v>
      </c>
      <c r="AC1619" s="4" t="s">
        <v>44</v>
      </c>
    </row>
    <row r="1620" spans="1:29" x14ac:dyDescent="0.25">
      <c r="A1620" s="1">
        <v>2461</v>
      </c>
      <c r="B1620" s="17" t="s">
        <v>7886</v>
      </c>
      <c r="C1620" s="2" t="s">
        <v>576</v>
      </c>
      <c r="D1620" s="15" t="s">
        <v>203</v>
      </c>
      <c r="E1620" s="9" t="s">
        <v>577</v>
      </c>
      <c r="F1620" s="9" t="s">
        <v>7887</v>
      </c>
      <c r="G1620" s="9" t="s">
        <v>179</v>
      </c>
      <c r="H1620" s="2" t="s">
        <v>60</v>
      </c>
      <c r="I1620" s="3">
        <v>36109</v>
      </c>
      <c r="J1620" s="9" t="str">
        <f t="shared" ca="1" si="27"/>
        <v>24 ans</v>
      </c>
      <c r="K1620" s="2" t="s">
        <v>123</v>
      </c>
      <c r="L1620" s="2" t="str">
        <f>"210"</f>
        <v>210</v>
      </c>
      <c r="M1620" s="2"/>
      <c r="N1620" s="2" t="str">
        <f>"RTE 335"</f>
        <v>RTE 335</v>
      </c>
      <c r="O1620" s="2" t="s">
        <v>3185</v>
      </c>
      <c r="P1620" s="9" t="str">
        <f>VLOOKUP($O1620,'Liste des Villes'!$B$2:$B$1128,1,FALSE)</f>
        <v>Saint-Jérôme</v>
      </c>
      <c r="Q1620" s="9" t="str">
        <f>IFERROR($P1620,PROPER(VLOOKUP($O1620,'Villes en erreur'!$A$2:$B$72,2,FALSE)))</f>
        <v>Saint-Jérôme</v>
      </c>
      <c r="R1620" s="9" t="s">
        <v>3186</v>
      </c>
      <c r="S1620" s="9" t="str">
        <f>IF(ISBLANK($R1620),"",VLOOKUP($R1620,'Liste des Villes'!$B$2:$H$1128,4,FALSE))</f>
        <v>Laurentides</v>
      </c>
      <c r="T1620" s="2" t="s">
        <v>3603</v>
      </c>
      <c r="U1620" s="2" t="s">
        <v>39</v>
      </c>
      <c r="V1620" s="2" t="s">
        <v>40</v>
      </c>
      <c r="W1620" s="2" t="s">
        <v>7888</v>
      </c>
      <c r="X1620" s="2"/>
      <c r="Y1620" s="2"/>
      <c r="Z1620" s="2"/>
      <c r="AA1620" s="2" t="s">
        <v>832</v>
      </c>
      <c r="AB1620" s="2" t="s">
        <v>3221</v>
      </c>
      <c r="AC1620" s="4" t="s">
        <v>44</v>
      </c>
    </row>
    <row r="1621" spans="1:29" x14ac:dyDescent="0.25">
      <c r="A1621" s="1">
        <v>483</v>
      </c>
      <c r="B1621" s="17" t="s">
        <v>7889</v>
      </c>
      <c r="C1621" s="2" t="s">
        <v>7890</v>
      </c>
      <c r="D1621" s="15" t="s">
        <v>7891</v>
      </c>
      <c r="E1621" s="9" t="s">
        <v>6721</v>
      </c>
      <c r="F1621" s="9" t="s">
        <v>1832</v>
      </c>
      <c r="G1621" s="9" t="s">
        <v>6721</v>
      </c>
      <c r="H1621" s="2" t="s">
        <v>60</v>
      </c>
      <c r="I1621" s="3">
        <v>35223</v>
      </c>
      <c r="J1621" s="9" t="str">
        <f t="shared" ca="1" si="27"/>
        <v>27 ans</v>
      </c>
      <c r="K1621" s="2" t="s">
        <v>36</v>
      </c>
      <c r="L1621" s="2" t="str">
        <f>"105"</f>
        <v>105</v>
      </c>
      <c r="M1621" s="2"/>
      <c r="N1621" s="2" t="str">
        <f>"CH. SPRING-VALLEY"</f>
        <v>CH. SPRING-VALLEY</v>
      </c>
      <c r="O1621" s="2" t="s">
        <v>3185</v>
      </c>
      <c r="P1621" s="9" t="str">
        <f>VLOOKUP($O1621,'Liste des Villes'!$B$2:$B$1128,1,FALSE)</f>
        <v>Saint-Jérôme</v>
      </c>
      <c r="Q1621" s="9" t="str">
        <f>IFERROR($P1621,PROPER(VLOOKUP($O1621,'Villes en erreur'!$A$2:$B$72,2,FALSE)))</f>
        <v>Saint-Jérôme</v>
      </c>
      <c r="R1621" s="9" t="s">
        <v>3186</v>
      </c>
      <c r="S1621" s="9" t="str">
        <f>IF(ISBLANK($R1621),"",VLOOKUP($R1621,'Liste des Villes'!$B$2:$H$1128,4,FALSE))</f>
        <v>Laurentides</v>
      </c>
      <c r="T1621" s="2" t="s">
        <v>3187</v>
      </c>
      <c r="U1621" s="2" t="s">
        <v>39</v>
      </c>
      <c r="V1621" s="2" t="s">
        <v>40</v>
      </c>
      <c r="W1621" s="2" t="s">
        <v>7892</v>
      </c>
      <c r="X1621" s="2"/>
      <c r="Y1621" s="2"/>
      <c r="Z1621" s="2"/>
      <c r="AA1621" s="2" t="s">
        <v>3189</v>
      </c>
      <c r="AB1621" s="2" t="s">
        <v>3190</v>
      </c>
      <c r="AC1621" s="4" t="s">
        <v>44</v>
      </c>
    </row>
    <row r="1622" spans="1:29" x14ac:dyDescent="0.25">
      <c r="A1622" s="1">
        <v>103</v>
      </c>
      <c r="B1622" s="17" t="s">
        <v>7893</v>
      </c>
      <c r="C1622" s="2" t="s">
        <v>7894</v>
      </c>
      <c r="D1622" s="15" t="s">
        <v>7895</v>
      </c>
      <c r="E1622" s="9" t="s">
        <v>3265</v>
      </c>
      <c r="F1622" s="9" t="s">
        <v>7896</v>
      </c>
      <c r="G1622" s="9" t="s">
        <v>4474</v>
      </c>
      <c r="H1622" s="2" t="s">
        <v>60</v>
      </c>
      <c r="I1622" s="3">
        <v>35941</v>
      </c>
      <c r="J1622" s="9" t="str">
        <f t="shared" ca="1" si="27"/>
        <v>25 ans</v>
      </c>
      <c r="K1622" s="2" t="s">
        <v>123</v>
      </c>
      <c r="L1622" s="2" t="str">
        <f>"165"</f>
        <v>165</v>
      </c>
      <c r="M1622" s="2"/>
      <c r="N1622" s="2" t="str">
        <f>"MONTÉE PINET"</f>
        <v>MONTÉE PINET</v>
      </c>
      <c r="O1622" s="2" t="s">
        <v>3185</v>
      </c>
      <c r="P1622" s="9" t="str">
        <f>VLOOKUP($O1622,'Liste des Villes'!$B$2:$B$1128,1,FALSE)</f>
        <v>Saint-Jérôme</v>
      </c>
      <c r="Q1622" s="9" t="str">
        <f>IFERROR($P1622,PROPER(VLOOKUP($O1622,'Villes en erreur'!$A$2:$B$72,2,FALSE)))</f>
        <v>Saint-Jérôme</v>
      </c>
      <c r="R1622" s="9" t="s">
        <v>3186</v>
      </c>
      <c r="S1622" s="9" t="str">
        <f>IF(ISBLANK($R1622),"",VLOOKUP($R1622,'Liste des Villes'!$B$2:$H$1128,4,FALSE))</f>
        <v>Laurentides</v>
      </c>
      <c r="T1622" s="2" t="s">
        <v>6971</v>
      </c>
      <c r="U1622" s="2" t="s">
        <v>39</v>
      </c>
      <c r="V1622" s="2" t="s">
        <v>40</v>
      </c>
      <c r="W1622" s="2" t="s">
        <v>7897</v>
      </c>
      <c r="X1622" s="2"/>
      <c r="Y1622" s="2"/>
      <c r="Z1622" s="2"/>
      <c r="AA1622" s="2" t="s">
        <v>832</v>
      </c>
      <c r="AB1622" s="2" t="s">
        <v>3221</v>
      </c>
      <c r="AC1622" s="4" t="s">
        <v>44</v>
      </c>
    </row>
    <row r="1623" spans="1:29" x14ac:dyDescent="0.25">
      <c r="A1623" s="1">
        <v>4039</v>
      </c>
      <c r="B1623" s="17" t="s">
        <v>7898</v>
      </c>
      <c r="C1623" s="2" t="s">
        <v>1733</v>
      </c>
      <c r="D1623" s="15" t="s">
        <v>100</v>
      </c>
      <c r="E1623" s="9" t="s">
        <v>122</v>
      </c>
      <c r="F1623" s="9" t="s">
        <v>7899</v>
      </c>
      <c r="G1623" s="9" t="s">
        <v>1431</v>
      </c>
      <c r="H1623" s="2" t="s">
        <v>35</v>
      </c>
      <c r="I1623" s="3">
        <v>34785</v>
      </c>
      <c r="J1623" s="9" t="str">
        <f t="shared" ca="1" si="27"/>
        <v>28 ans</v>
      </c>
      <c r="K1623" s="2" t="s">
        <v>36</v>
      </c>
      <c r="L1623" s="2" t="str">
        <f>"76"</f>
        <v>76</v>
      </c>
      <c r="M1623" s="2"/>
      <c r="N1623" s="2" t="str">
        <f>"CH DES CÈDRES"</f>
        <v>CH DES CÈDRES</v>
      </c>
      <c r="O1623" s="2" t="s">
        <v>3185</v>
      </c>
      <c r="P1623" s="9" t="str">
        <f>VLOOKUP($O1623,'Liste des Villes'!$B$2:$B$1128,1,FALSE)</f>
        <v>Saint-Jérôme</v>
      </c>
      <c r="Q1623" s="9" t="str">
        <f>IFERROR($P1623,PROPER(VLOOKUP($O1623,'Villes en erreur'!$A$2:$B$72,2,FALSE)))</f>
        <v>Saint-Jérôme</v>
      </c>
      <c r="R1623" s="9" t="s">
        <v>3186</v>
      </c>
      <c r="S1623" s="9" t="str">
        <f>IF(ISBLANK($R1623),"",VLOOKUP($R1623,'Liste des Villes'!$B$2:$H$1128,4,FALSE))</f>
        <v>Laurentides</v>
      </c>
      <c r="T1623" s="2" t="s">
        <v>3187</v>
      </c>
      <c r="U1623" s="2" t="s">
        <v>39</v>
      </c>
      <c r="V1623" s="2" t="s">
        <v>40</v>
      </c>
      <c r="W1623" s="2" t="s">
        <v>7900</v>
      </c>
      <c r="X1623" s="2"/>
      <c r="Y1623" s="2"/>
      <c r="Z1623" s="2"/>
      <c r="AA1623" s="2" t="s">
        <v>3225</v>
      </c>
      <c r="AB1623" s="2" t="s">
        <v>53</v>
      </c>
      <c r="AC1623" s="4" t="s">
        <v>44</v>
      </c>
    </row>
    <row r="1624" spans="1:29" x14ac:dyDescent="0.25">
      <c r="A1624" s="1">
        <v>2348</v>
      </c>
      <c r="B1624" s="17" t="s">
        <v>7901</v>
      </c>
      <c r="C1624" s="2" t="s">
        <v>105</v>
      </c>
      <c r="D1624" s="15" t="s">
        <v>106</v>
      </c>
      <c r="E1624" s="9" t="s">
        <v>107</v>
      </c>
      <c r="F1624" s="9" t="s">
        <v>3122</v>
      </c>
      <c r="G1624" s="9" t="s">
        <v>600</v>
      </c>
      <c r="H1624" s="2" t="s">
        <v>60</v>
      </c>
      <c r="I1624" s="3">
        <v>35982</v>
      </c>
      <c r="J1624" s="9" t="str">
        <f t="shared" ca="1" si="27"/>
        <v>25 ans</v>
      </c>
      <c r="K1624" s="2" t="s">
        <v>123</v>
      </c>
      <c r="L1624" s="2" t="str">
        <f>"172"</f>
        <v>172</v>
      </c>
      <c r="M1624" s="2"/>
      <c r="N1624" s="2" t="str">
        <f>"PLACE BROSSEAU"</f>
        <v>PLACE BROSSEAU</v>
      </c>
      <c r="O1624" s="2" t="s">
        <v>3185</v>
      </c>
      <c r="P1624" s="9" t="str">
        <f>VLOOKUP($O1624,'Liste des Villes'!$B$2:$B$1128,1,FALSE)</f>
        <v>Saint-Jérôme</v>
      </c>
      <c r="Q1624" s="9" t="str">
        <f>IFERROR($P1624,PROPER(VLOOKUP($O1624,'Villes en erreur'!$A$2:$B$72,2,FALSE)))</f>
        <v>Saint-Jérôme</v>
      </c>
      <c r="R1624" s="9" t="s">
        <v>3186</v>
      </c>
      <c r="S1624" s="9" t="str">
        <f>IF(ISBLANK($R1624),"",VLOOKUP($R1624,'Liste des Villes'!$B$2:$H$1128,4,FALSE))</f>
        <v>Laurentides</v>
      </c>
      <c r="T1624" s="2" t="s">
        <v>7902</v>
      </c>
      <c r="U1624" s="2" t="s">
        <v>39</v>
      </c>
      <c r="V1624" s="2" t="s">
        <v>40</v>
      </c>
      <c r="W1624" s="2" t="s">
        <v>7903</v>
      </c>
      <c r="X1624" s="2"/>
      <c r="Y1624" s="2"/>
      <c r="Z1624" s="2"/>
      <c r="AA1624" s="2" t="s">
        <v>832</v>
      </c>
      <c r="AB1624" s="2" t="s">
        <v>3221</v>
      </c>
      <c r="AC1624" s="4" t="s">
        <v>44</v>
      </c>
    </row>
    <row r="1625" spans="1:29" x14ac:dyDescent="0.25">
      <c r="A1625" s="1">
        <v>572</v>
      </c>
      <c r="B1625" s="17" t="s">
        <v>7904</v>
      </c>
      <c r="C1625" s="2" t="s">
        <v>7905</v>
      </c>
      <c r="D1625" s="15" t="s">
        <v>7074</v>
      </c>
      <c r="E1625" s="9" t="s">
        <v>7906</v>
      </c>
      <c r="F1625" s="9" t="s">
        <v>56</v>
      </c>
      <c r="G1625" s="9" t="s">
        <v>577</v>
      </c>
      <c r="H1625" s="2" t="s">
        <v>60</v>
      </c>
      <c r="I1625" s="3">
        <v>35912</v>
      </c>
      <c r="J1625" s="9" t="str">
        <f t="shared" ca="1" si="27"/>
        <v>25 ans</v>
      </c>
      <c r="K1625" s="2" t="s">
        <v>123</v>
      </c>
      <c r="L1625" s="2" t="str">
        <f>"159"</f>
        <v>159</v>
      </c>
      <c r="M1625" s="2"/>
      <c r="N1625" s="2" t="str">
        <f>"MONTEE DU TERROIR"</f>
        <v>MONTEE DU TERROIR</v>
      </c>
      <c r="O1625" s="2" t="s">
        <v>3185</v>
      </c>
      <c r="P1625" s="9" t="str">
        <f>VLOOKUP($O1625,'Liste des Villes'!$B$2:$B$1128,1,FALSE)</f>
        <v>Saint-Jérôme</v>
      </c>
      <c r="Q1625" s="9" t="str">
        <f>IFERROR($P1625,PROPER(VLOOKUP($O1625,'Villes en erreur'!$A$2:$B$72,2,FALSE)))</f>
        <v>Saint-Jérôme</v>
      </c>
      <c r="R1625" s="9" t="s">
        <v>3186</v>
      </c>
      <c r="S1625" s="9" t="str">
        <f>IF(ISBLANK($R1625),"",VLOOKUP($R1625,'Liste des Villes'!$B$2:$H$1128,4,FALSE))</f>
        <v>Laurentides</v>
      </c>
      <c r="T1625" s="2" t="s">
        <v>7907</v>
      </c>
      <c r="U1625" s="2" t="s">
        <v>39</v>
      </c>
      <c r="V1625" s="2" t="s">
        <v>40</v>
      </c>
      <c r="W1625" s="2" t="s">
        <v>7908</v>
      </c>
      <c r="X1625" s="2"/>
      <c r="Y1625" s="2"/>
      <c r="Z1625" s="2"/>
      <c r="AA1625" s="2" t="s">
        <v>3243</v>
      </c>
      <c r="AB1625" s="2" t="s">
        <v>3221</v>
      </c>
      <c r="AC1625" s="4" t="s">
        <v>44</v>
      </c>
    </row>
    <row r="1626" spans="1:29" x14ac:dyDescent="0.25">
      <c r="A1626" s="1">
        <v>827</v>
      </c>
      <c r="B1626" s="17" t="s">
        <v>7909</v>
      </c>
      <c r="C1626" s="2" t="s">
        <v>7910</v>
      </c>
      <c r="D1626" s="15" t="s">
        <v>304</v>
      </c>
      <c r="E1626" s="9" t="s">
        <v>7911</v>
      </c>
      <c r="F1626" s="9" t="s">
        <v>1767</v>
      </c>
      <c r="G1626" s="9" t="s">
        <v>3375</v>
      </c>
      <c r="H1626" s="2" t="s">
        <v>60</v>
      </c>
      <c r="I1626" s="3">
        <v>36218</v>
      </c>
      <c r="J1626" s="9" t="str">
        <f t="shared" ca="1" si="27"/>
        <v>24 ans</v>
      </c>
      <c r="K1626" s="2" t="s">
        <v>123</v>
      </c>
      <c r="L1626" s="2" t="str">
        <f>"253"</f>
        <v>253</v>
      </c>
      <c r="M1626" s="2"/>
      <c r="N1626" s="2" t="str">
        <f>"RUE BEAUCHESNE"</f>
        <v>RUE BEAUCHESNE</v>
      </c>
      <c r="O1626" s="2" t="s">
        <v>3185</v>
      </c>
      <c r="P1626" s="9" t="str">
        <f>VLOOKUP($O1626,'Liste des Villes'!$B$2:$B$1128,1,FALSE)</f>
        <v>Saint-Jérôme</v>
      </c>
      <c r="Q1626" s="9" t="str">
        <f>IFERROR($P1626,PROPER(VLOOKUP($O1626,'Villes en erreur'!$A$2:$B$72,2,FALSE)))</f>
        <v>Saint-Jérôme</v>
      </c>
      <c r="R1626" s="9" t="s">
        <v>3186</v>
      </c>
      <c r="S1626" s="9" t="str">
        <f>IF(ISBLANK($R1626),"",VLOOKUP($R1626,'Liste des Villes'!$B$2:$H$1128,4,FALSE))</f>
        <v>Laurentides</v>
      </c>
      <c r="T1626" s="2" t="s">
        <v>7912</v>
      </c>
      <c r="U1626" s="2" t="s">
        <v>39</v>
      </c>
      <c r="V1626" s="2" t="s">
        <v>40</v>
      </c>
      <c r="W1626" s="2" t="s">
        <v>7913</v>
      </c>
      <c r="X1626" s="2"/>
      <c r="Y1626" s="2"/>
      <c r="Z1626" s="2"/>
      <c r="AA1626" s="2" t="s">
        <v>832</v>
      </c>
      <c r="AB1626" s="2" t="s">
        <v>3288</v>
      </c>
      <c r="AC1626" s="4" t="s">
        <v>44</v>
      </c>
    </row>
    <row r="1627" spans="1:29" x14ac:dyDescent="0.25">
      <c r="A1627" s="1">
        <v>59</v>
      </c>
      <c r="B1627" s="17" t="s">
        <v>7914</v>
      </c>
      <c r="C1627" s="2" t="s">
        <v>7915</v>
      </c>
      <c r="D1627" s="15" t="s">
        <v>7916</v>
      </c>
      <c r="E1627" s="9" t="s">
        <v>219</v>
      </c>
      <c r="F1627" s="9" t="s">
        <v>4978</v>
      </c>
      <c r="G1627" s="9" t="s">
        <v>2796</v>
      </c>
      <c r="H1627" s="2" t="s">
        <v>35</v>
      </c>
      <c r="I1627" s="3">
        <v>35276</v>
      </c>
      <c r="J1627" s="9" t="str">
        <f t="shared" ca="1" si="27"/>
        <v>27 ans</v>
      </c>
      <c r="K1627" s="2" t="s">
        <v>36</v>
      </c>
      <c r="L1627" s="2" t="str">
        <f>"107"</f>
        <v>107</v>
      </c>
      <c r="M1627" s="2"/>
      <c r="N1627" s="2" t="str">
        <f>"CHEMIN DE LA RIVIÈRE"</f>
        <v>CHEMIN DE LA RIVIÈRE</v>
      </c>
      <c r="O1627" s="2" t="s">
        <v>3185</v>
      </c>
      <c r="P1627" s="9" t="str">
        <f>VLOOKUP($O1627,'Liste des Villes'!$B$2:$B$1128,1,FALSE)</f>
        <v>Saint-Jérôme</v>
      </c>
      <c r="Q1627" s="9" t="str">
        <f>IFERROR($P1627,PROPER(VLOOKUP($O1627,'Villes en erreur'!$A$2:$B$72,2,FALSE)))</f>
        <v>Saint-Jérôme</v>
      </c>
      <c r="R1627" s="9" t="s">
        <v>3186</v>
      </c>
      <c r="S1627" s="9" t="str">
        <f>IF(ISBLANK($R1627),"",VLOOKUP($R1627,'Liste des Villes'!$B$2:$H$1128,4,FALSE))</f>
        <v>Laurentides</v>
      </c>
      <c r="T1627" s="2" t="s">
        <v>6431</v>
      </c>
      <c r="U1627" s="2" t="s">
        <v>39</v>
      </c>
      <c r="V1627" s="2" t="s">
        <v>40</v>
      </c>
      <c r="W1627" s="2" t="s">
        <v>7917</v>
      </c>
      <c r="X1627" s="2"/>
      <c r="Y1627" s="2"/>
      <c r="Z1627" s="2"/>
      <c r="AA1627" s="2" t="s">
        <v>3189</v>
      </c>
      <c r="AB1627" s="2" t="s">
        <v>3190</v>
      </c>
      <c r="AC1627" s="4" t="s">
        <v>44</v>
      </c>
    </row>
    <row r="1628" spans="1:29" x14ac:dyDescent="0.25">
      <c r="A1628" s="1">
        <v>3915</v>
      </c>
      <c r="B1628" s="17" t="s">
        <v>7918</v>
      </c>
      <c r="C1628" s="2" t="s">
        <v>7919</v>
      </c>
      <c r="D1628" s="15" t="s">
        <v>7920</v>
      </c>
      <c r="E1628" s="9" t="s">
        <v>2398</v>
      </c>
      <c r="F1628" s="9" t="s">
        <v>617</v>
      </c>
      <c r="G1628" s="9" t="s">
        <v>3531</v>
      </c>
      <c r="H1628" s="2" t="s">
        <v>60</v>
      </c>
      <c r="I1628" s="3">
        <v>35516</v>
      </c>
      <c r="J1628" s="9" t="str">
        <f t="shared" ca="1" si="27"/>
        <v>26 ans</v>
      </c>
      <c r="K1628" s="2" t="s">
        <v>36</v>
      </c>
      <c r="L1628" s="2" t="str">
        <f>"120"</f>
        <v>120</v>
      </c>
      <c r="M1628" s="2"/>
      <c r="N1628" s="2" t="str">
        <f>"CLOS-CRISTAL"</f>
        <v>CLOS-CRISTAL</v>
      </c>
      <c r="O1628" s="2" t="s">
        <v>3185</v>
      </c>
      <c r="P1628" s="9" t="str">
        <f>VLOOKUP($O1628,'Liste des Villes'!$B$2:$B$1128,1,FALSE)</f>
        <v>Saint-Jérôme</v>
      </c>
      <c r="Q1628" s="9" t="str">
        <f>IFERROR($P1628,PROPER(VLOOKUP($O1628,'Villes en erreur'!$A$2:$B$72,2,FALSE)))</f>
        <v>Saint-Jérôme</v>
      </c>
      <c r="R1628" s="9" t="s">
        <v>3186</v>
      </c>
      <c r="S1628" s="9" t="str">
        <f>IF(ISBLANK($R1628),"",VLOOKUP($R1628,'Liste des Villes'!$B$2:$H$1128,4,FALSE))</f>
        <v>Laurentides</v>
      </c>
      <c r="T1628" s="2" t="s">
        <v>3532</v>
      </c>
      <c r="U1628" s="2" t="s">
        <v>39</v>
      </c>
      <c r="V1628" s="2" t="s">
        <v>40</v>
      </c>
      <c r="W1628" s="2" t="s">
        <v>7921</v>
      </c>
      <c r="X1628" s="2"/>
      <c r="Y1628" s="2"/>
      <c r="Z1628" s="2"/>
      <c r="AA1628" s="2" t="s">
        <v>3199</v>
      </c>
      <c r="AB1628" s="2" t="s">
        <v>3200</v>
      </c>
      <c r="AC1628" s="4" t="s">
        <v>44</v>
      </c>
    </row>
    <row r="1629" spans="1:29" x14ac:dyDescent="0.25">
      <c r="A1629" s="1">
        <v>3752</v>
      </c>
      <c r="B1629" s="17" t="s">
        <v>7922</v>
      </c>
      <c r="C1629" s="2" t="s">
        <v>7923</v>
      </c>
      <c r="D1629" s="15" t="s">
        <v>7924</v>
      </c>
      <c r="E1629" s="9" t="s">
        <v>7925</v>
      </c>
      <c r="F1629" s="9" t="s">
        <v>7926</v>
      </c>
      <c r="G1629" s="9" t="s">
        <v>600</v>
      </c>
      <c r="H1629" s="2" t="s">
        <v>60</v>
      </c>
      <c r="I1629" s="3">
        <v>35986</v>
      </c>
      <c r="J1629" s="9" t="str">
        <f t="shared" ca="1" si="27"/>
        <v>25 ans</v>
      </c>
      <c r="K1629" s="2" t="s">
        <v>123</v>
      </c>
      <c r="L1629" s="2" t="str">
        <f>"172"</f>
        <v>172</v>
      </c>
      <c r="M1629" s="2"/>
      <c r="N1629" s="2" t="str">
        <f>"PLACE CALEDONIE"</f>
        <v>PLACE CALEDONIE</v>
      </c>
      <c r="O1629" s="2" t="s">
        <v>3185</v>
      </c>
      <c r="P1629" s="9" t="str">
        <f>VLOOKUP($O1629,'Liste des Villes'!$B$2:$B$1128,1,FALSE)</f>
        <v>Saint-Jérôme</v>
      </c>
      <c r="Q1629" s="9" t="str">
        <f>IFERROR($P1629,PROPER(VLOOKUP($O1629,'Villes en erreur'!$A$2:$B$72,2,FALSE)))</f>
        <v>Saint-Jérôme</v>
      </c>
      <c r="R1629" s="9" t="s">
        <v>3186</v>
      </c>
      <c r="S1629" s="9" t="str">
        <f>IF(ISBLANK($R1629),"",VLOOKUP($R1629,'Liste des Villes'!$B$2:$H$1128,4,FALSE))</f>
        <v>Laurentides</v>
      </c>
      <c r="T1629" s="2" t="s">
        <v>7927</v>
      </c>
      <c r="U1629" s="2" t="s">
        <v>39</v>
      </c>
      <c r="V1629" s="2" t="s">
        <v>40</v>
      </c>
      <c r="W1629" s="2" t="s">
        <v>7928</v>
      </c>
      <c r="X1629" s="2"/>
      <c r="Y1629" s="2"/>
      <c r="Z1629" s="2"/>
      <c r="AA1629" s="2" t="s">
        <v>832</v>
      </c>
      <c r="AB1629" s="2" t="s">
        <v>3221</v>
      </c>
      <c r="AC1629" s="4" t="s">
        <v>44</v>
      </c>
    </row>
    <row r="1630" spans="1:29" x14ac:dyDescent="0.25">
      <c r="A1630" s="1">
        <v>694</v>
      </c>
      <c r="B1630" s="17" t="s">
        <v>7929</v>
      </c>
      <c r="C1630" s="2" t="s">
        <v>7930</v>
      </c>
      <c r="D1630" s="15" t="s">
        <v>7931</v>
      </c>
      <c r="E1630" s="9" t="s">
        <v>179</v>
      </c>
      <c r="F1630" s="9" t="s">
        <v>1024</v>
      </c>
      <c r="G1630" s="9" t="s">
        <v>332</v>
      </c>
      <c r="H1630" s="2" t="s">
        <v>60</v>
      </c>
      <c r="I1630" s="3">
        <v>35537</v>
      </c>
      <c r="J1630" s="9" t="str">
        <f t="shared" ca="1" si="27"/>
        <v>26 ans</v>
      </c>
      <c r="K1630" s="2" t="s">
        <v>36</v>
      </c>
      <c r="L1630" s="2" t="str">
        <f>"121"</f>
        <v>121</v>
      </c>
      <c r="M1630" s="2"/>
      <c r="N1630" s="2" t="str">
        <f>"COTE SAINT-NICHOLAS"</f>
        <v>COTE SAINT-NICHOLAS</v>
      </c>
      <c r="O1630" s="2" t="s">
        <v>3185</v>
      </c>
      <c r="P1630" s="9" t="str">
        <f>VLOOKUP($O1630,'Liste des Villes'!$B$2:$B$1128,1,FALSE)</f>
        <v>Saint-Jérôme</v>
      </c>
      <c r="Q1630" s="9" t="str">
        <f>IFERROR($P1630,PROPER(VLOOKUP($O1630,'Villes en erreur'!$A$2:$B$72,2,FALSE)))</f>
        <v>Saint-Jérôme</v>
      </c>
      <c r="R1630" s="9" t="s">
        <v>3186</v>
      </c>
      <c r="S1630" s="9" t="str">
        <f>IF(ISBLANK($R1630),"",VLOOKUP($R1630,'Liste des Villes'!$B$2:$H$1128,4,FALSE))</f>
        <v>Laurentides</v>
      </c>
      <c r="T1630" s="2" t="s">
        <v>3532</v>
      </c>
      <c r="U1630" s="2" t="s">
        <v>39</v>
      </c>
      <c r="V1630" s="2" t="s">
        <v>40</v>
      </c>
      <c r="W1630" s="2" t="s">
        <v>7932</v>
      </c>
      <c r="X1630" s="2"/>
      <c r="Y1630" s="2"/>
      <c r="Z1630" s="2"/>
      <c r="AA1630" s="2" t="s">
        <v>3199</v>
      </c>
      <c r="AB1630" s="2" t="s">
        <v>3200</v>
      </c>
      <c r="AC1630" s="4" t="s">
        <v>44</v>
      </c>
    </row>
    <row r="1631" spans="1:29" x14ac:dyDescent="0.25">
      <c r="A1631" s="1">
        <v>998</v>
      </c>
      <c r="B1631" s="17" t="s">
        <v>7933</v>
      </c>
      <c r="C1631" s="2" t="s">
        <v>7934</v>
      </c>
      <c r="D1631" s="15" t="s">
        <v>2476</v>
      </c>
      <c r="E1631" s="9" t="s">
        <v>3162</v>
      </c>
      <c r="F1631" s="9" t="s">
        <v>2474</v>
      </c>
      <c r="G1631" s="9" t="s">
        <v>600</v>
      </c>
      <c r="H1631" s="2" t="s">
        <v>60</v>
      </c>
      <c r="I1631" s="3">
        <v>35995</v>
      </c>
      <c r="J1631" s="9" t="str">
        <f t="shared" ca="1" si="27"/>
        <v>25 ans</v>
      </c>
      <c r="K1631" s="2" t="s">
        <v>123</v>
      </c>
      <c r="L1631" s="2" t="str">
        <f>"174"</f>
        <v>174</v>
      </c>
      <c r="M1631" s="2"/>
      <c r="N1631" s="2" t="str">
        <f>"PLACE DE L'AVIRON"</f>
        <v>PLACE DE L'AVIRON</v>
      </c>
      <c r="O1631" s="2" t="s">
        <v>3185</v>
      </c>
      <c r="P1631" s="9" t="str">
        <f>VLOOKUP($O1631,'Liste des Villes'!$B$2:$B$1128,1,FALSE)</f>
        <v>Saint-Jérôme</v>
      </c>
      <c r="Q1631" s="9" t="str">
        <f>IFERROR($P1631,PROPER(VLOOKUP($O1631,'Villes en erreur'!$A$2:$B$72,2,FALSE)))</f>
        <v>Saint-Jérôme</v>
      </c>
      <c r="R1631" s="9" t="s">
        <v>3186</v>
      </c>
      <c r="S1631" s="9" t="str">
        <f>IF(ISBLANK($R1631),"",VLOOKUP($R1631,'Liste des Villes'!$B$2:$H$1128,4,FALSE))</f>
        <v>Laurentides</v>
      </c>
      <c r="T1631" s="2" t="s">
        <v>4386</v>
      </c>
      <c r="U1631" s="2" t="s">
        <v>39</v>
      </c>
      <c r="V1631" s="2" t="s">
        <v>40</v>
      </c>
      <c r="W1631" s="2" t="s">
        <v>7935</v>
      </c>
      <c r="X1631" s="2"/>
      <c r="Y1631" s="2"/>
      <c r="Z1631" s="2"/>
      <c r="AA1631" s="2" t="s">
        <v>832</v>
      </c>
      <c r="AB1631" s="2" t="s">
        <v>3221</v>
      </c>
      <c r="AC1631" s="4" t="s">
        <v>44</v>
      </c>
    </row>
    <row r="1632" spans="1:29" x14ac:dyDescent="0.25">
      <c r="A1632" s="1">
        <v>3794</v>
      </c>
      <c r="B1632" s="17" t="s">
        <v>7936</v>
      </c>
      <c r="C1632" s="2" t="s">
        <v>7937</v>
      </c>
      <c r="D1632" s="15" t="s">
        <v>1990</v>
      </c>
      <c r="E1632" s="9" t="s">
        <v>7938</v>
      </c>
      <c r="F1632" s="9" t="s">
        <v>164</v>
      </c>
      <c r="G1632" s="9" t="s">
        <v>1560</v>
      </c>
      <c r="H1632" s="2" t="s">
        <v>35</v>
      </c>
      <c r="I1632" s="3">
        <v>35635</v>
      </c>
      <c r="J1632" s="9" t="str">
        <f t="shared" ca="1" si="27"/>
        <v>26 ans</v>
      </c>
      <c r="K1632" s="2" t="s">
        <v>36</v>
      </c>
      <c r="L1632" s="2" t="str">
        <f>"130"</f>
        <v>130</v>
      </c>
      <c r="M1632" s="2"/>
      <c r="N1632" s="2" t="str">
        <f>"DE L'EAU-VIVE"</f>
        <v>DE L'EAU-VIVE</v>
      </c>
      <c r="O1632" s="2" t="s">
        <v>3185</v>
      </c>
      <c r="P1632" s="9" t="str">
        <f>VLOOKUP($O1632,'Liste des Villes'!$B$2:$B$1128,1,FALSE)</f>
        <v>Saint-Jérôme</v>
      </c>
      <c r="Q1632" s="9" t="str">
        <f>IFERROR($P1632,PROPER(VLOOKUP($O1632,'Villes en erreur'!$A$2:$B$72,2,FALSE)))</f>
        <v>Saint-Jérôme</v>
      </c>
      <c r="R1632" s="9" t="s">
        <v>3186</v>
      </c>
      <c r="S1632" s="9" t="str">
        <f>IF(ISBLANK($R1632),"",VLOOKUP($R1632,'Liste des Villes'!$B$2:$H$1128,4,FALSE))</f>
        <v>Laurentides</v>
      </c>
      <c r="T1632" s="2" t="s">
        <v>7939</v>
      </c>
      <c r="U1632" s="2" t="s">
        <v>39</v>
      </c>
      <c r="V1632" s="2" t="s">
        <v>40</v>
      </c>
      <c r="W1632" s="2" t="s">
        <v>7940</v>
      </c>
      <c r="X1632" s="2"/>
      <c r="Y1632" s="2"/>
      <c r="Z1632" s="2"/>
      <c r="AA1632" s="2" t="s">
        <v>3243</v>
      </c>
      <c r="AB1632" s="2" t="s">
        <v>3221</v>
      </c>
      <c r="AC1632" s="4" t="s">
        <v>44</v>
      </c>
    </row>
    <row r="1633" spans="1:29" x14ac:dyDescent="0.25">
      <c r="A1633" s="1">
        <v>2867</v>
      </c>
      <c r="B1633" s="17" t="s">
        <v>7941</v>
      </c>
      <c r="C1633" s="2" t="s">
        <v>2009</v>
      </c>
      <c r="D1633" s="15" t="s">
        <v>1076</v>
      </c>
      <c r="E1633" s="9" t="s">
        <v>332</v>
      </c>
      <c r="F1633" s="9" t="s">
        <v>4902</v>
      </c>
      <c r="G1633" s="9" t="s">
        <v>495</v>
      </c>
      <c r="H1633" s="2" t="s">
        <v>35</v>
      </c>
      <c r="I1633" s="3">
        <v>34669</v>
      </c>
      <c r="J1633" s="9" t="str">
        <f t="shared" ca="1" si="27"/>
        <v>28 ans</v>
      </c>
      <c r="K1633" s="2" t="s">
        <v>36</v>
      </c>
      <c r="L1633" s="2" t="str">
        <f>"70"</f>
        <v>70</v>
      </c>
      <c r="M1633" s="2"/>
      <c r="N1633" s="2" t="str">
        <f>"CH DE LA RIVIÈRE-DU-NORD"</f>
        <v>CH DE LA RIVIÈRE-DU-NORD</v>
      </c>
      <c r="O1633" s="2" t="s">
        <v>3185</v>
      </c>
      <c r="P1633" s="9" t="str">
        <f>VLOOKUP($O1633,'Liste des Villes'!$B$2:$B$1128,1,FALSE)</f>
        <v>Saint-Jérôme</v>
      </c>
      <c r="Q1633" s="9" t="str">
        <f>IFERROR($P1633,PROPER(VLOOKUP($O1633,'Villes en erreur'!$A$2:$B$72,2,FALSE)))</f>
        <v>Saint-Jérôme</v>
      </c>
      <c r="R1633" s="9" t="s">
        <v>3186</v>
      </c>
      <c r="S1633" s="9" t="str">
        <f>IF(ISBLANK($R1633),"",VLOOKUP($R1633,'Liste des Villes'!$B$2:$H$1128,4,FALSE))</f>
        <v>Laurentides</v>
      </c>
      <c r="T1633" s="2" t="s">
        <v>4119</v>
      </c>
      <c r="U1633" s="2" t="s">
        <v>39</v>
      </c>
      <c r="V1633" s="2" t="s">
        <v>40</v>
      </c>
      <c r="W1633" s="2" t="s">
        <v>7942</v>
      </c>
      <c r="X1633" s="2"/>
      <c r="Y1633" s="2"/>
      <c r="Z1633" s="2"/>
      <c r="AA1633" s="2" t="s">
        <v>3225</v>
      </c>
      <c r="AB1633" s="2" t="s">
        <v>53</v>
      </c>
      <c r="AC1633" s="4" t="s">
        <v>44</v>
      </c>
    </row>
    <row r="1634" spans="1:29" x14ac:dyDescent="0.25">
      <c r="A1634" s="1">
        <v>4326</v>
      </c>
      <c r="B1634" s="17" t="s">
        <v>7943</v>
      </c>
      <c r="C1634" s="2" t="s">
        <v>7944</v>
      </c>
      <c r="D1634" s="15" t="s">
        <v>7945</v>
      </c>
      <c r="E1634" s="9" t="s">
        <v>450</v>
      </c>
      <c r="F1634" s="9" t="s">
        <v>7946</v>
      </c>
      <c r="G1634" s="9" t="s">
        <v>7947</v>
      </c>
      <c r="H1634" s="2" t="s">
        <v>60</v>
      </c>
      <c r="I1634" s="3">
        <v>35475</v>
      </c>
      <c r="J1634" s="9" t="str">
        <f t="shared" ca="1" si="27"/>
        <v>26 ans</v>
      </c>
      <c r="K1634" s="2" t="s">
        <v>36</v>
      </c>
      <c r="L1634" s="2" t="str">
        <f>"117"</f>
        <v>117</v>
      </c>
      <c r="M1634" s="2"/>
      <c r="N1634" s="2" t="str">
        <f>"CHEMIN LADOUCEUR"</f>
        <v>CHEMIN LADOUCEUR</v>
      </c>
      <c r="O1634" s="2" t="s">
        <v>3185</v>
      </c>
      <c r="P1634" s="9" t="str">
        <f>VLOOKUP($O1634,'Liste des Villes'!$B$2:$B$1128,1,FALSE)</f>
        <v>Saint-Jérôme</v>
      </c>
      <c r="Q1634" s="9" t="str">
        <f>IFERROR($P1634,PROPER(VLOOKUP($O1634,'Villes en erreur'!$A$2:$B$72,2,FALSE)))</f>
        <v>Saint-Jérôme</v>
      </c>
      <c r="R1634" s="9" t="s">
        <v>3186</v>
      </c>
      <c r="S1634" s="9" t="str">
        <f>IF(ISBLANK($R1634),"",VLOOKUP($R1634,'Liste des Villes'!$B$2:$H$1128,4,FALSE))</f>
        <v>Laurentides</v>
      </c>
      <c r="T1634" s="2" t="s">
        <v>6932</v>
      </c>
      <c r="U1634" s="2" t="s">
        <v>39</v>
      </c>
      <c r="V1634" s="2" t="s">
        <v>40</v>
      </c>
      <c r="W1634" s="2" t="s">
        <v>7948</v>
      </c>
      <c r="X1634" s="2"/>
      <c r="Y1634" s="2"/>
      <c r="Z1634" s="2"/>
      <c r="AA1634" s="2" t="s">
        <v>3199</v>
      </c>
      <c r="AB1634" s="2" t="s">
        <v>3200</v>
      </c>
      <c r="AC1634" s="4" t="s">
        <v>44</v>
      </c>
    </row>
    <row r="1635" spans="1:29" x14ac:dyDescent="0.25">
      <c r="A1635" s="1">
        <v>1045</v>
      </c>
      <c r="B1635" s="17" t="s">
        <v>7949</v>
      </c>
      <c r="C1635" s="2" t="s">
        <v>5537</v>
      </c>
      <c r="D1635" s="15" t="s">
        <v>5538</v>
      </c>
      <c r="E1635" s="9" t="s">
        <v>1236</v>
      </c>
      <c r="F1635" s="9" t="s">
        <v>7950</v>
      </c>
      <c r="G1635" s="9" t="s">
        <v>32</v>
      </c>
      <c r="H1635" s="2" t="s">
        <v>60</v>
      </c>
      <c r="I1635" s="3">
        <v>35752</v>
      </c>
      <c r="J1635" s="9" t="str">
        <f t="shared" ca="1" si="27"/>
        <v>25 ans</v>
      </c>
      <c r="K1635" s="2" t="s">
        <v>123</v>
      </c>
      <c r="L1635" s="2" t="str">
        <f>"140"</f>
        <v>140</v>
      </c>
      <c r="M1635" s="2"/>
      <c r="N1635" s="2" t="str">
        <f>"DU JADE"</f>
        <v>DU JADE</v>
      </c>
      <c r="O1635" s="2" t="s">
        <v>3185</v>
      </c>
      <c r="P1635" s="9" t="str">
        <f>VLOOKUP($O1635,'Liste des Villes'!$B$2:$B$1128,1,FALSE)</f>
        <v>Saint-Jérôme</v>
      </c>
      <c r="Q1635" s="9" t="str">
        <f>IFERROR($P1635,PROPER(VLOOKUP($O1635,'Villes en erreur'!$A$2:$B$72,2,FALSE)))</f>
        <v>Saint-Jérôme</v>
      </c>
      <c r="R1635" s="9" t="s">
        <v>3186</v>
      </c>
      <c r="S1635" s="9" t="str">
        <f>IF(ISBLANK($R1635),"",VLOOKUP($R1635,'Liste des Villes'!$B$2:$H$1128,4,FALSE))</f>
        <v>Laurentides</v>
      </c>
      <c r="T1635" s="2" t="s">
        <v>5682</v>
      </c>
      <c r="U1635" s="2" t="s">
        <v>39</v>
      </c>
      <c r="V1635" s="2" t="s">
        <v>40</v>
      </c>
      <c r="W1635" s="2" t="s">
        <v>7951</v>
      </c>
      <c r="X1635" s="2"/>
      <c r="Y1635" s="2"/>
      <c r="Z1635" s="2"/>
      <c r="AA1635" s="2" t="s">
        <v>3243</v>
      </c>
      <c r="AB1635" s="2" t="s">
        <v>3221</v>
      </c>
      <c r="AC1635" s="4" t="s">
        <v>44</v>
      </c>
    </row>
    <row r="1636" spans="1:29" x14ac:dyDescent="0.25">
      <c r="A1636" s="1">
        <v>415</v>
      </c>
      <c r="B1636" s="17" t="s">
        <v>7952</v>
      </c>
      <c r="C1636" s="2" t="s">
        <v>7953</v>
      </c>
      <c r="D1636" s="15" t="s">
        <v>1746</v>
      </c>
      <c r="E1636" s="9" t="s">
        <v>1135</v>
      </c>
      <c r="F1636" s="9" t="s">
        <v>1744</v>
      </c>
      <c r="G1636" s="9" t="s">
        <v>1024</v>
      </c>
      <c r="H1636" s="2" t="s">
        <v>35</v>
      </c>
      <c r="I1636" s="3">
        <v>36187</v>
      </c>
      <c r="J1636" s="9" t="str">
        <f t="shared" ca="1" si="27"/>
        <v>24 ans</v>
      </c>
      <c r="K1636" s="2" t="s">
        <v>123</v>
      </c>
      <c r="L1636" s="2" t="str">
        <f>"236"</f>
        <v>236</v>
      </c>
      <c r="M1636" s="2"/>
      <c r="N1636" s="2" t="str">
        <f>"RUE ANGÈLE-MORAND"</f>
        <v>RUE ANGÈLE-MORAND</v>
      </c>
      <c r="O1636" s="2" t="s">
        <v>3185</v>
      </c>
      <c r="P1636" s="9" t="str">
        <f>VLOOKUP($O1636,'Liste des Villes'!$B$2:$B$1128,1,FALSE)</f>
        <v>Saint-Jérôme</v>
      </c>
      <c r="Q1636" s="9" t="str">
        <f>IFERROR($P1636,PROPER(VLOOKUP($O1636,'Villes en erreur'!$A$2:$B$72,2,FALSE)))</f>
        <v>Saint-Jérôme</v>
      </c>
      <c r="R1636" s="9" t="s">
        <v>3186</v>
      </c>
      <c r="S1636" s="9" t="str">
        <f>IF(ISBLANK($R1636),"",VLOOKUP($R1636,'Liste des Villes'!$B$2:$H$1128,4,FALSE))</f>
        <v>Laurentides</v>
      </c>
      <c r="T1636" s="2" t="s">
        <v>7954</v>
      </c>
      <c r="U1636" s="2" t="s">
        <v>39</v>
      </c>
      <c r="V1636" s="2" t="s">
        <v>40</v>
      </c>
      <c r="W1636" s="2" t="s">
        <v>7955</v>
      </c>
      <c r="X1636" s="2"/>
      <c r="Y1636" s="2"/>
      <c r="Z1636" s="2"/>
      <c r="AA1636" s="2" t="s">
        <v>832</v>
      </c>
      <c r="AB1636" s="2" t="s">
        <v>4693</v>
      </c>
      <c r="AC1636" s="4" t="s">
        <v>44</v>
      </c>
    </row>
    <row r="1637" spans="1:29" x14ac:dyDescent="0.25">
      <c r="A1637" s="1">
        <v>3173</v>
      </c>
      <c r="B1637" s="17" t="s">
        <v>7956</v>
      </c>
      <c r="C1637" s="2" t="s">
        <v>7957</v>
      </c>
      <c r="D1637" s="15" t="s">
        <v>7958</v>
      </c>
      <c r="E1637" s="9" t="s">
        <v>1246</v>
      </c>
      <c r="F1637" s="9" t="s">
        <v>7959</v>
      </c>
      <c r="G1637" s="9" t="s">
        <v>7235</v>
      </c>
      <c r="H1637" s="2" t="s">
        <v>35</v>
      </c>
      <c r="I1637" s="3">
        <v>35842</v>
      </c>
      <c r="J1637" s="9" t="str">
        <f t="shared" ca="1" si="27"/>
        <v>25 ans</v>
      </c>
      <c r="K1637" s="2" t="s">
        <v>123</v>
      </c>
      <c r="L1637" s="2" t="str">
        <f>"147"</f>
        <v>147</v>
      </c>
      <c r="M1637" s="2"/>
      <c r="N1637" s="2" t="str">
        <f>"LAPOINTE"</f>
        <v>LAPOINTE</v>
      </c>
      <c r="O1637" s="2" t="s">
        <v>3185</v>
      </c>
      <c r="P1637" s="9" t="str">
        <f>VLOOKUP($O1637,'Liste des Villes'!$B$2:$B$1128,1,FALSE)</f>
        <v>Saint-Jérôme</v>
      </c>
      <c r="Q1637" s="9" t="str">
        <f>IFERROR($P1637,PROPER(VLOOKUP($O1637,'Villes en erreur'!$A$2:$B$72,2,FALSE)))</f>
        <v>Saint-Jérôme</v>
      </c>
      <c r="R1637" s="9" t="s">
        <v>3186</v>
      </c>
      <c r="S1637" s="9" t="str">
        <f>IF(ISBLANK($R1637),"",VLOOKUP($R1637,'Liste des Villes'!$B$2:$H$1128,4,FALSE))</f>
        <v>Laurentides</v>
      </c>
      <c r="T1637" s="2" t="s">
        <v>7960</v>
      </c>
      <c r="U1637" s="2" t="s">
        <v>39</v>
      </c>
      <c r="V1637" s="2" t="s">
        <v>40</v>
      </c>
      <c r="W1637" s="2" t="s">
        <v>7961</v>
      </c>
      <c r="X1637" s="2"/>
      <c r="Y1637" s="2"/>
      <c r="Z1637" s="2"/>
      <c r="AA1637" s="2" t="s">
        <v>3243</v>
      </c>
      <c r="AB1637" s="2" t="s">
        <v>3221</v>
      </c>
      <c r="AC1637" s="4" t="s">
        <v>44</v>
      </c>
    </row>
    <row r="1638" spans="1:29" x14ac:dyDescent="0.25">
      <c r="A1638" s="1">
        <v>2819</v>
      </c>
      <c r="B1638" s="17" t="s">
        <v>7962</v>
      </c>
      <c r="C1638" s="2" t="s">
        <v>7963</v>
      </c>
      <c r="D1638" s="15" t="s">
        <v>7964</v>
      </c>
      <c r="E1638" s="9" t="s">
        <v>5629</v>
      </c>
      <c r="F1638" s="9" t="s">
        <v>7965</v>
      </c>
      <c r="G1638" s="9" t="s">
        <v>332</v>
      </c>
      <c r="H1638" s="2" t="s">
        <v>60</v>
      </c>
      <c r="I1638" s="3">
        <v>35573</v>
      </c>
      <c r="J1638" s="9" t="str">
        <f t="shared" ca="1" si="27"/>
        <v>26 ans</v>
      </c>
      <c r="K1638" s="2" t="s">
        <v>36</v>
      </c>
      <c r="L1638" s="2" t="str">
        <f>"125"</f>
        <v>125</v>
      </c>
      <c r="M1638" s="2"/>
      <c r="N1638" s="2" t="str">
        <f>"CROIS LEMIEUX"</f>
        <v>CROIS LEMIEUX</v>
      </c>
      <c r="O1638" s="2" t="s">
        <v>3185</v>
      </c>
      <c r="P1638" s="9" t="str">
        <f>VLOOKUP($O1638,'Liste des Villes'!$B$2:$B$1128,1,FALSE)</f>
        <v>Saint-Jérôme</v>
      </c>
      <c r="Q1638" s="9" t="str">
        <f>IFERROR($P1638,PROPER(VLOOKUP($O1638,'Villes en erreur'!$A$2:$B$72,2,FALSE)))</f>
        <v>Saint-Jérôme</v>
      </c>
      <c r="R1638" s="9" t="s">
        <v>3186</v>
      </c>
      <c r="S1638" s="9" t="str">
        <f>IF(ISBLANK($R1638),"",VLOOKUP($R1638,'Liste des Villes'!$B$2:$H$1128,4,FALSE))</f>
        <v>Laurentides</v>
      </c>
      <c r="T1638" s="2" t="s">
        <v>5697</v>
      </c>
      <c r="U1638" s="2" t="s">
        <v>39</v>
      </c>
      <c r="V1638" s="2" t="s">
        <v>40</v>
      </c>
      <c r="W1638" s="2" t="s">
        <v>7966</v>
      </c>
      <c r="X1638" s="2"/>
      <c r="Y1638" s="2"/>
      <c r="Z1638" s="2"/>
      <c r="AA1638" s="2" t="s">
        <v>3199</v>
      </c>
      <c r="AB1638" s="2" t="s">
        <v>3221</v>
      </c>
      <c r="AC1638" s="4" t="s">
        <v>44</v>
      </c>
    </row>
    <row r="1639" spans="1:29" x14ac:dyDescent="0.25">
      <c r="A1639" s="1">
        <v>2685</v>
      </c>
      <c r="B1639" s="17" t="s">
        <v>7967</v>
      </c>
      <c r="C1639" s="2" t="s">
        <v>310</v>
      </c>
      <c r="D1639" s="15" t="s">
        <v>311</v>
      </c>
      <c r="E1639" s="9" t="s">
        <v>99</v>
      </c>
      <c r="F1639" s="9" t="s">
        <v>312</v>
      </c>
      <c r="G1639" s="9" t="s">
        <v>7968</v>
      </c>
      <c r="H1639" s="2" t="s">
        <v>60</v>
      </c>
      <c r="I1639" s="3">
        <v>36200</v>
      </c>
      <c r="J1639" s="9" t="str">
        <f t="shared" ca="1" si="27"/>
        <v>24 ans</v>
      </c>
      <c r="K1639" s="2" t="s">
        <v>123</v>
      </c>
      <c r="L1639" s="2" t="str">
        <f>"242"</f>
        <v>242</v>
      </c>
      <c r="M1639" s="2"/>
      <c r="N1639" s="2" t="str">
        <f>"RUE ARMAND-DESFORGES"</f>
        <v>RUE ARMAND-DESFORGES</v>
      </c>
      <c r="O1639" s="2" t="s">
        <v>3185</v>
      </c>
      <c r="P1639" s="9" t="str">
        <f>VLOOKUP($O1639,'Liste des Villes'!$B$2:$B$1128,1,FALSE)</f>
        <v>Saint-Jérôme</v>
      </c>
      <c r="Q1639" s="9" t="str">
        <f>IFERROR($P1639,PROPER(VLOOKUP($O1639,'Villes en erreur'!$A$2:$B$72,2,FALSE)))</f>
        <v>Saint-Jérôme</v>
      </c>
      <c r="R1639" s="9" t="s">
        <v>3186</v>
      </c>
      <c r="S1639" s="9" t="str">
        <f>IF(ISBLANK($R1639),"",VLOOKUP($R1639,'Liste des Villes'!$B$2:$H$1128,4,FALSE))</f>
        <v>Laurentides</v>
      </c>
      <c r="T1639" s="2" t="s">
        <v>3487</v>
      </c>
      <c r="U1639" s="2" t="s">
        <v>39</v>
      </c>
      <c r="V1639" s="2" t="s">
        <v>40</v>
      </c>
      <c r="W1639" s="2" t="s">
        <v>7969</v>
      </c>
      <c r="X1639" s="2"/>
      <c r="Y1639" s="2"/>
      <c r="Z1639" s="2"/>
      <c r="AA1639" s="2" t="s">
        <v>832</v>
      </c>
      <c r="AB1639" s="2" t="s">
        <v>3288</v>
      </c>
      <c r="AC1639" s="4" t="s">
        <v>44</v>
      </c>
    </row>
    <row r="1640" spans="1:29" x14ac:dyDescent="0.25">
      <c r="A1640" s="1">
        <v>2133</v>
      </c>
      <c r="B1640" s="17" t="s">
        <v>7970</v>
      </c>
      <c r="C1640" s="2" t="s">
        <v>3136</v>
      </c>
      <c r="D1640" s="15" t="s">
        <v>944</v>
      </c>
      <c r="E1640" s="9" t="s">
        <v>233</v>
      </c>
      <c r="F1640" s="9" t="s">
        <v>5986</v>
      </c>
      <c r="G1640" s="9" t="s">
        <v>7971</v>
      </c>
      <c r="H1640" s="2" t="s">
        <v>35</v>
      </c>
      <c r="I1640" s="3">
        <v>35229</v>
      </c>
      <c r="J1640" s="9" t="str">
        <f t="shared" ca="1" si="27"/>
        <v>27 ans</v>
      </c>
      <c r="K1640" s="2" t="s">
        <v>36</v>
      </c>
      <c r="L1640" s="2" t="str">
        <f>"105"</f>
        <v>105</v>
      </c>
      <c r="M1640" s="2"/>
      <c r="N1640" s="2" t="str">
        <f>"CHEMIN BOISÉ"</f>
        <v>CHEMIN BOISÉ</v>
      </c>
      <c r="O1640" s="2" t="s">
        <v>3185</v>
      </c>
      <c r="P1640" s="9" t="str">
        <f>VLOOKUP($O1640,'Liste des Villes'!$B$2:$B$1128,1,FALSE)</f>
        <v>Saint-Jérôme</v>
      </c>
      <c r="Q1640" s="9" t="str">
        <f>IFERROR($P1640,PROPER(VLOOKUP($O1640,'Villes en erreur'!$A$2:$B$72,2,FALSE)))</f>
        <v>Saint-Jérôme</v>
      </c>
      <c r="R1640" s="9" t="s">
        <v>3186</v>
      </c>
      <c r="S1640" s="9" t="str">
        <f>IF(ISBLANK($R1640),"",VLOOKUP($R1640,'Liste des Villes'!$B$2:$H$1128,4,FALSE))</f>
        <v>Laurentides</v>
      </c>
      <c r="T1640" s="2" t="s">
        <v>3187</v>
      </c>
      <c r="U1640" s="2" t="s">
        <v>39</v>
      </c>
      <c r="V1640" s="2" t="s">
        <v>40</v>
      </c>
      <c r="W1640" s="2" t="s">
        <v>7972</v>
      </c>
      <c r="X1640" s="2"/>
      <c r="Y1640" s="2"/>
      <c r="Z1640" s="2"/>
      <c r="AA1640" s="2" t="s">
        <v>3189</v>
      </c>
      <c r="AB1640" s="2" t="s">
        <v>3190</v>
      </c>
      <c r="AC1640" s="4" t="s">
        <v>44</v>
      </c>
    </row>
    <row r="1641" spans="1:29" x14ac:dyDescent="0.25">
      <c r="A1641" s="1">
        <v>4382</v>
      </c>
      <c r="B1641" s="17" t="s">
        <v>7973</v>
      </c>
      <c r="C1641" s="2" t="s">
        <v>7974</v>
      </c>
      <c r="D1641" s="15" t="s">
        <v>7202</v>
      </c>
      <c r="E1641" s="9" t="s">
        <v>2978</v>
      </c>
      <c r="F1641" s="9" t="s">
        <v>7200</v>
      </c>
      <c r="G1641" s="9" t="s">
        <v>635</v>
      </c>
      <c r="H1641" s="2" t="s">
        <v>35</v>
      </c>
      <c r="I1641" s="3">
        <v>33940</v>
      </c>
      <c r="J1641" s="9" t="str">
        <f t="shared" ca="1" si="27"/>
        <v>30 ans</v>
      </c>
      <c r="K1641" s="2" t="s">
        <v>36</v>
      </c>
      <c r="L1641" s="2" t="str">
        <f>"41"</f>
        <v>41</v>
      </c>
      <c r="M1641" s="2"/>
      <c r="N1641" s="2" t="str">
        <f>"AVENUE SAINT JACQUES"</f>
        <v>AVENUE SAINT JACQUES</v>
      </c>
      <c r="O1641" s="2" t="s">
        <v>3185</v>
      </c>
      <c r="P1641" s="9" t="str">
        <f>VLOOKUP($O1641,'Liste des Villes'!$B$2:$B$1128,1,FALSE)</f>
        <v>Saint-Jérôme</v>
      </c>
      <c r="Q1641" s="9" t="str">
        <f>IFERROR($P1641,PROPER(VLOOKUP($O1641,'Villes en erreur'!$A$2:$B$72,2,FALSE)))</f>
        <v>Saint-Jérôme</v>
      </c>
      <c r="R1641" s="9" t="s">
        <v>3186</v>
      </c>
      <c r="S1641" s="9" t="str">
        <f>IF(ISBLANK($R1641),"",VLOOKUP($R1641,'Liste des Villes'!$B$2:$H$1128,4,FALSE))</f>
        <v>Laurentides</v>
      </c>
      <c r="T1641" s="2" t="s">
        <v>3093</v>
      </c>
      <c r="U1641" s="2" t="s">
        <v>39</v>
      </c>
      <c r="V1641" s="2" t="s">
        <v>40</v>
      </c>
      <c r="W1641" s="2" t="s">
        <v>7975</v>
      </c>
      <c r="X1641" s="2"/>
      <c r="Y1641" s="2"/>
      <c r="Z1641" s="2"/>
      <c r="AA1641" s="2" t="s">
        <v>3207</v>
      </c>
      <c r="AB1641" s="2" t="s">
        <v>53</v>
      </c>
      <c r="AC1641" s="4" t="s">
        <v>44</v>
      </c>
    </row>
    <row r="1642" spans="1:29" x14ac:dyDescent="0.25">
      <c r="A1642" s="1">
        <v>2301</v>
      </c>
      <c r="B1642" s="17" t="s">
        <v>7976</v>
      </c>
      <c r="C1642" s="2" t="s">
        <v>7977</v>
      </c>
      <c r="D1642" s="15" t="s">
        <v>1048</v>
      </c>
      <c r="E1642" s="9" t="s">
        <v>7978</v>
      </c>
      <c r="F1642" s="9" t="s">
        <v>1050</v>
      </c>
      <c r="G1642" s="9" t="s">
        <v>635</v>
      </c>
      <c r="H1642" s="2" t="s">
        <v>35</v>
      </c>
      <c r="I1642" s="3">
        <v>33832</v>
      </c>
      <c r="J1642" s="9" t="str">
        <f t="shared" ca="1" si="27"/>
        <v>31 ans</v>
      </c>
      <c r="K1642" s="2" t="s">
        <v>36</v>
      </c>
      <c r="L1642" s="2" t="str">
        <f>"39"</f>
        <v>39</v>
      </c>
      <c r="M1642" s="2"/>
      <c r="N1642" s="2" t="str">
        <f>"AVENUE DU PARC"</f>
        <v>AVENUE DU PARC</v>
      </c>
      <c r="O1642" s="2" t="s">
        <v>3185</v>
      </c>
      <c r="P1642" s="9" t="str">
        <f>VLOOKUP($O1642,'Liste des Villes'!$B$2:$B$1128,1,FALSE)</f>
        <v>Saint-Jérôme</v>
      </c>
      <c r="Q1642" s="9" t="str">
        <f>IFERROR($P1642,PROPER(VLOOKUP($O1642,'Villes en erreur'!$A$2:$B$72,2,FALSE)))</f>
        <v>Saint-Jérôme</v>
      </c>
      <c r="R1642" s="9" t="s">
        <v>3186</v>
      </c>
      <c r="S1642" s="9" t="str">
        <f>IF(ISBLANK($R1642),"",VLOOKUP($R1642,'Liste des Villes'!$B$2:$H$1128,4,FALSE))</f>
        <v>Laurentides</v>
      </c>
      <c r="T1642" s="2" t="s">
        <v>3093</v>
      </c>
      <c r="U1642" s="2" t="s">
        <v>39</v>
      </c>
      <c r="V1642" s="2" t="s">
        <v>40</v>
      </c>
      <c r="W1642" s="2" t="s">
        <v>7979</v>
      </c>
      <c r="X1642" s="2"/>
      <c r="Y1642" s="2"/>
      <c r="Z1642" s="2"/>
      <c r="AA1642" s="2" t="s">
        <v>3207</v>
      </c>
      <c r="AB1642" s="2" t="s">
        <v>53</v>
      </c>
      <c r="AC1642" s="4" t="s">
        <v>44</v>
      </c>
    </row>
    <row r="1643" spans="1:29" x14ac:dyDescent="0.25">
      <c r="A1643" s="1">
        <v>3824</v>
      </c>
      <c r="B1643" s="17" t="s">
        <v>7980</v>
      </c>
      <c r="C1643" s="2" t="s">
        <v>7981</v>
      </c>
      <c r="D1643" s="15" t="s">
        <v>7982</v>
      </c>
      <c r="E1643" s="9" t="s">
        <v>7983</v>
      </c>
      <c r="F1643" s="9" t="s">
        <v>218</v>
      </c>
      <c r="G1643" s="9" t="s">
        <v>4686</v>
      </c>
      <c r="H1643" s="2" t="s">
        <v>35</v>
      </c>
      <c r="I1643" s="3">
        <v>36089</v>
      </c>
      <c r="J1643" s="9" t="str">
        <f t="shared" ca="1" si="27"/>
        <v>24 ans</v>
      </c>
      <c r="K1643" s="2" t="s">
        <v>123</v>
      </c>
      <c r="L1643" s="2" t="str">
        <f>"205"</f>
        <v>205</v>
      </c>
      <c r="M1643" s="2"/>
      <c r="N1643" s="2" t="str">
        <f>"RICHELIEU BLVD"</f>
        <v>RICHELIEU BLVD</v>
      </c>
      <c r="O1643" s="2" t="s">
        <v>3185</v>
      </c>
      <c r="P1643" s="9" t="str">
        <f>VLOOKUP($O1643,'Liste des Villes'!$B$2:$B$1128,1,FALSE)</f>
        <v>Saint-Jérôme</v>
      </c>
      <c r="Q1643" s="9" t="str">
        <f>IFERROR($P1643,PROPER(VLOOKUP($O1643,'Villes en erreur'!$A$2:$B$72,2,FALSE)))</f>
        <v>Saint-Jérôme</v>
      </c>
      <c r="R1643" s="9" t="s">
        <v>3186</v>
      </c>
      <c r="S1643" s="9" t="str">
        <f>IF(ISBLANK($R1643),"",VLOOKUP($R1643,'Liste des Villes'!$B$2:$H$1128,4,FALSE))</f>
        <v>Laurentides</v>
      </c>
      <c r="T1643" s="2" t="s">
        <v>7984</v>
      </c>
      <c r="U1643" s="2" t="s">
        <v>39</v>
      </c>
      <c r="V1643" s="2" t="s">
        <v>40</v>
      </c>
      <c r="W1643" s="2" t="s">
        <v>7985</v>
      </c>
      <c r="X1643" s="2"/>
      <c r="Y1643" s="2"/>
      <c r="Z1643" s="2"/>
      <c r="AA1643" s="2" t="s">
        <v>832</v>
      </c>
      <c r="AB1643" s="2" t="s">
        <v>3221</v>
      </c>
      <c r="AC1643" s="4" t="s">
        <v>44</v>
      </c>
    </row>
    <row r="1644" spans="1:29" x14ac:dyDescent="0.25">
      <c r="A1644" s="1">
        <v>1978</v>
      </c>
      <c r="B1644" s="17" t="s">
        <v>7986</v>
      </c>
      <c r="C1644" s="2" t="s">
        <v>7987</v>
      </c>
      <c r="D1644" s="15" t="s">
        <v>5410</v>
      </c>
      <c r="E1644" s="9" t="s">
        <v>775</v>
      </c>
      <c r="F1644" s="9" t="s">
        <v>66</v>
      </c>
      <c r="G1644" s="9" t="s">
        <v>2252</v>
      </c>
      <c r="H1644" s="2" t="s">
        <v>35</v>
      </c>
      <c r="I1644" s="3">
        <v>35500</v>
      </c>
      <c r="J1644" s="9" t="str">
        <f t="shared" ca="1" si="27"/>
        <v>26 ans</v>
      </c>
      <c r="K1644" s="2" t="s">
        <v>36</v>
      </c>
      <c r="L1644" s="2" t="str">
        <f>"120"</f>
        <v>120</v>
      </c>
      <c r="M1644" s="2"/>
      <c r="N1644" s="2" t="str">
        <f>"CHEMIN TAMARACOUTA"</f>
        <v>CHEMIN TAMARACOUTA</v>
      </c>
      <c r="O1644" s="2" t="s">
        <v>3185</v>
      </c>
      <c r="P1644" s="9" t="str">
        <f>VLOOKUP($O1644,'Liste des Villes'!$B$2:$B$1128,1,FALSE)</f>
        <v>Saint-Jérôme</v>
      </c>
      <c r="Q1644" s="9" t="str">
        <f>IFERROR($P1644,PROPER(VLOOKUP($O1644,'Villes en erreur'!$A$2:$B$72,2,FALSE)))</f>
        <v>Saint-Jérôme</v>
      </c>
      <c r="R1644" s="9" t="s">
        <v>3186</v>
      </c>
      <c r="S1644" s="9" t="str">
        <f>IF(ISBLANK($R1644),"",VLOOKUP($R1644,'Liste des Villes'!$B$2:$H$1128,4,FALSE))</f>
        <v>Laurentides</v>
      </c>
      <c r="T1644" s="2" t="s">
        <v>3532</v>
      </c>
      <c r="U1644" s="2" t="s">
        <v>39</v>
      </c>
      <c r="V1644" s="2" t="s">
        <v>40</v>
      </c>
      <c r="W1644" s="2" t="s">
        <v>7988</v>
      </c>
      <c r="X1644" s="2"/>
      <c r="Y1644" s="2"/>
      <c r="Z1644" s="2"/>
      <c r="AA1644" s="2" t="s">
        <v>3199</v>
      </c>
      <c r="AB1644" s="2" t="s">
        <v>3200</v>
      </c>
      <c r="AC1644" s="4" t="s">
        <v>44</v>
      </c>
    </row>
    <row r="1645" spans="1:29" x14ac:dyDescent="0.25">
      <c r="A1645" s="1">
        <v>3329</v>
      </c>
      <c r="B1645" s="17" t="s">
        <v>7989</v>
      </c>
      <c r="C1645" s="2" t="s">
        <v>7990</v>
      </c>
      <c r="D1645" s="15" t="s">
        <v>7991</v>
      </c>
      <c r="E1645" s="9" t="s">
        <v>7099</v>
      </c>
      <c r="F1645" s="9" t="s">
        <v>1814</v>
      </c>
      <c r="G1645" s="9" t="s">
        <v>3695</v>
      </c>
      <c r="H1645" s="2" t="s">
        <v>60</v>
      </c>
      <c r="I1645" s="3">
        <v>35723</v>
      </c>
      <c r="J1645" s="9" t="str">
        <f t="shared" ca="1" si="27"/>
        <v>25 ans</v>
      </c>
      <c r="K1645" s="2" t="s">
        <v>123</v>
      </c>
      <c r="L1645" s="2" t="str">
        <f>"138"</f>
        <v>138</v>
      </c>
      <c r="M1645" s="2"/>
      <c r="N1645" s="2" t="str">
        <f>"Du Cardinal"</f>
        <v>Du Cardinal</v>
      </c>
      <c r="O1645" s="2" t="s">
        <v>3185</v>
      </c>
      <c r="P1645" s="9" t="str">
        <f>VLOOKUP($O1645,'Liste des Villes'!$B$2:$B$1128,1,FALSE)</f>
        <v>Saint-Jérôme</v>
      </c>
      <c r="Q1645" s="9" t="str">
        <f>IFERROR($P1645,PROPER(VLOOKUP($O1645,'Villes en erreur'!$A$2:$B$72,2,FALSE)))</f>
        <v>Saint-Jérôme</v>
      </c>
      <c r="R1645" s="9" t="s">
        <v>3186</v>
      </c>
      <c r="S1645" s="9" t="str">
        <f>IF(ISBLANK($R1645),"",VLOOKUP($R1645,'Liste des Villes'!$B$2:$H$1128,4,FALSE))</f>
        <v>Laurentides</v>
      </c>
      <c r="T1645" s="2" t="s">
        <v>7992</v>
      </c>
      <c r="U1645" s="2" t="s">
        <v>39</v>
      </c>
      <c r="V1645" s="2" t="s">
        <v>40</v>
      </c>
      <c r="W1645" s="2" t="s">
        <v>7993</v>
      </c>
      <c r="X1645" s="2"/>
      <c r="Y1645" s="2"/>
      <c r="Z1645" s="2"/>
      <c r="AA1645" s="2" t="s">
        <v>3243</v>
      </c>
      <c r="AB1645" s="2" t="s">
        <v>3221</v>
      </c>
      <c r="AC1645" s="4" t="s">
        <v>44</v>
      </c>
    </row>
    <row r="1646" spans="1:29" x14ac:dyDescent="0.25">
      <c r="A1646" s="1">
        <v>1543</v>
      </c>
      <c r="B1646" s="17" t="s">
        <v>7994</v>
      </c>
      <c r="C1646" s="2" t="s">
        <v>7995</v>
      </c>
      <c r="D1646" s="15" t="s">
        <v>7996</v>
      </c>
      <c r="E1646" s="9" t="s">
        <v>7997</v>
      </c>
      <c r="F1646" s="9" t="s">
        <v>7998</v>
      </c>
      <c r="G1646" s="9" t="s">
        <v>7999</v>
      </c>
      <c r="H1646" s="2" t="s">
        <v>35</v>
      </c>
      <c r="I1646" s="3">
        <v>35828</v>
      </c>
      <c r="J1646" s="9" t="str">
        <f t="shared" ca="1" si="27"/>
        <v>25 ans</v>
      </c>
      <c r="K1646" s="2" t="s">
        <v>123</v>
      </c>
      <c r="L1646" s="2" t="str">
        <f>"145"</f>
        <v>145</v>
      </c>
      <c r="M1646" s="2"/>
      <c r="N1646" s="2" t="str">
        <f>"JEAN DE BREBEUF"</f>
        <v>JEAN DE BREBEUF</v>
      </c>
      <c r="O1646" s="2" t="s">
        <v>3185</v>
      </c>
      <c r="P1646" s="9" t="str">
        <f>VLOOKUP($O1646,'Liste des Villes'!$B$2:$B$1128,1,FALSE)</f>
        <v>Saint-Jérôme</v>
      </c>
      <c r="Q1646" s="9" t="str">
        <f>IFERROR($P1646,PROPER(VLOOKUP($O1646,'Villes en erreur'!$A$2:$B$72,2,FALSE)))</f>
        <v>Saint-Jérôme</v>
      </c>
      <c r="R1646" s="9" t="s">
        <v>3186</v>
      </c>
      <c r="S1646" s="9" t="str">
        <f>IF(ISBLANK($R1646),"",VLOOKUP($R1646,'Liste des Villes'!$B$2:$H$1128,4,FALSE))</f>
        <v>Laurentides</v>
      </c>
      <c r="T1646" s="2" t="s">
        <v>6738</v>
      </c>
      <c r="U1646" s="2" t="s">
        <v>39</v>
      </c>
      <c r="V1646" s="2" t="s">
        <v>40</v>
      </c>
      <c r="W1646" s="2" t="s">
        <v>8000</v>
      </c>
      <c r="X1646" s="2"/>
      <c r="Y1646" s="2"/>
      <c r="Z1646" s="2"/>
      <c r="AA1646" s="2" t="s">
        <v>3243</v>
      </c>
      <c r="AB1646" s="2" t="s">
        <v>3221</v>
      </c>
      <c r="AC1646" s="4" t="s">
        <v>44</v>
      </c>
    </row>
    <row r="1647" spans="1:29" x14ac:dyDescent="0.25">
      <c r="A1647" s="1">
        <v>1174</v>
      </c>
      <c r="B1647" s="17" t="s">
        <v>8001</v>
      </c>
      <c r="C1647" s="2" t="s">
        <v>8002</v>
      </c>
      <c r="D1647" s="15" t="s">
        <v>8003</v>
      </c>
      <c r="E1647" s="9" t="s">
        <v>5890</v>
      </c>
      <c r="F1647" s="9" t="s">
        <v>8004</v>
      </c>
      <c r="G1647" s="9" t="s">
        <v>1183</v>
      </c>
      <c r="H1647" s="2" t="s">
        <v>60</v>
      </c>
      <c r="I1647" s="3">
        <v>35475</v>
      </c>
      <c r="J1647" s="9" t="str">
        <f t="shared" ca="1" si="27"/>
        <v>26 ans</v>
      </c>
      <c r="K1647" s="2" t="s">
        <v>36</v>
      </c>
      <c r="L1647" s="2" t="str">
        <f>"117"</f>
        <v>117</v>
      </c>
      <c r="M1647" s="2"/>
      <c r="N1647" s="2" t="str">
        <f>"CHEMIN JOSEPH TREMBLAY"</f>
        <v>CHEMIN JOSEPH TREMBLAY</v>
      </c>
      <c r="O1647" s="2" t="s">
        <v>3185</v>
      </c>
      <c r="P1647" s="9" t="str">
        <f>VLOOKUP($O1647,'Liste des Villes'!$B$2:$B$1128,1,FALSE)</f>
        <v>Saint-Jérôme</v>
      </c>
      <c r="Q1647" s="9" t="str">
        <f>IFERROR($P1647,PROPER(VLOOKUP($O1647,'Villes en erreur'!$A$2:$B$72,2,FALSE)))</f>
        <v>Saint-Jérôme</v>
      </c>
      <c r="R1647" s="9" t="s">
        <v>3186</v>
      </c>
      <c r="S1647" s="9" t="str">
        <f>IF(ISBLANK($R1647),"",VLOOKUP($R1647,'Liste des Villes'!$B$2:$H$1128,4,FALSE))</f>
        <v>Laurentides</v>
      </c>
      <c r="T1647" s="2" t="s">
        <v>6932</v>
      </c>
      <c r="U1647" s="2" t="s">
        <v>39</v>
      </c>
      <c r="V1647" s="2" t="s">
        <v>40</v>
      </c>
      <c r="W1647" s="2" t="s">
        <v>8005</v>
      </c>
      <c r="X1647" s="2"/>
      <c r="Y1647" s="2"/>
      <c r="Z1647" s="2"/>
      <c r="AA1647" s="2" t="s">
        <v>3199</v>
      </c>
      <c r="AB1647" s="2" t="s">
        <v>3200</v>
      </c>
      <c r="AC1647" s="4" t="s">
        <v>44</v>
      </c>
    </row>
    <row r="1648" spans="1:29" x14ac:dyDescent="0.25">
      <c r="A1648" s="1">
        <v>3216</v>
      </c>
      <c r="B1648" s="17" t="s">
        <v>8006</v>
      </c>
      <c r="C1648" s="2" t="s">
        <v>2542</v>
      </c>
      <c r="D1648" s="15" t="s">
        <v>34</v>
      </c>
      <c r="E1648" s="9" t="s">
        <v>341</v>
      </c>
      <c r="F1648" s="9" t="s">
        <v>782</v>
      </c>
      <c r="G1648" s="9" t="s">
        <v>32</v>
      </c>
      <c r="H1648" s="2" t="s">
        <v>60</v>
      </c>
      <c r="I1648" s="3">
        <v>35758</v>
      </c>
      <c r="J1648" s="9" t="str">
        <f t="shared" ca="1" si="27"/>
        <v>25 ans</v>
      </c>
      <c r="K1648" s="2" t="s">
        <v>123</v>
      </c>
      <c r="L1648" s="2" t="str">
        <f>"140"</f>
        <v>140</v>
      </c>
      <c r="M1648" s="2"/>
      <c r="N1648" s="2" t="str">
        <f>"DU SAPHIR"</f>
        <v>DU SAPHIR</v>
      </c>
      <c r="O1648" s="2" t="s">
        <v>3185</v>
      </c>
      <c r="P1648" s="9" t="str">
        <f>VLOOKUP($O1648,'Liste des Villes'!$B$2:$B$1128,1,FALSE)</f>
        <v>Saint-Jérôme</v>
      </c>
      <c r="Q1648" s="9" t="str">
        <f>IFERROR($P1648,PROPER(VLOOKUP($O1648,'Villes en erreur'!$A$2:$B$72,2,FALSE)))</f>
        <v>Saint-Jérôme</v>
      </c>
      <c r="R1648" s="9" t="s">
        <v>3186</v>
      </c>
      <c r="S1648" s="9" t="str">
        <f>IF(ISBLANK($R1648),"",VLOOKUP($R1648,'Liste des Villes'!$B$2:$H$1128,4,FALSE))</f>
        <v>Laurentides</v>
      </c>
      <c r="T1648" s="2" t="s">
        <v>8007</v>
      </c>
      <c r="U1648" s="2" t="s">
        <v>39</v>
      </c>
      <c r="V1648" s="2" t="s">
        <v>40</v>
      </c>
      <c r="W1648" s="2" t="s">
        <v>8008</v>
      </c>
      <c r="X1648" s="2"/>
      <c r="Y1648" s="2"/>
      <c r="Z1648" s="2"/>
      <c r="AA1648" s="2" t="s">
        <v>3243</v>
      </c>
      <c r="AB1648" s="2" t="s">
        <v>3221</v>
      </c>
      <c r="AC1648" s="4" t="s">
        <v>44</v>
      </c>
    </row>
    <row r="1649" spans="1:29" x14ac:dyDescent="0.25">
      <c r="A1649" s="1">
        <v>2201</v>
      </c>
      <c r="B1649" s="17" t="s">
        <v>8009</v>
      </c>
      <c r="C1649" s="2" t="s">
        <v>8010</v>
      </c>
      <c r="D1649" s="15" t="s">
        <v>8011</v>
      </c>
      <c r="E1649" s="9" t="s">
        <v>1416</v>
      </c>
      <c r="F1649" s="9" t="s">
        <v>1417</v>
      </c>
      <c r="G1649" s="9" t="s">
        <v>3668</v>
      </c>
      <c r="H1649" s="2" t="s">
        <v>60</v>
      </c>
      <c r="I1649" s="3">
        <v>36226</v>
      </c>
      <c r="J1649" s="9" t="str">
        <f t="shared" ca="1" si="27"/>
        <v>24 ans</v>
      </c>
      <c r="K1649" s="2" t="s">
        <v>123</v>
      </c>
      <c r="L1649" s="2" t="str">
        <f>"257"</f>
        <v>257</v>
      </c>
      <c r="M1649" s="2"/>
      <c r="N1649" s="2" t="str">
        <f>"RUE BEAUSITE"</f>
        <v>RUE BEAUSITE</v>
      </c>
      <c r="O1649" s="2" t="s">
        <v>3185</v>
      </c>
      <c r="P1649" s="9" t="str">
        <f>VLOOKUP($O1649,'Liste des Villes'!$B$2:$B$1128,1,FALSE)</f>
        <v>Saint-Jérôme</v>
      </c>
      <c r="Q1649" s="9" t="str">
        <f>IFERROR($P1649,PROPER(VLOOKUP($O1649,'Villes en erreur'!$A$2:$B$72,2,FALSE)))</f>
        <v>Saint-Jérôme</v>
      </c>
      <c r="R1649" s="9" t="s">
        <v>3186</v>
      </c>
      <c r="S1649" s="9" t="str">
        <f>IF(ISBLANK($R1649),"",VLOOKUP($R1649,'Liste des Villes'!$B$2:$H$1128,4,FALSE))</f>
        <v>Laurentides</v>
      </c>
      <c r="T1649" s="2" t="s">
        <v>5267</v>
      </c>
      <c r="U1649" s="2" t="s">
        <v>39</v>
      </c>
      <c r="V1649" s="2" t="s">
        <v>40</v>
      </c>
      <c r="W1649" s="2" t="s">
        <v>5729</v>
      </c>
      <c r="X1649" s="2"/>
      <c r="Y1649" s="2"/>
      <c r="Z1649" s="2"/>
      <c r="AA1649" s="2" t="s">
        <v>832</v>
      </c>
      <c r="AB1649" s="2" t="s">
        <v>3288</v>
      </c>
      <c r="AC1649" s="4" t="s">
        <v>44</v>
      </c>
    </row>
    <row r="1650" spans="1:29" x14ac:dyDescent="0.25">
      <c r="A1650" s="1">
        <v>769</v>
      </c>
      <c r="B1650" s="17" t="s">
        <v>8012</v>
      </c>
      <c r="C1650" s="2" t="s">
        <v>8013</v>
      </c>
      <c r="D1650" s="15" t="s">
        <v>677</v>
      </c>
      <c r="E1650" s="9" t="s">
        <v>2381</v>
      </c>
      <c r="F1650" s="9" t="s">
        <v>675</v>
      </c>
      <c r="G1650" s="9" t="s">
        <v>2086</v>
      </c>
      <c r="H1650" s="2" t="s">
        <v>60</v>
      </c>
      <c r="I1650" s="3">
        <v>36025</v>
      </c>
      <c r="J1650" s="9" t="str">
        <f t="shared" ca="1" si="27"/>
        <v>25 ans</v>
      </c>
      <c r="K1650" s="2" t="s">
        <v>123</v>
      </c>
      <c r="L1650" s="2" t="str">
        <f>"183"</f>
        <v>183</v>
      </c>
      <c r="M1650" s="2"/>
      <c r="N1650" s="2" t="str">
        <f>"PLACE JEAN-FRANÇOIS"</f>
        <v>PLACE JEAN-FRANÇOIS</v>
      </c>
      <c r="O1650" s="2" t="s">
        <v>3185</v>
      </c>
      <c r="P1650" s="9" t="str">
        <f>VLOOKUP($O1650,'Liste des Villes'!$B$2:$B$1128,1,FALSE)</f>
        <v>Saint-Jérôme</v>
      </c>
      <c r="Q1650" s="9" t="str">
        <f>IFERROR($P1650,PROPER(VLOOKUP($O1650,'Villes en erreur'!$A$2:$B$72,2,FALSE)))</f>
        <v>Saint-Jérôme</v>
      </c>
      <c r="R1650" s="9" t="s">
        <v>3186</v>
      </c>
      <c r="S1650" s="9" t="str">
        <f>IF(ISBLANK($R1650),"",VLOOKUP($R1650,'Liste des Villes'!$B$2:$H$1128,4,FALSE))</f>
        <v>Laurentides</v>
      </c>
      <c r="T1650" s="2" t="s">
        <v>4168</v>
      </c>
      <c r="U1650" s="2" t="s">
        <v>39</v>
      </c>
      <c r="V1650" s="2" t="s">
        <v>40</v>
      </c>
      <c r="W1650" s="2" t="s">
        <v>8014</v>
      </c>
      <c r="X1650" s="2"/>
      <c r="Y1650" s="2"/>
      <c r="Z1650" s="2"/>
      <c r="AA1650" s="2" t="s">
        <v>832</v>
      </c>
      <c r="AB1650" s="2" t="s">
        <v>3221</v>
      </c>
      <c r="AC1650" s="4" t="s">
        <v>44</v>
      </c>
    </row>
    <row r="1651" spans="1:29" x14ac:dyDescent="0.25">
      <c r="A1651" s="1">
        <v>4316</v>
      </c>
      <c r="B1651" s="17" t="s">
        <v>8015</v>
      </c>
      <c r="C1651" s="2" t="s">
        <v>8016</v>
      </c>
      <c r="D1651" s="15" t="s">
        <v>451</v>
      </c>
      <c r="E1651" s="9" t="s">
        <v>8017</v>
      </c>
      <c r="F1651" s="9" t="s">
        <v>449</v>
      </c>
      <c r="G1651" s="9" t="s">
        <v>92</v>
      </c>
      <c r="H1651" s="2" t="s">
        <v>35</v>
      </c>
      <c r="I1651" s="3">
        <v>35429</v>
      </c>
      <c r="J1651" s="9" t="str">
        <f t="shared" ca="1" si="27"/>
        <v>26 ans</v>
      </c>
      <c r="K1651" s="2" t="s">
        <v>36</v>
      </c>
      <c r="L1651" s="2" t="str">
        <f>"114"</f>
        <v>114</v>
      </c>
      <c r="M1651" s="2"/>
      <c r="N1651" s="2" t="str">
        <f>"CHEMIN DU LAC-MILLETTE"</f>
        <v>CHEMIN DU LAC-MILLETTE</v>
      </c>
      <c r="O1651" s="2" t="s">
        <v>3185</v>
      </c>
      <c r="P1651" s="9" t="str">
        <f>VLOOKUP($O1651,'Liste des Villes'!$B$2:$B$1128,1,FALSE)</f>
        <v>Saint-Jérôme</v>
      </c>
      <c r="Q1651" s="9" t="str">
        <f>IFERROR($P1651,PROPER(VLOOKUP($O1651,'Villes en erreur'!$A$2:$B$72,2,FALSE)))</f>
        <v>Saint-Jérôme</v>
      </c>
      <c r="R1651" s="9" t="s">
        <v>3186</v>
      </c>
      <c r="S1651" s="9" t="str">
        <f>IF(ISBLANK($R1651),"",VLOOKUP($R1651,'Liste des Villes'!$B$2:$H$1128,4,FALSE))</f>
        <v>Laurentides</v>
      </c>
      <c r="T1651" s="2" t="s">
        <v>4032</v>
      </c>
      <c r="U1651" s="2" t="s">
        <v>39</v>
      </c>
      <c r="V1651" s="2" t="s">
        <v>40</v>
      </c>
      <c r="W1651" s="2" t="s">
        <v>8018</v>
      </c>
      <c r="X1651" s="2"/>
      <c r="Y1651" s="2"/>
      <c r="Z1651" s="2"/>
      <c r="AA1651" s="2" t="s">
        <v>3199</v>
      </c>
      <c r="AB1651" s="2" t="s">
        <v>3200</v>
      </c>
      <c r="AC1651" s="4" t="s">
        <v>44</v>
      </c>
    </row>
    <row r="1652" spans="1:29" x14ac:dyDescent="0.25">
      <c r="A1652" s="1">
        <v>438</v>
      </c>
      <c r="B1652" s="17" t="s">
        <v>8019</v>
      </c>
      <c r="C1652" s="2" t="s">
        <v>4516</v>
      </c>
      <c r="D1652" s="15" t="s">
        <v>582</v>
      </c>
      <c r="E1652" s="9" t="s">
        <v>4517</v>
      </c>
      <c r="F1652" s="9" t="s">
        <v>8020</v>
      </c>
      <c r="G1652" s="9" t="s">
        <v>92</v>
      </c>
      <c r="H1652" s="2" t="s">
        <v>35</v>
      </c>
      <c r="I1652" s="3">
        <v>35416</v>
      </c>
      <c r="J1652" s="9" t="str">
        <f t="shared" ca="1" si="27"/>
        <v>26 ans</v>
      </c>
      <c r="K1652" s="2" t="s">
        <v>36</v>
      </c>
      <c r="L1652" s="2" t="str">
        <f>"113"</f>
        <v>113</v>
      </c>
      <c r="M1652" s="2"/>
      <c r="N1652" s="2" t="str">
        <f>"CHEMIN DU LAC MALPIC"</f>
        <v>CHEMIN DU LAC MALPIC</v>
      </c>
      <c r="O1652" s="2" t="s">
        <v>3185</v>
      </c>
      <c r="P1652" s="9" t="str">
        <f>VLOOKUP($O1652,'Liste des Villes'!$B$2:$B$1128,1,FALSE)</f>
        <v>Saint-Jérôme</v>
      </c>
      <c r="Q1652" s="9" t="str">
        <f>IFERROR($P1652,PROPER(VLOOKUP($O1652,'Villes en erreur'!$A$2:$B$72,2,FALSE)))</f>
        <v>Saint-Jérôme</v>
      </c>
      <c r="R1652" s="9" t="s">
        <v>3186</v>
      </c>
      <c r="S1652" s="9" t="str">
        <f>IF(ISBLANK($R1652),"",VLOOKUP($R1652,'Liste des Villes'!$B$2:$H$1128,4,FALSE))</f>
        <v>Laurentides</v>
      </c>
      <c r="T1652" s="2" t="s">
        <v>4032</v>
      </c>
      <c r="U1652" s="2" t="s">
        <v>39</v>
      </c>
      <c r="V1652" s="2" t="s">
        <v>40</v>
      </c>
      <c r="W1652" s="2" t="s">
        <v>8021</v>
      </c>
      <c r="X1652" s="2"/>
      <c r="Y1652" s="2"/>
      <c r="Z1652" s="2"/>
      <c r="AA1652" s="2" t="s">
        <v>3199</v>
      </c>
      <c r="AB1652" s="2" t="s">
        <v>3200</v>
      </c>
      <c r="AC1652" s="4" t="s">
        <v>44</v>
      </c>
    </row>
    <row r="1653" spans="1:29" x14ac:dyDescent="0.25">
      <c r="A1653" s="1">
        <v>4404</v>
      </c>
      <c r="B1653" s="17" t="s">
        <v>8022</v>
      </c>
      <c r="C1653" s="2" t="s">
        <v>8023</v>
      </c>
      <c r="D1653" s="15" t="s">
        <v>8024</v>
      </c>
      <c r="E1653" s="9" t="s">
        <v>4233</v>
      </c>
      <c r="F1653" s="9" t="s">
        <v>8025</v>
      </c>
      <c r="G1653" s="9" t="s">
        <v>495</v>
      </c>
      <c r="H1653" s="2" t="s">
        <v>35</v>
      </c>
      <c r="I1653" s="3">
        <v>34484</v>
      </c>
      <c r="J1653" s="9" t="str">
        <f t="shared" ca="1" si="27"/>
        <v>29 ans</v>
      </c>
      <c r="K1653" s="2" t="s">
        <v>36</v>
      </c>
      <c r="L1653" s="2" t="str">
        <f>"61"</f>
        <v>61</v>
      </c>
      <c r="M1653" s="2"/>
      <c r="N1653" s="2" t="str">
        <f>"CH ARCHAMBAULT"</f>
        <v>CH ARCHAMBAULT</v>
      </c>
      <c r="O1653" s="2" t="s">
        <v>3185</v>
      </c>
      <c r="P1653" s="9" t="str">
        <f>VLOOKUP($O1653,'Liste des Villes'!$B$2:$B$1128,1,FALSE)</f>
        <v>Saint-Jérôme</v>
      </c>
      <c r="Q1653" s="9" t="str">
        <f>IFERROR($P1653,PROPER(VLOOKUP($O1653,'Villes en erreur'!$A$2:$B$72,2,FALSE)))</f>
        <v>Saint-Jérôme</v>
      </c>
      <c r="R1653" s="9" t="s">
        <v>3186</v>
      </c>
      <c r="S1653" s="9" t="str">
        <f>IF(ISBLANK($R1653),"",VLOOKUP($R1653,'Liste des Villes'!$B$2:$H$1128,4,FALSE))</f>
        <v>Laurentides</v>
      </c>
      <c r="T1653" s="2" t="s">
        <v>3507</v>
      </c>
      <c r="U1653" s="2" t="s">
        <v>39</v>
      </c>
      <c r="V1653" s="2" t="s">
        <v>40</v>
      </c>
      <c r="W1653" s="2" t="s">
        <v>8026</v>
      </c>
      <c r="X1653" s="2"/>
      <c r="Y1653" s="2"/>
      <c r="Z1653" s="2"/>
      <c r="AA1653" s="2" t="s">
        <v>3293</v>
      </c>
      <c r="AB1653" s="2" t="s">
        <v>53</v>
      </c>
      <c r="AC1653" s="4" t="s">
        <v>44</v>
      </c>
    </row>
    <row r="1654" spans="1:29" x14ac:dyDescent="0.25">
      <c r="A1654" s="1">
        <v>2066</v>
      </c>
      <c r="B1654" s="17" t="s">
        <v>8027</v>
      </c>
      <c r="C1654" s="2" t="s">
        <v>2290</v>
      </c>
      <c r="D1654" s="15" t="s">
        <v>2291</v>
      </c>
      <c r="E1654" s="9" t="s">
        <v>635</v>
      </c>
      <c r="F1654" s="9" t="s">
        <v>6531</v>
      </c>
      <c r="G1654" s="9" t="s">
        <v>4686</v>
      </c>
      <c r="H1654" s="2" t="s">
        <v>35</v>
      </c>
      <c r="I1654" s="3">
        <v>36093</v>
      </c>
      <c r="J1654" s="9" t="str">
        <f t="shared" ca="1" si="27"/>
        <v>24 ans</v>
      </c>
      <c r="K1654" s="2" t="s">
        <v>123</v>
      </c>
      <c r="L1654" s="2" t="str">
        <f>"206"</f>
        <v>206</v>
      </c>
      <c r="M1654" s="2"/>
      <c r="N1654" s="2" t="str">
        <f>"ROCHON"</f>
        <v>ROCHON</v>
      </c>
      <c r="O1654" s="2" t="s">
        <v>3185</v>
      </c>
      <c r="P1654" s="9" t="str">
        <f>VLOOKUP($O1654,'Liste des Villes'!$B$2:$B$1128,1,FALSE)</f>
        <v>Saint-Jérôme</v>
      </c>
      <c r="Q1654" s="9" t="str">
        <f>IFERROR($P1654,PROPER(VLOOKUP($O1654,'Villes en erreur'!$A$2:$B$72,2,FALSE)))</f>
        <v>Saint-Jérôme</v>
      </c>
      <c r="R1654" s="9" t="s">
        <v>3186</v>
      </c>
      <c r="S1654" s="9" t="str">
        <f>IF(ISBLANK($R1654),"",VLOOKUP($R1654,'Liste des Villes'!$B$2:$H$1128,4,FALSE))</f>
        <v>Laurentides</v>
      </c>
      <c r="T1654" s="2" t="s">
        <v>7577</v>
      </c>
      <c r="U1654" s="2" t="s">
        <v>39</v>
      </c>
      <c r="V1654" s="2" t="s">
        <v>40</v>
      </c>
      <c r="W1654" s="2" t="s">
        <v>8028</v>
      </c>
      <c r="X1654" s="2"/>
      <c r="Y1654" s="2"/>
      <c r="Z1654" s="2"/>
      <c r="AA1654" s="2" t="s">
        <v>832</v>
      </c>
      <c r="AB1654" s="2" t="s">
        <v>3221</v>
      </c>
      <c r="AC1654" s="4" t="s">
        <v>44</v>
      </c>
    </row>
    <row r="1655" spans="1:29" x14ac:dyDescent="0.25">
      <c r="A1655" s="1">
        <v>4101</v>
      </c>
      <c r="B1655" s="17" t="s">
        <v>8029</v>
      </c>
      <c r="C1655" s="2" t="s">
        <v>8030</v>
      </c>
      <c r="D1655" s="15" t="s">
        <v>4330</v>
      </c>
      <c r="E1655" s="9" t="s">
        <v>3485</v>
      </c>
      <c r="F1655" s="9" t="s">
        <v>4427</v>
      </c>
      <c r="G1655" s="9" t="s">
        <v>8031</v>
      </c>
      <c r="H1655" s="2" t="s">
        <v>60</v>
      </c>
      <c r="I1655" s="3">
        <v>36214</v>
      </c>
      <c r="J1655" s="9" t="str">
        <f t="shared" ca="1" si="27"/>
        <v>24 ans</v>
      </c>
      <c r="K1655" s="2" t="s">
        <v>123</v>
      </c>
      <c r="L1655" s="2" t="str">
        <f>"250"</f>
        <v>250</v>
      </c>
      <c r="M1655" s="2"/>
      <c r="N1655" s="2" t="str">
        <f>"RUE BALMORAL"</f>
        <v>RUE BALMORAL</v>
      </c>
      <c r="O1655" s="2" t="s">
        <v>3185</v>
      </c>
      <c r="P1655" s="9" t="str">
        <f>VLOOKUP($O1655,'Liste des Villes'!$B$2:$B$1128,1,FALSE)</f>
        <v>Saint-Jérôme</v>
      </c>
      <c r="Q1655" s="9" t="str">
        <f>IFERROR($P1655,PROPER(VLOOKUP($O1655,'Villes en erreur'!$A$2:$B$72,2,FALSE)))</f>
        <v>Saint-Jérôme</v>
      </c>
      <c r="R1655" s="9" t="s">
        <v>3186</v>
      </c>
      <c r="S1655" s="9" t="str">
        <f>IF(ISBLANK($R1655),"",VLOOKUP($R1655,'Liste des Villes'!$B$2:$H$1128,4,FALSE))</f>
        <v>Laurentides</v>
      </c>
      <c r="T1655" s="2" t="s">
        <v>8032</v>
      </c>
      <c r="U1655" s="2" t="s">
        <v>39</v>
      </c>
      <c r="V1655" s="2" t="s">
        <v>40</v>
      </c>
      <c r="W1655" s="2" t="s">
        <v>8033</v>
      </c>
      <c r="X1655" s="2"/>
      <c r="Y1655" s="2"/>
      <c r="Z1655" s="2"/>
      <c r="AA1655" s="2" t="s">
        <v>832</v>
      </c>
      <c r="AB1655" s="2" t="s">
        <v>3288</v>
      </c>
      <c r="AC1655" s="4" t="s">
        <v>44</v>
      </c>
    </row>
    <row r="1656" spans="1:29" x14ac:dyDescent="0.25">
      <c r="A1656" s="1">
        <v>615</v>
      </c>
      <c r="B1656" s="17" t="s">
        <v>8034</v>
      </c>
      <c r="C1656" s="2" t="s">
        <v>8035</v>
      </c>
      <c r="D1656" s="15" t="s">
        <v>867</v>
      </c>
      <c r="E1656" s="9" t="s">
        <v>4243</v>
      </c>
      <c r="F1656" s="9" t="s">
        <v>2263</v>
      </c>
      <c r="G1656" s="9" t="s">
        <v>6494</v>
      </c>
      <c r="H1656" s="2" t="s">
        <v>60</v>
      </c>
      <c r="I1656" s="3">
        <v>36207</v>
      </c>
      <c r="J1656" s="9" t="str">
        <f t="shared" ca="1" si="27"/>
        <v>24 ans</v>
      </c>
      <c r="K1656" s="2" t="s">
        <v>123</v>
      </c>
      <c r="L1656" s="2" t="str">
        <f>"245"</f>
        <v>245</v>
      </c>
      <c r="M1656" s="2"/>
      <c r="N1656" s="2" t="str">
        <f>"RUE AUGER"</f>
        <v>RUE AUGER</v>
      </c>
      <c r="O1656" s="2" t="s">
        <v>3185</v>
      </c>
      <c r="P1656" s="9" t="str">
        <f>VLOOKUP($O1656,'Liste des Villes'!$B$2:$B$1128,1,FALSE)</f>
        <v>Saint-Jérôme</v>
      </c>
      <c r="Q1656" s="9" t="str">
        <f>IFERROR($P1656,PROPER(VLOOKUP($O1656,'Villes en erreur'!$A$2:$B$72,2,FALSE)))</f>
        <v>Saint-Jérôme</v>
      </c>
      <c r="R1656" s="9" t="s">
        <v>3186</v>
      </c>
      <c r="S1656" s="9" t="str">
        <f>IF(ISBLANK($R1656),"",VLOOKUP($R1656,'Liste des Villes'!$B$2:$H$1128,4,FALSE))</f>
        <v>Laurentides</v>
      </c>
      <c r="T1656" s="2" t="s">
        <v>3560</v>
      </c>
      <c r="U1656" s="2" t="s">
        <v>39</v>
      </c>
      <c r="V1656" s="2" t="s">
        <v>40</v>
      </c>
      <c r="W1656" s="2" t="s">
        <v>8036</v>
      </c>
      <c r="X1656" s="2"/>
      <c r="Y1656" s="2"/>
      <c r="Z1656" s="2"/>
      <c r="AA1656" s="2" t="s">
        <v>832</v>
      </c>
      <c r="AB1656" s="2" t="s">
        <v>3288</v>
      </c>
      <c r="AC1656" s="4" t="s">
        <v>44</v>
      </c>
    </row>
    <row r="1657" spans="1:29" x14ac:dyDescent="0.25">
      <c r="A1657" s="1">
        <v>288</v>
      </c>
      <c r="B1657" s="17" t="s">
        <v>8037</v>
      </c>
      <c r="C1657" s="2" t="s">
        <v>8038</v>
      </c>
      <c r="D1657" s="15" t="s">
        <v>6669</v>
      </c>
      <c r="E1657" s="9" t="s">
        <v>8039</v>
      </c>
      <c r="F1657" s="9" t="s">
        <v>449</v>
      </c>
      <c r="G1657" s="9" t="s">
        <v>2504</v>
      </c>
      <c r="H1657" s="2" t="s">
        <v>60</v>
      </c>
      <c r="I1657" s="3">
        <v>35332</v>
      </c>
      <c r="J1657" s="9" t="str">
        <f t="shared" ca="1" si="27"/>
        <v>26 ans</v>
      </c>
      <c r="K1657" s="2" t="s">
        <v>36</v>
      </c>
      <c r="L1657" s="2" t="str">
        <f>"110"</f>
        <v>110</v>
      </c>
      <c r="M1657" s="2"/>
      <c r="N1657" s="2" t="str">
        <f>"CHEMIN DES HAUTEURS"</f>
        <v>CHEMIN DES HAUTEURS</v>
      </c>
      <c r="O1657" s="2" t="s">
        <v>3185</v>
      </c>
      <c r="P1657" s="9" t="str">
        <f>VLOOKUP($O1657,'Liste des Villes'!$B$2:$B$1128,1,FALSE)</f>
        <v>Saint-Jérôme</v>
      </c>
      <c r="Q1657" s="9" t="str">
        <f>IFERROR($P1657,PROPER(VLOOKUP($O1657,'Villes en erreur'!$A$2:$B$72,2,FALSE)))</f>
        <v>Saint-Jérôme</v>
      </c>
      <c r="R1657" s="9" t="s">
        <v>3186</v>
      </c>
      <c r="S1657" s="9" t="str">
        <f>IF(ISBLANK($R1657),"",VLOOKUP($R1657,'Liste des Villes'!$B$2:$H$1128,4,FALSE))</f>
        <v>Laurentides</v>
      </c>
      <c r="T1657" s="2" t="s">
        <v>4046</v>
      </c>
      <c r="U1657" s="2" t="s">
        <v>39</v>
      </c>
      <c r="V1657" s="2" t="s">
        <v>40</v>
      </c>
      <c r="W1657" s="2" t="s">
        <v>8040</v>
      </c>
      <c r="X1657" s="2"/>
      <c r="Y1657" s="2"/>
      <c r="Z1657" s="2"/>
      <c r="AA1657" s="2" t="s">
        <v>3189</v>
      </c>
      <c r="AB1657" s="2" t="s">
        <v>3200</v>
      </c>
      <c r="AC1657" s="4" t="s">
        <v>44</v>
      </c>
    </row>
    <row r="1658" spans="1:29" x14ac:dyDescent="0.25">
      <c r="A1658" s="1">
        <v>3516</v>
      </c>
      <c r="B1658" s="17" t="s">
        <v>8041</v>
      </c>
      <c r="C1658" s="2" t="s">
        <v>8030</v>
      </c>
      <c r="D1658" s="15" t="s">
        <v>4330</v>
      </c>
      <c r="E1658" s="9" t="s">
        <v>3485</v>
      </c>
      <c r="F1658" s="9" t="s">
        <v>4328</v>
      </c>
      <c r="G1658" s="9" t="s">
        <v>4686</v>
      </c>
      <c r="H1658" s="2" t="s">
        <v>60</v>
      </c>
      <c r="I1658" s="3">
        <v>36093</v>
      </c>
      <c r="J1658" s="9" t="str">
        <f t="shared" ca="1" si="27"/>
        <v>24 ans</v>
      </c>
      <c r="K1658" s="2" t="s">
        <v>123</v>
      </c>
      <c r="L1658" s="2" t="str">
        <f>"206"</f>
        <v>206</v>
      </c>
      <c r="M1658" s="2"/>
      <c r="N1658" s="2" t="str">
        <f>"ROBERT BLVD"</f>
        <v>ROBERT BLVD</v>
      </c>
      <c r="O1658" s="2" t="s">
        <v>3185</v>
      </c>
      <c r="P1658" s="9" t="str">
        <f>VLOOKUP($O1658,'Liste des Villes'!$B$2:$B$1128,1,FALSE)</f>
        <v>Saint-Jérôme</v>
      </c>
      <c r="Q1658" s="9" t="str">
        <f>IFERROR($P1658,PROPER(VLOOKUP($O1658,'Villes en erreur'!$A$2:$B$72,2,FALSE)))</f>
        <v>Saint-Jérôme</v>
      </c>
      <c r="R1658" s="9" t="s">
        <v>3186</v>
      </c>
      <c r="S1658" s="9" t="str">
        <f>IF(ISBLANK($R1658),"",VLOOKUP($R1658,'Liste des Villes'!$B$2:$H$1128,4,FALSE))</f>
        <v>Laurentides</v>
      </c>
      <c r="T1658" s="2" t="s">
        <v>7577</v>
      </c>
      <c r="U1658" s="2" t="s">
        <v>39</v>
      </c>
      <c r="V1658" s="2" t="s">
        <v>40</v>
      </c>
      <c r="W1658" s="2" t="s">
        <v>8042</v>
      </c>
      <c r="X1658" s="2"/>
      <c r="Y1658" s="2"/>
      <c r="Z1658" s="2"/>
      <c r="AA1658" s="2" t="s">
        <v>832</v>
      </c>
      <c r="AB1658" s="2" t="s">
        <v>3221</v>
      </c>
      <c r="AC1658" s="4" t="s">
        <v>44</v>
      </c>
    </row>
    <row r="1659" spans="1:29" x14ac:dyDescent="0.25">
      <c r="A1659" s="1">
        <v>870</v>
      </c>
      <c r="B1659" s="17" t="s">
        <v>8043</v>
      </c>
      <c r="C1659" s="2" t="s">
        <v>8044</v>
      </c>
      <c r="D1659" s="15" t="s">
        <v>5864</v>
      </c>
      <c r="E1659" s="9" t="s">
        <v>8045</v>
      </c>
      <c r="F1659" s="9" t="s">
        <v>8046</v>
      </c>
      <c r="G1659" s="9" t="s">
        <v>3668</v>
      </c>
      <c r="H1659" s="2" t="s">
        <v>60</v>
      </c>
      <c r="I1659" s="3">
        <v>36223</v>
      </c>
      <c r="J1659" s="9" t="str">
        <f t="shared" ca="1" si="27"/>
        <v>24 ans</v>
      </c>
      <c r="K1659" s="2" t="s">
        <v>123</v>
      </c>
      <c r="L1659" s="2" t="str">
        <f>"255"</f>
        <v>255</v>
      </c>
      <c r="M1659" s="2"/>
      <c r="N1659" s="2" t="str">
        <f>"RUE BEAUPRÉ"</f>
        <v>RUE BEAUPRÉ</v>
      </c>
      <c r="O1659" s="2" t="s">
        <v>3185</v>
      </c>
      <c r="P1659" s="9" t="str">
        <f>VLOOKUP($O1659,'Liste des Villes'!$B$2:$B$1128,1,FALSE)</f>
        <v>Saint-Jérôme</v>
      </c>
      <c r="Q1659" s="9" t="str">
        <f>IFERROR($P1659,PROPER(VLOOKUP($O1659,'Villes en erreur'!$A$2:$B$72,2,FALSE)))</f>
        <v>Saint-Jérôme</v>
      </c>
      <c r="R1659" s="9" t="s">
        <v>3186</v>
      </c>
      <c r="S1659" s="9" t="str">
        <f>IF(ISBLANK($R1659),"",VLOOKUP($R1659,'Liste des Villes'!$B$2:$H$1128,4,FALSE))</f>
        <v>Laurentides</v>
      </c>
      <c r="T1659" s="2" t="s">
        <v>6584</v>
      </c>
      <c r="U1659" s="2" t="s">
        <v>39</v>
      </c>
      <c r="V1659" s="2" t="s">
        <v>40</v>
      </c>
      <c r="W1659" s="2" t="s">
        <v>8047</v>
      </c>
      <c r="X1659" s="2"/>
      <c r="Y1659" s="2"/>
      <c r="Z1659" s="2"/>
      <c r="AA1659" s="2" t="s">
        <v>832</v>
      </c>
      <c r="AB1659" s="2" t="s">
        <v>3288</v>
      </c>
      <c r="AC1659" s="4" t="s">
        <v>44</v>
      </c>
    </row>
    <row r="1660" spans="1:29" x14ac:dyDescent="0.25">
      <c r="A1660" s="1">
        <v>2435</v>
      </c>
      <c r="B1660" s="17" t="s">
        <v>8048</v>
      </c>
      <c r="C1660" s="2" t="s">
        <v>8049</v>
      </c>
      <c r="D1660" s="15" t="s">
        <v>218</v>
      </c>
      <c r="E1660" s="9" t="s">
        <v>851</v>
      </c>
      <c r="F1660" s="9" t="s">
        <v>8050</v>
      </c>
      <c r="G1660" s="9" t="s">
        <v>186</v>
      </c>
      <c r="H1660" s="2" t="s">
        <v>60</v>
      </c>
      <c r="I1660" s="3">
        <v>34884</v>
      </c>
      <c r="J1660" s="9" t="str">
        <f t="shared" ca="1" si="27"/>
        <v>28 ans</v>
      </c>
      <c r="K1660" s="2" t="s">
        <v>36</v>
      </c>
      <c r="L1660" s="2" t="str">
        <f>"82"</f>
        <v>82</v>
      </c>
      <c r="M1660" s="2"/>
      <c r="N1660" s="2" t="str">
        <f>"CH DES QUATORZE-ÎLES"</f>
        <v>CH DES QUATORZE-ÎLES</v>
      </c>
      <c r="O1660" s="2" t="s">
        <v>3185</v>
      </c>
      <c r="P1660" s="9" t="str">
        <f>VLOOKUP($O1660,'Liste des Villes'!$B$2:$B$1128,1,FALSE)</f>
        <v>Saint-Jérôme</v>
      </c>
      <c r="Q1660" s="9" t="str">
        <f>IFERROR($P1660,PROPER(VLOOKUP($O1660,'Villes en erreur'!$A$2:$B$72,2,FALSE)))</f>
        <v>Saint-Jérôme</v>
      </c>
      <c r="R1660" s="9" t="s">
        <v>3186</v>
      </c>
      <c r="S1660" s="9" t="str">
        <f>IF(ISBLANK($R1660),"",VLOOKUP($R1660,'Liste des Villes'!$B$2:$H$1128,4,FALSE))</f>
        <v>Laurentides</v>
      </c>
      <c r="T1660" s="2" t="s">
        <v>3187</v>
      </c>
      <c r="U1660" s="2" t="s">
        <v>39</v>
      </c>
      <c r="V1660" s="2" t="s">
        <v>40</v>
      </c>
      <c r="W1660" s="2" t="s">
        <v>8051</v>
      </c>
      <c r="X1660" s="2"/>
      <c r="Y1660" s="2"/>
      <c r="Z1660" s="2"/>
      <c r="AA1660" s="2" t="s">
        <v>3231</v>
      </c>
      <c r="AB1660" s="2" t="s">
        <v>53</v>
      </c>
      <c r="AC1660" s="4" t="s">
        <v>44</v>
      </c>
    </row>
    <row r="1661" spans="1:29" x14ac:dyDescent="0.25">
      <c r="A1661" s="1">
        <v>945</v>
      </c>
      <c r="B1661" s="17" t="s">
        <v>8052</v>
      </c>
      <c r="C1661" s="2" t="s">
        <v>8053</v>
      </c>
      <c r="D1661" s="15" t="s">
        <v>8054</v>
      </c>
      <c r="E1661" s="9" t="s">
        <v>1709</v>
      </c>
      <c r="F1661" s="9" t="s">
        <v>8055</v>
      </c>
      <c r="G1661" s="9" t="s">
        <v>5143</v>
      </c>
      <c r="H1661" s="2" t="s">
        <v>60</v>
      </c>
      <c r="I1661" s="3">
        <v>34023</v>
      </c>
      <c r="J1661" s="9" t="str">
        <f t="shared" ca="1" si="27"/>
        <v>30 ans</v>
      </c>
      <c r="K1661" s="2" t="s">
        <v>36</v>
      </c>
      <c r="L1661" s="2" t="str">
        <f>"44"</f>
        <v>44</v>
      </c>
      <c r="M1661" s="2"/>
      <c r="N1661" s="2" t="str">
        <f>"BOUL LAFONTAINE"</f>
        <v>BOUL LAFONTAINE</v>
      </c>
      <c r="O1661" s="2" t="s">
        <v>3185</v>
      </c>
      <c r="P1661" s="9" t="str">
        <f>VLOOKUP($O1661,'Liste des Villes'!$B$2:$B$1128,1,FALSE)</f>
        <v>Saint-Jérôme</v>
      </c>
      <c r="Q1661" s="9" t="str">
        <f>IFERROR($P1661,PROPER(VLOOKUP($O1661,'Villes en erreur'!$A$2:$B$72,2,FALSE)))</f>
        <v>Saint-Jérôme</v>
      </c>
      <c r="R1661" s="9" t="s">
        <v>3186</v>
      </c>
      <c r="S1661" s="9" t="str">
        <f>IF(ISBLANK($R1661),"",VLOOKUP($R1661,'Liste des Villes'!$B$2:$H$1128,4,FALSE))</f>
        <v>Laurentides</v>
      </c>
      <c r="T1661" s="2" t="s">
        <v>3205</v>
      </c>
      <c r="U1661" s="2" t="s">
        <v>39</v>
      </c>
      <c r="V1661" s="2" t="s">
        <v>40</v>
      </c>
      <c r="W1661" s="2" t="s">
        <v>8056</v>
      </c>
      <c r="X1661" s="2"/>
      <c r="Y1661" s="2"/>
      <c r="Z1661" s="2"/>
      <c r="AA1661" s="2" t="s">
        <v>3207</v>
      </c>
      <c r="AB1661" s="2" t="s">
        <v>53</v>
      </c>
      <c r="AC1661" s="4" t="s">
        <v>44</v>
      </c>
    </row>
    <row r="1662" spans="1:29" x14ac:dyDescent="0.25">
      <c r="A1662" s="1">
        <v>3756</v>
      </c>
      <c r="B1662" s="17" t="s">
        <v>8057</v>
      </c>
      <c r="C1662" s="2" t="s">
        <v>8058</v>
      </c>
      <c r="D1662" s="15" t="s">
        <v>8059</v>
      </c>
      <c r="E1662" s="9" t="s">
        <v>3274</v>
      </c>
      <c r="F1662" s="9" t="s">
        <v>697</v>
      </c>
      <c r="G1662" s="9" t="s">
        <v>2182</v>
      </c>
      <c r="H1662" s="2" t="s">
        <v>60</v>
      </c>
      <c r="I1662" s="3">
        <v>34465</v>
      </c>
      <c r="J1662" s="9" t="str">
        <f t="shared" ca="1" si="27"/>
        <v>29 ans</v>
      </c>
      <c r="K1662" s="2" t="s">
        <v>36</v>
      </c>
      <c r="L1662" s="2" t="str">
        <f>"59"</f>
        <v>59</v>
      </c>
      <c r="M1662" s="2"/>
      <c r="N1662" s="2" t="str">
        <f>"CÉLORON BLVD"</f>
        <v>CÉLORON BLVD</v>
      </c>
      <c r="O1662" s="2" t="s">
        <v>3185</v>
      </c>
      <c r="P1662" s="9" t="str">
        <f>VLOOKUP($O1662,'Liste des Villes'!$B$2:$B$1128,1,FALSE)</f>
        <v>Saint-Jérôme</v>
      </c>
      <c r="Q1662" s="9" t="str">
        <f>IFERROR($P1662,PROPER(VLOOKUP($O1662,'Villes en erreur'!$A$2:$B$72,2,FALSE)))</f>
        <v>Saint-Jérôme</v>
      </c>
      <c r="R1662" s="9" t="s">
        <v>3186</v>
      </c>
      <c r="S1662" s="9" t="str">
        <f>IF(ISBLANK($R1662),"",VLOOKUP($R1662,'Liste des Villes'!$B$2:$H$1128,4,FALSE))</f>
        <v>Laurentides</v>
      </c>
      <c r="T1662" s="2" t="s">
        <v>3507</v>
      </c>
      <c r="U1662" s="2" t="s">
        <v>39</v>
      </c>
      <c r="V1662" s="2" t="s">
        <v>40</v>
      </c>
      <c r="W1662" s="2" t="s">
        <v>8060</v>
      </c>
      <c r="X1662" s="2"/>
      <c r="Y1662" s="2"/>
      <c r="Z1662" s="2"/>
      <c r="AA1662" s="2" t="s">
        <v>3293</v>
      </c>
      <c r="AB1662" s="2" t="s">
        <v>53</v>
      </c>
      <c r="AC1662" s="4" t="s">
        <v>44</v>
      </c>
    </row>
    <row r="1663" spans="1:29" x14ac:dyDescent="0.25">
      <c r="A1663" s="1">
        <v>3017</v>
      </c>
      <c r="B1663" s="17" t="s">
        <v>8061</v>
      </c>
      <c r="C1663" s="2" t="s">
        <v>8062</v>
      </c>
      <c r="D1663" s="15" t="s">
        <v>3374</v>
      </c>
      <c r="E1663" s="9" t="s">
        <v>6948</v>
      </c>
      <c r="F1663" s="9" t="s">
        <v>562</v>
      </c>
      <c r="G1663" s="9" t="s">
        <v>8063</v>
      </c>
      <c r="H1663" s="2" t="s">
        <v>60</v>
      </c>
      <c r="I1663" s="3">
        <v>34979</v>
      </c>
      <c r="J1663" s="9" t="str">
        <f t="shared" ca="1" si="27"/>
        <v>27 ans</v>
      </c>
      <c r="K1663" s="2" t="s">
        <v>36</v>
      </c>
      <c r="L1663" s="2" t="str">
        <f>"88"</f>
        <v>88</v>
      </c>
      <c r="M1663" s="2"/>
      <c r="N1663" s="2" t="str">
        <f>"CH DU LAC-AUBRISSON"</f>
        <v>CH DU LAC-AUBRISSON</v>
      </c>
      <c r="O1663" s="2" t="s">
        <v>3185</v>
      </c>
      <c r="P1663" s="9" t="str">
        <f>VLOOKUP($O1663,'Liste des Villes'!$B$2:$B$1128,1,FALSE)</f>
        <v>Saint-Jérôme</v>
      </c>
      <c r="Q1663" s="9" t="str">
        <f>IFERROR($P1663,PROPER(VLOOKUP($O1663,'Villes en erreur'!$A$2:$B$72,2,FALSE)))</f>
        <v>Saint-Jérôme</v>
      </c>
      <c r="R1663" s="9" t="s">
        <v>3186</v>
      </c>
      <c r="S1663" s="9" t="str">
        <f>IF(ISBLANK($R1663),"",VLOOKUP($R1663,'Liste des Villes'!$B$2:$H$1128,4,FALSE))</f>
        <v>Laurentides</v>
      </c>
      <c r="T1663" s="2" t="s">
        <v>3187</v>
      </c>
      <c r="U1663" s="2" t="s">
        <v>39</v>
      </c>
      <c r="V1663" s="2" t="s">
        <v>40</v>
      </c>
      <c r="W1663" s="2" t="s">
        <v>8064</v>
      </c>
      <c r="X1663" s="2"/>
      <c r="Y1663" s="2"/>
      <c r="Z1663" s="2"/>
      <c r="AA1663" s="2" t="s">
        <v>3189</v>
      </c>
      <c r="AB1663" s="2" t="s">
        <v>53</v>
      </c>
      <c r="AC1663" s="4" t="s">
        <v>44</v>
      </c>
    </row>
    <row r="1664" spans="1:29" x14ac:dyDescent="0.25">
      <c r="A1664" s="1">
        <v>4453</v>
      </c>
      <c r="B1664" s="17" t="s">
        <v>8065</v>
      </c>
      <c r="C1664" s="2" t="s">
        <v>8066</v>
      </c>
      <c r="D1664" s="15" t="s">
        <v>8067</v>
      </c>
      <c r="E1664" s="9" t="s">
        <v>241</v>
      </c>
      <c r="F1664" s="9" t="s">
        <v>1301</v>
      </c>
      <c r="G1664" s="9" t="s">
        <v>186</v>
      </c>
      <c r="H1664" s="2" t="s">
        <v>60</v>
      </c>
      <c r="I1664" s="3">
        <v>34858</v>
      </c>
      <c r="J1664" s="9" t="str">
        <f t="shared" ca="1" si="27"/>
        <v>28 ans</v>
      </c>
      <c r="K1664" s="2" t="s">
        <v>36</v>
      </c>
      <c r="L1664" s="2" t="str">
        <f>"81"</f>
        <v>81</v>
      </c>
      <c r="M1664" s="2"/>
      <c r="N1664" s="2" t="str">
        <f>"CH DES PERCE-NEIGE"</f>
        <v>CH DES PERCE-NEIGE</v>
      </c>
      <c r="O1664" s="2" t="s">
        <v>3185</v>
      </c>
      <c r="P1664" s="9" t="str">
        <f>VLOOKUP($O1664,'Liste des Villes'!$B$2:$B$1128,1,FALSE)</f>
        <v>Saint-Jérôme</v>
      </c>
      <c r="Q1664" s="9" t="str">
        <f>IFERROR($P1664,PROPER(VLOOKUP($O1664,'Villes en erreur'!$A$2:$B$72,2,FALSE)))</f>
        <v>Saint-Jérôme</v>
      </c>
      <c r="R1664" s="9" t="s">
        <v>3186</v>
      </c>
      <c r="S1664" s="9" t="str">
        <f>IF(ISBLANK($R1664),"",VLOOKUP($R1664,'Liste des Villes'!$B$2:$H$1128,4,FALSE))</f>
        <v>Laurentides</v>
      </c>
      <c r="T1664" s="2" t="s">
        <v>3187</v>
      </c>
      <c r="U1664" s="2" t="s">
        <v>39</v>
      </c>
      <c r="V1664" s="2" t="s">
        <v>40</v>
      </c>
      <c r="W1664" s="2" t="s">
        <v>8068</v>
      </c>
      <c r="X1664" s="2"/>
      <c r="Y1664" s="2"/>
      <c r="Z1664" s="2"/>
      <c r="AA1664" s="2" t="s">
        <v>3231</v>
      </c>
      <c r="AB1664" s="2" t="s">
        <v>53</v>
      </c>
      <c r="AC1664" s="4" t="s">
        <v>44</v>
      </c>
    </row>
    <row r="1665" spans="1:29" x14ac:dyDescent="0.25">
      <c r="A1665" s="1">
        <v>1458</v>
      </c>
      <c r="B1665" s="17" t="s">
        <v>8069</v>
      </c>
      <c r="C1665" s="2" t="s">
        <v>4237</v>
      </c>
      <c r="D1665" s="15" t="s">
        <v>100</v>
      </c>
      <c r="E1665" s="9" t="s">
        <v>4238</v>
      </c>
      <c r="F1665" s="9" t="s">
        <v>1436</v>
      </c>
      <c r="G1665" s="9" t="s">
        <v>996</v>
      </c>
      <c r="H1665" s="2" t="s">
        <v>60</v>
      </c>
      <c r="I1665" s="3">
        <v>35018</v>
      </c>
      <c r="J1665" s="9" t="str">
        <f t="shared" ca="1" si="27"/>
        <v>27 ans</v>
      </c>
      <c r="K1665" s="2" t="s">
        <v>36</v>
      </c>
      <c r="L1665" s="2" t="str">
        <f>"94"</f>
        <v>94</v>
      </c>
      <c r="M1665" s="2"/>
      <c r="N1665" s="2" t="str">
        <f>"CH DU LAC-LABELLE"</f>
        <v>CH DU LAC-LABELLE</v>
      </c>
      <c r="O1665" s="2" t="s">
        <v>3185</v>
      </c>
      <c r="P1665" s="9" t="str">
        <f>VLOOKUP($O1665,'Liste des Villes'!$B$2:$B$1128,1,FALSE)</f>
        <v>Saint-Jérôme</v>
      </c>
      <c r="Q1665" s="9" t="str">
        <f>IFERROR($P1665,PROPER(VLOOKUP($O1665,'Villes en erreur'!$A$2:$B$72,2,FALSE)))</f>
        <v>Saint-Jérôme</v>
      </c>
      <c r="R1665" s="9" t="s">
        <v>3186</v>
      </c>
      <c r="S1665" s="9" t="str">
        <f>IF(ISBLANK($R1665),"",VLOOKUP($R1665,'Liste des Villes'!$B$2:$H$1128,4,FALSE))</f>
        <v>Laurentides</v>
      </c>
      <c r="T1665" s="2" t="s">
        <v>3187</v>
      </c>
      <c r="U1665" s="2" t="s">
        <v>39</v>
      </c>
      <c r="V1665" s="2" t="s">
        <v>40</v>
      </c>
      <c r="W1665" s="2" t="s">
        <v>8070</v>
      </c>
      <c r="X1665" s="2"/>
      <c r="Y1665" s="2"/>
      <c r="Z1665" s="2"/>
      <c r="AA1665" s="2" t="s">
        <v>3189</v>
      </c>
      <c r="AB1665" s="2" t="s">
        <v>53</v>
      </c>
      <c r="AC1665" s="4" t="s">
        <v>44</v>
      </c>
    </row>
    <row r="1666" spans="1:29" x14ac:dyDescent="0.25">
      <c r="A1666" s="1">
        <v>3672</v>
      </c>
      <c r="B1666" s="17" t="s">
        <v>8071</v>
      </c>
      <c r="C1666" s="2" t="s">
        <v>3782</v>
      </c>
      <c r="D1666" s="15" t="s">
        <v>3783</v>
      </c>
      <c r="E1666" s="9" t="s">
        <v>179</v>
      </c>
      <c r="F1666" s="9" t="s">
        <v>4357</v>
      </c>
      <c r="G1666" s="9" t="s">
        <v>7291</v>
      </c>
      <c r="H1666" s="2" t="s">
        <v>60</v>
      </c>
      <c r="I1666" s="3">
        <v>35878</v>
      </c>
      <c r="J1666" s="9" t="str">
        <f t="shared" ref="J1666:J1729" ca="1" si="28">_xlfn.CONCAT(INT((TODAY()-$I1666)/365.25)," ans")</f>
        <v>25 ans</v>
      </c>
      <c r="K1666" s="2" t="s">
        <v>123</v>
      </c>
      <c r="L1666" s="2" t="str">
        <f>"153"</f>
        <v>153</v>
      </c>
      <c r="M1666" s="2"/>
      <c r="N1666" s="2" t="str">
        <f>"Melançon"</f>
        <v>Melançon</v>
      </c>
      <c r="O1666" s="2" t="s">
        <v>3185</v>
      </c>
      <c r="P1666" s="9" t="str">
        <f>VLOOKUP($O1666,'Liste des Villes'!$B$2:$B$1128,1,FALSE)</f>
        <v>Saint-Jérôme</v>
      </c>
      <c r="Q1666" s="9" t="str">
        <f>IFERROR($P1666,PROPER(VLOOKUP($O1666,'Villes en erreur'!$A$2:$B$72,2,FALSE)))</f>
        <v>Saint-Jérôme</v>
      </c>
      <c r="R1666" s="9" t="s">
        <v>3186</v>
      </c>
      <c r="S1666" s="9" t="str">
        <f>IF(ISBLANK($R1666),"",VLOOKUP($R1666,'Liste des Villes'!$B$2:$H$1128,4,FALSE))</f>
        <v>Laurentides</v>
      </c>
      <c r="T1666" s="2" t="s">
        <v>6566</v>
      </c>
      <c r="U1666" s="2" t="s">
        <v>39</v>
      </c>
      <c r="V1666" s="2" t="s">
        <v>40</v>
      </c>
      <c r="W1666" s="2" t="s">
        <v>8072</v>
      </c>
      <c r="X1666" s="2"/>
      <c r="Y1666" s="2"/>
      <c r="Z1666" s="2"/>
      <c r="AA1666" s="2" t="s">
        <v>3243</v>
      </c>
      <c r="AB1666" s="2" t="s">
        <v>3221</v>
      </c>
      <c r="AC1666" s="4" t="s">
        <v>44</v>
      </c>
    </row>
    <row r="1667" spans="1:29" x14ac:dyDescent="0.25">
      <c r="A1667" s="1">
        <v>1956</v>
      </c>
      <c r="B1667" s="17" t="s">
        <v>8073</v>
      </c>
      <c r="C1667" s="2" t="s">
        <v>8074</v>
      </c>
      <c r="D1667" s="15" t="s">
        <v>3779</v>
      </c>
      <c r="E1667" s="9" t="s">
        <v>8075</v>
      </c>
      <c r="F1667" s="9" t="s">
        <v>3778</v>
      </c>
      <c r="G1667" s="9" t="s">
        <v>1024</v>
      </c>
      <c r="H1667" s="2" t="s">
        <v>35</v>
      </c>
      <c r="I1667" s="3">
        <v>36192</v>
      </c>
      <c r="J1667" s="9" t="str">
        <f t="shared" ca="1" si="28"/>
        <v>24 ans</v>
      </c>
      <c r="K1667" s="2" t="s">
        <v>123</v>
      </c>
      <c r="L1667" s="2" t="str">
        <f>"236"</f>
        <v>236</v>
      </c>
      <c r="M1667" s="2"/>
      <c r="N1667" s="2" t="str">
        <f>"RUE ANTOINE-DANIEL"</f>
        <v>RUE ANTOINE-DANIEL</v>
      </c>
      <c r="O1667" s="2" t="s">
        <v>3185</v>
      </c>
      <c r="P1667" s="9" t="str">
        <f>VLOOKUP($O1667,'Liste des Villes'!$B$2:$B$1128,1,FALSE)</f>
        <v>Saint-Jérôme</v>
      </c>
      <c r="Q1667" s="9" t="str">
        <f>IFERROR($P1667,PROPER(VLOOKUP($O1667,'Villes en erreur'!$A$2:$B$72,2,FALSE)))</f>
        <v>Saint-Jérôme</v>
      </c>
      <c r="R1667" s="9" t="s">
        <v>3186</v>
      </c>
      <c r="S1667" s="9" t="str">
        <f>IF(ISBLANK($R1667),"",VLOOKUP($R1667,'Liste des Villes'!$B$2:$H$1128,4,FALSE))</f>
        <v>Laurentides</v>
      </c>
      <c r="T1667" s="2" t="s">
        <v>8076</v>
      </c>
      <c r="U1667" s="2" t="s">
        <v>39</v>
      </c>
      <c r="V1667" s="2" t="s">
        <v>40</v>
      </c>
      <c r="W1667" s="2" t="s">
        <v>8077</v>
      </c>
      <c r="X1667" s="2"/>
      <c r="Y1667" s="2"/>
      <c r="Z1667" s="2"/>
      <c r="AA1667" s="2" t="s">
        <v>832</v>
      </c>
      <c r="AB1667" s="2" t="s">
        <v>3288</v>
      </c>
      <c r="AC1667" s="4" t="s">
        <v>44</v>
      </c>
    </row>
    <row r="1668" spans="1:29" x14ac:dyDescent="0.25">
      <c r="A1668" s="1">
        <v>3660</v>
      </c>
      <c r="B1668" s="17" t="s">
        <v>8078</v>
      </c>
      <c r="C1668" s="2" t="s">
        <v>6537</v>
      </c>
      <c r="D1668" s="15" t="s">
        <v>818</v>
      </c>
      <c r="E1668" s="9" t="s">
        <v>120</v>
      </c>
      <c r="F1668" s="9" t="s">
        <v>8079</v>
      </c>
      <c r="G1668" s="9" t="s">
        <v>1024</v>
      </c>
      <c r="H1668" s="2" t="s">
        <v>35</v>
      </c>
      <c r="I1668" s="3">
        <v>36169</v>
      </c>
      <c r="J1668" s="9" t="str">
        <f t="shared" ca="1" si="28"/>
        <v>24 ans</v>
      </c>
      <c r="K1668" s="2" t="s">
        <v>123</v>
      </c>
      <c r="L1668" s="2" t="str">
        <f>"231"</f>
        <v>231</v>
      </c>
      <c r="M1668" s="2"/>
      <c r="N1668" s="2" t="str">
        <f>"RUE ANDRÉ"</f>
        <v>RUE ANDRÉ</v>
      </c>
      <c r="O1668" s="2" t="s">
        <v>3185</v>
      </c>
      <c r="P1668" s="9" t="str">
        <f>VLOOKUP($O1668,'Liste des Villes'!$B$2:$B$1128,1,FALSE)</f>
        <v>Saint-Jérôme</v>
      </c>
      <c r="Q1668" s="9" t="str">
        <f>IFERROR($P1668,PROPER(VLOOKUP($O1668,'Villes en erreur'!$A$2:$B$72,2,FALSE)))</f>
        <v>Saint-Jérôme</v>
      </c>
      <c r="R1668" s="9" t="s">
        <v>3186</v>
      </c>
      <c r="S1668" s="9" t="str">
        <f>IF(ISBLANK($R1668),"",VLOOKUP($R1668,'Liste des Villes'!$B$2:$H$1128,4,FALSE))</f>
        <v>Laurentides</v>
      </c>
      <c r="T1668" s="2" t="s">
        <v>6346</v>
      </c>
      <c r="U1668" s="2" t="s">
        <v>39</v>
      </c>
      <c r="V1668" s="2" t="s">
        <v>40</v>
      </c>
      <c r="W1668" s="2" t="s">
        <v>8080</v>
      </c>
      <c r="X1668" s="2"/>
      <c r="Y1668" s="2"/>
      <c r="Z1668" s="2"/>
      <c r="AA1668" s="2" t="s">
        <v>832</v>
      </c>
      <c r="AB1668" s="2" t="s">
        <v>3221</v>
      </c>
      <c r="AC1668" s="4" t="s">
        <v>44</v>
      </c>
    </row>
    <row r="1669" spans="1:29" x14ac:dyDescent="0.25">
      <c r="A1669" s="1">
        <v>3147</v>
      </c>
      <c r="B1669" s="17" t="s">
        <v>8081</v>
      </c>
      <c r="C1669" s="2" t="s">
        <v>8082</v>
      </c>
      <c r="D1669" s="15" t="s">
        <v>540</v>
      </c>
      <c r="E1669" s="9" t="s">
        <v>8083</v>
      </c>
      <c r="F1669" s="9" t="s">
        <v>4839</v>
      </c>
      <c r="G1669" s="9" t="s">
        <v>114</v>
      </c>
      <c r="H1669" s="2" t="s">
        <v>60</v>
      </c>
      <c r="I1669" s="3">
        <v>36250</v>
      </c>
      <c r="J1669" s="9" t="str">
        <f t="shared" ca="1" si="28"/>
        <v>24 ans</v>
      </c>
      <c r="K1669" s="2" t="s">
        <v>123</v>
      </c>
      <c r="L1669" s="2" t="str">
        <f>"270"</f>
        <v>270</v>
      </c>
      <c r="M1669" s="2"/>
      <c r="N1669" s="2" t="str">
        <f>"RUE BENJAMIN"</f>
        <v>RUE BENJAMIN</v>
      </c>
      <c r="O1669" s="2" t="s">
        <v>3185</v>
      </c>
      <c r="P1669" s="9" t="str">
        <f>VLOOKUP($O1669,'Liste des Villes'!$B$2:$B$1128,1,FALSE)</f>
        <v>Saint-Jérôme</v>
      </c>
      <c r="Q1669" s="9" t="str">
        <f>IFERROR($P1669,PROPER(VLOOKUP($O1669,'Villes en erreur'!$A$2:$B$72,2,FALSE)))</f>
        <v>Saint-Jérôme</v>
      </c>
      <c r="R1669" s="9" t="s">
        <v>3186</v>
      </c>
      <c r="S1669" s="9" t="str">
        <f>IF(ISBLANK($R1669),"",VLOOKUP($R1669,'Liste des Villes'!$B$2:$H$1128,4,FALSE))</f>
        <v>Laurentides</v>
      </c>
      <c r="T1669" s="2" t="s">
        <v>1238</v>
      </c>
      <c r="U1669" s="2" t="s">
        <v>39</v>
      </c>
      <c r="V1669" s="2" t="s">
        <v>40</v>
      </c>
      <c r="W1669" s="2" t="s">
        <v>8084</v>
      </c>
      <c r="X1669" s="2"/>
      <c r="Y1669" s="2"/>
      <c r="Z1669" s="2"/>
      <c r="AA1669" s="2" t="s">
        <v>832</v>
      </c>
      <c r="AB1669" s="2" t="s">
        <v>73</v>
      </c>
      <c r="AC1669" s="4" t="s">
        <v>44</v>
      </c>
    </row>
    <row r="1670" spans="1:29" x14ac:dyDescent="0.25">
      <c r="A1670" s="1">
        <v>2703</v>
      </c>
      <c r="B1670" s="17" t="s">
        <v>8085</v>
      </c>
      <c r="C1670" s="2" t="s">
        <v>4583</v>
      </c>
      <c r="D1670" s="15" t="s">
        <v>462</v>
      </c>
      <c r="E1670" s="9" t="s">
        <v>4584</v>
      </c>
      <c r="F1670" s="9" t="s">
        <v>460</v>
      </c>
      <c r="G1670" s="9" t="s">
        <v>114</v>
      </c>
      <c r="H1670" s="2" t="s">
        <v>60</v>
      </c>
      <c r="I1670" s="3">
        <v>36245</v>
      </c>
      <c r="J1670" s="9" t="str">
        <f t="shared" ca="1" si="28"/>
        <v>24 ans</v>
      </c>
      <c r="K1670" s="2" t="s">
        <v>123</v>
      </c>
      <c r="L1670" s="2" t="str">
        <f>"265"</f>
        <v>265</v>
      </c>
      <c r="M1670" s="2"/>
      <c r="N1670" s="2" t="str">
        <f>"RUE BÉLANGER"</f>
        <v>RUE BÉLANGER</v>
      </c>
      <c r="O1670" s="2" t="s">
        <v>3185</v>
      </c>
      <c r="P1670" s="9" t="str">
        <f>VLOOKUP($O1670,'Liste des Villes'!$B$2:$B$1128,1,FALSE)</f>
        <v>Saint-Jérôme</v>
      </c>
      <c r="Q1670" s="9" t="str">
        <f>IFERROR($P1670,PROPER(VLOOKUP($O1670,'Villes en erreur'!$A$2:$B$72,2,FALSE)))</f>
        <v>Saint-Jérôme</v>
      </c>
      <c r="R1670" s="9" t="s">
        <v>3186</v>
      </c>
      <c r="S1670" s="9" t="str">
        <f>IF(ISBLANK($R1670),"",VLOOKUP($R1670,'Liste des Villes'!$B$2:$H$1128,4,FALSE))</f>
        <v>Laurentides</v>
      </c>
      <c r="T1670" s="2" t="s">
        <v>3930</v>
      </c>
      <c r="U1670" s="2" t="s">
        <v>39</v>
      </c>
      <c r="V1670" s="2" t="s">
        <v>40</v>
      </c>
      <c r="W1670" s="2" t="s">
        <v>8086</v>
      </c>
      <c r="X1670" s="2"/>
      <c r="Y1670" s="2"/>
      <c r="Z1670" s="2"/>
      <c r="AA1670" s="2" t="s">
        <v>832</v>
      </c>
      <c r="AB1670" s="2" t="s">
        <v>73</v>
      </c>
      <c r="AC1670" s="4" t="s">
        <v>44</v>
      </c>
    </row>
    <row r="1671" spans="1:29" x14ac:dyDescent="0.25">
      <c r="A1671" s="1">
        <v>2288</v>
      </c>
      <c r="B1671" s="17" t="s">
        <v>8087</v>
      </c>
      <c r="C1671" s="2" t="s">
        <v>8088</v>
      </c>
      <c r="D1671" s="15" t="s">
        <v>8089</v>
      </c>
      <c r="E1671" s="9" t="s">
        <v>3626</v>
      </c>
      <c r="F1671" s="9" t="s">
        <v>3783</v>
      </c>
      <c r="G1671" s="9" t="s">
        <v>8090</v>
      </c>
      <c r="H1671" s="2" t="s">
        <v>60</v>
      </c>
      <c r="I1671" s="3">
        <v>36203</v>
      </c>
      <c r="J1671" s="9" t="str">
        <f t="shared" ca="1" si="28"/>
        <v>24 ans</v>
      </c>
      <c r="K1671" s="2" t="s">
        <v>123</v>
      </c>
      <c r="L1671" s="2" t="str">
        <f>"243"</f>
        <v>243</v>
      </c>
      <c r="M1671" s="2"/>
      <c r="N1671" s="2" t="str">
        <f>"RUE ASSELIN"</f>
        <v>RUE ASSELIN</v>
      </c>
      <c r="O1671" s="2" t="s">
        <v>3185</v>
      </c>
      <c r="P1671" s="9" t="str">
        <f>VLOOKUP($O1671,'Liste des Villes'!$B$2:$B$1128,1,FALSE)</f>
        <v>Saint-Jérôme</v>
      </c>
      <c r="Q1671" s="9" t="str">
        <f>IFERROR($P1671,PROPER(VLOOKUP($O1671,'Villes en erreur'!$A$2:$B$72,2,FALSE)))</f>
        <v>Saint-Jérôme</v>
      </c>
      <c r="R1671" s="9" t="s">
        <v>3186</v>
      </c>
      <c r="S1671" s="9" t="str">
        <f>IF(ISBLANK($R1671),"",VLOOKUP($R1671,'Liste des Villes'!$B$2:$H$1128,4,FALSE))</f>
        <v>Laurentides</v>
      </c>
      <c r="T1671" s="2" t="s">
        <v>4391</v>
      </c>
      <c r="U1671" s="2" t="s">
        <v>39</v>
      </c>
      <c r="V1671" s="2" t="s">
        <v>40</v>
      </c>
      <c r="W1671" s="2" t="s">
        <v>8091</v>
      </c>
      <c r="X1671" s="2"/>
      <c r="Y1671" s="2"/>
      <c r="Z1671" s="2"/>
      <c r="AA1671" s="2" t="s">
        <v>832</v>
      </c>
      <c r="AB1671" s="2" t="s">
        <v>3288</v>
      </c>
      <c r="AC1671" s="4" t="s">
        <v>44</v>
      </c>
    </row>
    <row r="1672" spans="1:29" x14ac:dyDescent="0.25">
      <c r="A1672" s="1">
        <v>3309</v>
      </c>
      <c r="B1672" s="17" t="s">
        <v>8092</v>
      </c>
      <c r="C1672" s="2" t="s">
        <v>8093</v>
      </c>
      <c r="D1672" s="15" t="s">
        <v>8094</v>
      </c>
      <c r="E1672" s="9" t="s">
        <v>1283</v>
      </c>
      <c r="F1672" s="9" t="s">
        <v>1649</v>
      </c>
      <c r="G1672" s="9" t="s">
        <v>380</v>
      </c>
      <c r="H1672" s="2" t="s">
        <v>60</v>
      </c>
      <c r="I1672" s="3">
        <v>34424</v>
      </c>
      <c r="J1672" s="9" t="str">
        <f t="shared" ca="1" si="28"/>
        <v>29 ans</v>
      </c>
      <c r="K1672" s="2" t="s">
        <v>36</v>
      </c>
      <c r="L1672" s="2" t="str">
        <f>"58"</f>
        <v>58</v>
      </c>
      <c r="M1672" s="2"/>
      <c r="N1672" s="2" t="str">
        <f>"CAR LEMER-SAINT-GERMAIN"</f>
        <v>CAR LEMER-SAINT-GERMAIN</v>
      </c>
      <c r="O1672" s="2" t="s">
        <v>3185</v>
      </c>
      <c r="P1672" s="9" t="str">
        <f>VLOOKUP($O1672,'Liste des Villes'!$B$2:$B$1128,1,FALSE)</f>
        <v>Saint-Jérôme</v>
      </c>
      <c r="Q1672" s="9" t="str">
        <f>IFERROR($P1672,PROPER(VLOOKUP($O1672,'Villes en erreur'!$A$2:$B$72,2,FALSE)))</f>
        <v>Saint-Jérôme</v>
      </c>
      <c r="R1672" s="9" t="s">
        <v>3186</v>
      </c>
      <c r="S1672" s="9" t="str">
        <f>IF(ISBLANK($R1672),"",VLOOKUP($R1672,'Liste des Villes'!$B$2:$H$1128,4,FALSE))</f>
        <v>Laurentides</v>
      </c>
      <c r="T1672" s="2" t="s">
        <v>5654</v>
      </c>
      <c r="U1672" s="2" t="s">
        <v>39</v>
      </c>
      <c r="V1672" s="2" t="s">
        <v>40</v>
      </c>
      <c r="W1672" s="2" t="s">
        <v>8095</v>
      </c>
      <c r="X1672" s="2"/>
      <c r="Y1672" s="2"/>
      <c r="Z1672" s="2"/>
      <c r="AA1672" s="2" t="s">
        <v>3293</v>
      </c>
      <c r="AB1672" s="2" t="s">
        <v>53</v>
      </c>
      <c r="AC1672" s="4" t="s">
        <v>44</v>
      </c>
    </row>
    <row r="1673" spans="1:29" x14ac:dyDescent="0.25">
      <c r="A1673" s="1">
        <v>4575</v>
      </c>
      <c r="B1673" s="17" t="s">
        <v>8096</v>
      </c>
      <c r="C1673" s="2" t="s">
        <v>8097</v>
      </c>
      <c r="D1673" s="15" t="s">
        <v>6459</v>
      </c>
      <c r="E1673" s="9" t="s">
        <v>1673</v>
      </c>
      <c r="F1673" s="9" t="s">
        <v>8098</v>
      </c>
      <c r="G1673" s="9" t="s">
        <v>7646</v>
      </c>
      <c r="H1673" s="2" t="s">
        <v>60</v>
      </c>
      <c r="I1673" s="3">
        <v>34360</v>
      </c>
      <c r="J1673" s="9" t="str">
        <f t="shared" ca="1" si="28"/>
        <v>29 ans</v>
      </c>
      <c r="K1673" s="2" t="s">
        <v>36</v>
      </c>
      <c r="L1673" s="2" t="str">
        <f>"53"</f>
        <v>53</v>
      </c>
      <c r="M1673" s="2"/>
      <c r="N1673" s="2" t="str">
        <f>"BOULEVARD RENÉ-LÉVESQUE"</f>
        <v>BOULEVARD RENÉ-LÉVESQUE</v>
      </c>
      <c r="O1673" s="2" t="s">
        <v>3185</v>
      </c>
      <c r="P1673" s="9" t="str">
        <f>VLOOKUP($O1673,'Liste des Villes'!$B$2:$B$1128,1,FALSE)</f>
        <v>Saint-Jérôme</v>
      </c>
      <c r="Q1673" s="9" t="str">
        <f>IFERROR($P1673,PROPER(VLOOKUP($O1673,'Villes en erreur'!$A$2:$B$72,2,FALSE)))</f>
        <v>Saint-Jérôme</v>
      </c>
      <c r="R1673" s="9" t="s">
        <v>3186</v>
      </c>
      <c r="S1673" s="9" t="str">
        <f>IF(ISBLANK($R1673),"",VLOOKUP($R1673,'Liste des Villes'!$B$2:$H$1128,4,FALSE))</f>
        <v>Laurentides</v>
      </c>
      <c r="T1673" s="2" t="s">
        <v>3291</v>
      </c>
      <c r="U1673" s="2" t="s">
        <v>39</v>
      </c>
      <c r="V1673" s="2" t="s">
        <v>40</v>
      </c>
      <c r="W1673" s="2" t="s">
        <v>8099</v>
      </c>
      <c r="X1673" s="2"/>
      <c r="Y1673" s="2"/>
      <c r="Z1673" s="2"/>
      <c r="AA1673" s="2" t="s">
        <v>3360</v>
      </c>
      <c r="AB1673" s="2" t="s">
        <v>53</v>
      </c>
      <c r="AC1673" s="4" t="s">
        <v>44</v>
      </c>
    </row>
    <row r="1674" spans="1:29" x14ac:dyDescent="0.25">
      <c r="A1674" s="1">
        <v>3174</v>
      </c>
      <c r="B1674" s="17" t="s">
        <v>8100</v>
      </c>
      <c r="C1674" s="2" t="s">
        <v>3065</v>
      </c>
      <c r="D1674" s="15" t="s">
        <v>1477</v>
      </c>
      <c r="E1674" s="9" t="s">
        <v>3066</v>
      </c>
      <c r="F1674" s="9" t="s">
        <v>8101</v>
      </c>
      <c r="G1674" s="9" t="s">
        <v>495</v>
      </c>
      <c r="H1674" s="2" t="s">
        <v>35</v>
      </c>
      <c r="I1674" s="3">
        <v>34692</v>
      </c>
      <c r="J1674" s="9" t="str">
        <f t="shared" ca="1" si="28"/>
        <v>28 ans</v>
      </c>
      <c r="K1674" s="2" t="s">
        <v>36</v>
      </c>
      <c r="L1674" s="2" t="str">
        <f>"70"</f>
        <v>70</v>
      </c>
      <c r="M1674" s="2"/>
      <c r="N1674" s="2" t="str">
        <f>"CH DE LA STATION"</f>
        <v>CH DE LA STATION</v>
      </c>
      <c r="O1674" s="2" t="s">
        <v>3185</v>
      </c>
      <c r="P1674" s="9" t="str">
        <f>VLOOKUP($O1674,'Liste des Villes'!$B$2:$B$1128,1,FALSE)</f>
        <v>Saint-Jérôme</v>
      </c>
      <c r="Q1674" s="9" t="str">
        <f>IFERROR($P1674,PROPER(VLOOKUP($O1674,'Villes en erreur'!$A$2:$B$72,2,FALSE)))</f>
        <v>Saint-Jérôme</v>
      </c>
      <c r="R1674" s="9" t="s">
        <v>3186</v>
      </c>
      <c r="S1674" s="9" t="str">
        <f>IF(ISBLANK($R1674),"",VLOOKUP($R1674,'Liste des Villes'!$B$2:$H$1128,4,FALSE))</f>
        <v>Laurentides</v>
      </c>
      <c r="T1674" s="2" t="s">
        <v>4119</v>
      </c>
      <c r="U1674" s="2" t="s">
        <v>39</v>
      </c>
      <c r="V1674" s="2" t="s">
        <v>40</v>
      </c>
      <c r="W1674" s="2" t="s">
        <v>8102</v>
      </c>
      <c r="X1674" s="2"/>
      <c r="Y1674" s="2"/>
      <c r="Z1674" s="2"/>
      <c r="AA1674" s="2" t="s">
        <v>3225</v>
      </c>
      <c r="AB1674" s="2" t="s">
        <v>53</v>
      </c>
      <c r="AC1674" s="4" t="s">
        <v>44</v>
      </c>
    </row>
    <row r="1675" spans="1:29" x14ac:dyDescent="0.25">
      <c r="A1675" s="1">
        <v>3876</v>
      </c>
      <c r="B1675" s="17" t="s">
        <v>8103</v>
      </c>
      <c r="C1675" s="2" t="s">
        <v>8104</v>
      </c>
      <c r="D1675" s="15" t="s">
        <v>8105</v>
      </c>
      <c r="E1675" s="9" t="s">
        <v>120</v>
      </c>
      <c r="F1675" s="9" t="s">
        <v>8106</v>
      </c>
      <c r="G1675" s="9" t="s">
        <v>3218</v>
      </c>
      <c r="H1675" s="2" t="s">
        <v>60</v>
      </c>
      <c r="I1675" s="3">
        <v>34331</v>
      </c>
      <c r="J1675" s="9" t="str">
        <f t="shared" ca="1" si="28"/>
        <v>29 ans</v>
      </c>
      <c r="K1675" s="2" t="s">
        <v>36</v>
      </c>
      <c r="L1675" s="2" t="str">
        <f>"52"</f>
        <v>52</v>
      </c>
      <c r="M1675" s="2"/>
      <c r="N1675" s="2" t="str">
        <f>"BOULEVARD MAISONNEUVE"</f>
        <v>BOULEVARD MAISONNEUVE</v>
      </c>
      <c r="O1675" s="2" t="s">
        <v>3186</v>
      </c>
      <c r="P1675" s="9" t="str">
        <f>VLOOKUP($O1675,'Liste des Villes'!$B$2:$B$1128,1,FALSE)</f>
        <v>Saint-Jérôme</v>
      </c>
      <c r="Q1675" s="9" t="str">
        <f>IFERROR($P1675,PROPER(VLOOKUP($O1675,'Villes en erreur'!$A$2:$B$72,2,FALSE)))</f>
        <v>Saint-Jérôme</v>
      </c>
      <c r="R1675" s="9" t="s">
        <v>3186</v>
      </c>
      <c r="S1675" s="9" t="str">
        <f>IF(ISBLANK($R1675),"",VLOOKUP($R1675,'Liste des Villes'!$B$2:$H$1128,4,FALSE))</f>
        <v>Laurentides</v>
      </c>
      <c r="T1675" s="2" t="s">
        <v>3520</v>
      </c>
      <c r="U1675" s="2" t="s">
        <v>39</v>
      </c>
      <c r="V1675" s="2" t="s">
        <v>40</v>
      </c>
      <c r="W1675" s="2" t="s">
        <v>8107</v>
      </c>
      <c r="X1675" s="2"/>
      <c r="Y1675" s="2"/>
      <c r="Z1675" s="2"/>
      <c r="AA1675" s="2" t="s">
        <v>3360</v>
      </c>
      <c r="AB1675" s="2" t="s">
        <v>53</v>
      </c>
      <c r="AC1675" s="4" t="s">
        <v>44</v>
      </c>
    </row>
    <row r="1676" spans="1:29" x14ac:dyDescent="0.25">
      <c r="A1676" s="1">
        <v>4238</v>
      </c>
      <c r="B1676" s="17" t="s">
        <v>8108</v>
      </c>
      <c r="C1676" s="2" t="s">
        <v>8109</v>
      </c>
      <c r="D1676" s="15" t="s">
        <v>8110</v>
      </c>
      <c r="E1676" s="9" t="s">
        <v>495</v>
      </c>
      <c r="F1676" s="9" t="s">
        <v>8111</v>
      </c>
      <c r="G1676" s="9" t="s">
        <v>8112</v>
      </c>
      <c r="H1676" s="2" t="s">
        <v>60</v>
      </c>
      <c r="I1676" s="3">
        <v>35226</v>
      </c>
      <c r="J1676" s="9" t="str">
        <f t="shared" ca="1" si="28"/>
        <v>27 ans</v>
      </c>
      <c r="K1676" s="2" t="s">
        <v>36</v>
      </c>
      <c r="L1676" s="2" t="str">
        <f>"105"</f>
        <v>105</v>
      </c>
      <c r="M1676" s="2"/>
      <c r="N1676" s="2" t="str">
        <f>"CHARBONNEAU"</f>
        <v>CHARBONNEAU</v>
      </c>
      <c r="O1676" s="2" t="s">
        <v>3185</v>
      </c>
      <c r="P1676" s="9" t="str">
        <f>VLOOKUP($O1676,'Liste des Villes'!$B$2:$B$1128,1,FALSE)</f>
        <v>Saint-Jérôme</v>
      </c>
      <c r="Q1676" s="9" t="str">
        <f>IFERROR($P1676,PROPER(VLOOKUP($O1676,'Villes en erreur'!$A$2:$B$72,2,FALSE)))</f>
        <v>Saint-Jérôme</v>
      </c>
      <c r="R1676" s="9" t="s">
        <v>3186</v>
      </c>
      <c r="S1676" s="9" t="str">
        <f>IF(ISBLANK($R1676),"",VLOOKUP($R1676,'Liste des Villes'!$B$2:$H$1128,4,FALSE))</f>
        <v>Laurentides</v>
      </c>
      <c r="T1676" s="2" t="s">
        <v>3187</v>
      </c>
      <c r="U1676" s="2" t="s">
        <v>39</v>
      </c>
      <c r="V1676" s="2" t="s">
        <v>40</v>
      </c>
      <c r="W1676" s="2" t="s">
        <v>8113</v>
      </c>
      <c r="X1676" s="2"/>
      <c r="Y1676" s="2"/>
      <c r="Z1676" s="2"/>
      <c r="AA1676" s="2" t="s">
        <v>3189</v>
      </c>
      <c r="AB1676" s="2" t="s">
        <v>3190</v>
      </c>
      <c r="AC1676" s="4" t="s">
        <v>44</v>
      </c>
    </row>
    <row r="1677" spans="1:29" x14ac:dyDescent="0.25">
      <c r="A1677" s="1">
        <v>2787</v>
      </c>
      <c r="B1677" s="17" t="s">
        <v>8114</v>
      </c>
      <c r="C1677" s="2" t="s">
        <v>8115</v>
      </c>
      <c r="D1677" s="15" t="s">
        <v>8116</v>
      </c>
      <c r="E1677" s="9" t="s">
        <v>8117</v>
      </c>
      <c r="F1677" s="9" t="s">
        <v>8118</v>
      </c>
      <c r="G1677" s="9" t="s">
        <v>891</v>
      </c>
      <c r="H1677" s="2" t="s">
        <v>60</v>
      </c>
      <c r="I1677" s="3">
        <v>35328</v>
      </c>
      <c r="J1677" s="9" t="str">
        <f t="shared" ca="1" si="28"/>
        <v>26 ans</v>
      </c>
      <c r="K1677" s="2" t="s">
        <v>36</v>
      </c>
      <c r="L1677" s="2" t="str">
        <f>"110"</f>
        <v>110</v>
      </c>
      <c r="M1677" s="2"/>
      <c r="N1677" s="2" t="str">
        <f>"CHEMIN DES GLISSADES"</f>
        <v>CHEMIN DES GLISSADES</v>
      </c>
      <c r="O1677" s="2" t="s">
        <v>3185</v>
      </c>
      <c r="P1677" s="9" t="str">
        <f>VLOOKUP($O1677,'Liste des Villes'!$B$2:$B$1128,1,FALSE)</f>
        <v>Saint-Jérôme</v>
      </c>
      <c r="Q1677" s="9" t="str">
        <f>IFERROR($P1677,PROPER(VLOOKUP($O1677,'Villes en erreur'!$A$2:$B$72,2,FALSE)))</f>
        <v>Saint-Jérôme</v>
      </c>
      <c r="R1677" s="9" t="s">
        <v>3186</v>
      </c>
      <c r="S1677" s="9" t="str">
        <f>IF(ISBLANK($R1677),"",VLOOKUP($R1677,'Liste des Villes'!$B$2:$H$1128,4,FALSE))</f>
        <v>Laurentides</v>
      </c>
      <c r="T1677" s="2" t="s">
        <v>4046</v>
      </c>
      <c r="U1677" s="2" t="s">
        <v>39</v>
      </c>
      <c r="V1677" s="2" t="s">
        <v>40</v>
      </c>
      <c r="W1677" s="2" t="s">
        <v>8119</v>
      </c>
      <c r="X1677" s="2"/>
      <c r="Y1677" s="2"/>
      <c r="Z1677" s="2"/>
      <c r="AA1677" s="2" t="s">
        <v>3189</v>
      </c>
      <c r="AB1677" s="2" t="s">
        <v>3200</v>
      </c>
      <c r="AC1677" s="4" t="s">
        <v>44</v>
      </c>
    </row>
    <row r="1678" spans="1:29" x14ac:dyDescent="0.25">
      <c r="A1678" s="1">
        <v>1873</v>
      </c>
      <c r="B1678" s="17" t="s">
        <v>8120</v>
      </c>
      <c r="C1678" s="2" t="s">
        <v>8121</v>
      </c>
      <c r="D1678" s="15" t="s">
        <v>726</v>
      </c>
      <c r="E1678" s="9" t="s">
        <v>8122</v>
      </c>
      <c r="F1678" s="9" t="s">
        <v>6916</v>
      </c>
      <c r="G1678" s="9" t="s">
        <v>495</v>
      </c>
      <c r="H1678" s="2" t="s">
        <v>35</v>
      </c>
      <c r="I1678" s="3">
        <v>34560</v>
      </c>
      <c r="J1678" s="9" t="str">
        <f t="shared" ca="1" si="28"/>
        <v>29 ans</v>
      </c>
      <c r="K1678" s="2" t="s">
        <v>36</v>
      </c>
      <c r="L1678" s="2" t="str">
        <f>"65"</f>
        <v>65</v>
      </c>
      <c r="M1678" s="2"/>
      <c r="N1678" s="2" t="str">
        <f>"CH DE LA CROIX"</f>
        <v>CH DE LA CROIX</v>
      </c>
      <c r="O1678" s="2" t="s">
        <v>3185</v>
      </c>
      <c r="P1678" s="9" t="str">
        <f>VLOOKUP($O1678,'Liste des Villes'!$B$2:$B$1128,1,FALSE)</f>
        <v>Saint-Jérôme</v>
      </c>
      <c r="Q1678" s="9" t="str">
        <f>IFERROR($P1678,PROPER(VLOOKUP($O1678,'Villes en erreur'!$A$2:$B$72,2,FALSE)))</f>
        <v>Saint-Jérôme</v>
      </c>
      <c r="R1678" s="9" t="s">
        <v>3186</v>
      </c>
      <c r="S1678" s="9" t="str">
        <f>IF(ISBLANK($R1678),"",VLOOKUP($R1678,'Liste des Villes'!$B$2:$H$1128,4,FALSE))</f>
        <v>Laurentides</v>
      </c>
      <c r="T1678" s="2" t="s">
        <v>3954</v>
      </c>
      <c r="U1678" s="2" t="s">
        <v>39</v>
      </c>
      <c r="V1678" s="2" t="s">
        <v>40</v>
      </c>
      <c r="W1678" s="2" t="s">
        <v>8123</v>
      </c>
      <c r="X1678" s="2"/>
      <c r="Y1678" s="2"/>
      <c r="Z1678" s="2"/>
      <c r="AA1678" s="2" t="s">
        <v>3225</v>
      </c>
      <c r="AB1678" s="2" t="s">
        <v>53</v>
      </c>
      <c r="AC1678" s="4" t="s">
        <v>44</v>
      </c>
    </row>
    <row r="1679" spans="1:29" x14ac:dyDescent="0.25">
      <c r="A1679" s="1">
        <v>1950</v>
      </c>
      <c r="B1679" s="17" t="s">
        <v>8124</v>
      </c>
      <c r="C1679" s="2" t="s">
        <v>46</v>
      </c>
      <c r="D1679" s="15" t="s">
        <v>47</v>
      </c>
      <c r="E1679" s="9" t="s">
        <v>48</v>
      </c>
      <c r="F1679" s="9" t="s">
        <v>8125</v>
      </c>
      <c r="G1679" s="9" t="s">
        <v>495</v>
      </c>
      <c r="H1679" s="2" t="s">
        <v>35</v>
      </c>
      <c r="I1679" s="3">
        <v>34665</v>
      </c>
      <c r="J1679" s="9" t="str">
        <f t="shared" ca="1" si="28"/>
        <v>28 ans</v>
      </c>
      <c r="K1679" s="2" t="s">
        <v>36</v>
      </c>
      <c r="L1679" s="2" t="str">
        <f>"69"</f>
        <v>69</v>
      </c>
      <c r="M1679" s="2"/>
      <c r="N1679" s="2" t="str">
        <f>"CH DE LA RIVIÈRE"</f>
        <v>CH DE LA RIVIÈRE</v>
      </c>
      <c r="O1679" s="2" t="s">
        <v>3185</v>
      </c>
      <c r="P1679" s="9" t="str">
        <f>VLOOKUP($O1679,'Liste des Villes'!$B$2:$B$1128,1,FALSE)</f>
        <v>Saint-Jérôme</v>
      </c>
      <c r="Q1679" s="9" t="str">
        <f>IFERROR($P1679,PROPER(VLOOKUP($O1679,'Villes en erreur'!$A$2:$B$72,2,FALSE)))</f>
        <v>Saint-Jérôme</v>
      </c>
      <c r="R1679" s="9" t="s">
        <v>3186</v>
      </c>
      <c r="S1679" s="9" t="str">
        <f>IF(ISBLANK($R1679),"",VLOOKUP($R1679,'Liste des Villes'!$B$2:$H$1128,4,FALSE))</f>
        <v>Laurentides</v>
      </c>
      <c r="T1679" s="2" t="s">
        <v>3470</v>
      </c>
      <c r="U1679" s="2" t="s">
        <v>39</v>
      </c>
      <c r="V1679" s="2" t="s">
        <v>40</v>
      </c>
      <c r="W1679" s="2" t="s">
        <v>8126</v>
      </c>
      <c r="X1679" s="2"/>
      <c r="Y1679" s="2"/>
      <c r="Z1679" s="2"/>
      <c r="AA1679" s="2" t="s">
        <v>3225</v>
      </c>
      <c r="AB1679" s="2" t="s">
        <v>53</v>
      </c>
      <c r="AC1679" s="4" t="s">
        <v>44</v>
      </c>
    </row>
    <row r="1680" spans="1:29" x14ac:dyDescent="0.25">
      <c r="A1680" s="1">
        <v>1066</v>
      </c>
      <c r="B1680" s="17" t="s">
        <v>8127</v>
      </c>
      <c r="C1680" s="2" t="s">
        <v>834</v>
      </c>
      <c r="D1680" s="15" t="s">
        <v>835</v>
      </c>
      <c r="E1680" s="9" t="s">
        <v>99</v>
      </c>
      <c r="F1680" s="9" t="s">
        <v>312</v>
      </c>
      <c r="G1680" s="9" t="s">
        <v>186</v>
      </c>
      <c r="H1680" s="2" t="s">
        <v>60</v>
      </c>
      <c r="I1680" s="3">
        <v>34822</v>
      </c>
      <c r="J1680" s="9" t="str">
        <f t="shared" ca="1" si="28"/>
        <v>28 ans</v>
      </c>
      <c r="K1680" s="2" t="s">
        <v>36</v>
      </c>
      <c r="L1680" s="2" t="str">
        <f>"79"</f>
        <v>79</v>
      </c>
      <c r="M1680" s="2"/>
      <c r="N1680" s="2" t="str">
        <f>"CH DES ÉCUREUILS"</f>
        <v>CH DES ÉCUREUILS</v>
      </c>
      <c r="O1680" s="2" t="s">
        <v>3185</v>
      </c>
      <c r="P1680" s="9" t="str">
        <f>VLOOKUP($O1680,'Liste des Villes'!$B$2:$B$1128,1,FALSE)</f>
        <v>Saint-Jérôme</v>
      </c>
      <c r="Q1680" s="9" t="str">
        <f>IFERROR($P1680,PROPER(VLOOKUP($O1680,'Villes en erreur'!$A$2:$B$72,2,FALSE)))</f>
        <v>Saint-Jérôme</v>
      </c>
      <c r="R1680" s="9" t="s">
        <v>3186</v>
      </c>
      <c r="S1680" s="9" t="str">
        <f>IF(ISBLANK($R1680),"",VLOOKUP($R1680,'Liste des Villes'!$B$2:$H$1128,4,FALSE))</f>
        <v>Laurentides</v>
      </c>
      <c r="T1680" s="2" t="s">
        <v>3187</v>
      </c>
      <c r="U1680" s="2" t="s">
        <v>39</v>
      </c>
      <c r="V1680" s="2" t="s">
        <v>40</v>
      </c>
      <c r="W1680" s="2" t="s">
        <v>8128</v>
      </c>
      <c r="X1680" s="2"/>
      <c r="Y1680" s="2"/>
      <c r="Z1680" s="2"/>
      <c r="AA1680" s="2" t="s">
        <v>3225</v>
      </c>
      <c r="AB1680" s="2" t="s">
        <v>53</v>
      </c>
      <c r="AC1680" s="4" t="s">
        <v>44</v>
      </c>
    </row>
    <row r="1681" spans="1:29" x14ac:dyDescent="0.25">
      <c r="A1681" s="1">
        <v>4075</v>
      </c>
      <c r="B1681" s="17" t="s">
        <v>8129</v>
      </c>
      <c r="C1681" s="2" t="s">
        <v>8130</v>
      </c>
      <c r="D1681" s="15" t="s">
        <v>8131</v>
      </c>
      <c r="E1681" s="9" t="s">
        <v>107</v>
      </c>
      <c r="F1681" s="9" t="s">
        <v>3122</v>
      </c>
      <c r="G1681" s="9" t="s">
        <v>2339</v>
      </c>
      <c r="H1681" s="2" t="s">
        <v>35</v>
      </c>
      <c r="I1681" s="3">
        <v>35846</v>
      </c>
      <c r="J1681" s="9" t="str">
        <f t="shared" ca="1" si="28"/>
        <v>25 ans</v>
      </c>
      <c r="K1681" s="2" t="s">
        <v>123</v>
      </c>
      <c r="L1681" s="2" t="str">
        <f>"148"</f>
        <v>148</v>
      </c>
      <c r="M1681" s="2"/>
      <c r="N1681" s="2" t="str">
        <f>"LAURIER BLVD"</f>
        <v>LAURIER BLVD</v>
      </c>
      <c r="O1681" s="2" t="s">
        <v>3185</v>
      </c>
      <c r="P1681" s="9" t="str">
        <f>VLOOKUP($O1681,'Liste des Villes'!$B$2:$B$1128,1,FALSE)</f>
        <v>Saint-Jérôme</v>
      </c>
      <c r="Q1681" s="9" t="str">
        <f>IFERROR($P1681,PROPER(VLOOKUP($O1681,'Villes en erreur'!$A$2:$B$72,2,FALSE)))</f>
        <v>Saint-Jérôme</v>
      </c>
      <c r="R1681" s="9" t="s">
        <v>3186</v>
      </c>
      <c r="S1681" s="9" t="str">
        <f>IF(ISBLANK($R1681),"",VLOOKUP($R1681,'Liste des Villes'!$B$2:$H$1128,4,FALSE))</f>
        <v>Laurentides</v>
      </c>
      <c r="T1681" s="2" t="s">
        <v>8132</v>
      </c>
      <c r="U1681" s="2" t="s">
        <v>39</v>
      </c>
      <c r="V1681" s="2" t="s">
        <v>40</v>
      </c>
      <c r="W1681" s="2" t="s">
        <v>8133</v>
      </c>
      <c r="X1681" s="2"/>
      <c r="Y1681" s="2"/>
      <c r="Z1681" s="2"/>
      <c r="AA1681" s="2" t="s">
        <v>3243</v>
      </c>
      <c r="AB1681" s="2" t="s">
        <v>3221</v>
      </c>
      <c r="AC1681" s="4" t="s">
        <v>44</v>
      </c>
    </row>
    <row r="1682" spans="1:29" x14ac:dyDescent="0.25">
      <c r="A1682" s="1">
        <v>3484</v>
      </c>
      <c r="B1682" s="17" t="s">
        <v>8134</v>
      </c>
      <c r="C1682" s="2" t="s">
        <v>1648</v>
      </c>
      <c r="D1682" s="15" t="s">
        <v>1649</v>
      </c>
      <c r="E1682" s="9" t="s">
        <v>1650</v>
      </c>
      <c r="F1682" s="9" t="s">
        <v>1282</v>
      </c>
      <c r="G1682" s="9" t="s">
        <v>2504</v>
      </c>
      <c r="H1682" s="2" t="s">
        <v>60</v>
      </c>
      <c r="I1682" s="3">
        <v>35341</v>
      </c>
      <c r="J1682" s="9" t="str">
        <f t="shared" ca="1" si="28"/>
        <v>26 ans</v>
      </c>
      <c r="K1682" s="2" t="s">
        <v>36</v>
      </c>
      <c r="L1682" s="2" t="str">
        <f>"110"</f>
        <v>110</v>
      </c>
      <c r="M1682" s="2"/>
      <c r="N1682" s="2" t="str">
        <f>"CHEMIN DES MERISES"</f>
        <v>CHEMIN DES MERISES</v>
      </c>
      <c r="O1682" s="2" t="s">
        <v>3185</v>
      </c>
      <c r="P1682" s="9" t="str">
        <f>VLOOKUP($O1682,'Liste des Villes'!$B$2:$B$1128,1,FALSE)</f>
        <v>Saint-Jérôme</v>
      </c>
      <c r="Q1682" s="9" t="str">
        <f>IFERROR($P1682,PROPER(VLOOKUP($O1682,'Villes en erreur'!$A$2:$B$72,2,FALSE)))</f>
        <v>Saint-Jérôme</v>
      </c>
      <c r="R1682" s="9" t="s">
        <v>3186</v>
      </c>
      <c r="S1682" s="9" t="str">
        <f>IF(ISBLANK($R1682),"",VLOOKUP($R1682,'Liste des Villes'!$B$2:$H$1128,4,FALSE))</f>
        <v>Laurentides</v>
      </c>
      <c r="T1682" s="2" t="s">
        <v>3524</v>
      </c>
      <c r="U1682" s="2" t="s">
        <v>39</v>
      </c>
      <c r="V1682" s="2" t="s">
        <v>40</v>
      </c>
      <c r="W1682" s="2" t="s">
        <v>8135</v>
      </c>
      <c r="X1682" s="2"/>
      <c r="Y1682" s="2"/>
      <c r="Z1682" s="2"/>
      <c r="AA1682" s="2" t="s">
        <v>3189</v>
      </c>
      <c r="AB1682" s="2" t="s">
        <v>3200</v>
      </c>
      <c r="AC1682" s="4" t="s">
        <v>44</v>
      </c>
    </row>
    <row r="1683" spans="1:29" x14ac:dyDescent="0.25">
      <c r="A1683" s="1">
        <v>1358</v>
      </c>
      <c r="B1683" s="17" t="s">
        <v>8136</v>
      </c>
      <c r="C1683" s="2" t="s">
        <v>8137</v>
      </c>
      <c r="D1683" s="15" t="s">
        <v>714</v>
      </c>
      <c r="E1683" s="9" t="s">
        <v>8138</v>
      </c>
      <c r="F1683" s="9" t="s">
        <v>7033</v>
      </c>
      <c r="G1683" s="9" t="s">
        <v>6687</v>
      </c>
      <c r="H1683" s="2" t="s">
        <v>35</v>
      </c>
      <c r="I1683" s="3">
        <v>35646</v>
      </c>
      <c r="J1683" s="9" t="str">
        <f t="shared" ca="1" si="28"/>
        <v>26 ans</v>
      </c>
      <c r="K1683" s="2" t="s">
        <v>36</v>
      </c>
      <c r="L1683" s="2" t="str">
        <f>"131"</f>
        <v>131</v>
      </c>
      <c r="M1683" s="2"/>
      <c r="N1683" s="2" t="str">
        <f>"DE SAINT-CANUT BLVD"</f>
        <v>DE SAINT-CANUT BLVD</v>
      </c>
      <c r="O1683" s="2" t="s">
        <v>3185</v>
      </c>
      <c r="P1683" s="9" t="str">
        <f>VLOOKUP($O1683,'Liste des Villes'!$B$2:$B$1128,1,FALSE)</f>
        <v>Saint-Jérôme</v>
      </c>
      <c r="Q1683" s="9" t="str">
        <f>IFERROR($P1683,PROPER(VLOOKUP($O1683,'Villes en erreur'!$A$2:$B$72,2,FALSE)))</f>
        <v>Saint-Jérôme</v>
      </c>
      <c r="R1683" s="9" t="s">
        <v>3186</v>
      </c>
      <c r="S1683" s="9" t="str">
        <f>IF(ISBLANK($R1683),"",VLOOKUP($R1683,'Liste des Villes'!$B$2:$H$1128,4,FALSE))</f>
        <v>Laurentides</v>
      </c>
      <c r="T1683" s="2" t="s">
        <v>6688</v>
      </c>
      <c r="U1683" s="2" t="s">
        <v>39</v>
      </c>
      <c r="V1683" s="2" t="s">
        <v>40</v>
      </c>
      <c r="W1683" s="2" t="s">
        <v>8139</v>
      </c>
      <c r="X1683" s="2"/>
      <c r="Y1683" s="2"/>
      <c r="Z1683" s="2"/>
      <c r="AA1683" s="2" t="s">
        <v>3243</v>
      </c>
      <c r="AB1683" s="2" t="s">
        <v>3221</v>
      </c>
      <c r="AC1683" s="4" t="s">
        <v>44</v>
      </c>
    </row>
    <row r="1684" spans="1:29" x14ac:dyDescent="0.25">
      <c r="A1684" s="1">
        <v>4065</v>
      </c>
      <c r="B1684" s="17" t="s">
        <v>8140</v>
      </c>
      <c r="C1684" s="2" t="s">
        <v>8141</v>
      </c>
      <c r="D1684" s="15" t="s">
        <v>8142</v>
      </c>
      <c r="E1684" s="9" t="s">
        <v>5448</v>
      </c>
      <c r="F1684" s="9" t="s">
        <v>6276</v>
      </c>
      <c r="G1684" s="9" t="s">
        <v>8143</v>
      </c>
      <c r="H1684" s="2" t="s">
        <v>60</v>
      </c>
      <c r="I1684" s="3">
        <v>34181</v>
      </c>
      <c r="J1684" s="9" t="str">
        <f t="shared" ca="1" si="28"/>
        <v>30 ans</v>
      </c>
      <c r="K1684" s="2" t="s">
        <v>36</v>
      </c>
      <c r="L1684" s="2" t="str">
        <f>"48"</f>
        <v>48</v>
      </c>
      <c r="M1684" s="2"/>
      <c r="N1684" s="2" t="str">
        <f>"BOULEVARD DE LA SALETTE"</f>
        <v>BOULEVARD DE LA SALETTE</v>
      </c>
      <c r="O1684" s="2" t="s">
        <v>3185</v>
      </c>
      <c r="P1684" s="9" t="str">
        <f>VLOOKUP($O1684,'Liste des Villes'!$B$2:$B$1128,1,FALSE)</f>
        <v>Saint-Jérôme</v>
      </c>
      <c r="Q1684" s="9" t="str">
        <f>IFERROR($P1684,PROPER(VLOOKUP($O1684,'Villes en erreur'!$A$2:$B$72,2,FALSE)))</f>
        <v>Saint-Jérôme</v>
      </c>
      <c r="R1684" s="9" t="s">
        <v>3186</v>
      </c>
      <c r="S1684" s="9" t="str">
        <f>IF(ISBLANK($R1684),"",VLOOKUP($R1684,'Liste des Villes'!$B$2:$H$1128,4,FALSE))</f>
        <v>Laurentides</v>
      </c>
      <c r="T1684" s="2" t="s">
        <v>3358</v>
      </c>
      <c r="U1684" s="2" t="s">
        <v>39</v>
      </c>
      <c r="V1684" s="2" t="s">
        <v>40</v>
      </c>
      <c r="W1684" s="2" t="s">
        <v>8144</v>
      </c>
      <c r="X1684" s="2"/>
      <c r="Y1684" s="2"/>
      <c r="Z1684" s="2"/>
      <c r="AA1684" s="2" t="s">
        <v>3360</v>
      </c>
      <c r="AB1684" s="2" t="s">
        <v>53</v>
      </c>
      <c r="AC1684" s="4" t="s">
        <v>44</v>
      </c>
    </row>
    <row r="1685" spans="1:29" x14ac:dyDescent="0.25">
      <c r="A1685" s="1">
        <v>988</v>
      </c>
      <c r="B1685" s="17" t="s">
        <v>8145</v>
      </c>
      <c r="C1685" s="2" t="s">
        <v>8146</v>
      </c>
      <c r="D1685" s="15" t="s">
        <v>3646</v>
      </c>
      <c r="E1685" s="9" t="s">
        <v>8147</v>
      </c>
      <c r="F1685" s="9" t="s">
        <v>164</v>
      </c>
      <c r="G1685" s="9" t="s">
        <v>332</v>
      </c>
      <c r="H1685" s="2" t="s">
        <v>60</v>
      </c>
      <c r="I1685" s="3">
        <v>35560</v>
      </c>
      <c r="J1685" s="9" t="str">
        <f t="shared" ca="1" si="28"/>
        <v>26 ans</v>
      </c>
      <c r="K1685" s="2" t="s">
        <v>36</v>
      </c>
      <c r="L1685" s="2" t="str">
        <f>"124"</f>
        <v>124</v>
      </c>
      <c r="M1685" s="2"/>
      <c r="N1685" s="2" t="str">
        <f>"CROIS DU CHÉNEAU"</f>
        <v>CROIS DU CHÉNEAU</v>
      </c>
      <c r="O1685" s="2" t="s">
        <v>3185</v>
      </c>
      <c r="P1685" s="9" t="str">
        <f>VLOOKUP($O1685,'Liste des Villes'!$B$2:$B$1128,1,FALSE)</f>
        <v>Saint-Jérôme</v>
      </c>
      <c r="Q1685" s="9" t="str">
        <f>IFERROR($P1685,PROPER(VLOOKUP($O1685,'Villes en erreur'!$A$2:$B$72,2,FALSE)))</f>
        <v>Saint-Jérôme</v>
      </c>
      <c r="R1685" s="9" t="s">
        <v>3186</v>
      </c>
      <c r="S1685" s="9" t="str">
        <f>IF(ISBLANK($R1685),"",VLOOKUP($R1685,'Liste des Villes'!$B$2:$H$1128,4,FALSE))</f>
        <v>Laurentides</v>
      </c>
      <c r="T1685" s="2" t="s">
        <v>3740</v>
      </c>
      <c r="U1685" s="2" t="s">
        <v>39</v>
      </c>
      <c r="V1685" s="2" t="s">
        <v>40</v>
      </c>
      <c r="W1685" s="2" t="s">
        <v>8148</v>
      </c>
      <c r="X1685" s="2"/>
      <c r="Y1685" s="2"/>
      <c r="Z1685" s="2"/>
      <c r="AA1685" s="2" t="s">
        <v>3199</v>
      </c>
      <c r="AB1685" s="2" t="s">
        <v>3221</v>
      </c>
      <c r="AC1685" s="4" t="s">
        <v>44</v>
      </c>
    </row>
    <row r="1686" spans="1:29" x14ac:dyDescent="0.25">
      <c r="A1686" s="1">
        <v>368</v>
      </c>
      <c r="B1686" s="17" t="s">
        <v>8149</v>
      </c>
      <c r="C1686" s="2" t="s">
        <v>8150</v>
      </c>
      <c r="D1686" s="15" t="s">
        <v>8151</v>
      </c>
      <c r="E1686" s="9" t="s">
        <v>683</v>
      </c>
      <c r="F1686" s="9" t="s">
        <v>8152</v>
      </c>
      <c r="G1686" s="9" t="s">
        <v>5409</v>
      </c>
      <c r="H1686" s="2" t="s">
        <v>35</v>
      </c>
      <c r="I1686" s="3">
        <v>36047</v>
      </c>
      <c r="J1686" s="9" t="str">
        <f t="shared" ca="1" si="28"/>
        <v>24 ans</v>
      </c>
      <c r="K1686" s="2" t="s">
        <v>123</v>
      </c>
      <c r="L1686" s="2" t="str">
        <f>"187"</f>
        <v>187</v>
      </c>
      <c r="M1686" s="2"/>
      <c r="N1686" s="2" t="str">
        <f>"PLACE SIGOUIN"</f>
        <v>PLACE SIGOUIN</v>
      </c>
      <c r="O1686" s="2" t="s">
        <v>3185</v>
      </c>
      <c r="P1686" s="9" t="str">
        <f>VLOOKUP($O1686,'Liste des Villes'!$B$2:$B$1128,1,FALSE)</f>
        <v>Saint-Jérôme</v>
      </c>
      <c r="Q1686" s="9" t="str">
        <f>IFERROR($P1686,PROPER(VLOOKUP($O1686,'Villes en erreur'!$A$2:$B$72,2,FALSE)))</f>
        <v>Saint-Jérôme</v>
      </c>
      <c r="R1686" s="9" t="s">
        <v>3186</v>
      </c>
      <c r="S1686" s="9" t="str">
        <f>IF(ISBLANK($R1686),"",VLOOKUP($R1686,'Liste des Villes'!$B$2:$H$1128,4,FALSE))</f>
        <v>Laurentides</v>
      </c>
      <c r="T1686" s="2" t="s">
        <v>8153</v>
      </c>
      <c r="U1686" s="2" t="s">
        <v>39</v>
      </c>
      <c r="V1686" s="2" t="s">
        <v>40</v>
      </c>
      <c r="W1686" s="2" t="s">
        <v>8154</v>
      </c>
      <c r="X1686" s="2"/>
      <c r="Y1686" s="2"/>
      <c r="Z1686" s="2"/>
      <c r="AA1686" s="2" t="s">
        <v>832</v>
      </c>
      <c r="AB1686" s="2" t="s">
        <v>3221</v>
      </c>
      <c r="AC1686" s="4" t="s">
        <v>44</v>
      </c>
    </row>
    <row r="1687" spans="1:29" x14ac:dyDescent="0.25">
      <c r="A1687" s="1">
        <v>329</v>
      </c>
      <c r="B1687" s="17" t="s">
        <v>8155</v>
      </c>
      <c r="C1687" s="2" t="s">
        <v>8156</v>
      </c>
      <c r="D1687" s="15" t="s">
        <v>86</v>
      </c>
      <c r="E1687" s="9" t="s">
        <v>4053</v>
      </c>
      <c r="F1687" s="9" t="s">
        <v>8157</v>
      </c>
      <c r="G1687" s="9" t="s">
        <v>577</v>
      </c>
      <c r="H1687" s="2" t="s">
        <v>60</v>
      </c>
      <c r="I1687" s="3">
        <v>35910</v>
      </c>
      <c r="J1687" s="9" t="str">
        <f t="shared" ca="1" si="28"/>
        <v>25 ans</v>
      </c>
      <c r="K1687" s="2" t="s">
        <v>123</v>
      </c>
      <c r="L1687" s="2" t="str">
        <f>"158"</f>
        <v>158</v>
      </c>
      <c r="M1687" s="2"/>
      <c r="N1687" s="2" t="str">
        <f>"MONTÉE DU PONT BLEU"</f>
        <v>MONTÉE DU PONT BLEU</v>
      </c>
      <c r="O1687" s="2" t="s">
        <v>3185</v>
      </c>
      <c r="P1687" s="9" t="str">
        <f>VLOOKUP($O1687,'Liste des Villes'!$B$2:$B$1128,1,FALSE)</f>
        <v>Saint-Jérôme</v>
      </c>
      <c r="Q1687" s="9" t="str">
        <f>IFERROR($P1687,PROPER(VLOOKUP($O1687,'Villes en erreur'!$A$2:$B$72,2,FALSE)))</f>
        <v>Saint-Jérôme</v>
      </c>
      <c r="R1687" s="9" t="s">
        <v>3186</v>
      </c>
      <c r="S1687" s="9" t="str">
        <f>IF(ISBLANK($R1687),"",VLOOKUP($R1687,'Liste des Villes'!$B$2:$H$1128,4,FALSE))</f>
        <v>Laurentides</v>
      </c>
      <c r="T1687" s="2" t="s">
        <v>7224</v>
      </c>
      <c r="U1687" s="2" t="s">
        <v>39</v>
      </c>
      <c r="V1687" s="2" t="s">
        <v>40</v>
      </c>
      <c r="W1687" s="2" t="s">
        <v>8158</v>
      </c>
      <c r="X1687" s="2"/>
      <c r="Y1687" s="2"/>
      <c r="Z1687" s="2"/>
      <c r="AA1687" s="2" t="s">
        <v>3243</v>
      </c>
      <c r="AB1687" s="2" t="s">
        <v>3221</v>
      </c>
      <c r="AC1687" s="4" t="s">
        <v>44</v>
      </c>
    </row>
    <row r="1688" spans="1:29" x14ac:dyDescent="0.25">
      <c r="A1688" s="1">
        <v>4007</v>
      </c>
      <c r="B1688" s="17" t="s">
        <v>8159</v>
      </c>
      <c r="C1688" s="2" t="s">
        <v>8160</v>
      </c>
      <c r="D1688" s="15" t="s">
        <v>7971</v>
      </c>
      <c r="E1688" s="9" t="s">
        <v>8161</v>
      </c>
      <c r="F1688" s="9" t="s">
        <v>884</v>
      </c>
      <c r="G1688" s="9" t="s">
        <v>8162</v>
      </c>
      <c r="H1688" s="2" t="s">
        <v>35</v>
      </c>
      <c r="I1688" s="3">
        <v>35675</v>
      </c>
      <c r="J1688" s="9" t="str">
        <f t="shared" ca="1" si="28"/>
        <v>25 ans</v>
      </c>
      <c r="K1688" s="2" t="s">
        <v>123</v>
      </c>
      <c r="L1688" s="2" t="str">
        <f>"133"</f>
        <v>133</v>
      </c>
      <c r="M1688" s="2"/>
      <c r="N1688" s="2" t="str">
        <f>"Des Chardonnerets"</f>
        <v>Des Chardonnerets</v>
      </c>
      <c r="O1688" s="2" t="s">
        <v>3186</v>
      </c>
      <c r="P1688" s="9" t="str">
        <f>VLOOKUP($O1688,'Liste des Villes'!$B$2:$B$1128,1,FALSE)</f>
        <v>Saint-Jérôme</v>
      </c>
      <c r="Q1688" s="9" t="str">
        <f>IFERROR($P1688,PROPER(VLOOKUP($O1688,'Villes en erreur'!$A$2:$B$72,2,FALSE)))</f>
        <v>Saint-Jérôme</v>
      </c>
      <c r="R1688" s="9" t="s">
        <v>3186</v>
      </c>
      <c r="S1688" s="9" t="str">
        <f>IF(ISBLANK($R1688),"",VLOOKUP($R1688,'Liste des Villes'!$B$2:$H$1128,4,FALSE))</f>
        <v>Laurentides</v>
      </c>
      <c r="T1688" s="2" t="s">
        <v>8163</v>
      </c>
      <c r="U1688" s="2" t="s">
        <v>39</v>
      </c>
      <c r="V1688" s="2" t="s">
        <v>40</v>
      </c>
      <c r="W1688" s="2" t="s">
        <v>8164</v>
      </c>
      <c r="X1688" s="2"/>
      <c r="Y1688" s="2"/>
      <c r="Z1688" s="2"/>
      <c r="AA1688" s="2" t="s">
        <v>3243</v>
      </c>
      <c r="AB1688" s="2" t="s">
        <v>3221</v>
      </c>
      <c r="AC1688" s="4" t="s">
        <v>44</v>
      </c>
    </row>
    <row r="1689" spans="1:29" x14ac:dyDescent="0.25">
      <c r="A1689" s="1">
        <v>941</v>
      </c>
      <c r="B1689" s="17" t="s">
        <v>8165</v>
      </c>
      <c r="C1689" s="2" t="s">
        <v>8166</v>
      </c>
      <c r="D1689" s="15" t="s">
        <v>1479</v>
      </c>
      <c r="E1689" s="9" t="s">
        <v>8167</v>
      </c>
      <c r="F1689" s="9" t="s">
        <v>1477</v>
      </c>
      <c r="G1689" s="9" t="s">
        <v>92</v>
      </c>
      <c r="H1689" s="2" t="s">
        <v>35</v>
      </c>
      <c r="I1689" s="3">
        <v>35384</v>
      </c>
      <c r="J1689" s="9" t="str">
        <f t="shared" ca="1" si="28"/>
        <v>26 ans</v>
      </c>
      <c r="K1689" s="2" t="s">
        <v>36</v>
      </c>
      <c r="L1689" s="2" t="str">
        <f>"112"</f>
        <v>112</v>
      </c>
      <c r="M1689" s="2"/>
      <c r="N1689" s="2" t="str">
        <f>"CHEMIN DU BOSQUET"</f>
        <v>CHEMIN DU BOSQUET</v>
      </c>
      <c r="O1689" s="2" t="s">
        <v>3185</v>
      </c>
      <c r="P1689" s="9" t="str">
        <f>VLOOKUP($O1689,'Liste des Villes'!$B$2:$B$1128,1,FALSE)</f>
        <v>Saint-Jérôme</v>
      </c>
      <c r="Q1689" s="9" t="str">
        <f>IFERROR($P1689,PROPER(VLOOKUP($O1689,'Villes en erreur'!$A$2:$B$72,2,FALSE)))</f>
        <v>Saint-Jérôme</v>
      </c>
      <c r="R1689" s="9" t="s">
        <v>3186</v>
      </c>
      <c r="S1689" s="9" t="str">
        <f>IF(ISBLANK($R1689),"",VLOOKUP($R1689,'Liste des Villes'!$B$2:$H$1128,4,FALSE))</f>
        <v>Laurentides</v>
      </c>
      <c r="T1689" s="2" t="s">
        <v>3827</v>
      </c>
      <c r="U1689" s="2" t="s">
        <v>39</v>
      </c>
      <c r="V1689" s="2" t="s">
        <v>40</v>
      </c>
      <c r="W1689" s="2" t="s">
        <v>8168</v>
      </c>
      <c r="X1689" s="2"/>
      <c r="Y1689" s="2"/>
      <c r="Z1689" s="2"/>
      <c r="AA1689" s="2" t="s">
        <v>3189</v>
      </c>
      <c r="AB1689" s="2" t="s">
        <v>3200</v>
      </c>
      <c r="AC1689" s="4" t="s">
        <v>44</v>
      </c>
    </row>
    <row r="1690" spans="1:29" x14ac:dyDescent="0.25">
      <c r="A1690" s="1">
        <v>2671</v>
      </c>
      <c r="B1690" s="17" t="s">
        <v>8169</v>
      </c>
      <c r="C1690" s="2" t="s">
        <v>8170</v>
      </c>
      <c r="D1690" s="15" t="s">
        <v>2629</v>
      </c>
      <c r="E1690" s="9" t="s">
        <v>1447</v>
      </c>
      <c r="F1690" s="9" t="s">
        <v>2628</v>
      </c>
      <c r="G1690" s="9" t="s">
        <v>2993</v>
      </c>
      <c r="H1690" s="2" t="s">
        <v>60</v>
      </c>
      <c r="I1690" s="3">
        <v>35701</v>
      </c>
      <c r="J1690" s="9" t="str">
        <f t="shared" ca="1" si="28"/>
        <v>25 ans</v>
      </c>
      <c r="K1690" s="2" t="s">
        <v>123</v>
      </c>
      <c r="L1690" s="2" t="str">
        <f>"135"</f>
        <v>135</v>
      </c>
      <c r="M1690" s="2"/>
      <c r="N1690" s="2" t="str">
        <f>"DES OUTARDES"</f>
        <v>DES OUTARDES</v>
      </c>
      <c r="O1690" s="2" t="s">
        <v>3185</v>
      </c>
      <c r="P1690" s="9" t="str">
        <f>VLOOKUP($O1690,'Liste des Villes'!$B$2:$B$1128,1,FALSE)</f>
        <v>Saint-Jérôme</v>
      </c>
      <c r="Q1690" s="9" t="str">
        <f>IFERROR($P1690,PROPER(VLOOKUP($O1690,'Villes en erreur'!$A$2:$B$72,2,FALSE)))</f>
        <v>Saint-Jérôme</v>
      </c>
      <c r="R1690" s="9" t="s">
        <v>3186</v>
      </c>
      <c r="S1690" s="9" t="str">
        <f>IF(ISBLANK($R1690),"",VLOOKUP($R1690,'Liste des Villes'!$B$2:$H$1128,4,FALSE))</f>
        <v>Laurentides</v>
      </c>
      <c r="T1690" s="2" t="s">
        <v>8171</v>
      </c>
      <c r="U1690" s="2" t="s">
        <v>39</v>
      </c>
      <c r="V1690" s="2" t="s">
        <v>40</v>
      </c>
      <c r="W1690" s="2" t="s">
        <v>8172</v>
      </c>
      <c r="X1690" s="2"/>
      <c r="Y1690" s="2"/>
      <c r="Z1690" s="2"/>
      <c r="AA1690" s="2" t="s">
        <v>3243</v>
      </c>
      <c r="AB1690" s="2" t="s">
        <v>3221</v>
      </c>
      <c r="AC1690" s="4" t="s">
        <v>44</v>
      </c>
    </row>
    <row r="1691" spans="1:29" x14ac:dyDescent="0.25">
      <c r="A1691" s="1">
        <v>189</v>
      </c>
      <c r="B1691" s="17" t="s">
        <v>8173</v>
      </c>
      <c r="C1691" s="2" t="s">
        <v>8174</v>
      </c>
      <c r="D1691" s="15" t="s">
        <v>8175</v>
      </c>
      <c r="E1691" s="9" t="s">
        <v>8176</v>
      </c>
      <c r="F1691" s="9" t="s">
        <v>8177</v>
      </c>
      <c r="G1691" s="9" t="s">
        <v>7305</v>
      </c>
      <c r="H1691" s="2" t="s">
        <v>60</v>
      </c>
      <c r="I1691" s="3">
        <v>35503</v>
      </c>
      <c r="J1691" s="9" t="str">
        <f t="shared" ca="1" si="28"/>
        <v>26 ans</v>
      </c>
      <c r="K1691" s="2" t="s">
        <v>36</v>
      </c>
      <c r="L1691" s="2" t="str">
        <f>"120"</f>
        <v>120</v>
      </c>
      <c r="M1691" s="2"/>
      <c r="N1691" s="2" t="str">
        <f>"CHEMIN VALIQUETTE"</f>
        <v>CHEMIN VALIQUETTE</v>
      </c>
      <c r="O1691" s="2" t="s">
        <v>3185</v>
      </c>
      <c r="P1691" s="9" t="str">
        <f>VLOOKUP($O1691,'Liste des Villes'!$B$2:$B$1128,1,FALSE)</f>
        <v>Saint-Jérôme</v>
      </c>
      <c r="Q1691" s="9" t="str">
        <f>IFERROR($P1691,PROPER(VLOOKUP($O1691,'Villes en erreur'!$A$2:$B$72,2,FALSE)))</f>
        <v>Saint-Jérôme</v>
      </c>
      <c r="R1691" s="9" t="s">
        <v>3186</v>
      </c>
      <c r="S1691" s="9" t="str">
        <f>IF(ISBLANK($R1691),"",VLOOKUP($R1691,'Liste des Villes'!$B$2:$H$1128,4,FALSE))</f>
        <v>Laurentides</v>
      </c>
      <c r="T1691" s="2" t="s">
        <v>3532</v>
      </c>
      <c r="U1691" s="2" t="s">
        <v>39</v>
      </c>
      <c r="V1691" s="2" t="s">
        <v>40</v>
      </c>
      <c r="W1691" s="2" t="s">
        <v>8178</v>
      </c>
      <c r="X1691" s="2"/>
      <c r="Y1691" s="2"/>
      <c r="Z1691" s="2"/>
      <c r="AA1691" s="2" t="s">
        <v>3199</v>
      </c>
      <c r="AB1691" s="2" t="s">
        <v>3200</v>
      </c>
      <c r="AC1691" s="4" t="s">
        <v>44</v>
      </c>
    </row>
    <row r="1692" spans="1:29" x14ac:dyDescent="0.25">
      <c r="A1692" s="1">
        <v>297</v>
      </c>
      <c r="B1692" s="17" t="s">
        <v>8179</v>
      </c>
      <c r="C1692" s="2" t="s">
        <v>8180</v>
      </c>
      <c r="D1692" s="15" t="s">
        <v>8181</v>
      </c>
      <c r="E1692" s="9" t="s">
        <v>3815</v>
      </c>
      <c r="F1692" s="9" t="s">
        <v>8182</v>
      </c>
      <c r="G1692" s="9" t="s">
        <v>1037</v>
      </c>
      <c r="H1692" s="2" t="s">
        <v>60</v>
      </c>
      <c r="I1692" s="3">
        <v>36066</v>
      </c>
      <c r="J1692" s="9" t="str">
        <f t="shared" ca="1" si="28"/>
        <v>24 ans</v>
      </c>
      <c r="K1692" s="2" t="s">
        <v>123</v>
      </c>
      <c r="L1692" s="2" t="str">
        <f>"194"</f>
        <v>194</v>
      </c>
      <c r="M1692" s="2"/>
      <c r="N1692" s="2" t="str">
        <f>"RANG DU TRAIT-CARRÉ"</f>
        <v>RANG DU TRAIT-CARRÉ</v>
      </c>
      <c r="O1692" s="2" t="s">
        <v>3185</v>
      </c>
      <c r="P1692" s="9" t="str">
        <f>VLOOKUP($O1692,'Liste des Villes'!$B$2:$B$1128,1,FALSE)</f>
        <v>Saint-Jérôme</v>
      </c>
      <c r="Q1692" s="9" t="str">
        <f>IFERROR($P1692,PROPER(VLOOKUP($O1692,'Villes en erreur'!$A$2:$B$72,2,FALSE)))</f>
        <v>Saint-Jérôme</v>
      </c>
      <c r="R1692" s="9" t="s">
        <v>3186</v>
      </c>
      <c r="S1692" s="9" t="str">
        <f>IF(ISBLANK($R1692),"",VLOOKUP($R1692,'Liste des Villes'!$B$2:$H$1128,4,FALSE))</f>
        <v>Laurentides</v>
      </c>
      <c r="T1692" s="2" t="s">
        <v>8183</v>
      </c>
      <c r="U1692" s="2" t="s">
        <v>39</v>
      </c>
      <c r="V1692" s="2" t="s">
        <v>40</v>
      </c>
      <c r="W1692" s="2" t="s">
        <v>8184</v>
      </c>
      <c r="X1692" s="2"/>
      <c r="Y1692" s="2"/>
      <c r="Z1692" s="2"/>
      <c r="AA1692" s="2" t="s">
        <v>832</v>
      </c>
      <c r="AB1692" s="2" t="s">
        <v>3221</v>
      </c>
      <c r="AC1692" s="4" t="s">
        <v>44</v>
      </c>
    </row>
    <row r="1693" spans="1:29" x14ac:dyDescent="0.25">
      <c r="A1693" s="1">
        <v>3215</v>
      </c>
      <c r="B1693" s="17" t="s">
        <v>8185</v>
      </c>
      <c r="C1693" s="2" t="s">
        <v>2759</v>
      </c>
      <c r="D1693" s="15" t="s">
        <v>2693</v>
      </c>
      <c r="E1693" s="9" t="s">
        <v>781</v>
      </c>
      <c r="F1693" s="9" t="s">
        <v>782</v>
      </c>
      <c r="G1693" s="9" t="s">
        <v>1560</v>
      </c>
      <c r="H1693" s="2" t="s">
        <v>35</v>
      </c>
      <c r="I1693" s="3">
        <v>35594</v>
      </c>
      <c r="J1693" s="9" t="str">
        <f t="shared" ca="1" si="28"/>
        <v>26 ans</v>
      </c>
      <c r="K1693" s="2" t="s">
        <v>36</v>
      </c>
      <c r="L1693" s="2" t="str">
        <f>"128"</f>
        <v>128</v>
      </c>
      <c r="M1693" s="2"/>
      <c r="N1693" s="2" t="str">
        <f>"DE LA MODISTE"</f>
        <v>DE LA MODISTE</v>
      </c>
      <c r="O1693" s="2" t="s">
        <v>3185</v>
      </c>
      <c r="P1693" s="9" t="str">
        <f>VLOOKUP($O1693,'Liste des Villes'!$B$2:$B$1128,1,FALSE)</f>
        <v>Saint-Jérôme</v>
      </c>
      <c r="Q1693" s="9" t="str">
        <f>IFERROR($P1693,PROPER(VLOOKUP($O1693,'Villes en erreur'!$A$2:$B$72,2,FALSE)))</f>
        <v>Saint-Jérôme</v>
      </c>
      <c r="R1693" s="9" t="s">
        <v>3186</v>
      </c>
      <c r="S1693" s="9" t="str">
        <f>IF(ISBLANK($R1693),"",VLOOKUP($R1693,'Liste des Villes'!$B$2:$H$1128,4,FALSE))</f>
        <v>Laurentides</v>
      </c>
      <c r="T1693" s="2" t="s">
        <v>3576</v>
      </c>
      <c r="U1693" s="2" t="s">
        <v>39</v>
      </c>
      <c r="V1693" s="2" t="s">
        <v>40</v>
      </c>
      <c r="W1693" s="2" t="s">
        <v>8186</v>
      </c>
      <c r="X1693" s="2"/>
      <c r="Y1693" s="2"/>
      <c r="Z1693" s="2"/>
      <c r="AA1693" s="2" t="s">
        <v>3243</v>
      </c>
      <c r="AB1693" s="2" t="s">
        <v>3221</v>
      </c>
      <c r="AC1693" s="4" t="s">
        <v>44</v>
      </c>
    </row>
    <row r="1694" spans="1:29" x14ac:dyDescent="0.25">
      <c r="A1694" s="1">
        <v>3563</v>
      </c>
      <c r="B1694" s="17" t="s">
        <v>8187</v>
      </c>
      <c r="C1694" s="2" t="s">
        <v>8188</v>
      </c>
      <c r="D1694" s="15" t="s">
        <v>8189</v>
      </c>
      <c r="E1694" s="9" t="s">
        <v>8190</v>
      </c>
      <c r="F1694" s="9" t="s">
        <v>8191</v>
      </c>
      <c r="G1694" s="9" t="s">
        <v>8192</v>
      </c>
      <c r="H1694" s="2" t="s">
        <v>35</v>
      </c>
      <c r="I1694" s="3">
        <v>36193</v>
      </c>
      <c r="J1694" s="9" t="str">
        <f t="shared" ca="1" si="28"/>
        <v>24 ans</v>
      </c>
      <c r="K1694" s="2" t="s">
        <v>123</v>
      </c>
      <c r="L1694" s="2" t="str">
        <f>"237"</f>
        <v>237</v>
      </c>
      <c r="M1694" s="2"/>
      <c r="N1694" s="2" t="str">
        <f>"RUE ANTOINE-GROULX"</f>
        <v>RUE ANTOINE-GROULX</v>
      </c>
      <c r="O1694" s="2" t="s">
        <v>3185</v>
      </c>
      <c r="P1694" s="9" t="str">
        <f>VLOOKUP($O1694,'Liste des Villes'!$B$2:$B$1128,1,FALSE)</f>
        <v>Saint-Jérôme</v>
      </c>
      <c r="Q1694" s="9" t="str">
        <f>IFERROR($P1694,PROPER(VLOOKUP($O1694,'Villes en erreur'!$A$2:$B$72,2,FALSE)))</f>
        <v>Saint-Jérôme</v>
      </c>
      <c r="R1694" s="9" t="s">
        <v>3186</v>
      </c>
      <c r="S1694" s="9" t="str">
        <f>IF(ISBLANK($R1694),"",VLOOKUP($R1694,'Liste des Villes'!$B$2:$H$1128,4,FALSE))</f>
        <v>Laurentides</v>
      </c>
      <c r="T1694" s="2" t="s">
        <v>6769</v>
      </c>
      <c r="U1694" s="2" t="s">
        <v>39</v>
      </c>
      <c r="V1694" s="2" t="s">
        <v>40</v>
      </c>
      <c r="W1694" s="2" t="s">
        <v>8193</v>
      </c>
      <c r="X1694" s="2"/>
      <c r="Y1694" s="2"/>
      <c r="Z1694" s="2"/>
      <c r="AA1694" s="2" t="s">
        <v>832</v>
      </c>
      <c r="AB1694" s="2" t="s">
        <v>3288</v>
      </c>
      <c r="AC1694" s="4" t="s">
        <v>44</v>
      </c>
    </row>
    <row r="1695" spans="1:29" x14ac:dyDescent="0.25">
      <c r="A1695" s="1">
        <v>459</v>
      </c>
      <c r="B1695" s="17" t="s">
        <v>8194</v>
      </c>
      <c r="C1695" s="2" t="s">
        <v>8195</v>
      </c>
      <c r="D1695" s="15" t="s">
        <v>8196</v>
      </c>
      <c r="E1695" s="9" t="s">
        <v>3218</v>
      </c>
      <c r="F1695" s="9" t="s">
        <v>2187</v>
      </c>
      <c r="G1695" s="9" t="s">
        <v>1024</v>
      </c>
      <c r="H1695" s="2" t="s">
        <v>35</v>
      </c>
      <c r="I1695" s="3">
        <v>36171</v>
      </c>
      <c r="J1695" s="9" t="str">
        <f t="shared" ca="1" si="28"/>
        <v>24 ans</v>
      </c>
      <c r="K1695" s="2" t="s">
        <v>123</v>
      </c>
      <c r="L1695" s="2" t="str">
        <f>"232"</f>
        <v>232</v>
      </c>
      <c r="M1695" s="2"/>
      <c r="N1695" s="2" t="str">
        <f>"RUE ANDRÉ-MATHIEU"</f>
        <v>RUE ANDRÉ-MATHIEU</v>
      </c>
      <c r="O1695" s="2" t="s">
        <v>3185</v>
      </c>
      <c r="P1695" s="9" t="str">
        <f>VLOOKUP($O1695,'Liste des Villes'!$B$2:$B$1128,1,FALSE)</f>
        <v>Saint-Jérôme</v>
      </c>
      <c r="Q1695" s="9" t="str">
        <f>IFERROR($P1695,PROPER(VLOOKUP($O1695,'Villes en erreur'!$A$2:$B$72,2,FALSE)))</f>
        <v>Saint-Jérôme</v>
      </c>
      <c r="R1695" s="9" t="s">
        <v>3186</v>
      </c>
      <c r="S1695" s="9" t="str">
        <f>IF(ISBLANK($R1695),"",VLOOKUP($R1695,'Liste des Villes'!$B$2:$H$1128,4,FALSE))</f>
        <v>Laurentides</v>
      </c>
      <c r="T1695" s="2" t="s">
        <v>8197</v>
      </c>
      <c r="U1695" s="2" t="s">
        <v>39</v>
      </c>
      <c r="V1695" s="2" t="s">
        <v>40</v>
      </c>
      <c r="W1695" s="2" t="s">
        <v>8198</v>
      </c>
      <c r="X1695" s="2"/>
      <c r="Y1695" s="2"/>
      <c r="Z1695" s="2"/>
      <c r="AA1695" s="2" t="s">
        <v>832</v>
      </c>
      <c r="AB1695" s="2" t="s">
        <v>3221</v>
      </c>
      <c r="AC1695" s="4" t="s">
        <v>44</v>
      </c>
    </row>
    <row r="1696" spans="1:29" x14ac:dyDescent="0.25">
      <c r="A1696" s="1">
        <v>1381</v>
      </c>
      <c r="B1696" s="17" t="s">
        <v>8199</v>
      </c>
      <c r="C1696" s="2" t="s">
        <v>8200</v>
      </c>
      <c r="D1696" s="15" t="s">
        <v>8201</v>
      </c>
      <c r="E1696" s="9" t="s">
        <v>4231</v>
      </c>
      <c r="F1696" s="9" t="s">
        <v>955</v>
      </c>
      <c r="G1696" s="9" t="s">
        <v>495</v>
      </c>
      <c r="H1696" s="2" t="s">
        <v>35</v>
      </c>
      <c r="I1696" s="3">
        <v>34710</v>
      </c>
      <c r="J1696" s="9" t="str">
        <f t="shared" ca="1" si="28"/>
        <v>28 ans</v>
      </c>
      <c r="K1696" s="2" t="s">
        <v>36</v>
      </c>
      <c r="L1696" s="2" t="str">
        <f>"71"</f>
        <v>71</v>
      </c>
      <c r="M1696" s="2"/>
      <c r="N1696" s="2" t="str">
        <f>"CH DE L'ARDOISE"</f>
        <v>CH DE L'ARDOISE</v>
      </c>
      <c r="O1696" s="2" t="s">
        <v>3185</v>
      </c>
      <c r="P1696" s="9" t="str">
        <f>VLOOKUP($O1696,'Liste des Villes'!$B$2:$B$1128,1,FALSE)</f>
        <v>Saint-Jérôme</v>
      </c>
      <c r="Q1696" s="9" t="str">
        <f>IFERROR($P1696,PROPER(VLOOKUP($O1696,'Villes en erreur'!$A$2:$B$72,2,FALSE)))</f>
        <v>Saint-Jérôme</v>
      </c>
      <c r="R1696" s="9" t="s">
        <v>3186</v>
      </c>
      <c r="S1696" s="9" t="str">
        <f>IF(ISBLANK($R1696),"",VLOOKUP($R1696,'Liste des Villes'!$B$2:$H$1128,4,FALSE))</f>
        <v>Laurentides</v>
      </c>
      <c r="T1696" s="2" t="s">
        <v>4119</v>
      </c>
      <c r="U1696" s="2" t="s">
        <v>39</v>
      </c>
      <c r="V1696" s="2" t="s">
        <v>40</v>
      </c>
      <c r="W1696" s="2" t="s">
        <v>8202</v>
      </c>
      <c r="X1696" s="2"/>
      <c r="Y1696" s="2"/>
      <c r="Z1696" s="2"/>
      <c r="AA1696" s="2" t="s">
        <v>3225</v>
      </c>
      <c r="AB1696" s="2" t="s">
        <v>53</v>
      </c>
      <c r="AC1696" s="4" t="s">
        <v>44</v>
      </c>
    </row>
    <row r="1697" spans="1:29" x14ac:dyDescent="0.25">
      <c r="A1697" s="1">
        <v>3816</v>
      </c>
      <c r="B1697" s="17" t="s">
        <v>8203</v>
      </c>
      <c r="C1697" s="2" t="s">
        <v>8204</v>
      </c>
      <c r="D1697" s="15" t="s">
        <v>2094</v>
      </c>
      <c r="E1697" s="9" t="s">
        <v>2779</v>
      </c>
      <c r="F1697" s="9" t="s">
        <v>2093</v>
      </c>
      <c r="G1697" s="9" t="s">
        <v>332</v>
      </c>
      <c r="H1697" s="2" t="s">
        <v>60</v>
      </c>
      <c r="I1697" s="3">
        <v>35547</v>
      </c>
      <c r="J1697" s="9" t="str">
        <f t="shared" ca="1" si="28"/>
        <v>26 ans</v>
      </c>
      <c r="K1697" s="2" t="s">
        <v>36</v>
      </c>
      <c r="L1697" s="2" t="str">
        <f>"123"</f>
        <v>123</v>
      </c>
      <c r="M1697" s="2"/>
      <c r="N1697" s="2" t="str">
        <f>"côte Saint-Pierre"</f>
        <v>côte Saint-Pierre</v>
      </c>
      <c r="O1697" s="2" t="s">
        <v>3185</v>
      </c>
      <c r="P1697" s="9" t="str">
        <f>VLOOKUP($O1697,'Liste des Villes'!$B$2:$B$1128,1,FALSE)</f>
        <v>Saint-Jérôme</v>
      </c>
      <c r="Q1697" s="9" t="str">
        <f>IFERROR($P1697,PROPER(VLOOKUP($O1697,'Villes en erreur'!$A$2:$B$72,2,FALSE)))</f>
        <v>Saint-Jérôme</v>
      </c>
      <c r="R1697" s="9" t="s">
        <v>3186</v>
      </c>
      <c r="S1697" s="9" t="str">
        <f>IF(ISBLANK($R1697),"",VLOOKUP($R1697,'Liste des Villes'!$B$2:$H$1128,4,FALSE))</f>
        <v>Laurentides</v>
      </c>
      <c r="T1697" s="2" t="s">
        <v>3740</v>
      </c>
      <c r="U1697" s="2" t="s">
        <v>39</v>
      </c>
      <c r="V1697" s="2" t="s">
        <v>40</v>
      </c>
      <c r="W1697" s="2" t="s">
        <v>8205</v>
      </c>
      <c r="X1697" s="2"/>
      <c r="Y1697" s="2"/>
      <c r="Z1697" s="2"/>
      <c r="AA1697" s="2" t="s">
        <v>3199</v>
      </c>
      <c r="AB1697" s="2" t="s">
        <v>3221</v>
      </c>
      <c r="AC1697" s="4" t="s">
        <v>44</v>
      </c>
    </row>
    <row r="1698" spans="1:29" x14ac:dyDescent="0.25">
      <c r="A1698" s="1">
        <v>788</v>
      </c>
      <c r="B1698" s="17" t="s">
        <v>8206</v>
      </c>
      <c r="C1698" s="2" t="s">
        <v>8207</v>
      </c>
      <c r="D1698" s="15" t="s">
        <v>8208</v>
      </c>
      <c r="E1698" s="9" t="s">
        <v>743</v>
      </c>
      <c r="F1698" s="9" t="s">
        <v>8209</v>
      </c>
      <c r="G1698" s="9" t="s">
        <v>495</v>
      </c>
      <c r="H1698" s="2" t="s">
        <v>35</v>
      </c>
      <c r="I1698" s="3">
        <v>34507</v>
      </c>
      <c r="J1698" s="9" t="str">
        <f t="shared" ca="1" si="28"/>
        <v>29 ans</v>
      </c>
      <c r="K1698" s="2" t="s">
        <v>36</v>
      </c>
      <c r="L1698" s="2" t="str">
        <f>"61"</f>
        <v>61</v>
      </c>
      <c r="M1698" s="2"/>
      <c r="N1698" s="2" t="str">
        <f>"CH BEAUSOLEIL"</f>
        <v>CH BEAUSOLEIL</v>
      </c>
      <c r="O1698" s="2" t="s">
        <v>3185</v>
      </c>
      <c r="P1698" s="9" t="str">
        <f>VLOOKUP($O1698,'Liste des Villes'!$B$2:$B$1128,1,FALSE)</f>
        <v>Saint-Jérôme</v>
      </c>
      <c r="Q1698" s="9" t="str">
        <f>IFERROR($P1698,PROPER(VLOOKUP($O1698,'Villes en erreur'!$A$2:$B$72,2,FALSE)))</f>
        <v>Saint-Jérôme</v>
      </c>
      <c r="R1698" s="9" t="s">
        <v>3186</v>
      </c>
      <c r="S1698" s="9" t="str">
        <f>IF(ISBLANK($R1698),"",VLOOKUP($R1698,'Liste des Villes'!$B$2:$H$1128,4,FALSE))</f>
        <v>Laurentides</v>
      </c>
      <c r="T1698" s="2" t="s">
        <v>3507</v>
      </c>
      <c r="U1698" s="2" t="s">
        <v>39</v>
      </c>
      <c r="V1698" s="2" t="s">
        <v>40</v>
      </c>
      <c r="W1698" s="2" t="s">
        <v>8210</v>
      </c>
      <c r="X1698" s="2"/>
      <c r="Y1698" s="2"/>
      <c r="Z1698" s="2"/>
      <c r="AA1698" s="2" t="s">
        <v>3293</v>
      </c>
      <c r="AB1698" s="2" t="s">
        <v>53</v>
      </c>
      <c r="AC1698" s="4" t="s">
        <v>44</v>
      </c>
    </row>
    <row r="1699" spans="1:29" x14ac:dyDescent="0.25">
      <c r="A1699" s="1">
        <v>1442</v>
      </c>
      <c r="B1699" s="17" t="s">
        <v>8211</v>
      </c>
      <c r="C1699" s="2" t="s">
        <v>8212</v>
      </c>
      <c r="D1699" s="15" t="s">
        <v>8213</v>
      </c>
      <c r="E1699" s="9" t="s">
        <v>775</v>
      </c>
      <c r="F1699" s="9" t="s">
        <v>8214</v>
      </c>
      <c r="G1699" s="9" t="s">
        <v>8215</v>
      </c>
      <c r="H1699" s="2" t="s">
        <v>60</v>
      </c>
      <c r="I1699" s="3">
        <v>34064</v>
      </c>
      <c r="J1699" s="9" t="str">
        <f t="shared" ca="1" si="28"/>
        <v>30 ans</v>
      </c>
      <c r="K1699" s="2" t="s">
        <v>36</v>
      </c>
      <c r="L1699" s="2" t="str">
        <f>"45"</f>
        <v>45</v>
      </c>
      <c r="M1699" s="2"/>
      <c r="N1699" s="2" t="str">
        <f>"BOUL. LAJEUNESSE OUEST"</f>
        <v>BOUL. LAJEUNESSE OUEST</v>
      </c>
      <c r="O1699" s="2" t="s">
        <v>3185</v>
      </c>
      <c r="P1699" s="9" t="str">
        <f>VLOOKUP($O1699,'Liste des Villes'!$B$2:$B$1128,1,FALSE)</f>
        <v>Saint-Jérôme</v>
      </c>
      <c r="Q1699" s="9" t="str">
        <f>IFERROR($P1699,PROPER(VLOOKUP($O1699,'Villes en erreur'!$A$2:$B$72,2,FALSE)))</f>
        <v>Saint-Jérôme</v>
      </c>
      <c r="R1699" s="9" t="s">
        <v>3186</v>
      </c>
      <c r="S1699" s="9" t="str">
        <f>IF(ISBLANK($R1699),"",VLOOKUP($R1699,'Liste des Villes'!$B$2:$H$1128,4,FALSE))</f>
        <v>Laurentides</v>
      </c>
      <c r="T1699" s="2" t="s">
        <v>3358</v>
      </c>
      <c r="U1699" s="2" t="s">
        <v>39</v>
      </c>
      <c r="V1699" s="2" t="s">
        <v>40</v>
      </c>
      <c r="W1699" s="2" t="s">
        <v>8216</v>
      </c>
      <c r="X1699" s="2"/>
      <c r="Y1699" s="2"/>
      <c r="Z1699" s="2"/>
      <c r="AA1699" s="2" t="s">
        <v>3360</v>
      </c>
      <c r="AB1699" s="2" t="s">
        <v>53</v>
      </c>
      <c r="AC1699" s="4" t="s">
        <v>44</v>
      </c>
    </row>
    <row r="1700" spans="1:29" x14ac:dyDescent="0.25">
      <c r="A1700" s="1">
        <v>733</v>
      </c>
      <c r="B1700" s="17" t="s">
        <v>8217</v>
      </c>
      <c r="C1700" s="2" t="s">
        <v>8218</v>
      </c>
      <c r="D1700" s="15" t="s">
        <v>1773</v>
      </c>
      <c r="E1700" s="9" t="s">
        <v>4081</v>
      </c>
      <c r="F1700" s="9" t="s">
        <v>8219</v>
      </c>
      <c r="G1700" s="9" t="s">
        <v>3668</v>
      </c>
      <c r="H1700" s="2" t="s">
        <v>60</v>
      </c>
      <c r="I1700" s="3">
        <v>36232</v>
      </c>
      <c r="J1700" s="9" t="str">
        <f t="shared" ca="1" si="28"/>
        <v>24 ans</v>
      </c>
      <c r="K1700" s="2" t="s">
        <v>123</v>
      </c>
      <c r="L1700" s="2" t="str">
        <f>"260"</f>
        <v>260</v>
      </c>
      <c r="M1700" s="2"/>
      <c r="N1700" s="2" t="str">
        <f>"RUE BÉDARD"</f>
        <v>RUE BÉDARD</v>
      </c>
      <c r="O1700" s="2" t="s">
        <v>3185</v>
      </c>
      <c r="P1700" s="9" t="str">
        <f>VLOOKUP($O1700,'Liste des Villes'!$B$2:$B$1128,1,FALSE)</f>
        <v>Saint-Jérôme</v>
      </c>
      <c r="Q1700" s="9" t="str">
        <f>IFERROR($P1700,PROPER(VLOOKUP($O1700,'Villes en erreur'!$A$2:$B$72,2,FALSE)))</f>
        <v>Saint-Jérôme</v>
      </c>
      <c r="R1700" s="9" t="s">
        <v>3186</v>
      </c>
      <c r="S1700" s="9" t="str">
        <f>IF(ISBLANK($R1700),"",VLOOKUP($R1700,'Liste des Villes'!$B$2:$H$1128,4,FALSE))</f>
        <v>Laurentides</v>
      </c>
      <c r="T1700" s="2" t="s">
        <v>5304</v>
      </c>
      <c r="U1700" s="2" t="s">
        <v>39</v>
      </c>
      <c r="V1700" s="2" t="s">
        <v>40</v>
      </c>
      <c r="W1700" s="2" t="s">
        <v>8220</v>
      </c>
      <c r="X1700" s="2"/>
      <c r="Y1700" s="2"/>
      <c r="Z1700" s="2"/>
      <c r="AA1700" s="2" t="s">
        <v>832</v>
      </c>
      <c r="AB1700" s="2" t="s">
        <v>73</v>
      </c>
      <c r="AC1700" s="4" t="s">
        <v>44</v>
      </c>
    </row>
    <row r="1701" spans="1:29" x14ac:dyDescent="0.25">
      <c r="A1701" s="1">
        <v>2694</v>
      </c>
      <c r="B1701" s="17" t="s">
        <v>8221</v>
      </c>
      <c r="C1701" s="2" t="s">
        <v>8222</v>
      </c>
      <c r="D1701" s="15" t="s">
        <v>64</v>
      </c>
      <c r="E1701" s="9" t="s">
        <v>8223</v>
      </c>
      <c r="F1701" s="9" t="s">
        <v>8224</v>
      </c>
      <c r="G1701" s="9" t="s">
        <v>114</v>
      </c>
      <c r="H1701" s="2" t="s">
        <v>60</v>
      </c>
      <c r="I1701" s="3">
        <v>36251</v>
      </c>
      <c r="J1701" s="9" t="str">
        <f t="shared" ca="1" si="28"/>
        <v>24 ans</v>
      </c>
      <c r="K1701" s="2" t="s">
        <v>123</v>
      </c>
      <c r="L1701" s="2" t="str">
        <f>"270"</f>
        <v>270</v>
      </c>
      <c r="M1701" s="2"/>
      <c r="N1701" s="2" t="str">
        <f>"RUE BENJAMIN"</f>
        <v>RUE BENJAMIN</v>
      </c>
      <c r="O1701" s="2" t="s">
        <v>3185</v>
      </c>
      <c r="P1701" s="9" t="str">
        <f>VLOOKUP($O1701,'Liste des Villes'!$B$2:$B$1128,1,FALSE)</f>
        <v>Saint-Jérôme</v>
      </c>
      <c r="Q1701" s="9" t="str">
        <f>IFERROR($P1701,PROPER(VLOOKUP($O1701,'Villes en erreur'!$A$2:$B$72,2,FALSE)))</f>
        <v>Saint-Jérôme</v>
      </c>
      <c r="R1701" s="9" t="s">
        <v>3186</v>
      </c>
      <c r="S1701" s="9" t="str">
        <f>IF(ISBLANK($R1701),"",VLOOKUP($R1701,'Liste des Villes'!$B$2:$H$1128,4,FALSE))</f>
        <v>Laurentides</v>
      </c>
      <c r="T1701" s="2" t="s">
        <v>1238</v>
      </c>
      <c r="U1701" s="2" t="s">
        <v>39</v>
      </c>
      <c r="V1701" s="2" t="s">
        <v>40</v>
      </c>
      <c r="W1701" s="2" t="s">
        <v>8225</v>
      </c>
      <c r="X1701" s="2"/>
      <c r="Y1701" s="2"/>
      <c r="Z1701" s="2"/>
      <c r="AA1701" s="2" t="s">
        <v>832</v>
      </c>
      <c r="AB1701" s="2" t="s">
        <v>73</v>
      </c>
      <c r="AC1701" s="4" t="s">
        <v>44</v>
      </c>
    </row>
    <row r="1702" spans="1:29" x14ac:dyDescent="0.25">
      <c r="A1702" s="1">
        <v>2454</v>
      </c>
      <c r="B1702" s="17" t="s">
        <v>8226</v>
      </c>
      <c r="C1702" s="2" t="s">
        <v>844</v>
      </c>
      <c r="D1702" s="15" t="s">
        <v>845</v>
      </c>
      <c r="E1702" s="9" t="s">
        <v>509</v>
      </c>
      <c r="F1702" s="9" t="s">
        <v>846</v>
      </c>
      <c r="G1702" s="9" t="s">
        <v>2796</v>
      </c>
      <c r="H1702" s="2" t="s">
        <v>35</v>
      </c>
      <c r="I1702" s="3">
        <v>35277</v>
      </c>
      <c r="J1702" s="9" t="str">
        <f t="shared" ca="1" si="28"/>
        <v>27 ans</v>
      </c>
      <c r="K1702" s="2" t="s">
        <v>36</v>
      </c>
      <c r="L1702" s="2" t="str">
        <f>"107"</f>
        <v>107</v>
      </c>
      <c r="M1702" s="2"/>
      <c r="N1702" s="2" t="str">
        <f>"CHEMIN DE LA RIVIÈRE"</f>
        <v>CHEMIN DE LA RIVIÈRE</v>
      </c>
      <c r="O1702" s="2" t="s">
        <v>3185</v>
      </c>
      <c r="P1702" s="9" t="str">
        <f>VLOOKUP($O1702,'Liste des Villes'!$B$2:$B$1128,1,FALSE)</f>
        <v>Saint-Jérôme</v>
      </c>
      <c r="Q1702" s="9" t="str">
        <f>IFERROR($P1702,PROPER(VLOOKUP($O1702,'Villes en erreur'!$A$2:$B$72,2,FALSE)))</f>
        <v>Saint-Jérôme</v>
      </c>
      <c r="R1702" s="9" t="s">
        <v>3186</v>
      </c>
      <c r="S1702" s="9" t="str">
        <f>IF(ISBLANK($R1702),"",VLOOKUP($R1702,'Liste des Villes'!$B$2:$H$1128,4,FALSE))</f>
        <v>Laurentides</v>
      </c>
      <c r="T1702" s="2" t="s">
        <v>4507</v>
      </c>
      <c r="U1702" s="2" t="s">
        <v>39</v>
      </c>
      <c r="V1702" s="2" t="s">
        <v>40</v>
      </c>
      <c r="W1702" s="2" t="s">
        <v>8227</v>
      </c>
      <c r="X1702" s="2"/>
      <c r="Y1702" s="2"/>
      <c r="Z1702" s="2"/>
      <c r="AA1702" s="2" t="s">
        <v>3189</v>
      </c>
      <c r="AB1702" s="2" t="s">
        <v>3190</v>
      </c>
      <c r="AC1702" s="4" t="s">
        <v>44</v>
      </c>
    </row>
    <row r="1703" spans="1:29" x14ac:dyDescent="0.25">
      <c r="A1703" s="1">
        <v>4371</v>
      </c>
      <c r="B1703" s="17" t="s">
        <v>8228</v>
      </c>
      <c r="C1703" s="2" t="s">
        <v>8229</v>
      </c>
      <c r="D1703" s="15" t="s">
        <v>8230</v>
      </c>
      <c r="E1703" s="9" t="s">
        <v>1091</v>
      </c>
      <c r="F1703" s="9" t="s">
        <v>8231</v>
      </c>
      <c r="G1703" s="9" t="s">
        <v>332</v>
      </c>
      <c r="H1703" s="2" t="s">
        <v>60</v>
      </c>
      <c r="I1703" s="3">
        <v>35560</v>
      </c>
      <c r="J1703" s="9" t="str">
        <f t="shared" ca="1" si="28"/>
        <v>26 ans</v>
      </c>
      <c r="K1703" s="2" t="s">
        <v>36</v>
      </c>
      <c r="L1703" s="2" t="str">
        <f>"124"</f>
        <v>124</v>
      </c>
      <c r="M1703" s="2"/>
      <c r="N1703" s="2" t="str">
        <f>"CROIS DES TROIS-LACS"</f>
        <v>CROIS DES TROIS-LACS</v>
      </c>
      <c r="O1703" s="2" t="s">
        <v>3185</v>
      </c>
      <c r="P1703" s="9" t="str">
        <f>VLOOKUP($O1703,'Liste des Villes'!$B$2:$B$1128,1,FALSE)</f>
        <v>Saint-Jérôme</v>
      </c>
      <c r="Q1703" s="9" t="str">
        <f>IFERROR($P1703,PROPER(VLOOKUP($O1703,'Villes en erreur'!$A$2:$B$72,2,FALSE)))</f>
        <v>Saint-Jérôme</v>
      </c>
      <c r="R1703" s="9" t="s">
        <v>3186</v>
      </c>
      <c r="S1703" s="9" t="str">
        <f>IF(ISBLANK($R1703),"",VLOOKUP($R1703,'Liste des Villes'!$B$2:$H$1128,4,FALSE))</f>
        <v>Laurentides</v>
      </c>
      <c r="T1703" s="2" t="s">
        <v>3740</v>
      </c>
      <c r="U1703" s="2" t="s">
        <v>39</v>
      </c>
      <c r="V1703" s="2" t="s">
        <v>40</v>
      </c>
      <c r="W1703" s="2" t="s">
        <v>8232</v>
      </c>
      <c r="X1703" s="2"/>
      <c r="Y1703" s="2"/>
      <c r="Z1703" s="2"/>
      <c r="AA1703" s="2" t="s">
        <v>3199</v>
      </c>
      <c r="AB1703" s="2" t="s">
        <v>3221</v>
      </c>
      <c r="AC1703" s="4" t="s">
        <v>44</v>
      </c>
    </row>
    <row r="1704" spans="1:29" x14ac:dyDescent="0.25">
      <c r="A1704" s="1">
        <v>851</v>
      </c>
      <c r="B1704" s="17" t="s">
        <v>8233</v>
      </c>
      <c r="C1704" s="2" t="s">
        <v>8234</v>
      </c>
      <c r="D1704" s="15" t="s">
        <v>3646</v>
      </c>
      <c r="E1704" s="9" t="s">
        <v>8235</v>
      </c>
      <c r="F1704" s="9" t="s">
        <v>8236</v>
      </c>
      <c r="G1704" s="9" t="s">
        <v>3531</v>
      </c>
      <c r="H1704" s="2" t="s">
        <v>60</v>
      </c>
      <c r="I1704" s="3">
        <v>35512</v>
      </c>
      <c r="J1704" s="9" t="str">
        <f t="shared" ca="1" si="28"/>
        <v>26 ans</v>
      </c>
      <c r="K1704" s="2" t="s">
        <v>36</v>
      </c>
      <c r="L1704" s="2" t="str">
        <f>"120"</f>
        <v>120</v>
      </c>
      <c r="M1704" s="2"/>
      <c r="N1704" s="2" t="str">
        <f>"CHEMIN VILMONT"</f>
        <v>CHEMIN VILMONT</v>
      </c>
      <c r="O1704" s="2" t="s">
        <v>3185</v>
      </c>
      <c r="P1704" s="9" t="str">
        <f>VLOOKUP($O1704,'Liste des Villes'!$B$2:$B$1128,1,FALSE)</f>
        <v>Saint-Jérôme</v>
      </c>
      <c r="Q1704" s="9" t="str">
        <f>IFERROR($P1704,PROPER(VLOOKUP($O1704,'Villes en erreur'!$A$2:$B$72,2,FALSE)))</f>
        <v>Saint-Jérôme</v>
      </c>
      <c r="R1704" s="9" t="s">
        <v>3186</v>
      </c>
      <c r="S1704" s="9" t="str">
        <f>IF(ISBLANK($R1704),"",VLOOKUP($R1704,'Liste des Villes'!$B$2:$H$1128,4,FALSE))</f>
        <v>Laurentides</v>
      </c>
      <c r="T1704" s="2" t="s">
        <v>3532</v>
      </c>
      <c r="U1704" s="2" t="s">
        <v>39</v>
      </c>
      <c r="V1704" s="2" t="s">
        <v>40</v>
      </c>
      <c r="W1704" s="2" t="s">
        <v>8237</v>
      </c>
      <c r="X1704" s="2"/>
      <c r="Y1704" s="2"/>
      <c r="Z1704" s="2"/>
      <c r="AA1704" s="2" t="s">
        <v>3199</v>
      </c>
      <c r="AB1704" s="2" t="s">
        <v>3200</v>
      </c>
      <c r="AC1704" s="4" t="s">
        <v>44</v>
      </c>
    </row>
    <row r="1705" spans="1:29" x14ac:dyDescent="0.25">
      <c r="A1705" s="1">
        <v>961</v>
      </c>
      <c r="B1705" s="17" t="s">
        <v>8238</v>
      </c>
      <c r="C1705" s="2" t="s">
        <v>8239</v>
      </c>
      <c r="D1705" s="15" t="s">
        <v>8240</v>
      </c>
      <c r="E1705" s="9" t="s">
        <v>196</v>
      </c>
      <c r="F1705" s="9" t="s">
        <v>8241</v>
      </c>
      <c r="G1705" s="9" t="s">
        <v>186</v>
      </c>
      <c r="H1705" s="2" t="s">
        <v>60</v>
      </c>
      <c r="I1705" s="3">
        <v>34804</v>
      </c>
      <c r="J1705" s="9" t="str">
        <f t="shared" ca="1" si="28"/>
        <v>28 ans</v>
      </c>
      <c r="K1705" s="2" t="s">
        <v>36</v>
      </c>
      <c r="L1705" s="2" t="str">
        <f>"78"</f>
        <v>78</v>
      </c>
      <c r="M1705" s="2"/>
      <c r="N1705" s="2" t="str">
        <f>"CH DES CYPRÈS"</f>
        <v>CH DES CYPRÈS</v>
      </c>
      <c r="O1705" s="2" t="s">
        <v>3185</v>
      </c>
      <c r="P1705" s="9" t="str">
        <f>VLOOKUP($O1705,'Liste des Villes'!$B$2:$B$1128,1,FALSE)</f>
        <v>Saint-Jérôme</v>
      </c>
      <c r="Q1705" s="9" t="str">
        <f>IFERROR($P1705,PROPER(VLOOKUP($O1705,'Villes en erreur'!$A$2:$B$72,2,FALSE)))</f>
        <v>Saint-Jérôme</v>
      </c>
      <c r="R1705" s="9" t="s">
        <v>3186</v>
      </c>
      <c r="S1705" s="9" t="str">
        <f>IF(ISBLANK($R1705),"",VLOOKUP($R1705,'Liste des Villes'!$B$2:$H$1128,4,FALSE))</f>
        <v>Laurentides</v>
      </c>
      <c r="T1705" s="2" t="s">
        <v>3187</v>
      </c>
      <c r="U1705" s="2" t="s">
        <v>39</v>
      </c>
      <c r="V1705" s="2" t="s">
        <v>40</v>
      </c>
      <c r="W1705" s="2" t="s">
        <v>8242</v>
      </c>
      <c r="X1705" s="2"/>
      <c r="Y1705" s="2"/>
      <c r="Z1705" s="2"/>
      <c r="AA1705" s="2" t="s">
        <v>3225</v>
      </c>
      <c r="AB1705" s="2" t="s">
        <v>53</v>
      </c>
      <c r="AC1705" s="4" t="s">
        <v>44</v>
      </c>
    </row>
    <row r="1706" spans="1:29" x14ac:dyDescent="0.25">
      <c r="A1706" s="1">
        <v>4242</v>
      </c>
      <c r="B1706" s="17" t="s">
        <v>8243</v>
      </c>
      <c r="C1706" s="2" t="s">
        <v>1288</v>
      </c>
      <c r="D1706" s="15" t="s">
        <v>601</v>
      </c>
      <c r="E1706" s="9" t="s">
        <v>1289</v>
      </c>
      <c r="F1706" s="9" t="s">
        <v>599</v>
      </c>
      <c r="G1706" s="9" t="s">
        <v>3404</v>
      </c>
      <c r="H1706" s="2" t="s">
        <v>35</v>
      </c>
      <c r="I1706" s="3">
        <v>35692</v>
      </c>
      <c r="J1706" s="9" t="str">
        <f t="shared" ca="1" si="28"/>
        <v>25 ans</v>
      </c>
      <c r="K1706" s="2" t="s">
        <v>123</v>
      </c>
      <c r="L1706" s="2" t="str">
        <f>"135"</f>
        <v>135</v>
      </c>
      <c r="M1706" s="2"/>
      <c r="N1706" s="2" t="str">
        <f>"DES MILLE-ÎLES BLVD"</f>
        <v>DES MILLE-ÎLES BLVD</v>
      </c>
      <c r="O1706" s="2" t="s">
        <v>3185</v>
      </c>
      <c r="P1706" s="9" t="str">
        <f>VLOOKUP($O1706,'Liste des Villes'!$B$2:$B$1128,1,FALSE)</f>
        <v>Saint-Jérôme</v>
      </c>
      <c r="Q1706" s="9" t="str">
        <f>IFERROR($P1706,PROPER(VLOOKUP($O1706,'Villes en erreur'!$A$2:$B$72,2,FALSE)))</f>
        <v>Saint-Jérôme</v>
      </c>
      <c r="R1706" s="9" t="s">
        <v>3186</v>
      </c>
      <c r="S1706" s="9" t="str">
        <f>IF(ISBLANK($R1706),"",VLOOKUP($R1706,'Liste des Villes'!$B$2:$H$1128,4,FALSE))</f>
        <v>Laurentides</v>
      </c>
      <c r="T1706" s="2" t="s">
        <v>8244</v>
      </c>
      <c r="U1706" s="2" t="s">
        <v>39</v>
      </c>
      <c r="V1706" s="2" t="s">
        <v>40</v>
      </c>
      <c r="W1706" s="2" t="s">
        <v>8245</v>
      </c>
      <c r="X1706" s="2"/>
      <c r="Y1706" s="2"/>
      <c r="Z1706" s="2"/>
      <c r="AA1706" s="2" t="s">
        <v>3243</v>
      </c>
      <c r="AB1706" s="2" t="s">
        <v>3221</v>
      </c>
      <c r="AC1706" s="4" t="s">
        <v>44</v>
      </c>
    </row>
    <row r="1707" spans="1:29" x14ac:dyDescent="0.25">
      <c r="A1707" s="1">
        <v>1998</v>
      </c>
      <c r="B1707" s="17" t="s">
        <v>8246</v>
      </c>
      <c r="C1707" s="2" t="s">
        <v>3071</v>
      </c>
      <c r="D1707" s="15" t="s">
        <v>3072</v>
      </c>
      <c r="E1707" s="9" t="s">
        <v>610</v>
      </c>
      <c r="F1707" s="9" t="s">
        <v>8247</v>
      </c>
      <c r="G1707" s="9" t="s">
        <v>5011</v>
      </c>
      <c r="H1707" s="2" t="s">
        <v>35</v>
      </c>
      <c r="I1707" s="3">
        <v>35286</v>
      </c>
      <c r="J1707" s="9" t="str">
        <f t="shared" ca="1" si="28"/>
        <v>27 ans</v>
      </c>
      <c r="K1707" s="2" t="s">
        <v>36</v>
      </c>
      <c r="L1707" s="2" t="str">
        <f>"108"</f>
        <v>108</v>
      </c>
      <c r="M1707" s="2"/>
      <c r="N1707" s="2" t="str">
        <f>"CHEMIN DE L'ACHIGAN EST"</f>
        <v>CHEMIN DE L'ACHIGAN EST</v>
      </c>
      <c r="O1707" s="2" t="s">
        <v>3185</v>
      </c>
      <c r="P1707" s="9" t="str">
        <f>VLOOKUP($O1707,'Liste des Villes'!$B$2:$B$1128,1,FALSE)</f>
        <v>Saint-Jérôme</v>
      </c>
      <c r="Q1707" s="9" t="str">
        <f>IFERROR($P1707,PROPER(VLOOKUP($O1707,'Villes en erreur'!$A$2:$B$72,2,FALSE)))</f>
        <v>Saint-Jérôme</v>
      </c>
      <c r="R1707" s="9" t="s">
        <v>3186</v>
      </c>
      <c r="S1707" s="9" t="str">
        <f>IF(ISBLANK($R1707),"",VLOOKUP($R1707,'Liste des Villes'!$B$2:$H$1128,4,FALSE))</f>
        <v>Laurentides</v>
      </c>
      <c r="T1707" s="2" t="s">
        <v>7288</v>
      </c>
      <c r="U1707" s="2" t="s">
        <v>39</v>
      </c>
      <c r="V1707" s="2" t="s">
        <v>40</v>
      </c>
      <c r="W1707" s="2" t="s">
        <v>8248</v>
      </c>
      <c r="X1707" s="2"/>
      <c r="Y1707" s="2"/>
      <c r="Z1707" s="2"/>
      <c r="AA1707" s="2" t="s">
        <v>3189</v>
      </c>
      <c r="AB1707" s="2" t="s">
        <v>3190</v>
      </c>
      <c r="AC1707" s="4" t="s">
        <v>44</v>
      </c>
    </row>
    <row r="1708" spans="1:29" x14ac:dyDescent="0.25">
      <c r="A1708" s="1">
        <v>43</v>
      </c>
      <c r="B1708" s="17" t="s">
        <v>8249</v>
      </c>
      <c r="C1708" s="2" t="s">
        <v>8250</v>
      </c>
      <c r="D1708" s="15" t="s">
        <v>3122</v>
      </c>
      <c r="E1708" s="9" t="s">
        <v>956</v>
      </c>
      <c r="F1708" s="9" t="s">
        <v>8251</v>
      </c>
      <c r="G1708" s="9" t="s">
        <v>913</v>
      </c>
      <c r="H1708" s="2" t="s">
        <v>60</v>
      </c>
      <c r="I1708" s="3">
        <v>36265</v>
      </c>
      <c r="J1708" s="9" t="str">
        <f t="shared" ca="1" si="28"/>
        <v>24 ans</v>
      </c>
      <c r="K1708" s="2" t="s">
        <v>123</v>
      </c>
      <c r="L1708" s="2" t="str">
        <f>"275"</f>
        <v>275</v>
      </c>
      <c r="M1708" s="2"/>
      <c r="N1708" s="2" t="str">
        <f>"RUE BISSONNETTE"</f>
        <v>RUE BISSONNETTE</v>
      </c>
      <c r="O1708" s="2" t="s">
        <v>8252</v>
      </c>
      <c r="P1708" s="9" t="str">
        <f>VLOOKUP($O1708,'Liste des Villes'!$B$2:$B$1128,1,FALSE)</f>
        <v>Saint-Jean-sur-Richelieu</v>
      </c>
      <c r="Q1708" s="9" t="str">
        <f>IFERROR($P1708,PROPER(VLOOKUP($O1708,'Villes en erreur'!$A$2:$B$72,2,FALSE)))</f>
        <v>Saint-Jean-sur-Richelieu</v>
      </c>
      <c r="R1708" s="9" t="s">
        <v>8253</v>
      </c>
      <c r="S1708" s="9" t="str">
        <f>IF(ISBLANK($R1708),"",VLOOKUP($R1708,'Liste des Villes'!$B$2:$H$1128,4,FALSE))</f>
        <v>Montérégie</v>
      </c>
      <c r="T1708" s="2" t="s">
        <v>830</v>
      </c>
      <c r="U1708" s="2" t="s">
        <v>39</v>
      </c>
      <c r="V1708" s="2" t="s">
        <v>40</v>
      </c>
      <c r="W1708" s="2" t="s">
        <v>8254</v>
      </c>
      <c r="X1708" s="2"/>
      <c r="Y1708" s="2"/>
      <c r="Z1708" s="2"/>
      <c r="AA1708" s="2" t="s">
        <v>832</v>
      </c>
      <c r="AB1708" s="2" t="s">
        <v>73</v>
      </c>
      <c r="AC1708" s="4" t="s">
        <v>44</v>
      </c>
    </row>
    <row r="1709" spans="1:29" x14ac:dyDescent="0.25">
      <c r="A1709" s="1">
        <v>1563</v>
      </c>
      <c r="B1709" s="17" t="s">
        <v>8255</v>
      </c>
      <c r="C1709" s="2" t="s">
        <v>3320</v>
      </c>
      <c r="D1709" s="15" t="s">
        <v>1371</v>
      </c>
      <c r="E1709" s="9" t="s">
        <v>1091</v>
      </c>
      <c r="F1709" s="9" t="s">
        <v>1092</v>
      </c>
      <c r="G1709" s="9" t="s">
        <v>913</v>
      </c>
      <c r="H1709" s="2" t="s">
        <v>60</v>
      </c>
      <c r="I1709" s="3">
        <v>36266</v>
      </c>
      <c r="J1709" s="9" t="str">
        <f t="shared" ca="1" si="28"/>
        <v>24 ans</v>
      </c>
      <c r="K1709" s="2" t="s">
        <v>123</v>
      </c>
      <c r="L1709" s="2" t="str">
        <f>"276"</f>
        <v>276</v>
      </c>
      <c r="M1709" s="2"/>
      <c r="N1709" s="2" t="str">
        <f>"RUE BLAINVILLE EST"</f>
        <v>RUE BLAINVILLE EST</v>
      </c>
      <c r="O1709" s="2" t="s">
        <v>8256</v>
      </c>
      <c r="P1709" s="9" t="str">
        <f>VLOOKUP($O1709,'Liste des Villes'!$B$2:$B$1128,1,FALSE)</f>
        <v>Saint-Jean-de-Matha</v>
      </c>
      <c r="Q1709" s="9" t="str">
        <f>IFERROR($P1709,PROPER(VLOOKUP($O1709,'Villes en erreur'!$A$2:$B$72,2,FALSE)))</f>
        <v>Saint-Jean-de-Matha</v>
      </c>
      <c r="R1709" s="9" t="s">
        <v>8257</v>
      </c>
      <c r="S1709" s="9" t="str">
        <f>IF(ISBLANK($R1709),"",VLOOKUP($R1709,'Liste des Villes'!$B$2:$H$1128,4,FALSE))</f>
        <v>Lanaudière</v>
      </c>
      <c r="T1709" s="2" t="s">
        <v>1392</v>
      </c>
      <c r="U1709" s="2" t="s">
        <v>39</v>
      </c>
      <c r="V1709" s="2" t="s">
        <v>40</v>
      </c>
      <c r="W1709" s="2" t="s">
        <v>8258</v>
      </c>
      <c r="X1709" s="2"/>
      <c r="Y1709" s="2"/>
      <c r="Z1709" s="2"/>
      <c r="AA1709" s="2" t="s">
        <v>832</v>
      </c>
      <c r="AB1709" s="2" t="s">
        <v>73</v>
      </c>
      <c r="AC1709" s="4" t="s">
        <v>44</v>
      </c>
    </row>
    <row r="1710" spans="1:29" x14ac:dyDescent="0.25">
      <c r="A1710" s="1">
        <v>917</v>
      </c>
      <c r="B1710" s="17" t="s">
        <v>8259</v>
      </c>
      <c r="C1710" s="2" t="s">
        <v>2273</v>
      </c>
      <c r="D1710" s="15" t="s">
        <v>582</v>
      </c>
      <c r="E1710" s="9" t="s">
        <v>2274</v>
      </c>
      <c r="F1710" s="9" t="s">
        <v>3674</v>
      </c>
      <c r="G1710" s="9" t="s">
        <v>107</v>
      </c>
      <c r="H1710" s="2" t="s">
        <v>60</v>
      </c>
      <c r="I1710" s="3">
        <v>36321</v>
      </c>
      <c r="J1710" s="9" t="str">
        <f t="shared" ca="1" si="28"/>
        <v>24 ans</v>
      </c>
      <c r="K1710" s="2" t="s">
        <v>123</v>
      </c>
      <c r="L1710" s="2" t="str">
        <f>"306"</f>
        <v>306</v>
      </c>
      <c r="M1710" s="2"/>
      <c r="N1710" s="2" t="str">
        <f>"RUE CAMPEAU"</f>
        <v>RUE CAMPEAU</v>
      </c>
      <c r="O1710" s="2" t="s">
        <v>8260</v>
      </c>
      <c r="P1710" s="9" t="str">
        <f>VLOOKUP($O1710,'Liste des Villes'!$B$2:$B$1128,1,FALSE)</f>
        <v>Saint-Hippolyte</v>
      </c>
      <c r="Q1710" s="9" t="str">
        <f>IFERROR($P1710,PROPER(VLOOKUP($O1710,'Villes en erreur'!$A$2:$B$72,2,FALSE)))</f>
        <v>Saint-Hippolyte</v>
      </c>
      <c r="R1710" s="9" t="s">
        <v>8261</v>
      </c>
      <c r="S1710" s="9" t="str">
        <f>IF(ISBLANK($R1710),"",VLOOKUP($R1710,'Liste des Villes'!$B$2:$H$1128,4,FALSE))</f>
        <v>Laurentides</v>
      </c>
      <c r="T1710" s="2" t="s">
        <v>8262</v>
      </c>
      <c r="U1710" s="2" t="s">
        <v>39</v>
      </c>
      <c r="V1710" s="2" t="s">
        <v>40</v>
      </c>
      <c r="W1710" s="2" t="s">
        <v>8263</v>
      </c>
      <c r="X1710" s="2"/>
      <c r="Y1710" s="2"/>
      <c r="Z1710" s="2"/>
      <c r="AA1710" s="2" t="s">
        <v>832</v>
      </c>
      <c r="AB1710" s="2" t="s">
        <v>73</v>
      </c>
      <c r="AC1710" s="4" t="s">
        <v>44</v>
      </c>
    </row>
    <row r="1711" spans="1:29" x14ac:dyDescent="0.25">
      <c r="A1711" s="1">
        <v>4502</v>
      </c>
      <c r="B1711" s="17" t="s">
        <v>8264</v>
      </c>
      <c r="C1711" s="2" t="s">
        <v>8265</v>
      </c>
      <c r="D1711" s="15" t="s">
        <v>8266</v>
      </c>
      <c r="E1711" s="9" t="s">
        <v>8267</v>
      </c>
      <c r="F1711" s="9" t="s">
        <v>164</v>
      </c>
      <c r="G1711" s="9" t="s">
        <v>5704</v>
      </c>
      <c r="H1711" s="2" t="s">
        <v>60</v>
      </c>
      <c r="I1711" s="3">
        <v>36298</v>
      </c>
      <c r="J1711" s="9" t="str">
        <f t="shared" ca="1" si="28"/>
        <v>24 ans</v>
      </c>
      <c r="K1711" s="2" t="s">
        <v>123</v>
      </c>
      <c r="L1711" s="2" t="str">
        <f>"295"</f>
        <v>295</v>
      </c>
      <c r="M1711" s="2"/>
      <c r="N1711" s="2" t="str">
        <f>"RUE BRAULT"</f>
        <v>RUE BRAULT</v>
      </c>
      <c r="O1711" s="2" t="s">
        <v>8260</v>
      </c>
      <c r="P1711" s="9" t="str">
        <f>VLOOKUP($O1711,'Liste des Villes'!$B$2:$B$1128,1,FALSE)</f>
        <v>Saint-Hippolyte</v>
      </c>
      <c r="Q1711" s="9" t="str">
        <f>IFERROR($P1711,PROPER(VLOOKUP($O1711,'Villes en erreur'!$A$2:$B$72,2,FALSE)))</f>
        <v>Saint-Hippolyte</v>
      </c>
      <c r="R1711" s="9" t="s">
        <v>8261</v>
      </c>
      <c r="S1711" s="9" t="str">
        <f>IF(ISBLANK($R1711),"",VLOOKUP($R1711,'Liste des Villes'!$B$2:$H$1128,4,FALSE))</f>
        <v>Laurentides</v>
      </c>
      <c r="T1711" s="2" t="s">
        <v>8268</v>
      </c>
      <c r="U1711" s="2" t="s">
        <v>39</v>
      </c>
      <c r="V1711" s="2" t="s">
        <v>40</v>
      </c>
      <c r="W1711" s="2" t="s">
        <v>8269</v>
      </c>
      <c r="X1711" s="2"/>
      <c r="Y1711" s="2"/>
      <c r="Z1711" s="2"/>
      <c r="AA1711" s="2" t="s">
        <v>832</v>
      </c>
      <c r="AB1711" s="2" t="s">
        <v>73</v>
      </c>
      <c r="AC1711" s="4" t="s">
        <v>44</v>
      </c>
    </row>
    <row r="1712" spans="1:29" x14ac:dyDescent="0.25">
      <c r="A1712" s="1">
        <v>4218</v>
      </c>
      <c r="B1712" s="17" t="s">
        <v>8270</v>
      </c>
      <c r="C1712" s="2" t="s">
        <v>1370</v>
      </c>
      <c r="D1712" s="15" t="s">
        <v>1092</v>
      </c>
      <c r="E1712" s="9" t="s">
        <v>92</v>
      </c>
      <c r="F1712" s="9" t="s">
        <v>1371</v>
      </c>
      <c r="G1712" s="9" t="s">
        <v>389</v>
      </c>
      <c r="H1712" s="2" t="s">
        <v>60</v>
      </c>
      <c r="I1712" s="3">
        <v>36286</v>
      </c>
      <c r="J1712" s="9" t="str">
        <f t="shared" ca="1" si="28"/>
        <v>24 ans</v>
      </c>
      <c r="K1712" s="2" t="s">
        <v>123</v>
      </c>
      <c r="L1712" s="2" t="str">
        <f>"289"</f>
        <v>289</v>
      </c>
      <c r="M1712" s="2"/>
      <c r="N1712" s="2" t="str">
        <f>"RUE BOYER"</f>
        <v>RUE BOYER</v>
      </c>
      <c r="O1712" s="2" t="s">
        <v>8260</v>
      </c>
      <c r="P1712" s="9" t="str">
        <f>VLOOKUP($O1712,'Liste des Villes'!$B$2:$B$1128,1,FALSE)</f>
        <v>Saint-Hippolyte</v>
      </c>
      <c r="Q1712" s="9" t="str">
        <f>IFERROR($P1712,PROPER(VLOOKUP($O1712,'Villes en erreur'!$A$2:$B$72,2,FALSE)))</f>
        <v>Saint-Hippolyte</v>
      </c>
      <c r="R1712" s="9" t="s">
        <v>8261</v>
      </c>
      <c r="S1712" s="9" t="str">
        <f>IF(ISBLANK($R1712),"",VLOOKUP($R1712,'Liste des Villes'!$B$2:$H$1128,4,FALSE))</f>
        <v>Laurentides</v>
      </c>
      <c r="T1712" s="2" t="s">
        <v>8271</v>
      </c>
      <c r="U1712" s="2" t="s">
        <v>39</v>
      </c>
      <c r="V1712" s="2" t="s">
        <v>40</v>
      </c>
      <c r="W1712" s="2" t="s">
        <v>8272</v>
      </c>
      <c r="X1712" s="2"/>
      <c r="Y1712" s="2"/>
      <c r="Z1712" s="2"/>
      <c r="AA1712" s="2" t="s">
        <v>832</v>
      </c>
      <c r="AB1712" s="2" t="s">
        <v>73</v>
      </c>
      <c r="AC1712" s="4" t="s">
        <v>44</v>
      </c>
    </row>
    <row r="1713" spans="1:29" x14ac:dyDescent="0.25">
      <c r="A1713" s="1">
        <v>337</v>
      </c>
      <c r="B1713" s="17" t="s">
        <v>8273</v>
      </c>
      <c r="C1713" s="2" t="s">
        <v>8274</v>
      </c>
      <c r="D1713" s="15" t="s">
        <v>2817</v>
      </c>
      <c r="E1713" s="9" t="s">
        <v>1190</v>
      </c>
      <c r="F1713" s="9" t="s">
        <v>2816</v>
      </c>
      <c r="G1713" s="9" t="s">
        <v>7006</v>
      </c>
      <c r="H1713" s="2" t="s">
        <v>60</v>
      </c>
      <c r="I1713" s="3">
        <v>36305</v>
      </c>
      <c r="J1713" s="9" t="str">
        <f t="shared" ca="1" si="28"/>
        <v>24 ans</v>
      </c>
      <c r="K1713" s="2" t="s">
        <v>123</v>
      </c>
      <c r="L1713" s="2" t="str">
        <f>"298"</f>
        <v>298</v>
      </c>
      <c r="M1713" s="2"/>
      <c r="N1713" s="2" t="str">
        <f>"RUE BROCHU"</f>
        <v>RUE BROCHU</v>
      </c>
      <c r="O1713" s="2" t="s">
        <v>8260</v>
      </c>
      <c r="P1713" s="9" t="str">
        <f>VLOOKUP($O1713,'Liste des Villes'!$B$2:$B$1128,1,FALSE)</f>
        <v>Saint-Hippolyte</v>
      </c>
      <c r="Q1713" s="9" t="str">
        <f>IFERROR($P1713,PROPER(VLOOKUP($O1713,'Villes en erreur'!$A$2:$B$72,2,FALSE)))</f>
        <v>Saint-Hippolyte</v>
      </c>
      <c r="R1713" s="9" t="s">
        <v>8261</v>
      </c>
      <c r="S1713" s="9" t="str">
        <f>IF(ISBLANK($R1713),"",VLOOKUP($R1713,'Liste des Villes'!$B$2:$H$1128,4,FALSE))</f>
        <v>Laurentides</v>
      </c>
      <c r="T1713" s="2" t="s">
        <v>8275</v>
      </c>
      <c r="U1713" s="2" t="s">
        <v>39</v>
      </c>
      <c r="V1713" s="2" t="s">
        <v>40</v>
      </c>
      <c r="W1713" s="2" t="s">
        <v>8276</v>
      </c>
      <c r="X1713" s="2"/>
      <c r="Y1713" s="2"/>
      <c r="Z1713" s="2"/>
      <c r="AA1713" s="2" t="s">
        <v>832</v>
      </c>
      <c r="AB1713" s="2" t="s">
        <v>73</v>
      </c>
      <c r="AC1713" s="4" t="s">
        <v>44</v>
      </c>
    </row>
    <row r="1714" spans="1:29" x14ac:dyDescent="0.25">
      <c r="A1714" s="1">
        <v>716</v>
      </c>
      <c r="B1714" s="17" t="s">
        <v>8277</v>
      </c>
      <c r="C1714" s="2" t="s">
        <v>8278</v>
      </c>
      <c r="D1714" s="15" t="s">
        <v>2698</v>
      </c>
      <c r="E1714" s="9" t="s">
        <v>8279</v>
      </c>
      <c r="F1714" s="9" t="s">
        <v>2946</v>
      </c>
      <c r="G1714" s="9" t="s">
        <v>389</v>
      </c>
      <c r="H1714" s="2" t="s">
        <v>60</v>
      </c>
      <c r="I1714" s="3">
        <v>36279</v>
      </c>
      <c r="J1714" s="9" t="str">
        <f t="shared" ca="1" si="28"/>
        <v>24 ans</v>
      </c>
      <c r="K1714" s="2" t="s">
        <v>123</v>
      </c>
      <c r="L1714" s="2" t="str">
        <f>"285"</f>
        <v>285</v>
      </c>
      <c r="M1714" s="2"/>
      <c r="N1714" s="2" t="str">
        <f>"RUE BOUCHARD"</f>
        <v>RUE BOUCHARD</v>
      </c>
      <c r="O1714" s="2" t="s">
        <v>8260</v>
      </c>
      <c r="P1714" s="9" t="str">
        <f>VLOOKUP($O1714,'Liste des Villes'!$B$2:$B$1128,1,FALSE)</f>
        <v>Saint-Hippolyte</v>
      </c>
      <c r="Q1714" s="9" t="str">
        <f>IFERROR($P1714,PROPER(VLOOKUP($O1714,'Villes en erreur'!$A$2:$B$72,2,FALSE)))</f>
        <v>Saint-Hippolyte</v>
      </c>
      <c r="R1714" s="9" t="s">
        <v>8261</v>
      </c>
      <c r="S1714" s="9" t="str">
        <f>IF(ISBLANK($R1714),"",VLOOKUP($R1714,'Liste des Villes'!$B$2:$H$1128,4,FALSE))</f>
        <v>Laurentides</v>
      </c>
      <c r="T1714" s="2" t="s">
        <v>8280</v>
      </c>
      <c r="U1714" s="2" t="s">
        <v>39</v>
      </c>
      <c r="V1714" s="2" t="s">
        <v>40</v>
      </c>
      <c r="W1714" s="2" t="s">
        <v>8281</v>
      </c>
      <c r="X1714" s="2"/>
      <c r="Y1714" s="2"/>
      <c r="Z1714" s="2"/>
      <c r="AA1714" s="2" t="s">
        <v>832</v>
      </c>
      <c r="AB1714" s="2" t="s">
        <v>73</v>
      </c>
      <c r="AC1714" s="4" t="s">
        <v>44</v>
      </c>
    </row>
    <row r="1715" spans="1:29" x14ac:dyDescent="0.25">
      <c r="A1715" s="1">
        <v>473</v>
      </c>
      <c r="B1715" s="17" t="s">
        <v>8282</v>
      </c>
      <c r="C1715" s="2" t="s">
        <v>4203</v>
      </c>
      <c r="D1715" s="15" t="s">
        <v>1794</v>
      </c>
      <c r="E1715" s="9" t="s">
        <v>348</v>
      </c>
      <c r="F1715" s="9" t="s">
        <v>8283</v>
      </c>
      <c r="G1715" s="9" t="s">
        <v>8284</v>
      </c>
      <c r="H1715" s="2" t="s">
        <v>60</v>
      </c>
      <c r="I1715" s="3">
        <v>36334</v>
      </c>
      <c r="J1715" s="9" t="str">
        <f t="shared" ca="1" si="28"/>
        <v>24 ans</v>
      </c>
      <c r="K1715" s="2" t="s">
        <v>123</v>
      </c>
      <c r="L1715" s="2" t="str">
        <f>"310"</f>
        <v>310</v>
      </c>
      <c r="M1715" s="2"/>
      <c r="N1715" s="2" t="str">
        <f>"RUE CAROLE"</f>
        <v>RUE CAROLE</v>
      </c>
      <c r="O1715" s="2" t="s">
        <v>8260</v>
      </c>
      <c r="P1715" s="9" t="str">
        <f>VLOOKUP($O1715,'Liste des Villes'!$B$2:$B$1128,1,FALSE)</f>
        <v>Saint-Hippolyte</v>
      </c>
      <c r="Q1715" s="9" t="str">
        <f>IFERROR($P1715,PROPER(VLOOKUP($O1715,'Villes en erreur'!$A$2:$B$72,2,FALSE)))</f>
        <v>Saint-Hippolyte</v>
      </c>
      <c r="R1715" s="9" t="s">
        <v>8261</v>
      </c>
      <c r="S1715" s="9" t="str">
        <f>IF(ISBLANK($R1715),"",VLOOKUP($R1715,'Liste des Villes'!$B$2:$H$1128,4,FALSE))</f>
        <v>Laurentides</v>
      </c>
      <c r="T1715" s="2" t="s">
        <v>8285</v>
      </c>
      <c r="U1715" s="2" t="s">
        <v>39</v>
      </c>
      <c r="V1715" s="2" t="s">
        <v>40</v>
      </c>
      <c r="W1715" s="2" t="s">
        <v>8286</v>
      </c>
      <c r="X1715" s="2"/>
      <c r="Y1715" s="2"/>
      <c r="Z1715" s="2"/>
      <c r="AA1715" s="2" t="s">
        <v>127</v>
      </c>
      <c r="AB1715" s="2" t="s">
        <v>73</v>
      </c>
      <c r="AC1715" s="4" t="s">
        <v>44</v>
      </c>
    </row>
    <row r="1716" spans="1:29" x14ac:dyDescent="0.25">
      <c r="A1716" s="1">
        <v>1129</v>
      </c>
      <c r="B1716" s="17" t="s">
        <v>8287</v>
      </c>
      <c r="C1716" s="2" t="s">
        <v>8288</v>
      </c>
      <c r="D1716" s="15" t="s">
        <v>225</v>
      </c>
      <c r="E1716" s="9" t="s">
        <v>8289</v>
      </c>
      <c r="F1716" s="9" t="s">
        <v>2133</v>
      </c>
      <c r="G1716" s="9" t="s">
        <v>8290</v>
      </c>
      <c r="H1716" s="2" t="s">
        <v>60</v>
      </c>
      <c r="I1716" s="3">
        <v>36326</v>
      </c>
      <c r="J1716" s="9" t="str">
        <f t="shared" ca="1" si="28"/>
        <v>24 ans</v>
      </c>
      <c r="K1716" s="2" t="s">
        <v>123</v>
      </c>
      <c r="L1716" s="2" t="str">
        <f>"307"</f>
        <v>307</v>
      </c>
      <c r="M1716" s="2"/>
      <c r="N1716" s="2" t="str">
        <f>"RUE CAMPEAU"</f>
        <v>RUE CAMPEAU</v>
      </c>
      <c r="O1716" s="2" t="s">
        <v>8260</v>
      </c>
      <c r="P1716" s="9" t="str">
        <f>VLOOKUP($O1716,'Liste des Villes'!$B$2:$B$1128,1,FALSE)</f>
        <v>Saint-Hippolyte</v>
      </c>
      <c r="Q1716" s="9" t="str">
        <f>IFERROR($P1716,PROPER(VLOOKUP($O1716,'Villes en erreur'!$A$2:$B$72,2,FALSE)))</f>
        <v>Saint-Hippolyte</v>
      </c>
      <c r="R1716" s="9" t="s">
        <v>8261</v>
      </c>
      <c r="S1716" s="9" t="str">
        <f>IF(ISBLANK($R1716),"",VLOOKUP($R1716,'Liste des Villes'!$B$2:$H$1128,4,FALSE))</f>
        <v>Laurentides</v>
      </c>
      <c r="T1716" s="2" t="s">
        <v>8291</v>
      </c>
      <c r="U1716" s="2" t="s">
        <v>39</v>
      </c>
      <c r="V1716" s="2" t="s">
        <v>40</v>
      </c>
      <c r="W1716" s="2" t="s">
        <v>8292</v>
      </c>
      <c r="X1716" s="2"/>
      <c r="Y1716" s="2"/>
      <c r="Z1716" s="2"/>
      <c r="AA1716" s="2" t="s">
        <v>832</v>
      </c>
      <c r="AB1716" s="2" t="s">
        <v>73</v>
      </c>
      <c r="AC1716" s="4" t="s">
        <v>44</v>
      </c>
    </row>
    <row r="1717" spans="1:29" x14ac:dyDescent="0.25">
      <c r="A1717" s="1">
        <v>3277</v>
      </c>
      <c r="B1717" s="17" t="s">
        <v>8293</v>
      </c>
      <c r="C1717" s="2" t="s">
        <v>8294</v>
      </c>
      <c r="D1717" s="15" t="s">
        <v>8295</v>
      </c>
      <c r="E1717" s="9" t="s">
        <v>4013</v>
      </c>
      <c r="F1717" s="9" t="s">
        <v>8296</v>
      </c>
      <c r="G1717" s="9" t="s">
        <v>107</v>
      </c>
      <c r="H1717" s="2" t="s">
        <v>60</v>
      </c>
      <c r="I1717" s="3">
        <v>36314</v>
      </c>
      <c r="J1717" s="9" t="str">
        <f t="shared" ca="1" si="28"/>
        <v>24 ans</v>
      </c>
      <c r="K1717" s="2" t="s">
        <v>123</v>
      </c>
      <c r="L1717" s="2" t="str">
        <f>"304"</f>
        <v>304</v>
      </c>
      <c r="M1717" s="2"/>
      <c r="N1717" s="2" t="str">
        <f>"RUE CADIEUX"</f>
        <v>RUE CADIEUX</v>
      </c>
      <c r="O1717" s="2" t="s">
        <v>8260</v>
      </c>
      <c r="P1717" s="9" t="str">
        <f>VLOOKUP($O1717,'Liste des Villes'!$B$2:$B$1128,1,FALSE)</f>
        <v>Saint-Hippolyte</v>
      </c>
      <c r="Q1717" s="9" t="str">
        <f>IFERROR($P1717,PROPER(VLOOKUP($O1717,'Villes en erreur'!$A$2:$B$72,2,FALSE)))</f>
        <v>Saint-Hippolyte</v>
      </c>
      <c r="R1717" s="9" t="s">
        <v>8261</v>
      </c>
      <c r="S1717" s="9" t="str">
        <f>IF(ISBLANK($R1717),"",VLOOKUP($R1717,'Liste des Villes'!$B$2:$H$1128,4,FALSE))</f>
        <v>Laurentides</v>
      </c>
      <c r="T1717" s="2" t="s">
        <v>8297</v>
      </c>
      <c r="U1717" s="2" t="s">
        <v>39</v>
      </c>
      <c r="V1717" s="2" t="s">
        <v>40</v>
      </c>
      <c r="W1717" s="2" t="s">
        <v>8298</v>
      </c>
      <c r="X1717" s="2"/>
      <c r="Y1717" s="2"/>
      <c r="Z1717" s="2"/>
      <c r="AA1717" s="2" t="s">
        <v>832</v>
      </c>
      <c r="AB1717" s="2" t="s">
        <v>73</v>
      </c>
      <c r="AC1717" s="4" t="s">
        <v>44</v>
      </c>
    </row>
    <row r="1718" spans="1:29" x14ac:dyDescent="0.25">
      <c r="A1718" s="1">
        <v>2310</v>
      </c>
      <c r="B1718" s="17" t="s">
        <v>8299</v>
      </c>
      <c r="C1718" s="2" t="s">
        <v>8300</v>
      </c>
      <c r="D1718" s="15" t="s">
        <v>6402</v>
      </c>
      <c r="E1718" s="9" t="s">
        <v>5511</v>
      </c>
      <c r="F1718" s="9" t="s">
        <v>718</v>
      </c>
      <c r="G1718" s="9" t="s">
        <v>2107</v>
      </c>
      <c r="H1718" s="2" t="s">
        <v>60</v>
      </c>
      <c r="I1718" s="3">
        <v>36334</v>
      </c>
      <c r="J1718" s="9" t="str">
        <f t="shared" ca="1" si="28"/>
        <v>24 ans</v>
      </c>
      <c r="K1718" s="2" t="s">
        <v>123</v>
      </c>
      <c r="L1718" s="2" t="str">
        <f>"309"</f>
        <v>309</v>
      </c>
      <c r="M1718" s="2"/>
      <c r="N1718" s="2" t="str">
        <f>"RUE CARMEN"</f>
        <v>RUE CARMEN</v>
      </c>
      <c r="O1718" s="2" t="s">
        <v>8260</v>
      </c>
      <c r="P1718" s="9" t="str">
        <f>VLOOKUP($O1718,'Liste des Villes'!$B$2:$B$1128,1,FALSE)</f>
        <v>Saint-Hippolyte</v>
      </c>
      <c r="Q1718" s="9" t="str">
        <f>IFERROR($P1718,PROPER(VLOOKUP($O1718,'Villes en erreur'!$A$2:$B$72,2,FALSE)))</f>
        <v>Saint-Hippolyte</v>
      </c>
      <c r="R1718" s="9" t="s">
        <v>8261</v>
      </c>
      <c r="S1718" s="9" t="str">
        <f>IF(ISBLANK($R1718),"",VLOOKUP($R1718,'Liste des Villes'!$B$2:$H$1128,4,FALSE))</f>
        <v>Laurentides</v>
      </c>
      <c r="T1718" s="2" t="s">
        <v>8285</v>
      </c>
      <c r="U1718" s="2" t="s">
        <v>39</v>
      </c>
      <c r="V1718" s="2" t="s">
        <v>40</v>
      </c>
      <c r="W1718" s="2" t="s">
        <v>8301</v>
      </c>
      <c r="X1718" s="2"/>
      <c r="Y1718" s="2"/>
      <c r="Z1718" s="2"/>
      <c r="AA1718" s="2" t="s">
        <v>127</v>
      </c>
      <c r="AB1718" s="2" t="s">
        <v>73</v>
      </c>
      <c r="AC1718" s="4" t="s">
        <v>44</v>
      </c>
    </row>
    <row r="1719" spans="1:29" x14ac:dyDescent="0.25">
      <c r="A1719" s="1">
        <v>393</v>
      </c>
      <c r="B1719" s="17" t="s">
        <v>8302</v>
      </c>
      <c r="C1719" s="2" t="s">
        <v>6815</v>
      </c>
      <c r="D1719" s="15" t="s">
        <v>2756</v>
      </c>
      <c r="E1719" s="9" t="s">
        <v>495</v>
      </c>
      <c r="F1719" s="9" t="s">
        <v>4400</v>
      </c>
      <c r="G1719" s="9" t="s">
        <v>7546</v>
      </c>
      <c r="H1719" s="2" t="s">
        <v>60</v>
      </c>
      <c r="I1719" s="3">
        <v>36279</v>
      </c>
      <c r="J1719" s="9" t="str">
        <f t="shared" ca="1" si="28"/>
        <v>24 ans</v>
      </c>
      <c r="K1719" s="2" t="s">
        <v>123</v>
      </c>
      <c r="L1719" s="2" t="str">
        <f>"285"</f>
        <v>285</v>
      </c>
      <c r="M1719" s="2"/>
      <c r="N1719" s="2" t="str">
        <f>"RUE BORÉALE"</f>
        <v>RUE BORÉALE</v>
      </c>
      <c r="O1719" s="2" t="s">
        <v>8260</v>
      </c>
      <c r="P1719" s="9" t="str">
        <f>VLOOKUP($O1719,'Liste des Villes'!$B$2:$B$1128,1,FALSE)</f>
        <v>Saint-Hippolyte</v>
      </c>
      <c r="Q1719" s="9" t="str">
        <f>IFERROR($P1719,PROPER(VLOOKUP($O1719,'Villes en erreur'!$A$2:$B$72,2,FALSE)))</f>
        <v>Saint-Hippolyte</v>
      </c>
      <c r="R1719" s="9" t="s">
        <v>8261</v>
      </c>
      <c r="S1719" s="9" t="str">
        <f>IF(ISBLANK($R1719),"",VLOOKUP($R1719,'Liste des Villes'!$B$2:$H$1128,4,FALSE))</f>
        <v>Laurentides</v>
      </c>
      <c r="T1719" s="2" t="s">
        <v>8303</v>
      </c>
      <c r="U1719" s="2" t="s">
        <v>39</v>
      </c>
      <c r="V1719" s="2" t="s">
        <v>40</v>
      </c>
      <c r="W1719" s="2" t="s">
        <v>8304</v>
      </c>
      <c r="X1719" s="2"/>
      <c r="Y1719" s="2"/>
      <c r="Z1719" s="2"/>
      <c r="AA1719" s="2" t="s">
        <v>832</v>
      </c>
      <c r="AB1719" s="2" t="s">
        <v>73</v>
      </c>
      <c r="AC1719" s="4" t="s">
        <v>44</v>
      </c>
    </row>
    <row r="1720" spans="1:29" x14ac:dyDescent="0.25">
      <c r="A1720" s="1">
        <v>1656</v>
      </c>
      <c r="B1720" s="17" t="s">
        <v>8305</v>
      </c>
      <c r="C1720" s="2" t="s">
        <v>4302</v>
      </c>
      <c r="D1720" s="15" t="s">
        <v>4303</v>
      </c>
      <c r="E1720" s="9" t="s">
        <v>277</v>
      </c>
      <c r="F1720" s="9" t="s">
        <v>1951</v>
      </c>
      <c r="G1720" s="9" t="s">
        <v>107</v>
      </c>
      <c r="H1720" s="2" t="s">
        <v>60</v>
      </c>
      <c r="I1720" s="3">
        <v>36308</v>
      </c>
      <c r="J1720" s="9" t="str">
        <f t="shared" ca="1" si="28"/>
        <v>24 ans</v>
      </c>
      <c r="K1720" s="2" t="s">
        <v>123</v>
      </c>
      <c r="L1720" s="2" t="str">
        <f>"300"</f>
        <v>300</v>
      </c>
      <c r="M1720" s="2"/>
      <c r="N1720" s="2" t="str">
        <f>"RUE BRUCHÉSI"</f>
        <v>RUE BRUCHÉSI</v>
      </c>
      <c r="O1720" s="2" t="s">
        <v>8260</v>
      </c>
      <c r="P1720" s="9" t="str">
        <f>VLOOKUP($O1720,'Liste des Villes'!$B$2:$B$1128,1,FALSE)</f>
        <v>Saint-Hippolyte</v>
      </c>
      <c r="Q1720" s="9" t="str">
        <f>IFERROR($P1720,PROPER(VLOOKUP($O1720,'Villes en erreur'!$A$2:$B$72,2,FALSE)))</f>
        <v>Saint-Hippolyte</v>
      </c>
      <c r="R1720" s="9" t="s">
        <v>8261</v>
      </c>
      <c r="S1720" s="9" t="str">
        <f>IF(ISBLANK($R1720),"",VLOOKUP($R1720,'Liste des Villes'!$B$2:$H$1128,4,FALSE))</f>
        <v>Laurentides</v>
      </c>
      <c r="T1720" s="2" t="s">
        <v>8306</v>
      </c>
      <c r="U1720" s="2" t="s">
        <v>39</v>
      </c>
      <c r="V1720" s="2" t="s">
        <v>40</v>
      </c>
      <c r="W1720" s="2" t="s">
        <v>8307</v>
      </c>
      <c r="X1720" s="2"/>
      <c r="Y1720" s="2"/>
      <c r="Z1720" s="2"/>
      <c r="AA1720" s="2" t="s">
        <v>832</v>
      </c>
      <c r="AB1720" s="2" t="s">
        <v>73</v>
      </c>
      <c r="AC1720" s="4" t="s">
        <v>44</v>
      </c>
    </row>
    <row r="1721" spans="1:29" x14ac:dyDescent="0.25">
      <c r="A1721" s="1">
        <v>869</v>
      </c>
      <c r="B1721" s="17" t="s">
        <v>8308</v>
      </c>
      <c r="C1721" s="2" t="s">
        <v>2511</v>
      </c>
      <c r="D1721" s="15" t="s">
        <v>304</v>
      </c>
      <c r="E1721" s="9" t="s">
        <v>2512</v>
      </c>
      <c r="F1721" s="9" t="s">
        <v>8309</v>
      </c>
      <c r="G1721" s="9" t="s">
        <v>7546</v>
      </c>
      <c r="H1721" s="2" t="s">
        <v>60</v>
      </c>
      <c r="I1721" s="3">
        <v>36276</v>
      </c>
      <c r="J1721" s="9" t="str">
        <f t="shared" ca="1" si="28"/>
        <v>24 ans</v>
      </c>
      <c r="K1721" s="2" t="s">
        <v>123</v>
      </c>
      <c r="L1721" s="2" t="str">
        <f>"283"</f>
        <v>283</v>
      </c>
      <c r="M1721" s="2"/>
      <c r="N1721" s="2" t="str">
        <f>"RUE BOIVIN"</f>
        <v>RUE BOIVIN</v>
      </c>
      <c r="O1721" s="2" t="s">
        <v>8260</v>
      </c>
      <c r="P1721" s="9" t="str">
        <f>VLOOKUP($O1721,'Liste des Villes'!$B$2:$B$1128,1,FALSE)</f>
        <v>Saint-Hippolyte</v>
      </c>
      <c r="Q1721" s="9" t="str">
        <f>IFERROR($P1721,PROPER(VLOOKUP($O1721,'Villes en erreur'!$A$2:$B$72,2,FALSE)))</f>
        <v>Saint-Hippolyte</v>
      </c>
      <c r="R1721" s="9" t="s">
        <v>8261</v>
      </c>
      <c r="S1721" s="9" t="str">
        <f>IF(ISBLANK($R1721),"",VLOOKUP($R1721,'Liste des Villes'!$B$2:$H$1128,4,FALSE))</f>
        <v>Laurentides</v>
      </c>
      <c r="T1721" s="2" t="s">
        <v>8310</v>
      </c>
      <c r="U1721" s="2" t="s">
        <v>39</v>
      </c>
      <c r="V1721" s="2" t="s">
        <v>40</v>
      </c>
      <c r="W1721" s="2" t="s">
        <v>8311</v>
      </c>
      <c r="X1721" s="2"/>
      <c r="Y1721" s="2"/>
      <c r="Z1721" s="2"/>
      <c r="AA1721" s="2" t="s">
        <v>832</v>
      </c>
      <c r="AB1721" s="2" t="s">
        <v>73</v>
      </c>
      <c r="AC1721" s="4" t="s">
        <v>44</v>
      </c>
    </row>
    <row r="1722" spans="1:29" x14ac:dyDescent="0.25">
      <c r="A1722" s="1">
        <v>2509</v>
      </c>
      <c r="B1722" s="17" t="s">
        <v>8312</v>
      </c>
      <c r="C1722" s="2" t="s">
        <v>8313</v>
      </c>
      <c r="D1722" s="15" t="s">
        <v>180</v>
      </c>
      <c r="E1722" s="9" t="s">
        <v>2370</v>
      </c>
      <c r="F1722" s="9" t="s">
        <v>178</v>
      </c>
      <c r="G1722" s="9" t="s">
        <v>389</v>
      </c>
      <c r="H1722" s="2" t="s">
        <v>60</v>
      </c>
      <c r="I1722" s="3">
        <v>36282</v>
      </c>
      <c r="J1722" s="9" t="str">
        <f t="shared" ca="1" si="28"/>
        <v>24 ans</v>
      </c>
      <c r="K1722" s="2" t="s">
        <v>123</v>
      </c>
      <c r="L1722" s="2" t="str">
        <f>"286"</f>
        <v>286</v>
      </c>
      <c r="M1722" s="2"/>
      <c r="N1722" s="2" t="str">
        <f>"RUE BOUCHARD-LAVALLÉE"</f>
        <v>RUE BOUCHARD-LAVALLÉE</v>
      </c>
      <c r="O1722" s="2" t="s">
        <v>8260</v>
      </c>
      <c r="P1722" s="9" t="str">
        <f>VLOOKUP($O1722,'Liste des Villes'!$B$2:$B$1128,1,FALSE)</f>
        <v>Saint-Hippolyte</v>
      </c>
      <c r="Q1722" s="9" t="str">
        <f>IFERROR($P1722,PROPER(VLOOKUP($O1722,'Villes en erreur'!$A$2:$B$72,2,FALSE)))</f>
        <v>Saint-Hippolyte</v>
      </c>
      <c r="R1722" s="9" t="s">
        <v>8261</v>
      </c>
      <c r="S1722" s="9" t="str">
        <f>IF(ISBLANK($R1722),"",VLOOKUP($R1722,'Liste des Villes'!$B$2:$H$1128,4,FALSE))</f>
        <v>Laurentides</v>
      </c>
      <c r="T1722" s="2" t="s">
        <v>8314</v>
      </c>
      <c r="U1722" s="2" t="s">
        <v>39</v>
      </c>
      <c r="V1722" s="2" t="s">
        <v>40</v>
      </c>
      <c r="W1722" s="2" t="s">
        <v>8315</v>
      </c>
      <c r="X1722" s="2"/>
      <c r="Y1722" s="2"/>
      <c r="Z1722" s="2"/>
      <c r="AA1722" s="2" t="s">
        <v>832</v>
      </c>
      <c r="AB1722" s="2" t="s">
        <v>73</v>
      </c>
      <c r="AC1722" s="4" t="s">
        <v>44</v>
      </c>
    </row>
    <row r="1723" spans="1:29" x14ac:dyDescent="0.25">
      <c r="A1723" s="1">
        <v>3773</v>
      </c>
      <c r="B1723" s="17" t="s">
        <v>8316</v>
      </c>
      <c r="C1723" s="2" t="s">
        <v>8317</v>
      </c>
      <c r="D1723" s="15" t="s">
        <v>1384</v>
      </c>
      <c r="E1723" s="9" t="s">
        <v>5276</v>
      </c>
      <c r="F1723" s="9" t="s">
        <v>4066</v>
      </c>
      <c r="G1723" s="9" t="s">
        <v>404</v>
      </c>
      <c r="H1723" s="2" t="s">
        <v>35</v>
      </c>
      <c r="I1723" s="3">
        <v>36347</v>
      </c>
      <c r="J1723" s="9" t="str">
        <f t="shared" ca="1" si="28"/>
        <v>24 ans</v>
      </c>
      <c r="K1723" s="2" t="s">
        <v>123</v>
      </c>
      <c r="L1723" s="2" t="str">
        <f>"314"</f>
        <v>314</v>
      </c>
      <c r="M1723" s="2"/>
      <c r="N1723" s="2" t="str">
        <f>"RUE CENTRALE"</f>
        <v>RUE CENTRALE</v>
      </c>
      <c r="O1723" s="2" t="s">
        <v>8260</v>
      </c>
      <c r="P1723" s="9" t="str">
        <f>VLOOKUP($O1723,'Liste des Villes'!$B$2:$B$1128,1,FALSE)</f>
        <v>Saint-Hippolyte</v>
      </c>
      <c r="Q1723" s="9" t="str">
        <f>IFERROR($P1723,PROPER(VLOOKUP($O1723,'Villes en erreur'!$A$2:$B$72,2,FALSE)))</f>
        <v>Saint-Hippolyte</v>
      </c>
      <c r="R1723" s="9" t="s">
        <v>8261</v>
      </c>
      <c r="S1723" s="9" t="str">
        <f>IF(ISBLANK($R1723),"",VLOOKUP($R1723,'Liste des Villes'!$B$2:$H$1128,4,FALSE))</f>
        <v>Laurentides</v>
      </c>
      <c r="T1723" s="2" t="s">
        <v>8318</v>
      </c>
      <c r="U1723" s="2" t="s">
        <v>39</v>
      </c>
      <c r="V1723" s="2" t="s">
        <v>40</v>
      </c>
      <c r="W1723" s="2" t="s">
        <v>8319</v>
      </c>
      <c r="X1723" s="2"/>
      <c r="Y1723" s="2"/>
      <c r="Z1723" s="2"/>
      <c r="AA1723" s="2" t="s">
        <v>127</v>
      </c>
      <c r="AB1723" s="2" t="s">
        <v>73</v>
      </c>
      <c r="AC1723" s="4" t="s">
        <v>44</v>
      </c>
    </row>
    <row r="1724" spans="1:29" x14ac:dyDescent="0.25">
      <c r="A1724" s="1">
        <v>2672</v>
      </c>
      <c r="B1724" s="17" t="s">
        <v>8320</v>
      </c>
      <c r="C1724" s="2" t="s">
        <v>8321</v>
      </c>
      <c r="D1724" s="15" t="s">
        <v>2376</v>
      </c>
      <c r="E1724" s="9" t="s">
        <v>5890</v>
      </c>
      <c r="F1724" s="9" t="s">
        <v>2375</v>
      </c>
      <c r="G1724" s="9" t="s">
        <v>8322</v>
      </c>
      <c r="H1724" s="2" t="s">
        <v>60</v>
      </c>
      <c r="I1724" s="3">
        <v>36301</v>
      </c>
      <c r="J1724" s="9" t="str">
        <f t="shared" ca="1" si="28"/>
        <v>24 ans</v>
      </c>
      <c r="K1724" s="2" t="s">
        <v>123</v>
      </c>
      <c r="L1724" s="2" t="str">
        <f>"296"</f>
        <v>296</v>
      </c>
      <c r="M1724" s="2"/>
      <c r="N1724" s="2" t="str">
        <f>"RUE BRIÈRE"</f>
        <v>RUE BRIÈRE</v>
      </c>
      <c r="O1724" s="2" t="s">
        <v>8260</v>
      </c>
      <c r="P1724" s="9" t="str">
        <f>VLOOKUP($O1724,'Liste des Villes'!$B$2:$B$1128,1,FALSE)</f>
        <v>Saint-Hippolyte</v>
      </c>
      <c r="Q1724" s="9" t="str">
        <f>IFERROR($P1724,PROPER(VLOOKUP($O1724,'Villes en erreur'!$A$2:$B$72,2,FALSE)))</f>
        <v>Saint-Hippolyte</v>
      </c>
      <c r="R1724" s="9" t="s">
        <v>8261</v>
      </c>
      <c r="S1724" s="9" t="str">
        <f>IF(ISBLANK($R1724),"",VLOOKUP($R1724,'Liste des Villes'!$B$2:$H$1128,4,FALSE))</f>
        <v>Laurentides</v>
      </c>
      <c r="T1724" s="2" t="s">
        <v>8323</v>
      </c>
      <c r="U1724" s="2" t="s">
        <v>39</v>
      </c>
      <c r="V1724" s="2" t="s">
        <v>40</v>
      </c>
      <c r="W1724" s="2" t="s">
        <v>8324</v>
      </c>
      <c r="X1724" s="2"/>
      <c r="Y1724" s="2"/>
      <c r="Z1724" s="2"/>
      <c r="AA1724" s="2" t="s">
        <v>832</v>
      </c>
      <c r="AB1724" s="2" t="s">
        <v>73</v>
      </c>
      <c r="AC1724" s="4" t="s">
        <v>44</v>
      </c>
    </row>
    <row r="1725" spans="1:29" x14ac:dyDescent="0.25">
      <c r="A1725" s="1">
        <v>2717</v>
      </c>
      <c r="B1725" s="17" t="s">
        <v>8325</v>
      </c>
      <c r="C1725" s="2" t="s">
        <v>3787</v>
      </c>
      <c r="D1725" s="15" t="s">
        <v>2474</v>
      </c>
      <c r="E1725" s="9" t="s">
        <v>293</v>
      </c>
      <c r="F1725" s="9" t="s">
        <v>8326</v>
      </c>
      <c r="G1725" s="9" t="s">
        <v>7546</v>
      </c>
      <c r="H1725" s="2" t="s">
        <v>60</v>
      </c>
      <c r="I1725" s="3">
        <v>36278</v>
      </c>
      <c r="J1725" s="9" t="str">
        <f t="shared" ca="1" si="28"/>
        <v>24 ans</v>
      </c>
      <c r="K1725" s="2" t="s">
        <v>123</v>
      </c>
      <c r="L1725" s="2" t="str">
        <f>"284"</f>
        <v>284</v>
      </c>
      <c r="M1725" s="2"/>
      <c r="N1725" s="2" t="str">
        <f>"RUE BORÉALE"</f>
        <v>RUE BORÉALE</v>
      </c>
      <c r="O1725" s="2" t="s">
        <v>8260</v>
      </c>
      <c r="P1725" s="9" t="str">
        <f>VLOOKUP($O1725,'Liste des Villes'!$B$2:$B$1128,1,FALSE)</f>
        <v>Saint-Hippolyte</v>
      </c>
      <c r="Q1725" s="9" t="str">
        <f>IFERROR($P1725,PROPER(VLOOKUP($O1725,'Villes en erreur'!$A$2:$B$72,2,FALSE)))</f>
        <v>Saint-Hippolyte</v>
      </c>
      <c r="R1725" s="9" t="s">
        <v>8261</v>
      </c>
      <c r="S1725" s="9" t="str">
        <f>IF(ISBLANK($R1725),"",VLOOKUP($R1725,'Liste des Villes'!$B$2:$H$1128,4,FALSE))</f>
        <v>Laurentides</v>
      </c>
      <c r="T1725" s="2" t="s">
        <v>8327</v>
      </c>
      <c r="U1725" s="2" t="s">
        <v>39</v>
      </c>
      <c r="V1725" s="2" t="s">
        <v>40</v>
      </c>
      <c r="W1725" s="2" t="s">
        <v>8328</v>
      </c>
      <c r="X1725" s="2"/>
      <c r="Y1725" s="2"/>
      <c r="Z1725" s="2"/>
      <c r="AA1725" s="2" t="s">
        <v>832</v>
      </c>
      <c r="AB1725" s="2" t="s">
        <v>73</v>
      </c>
      <c r="AC1725" s="4" t="s">
        <v>44</v>
      </c>
    </row>
    <row r="1726" spans="1:29" x14ac:dyDescent="0.25">
      <c r="A1726" s="1">
        <v>254</v>
      </c>
      <c r="B1726" s="17" t="s">
        <v>8329</v>
      </c>
      <c r="C1726" s="2" t="s">
        <v>8330</v>
      </c>
      <c r="D1726" s="15" t="s">
        <v>2024</v>
      </c>
      <c r="E1726" s="9" t="s">
        <v>2404</v>
      </c>
      <c r="F1726" s="9" t="s">
        <v>2023</v>
      </c>
      <c r="G1726" s="9" t="s">
        <v>6620</v>
      </c>
      <c r="H1726" s="2" t="s">
        <v>60</v>
      </c>
      <c r="I1726" s="3">
        <v>36267</v>
      </c>
      <c r="J1726" s="9" t="str">
        <f t="shared" ca="1" si="28"/>
        <v>24 ans</v>
      </c>
      <c r="K1726" s="2" t="s">
        <v>123</v>
      </c>
      <c r="L1726" s="2" t="str">
        <f>"277"</f>
        <v>277</v>
      </c>
      <c r="M1726" s="2"/>
      <c r="N1726" s="2" t="str">
        <f>"RUE BLANCHARD"</f>
        <v>RUE BLANCHARD</v>
      </c>
      <c r="O1726" s="2" t="s">
        <v>8260</v>
      </c>
      <c r="P1726" s="9" t="str">
        <f>VLOOKUP($O1726,'Liste des Villes'!$B$2:$B$1128,1,FALSE)</f>
        <v>Saint-Hippolyte</v>
      </c>
      <c r="Q1726" s="9" t="str">
        <f>IFERROR($P1726,PROPER(VLOOKUP($O1726,'Villes en erreur'!$A$2:$B$72,2,FALSE)))</f>
        <v>Saint-Hippolyte</v>
      </c>
      <c r="R1726" s="9" t="s">
        <v>8261</v>
      </c>
      <c r="S1726" s="9" t="str">
        <f>IF(ISBLANK($R1726),"",VLOOKUP($R1726,'Liste des Villes'!$B$2:$H$1128,4,FALSE))</f>
        <v>Laurentides</v>
      </c>
      <c r="T1726" s="2" t="s">
        <v>8331</v>
      </c>
      <c r="U1726" s="2" t="s">
        <v>39</v>
      </c>
      <c r="V1726" s="2" t="s">
        <v>40</v>
      </c>
      <c r="W1726" s="2" t="s">
        <v>8332</v>
      </c>
      <c r="X1726" s="2"/>
      <c r="Y1726" s="2"/>
      <c r="Z1726" s="2"/>
      <c r="AA1726" s="2" t="s">
        <v>832</v>
      </c>
      <c r="AB1726" s="2" t="s">
        <v>73</v>
      </c>
      <c r="AC1726" s="4" t="s">
        <v>44</v>
      </c>
    </row>
    <row r="1727" spans="1:29" x14ac:dyDescent="0.25">
      <c r="A1727" s="1">
        <v>2771</v>
      </c>
      <c r="B1727" s="17" t="s">
        <v>8333</v>
      </c>
      <c r="C1727" s="2" t="s">
        <v>8334</v>
      </c>
      <c r="D1727" s="15" t="s">
        <v>488</v>
      </c>
      <c r="E1727" s="9" t="s">
        <v>8335</v>
      </c>
      <c r="F1727" s="9" t="s">
        <v>3941</v>
      </c>
      <c r="G1727" s="9" t="s">
        <v>389</v>
      </c>
      <c r="H1727" s="2" t="s">
        <v>60</v>
      </c>
      <c r="I1727" s="3">
        <v>36290</v>
      </c>
      <c r="J1727" s="9" t="str">
        <f t="shared" ca="1" si="28"/>
        <v>24 ans</v>
      </c>
      <c r="K1727" s="2" t="s">
        <v>123</v>
      </c>
      <c r="L1727" s="2" t="str">
        <f>"289"</f>
        <v>289</v>
      </c>
      <c r="M1727" s="2"/>
      <c r="N1727" s="2" t="str">
        <f>"RUE BRAHMS"</f>
        <v>RUE BRAHMS</v>
      </c>
      <c r="O1727" s="2" t="s">
        <v>8260</v>
      </c>
      <c r="P1727" s="9" t="str">
        <f>VLOOKUP($O1727,'Liste des Villes'!$B$2:$B$1128,1,FALSE)</f>
        <v>Saint-Hippolyte</v>
      </c>
      <c r="Q1727" s="9" t="str">
        <f>IFERROR($P1727,PROPER(VLOOKUP($O1727,'Villes en erreur'!$A$2:$B$72,2,FALSE)))</f>
        <v>Saint-Hippolyte</v>
      </c>
      <c r="R1727" s="9" t="s">
        <v>8261</v>
      </c>
      <c r="S1727" s="9" t="str">
        <f>IF(ISBLANK($R1727),"",VLOOKUP($R1727,'Liste des Villes'!$B$2:$H$1128,4,FALSE))</f>
        <v>Laurentides</v>
      </c>
      <c r="T1727" s="2" t="s">
        <v>8336</v>
      </c>
      <c r="U1727" s="2" t="s">
        <v>39</v>
      </c>
      <c r="V1727" s="2" t="s">
        <v>40</v>
      </c>
      <c r="W1727" s="2" t="s">
        <v>8337</v>
      </c>
      <c r="X1727" s="2"/>
      <c r="Y1727" s="2"/>
      <c r="Z1727" s="2"/>
      <c r="AA1727" s="2" t="s">
        <v>832</v>
      </c>
      <c r="AB1727" s="2" t="s">
        <v>73</v>
      </c>
      <c r="AC1727" s="4" t="s">
        <v>44</v>
      </c>
    </row>
    <row r="1728" spans="1:29" x14ac:dyDescent="0.25">
      <c r="A1728" s="1">
        <v>2985</v>
      </c>
      <c r="B1728" s="17" t="s">
        <v>8338</v>
      </c>
      <c r="C1728" s="2" t="s">
        <v>8339</v>
      </c>
      <c r="D1728" s="15" t="s">
        <v>460</v>
      </c>
      <c r="E1728" s="9" t="s">
        <v>7971</v>
      </c>
      <c r="F1728" s="9" t="s">
        <v>462</v>
      </c>
      <c r="G1728" s="9" t="s">
        <v>4231</v>
      </c>
      <c r="H1728" s="2" t="s">
        <v>60</v>
      </c>
      <c r="I1728" s="3">
        <v>36296</v>
      </c>
      <c r="J1728" s="9" t="str">
        <f t="shared" ca="1" si="28"/>
        <v>24 ans</v>
      </c>
      <c r="K1728" s="2" t="s">
        <v>123</v>
      </c>
      <c r="L1728" s="2" t="str">
        <f>"294"</f>
        <v>294</v>
      </c>
      <c r="M1728" s="2"/>
      <c r="N1728" s="2" t="str">
        <f>"RUE BRAULT"</f>
        <v>RUE BRAULT</v>
      </c>
      <c r="O1728" s="2" t="s">
        <v>8260</v>
      </c>
      <c r="P1728" s="9" t="str">
        <f>VLOOKUP($O1728,'Liste des Villes'!$B$2:$B$1128,1,FALSE)</f>
        <v>Saint-Hippolyte</v>
      </c>
      <c r="Q1728" s="9" t="str">
        <f>IFERROR($P1728,PROPER(VLOOKUP($O1728,'Villes en erreur'!$A$2:$B$72,2,FALSE)))</f>
        <v>Saint-Hippolyte</v>
      </c>
      <c r="R1728" s="9" t="s">
        <v>8261</v>
      </c>
      <c r="S1728" s="9" t="str">
        <f>IF(ISBLANK($R1728),"",VLOOKUP($R1728,'Liste des Villes'!$B$2:$H$1128,4,FALSE))</f>
        <v>Laurentides</v>
      </c>
      <c r="T1728" s="2" t="s">
        <v>8340</v>
      </c>
      <c r="U1728" s="2" t="s">
        <v>39</v>
      </c>
      <c r="V1728" s="2" t="s">
        <v>40</v>
      </c>
      <c r="W1728" s="2" t="s">
        <v>8341</v>
      </c>
      <c r="X1728" s="2"/>
      <c r="Y1728" s="2"/>
      <c r="Z1728" s="2"/>
      <c r="AA1728" s="2" t="s">
        <v>832</v>
      </c>
      <c r="AB1728" s="2" t="s">
        <v>73</v>
      </c>
      <c r="AC1728" s="4" t="s">
        <v>44</v>
      </c>
    </row>
    <row r="1729" spans="1:29" x14ac:dyDescent="0.25">
      <c r="A1729" s="1">
        <v>4440</v>
      </c>
      <c r="B1729" s="17" t="s">
        <v>8342</v>
      </c>
      <c r="C1729" s="2" t="s">
        <v>2485</v>
      </c>
      <c r="D1729" s="15" t="s">
        <v>2486</v>
      </c>
      <c r="E1729" s="9" t="s">
        <v>541</v>
      </c>
      <c r="F1729" s="9" t="s">
        <v>7697</v>
      </c>
      <c r="G1729" s="9" t="s">
        <v>389</v>
      </c>
      <c r="H1729" s="2" t="s">
        <v>60</v>
      </c>
      <c r="I1729" s="3">
        <v>36283</v>
      </c>
      <c r="J1729" s="9" t="str">
        <f t="shared" ca="1" si="28"/>
        <v>24 ans</v>
      </c>
      <c r="K1729" s="2" t="s">
        <v>123</v>
      </c>
      <c r="L1729" s="2" t="str">
        <f>"287"</f>
        <v>287</v>
      </c>
      <c r="M1729" s="2"/>
      <c r="N1729" s="2" t="str">
        <f>"RUE BOURBONNAIS"</f>
        <v>RUE BOURBONNAIS</v>
      </c>
      <c r="O1729" s="2" t="s">
        <v>8260</v>
      </c>
      <c r="P1729" s="9" t="str">
        <f>VLOOKUP($O1729,'Liste des Villes'!$B$2:$B$1128,1,FALSE)</f>
        <v>Saint-Hippolyte</v>
      </c>
      <c r="Q1729" s="9" t="str">
        <f>IFERROR($P1729,PROPER(VLOOKUP($O1729,'Villes en erreur'!$A$2:$B$72,2,FALSE)))</f>
        <v>Saint-Hippolyte</v>
      </c>
      <c r="R1729" s="9" t="s">
        <v>8261</v>
      </c>
      <c r="S1729" s="9" t="str">
        <f>IF(ISBLANK($R1729),"",VLOOKUP($R1729,'Liste des Villes'!$B$2:$H$1128,4,FALSE))</f>
        <v>Laurentides</v>
      </c>
      <c r="T1729" s="2" t="s">
        <v>8314</v>
      </c>
      <c r="U1729" s="2" t="s">
        <v>39</v>
      </c>
      <c r="V1729" s="2" t="s">
        <v>40</v>
      </c>
      <c r="W1729" s="2" t="s">
        <v>8343</v>
      </c>
      <c r="X1729" s="2"/>
      <c r="Y1729" s="2"/>
      <c r="Z1729" s="2"/>
      <c r="AA1729" s="2" t="s">
        <v>832</v>
      </c>
      <c r="AB1729" s="2" t="s">
        <v>73</v>
      </c>
      <c r="AC1729" s="4" t="s">
        <v>44</v>
      </c>
    </row>
    <row r="1730" spans="1:29" x14ac:dyDescent="0.25">
      <c r="A1730" s="1">
        <v>1678</v>
      </c>
      <c r="B1730" s="17" t="s">
        <v>8344</v>
      </c>
      <c r="C1730" s="2" t="s">
        <v>1370</v>
      </c>
      <c r="D1730" s="15" t="s">
        <v>1092</v>
      </c>
      <c r="E1730" s="9" t="s">
        <v>92</v>
      </c>
      <c r="F1730" s="9" t="s">
        <v>1371</v>
      </c>
      <c r="G1730" s="9" t="s">
        <v>1553</v>
      </c>
      <c r="H1730" s="2" t="s">
        <v>60</v>
      </c>
      <c r="I1730" s="3">
        <v>36267</v>
      </c>
      <c r="J1730" s="9" t="str">
        <f t="shared" ref="J1730:J1793" ca="1" si="29">_xlfn.CONCAT(INT((TODAY()-$I1730)/365.25)," ans")</f>
        <v>24 ans</v>
      </c>
      <c r="K1730" s="2" t="s">
        <v>123</v>
      </c>
      <c r="L1730" s="2" t="str">
        <f>"277"</f>
        <v>277</v>
      </c>
      <c r="M1730" s="2"/>
      <c r="N1730" s="2" t="str">
        <f>"RUE BLANCHARD"</f>
        <v>RUE BLANCHARD</v>
      </c>
      <c r="O1730" s="2" t="s">
        <v>8260</v>
      </c>
      <c r="P1730" s="9" t="str">
        <f>VLOOKUP($O1730,'Liste des Villes'!$B$2:$B$1128,1,FALSE)</f>
        <v>Saint-Hippolyte</v>
      </c>
      <c r="Q1730" s="9" t="str">
        <f>IFERROR($P1730,PROPER(VLOOKUP($O1730,'Villes en erreur'!$A$2:$B$72,2,FALSE)))</f>
        <v>Saint-Hippolyte</v>
      </c>
      <c r="R1730" s="9" t="s">
        <v>8261</v>
      </c>
      <c r="S1730" s="9" t="str">
        <f>IF(ISBLANK($R1730),"",VLOOKUP($R1730,'Liste des Villes'!$B$2:$H$1128,4,FALSE))</f>
        <v>Laurentides</v>
      </c>
      <c r="T1730" s="2" t="s">
        <v>8345</v>
      </c>
      <c r="U1730" s="2" t="s">
        <v>39</v>
      </c>
      <c r="V1730" s="2" t="s">
        <v>40</v>
      </c>
      <c r="W1730" s="2" t="s">
        <v>8346</v>
      </c>
      <c r="X1730" s="2"/>
      <c r="Y1730" s="2"/>
      <c r="Z1730" s="2"/>
      <c r="AA1730" s="2" t="s">
        <v>832</v>
      </c>
      <c r="AB1730" s="2" t="s">
        <v>73</v>
      </c>
      <c r="AC1730" s="4" t="s">
        <v>44</v>
      </c>
    </row>
    <row r="1731" spans="1:29" x14ac:dyDescent="0.25">
      <c r="A1731" s="1">
        <v>3573</v>
      </c>
      <c r="B1731" s="17" t="s">
        <v>8347</v>
      </c>
      <c r="C1731" s="2" t="s">
        <v>8348</v>
      </c>
      <c r="D1731" s="15" t="s">
        <v>8349</v>
      </c>
      <c r="E1731" s="9" t="s">
        <v>622</v>
      </c>
      <c r="F1731" s="9" t="s">
        <v>8350</v>
      </c>
      <c r="G1731" s="9" t="s">
        <v>4231</v>
      </c>
      <c r="H1731" s="2" t="s">
        <v>60</v>
      </c>
      <c r="I1731" s="3">
        <v>36296</v>
      </c>
      <c r="J1731" s="9" t="str">
        <f t="shared" ca="1" si="29"/>
        <v>24 ans</v>
      </c>
      <c r="K1731" s="2" t="s">
        <v>123</v>
      </c>
      <c r="L1731" s="2" t="str">
        <f>"293"</f>
        <v>293</v>
      </c>
      <c r="M1731" s="2"/>
      <c r="N1731" s="2" t="str">
        <f>"RUE BRAULT"</f>
        <v>RUE BRAULT</v>
      </c>
      <c r="O1731" s="2" t="s">
        <v>8260</v>
      </c>
      <c r="P1731" s="9" t="str">
        <f>VLOOKUP($O1731,'Liste des Villes'!$B$2:$B$1128,1,FALSE)</f>
        <v>Saint-Hippolyte</v>
      </c>
      <c r="Q1731" s="9" t="str">
        <f>IFERROR($P1731,PROPER(VLOOKUP($O1731,'Villes en erreur'!$A$2:$B$72,2,FALSE)))</f>
        <v>Saint-Hippolyte</v>
      </c>
      <c r="R1731" s="9" t="s">
        <v>8261</v>
      </c>
      <c r="S1731" s="9" t="str">
        <f>IF(ISBLANK($R1731),"",VLOOKUP($R1731,'Liste des Villes'!$B$2:$H$1128,4,FALSE))</f>
        <v>Laurentides</v>
      </c>
      <c r="T1731" s="2" t="s">
        <v>8340</v>
      </c>
      <c r="U1731" s="2" t="s">
        <v>39</v>
      </c>
      <c r="V1731" s="2" t="s">
        <v>40</v>
      </c>
      <c r="W1731" s="2" t="s">
        <v>8351</v>
      </c>
      <c r="X1731" s="2"/>
      <c r="Y1731" s="2"/>
      <c r="Z1731" s="2"/>
      <c r="AA1731" s="2" t="s">
        <v>832</v>
      </c>
      <c r="AB1731" s="2" t="s">
        <v>73</v>
      </c>
      <c r="AC1731" s="4" t="s">
        <v>44</v>
      </c>
    </row>
    <row r="1732" spans="1:29" x14ac:dyDescent="0.25">
      <c r="A1732" s="1">
        <v>1261</v>
      </c>
      <c r="B1732" s="17" t="s">
        <v>8352</v>
      </c>
      <c r="C1732" s="2" t="s">
        <v>8353</v>
      </c>
      <c r="D1732" s="15" t="s">
        <v>6635</v>
      </c>
      <c r="E1732" s="9" t="s">
        <v>2086</v>
      </c>
      <c r="F1732" s="9" t="s">
        <v>8354</v>
      </c>
      <c r="G1732" s="9" t="s">
        <v>107</v>
      </c>
      <c r="H1732" s="2" t="s">
        <v>60</v>
      </c>
      <c r="I1732" s="3">
        <v>36321</v>
      </c>
      <c r="J1732" s="9" t="str">
        <f t="shared" ca="1" si="29"/>
        <v>24 ans</v>
      </c>
      <c r="K1732" s="2" t="s">
        <v>123</v>
      </c>
      <c r="L1732" s="2" t="str">
        <f>"306"</f>
        <v>306</v>
      </c>
      <c r="M1732" s="2"/>
      <c r="N1732" s="2" t="str">
        <f>"RUE CAMPEAU"</f>
        <v>RUE CAMPEAU</v>
      </c>
      <c r="O1732" s="2" t="s">
        <v>8260</v>
      </c>
      <c r="P1732" s="9" t="str">
        <f>VLOOKUP($O1732,'Liste des Villes'!$B$2:$B$1128,1,FALSE)</f>
        <v>Saint-Hippolyte</v>
      </c>
      <c r="Q1732" s="9" t="str">
        <f>IFERROR($P1732,PROPER(VLOOKUP($O1732,'Villes en erreur'!$A$2:$B$72,2,FALSE)))</f>
        <v>Saint-Hippolyte</v>
      </c>
      <c r="R1732" s="9" t="s">
        <v>8261</v>
      </c>
      <c r="S1732" s="9" t="str">
        <f>IF(ISBLANK($R1732),"",VLOOKUP($R1732,'Liste des Villes'!$B$2:$H$1128,4,FALSE))</f>
        <v>Laurentides</v>
      </c>
      <c r="T1732" s="2" t="s">
        <v>8355</v>
      </c>
      <c r="U1732" s="2" t="s">
        <v>39</v>
      </c>
      <c r="V1732" s="2" t="s">
        <v>40</v>
      </c>
      <c r="W1732" s="2" t="s">
        <v>8356</v>
      </c>
      <c r="X1732" s="2"/>
      <c r="Y1732" s="2"/>
      <c r="Z1732" s="2"/>
      <c r="AA1732" s="2" t="s">
        <v>832</v>
      </c>
      <c r="AB1732" s="2" t="s">
        <v>73</v>
      </c>
      <c r="AC1732" s="4" t="s">
        <v>44</v>
      </c>
    </row>
    <row r="1733" spans="1:29" x14ac:dyDescent="0.25">
      <c r="A1733" s="1">
        <v>1308</v>
      </c>
      <c r="B1733" s="17" t="s">
        <v>8357</v>
      </c>
      <c r="C1733" s="2" t="s">
        <v>8358</v>
      </c>
      <c r="D1733" s="15" t="s">
        <v>47</v>
      </c>
      <c r="E1733" s="9" t="s">
        <v>1330</v>
      </c>
      <c r="F1733" s="9" t="s">
        <v>3953</v>
      </c>
      <c r="G1733" s="9" t="s">
        <v>7546</v>
      </c>
      <c r="H1733" s="2" t="s">
        <v>60</v>
      </c>
      <c r="I1733" s="3">
        <v>36277</v>
      </c>
      <c r="J1733" s="9" t="str">
        <f t="shared" ca="1" si="29"/>
        <v>24 ans</v>
      </c>
      <c r="K1733" s="2" t="s">
        <v>123</v>
      </c>
      <c r="L1733" s="2" t="str">
        <f>"283"</f>
        <v>283</v>
      </c>
      <c r="M1733" s="2"/>
      <c r="N1733" s="2" t="str">
        <f>"RUE BOLDUC"</f>
        <v>RUE BOLDUC</v>
      </c>
      <c r="O1733" s="2" t="s">
        <v>8260</v>
      </c>
      <c r="P1733" s="9" t="str">
        <f>VLOOKUP($O1733,'Liste des Villes'!$B$2:$B$1128,1,FALSE)</f>
        <v>Saint-Hippolyte</v>
      </c>
      <c r="Q1733" s="9" t="str">
        <f>IFERROR($P1733,PROPER(VLOOKUP($O1733,'Villes en erreur'!$A$2:$B$72,2,FALSE)))</f>
        <v>Saint-Hippolyte</v>
      </c>
      <c r="R1733" s="9" t="s">
        <v>8261</v>
      </c>
      <c r="S1733" s="9" t="str">
        <f>IF(ISBLANK($R1733),"",VLOOKUP($R1733,'Liste des Villes'!$B$2:$H$1128,4,FALSE))</f>
        <v>Laurentides</v>
      </c>
      <c r="T1733" s="2" t="s">
        <v>8310</v>
      </c>
      <c r="U1733" s="2" t="s">
        <v>39</v>
      </c>
      <c r="V1733" s="2" t="s">
        <v>40</v>
      </c>
      <c r="W1733" s="2" t="s">
        <v>8359</v>
      </c>
      <c r="X1733" s="2"/>
      <c r="Y1733" s="2"/>
      <c r="Z1733" s="2"/>
      <c r="AA1733" s="2" t="s">
        <v>832</v>
      </c>
      <c r="AB1733" s="2" t="s">
        <v>73</v>
      </c>
      <c r="AC1733" s="4" t="s">
        <v>44</v>
      </c>
    </row>
    <row r="1734" spans="1:29" x14ac:dyDescent="0.25">
      <c r="A1734" s="1">
        <v>996</v>
      </c>
      <c r="B1734" s="17" t="s">
        <v>8360</v>
      </c>
      <c r="C1734" s="2" t="s">
        <v>8361</v>
      </c>
      <c r="D1734" s="15" t="s">
        <v>2233</v>
      </c>
      <c r="E1734" s="9" t="s">
        <v>137</v>
      </c>
      <c r="F1734" s="9" t="s">
        <v>8362</v>
      </c>
      <c r="G1734" s="9" t="s">
        <v>4231</v>
      </c>
      <c r="H1734" s="2" t="s">
        <v>60</v>
      </c>
      <c r="I1734" s="3">
        <v>36294</v>
      </c>
      <c r="J1734" s="9" t="str">
        <f t="shared" ca="1" si="29"/>
        <v>24 ans</v>
      </c>
      <c r="K1734" s="2" t="s">
        <v>123</v>
      </c>
      <c r="L1734" s="2" t="str">
        <f>"292"</f>
        <v>292</v>
      </c>
      <c r="M1734" s="2"/>
      <c r="N1734" s="2" t="str">
        <f>"RUE BRASSARD"</f>
        <v>RUE BRASSARD</v>
      </c>
      <c r="O1734" s="2" t="s">
        <v>8260</v>
      </c>
      <c r="P1734" s="9" t="str">
        <f>VLOOKUP($O1734,'Liste des Villes'!$B$2:$B$1128,1,FALSE)</f>
        <v>Saint-Hippolyte</v>
      </c>
      <c r="Q1734" s="9" t="str">
        <f>IFERROR($P1734,PROPER(VLOOKUP($O1734,'Villes en erreur'!$A$2:$B$72,2,FALSE)))</f>
        <v>Saint-Hippolyte</v>
      </c>
      <c r="R1734" s="9" t="s">
        <v>8261</v>
      </c>
      <c r="S1734" s="9" t="str">
        <f>IF(ISBLANK($R1734),"",VLOOKUP($R1734,'Liste des Villes'!$B$2:$H$1128,4,FALSE))</f>
        <v>Laurentides</v>
      </c>
      <c r="T1734" s="2" t="s">
        <v>8363</v>
      </c>
      <c r="U1734" s="2" t="s">
        <v>39</v>
      </c>
      <c r="V1734" s="2" t="s">
        <v>40</v>
      </c>
      <c r="W1734" s="2" t="s">
        <v>8364</v>
      </c>
      <c r="X1734" s="2"/>
      <c r="Y1734" s="2"/>
      <c r="Z1734" s="2"/>
      <c r="AA1734" s="2" t="s">
        <v>832</v>
      </c>
      <c r="AB1734" s="2" t="s">
        <v>73</v>
      </c>
      <c r="AC1734" s="4" t="s">
        <v>44</v>
      </c>
    </row>
    <row r="1735" spans="1:29" x14ac:dyDescent="0.25">
      <c r="A1735" s="1">
        <v>74</v>
      </c>
      <c r="B1735" s="17" t="s">
        <v>8365</v>
      </c>
      <c r="C1735" s="2" t="s">
        <v>6681</v>
      </c>
      <c r="D1735" s="15" t="s">
        <v>6682</v>
      </c>
      <c r="E1735" s="9" t="s">
        <v>219</v>
      </c>
      <c r="F1735" s="9" t="s">
        <v>6583</v>
      </c>
      <c r="G1735" s="9" t="s">
        <v>2107</v>
      </c>
      <c r="H1735" s="2" t="s">
        <v>60</v>
      </c>
      <c r="I1735" s="3">
        <v>36327</v>
      </c>
      <c r="J1735" s="9" t="str">
        <f t="shared" ca="1" si="29"/>
        <v>24 ans</v>
      </c>
      <c r="K1735" s="2" t="s">
        <v>123</v>
      </c>
      <c r="L1735" s="2" t="str">
        <f>"308"</f>
        <v>308</v>
      </c>
      <c r="M1735" s="2"/>
      <c r="N1735" s="2" t="str">
        <f>"RUE CAMUS"</f>
        <v>RUE CAMUS</v>
      </c>
      <c r="O1735" s="2" t="s">
        <v>8260</v>
      </c>
      <c r="P1735" s="9" t="str">
        <f>VLOOKUP($O1735,'Liste des Villes'!$B$2:$B$1128,1,FALSE)</f>
        <v>Saint-Hippolyte</v>
      </c>
      <c r="Q1735" s="9" t="str">
        <f>IFERROR($P1735,PROPER(VLOOKUP($O1735,'Villes en erreur'!$A$2:$B$72,2,FALSE)))</f>
        <v>Saint-Hippolyte</v>
      </c>
      <c r="R1735" s="9" t="s">
        <v>8261</v>
      </c>
      <c r="S1735" s="9" t="str">
        <f>IF(ISBLANK($R1735),"",VLOOKUP($R1735,'Liste des Villes'!$B$2:$H$1128,4,FALSE))</f>
        <v>Laurentides</v>
      </c>
      <c r="T1735" s="2" t="s">
        <v>8366</v>
      </c>
      <c r="U1735" s="2" t="s">
        <v>39</v>
      </c>
      <c r="V1735" s="2" t="s">
        <v>40</v>
      </c>
      <c r="W1735" s="2" t="s">
        <v>8367</v>
      </c>
      <c r="X1735" s="2"/>
      <c r="Y1735" s="2"/>
      <c r="Z1735" s="2"/>
      <c r="AA1735" s="2" t="s">
        <v>127</v>
      </c>
      <c r="AB1735" s="2" t="s">
        <v>73</v>
      </c>
      <c r="AC1735" s="4" t="s">
        <v>44</v>
      </c>
    </row>
    <row r="1736" spans="1:29" x14ac:dyDescent="0.25">
      <c r="A1736" s="1">
        <v>619</v>
      </c>
      <c r="B1736" s="17" t="s">
        <v>8368</v>
      </c>
      <c r="C1736" s="2" t="s">
        <v>8369</v>
      </c>
      <c r="D1736" s="15" t="s">
        <v>8370</v>
      </c>
      <c r="E1736" s="9" t="s">
        <v>956</v>
      </c>
      <c r="F1736" s="9" t="s">
        <v>1959</v>
      </c>
      <c r="G1736" s="9" t="s">
        <v>389</v>
      </c>
      <c r="H1736" s="2" t="s">
        <v>60</v>
      </c>
      <c r="I1736" s="3">
        <v>36285</v>
      </c>
      <c r="J1736" s="9" t="str">
        <f t="shared" ca="1" si="29"/>
        <v>24 ans</v>
      </c>
      <c r="K1736" s="2" t="s">
        <v>123</v>
      </c>
      <c r="L1736" s="2" t="str">
        <f>"289"</f>
        <v>289</v>
      </c>
      <c r="M1736" s="2"/>
      <c r="N1736" s="2" t="str">
        <f>"RUE BOYER"</f>
        <v>RUE BOYER</v>
      </c>
      <c r="O1736" s="2" t="s">
        <v>8260</v>
      </c>
      <c r="P1736" s="9" t="str">
        <f>VLOOKUP($O1736,'Liste des Villes'!$B$2:$B$1128,1,FALSE)</f>
        <v>Saint-Hippolyte</v>
      </c>
      <c r="Q1736" s="9" t="str">
        <f>IFERROR($P1736,PROPER(VLOOKUP($O1736,'Villes en erreur'!$A$2:$B$72,2,FALSE)))</f>
        <v>Saint-Hippolyte</v>
      </c>
      <c r="R1736" s="9" t="s">
        <v>8261</v>
      </c>
      <c r="S1736" s="9" t="str">
        <f>IF(ISBLANK($R1736),"",VLOOKUP($R1736,'Liste des Villes'!$B$2:$H$1128,4,FALSE))</f>
        <v>Laurentides</v>
      </c>
      <c r="T1736" s="2" t="s">
        <v>8314</v>
      </c>
      <c r="U1736" s="2" t="s">
        <v>39</v>
      </c>
      <c r="V1736" s="2" t="s">
        <v>40</v>
      </c>
      <c r="W1736" s="2" t="s">
        <v>8371</v>
      </c>
      <c r="X1736" s="2"/>
      <c r="Y1736" s="2"/>
      <c r="Z1736" s="2"/>
      <c r="AA1736" s="2" t="s">
        <v>832</v>
      </c>
      <c r="AB1736" s="2" t="s">
        <v>73</v>
      </c>
      <c r="AC1736" s="4" t="s">
        <v>44</v>
      </c>
    </row>
    <row r="1737" spans="1:29" x14ac:dyDescent="0.25">
      <c r="A1737" s="1">
        <v>4028</v>
      </c>
      <c r="B1737" s="17" t="s">
        <v>8372</v>
      </c>
      <c r="C1737" s="2" t="s">
        <v>1793</v>
      </c>
      <c r="D1737" s="15" t="s">
        <v>349</v>
      </c>
      <c r="E1737" s="9" t="s">
        <v>622</v>
      </c>
      <c r="F1737" s="9" t="s">
        <v>1794</v>
      </c>
      <c r="G1737" s="9" t="s">
        <v>389</v>
      </c>
      <c r="H1737" s="2" t="s">
        <v>60</v>
      </c>
      <c r="I1737" s="3">
        <v>36280</v>
      </c>
      <c r="J1737" s="9" t="str">
        <f t="shared" ca="1" si="29"/>
        <v>24 ans</v>
      </c>
      <c r="K1737" s="2" t="s">
        <v>123</v>
      </c>
      <c r="L1737" s="2" t="str">
        <f>"286"</f>
        <v>286</v>
      </c>
      <c r="M1737" s="2"/>
      <c r="N1737" s="2" t="str">
        <f>"rue Bouchard-Lavallée"</f>
        <v>rue Bouchard-Lavallée</v>
      </c>
      <c r="O1737" s="2" t="s">
        <v>8260</v>
      </c>
      <c r="P1737" s="9" t="str">
        <f>VLOOKUP($O1737,'Liste des Villes'!$B$2:$B$1128,1,FALSE)</f>
        <v>Saint-Hippolyte</v>
      </c>
      <c r="Q1737" s="9" t="str">
        <f>IFERROR($P1737,PROPER(VLOOKUP($O1737,'Villes en erreur'!$A$2:$B$72,2,FALSE)))</f>
        <v>Saint-Hippolyte</v>
      </c>
      <c r="R1737" s="9" t="s">
        <v>8261</v>
      </c>
      <c r="S1737" s="9" t="str">
        <f>IF(ISBLANK($R1737),"",VLOOKUP($R1737,'Liste des Villes'!$B$2:$H$1128,4,FALSE))</f>
        <v>Laurentides</v>
      </c>
      <c r="T1737" s="2" t="s">
        <v>8280</v>
      </c>
      <c r="U1737" s="2" t="s">
        <v>39</v>
      </c>
      <c r="V1737" s="2" t="s">
        <v>40</v>
      </c>
      <c r="W1737" s="2" t="s">
        <v>8373</v>
      </c>
      <c r="X1737" s="2"/>
      <c r="Y1737" s="2"/>
      <c r="Z1737" s="2"/>
      <c r="AA1737" s="2" t="s">
        <v>832</v>
      </c>
      <c r="AB1737" s="2" t="s">
        <v>73</v>
      </c>
      <c r="AC1737" s="4" t="s">
        <v>44</v>
      </c>
    </row>
    <row r="1738" spans="1:29" x14ac:dyDescent="0.25">
      <c r="A1738" s="1">
        <v>3813</v>
      </c>
      <c r="B1738" s="17" t="s">
        <v>8374</v>
      </c>
      <c r="C1738" s="2" t="s">
        <v>8375</v>
      </c>
      <c r="D1738" s="15" t="s">
        <v>6983</v>
      </c>
      <c r="E1738" s="9" t="s">
        <v>3265</v>
      </c>
      <c r="F1738" s="9" t="s">
        <v>2280</v>
      </c>
      <c r="G1738" s="9" t="s">
        <v>5315</v>
      </c>
      <c r="H1738" s="2" t="s">
        <v>60</v>
      </c>
      <c r="I1738" s="3">
        <v>36298</v>
      </c>
      <c r="J1738" s="9" t="str">
        <f t="shared" ca="1" si="29"/>
        <v>24 ans</v>
      </c>
      <c r="K1738" s="2" t="s">
        <v>123</v>
      </c>
      <c r="L1738" s="2" t="str">
        <f>"295"</f>
        <v>295</v>
      </c>
      <c r="M1738" s="2"/>
      <c r="N1738" s="2" t="str">
        <f>"RUE BRÉBEUF"</f>
        <v>RUE BRÉBEUF</v>
      </c>
      <c r="O1738" s="2" t="s">
        <v>8260</v>
      </c>
      <c r="P1738" s="9" t="str">
        <f>VLOOKUP($O1738,'Liste des Villes'!$B$2:$B$1128,1,FALSE)</f>
        <v>Saint-Hippolyte</v>
      </c>
      <c r="Q1738" s="9" t="str">
        <f>IFERROR($P1738,PROPER(VLOOKUP($O1738,'Villes en erreur'!$A$2:$B$72,2,FALSE)))</f>
        <v>Saint-Hippolyte</v>
      </c>
      <c r="R1738" s="9" t="s">
        <v>8261</v>
      </c>
      <c r="S1738" s="9" t="str">
        <f>IF(ISBLANK($R1738),"",VLOOKUP($R1738,'Liste des Villes'!$B$2:$H$1128,4,FALSE))</f>
        <v>Laurentides</v>
      </c>
      <c r="T1738" s="2" t="s">
        <v>8376</v>
      </c>
      <c r="U1738" s="2" t="s">
        <v>39</v>
      </c>
      <c r="V1738" s="2" t="s">
        <v>40</v>
      </c>
      <c r="W1738" s="2" t="s">
        <v>8377</v>
      </c>
      <c r="X1738" s="2"/>
      <c r="Y1738" s="2"/>
      <c r="Z1738" s="2"/>
      <c r="AA1738" s="2" t="s">
        <v>832</v>
      </c>
      <c r="AB1738" s="2" t="s">
        <v>73</v>
      </c>
      <c r="AC1738" s="4" t="s">
        <v>44</v>
      </c>
    </row>
    <row r="1739" spans="1:29" x14ac:dyDescent="0.25">
      <c r="A1739" s="1">
        <v>1268</v>
      </c>
      <c r="B1739" s="17" t="s">
        <v>8378</v>
      </c>
      <c r="C1739" s="2" t="s">
        <v>8379</v>
      </c>
      <c r="D1739" s="15" t="s">
        <v>8380</v>
      </c>
      <c r="E1739" s="9" t="s">
        <v>389</v>
      </c>
      <c r="F1739" s="9" t="s">
        <v>8381</v>
      </c>
      <c r="G1739" s="9" t="s">
        <v>404</v>
      </c>
      <c r="H1739" s="2" t="s">
        <v>35</v>
      </c>
      <c r="I1739" s="3">
        <v>36340</v>
      </c>
      <c r="J1739" s="9" t="str">
        <f t="shared" ca="1" si="29"/>
        <v>24 ans</v>
      </c>
      <c r="K1739" s="2" t="s">
        <v>123</v>
      </c>
      <c r="L1739" s="2" t="str">
        <f>"313"</f>
        <v>313</v>
      </c>
      <c r="M1739" s="2"/>
      <c r="N1739" s="2" t="str">
        <f>"RUE CASTONGUAY"</f>
        <v>RUE CASTONGUAY</v>
      </c>
      <c r="O1739" s="2" t="s">
        <v>8260</v>
      </c>
      <c r="P1739" s="9" t="str">
        <f>VLOOKUP($O1739,'Liste des Villes'!$B$2:$B$1128,1,FALSE)</f>
        <v>Saint-Hippolyte</v>
      </c>
      <c r="Q1739" s="9" t="str">
        <f>IFERROR($P1739,PROPER(VLOOKUP($O1739,'Villes en erreur'!$A$2:$B$72,2,FALSE)))</f>
        <v>Saint-Hippolyte</v>
      </c>
      <c r="R1739" s="9" t="s">
        <v>8261</v>
      </c>
      <c r="S1739" s="9" t="str">
        <f>IF(ISBLANK($R1739),"",VLOOKUP($R1739,'Liste des Villes'!$B$2:$H$1128,4,FALSE))</f>
        <v>Laurentides</v>
      </c>
      <c r="T1739" s="2" t="s">
        <v>8382</v>
      </c>
      <c r="U1739" s="2" t="s">
        <v>39</v>
      </c>
      <c r="V1739" s="2" t="s">
        <v>40</v>
      </c>
      <c r="W1739" s="2" t="s">
        <v>8383</v>
      </c>
      <c r="X1739" s="2"/>
      <c r="Y1739" s="2"/>
      <c r="Z1739" s="2"/>
      <c r="AA1739" s="2" t="s">
        <v>127</v>
      </c>
      <c r="AB1739" s="2" t="s">
        <v>73</v>
      </c>
      <c r="AC1739" s="4" t="s">
        <v>44</v>
      </c>
    </row>
    <row r="1740" spans="1:29" x14ac:dyDescent="0.25">
      <c r="A1740" s="1">
        <v>1242</v>
      </c>
      <c r="B1740" s="17" t="s">
        <v>8384</v>
      </c>
      <c r="C1740" s="2" t="s">
        <v>8385</v>
      </c>
      <c r="D1740" s="15" t="s">
        <v>3252</v>
      </c>
      <c r="E1740" s="9" t="s">
        <v>3649</v>
      </c>
      <c r="F1740" s="9" t="s">
        <v>3250</v>
      </c>
      <c r="G1740" s="9" t="s">
        <v>4231</v>
      </c>
      <c r="H1740" s="2" t="s">
        <v>60</v>
      </c>
      <c r="I1740" s="3">
        <v>36292</v>
      </c>
      <c r="J1740" s="9" t="str">
        <f t="shared" ca="1" si="29"/>
        <v>24 ans</v>
      </c>
      <c r="K1740" s="2" t="s">
        <v>123</v>
      </c>
      <c r="L1740" s="2" t="str">
        <f>"291"</f>
        <v>291</v>
      </c>
      <c r="M1740" s="2"/>
      <c r="N1740" s="2" t="str">
        <f>"RUE BRASSARD"</f>
        <v>RUE BRASSARD</v>
      </c>
      <c r="O1740" s="2" t="s">
        <v>8260</v>
      </c>
      <c r="P1740" s="9" t="str">
        <f>VLOOKUP($O1740,'Liste des Villes'!$B$2:$B$1128,1,FALSE)</f>
        <v>Saint-Hippolyte</v>
      </c>
      <c r="Q1740" s="9" t="str">
        <f>IFERROR($P1740,PROPER(VLOOKUP($O1740,'Villes en erreur'!$A$2:$B$72,2,FALSE)))</f>
        <v>Saint-Hippolyte</v>
      </c>
      <c r="R1740" s="9" t="s">
        <v>8261</v>
      </c>
      <c r="S1740" s="9" t="str">
        <f>IF(ISBLANK($R1740),"",VLOOKUP($R1740,'Liste des Villes'!$B$2:$H$1128,4,FALSE))</f>
        <v>Laurentides</v>
      </c>
      <c r="T1740" s="2" t="s">
        <v>8386</v>
      </c>
      <c r="U1740" s="2" t="s">
        <v>39</v>
      </c>
      <c r="V1740" s="2" t="s">
        <v>40</v>
      </c>
      <c r="W1740" s="2" t="s">
        <v>8387</v>
      </c>
      <c r="X1740" s="2"/>
      <c r="Y1740" s="2"/>
      <c r="Z1740" s="2"/>
      <c r="AA1740" s="2" t="s">
        <v>832</v>
      </c>
      <c r="AB1740" s="2" t="s">
        <v>73</v>
      </c>
      <c r="AC1740" s="4" t="s">
        <v>44</v>
      </c>
    </row>
    <row r="1741" spans="1:29" x14ac:dyDescent="0.25">
      <c r="A1741" s="1">
        <v>1934</v>
      </c>
      <c r="B1741" s="17" t="s">
        <v>8388</v>
      </c>
      <c r="C1741" s="2" t="s">
        <v>8389</v>
      </c>
      <c r="D1741" s="15" t="s">
        <v>1565</v>
      </c>
      <c r="E1741" s="9" t="s">
        <v>549</v>
      </c>
      <c r="F1741" s="9" t="s">
        <v>1564</v>
      </c>
      <c r="G1741" s="9" t="s">
        <v>107</v>
      </c>
      <c r="H1741" s="2" t="s">
        <v>60</v>
      </c>
      <c r="I1741" s="3">
        <v>36307</v>
      </c>
      <c r="J1741" s="9" t="str">
        <f t="shared" ca="1" si="29"/>
        <v>24 ans</v>
      </c>
      <c r="K1741" s="2" t="s">
        <v>123</v>
      </c>
      <c r="L1741" s="2" t="str">
        <f>"300"</f>
        <v>300</v>
      </c>
      <c r="M1741" s="2"/>
      <c r="N1741" s="2" t="str">
        <f>"RUE BROSSEAU"</f>
        <v>RUE BROSSEAU</v>
      </c>
      <c r="O1741" s="2" t="s">
        <v>8260</v>
      </c>
      <c r="P1741" s="9" t="str">
        <f>VLOOKUP($O1741,'Liste des Villes'!$B$2:$B$1128,1,FALSE)</f>
        <v>Saint-Hippolyte</v>
      </c>
      <c r="Q1741" s="9" t="str">
        <f>IFERROR($P1741,PROPER(VLOOKUP($O1741,'Villes en erreur'!$A$2:$B$72,2,FALSE)))</f>
        <v>Saint-Hippolyte</v>
      </c>
      <c r="R1741" s="9" t="s">
        <v>8261</v>
      </c>
      <c r="S1741" s="9" t="str">
        <f>IF(ISBLANK($R1741),"",VLOOKUP($R1741,'Liste des Villes'!$B$2:$H$1128,4,FALSE))</f>
        <v>Laurentides</v>
      </c>
      <c r="T1741" s="2" t="s">
        <v>8390</v>
      </c>
      <c r="U1741" s="2" t="s">
        <v>39</v>
      </c>
      <c r="V1741" s="2" t="s">
        <v>40</v>
      </c>
      <c r="W1741" s="2" t="s">
        <v>8391</v>
      </c>
      <c r="X1741" s="2"/>
      <c r="Y1741" s="2"/>
      <c r="Z1741" s="2"/>
      <c r="AA1741" s="2" t="s">
        <v>832</v>
      </c>
      <c r="AB1741" s="2" t="s">
        <v>73</v>
      </c>
      <c r="AC1741" s="4" t="s">
        <v>44</v>
      </c>
    </row>
    <row r="1742" spans="1:29" x14ac:dyDescent="0.25">
      <c r="A1742" s="1">
        <v>3075</v>
      </c>
      <c r="B1742" s="17" t="s">
        <v>8392</v>
      </c>
      <c r="C1742" s="2" t="s">
        <v>1733</v>
      </c>
      <c r="D1742" s="15" t="s">
        <v>100</v>
      </c>
      <c r="E1742" s="9" t="s">
        <v>122</v>
      </c>
      <c r="F1742" s="9" t="s">
        <v>8393</v>
      </c>
      <c r="G1742" s="9" t="s">
        <v>107</v>
      </c>
      <c r="H1742" s="2" t="s">
        <v>60</v>
      </c>
      <c r="I1742" s="3">
        <v>36315</v>
      </c>
      <c r="J1742" s="9" t="str">
        <f t="shared" ca="1" si="29"/>
        <v>24 ans</v>
      </c>
      <c r="K1742" s="2" t="s">
        <v>123</v>
      </c>
      <c r="L1742" s="2" t="str">
        <f>"305"</f>
        <v>305</v>
      </c>
      <c r="M1742" s="2"/>
      <c r="N1742" s="2" t="str">
        <f>"RUE CALIXA-LAVALLÉE"</f>
        <v>RUE CALIXA-LAVALLÉE</v>
      </c>
      <c r="O1742" s="2" t="s">
        <v>8260</v>
      </c>
      <c r="P1742" s="9" t="str">
        <f>VLOOKUP($O1742,'Liste des Villes'!$B$2:$B$1128,1,FALSE)</f>
        <v>Saint-Hippolyte</v>
      </c>
      <c r="Q1742" s="9" t="str">
        <f>IFERROR($P1742,PROPER(VLOOKUP($O1742,'Villes en erreur'!$A$2:$B$72,2,FALSE)))</f>
        <v>Saint-Hippolyte</v>
      </c>
      <c r="R1742" s="9" t="s">
        <v>8261</v>
      </c>
      <c r="S1742" s="9" t="str">
        <f>IF(ISBLANK($R1742),"",VLOOKUP($R1742,'Liste des Villes'!$B$2:$H$1128,4,FALSE))</f>
        <v>Laurentides</v>
      </c>
      <c r="T1742" s="2" t="s">
        <v>8394</v>
      </c>
      <c r="U1742" s="2" t="s">
        <v>39</v>
      </c>
      <c r="V1742" s="2" t="s">
        <v>40</v>
      </c>
      <c r="W1742" s="2" t="s">
        <v>8395</v>
      </c>
      <c r="X1742" s="2"/>
      <c r="Y1742" s="2"/>
      <c r="Z1742" s="2"/>
      <c r="AA1742" s="2" t="s">
        <v>832</v>
      </c>
      <c r="AB1742" s="2" t="s">
        <v>73</v>
      </c>
      <c r="AC1742" s="4" t="s">
        <v>44</v>
      </c>
    </row>
    <row r="1743" spans="1:29" x14ac:dyDescent="0.25">
      <c r="A1743" s="1">
        <v>2778</v>
      </c>
      <c r="B1743" s="17" t="s">
        <v>8396</v>
      </c>
      <c r="C1743" s="2" t="s">
        <v>8397</v>
      </c>
      <c r="D1743" s="15" t="s">
        <v>8398</v>
      </c>
      <c r="E1743" s="9" t="s">
        <v>8399</v>
      </c>
      <c r="F1743" s="9" t="s">
        <v>3788</v>
      </c>
      <c r="G1743" s="9" t="s">
        <v>107</v>
      </c>
      <c r="H1743" s="2" t="s">
        <v>60</v>
      </c>
      <c r="I1743" s="3">
        <v>36315</v>
      </c>
      <c r="J1743" s="9" t="str">
        <f t="shared" ca="1" si="29"/>
        <v>24 ans</v>
      </c>
      <c r="K1743" s="2" t="s">
        <v>123</v>
      </c>
      <c r="L1743" s="2" t="str">
        <f>"304"</f>
        <v>304</v>
      </c>
      <c r="M1743" s="2"/>
      <c r="N1743" s="2" t="str">
        <f>"RUE CALIXA-LAVALLÉE"</f>
        <v>RUE CALIXA-LAVALLÉE</v>
      </c>
      <c r="O1743" s="2" t="s">
        <v>8260</v>
      </c>
      <c r="P1743" s="9" t="str">
        <f>VLOOKUP($O1743,'Liste des Villes'!$B$2:$B$1128,1,FALSE)</f>
        <v>Saint-Hippolyte</v>
      </c>
      <c r="Q1743" s="9" t="str">
        <f>IFERROR($P1743,PROPER(VLOOKUP($O1743,'Villes en erreur'!$A$2:$B$72,2,FALSE)))</f>
        <v>Saint-Hippolyte</v>
      </c>
      <c r="R1743" s="9" t="s">
        <v>8261</v>
      </c>
      <c r="S1743" s="9" t="str">
        <f>IF(ISBLANK($R1743),"",VLOOKUP($R1743,'Liste des Villes'!$B$2:$H$1128,4,FALSE))</f>
        <v>Laurentides</v>
      </c>
      <c r="T1743" s="2" t="s">
        <v>8400</v>
      </c>
      <c r="U1743" s="2" t="s">
        <v>39</v>
      </c>
      <c r="V1743" s="2" t="s">
        <v>40</v>
      </c>
      <c r="W1743" s="2" t="s">
        <v>8401</v>
      </c>
      <c r="X1743" s="2"/>
      <c r="Y1743" s="2"/>
      <c r="Z1743" s="2"/>
      <c r="AA1743" s="2" t="s">
        <v>832</v>
      </c>
      <c r="AB1743" s="2" t="s">
        <v>73</v>
      </c>
      <c r="AC1743" s="4" t="s">
        <v>44</v>
      </c>
    </row>
    <row r="1744" spans="1:29" x14ac:dyDescent="0.25">
      <c r="A1744" s="1">
        <v>2342</v>
      </c>
      <c r="B1744" s="17" t="s">
        <v>8402</v>
      </c>
      <c r="C1744" s="2" t="s">
        <v>5346</v>
      </c>
      <c r="D1744" s="15" t="s">
        <v>982</v>
      </c>
      <c r="E1744" s="9" t="s">
        <v>370</v>
      </c>
      <c r="F1744" s="9" t="s">
        <v>8403</v>
      </c>
      <c r="G1744" s="9" t="s">
        <v>4231</v>
      </c>
      <c r="H1744" s="2" t="s">
        <v>60</v>
      </c>
      <c r="I1744" s="3">
        <v>36294</v>
      </c>
      <c r="J1744" s="9" t="str">
        <f t="shared" ca="1" si="29"/>
        <v>24 ans</v>
      </c>
      <c r="K1744" s="2" t="s">
        <v>123</v>
      </c>
      <c r="L1744" s="2" t="str">
        <f>"292"</f>
        <v>292</v>
      </c>
      <c r="M1744" s="2"/>
      <c r="N1744" s="2" t="str">
        <f>"RUE BRASSENS"</f>
        <v>RUE BRASSENS</v>
      </c>
      <c r="O1744" s="2" t="s">
        <v>8260</v>
      </c>
      <c r="P1744" s="9" t="str">
        <f>VLOOKUP($O1744,'Liste des Villes'!$B$2:$B$1128,1,FALSE)</f>
        <v>Saint-Hippolyte</v>
      </c>
      <c r="Q1744" s="9" t="str">
        <f>IFERROR($P1744,PROPER(VLOOKUP($O1744,'Villes en erreur'!$A$2:$B$72,2,FALSE)))</f>
        <v>Saint-Hippolyte</v>
      </c>
      <c r="R1744" s="9" t="s">
        <v>8261</v>
      </c>
      <c r="S1744" s="9" t="str">
        <f>IF(ISBLANK($R1744),"",VLOOKUP($R1744,'Liste des Villes'!$B$2:$H$1128,4,FALSE))</f>
        <v>Laurentides</v>
      </c>
      <c r="T1744" s="2" t="s">
        <v>8363</v>
      </c>
      <c r="U1744" s="2" t="s">
        <v>39</v>
      </c>
      <c r="V1744" s="2" t="s">
        <v>40</v>
      </c>
      <c r="W1744" s="2" t="s">
        <v>8404</v>
      </c>
      <c r="X1744" s="2"/>
      <c r="Y1744" s="2"/>
      <c r="Z1744" s="2"/>
      <c r="AA1744" s="2" t="s">
        <v>832</v>
      </c>
      <c r="AB1744" s="2" t="s">
        <v>73</v>
      </c>
      <c r="AC1744" s="4" t="s">
        <v>44</v>
      </c>
    </row>
    <row r="1745" spans="1:29" x14ac:dyDescent="0.25">
      <c r="A1745" s="1">
        <v>4520</v>
      </c>
      <c r="B1745" s="17" t="s">
        <v>8405</v>
      </c>
      <c r="C1745" s="2" t="s">
        <v>8406</v>
      </c>
      <c r="D1745" s="15" t="s">
        <v>562</v>
      </c>
      <c r="E1745" s="9" t="s">
        <v>8407</v>
      </c>
      <c r="F1745" s="9" t="s">
        <v>8408</v>
      </c>
      <c r="G1745" s="9" t="s">
        <v>6430</v>
      </c>
      <c r="H1745" s="2" t="s">
        <v>35</v>
      </c>
      <c r="I1745" s="3">
        <v>36338</v>
      </c>
      <c r="J1745" s="9" t="str">
        <f t="shared" ca="1" si="29"/>
        <v>24 ans</v>
      </c>
      <c r="K1745" s="2" t="s">
        <v>123</v>
      </c>
      <c r="L1745" s="2" t="str">
        <f>"311"</f>
        <v>311</v>
      </c>
      <c r="M1745" s="2"/>
      <c r="N1745" s="2" t="str">
        <f>"RUE CARUSO"</f>
        <v>RUE CARUSO</v>
      </c>
      <c r="O1745" s="2" t="s">
        <v>8260</v>
      </c>
      <c r="P1745" s="9" t="str">
        <f>VLOOKUP($O1745,'Liste des Villes'!$B$2:$B$1128,1,FALSE)</f>
        <v>Saint-Hippolyte</v>
      </c>
      <c r="Q1745" s="9" t="str">
        <f>IFERROR($P1745,PROPER(VLOOKUP($O1745,'Villes en erreur'!$A$2:$B$72,2,FALSE)))</f>
        <v>Saint-Hippolyte</v>
      </c>
      <c r="R1745" s="9" t="s">
        <v>8261</v>
      </c>
      <c r="S1745" s="9" t="str">
        <f>IF(ISBLANK($R1745),"",VLOOKUP($R1745,'Liste des Villes'!$B$2:$H$1128,4,FALSE))</f>
        <v>Laurentides</v>
      </c>
      <c r="T1745" s="2" t="s">
        <v>8409</v>
      </c>
      <c r="U1745" s="2" t="s">
        <v>39</v>
      </c>
      <c r="V1745" s="2" t="s">
        <v>40</v>
      </c>
      <c r="W1745" s="2" t="s">
        <v>8410</v>
      </c>
      <c r="X1745" s="2"/>
      <c r="Y1745" s="2"/>
      <c r="Z1745" s="2"/>
      <c r="AA1745" s="2" t="s">
        <v>127</v>
      </c>
      <c r="AB1745" s="2" t="s">
        <v>73</v>
      </c>
      <c r="AC1745" s="4" t="s">
        <v>44</v>
      </c>
    </row>
    <row r="1746" spans="1:29" x14ac:dyDescent="0.25">
      <c r="A1746" s="1">
        <v>1824</v>
      </c>
      <c r="B1746" s="17" t="s">
        <v>8411</v>
      </c>
      <c r="C1746" s="2" t="s">
        <v>8412</v>
      </c>
      <c r="D1746" s="15" t="s">
        <v>8413</v>
      </c>
      <c r="E1746" s="9" t="s">
        <v>354</v>
      </c>
      <c r="F1746" s="9" t="s">
        <v>8414</v>
      </c>
      <c r="G1746" s="9" t="s">
        <v>1553</v>
      </c>
      <c r="H1746" s="2" t="s">
        <v>60</v>
      </c>
      <c r="I1746" s="3">
        <v>36271</v>
      </c>
      <c r="J1746" s="9" t="str">
        <f t="shared" ca="1" si="29"/>
        <v>24 ans</v>
      </c>
      <c r="K1746" s="2" t="s">
        <v>123</v>
      </c>
      <c r="L1746" s="2" t="str">
        <f>"277"</f>
        <v>277</v>
      </c>
      <c r="M1746" s="2"/>
      <c r="N1746" s="2" t="str">
        <f>"RUE BLERIOT"</f>
        <v>RUE BLERIOT</v>
      </c>
      <c r="O1746" s="2" t="s">
        <v>8260</v>
      </c>
      <c r="P1746" s="9" t="str">
        <f>VLOOKUP($O1746,'Liste des Villes'!$B$2:$B$1128,1,FALSE)</f>
        <v>Saint-Hippolyte</v>
      </c>
      <c r="Q1746" s="9" t="str">
        <f>IFERROR($P1746,PROPER(VLOOKUP($O1746,'Villes en erreur'!$A$2:$B$72,2,FALSE)))</f>
        <v>Saint-Hippolyte</v>
      </c>
      <c r="R1746" s="9" t="s">
        <v>8261</v>
      </c>
      <c r="S1746" s="9" t="str">
        <f>IF(ISBLANK($R1746),"",VLOOKUP($R1746,'Liste des Villes'!$B$2:$H$1128,4,FALSE))</f>
        <v>Laurentides</v>
      </c>
      <c r="T1746" s="2" t="s">
        <v>8415</v>
      </c>
      <c r="U1746" s="2" t="s">
        <v>39</v>
      </c>
      <c r="V1746" s="2" t="s">
        <v>40</v>
      </c>
      <c r="W1746" s="2" t="s">
        <v>8416</v>
      </c>
      <c r="X1746" s="2"/>
      <c r="Y1746" s="2"/>
      <c r="Z1746" s="2"/>
      <c r="AA1746" s="2" t="s">
        <v>832</v>
      </c>
      <c r="AB1746" s="2" t="s">
        <v>73</v>
      </c>
      <c r="AC1746" s="4" t="s">
        <v>44</v>
      </c>
    </row>
    <row r="1747" spans="1:29" x14ac:dyDescent="0.25">
      <c r="A1747" s="1">
        <v>357</v>
      </c>
      <c r="B1747" s="17" t="s">
        <v>8417</v>
      </c>
      <c r="C1747" s="2" t="s">
        <v>8418</v>
      </c>
      <c r="D1747" s="15" t="s">
        <v>718</v>
      </c>
      <c r="E1747" s="9" t="s">
        <v>3031</v>
      </c>
      <c r="F1747" s="9" t="s">
        <v>6608</v>
      </c>
      <c r="G1747" s="9" t="s">
        <v>107</v>
      </c>
      <c r="H1747" s="2" t="s">
        <v>60</v>
      </c>
      <c r="I1747" s="3">
        <v>36309</v>
      </c>
      <c r="J1747" s="9" t="str">
        <f t="shared" ca="1" si="29"/>
        <v>24 ans</v>
      </c>
      <c r="K1747" s="2" t="s">
        <v>123</v>
      </c>
      <c r="L1747" s="2" t="str">
        <f>"303"</f>
        <v>303</v>
      </c>
      <c r="M1747" s="2"/>
      <c r="N1747" s="2" t="str">
        <f>"RUE BRUNO"</f>
        <v>RUE BRUNO</v>
      </c>
      <c r="O1747" s="2" t="s">
        <v>8260</v>
      </c>
      <c r="P1747" s="9" t="str">
        <f>VLOOKUP($O1747,'Liste des Villes'!$B$2:$B$1128,1,FALSE)</f>
        <v>Saint-Hippolyte</v>
      </c>
      <c r="Q1747" s="9" t="str">
        <f>IFERROR($P1747,PROPER(VLOOKUP($O1747,'Villes en erreur'!$A$2:$B$72,2,FALSE)))</f>
        <v>Saint-Hippolyte</v>
      </c>
      <c r="R1747" s="9" t="s">
        <v>8261</v>
      </c>
      <c r="S1747" s="9" t="str">
        <f>IF(ISBLANK($R1747),"",VLOOKUP($R1747,'Liste des Villes'!$B$2:$H$1128,4,FALSE))</f>
        <v>Laurentides</v>
      </c>
      <c r="T1747" s="2" t="s">
        <v>8419</v>
      </c>
      <c r="U1747" s="2" t="s">
        <v>39</v>
      </c>
      <c r="V1747" s="2" t="s">
        <v>40</v>
      </c>
      <c r="W1747" s="2" t="s">
        <v>8420</v>
      </c>
      <c r="X1747" s="2"/>
      <c r="Y1747" s="2"/>
      <c r="Z1747" s="2"/>
      <c r="AA1747" s="2" t="s">
        <v>832</v>
      </c>
      <c r="AB1747" s="2" t="s">
        <v>73</v>
      </c>
      <c r="AC1747" s="4" t="s">
        <v>44</v>
      </c>
    </row>
    <row r="1748" spans="1:29" x14ac:dyDescent="0.25">
      <c r="A1748" s="1">
        <v>4321</v>
      </c>
      <c r="B1748" s="17" t="s">
        <v>8421</v>
      </c>
      <c r="C1748" s="2" t="s">
        <v>8422</v>
      </c>
      <c r="D1748" s="15" t="s">
        <v>8423</v>
      </c>
      <c r="E1748" s="9" t="s">
        <v>8424</v>
      </c>
      <c r="F1748" s="9" t="s">
        <v>584</v>
      </c>
      <c r="G1748" s="9" t="s">
        <v>8425</v>
      </c>
      <c r="H1748" s="2" t="s">
        <v>60</v>
      </c>
      <c r="I1748" s="3">
        <v>36274</v>
      </c>
      <c r="J1748" s="9" t="str">
        <f t="shared" ca="1" si="29"/>
        <v>24 ans</v>
      </c>
      <c r="K1748" s="2" t="s">
        <v>123</v>
      </c>
      <c r="L1748" s="2" t="str">
        <f>"281"</f>
        <v>281</v>
      </c>
      <c r="M1748" s="2"/>
      <c r="N1748" s="2" t="str">
        <f>"RUE BLONDIN"</f>
        <v>RUE BLONDIN</v>
      </c>
      <c r="O1748" s="2" t="s">
        <v>8260</v>
      </c>
      <c r="P1748" s="9" t="str">
        <f>VLOOKUP($O1748,'Liste des Villes'!$B$2:$B$1128,1,FALSE)</f>
        <v>Saint-Hippolyte</v>
      </c>
      <c r="Q1748" s="9" t="str">
        <f>IFERROR($P1748,PROPER(VLOOKUP($O1748,'Villes en erreur'!$A$2:$B$72,2,FALSE)))</f>
        <v>Saint-Hippolyte</v>
      </c>
      <c r="R1748" s="9" t="s">
        <v>8261</v>
      </c>
      <c r="S1748" s="9" t="str">
        <f>IF(ISBLANK($R1748),"",VLOOKUP($R1748,'Liste des Villes'!$B$2:$H$1128,4,FALSE))</f>
        <v>Laurentides</v>
      </c>
      <c r="T1748" s="2" t="s">
        <v>8426</v>
      </c>
      <c r="U1748" s="2" t="s">
        <v>39</v>
      </c>
      <c r="V1748" s="2" t="s">
        <v>40</v>
      </c>
      <c r="W1748" s="2" t="s">
        <v>8427</v>
      </c>
      <c r="X1748" s="2"/>
      <c r="Y1748" s="2"/>
      <c r="Z1748" s="2"/>
      <c r="AA1748" s="2" t="s">
        <v>832</v>
      </c>
      <c r="AB1748" s="2" t="s">
        <v>73</v>
      </c>
      <c r="AC1748" s="4" t="s">
        <v>44</v>
      </c>
    </row>
    <row r="1749" spans="1:29" x14ac:dyDescent="0.25">
      <c r="A1749" s="1">
        <v>2930</v>
      </c>
      <c r="B1749" s="17" t="s">
        <v>8428</v>
      </c>
      <c r="C1749" s="2" t="s">
        <v>2360</v>
      </c>
      <c r="D1749" s="15" t="s">
        <v>2115</v>
      </c>
      <c r="E1749" s="9" t="s">
        <v>195</v>
      </c>
      <c r="F1749" s="9" t="s">
        <v>4128</v>
      </c>
      <c r="G1749" s="9" t="s">
        <v>107</v>
      </c>
      <c r="H1749" s="2" t="s">
        <v>60</v>
      </c>
      <c r="I1749" s="3">
        <v>36319</v>
      </c>
      <c r="J1749" s="9" t="str">
        <f t="shared" ca="1" si="29"/>
        <v>24 ans</v>
      </c>
      <c r="K1749" s="2" t="s">
        <v>123</v>
      </c>
      <c r="L1749" s="2" t="str">
        <f>"305"</f>
        <v>305</v>
      </c>
      <c r="M1749" s="2"/>
      <c r="N1749" s="2" t="str">
        <f>"RUE CAMPEAU"</f>
        <v>RUE CAMPEAU</v>
      </c>
      <c r="O1749" s="2" t="s">
        <v>8260</v>
      </c>
      <c r="P1749" s="9" t="str">
        <f>VLOOKUP($O1749,'Liste des Villes'!$B$2:$B$1128,1,FALSE)</f>
        <v>Saint-Hippolyte</v>
      </c>
      <c r="Q1749" s="9" t="str">
        <f>IFERROR($P1749,PROPER(VLOOKUP($O1749,'Villes en erreur'!$A$2:$B$72,2,FALSE)))</f>
        <v>Saint-Hippolyte</v>
      </c>
      <c r="R1749" s="9" t="s">
        <v>8261</v>
      </c>
      <c r="S1749" s="9" t="str">
        <f>IF(ISBLANK($R1749),"",VLOOKUP($R1749,'Liste des Villes'!$B$2:$H$1128,4,FALSE))</f>
        <v>Laurentides</v>
      </c>
      <c r="T1749" s="2" t="s">
        <v>8429</v>
      </c>
      <c r="U1749" s="2" t="s">
        <v>39</v>
      </c>
      <c r="V1749" s="2" t="s">
        <v>40</v>
      </c>
      <c r="W1749" s="2" t="s">
        <v>8430</v>
      </c>
      <c r="X1749" s="2"/>
      <c r="Y1749" s="2"/>
      <c r="Z1749" s="2"/>
      <c r="AA1749" s="2" t="s">
        <v>832</v>
      </c>
      <c r="AB1749" s="2" t="s">
        <v>73</v>
      </c>
      <c r="AC1749" s="4" t="s">
        <v>44</v>
      </c>
    </row>
    <row r="1750" spans="1:29" x14ac:dyDescent="0.25">
      <c r="A1750" s="1">
        <v>4064</v>
      </c>
      <c r="B1750" s="17" t="s">
        <v>8431</v>
      </c>
      <c r="C1750" s="2" t="s">
        <v>8432</v>
      </c>
      <c r="D1750" s="15" t="s">
        <v>8433</v>
      </c>
      <c r="E1750" s="9" t="s">
        <v>8434</v>
      </c>
      <c r="F1750" s="9" t="s">
        <v>1959</v>
      </c>
      <c r="G1750" s="9" t="s">
        <v>404</v>
      </c>
      <c r="H1750" s="2" t="s">
        <v>35</v>
      </c>
      <c r="I1750" s="3">
        <v>36341</v>
      </c>
      <c r="J1750" s="9" t="str">
        <f t="shared" ca="1" si="29"/>
        <v>24 ans</v>
      </c>
      <c r="K1750" s="2" t="s">
        <v>123</v>
      </c>
      <c r="L1750" s="2" t="str">
        <f>"313"</f>
        <v>313</v>
      </c>
      <c r="M1750" s="2"/>
      <c r="N1750" s="2" t="str">
        <f>"RUE CASTONGUAY"</f>
        <v>RUE CASTONGUAY</v>
      </c>
      <c r="O1750" s="2" t="s">
        <v>8260</v>
      </c>
      <c r="P1750" s="9" t="str">
        <f>VLOOKUP($O1750,'Liste des Villes'!$B$2:$B$1128,1,FALSE)</f>
        <v>Saint-Hippolyte</v>
      </c>
      <c r="Q1750" s="9" t="str">
        <f>IFERROR($P1750,PROPER(VLOOKUP($O1750,'Villes en erreur'!$A$2:$B$72,2,FALSE)))</f>
        <v>Saint-Hippolyte</v>
      </c>
      <c r="R1750" s="9" t="s">
        <v>8261</v>
      </c>
      <c r="S1750" s="9" t="str">
        <f>IF(ISBLANK($R1750),"",VLOOKUP($R1750,'Liste des Villes'!$B$2:$H$1128,4,FALSE))</f>
        <v>Laurentides</v>
      </c>
      <c r="T1750" s="2" t="s">
        <v>8382</v>
      </c>
      <c r="U1750" s="2" t="s">
        <v>39</v>
      </c>
      <c r="V1750" s="2" t="s">
        <v>40</v>
      </c>
      <c r="W1750" s="2" t="s">
        <v>8435</v>
      </c>
      <c r="X1750" s="2"/>
      <c r="Y1750" s="2"/>
      <c r="Z1750" s="2"/>
      <c r="AA1750" s="2" t="s">
        <v>127</v>
      </c>
      <c r="AB1750" s="2" t="s">
        <v>73</v>
      </c>
      <c r="AC1750" s="4" t="s">
        <v>44</v>
      </c>
    </row>
    <row r="1751" spans="1:29" x14ac:dyDescent="0.25">
      <c r="A1751" s="1">
        <v>4073</v>
      </c>
      <c r="B1751" s="17" t="s">
        <v>8436</v>
      </c>
      <c r="C1751" s="2" t="s">
        <v>1292</v>
      </c>
      <c r="D1751" s="15" t="s">
        <v>1293</v>
      </c>
      <c r="E1751" s="9" t="s">
        <v>450</v>
      </c>
      <c r="F1751" s="9" t="s">
        <v>6727</v>
      </c>
      <c r="G1751" s="9" t="s">
        <v>2107</v>
      </c>
      <c r="H1751" s="2" t="s">
        <v>60</v>
      </c>
      <c r="I1751" s="3">
        <v>36329</v>
      </c>
      <c r="J1751" s="9" t="str">
        <f t="shared" ca="1" si="29"/>
        <v>24 ans</v>
      </c>
      <c r="K1751" s="2" t="s">
        <v>123</v>
      </c>
      <c r="L1751" s="2" t="str">
        <f>"308"</f>
        <v>308</v>
      </c>
      <c r="M1751" s="2"/>
      <c r="N1751" s="2" t="str">
        <f>"RUE CARDINAL"</f>
        <v>RUE CARDINAL</v>
      </c>
      <c r="O1751" s="2" t="s">
        <v>8260</v>
      </c>
      <c r="P1751" s="9" t="str">
        <f>VLOOKUP($O1751,'Liste des Villes'!$B$2:$B$1128,1,FALSE)</f>
        <v>Saint-Hippolyte</v>
      </c>
      <c r="Q1751" s="9" t="str">
        <f>IFERROR($P1751,PROPER(VLOOKUP($O1751,'Villes en erreur'!$A$2:$B$72,2,FALSE)))</f>
        <v>Saint-Hippolyte</v>
      </c>
      <c r="R1751" s="9" t="s">
        <v>8261</v>
      </c>
      <c r="S1751" s="9" t="str">
        <f>IF(ISBLANK($R1751),"",VLOOKUP($R1751,'Liste des Villes'!$B$2:$H$1128,4,FALSE))</f>
        <v>Laurentides</v>
      </c>
      <c r="T1751" s="2" t="s">
        <v>8285</v>
      </c>
      <c r="U1751" s="2" t="s">
        <v>39</v>
      </c>
      <c r="V1751" s="2" t="s">
        <v>40</v>
      </c>
      <c r="W1751" s="2" t="s">
        <v>8437</v>
      </c>
      <c r="X1751" s="2"/>
      <c r="Y1751" s="2"/>
      <c r="Z1751" s="2"/>
      <c r="AA1751" s="2" t="s">
        <v>127</v>
      </c>
      <c r="AB1751" s="2" t="s">
        <v>73</v>
      </c>
      <c r="AC1751" s="4" t="s">
        <v>44</v>
      </c>
    </row>
    <row r="1752" spans="1:29" x14ac:dyDescent="0.25">
      <c r="A1752" s="1">
        <v>3317</v>
      </c>
      <c r="B1752" s="17" t="s">
        <v>8438</v>
      </c>
      <c r="C1752" s="2" t="s">
        <v>177</v>
      </c>
      <c r="D1752" s="15" t="s">
        <v>178</v>
      </c>
      <c r="E1752" s="9" t="s">
        <v>179</v>
      </c>
      <c r="F1752" s="9" t="s">
        <v>3625</v>
      </c>
      <c r="G1752" s="9" t="s">
        <v>404</v>
      </c>
      <c r="H1752" s="2" t="s">
        <v>35</v>
      </c>
      <c r="I1752" s="3">
        <v>36339</v>
      </c>
      <c r="J1752" s="9" t="str">
        <f t="shared" ca="1" si="29"/>
        <v>24 ans</v>
      </c>
      <c r="K1752" s="2" t="s">
        <v>123</v>
      </c>
      <c r="L1752" s="2" t="str">
        <f>"313"</f>
        <v>313</v>
      </c>
      <c r="M1752" s="2"/>
      <c r="N1752" s="2" t="str">
        <f>"RUE CASTONGUAY"</f>
        <v>RUE CASTONGUAY</v>
      </c>
      <c r="O1752" s="2" t="s">
        <v>8260</v>
      </c>
      <c r="P1752" s="9" t="str">
        <f>VLOOKUP($O1752,'Liste des Villes'!$B$2:$B$1128,1,FALSE)</f>
        <v>Saint-Hippolyte</v>
      </c>
      <c r="Q1752" s="9" t="str">
        <f>IFERROR($P1752,PROPER(VLOOKUP($O1752,'Villes en erreur'!$A$2:$B$72,2,FALSE)))</f>
        <v>Saint-Hippolyte</v>
      </c>
      <c r="R1752" s="9" t="s">
        <v>8261</v>
      </c>
      <c r="S1752" s="9" t="str">
        <f>IF(ISBLANK($R1752),"",VLOOKUP($R1752,'Liste des Villes'!$B$2:$H$1128,4,FALSE))</f>
        <v>Laurentides</v>
      </c>
      <c r="T1752" s="2" t="s">
        <v>8439</v>
      </c>
      <c r="U1752" s="2" t="s">
        <v>39</v>
      </c>
      <c r="V1752" s="2" t="s">
        <v>40</v>
      </c>
      <c r="W1752" s="2" t="s">
        <v>8440</v>
      </c>
      <c r="X1752" s="2"/>
      <c r="Y1752" s="2"/>
      <c r="Z1752" s="2"/>
      <c r="AA1752" s="2" t="s">
        <v>127</v>
      </c>
      <c r="AB1752" s="2" t="s">
        <v>73</v>
      </c>
      <c r="AC1752" s="4" t="s">
        <v>44</v>
      </c>
    </row>
    <row r="1753" spans="1:29" x14ac:dyDescent="0.25">
      <c r="A1753" s="1">
        <v>4019</v>
      </c>
      <c r="B1753" s="17" t="s">
        <v>8441</v>
      </c>
      <c r="C1753" s="2" t="s">
        <v>8442</v>
      </c>
      <c r="D1753" s="15" t="s">
        <v>8443</v>
      </c>
      <c r="E1753" s="9" t="s">
        <v>775</v>
      </c>
      <c r="F1753" s="9" t="s">
        <v>2085</v>
      </c>
      <c r="G1753" s="9" t="s">
        <v>107</v>
      </c>
      <c r="H1753" s="2" t="s">
        <v>60</v>
      </c>
      <c r="I1753" s="3">
        <v>36319</v>
      </c>
      <c r="J1753" s="9" t="str">
        <f t="shared" ca="1" si="29"/>
        <v>24 ans</v>
      </c>
      <c r="K1753" s="2" t="s">
        <v>123</v>
      </c>
      <c r="L1753" s="2" t="str">
        <f>"306"</f>
        <v>306</v>
      </c>
      <c r="M1753" s="2"/>
      <c r="N1753" s="2" t="str">
        <f>"RUE CAMPEAU"</f>
        <v>RUE CAMPEAU</v>
      </c>
      <c r="O1753" s="2" t="s">
        <v>8260</v>
      </c>
      <c r="P1753" s="9" t="str">
        <f>VLOOKUP($O1753,'Liste des Villes'!$B$2:$B$1128,1,FALSE)</f>
        <v>Saint-Hippolyte</v>
      </c>
      <c r="Q1753" s="9" t="str">
        <f>IFERROR($P1753,PROPER(VLOOKUP($O1753,'Villes en erreur'!$A$2:$B$72,2,FALSE)))</f>
        <v>Saint-Hippolyte</v>
      </c>
      <c r="R1753" s="9" t="s">
        <v>8261</v>
      </c>
      <c r="S1753" s="9" t="str">
        <f>IF(ISBLANK($R1753),"",VLOOKUP($R1753,'Liste des Villes'!$B$2:$H$1128,4,FALSE))</f>
        <v>Laurentides</v>
      </c>
      <c r="T1753" s="2" t="s">
        <v>8429</v>
      </c>
      <c r="U1753" s="2" t="s">
        <v>39</v>
      </c>
      <c r="V1753" s="2" t="s">
        <v>40</v>
      </c>
      <c r="W1753" s="2" t="s">
        <v>8444</v>
      </c>
      <c r="X1753" s="2"/>
      <c r="Y1753" s="2"/>
      <c r="Z1753" s="2"/>
      <c r="AA1753" s="2" t="s">
        <v>832</v>
      </c>
      <c r="AB1753" s="2" t="s">
        <v>73</v>
      </c>
      <c r="AC1753" s="4" t="s">
        <v>44</v>
      </c>
    </row>
    <row r="1754" spans="1:29" x14ac:dyDescent="0.25">
      <c r="A1754" s="1">
        <v>949</v>
      </c>
      <c r="B1754" s="17" t="s">
        <v>8445</v>
      </c>
      <c r="C1754" s="2" t="s">
        <v>8446</v>
      </c>
      <c r="D1754" s="15" t="s">
        <v>3381</v>
      </c>
      <c r="E1754" s="9" t="s">
        <v>4204</v>
      </c>
      <c r="F1754" s="9" t="s">
        <v>3380</v>
      </c>
      <c r="G1754" s="9" t="s">
        <v>4912</v>
      </c>
      <c r="H1754" s="2" t="s">
        <v>60</v>
      </c>
      <c r="I1754" s="3">
        <v>36299</v>
      </c>
      <c r="J1754" s="9" t="str">
        <f t="shared" ca="1" si="29"/>
        <v>24 ans</v>
      </c>
      <c r="K1754" s="2" t="s">
        <v>123</v>
      </c>
      <c r="L1754" s="2" t="str">
        <f>"295"</f>
        <v>295</v>
      </c>
      <c r="M1754" s="2"/>
      <c r="N1754" s="2" t="str">
        <f>"RUE BRICOT"</f>
        <v>RUE BRICOT</v>
      </c>
      <c r="O1754" s="2" t="s">
        <v>8260</v>
      </c>
      <c r="P1754" s="9" t="str">
        <f>VLOOKUP($O1754,'Liste des Villes'!$B$2:$B$1128,1,FALSE)</f>
        <v>Saint-Hippolyte</v>
      </c>
      <c r="Q1754" s="9" t="str">
        <f>IFERROR($P1754,PROPER(VLOOKUP($O1754,'Villes en erreur'!$A$2:$B$72,2,FALSE)))</f>
        <v>Saint-Hippolyte</v>
      </c>
      <c r="R1754" s="9" t="s">
        <v>8261</v>
      </c>
      <c r="S1754" s="9" t="str">
        <f>IF(ISBLANK($R1754),"",VLOOKUP($R1754,'Liste des Villes'!$B$2:$H$1128,4,FALSE))</f>
        <v>Laurentides</v>
      </c>
      <c r="T1754" s="2" t="s">
        <v>8323</v>
      </c>
      <c r="U1754" s="2" t="s">
        <v>39</v>
      </c>
      <c r="V1754" s="2" t="s">
        <v>40</v>
      </c>
      <c r="W1754" s="2" t="s">
        <v>8447</v>
      </c>
      <c r="X1754" s="2"/>
      <c r="Y1754" s="2"/>
      <c r="Z1754" s="2"/>
      <c r="AA1754" s="2" t="s">
        <v>832</v>
      </c>
      <c r="AB1754" s="2" t="s">
        <v>73</v>
      </c>
      <c r="AC1754" s="4" t="s">
        <v>44</v>
      </c>
    </row>
    <row r="1755" spans="1:29" x14ac:dyDescent="0.25">
      <c r="A1755" s="1">
        <v>1638</v>
      </c>
      <c r="B1755" s="17" t="s">
        <v>8448</v>
      </c>
      <c r="C1755" s="2" t="s">
        <v>8449</v>
      </c>
      <c r="D1755" s="15" t="s">
        <v>675</v>
      </c>
      <c r="E1755" s="9" t="s">
        <v>929</v>
      </c>
      <c r="F1755" s="9" t="s">
        <v>8450</v>
      </c>
      <c r="G1755" s="9" t="s">
        <v>7006</v>
      </c>
      <c r="H1755" s="2" t="s">
        <v>60</v>
      </c>
      <c r="I1755" s="3">
        <v>36306</v>
      </c>
      <c r="J1755" s="9" t="str">
        <f t="shared" ca="1" si="29"/>
        <v>24 ans</v>
      </c>
      <c r="K1755" s="2" t="s">
        <v>123</v>
      </c>
      <c r="L1755" s="2" t="str">
        <f>"300"</f>
        <v>300</v>
      </c>
      <c r="M1755" s="2"/>
      <c r="N1755" s="2" t="str">
        <f>"RUE BROSSEAU"</f>
        <v>RUE BROSSEAU</v>
      </c>
      <c r="O1755" s="2" t="s">
        <v>8260</v>
      </c>
      <c r="P1755" s="9" t="str">
        <f>VLOOKUP($O1755,'Liste des Villes'!$B$2:$B$1128,1,FALSE)</f>
        <v>Saint-Hippolyte</v>
      </c>
      <c r="Q1755" s="9" t="str">
        <f>IFERROR($P1755,PROPER(VLOOKUP($O1755,'Villes en erreur'!$A$2:$B$72,2,FALSE)))</f>
        <v>Saint-Hippolyte</v>
      </c>
      <c r="R1755" s="9" t="s">
        <v>8261</v>
      </c>
      <c r="S1755" s="9" t="str">
        <f>IF(ISBLANK($R1755),"",VLOOKUP($R1755,'Liste des Villes'!$B$2:$H$1128,4,FALSE))</f>
        <v>Laurentides</v>
      </c>
      <c r="T1755" s="2" t="s">
        <v>8390</v>
      </c>
      <c r="U1755" s="2" t="s">
        <v>39</v>
      </c>
      <c r="V1755" s="2" t="s">
        <v>40</v>
      </c>
      <c r="W1755" s="2" t="s">
        <v>8451</v>
      </c>
      <c r="X1755" s="2"/>
      <c r="Y1755" s="2"/>
      <c r="Z1755" s="2"/>
      <c r="AA1755" s="2" t="s">
        <v>832</v>
      </c>
      <c r="AB1755" s="2" t="s">
        <v>73</v>
      </c>
      <c r="AC1755" s="4" t="s">
        <v>44</v>
      </c>
    </row>
    <row r="1756" spans="1:29" x14ac:dyDescent="0.25">
      <c r="A1756" s="1">
        <v>1999</v>
      </c>
      <c r="B1756" s="17" t="s">
        <v>8452</v>
      </c>
      <c r="C1756" s="2" t="s">
        <v>8453</v>
      </c>
      <c r="D1756" s="15" t="s">
        <v>4256</v>
      </c>
      <c r="E1756" s="9" t="s">
        <v>8454</v>
      </c>
      <c r="F1756" s="9" t="s">
        <v>8455</v>
      </c>
      <c r="G1756" s="9" t="s">
        <v>4231</v>
      </c>
      <c r="H1756" s="2" t="s">
        <v>60</v>
      </c>
      <c r="I1756" s="3">
        <v>36292</v>
      </c>
      <c r="J1756" s="9" t="str">
        <f t="shared" ca="1" si="29"/>
        <v>24 ans</v>
      </c>
      <c r="K1756" s="2" t="s">
        <v>123</v>
      </c>
      <c r="L1756" s="2" t="str">
        <f>"290"</f>
        <v>290</v>
      </c>
      <c r="M1756" s="2"/>
      <c r="N1756" s="2" t="str">
        <f>"RUE BRAN"</f>
        <v>RUE BRAN</v>
      </c>
      <c r="O1756" s="2" t="s">
        <v>8260</v>
      </c>
      <c r="P1756" s="9" t="str">
        <f>VLOOKUP($O1756,'Liste des Villes'!$B$2:$B$1128,1,FALSE)</f>
        <v>Saint-Hippolyte</v>
      </c>
      <c r="Q1756" s="9" t="str">
        <f>IFERROR($P1756,PROPER(VLOOKUP($O1756,'Villes en erreur'!$A$2:$B$72,2,FALSE)))</f>
        <v>Saint-Hippolyte</v>
      </c>
      <c r="R1756" s="9" t="s">
        <v>8261</v>
      </c>
      <c r="S1756" s="9" t="str">
        <f>IF(ISBLANK($R1756),"",VLOOKUP($R1756,'Liste des Villes'!$B$2:$H$1128,4,FALSE))</f>
        <v>Laurentides</v>
      </c>
      <c r="T1756" s="2" t="s">
        <v>8386</v>
      </c>
      <c r="U1756" s="2" t="s">
        <v>39</v>
      </c>
      <c r="V1756" s="2" t="s">
        <v>40</v>
      </c>
      <c r="W1756" s="2" t="s">
        <v>8456</v>
      </c>
      <c r="X1756" s="2"/>
      <c r="Y1756" s="2"/>
      <c r="Z1756" s="2"/>
      <c r="AA1756" s="2" t="s">
        <v>832</v>
      </c>
      <c r="AB1756" s="2" t="s">
        <v>73</v>
      </c>
      <c r="AC1756" s="4" t="s">
        <v>44</v>
      </c>
    </row>
    <row r="1757" spans="1:29" x14ac:dyDescent="0.25">
      <c r="A1757" s="1">
        <v>4078</v>
      </c>
      <c r="B1757" s="17" t="s">
        <v>8457</v>
      </c>
      <c r="C1757" s="2" t="s">
        <v>3933</v>
      </c>
      <c r="D1757" s="15" t="s">
        <v>101</v>
      </c>
      <c r="E1757" s="9" t="s">
        <v>341</v>
      </c>
      <c r="F1757" s="9" t="s">
        <v>1753</v>
      </c>
      <c r="G1757" s="9" t="s">
        <v>389</v>
      </c>
      <c r="H1757" s="2" t="s">
        <v>60</v>
      </c>
      <c r="I1757" s="3">
        <v>36284</v>
      </c>
      <c r="J1757" s="9" t="str">
        <f t="shared" ca="1" si="29"/>
        <v>24 ans</v>
      </c>
      <c r="K1757" s="2" t="s">
        <v>123</v>
      </c>
      <c r="L1757" s="2" t="str">
        <f>"288"</f>
        <v>288</v>
      </c>
      <c r="M1757" s="2"/>
      <c r="N1757" s="2" t="str">
        <f>"RUE BOURRET"</f>
        <v>RUE BOURRET</v>
      </c>
      <c r="O1757" s="2" t="s">
        <v>8260</v>
      </c>
      <c r="P1757" s="9" t="str">
        <f>VLOOKUP($O1757,'Liste des Villes'!$B$2:$B$1128,1,FALSE)</f>
        <v>Saint-Hippolyte</v>
      </c>
      <c r="Q1757" s="9" t="str">
        <f>IFERROR($P1757,PROPER(VLOOKUP($O1757,'Villes en erreur'!$A$2:$B$72,2,FALSE)))</f>
        <v>Saint-Hippolyte</v>
      </c>
      <c r="R1757" s="9" t="s">
        <v>8261</v>
      </c>
      <c r="S1757" s="9" t="str">
        <f>IF(ISBLANK($R1757),"",VLOOKUP($R1757,'Liste des Villes'!$B$2:$H$1128,4,FALSE))</f>
        <v>Laurentides</v>
      </c>
      <c r="T1757" s="2" t="s">
        <v>8314</v>
      </c>
      <c r="U1757" s="2" t="s">
        <v>39</v>
      </c>
      <c r="V1757" s="2" t="s">
        <v>40</v>
      </c>
      <c r="W1757" s="2" t="s">
        <v>8343</v>
      </c>
      <c r="X1757" s="2"/>
      <c r="Y1757" s="2"/>
      <c r="Z1757" s="2"/>
      <c r="AA1757" s="2" t="s">
        <v>832</v>
      </c>
      <c r="AB1757" s="2" t="s">
        <v>73</v>
      </c>
      <c r="AC1757" s="4" t="s">
        <v>44</v>
      </c>
    </row>
    <row r="1758" spans="1:29" x14ac:dyDescent="0.25">
      <c r="A1758" s="1">
        <v>3663</v>
      </c>
      <c r="B1758" s="17" t="s">
        <v>8458</v>
      </c>
      <c r="C1758" s="2" t="s">
        <v>8459</v>
      </c>
      <c r="D1758" s="15" t="s">
        <v>1845</v>
      </c>
      <c r="E1758" s="9" t="s">
        <v>2062</v>
      </c>
      <c r="F1758" s="9" t="s">
        <v>6032</v>
      </c>
      <c r="G1758" s="9" t="s">
        <v>4231</v>
      </c>
      <c r="H1758" s="2" t="s">
        <v>60</v>
      </c>
      <c r="I1758" s="3">
        <v>36291</v>
      </c>
      <c r="J1758" s="9" t="str">
        <f t="shared" ca="1" si="29"/>
        <v>24 ans</v>
      </c>
      <c r="K1758" s="2" t="s">
        <v>123</v>
      </c>
      <c r="L1758" s="2" t="str">
        <f>"290"</f>
        <v>290</v>
      </c>
      <c r="M1758" s="2"/>
      <c r="N1758" s="2" t="str">
        <f>"RUE BRAN"</f>
        <v>RUE BRAN</v>
      </c>
      <c r="O1758" s="2" t="s">
        <v>8260</v>
      </c>
      <c r="P1758" s="9" t="str">
        <f>VLOOKUP($O1758,'Liste des Villes'!$B$2:$B$1128,1,FALSE)</f>
        <v>Saint-Hippolyte</v>
      </c>
      <c r="Q1758" s="9" t="str">
        <f>IFERROR($P1758,PROPER(VLOOKUP($O1758,'Villes en erreur'!$A$2:$B$72,2,FALSE)))</f>
        <v>Saint-Hippolyte</v>
      </c>
      <c r="R1758" s="9" t="s">
        <v>8261</v>
      </c>
      <c r="S1758" s="9" t="str">
        <f>IF(ISBLANK($R1758),"",VLOOKUP($R1758,'Liste des Villes'!$B$2:$H$1128,4,FALSE))</f>
        <v>Laurentides</v>
      </c>
      <c r="T1758" s="2" t="s">
        <v>8386</v>
      </c>
      <c r="U1758" s="2" t="s">
        <v>39</v>
      </c>
      <c r="V1758" s="2" t="s">
        <v>40</v>
      </c>
      <c r="W1758" s="2" t="s">
        <v>8460</v>
      </c>
      <c r="X1758" s="2"/>
      <c r="Y1758" s="2"/>
      <c r="Z1758" s="2"/>
      <c r="AA1758" s="2" t="s">
        <v>832</v>
      </c>
      <c r="AB1758" s="2" t="s">
        <v>73</v>
      </c>
      <c r="AC1758" s="4" t="s">
        <v>44</v>
      </c>
    </row>
    <row r="1759" spans="1:29" x14ac:dyDescent="0.25">
      <c r="A1759" s="1">
        <v>2433</v>
      </c>
      <c r="B1759" s="17" t="s">
        <v>8461</v>
      </c>
      <c r="C1759" s="2" t="s">
        <v>8462</v>
      </c>
      <c r="D1759" s="15" t="s">
        <v>1649</v>
      </c>
      <c r="E1759" s="9" t="s">
        <v>8463</v>
      </c>
      <c r="F1759" s="9" t="s">
        <v>8464</v>
      </c>
      <c r="G1759" s="9" t="s">
        <v>389</v>
      </c>
      <c r="H1759" s="2" t="s">
        <v>60</v>
      </c>
      <c r="I1759" s="3">
        <v>36282</v>
      </c>
      <c r="J1759" s="9" t="str">
        <f t="shared" ca="1" si="29"/>
        <v>24 ans</v>
      </c>
      <c r="K1759" s="2" t="s">
        <v>123</v>
      </c>
      <c r="L1759" s="2" t="str">
        <f>"286"</f>
        <v>286</v>
      </c>
      <c r="M1759" s="2"/>
      <c r="N1759" s="2" t="str">
        <f>"RUE BOUCHARD-LAVALLÉE"</f>
        <v>RUE BOUCHARD-LAVALLÉE</v>
      </c>
      <c r="O1759" s="2" t="s">
        <v>8260</v>
      </c>
      <c r="P1759" s="9" t="str">
        <f>VLOOKUP($O1759,'Liste des Villes'!$B$2:$B$1128,1,FALSE)</f>
        <v>Saint-Hippolyte</v>
      </c>
      <c r="Q1759" s="9" t="str">
        <f>IFERROR($P1759,PROPER(VLOOKUP($O1759,'Villes en erreur'!$A$2:$B$72,2,FALSE)))</f>
        <v>Saint-Hippolyte</v>
      </c>
      <c r="R1759" s="9" t="s">
        <v>8261</v>
      </c>
      <c r="S1759" s="9" t="str">
        <f>IF(ISBLANK($R1759),"",VLOOKUP($R1759,'Liste des Villes'!$B$2:$H$1128,4,FALSE))</f>
        <v>Laurentides</v>
      </c>
      <c r="T1759" s="2" t="s">
        <v>8314</v>
      </c>
      <c r="U1759" s="2" t="s">
        <v>39</v>
      </c>
      <c r="V1759" s="2" t="s">
        <v>40</v>
      </c>
      <c r="W1759" s="2" t="s">
        <v>8465</v>
      </c>
      <c r="X1759" s="2"/>
      <c r="Y1759" s="2"/>
      <c r="Z1759" s="2"/>
      <c r="AA1759" s="2" t="s">
        <v>832</v>
      </c>
      <c r="AB1759" s="2" t="s">
        <v>73</v>
      </c>
      <c r="AC1759" s="4" t="s">
        <v>44</v>
      </c>
    </row>
    <row r="1760" spans="1:29" x14ac:dyDescent="0.25">
      <c r="A1760" s="1">
        <v>1072</v>
      </c>
      <c r="B1760" s="17" t="s">
        <v>8466</v>
      </c>
      <c r="C1760" s="2" t="s">
        <v>8467</v>
      </c>
      <c r="D1760" s="15" t="s">
        <v>7624</v>
      </c>
      <c r="E1760" s="9" t="s">
        <v>616</v>
      </c>
      <c r="F1760" s="9" t="s">
        <v>7622</v>
      </c>
      <c r="G1760" s="9" t="s">
        <v>107</v>
      </c>
      <c r="H1760" s="2" t="s">
        <v>60</v>
      </c>
      <c r="I1760" s="3">
        <v>36312</v>
      </c>
      <c r="J1760" s="9" t="str">
        <f t="shared" ca="1" si="29"/>
        <v>24 ans</v>
      </c>
      <c r="K1760" s="2" t="s">
        <v>123</v>
      </c>
      <c r="L1760" s="2" t="str">
        <f>"304"</f>
        <v>304</v>
      </c>
      <c r="M1760" s="2"/>
      <c r="N1760" s="2" t="str">
        <f>"RUE BRUNO NANTEL"</f>
        <v>RUE BRUNO NANTEL</v>
      </c>
      <c r="O1760" s="2" t="s">
        <v>8260</v>
      </c>
      <c r="P1760" s="9" t="str">
        <f>VLOOKUP($O1760,'Liste des Villes'!$B$2:$B$1128,1,FALSE)</f>
        <v>Saint-Hippolyte</v>
      </c>
      <c r="Q1760" s="9" t="str">
        <f>IFERROR($P1760,PROPER(VLOOKUP($O1760,'Villes en erreur'!$A$2:$B$72,2,FALSE)))</f>
        <v>Saint-Hippolyte</v>
      </c>
      <c r="R1760" s="9" t="s">
        <v>8261</v>
      </c>
      <c r="S1760" s="9" t="str">
        <f>IF(ISBLANK($R1760),"",VLOOKUP($R1760,'Liste des Villes'!$B$2:$H$1128,4,FALSE))</f>
        <v>Laurentides</v>
      </c>
      <c r="T1760" s="2" t="s">
        <v>8468</v>
      </c>
      <c r="U1760" s="2" t="s">
        <v>39</v>
      </c>
      <c r="V1760" s="2" t="s">
        <v>40</v>
      </c>
      <c r="W1760" s="2" t="s">
        <v>8469</v>
      </c>
      <c r="X1760" s="2"/>
      <c r="Y1760" s="2"/>
      <c r="Z1760" s="2"/>
      <c r="AA1760" s="2" t="s">
        <v>832</v>
      </c>
      <c r="AB1760" s="2" t="s">
        <v>73</v>
      </c>
      <c r="AC1760" s="4" t="s">
        <v>44</v>
      </c>
    </row>
    <row r="1761" spans="1:29" x14ac:dyDescent="0.25">
      <c r="A1761" s="1">
        <v>605</v>
      </c>
      <c r="B1761" s="17" t="s">
        <v>8470</v>
      </c>
      <c r="C1761" s="2" t="s">
        <v>5115</v>
      </c>
      <c r="D1761" s="15" t="s">
        <v>1617</v>
      </c>
      <c r="E1761" s="9" t="s">
        <v>5116</v>
      </c>
      <c r="F1761" s="9" t="s">
        <v>8471</v>
      </c>
      <c r="G1761" s="9" t="s">
        <v>389</v>
      </c>
      <c r="H1761" s="2" t="s">
        <v>60</v>
      </c>
      <c r="I1761" s="3">
        <v>36284</v>
      </c>
      <c r="J1761" s="9" t="str">
        <f t="shared" ca="1" si="29"/>
        <v>24 ans</v>
      </c>
      <c r="K1761" s="2" t="s">
        <v>123</v>
      </c>
      <c r="L1761" s="2" t="str">
        <f>"288"</f>
        <v>288</v>
      </c>
      <c r="M1761" s="2"/>
      <c r="N1761" s="2" t="str">
        <f>"RUE BOUVIER"</f>
        <v>RUE BOUVIER</v>
      </c>
      <c r="O1761" s="2" t="s">
        <v>8260</v>
      </c>
      <c r="P1761" s="9" t="str">
        <f>VLOOKUP($O1761,'Liste des Villes'!$B$2:$B$1128,1,FALSE)</f>
        <v>Saint-Hippolyte</v>
      </c>
      <c r="Q1761" s="9" t="str">
        <f>IFERROR($P1761,PROPER(VLOOKUP($O1761,'Villes en erreur'!$A$2:$B$72,2,FALSE)))</f>
        <v>Saint-Hippolyte</v>
      </c>
      <c r="R1761" s="9" t="s">
        <v>8261</v>
      </c>
      <c r="S1761" s="9" t="str">
        <f>IF(ISBLANK($R1761),"",VLOOKUP($R1761,'Liste des Villes'!$B$2:$H$1128,4,FALSE))</f>
        <v>Laurentides</v>
      </c>
      <c r="T1761" s="2" t="s">
        <v>8314</v>
      </c>
      <c r="U1761" s="2" t="s">
        <v>39</v>
      </c>
      <c r="V1761" s="2" t="s">
        <v>40</v>
      </c>
      <c r="W1761" s="2" t="s">
        <v>8472</v>
      </c>
      <c r="X1761" s="2"/>
      <c r="Y1761" s="2"/>
      <c r="Z1761" s="2"/>
      <c r="AA1761" s="2" t="s">
        <v>832</v>
      </c>
      <c r="AB1761" s="2" t="s">
        <v>73</v>
      </c>
      <c r="AC1761" s="4" t="s">
        <v>44</v>
      </c>
    </row>
    <row r="1762" spans="1:29" x14ac:dyDescent="0.25">
      <c r="A1762" s="1">
        <v>2001</v>
      </c>
      <c r="B1762" s="17" t="s">
        <v>8473</v>
      </c>
      <c r="C1762" s="2" t="s">
        <v>1714</v>
      </c>
      <c r="D1762" s="15" t="s">
        <v>363</v>
      </c>
      <c r="E1762" s="9" t="s">
        <v>1715</v>
      </c>
      <c r="F1762" s="9" t="s">
        <v>8474</v>
      </c>
      <c r="G1762" s="9" t="s">
        <v>1553</v>
      </c>
      <c r="H1762" s="2" t="s">
        <v>60</v>
      </c>
      <c r="I1762" s="3">
        <v>36271</v>
      </c>
      <c r="J1762" s="9" t="str">
        <f t="shared" ca="1" si="29"/>
        <v>24 ans</v>
      </c>
      <c r="K1762" s="2" t="s">
        <v>123</v>
      </c>
      <c r="L1762" s="2" t="str">
        <f>"278"</f>
        <v>278</v>
      </c>
      <c r="M1762" s="2"/>
      <c r="N1762" s="2" t="str">
        <f>"RUE BLONDIN"</f>
        <v>RUE BLONDIN</v>
      </c>
      <c r="O1762" s="2" t="s">
        <v>8260</v>
      </c>
      <c r="P1762" s="9" t="str">
        <f>VLOOKUP($O1762,'Liste des Villes'!$B$2:$B$1128,1,FALSE)</f>
        <v>Saint-Hippolyte</v>
      </c>
      <c r="Q1762" s="9" t="str">
        <f>IFERROR($P1762,PROPER(VLOOKUP($O1762,'Villes en erreur'!$A$2:$B$72,2,FALSE)))</f>
        <v>Saint-Hippolyte</v>
      </c>
      <c r="R1762" s="9" t="s">
        <v>8261</v>
      </c>
      <c r="S1762" s="9" t="str">
        <f>IF(ISBLANK($R1762),"",VLOOKUP($R1762,'Liste des Villes'!$B$2:$H$1128,4,FALSE))</f>
        <v>Laurentides</v>
      </c>
      <c r="T1762" s="2" t="s">
        <v>8415</v>
      </c>
      <c r="U1762" s="2" t="s">
        <v>39</v>
      </c>
      <c r="V1762" s="2" t="s">
        <v>40</v>
      </c>
      <c r="W1762" s="2" t="s">
        <v>8475</v>
      </c>
      <c r="X1762" s="2"/>
      <c r="Y1762" s="2"/>
      <c r="Z1762" s="2"/>
      <c r="AA1762" s="2" t="s">
        <v>832</v>
      </c>
      <c r="AB1762" s="2" t="s">
        <v>73</v>
      </c>
      <c r="AC1762" s="4" t="s">
        <v>44</v>
      </c>
    </row>
    <row r="1763" spans="1:29" x14ac:dyDescent="0.25">
      <c r="A1763" s="1">
        <v>3338</v>
      </c>
      <c r="B1763" s="17" t="s">
        <v>8476</v>
      </c>
      <c r="C1763" s="2" t="s">
        <v>8477</v>
      </c>
      <c r="D1763" s="15" t="s">
        <v>84</v>
      </c>
      <c r="E1763" s="9" t="s">
        <v>737</v>
      </c>
      <c r="F1763" s="9" t="s">
        <v>86</v>
      </c>
      <c r="G1763" s="9" t="s">
        <v>8478</v>
      </c>
      <c r="H1763" s="2" t="s">
        <v>60</v>
      </c>
      <c r="I1763" s="3">
        <v>36290</v>
      </c>
      <c r="J1763" s="9" t="str">
        <f t="shared" ca="1" si="29"/>
        <v>24 ans</v>
      </c>
      <c r="K1763" s="2" t="s">
        <v>123</v>
      </c>
      <c r="L1763" s="2" t="str">
        <f>"290"</f>
        <v>290</v>
      </c>
      <c r="M1763" s="2"/>
      <c r="N1763" s="2" t="str">
        <f>"RUE BRAIDWOOD"</f>
        <v>RUE BRAIDWOOD</v>
      </c>
      <c r="O1763" s="2" t="s">
        <v>8260</v>
      </c>
      <c r="P1763" s="9" t="str">
        <f>VLOOKUP($O1763,'Liste des Villes'!$B$2:$B$1128,1,FALSE)</f>
        <v>Saint-Hippolyte</v>
      </c>
      <c r="Q1763" s="9" t="str">
        <f>IFERROR($P1763,PROPER(VLOOKUP($O1763,'Villes en erreur'!$A$2:$B$72,2,FALSE)))</f>
        <v>Saint-Hippolyte</v>
      </c>
      <c r="R1763" s="9" t="s">
        <v>8261</v>
      </c>
      <c r="S1763" s="9" t="str">
        <f>IF(ISBLANK($R1763),"",VLOOKUP($R1763,'Liste des Villes'!$B$2:$H$1128,4,FALSE))</f>
        <v>Laurentides</v>
      </c>
      <c r="T1763" s="2" t="s">
        <v>8336</v>
      </c>
      <c r="U1763" s="2" t="s">
        <v>39</v>
      </c>
      <c r="V1763" s="2" t="s">
        <v>40</v>
      </c>
      <c r="W1763" s="2" t="s">
        <v>8479</v>
      </c>
      <c r="X1763" s="2"/>
      <c r="Y1763" s="2"/>
      <c r="Z1763" s="2"/>
      <c r="AA1763" s="2" t="s">
        <v>832</v>
      </c>
      <c r="AB1763" s="2" t="s">
        <v>73</v>
      </c>
      <c r="AC1763" s="4" t="s">
        <v>44</v>
      </c>
    </row>
    <row r="1764" spans="1:29" x14ac:dyDescent="0.25">
      <c r="A1764" s="1">
        <v>3333</v>
      </c>
      <c r="B1764" s="17" t="s">
        <v>8480</v>
      </c>
      <c r="C1764" s="2" t="s">
        <v>8481</v>
      </c>
      <c r="D1764" s="15" t="s">
        <v>2693</v>
      </c>
      <c r="E1764" s="9" t="s">
        <v>8482</v>
      </c>
      <c r="F1764" s="9" t="s">
        <v>782</v>
      </c>
      <c r="G1764" s="9" t="s">
        <v>404</v>
      </c>
      <c r="H1764" s="2" t="s">
        <v>35</v>
      </c>
      <c r="I1764" s="3">
        <v>36346</v>
      </c>
      <c r="J1764" s="9" t="str">
        <f t="shared" ca="1" si="29"/>
        <v>24 ans</v>
      </c>
      <c r="K1764" s="2" t="s">
        <v>123</v>
      </c>
      <c r="L1764" s="2" t="str">
        <f>"314"</f>
        <v>314</v>
      </c>
      <c r="M1764" s="2"/>
      <c r="N1764" s="2" t="str">
        <f>"RUE CAYA"</f>
        <v>RUE CAYA</v>
      </c>
      <c r="O1764" s="2" t="s">
        <v>8260</v>
      </c>
      <c r="P1764" s="9" t="str">
        <f>VLOOKUP($O1764,'Liste des Villes'!$B$2:$B$1128,1,FALSE)</f>
        <v>Saint-Hippolyte</v>
      </c>
      <c r="Q1764" s="9" t="str">
        <f>IFERROR($P1764,PROPER(VLOOKUP($O1764,'Villes en erreur'!$A$2:$B$72,2,FALSE)))</f>
        <v>Saint-Hippolyte</v>
      </c>
      <c r="R1764" s="9" t="s">
        <v>8261</v>
      </c>
      <c r="S1764" s="9" t="str">
        <f>IF(ISBLANK($R1764),"",VLOOKUP($R1764,'Liste des Villes'!$B$2:$H$1128,4,FALSE))</f>
        <v>Laurentides</v>
      </c>
      <c r="T1764" s="2" t="s">
        <v>8318</v>
      </c>
      <c r="U1764" s="2" t="s">
        <v>39</v>
      </c>
      <c r="V1764" s="2" t="s">
        <v>40</v>
      </c>
      <c r="W1764" s="2" t="s">
        <v>8483</v>
      </c>
      <c r="X1764" s="2"/>
      <c r="Y1764" s="2"/>
      <c r="Z1764" s="2"/>
      <c r="AA1764" s="2" t="s">
        <v>127</v>
      </c>
      <c r="AB1764" s="2" t="s">
        <v>73</v>
      </c>
      <c r="AC1764" s="4" t="s">
        <v>44</v>
      </c>
    </row>
    <row r="1765" spans="1:29" x14ac:dyDescent="0.25">
      <c r="A1765" s="1">
        <v>3089</v>
      </c>
      <c r="B1765" s="17" t="s">
        <v>8484</v>
      </c>
      <c r="C1765" s="2" t="s">
        <v>8485</v>
      </c>
      <c r="D1765" s="15" t="s">
        <v>8486</v>
      </c>
      <c r="E1765" s="9" t="s">
        <v>8487</v>
      </c>
      <c r="F1765" s="9" t="s">
        <v>4136</v>
      </c>
      <c r="G1765" s="9" t="s">
        <v>107</v>
      </c>
      <c r="H1765" s="2" t="s">
        <v>60</v>
      </c>
      <c r="I1765" s="3">
        <v>36309</v>
      </c>
      <c r="J1765" s="9" t="str">
        <f t="shared" ca="1" si="29"/>
        <v>24 ans</v>
      </c>
      <c r="K1765" s="2" t="s">
        <v>123</v>
      </c>
      <c r="L1765" s="2" t="str">
        <f>"302"</f>
        <v>302</v>
      </c>
      <c r="M1765" s="2"/>
      <c r="N1765" s="2" t="str">
        <f>"RUE BRUNET"</f>
        <v>RUE BRUNET</v>
      </c>
      <c r="O1765" s="2" t="s">
        <v>8260</v>
      </c>
      <c r="P1765" s="9" t="str">
        <f>VLOOKUP($O1765,'Liste des Villes'!$B$2:$B$1128,1,FALSE)</f>
        <v>Saint-Hippolyte</v>
      </c>
      <c r="Q1765" s="9" t="str">
        <f>IFERROR($P1765,PROPER(VLOOKUP($O1765,'Villes en erreur'!$A$2:$B$72,2,FALSE)))</f>
        <v>Saint-Hippolyte</v>
      </c>
      <c r="R1765" s="9" t="s">
        <v>8261</v>
      </c>
      <c r="S1765" s="9" t="str">
        <f>IF(ISBLANK($R1765),"",VLOOKUP($R1765,'Liste des Villes'!$B$2:$H$1128,4,FALSE))</f>
        <v>Laurentides</v>
      </c>
      <c r="T1765" s="2" t="s">
        <v>8488</v>
      </c>
      <c r="U1765" s="2" t="s">
        <v>39</v>
      </c>
      <c r="V1765" s="2" t="s">
        <v>40</v>
      </c>
      <c r="W1765" s="2" t="s">
        <v>8489</v>
      </c>
      <c r="X1765" s="2"/>
      <c r="Y1765" s="2"/>
      <c r="Z1765" s="2"/>
      <c r="AA1765" s="2" t="s">
        <v>832</v>
      </c>
      <c r="AB1765" s="2" t="s">
        <v>73</v>
      </c>
      <c r="AC1765" s="4" t="s">
        <v>44</v>
      </c>
    </row>
    <row r="1766" spans="1:29" x14ac:dyDescent="0.25">
      <c r="A1766" s="1">
        <v>2417</v>
      </c>
      <c r="B1766" s="17" t="s">
        <v>8490</v>
      </c>
      <c r="C1766" s="2" t="s">
        <v>8491</v>
      </c>
      <c r="D1766" s="15" t="s">
        <v>3350</v>
      </c>
      <c r="E1766" s="9" t="s">
        <v>2175</v>
      </c>
      <c r="F1766" s="9" t="s">
        <v>164</v>
      </c>
      <c r="G1766" s="9" t="s">
        <v>107</v>
      </c>
      <c r="H1766" s="2" t="s">
        <v>60</v>
      </c>
      <c r="I1766" s="3">
        <v>36309</v>
      </c>
      <c r="J1766" s="9" t="str">
        <f t="shared" ca="1" si="29"/>
        <v>24 ans</v>
      </c>
      <c r="K1766" s="2" t="s">
        <v>123</v>
      </c>
      <c r="L1766" s="2" t="str">
        <f>"301"</f>
        <v>301</v>
      </c>
      <c r="M1766" s="2"/>
      <c r="N1766" s="2" t="str">
        <f>"RUE BRUNET"</f>
        <v>RUE BRUNET</v>
      </c>
      <c r="O1766" s="2" t="s">
        <v>8260</v>
      </c>
      <c r="P1766" s="9" t="str">
        <f>VLOOKUP($O1766,'Liste des Villes'!$B$2:$B$1128,1,FALSE)</f>
        <v>Saint-Hippolyte</v>
      </c>
      <c r="Q1766" s="9" t="str">
        <f>IFERROR($P1766,PROPER(VLOOKUP($O1766,'Villes en erreur'!$A$2:$B$72,2,FALSE)))</f>
        <v>Saint-Hippolyte</v>
      </c>
      <c r="R1766" s="9" t="s">
        <v>8261</v>
      </c>
      <c r="S1766" s="9" t="str">
        <f>IF(ISBLANK($R1766),"",VLOOKUP($R1766,'Liste des Villes'!$B$2:$H$1128,4,FALSE))</f>
        <v>Laurentides</v>
      </c>
      <c r="T1766" s="2" t="s">
        <v>8492</v>
      </c>
      <c r="U1766" s="2" t="s">
        <v>39</v>
      </c>
      <c r="V1766" s="2" t="s">
        <v>40</v>
      </c>
      <c r="W1766" s="2" t="s">
        <v>8493</v>
      </c>
      <c r="X1766" s="2"/>
      <c r="Y1766" s="2"/>
      <c r="Z1766" s="2"/>
      <c r="AA1766" s="2" t="s">
        <v>832</v>
      </c>
      <c r="AB1766" s="2" t="s">
        <v>73</v>
      </c>
      <c r="AC1766" s="4" t="s">
        <v>44</v>
      </c>
    </row>
    <row r="1767" spans="1:29" x14ac:dyDescent="0.25">
      <c r="A1767" s="1">
        <v>891</v>
      </c>
      <c r="B1767" s="17" t="s">
        <v>8494</v>
      </c>
      <c r="C1767" s="2" t="s">
        <v>8030</v>
      </c>
      <c r="D1767" s="15" t="s">
        <v>4330</v>
      </c>
      <c r="E1767" s="9" t="s">
        <v>3485</v>
      </c>
      <c r="F1767" s="9" t="s">
        <v>8495</v>
      </c>
      <c r="G1767" s="9" t="s">
        <v>404</v>
      </c>
      <c r="H1767" s="2" t="s">
        <v>35</v>
      </c>
      <c r="I1767" s="3">
        <v>36347</v>
      </c>
      <c r="J1767" s="9" t="str">
        <f t="shared" ca="1" si="29"/>
        <v>24 ans</v>
      </c>
      <c r="K1767" s="2" t="s">
        <v>123</v>
      </c>
      <c r="L1767" s="2" t="str">
        <f>"314"</f>
        <v>314</v>
      </c>
      <c r="M1767" s="2"/>
      <c r="N1767" s="2" t="str">
        <f>"RUE CENTRALE"</f>
        <v>RUE CENTRALE</v>
      </c>
      <c r="O1767" s="2" t="s">
        <v>8260</v>
      </c>
      <c r="P1767" s="9" t="str">
        <f>VLOOKUP($O1767,'Liste des Villes'!$B$2:$B$1128,1,FALSE)</f>
        <v>Saint-Hippolyte</v>
      </c>
      <c r="Q1767" s="9" t="str">
        <f>IFERROR($P1767,PROPER(VLOOKUP($O1767,'Villes en erreur'!$A$2:$B$72,2,FALSE)))</f>
        <v>Saint-Hippolyte</v>
      </c>
      <c r="R1767" s="9" t="s">
        <v>8261</v>
      </c>
      <c r="S1767" s="9" t="str">
        <f>IF(ISBLANK($R1767),"",VLOOKUP($R1767,'Liste des Villes'!$B$2:$H$1128,4,FALSE))</f>
        <v>Laurentides</v>
      </c>
      <c r="T1767" s="2" t="s">
        <v>8318</v>
      </c>
      <c r="U1767" s="2" t="s">
        <v>39</v>
      </c>
      <c r="V1767" s="2" t="s">
        <v>40</v>
      </c>
      <c r="W1767" s="2" t="s">
        <v>8496</v>
      </c>
      <c r="X1767" s="2"/>
      <c r="Y1767" s="2"/>
      <c r="Z1767" s="2"/>
      <c r="AA1767" s="2" t="s">
        <v>127</v>
      </c>
      <c r="AB1767" s="2" t="s">
        <v>73</v>
      </c>
      <c r="AC1767" s="4" t="s">
        <v>44</v>
      </c>
    </row>
    <row r="1768" spans="1:29" x14ac:dyDescent="0.25">
      <c r="A1768" s="1">
        <v>1519</v>
      </c>
      <c r="B1768" s="17" t="s">
        <v>8497</v>
      </c>
      <c r="C1768" s="2" t="s">
        <v>8498</v>
      </c>
      <c r="D1768" s="15" t="s">
        <v>6732</v>
      </c>
      <c r="E1768" s="9" t="s">
        <v>622</v>
      </c>
      <c r="F1768" s="9" t="s">
        <v>6731</v>
      </c>
      <c r="G1768" s="9" t="s">
        <v>4329</v>
      </c>
      <c r="H1768" s="2" t="s">
        <v>60</v>
      </c>
      <c r="I1768" s="3">
        <v>36337</v>
      </c>
      <c r="J1768" s="9" t="str">
        <f t="shared" ca="1" si="29"/>
        <v>24 ans</v>
      </c>
      <c r="K1768" s="2" t="s">
        <v>123</v>
      </c>
      <c r="L1768" s="2" t="str">
        <f>"311"</f>
        <v>311</v>
      </c>
      <c r="M1768" s="2"/>
      <c r="N1768" s="2" t="str">
        <f>"RUE CARTIER"</f>
        <v>RUE CARTIER</v>
      </c>
      <c r="O1768" s="2" t="s">
        <v>8260</v>
      </c>
      <c r="P1768" s="9" t="str">
        <f>VLOOKUP($O1768,'Liste des Villes'!$B$2:$B$1128,1,FALSE)</f>
        <v>Saint-Hippolyte</v>
      </c>
      <c r="Q1768" s="9" t="str">
        <f>IFERROR($P1768,PROPER(VLOOKUP($O1768,'Villes en erreur'!$A$2:$B$72,2,FALSE)))</f>
        <v>Saint-Hippolyte</v>
      </c>
      <c r="R1768" s="9" t="s">
        <v>8261</v>
      </c>
      <c r="S1768" s="9" t="str">
        <f>IF(ISBLANK($R1768),"",VLOOKUP($R1768,'Liste des Villes'!$B$2:$H$1128,4,FALSE))</f>
        <v>Laurentides</v>
      </c>
      <c r="T1768" s="2" t="s">
        <v>8499</v>
      </c>
      <c r="U1768" s="2" t="s">
        <v>39</v>
      </c>
      <c r="V1768" s="2" t="s">
        <v>40</v>
      </c>
      <c r="W1768" s="2" t="s">
        <v>8500</v>
      </c>
      <c r="X1768" s="2"/>
      <c r="Y1768" s="2"/>
      <c r="Z1768" s="2"/>
      <c r="AA1768" s="2" t="s">
        <v>127</v>
      </c>
      <c r="AB1768" s="2" t="s">
        <v>73</v>
      </c>
      <c r="AC1768" s="4" t="s">
        <v>44</v>
      </c>
    </row>
    <row r="1769" spans="1:29" x14ac:dyDescent="0.25">
      <c r="A1769" s="1">
        <v>225</v>
      </c>
      <c r="B1769" s="17" t="s">
        <v>8501</v>
      </c>
      <c r="C1769" s="2" t="s">
        <v>8502</v>
      </c>
      <c r="D1769" s="15" t="s">
        <v>8503</v>
      </c>
      <c r="E1769" s="9" t="s">
        <v>8504</v>
      </c>
      <c r="F1769" s="9" t="s">
        <v>2837</v>
      </c>
      <c r="G1769" s="9" t="s">
        <v>107</v>
      </c>
      <c r="H1769" s="2" t="s">
        <v>60</v>
      </c>
      <c r="I1769" s="3">
        <v>36307</v>
      </c>
      <c r="J1769" s="9" t="str">
        <f t="shared" ca="1" si="29"/>
        <v>24 ans</v>
      </c>
      <c r="K1769" s="2" t="s">
        <v>123</v>
      </c>
      <c r="L1769" s="2" t="str">
        <f>"300"</f>
        <v>300</v>
      </c>
      <c r="M1769" s="2"/>
      <c r="N1769" s="2" t="str">
        <f>"RUE BRUCHÉSI"</f>
        <v>RUE BRUCHÉSI</v>
      </c>
      <c r="O1769" s="2" t="s">
        <v>8260</v>
      </c>
      <c r="P1769" s="9" t="str">
        <f>VLOOKUP($O1769,'Liste des Villes'!$B$2:$B$1128,1,FALSE)</f>
        <v>Saint-Hippolyte</v>
      </c>
      <c r="Q1769" s="9" t="str">
        <f>IFERROR($P1769,PROPER(VLOOKUP($O1769,'Villes en erreur'!$A$2:$B$72,2,FALSE)))</f>
        <v>Saint-Hippolyte</v>
      </c>
      <c r="R1769" s="9" t="s">
        <v>8261</v>
      </c>
      <c r="S1769" s="9" t="str">
        <f>IF(ISBLANK($R1769),"",VLOOKUP($R1769,'Liste des Villes'!$B$2:$H$1128,4,FALSE))</f>
        <v>Laurentides</v>
      </c>
      <c r="T1769" s="2" t="s">
        <v>8505</v>
      </c>
      <c r="U1769" s="2" t="s">
        <v>39</v>
      </c>
      <c r="V1769" s="2" t="s">
        <v>40</v>
      </c>
      <c r="W1769" s="2" t="s">
        <v>8506</v>
      </c>
      <c r="X1769" s="2"/>
      <c r="Y1769" s="2"/>
      <c r="Z1769" s="2"/>
      <c r="AA1769" s="2" t="s">
        <v>832</v>
      </c>
      <c r="AB1769" s="2" t="s">
        <v>73</v>
      </c>
      <c r="AC1769" s="4" t="s">
        <v>44</v>
      </c>
    </row>
    <row r="1770" spans="1:29" x14ac:dyDescent="0.25">
      <c r="A1770" s="1">
        <v>2800</v>
      </c>
      <c r="B1770" s="17" t="s">
        <v>8507</v>
      </c>
      <c r="C1770" s="2" t="s">
        <v>8508</v>
      </c>
      <c r="D1770" s="15" t="s">
        <v>8152</v>
      </c>
      <c r="E1770" s="9" t="s">
        <v>348</v>
      </c>
      <c r="F1770" s="9" t="s">
        <v>8151</v>
      </c>
      <c r="G1770" s="9" t="s">
        <v>8509</v>
      </c>
      <c r="H1770" s="2" t="s">
        <v>60</v>
      </c>
      <c r="I1770" s="3">
        <v>36307</v>
      </c>
      <c r="J1770" s="9" t="str">
        <f t="shared" ca="1" si="29"/>
        <v>24 ans</v>
      </c>
      <c r="K1770" s="2" t="s">
        <v>123</v>
      </c>
      <c r="L1770" s="2" t="str">
        <f>"300"</f>
        <v>300</v>
      </c>
      <c r="M1770" s="2"/>
      <c r="N1770" s="2" t="str">
        <f>"RUE BROSSEAU"</f>
        <v>RUE BROSSEAU</v>
      </c>
      <c r="O1770" s="2" t="s">
        <v>8260</v>
      </c>
      <c r="P1770" s="9" t="str">
        <f>VLOOKUP($O1770,'Liste des Villes'!$B$2:$B$1128,1,FALSE)</f>
        <v>Saint-Hippolyte</v>
      </c>
      <c r="Q1770" s="9" t="str">
        <f>IFERROR($P1770,PROPER(VLOOKUP($O1770,'Villes en erreur'!$A$2:$B$72,2,FALSE)))</f>
        <v>Saint-Hippolyte</v>
      </c>
      <c r="R1770" s="9" t="s">
        <v>8261</v>
      </c>
      <c r="S1770" s="9" t="str">
        <f>IF(ISBLANK($R1770),"",VLOOKUP($R1770,'Liste des Villes'!$B$2:$H$1128,4,FALSE))</f>
        <v>Laurentides</v>
      </c>
      <c r="T1770" s="2" t="s">
        <v>8390</v>
      </c>
      <c r="U1770" s="2" t="s">
        <v>39</v>
      </c>
      <c r="V1770" s="2" t="s">
        <v>40</v>
      </c>
      <c r="W1770" s="2" t="s">
        <v>8510</v>
      </c>
      <c r="X1770" s="2"/>
      <c r="Y1770" s="2"/>
      <c r="Z1770" s="2"/>
      <c r="AA1770" s="2" t="s">
        <v>832</v>
      </c>
      <c r="AB1770" s="2" t="s">
        <v>73</v>
      </c>
      <c r="AC1770" s="4" t="s">
        <v>44</v>
      </c>
    </row>
    <row r="1771" spans="1:29" x14ac:dyDescent="0.25">
      <c r="A1771" s="1">
        <v>65</v>
      </c>
      <c r="B1771" s="17" t="s">
        <v>8511</v>
      </c>
      <c r="C1771" s="2" t="s">
        <v>3483</v>
      </c>
      <c r="D1771" s="15" t="s">
        <v>3484</v>
      </c>
      <c r="E1771" s="9" t="s">
        <v>3485</v>
      </c>
      <c r="F1771" s="9" t="s">
        <v>4870</v>
      </c>
      <c r="G1771" s="9" t="s">
        <v>1553</v>
      </c>
      <c r="H1771" s="2" t="s">
        <v>60</v>
      </c>
      <c r="I1771" s="3">
        <v>36271</v>
      </c>
      <c r="J1771" s="9" t="str">
        <f t="shared" ca="1" si="29"/>
        <v>24 ans</v>
      </c>
      <c r="K1771" s="2" t="s">
        <v>123</v>
      </c>
      <c r="L1771" s="2" t="str">
        <f>"279"</f>
        <v>279</v>
      </c>
      <c r="M1771" s="2"/>
      <c r="N1771" s="2" t="str">
        <f>"RUE BLONDIN"</f>
        <v>RUE BLONDIN</v>
      </c>
      <c r="O1771" s="2" t="s">
        <v>8260</v>
      </c>
      <c r="P1771" s="9" t="str">
        <f>VLOOKUP($O1771,'Liste des Villes'!$B$2:$B$1128,1,FALSE)</f>
        <v>Saint-Hippolyte</v>
      </c>
      <c r="Q1771" s="9" t="str">
        <f>IFERROR($P1771,PROPER(VLOOKUP($O1771,'Villes en erreur'!$A$2:$B$72,2,FALSE)))</f>
        <v>Saint-Hippolyte</v>
      </c>
      <c r="R1771" s="9" t="s">
        <v>8261</v>
      </c>
      <c r="S1771" s="9" t="str">
        <f>IF(ISBLANK($R1771),"",VLOOKUP($R1771,'Liste des Villes'!$B$2:$H$1128,4,FALSE))</f>
        <v>Laurentides</v>
      </c>
      <c r="T1771" s="2" t="s">
        <v>8512</v>
      </c>
      <c r="U1771" s="2" t="s">
        <v>39</v>
      </c>
      <c r="V1771" s="2" t="s">
        <v>40</v>
      </c>
      <c r="W1771" s="2" t="s">
        <v>8513</v>
      </c>
      <c r="X1771" s="2"/>
      <c r="Y1771" s="2"/>
      <c r="Z1771" s="2"/>
      <c r="AA1771" s="2" t="s">
        <v>832</v>
      </c>
      <c r="AB1771" s="2" t="s">
        <v>73</v>
      </c>
      <c r="AC1771" s="4" t="s">
        <v>44</v>
      </c>
    </row>
    <row r="1772" spans="1:29" x14ac:dyDescent="0.25">
      <c r="A1772" s="1">
        <v>9</v>
      </c>
      <c r="B1772" s="17" t="s">
        <v>8514</v>
      </c>
      <c r="C1772" s="2" t="s">
        <v>8515</v>
      </c>
      <c r="D1772" s="15" t="s">
        <v>6977</v>
      </c>
      <c r="E1772" s="9" t="s">
        <v>5681</v>
      </c>
      <c r="F1772" s="9" t="s">
        <v>1716</v>
      </c>
      <c r="G1772" s="9" t="s">
        <v>7546</v>
      </c>
      <c r="H1772" s="2" t="s">
        <v>60</v>
      </c>
      <c r="I1772" s="3">
        <v>36276</v>
      </c>
      <c r="J1772" s="9" t="str">
        <f t="shared" ca="1" si="29"/>
        <v>24 ans</v>
      </c>
      <c r="K1772" s="2" t="s">
        <v>123</v>
      </c>
      <c r="L1772" s="2" t="str">
        <f>"282"</f>
        <v>282</v>
      </c>
      <c r="M1772" s="2"/>
      <c r="N1772" s="2" t="str">
        <f>"RUE BOILEAU"</f>
        <v>RUE BOILEAU</v>
      </c>
      <c r="O1772" s="2" t="s">
        <v>8260</v>
      </c>
      <c r="P1772" s="9" t="str">
        <f>VLOOKUP($O1772,'Liste des Villes'!$B$2:$B$1128,1,FALSE)</f>
        <v>Saint-Hippolyte</v>
      </c>
      <c r="Q1772" s="9" t="str">
        <f>IFERROR($P1772,PROPER(VLOOKUP($O1772,'Villes en erreur'!$A$2:$B$72,2,FALSE)))</f>
        <v>Saint-Hippolyte</v>
      </c>
      <c r="R1772" s="9" t="s">
        <v>8261</v>
      </c>
      <c r="S1772" s="9" t="str">
        <f>IF(ISBLANK($R1772),"",VLOOKUP($R1772,'Liste des Villes'!$B$2:$H$1128,4,FALSE))</f>
        <v>Laurentides</v>
      </c>
      <c r="T1772" s="2" t="s">
        <v>8310</v>
      </c>
      <c r="U1772" s="2" t="s">
        <v>39</v>
      </c>
      <c r="V1772" s="2" t="s">
        <v>40</v>
      </c>
      <c r="W1772" s="2" t="s">
        <v>8516</v>
      </c>
      <c r="X1772" s="2"/>
      <c r="Y1772" s="2"/>
      <c r="Z1772" s="2"/>
      <c r="AA1772" s="2" t="s">
        <v>832</v>
      </c>
      <c r="AB1772" s="2" t="s">
        <v>73</v>
      </c>
      <c r="AC1772" s="4" t="s">
        <v>44</v>
      </c>
    </row>
    <row r="1773" spans="1:29" x14ac:dyDescent="0.25">
      <c r="A1773" s="1">
        <v>1446</v>
      </c>
      <c r="B1773" s="17" t="s">
        <v>8517</v>
      </c>
      <c r="C1773" s="2" t="s">
        <v>8518</v>
      </c>
      <c r="D1773" s="15" t="s">
        <v>8519</v>
      </c>
      <c r="E1773" s="9" t="s">
        <v>610</v>
      </c>
      <c r="F1773" s="9" t="s">
        <v>2099</v>
      </c>
      <c r="G1773" s="9" t="s">
        <v>8520</v>
      </c>
      <c r="H1773" s="2" t="s">
        <v>35</v>
      </c>
      <c r="I1773" s="3">
        <v>36339</v>
      </c>
      <c r="J1773" s="9" t="str">
        <f t="shared" ca="1" si="29"/>
        <v>24 ans</v>
      </c>
      <c r="K1773" s="2" t="s">
        <v>123</v>
      </c>
      <c r="L1773" s="2" t="str">
        <f>"312"</f>
        <v>312</v>
      </c>
      <c r="M1773" s="2"/>
      <c r="N1773" s="2" t="str">
        <f>"RUE CASAUBON"</f>
        <v>RUE CASAUBON</v>
      </c>
      <c r="O1773" s="2" t="s">
        <v>8260</v>
      </c>
      <c r="P1773" s="9" t="str">
        <f>VLOOKUP($O1773,'Liste des Villes'!$B$2:$B$1128,1,FALSE)</f>
        <v>Saint-Hippolyte</v>
      </c>
      <c r="Q1773" s="9" t="str">
        <f>IFERROR($P1773,PROPER(VLOOKUP($O1773,'Villes en erreur'!$A$2:$B$72,2,FALSE)))</f>
        <v>Saint-Hippolyte</v>
      </c>
      <c r="R1773" s="9" t="s">
        <v>8261</v>
      </c>
      <c r="S1773" s="9" t="str">
        <f>IF(ISBLANK($R1773),"",VLOOKUP($R1773,'Liste des Villes'!$B$2:$H$1128,4,FALSE))</f>
        <v>Laurentides</v>
      </c>
      <c r="T1773" s="2" t="s">
        <v>8409</v>
      </c>
      <c r="U1773" s="2" t="s">
        <v>39</v>
      </c>
      <c r="V1773" s="2" t="s">
        <v>40</v>
      </c>
      <c r="W1773" s="2" t="s">
        <v>8521</v>
      </c>
      <c r="X1773" s="2"/>
      <c r="Y1773" s="2"/>
      <c r="Z1773" s="2"/>
      <c r="AA1773" s="2" t="s">
        <v>127</v>
      </c>
      <c r="AB1773" s="2" t="s">
        <v>73</v>
      </c>
      <c r="AC1773" s="4" t="s">
        <v>44</v>
      </c>
    </row>
    <row r="1774" spans="1:29" x14ac:dyDescent="0.25">
      <c r="A1774" s="1">
        <v>810</v>
      </c>
      <c r="B1774" s="17" t="s">
        <v>8522</v>
      </c>
      <c r="C1774" s="2" t="s">
        <v>8523</v>
      </c>
      <c r="D1774" s="15" t="s">
        <v>1983</v>
      </c>
      <c r="E1774" s="9" t="s">
        <v>8524</v>
      </c>
      <c r="F1774" s="9" t="s">
        <v>8525</v>
      </c>
      <c r="G1774" s="9" t="s">
        <v>107</v>
      </c>
      <c r="H1774" s="2" t="s">
        <v>60</v>
      </c>
      <c r="I1774" s="3">
        <v>36318</v>
      </c>
      <c r="J1774" s="9" t="str">
        <f t="shared" ca="1" si="29"/>
        <v>24 ans</v>
      </c>
      <c r="K1774" s="2" t="s">
        <v>123</v>
      </c>
      <c r="L1774" s="2" t="str">
        <f>"305"</f>
        <v>305</v>
      </c>
      <c r="M1774" s="2"/>
      <c r="N1774" s="2" t="str">
        <f>"RUE CALIXA-LAVALLÉE"</f>
        <v>RUE CALIXA-LAVALLÉE</v>
      </c>
      <c r="O1774" s="2" t="s">
        <v>8260</v>
      </c>
      <c r="P1774" s="9" t="str">
        <f>VLOOKUP($O1774,'Liste des Villes'!$B$2:$B$1128,1,FALSE)</f>
        <v>Saint-Hippolyte</v>
      </c>
      <c r="Q1774" s="9" t="str">
        <f>IFERROR($P1774,PROPER(VLOOKUP($O1774,'Villes en erreur'!$A$2:$B$72,2,FALSE)))</f>
        <v>Saint-Hippolyte</v>
      </c>
      <c r="R1774" s="9" t="s">
        <v>8261</v>
      </c>
      <c r="S1774" s="9" t="str">
        <f>IF(ISBLANK($R1774),"",VLOOKUP($R1774,'Liste des Villes'!$B$2:$H$1128,4,FALSE))</f>
        <v>Laurentides</v>
      </c>
      <c r="T1774" s="2" t="s">
        <v>8526</v>
      </c>
      <c r="U1774" s="2" t="s">
        <v>39</v>
      </c>
      <c r="V1774" s="2" t="s">
        <v>40</v>
      </c>
      <c r="W1774" s="2" t="s">
        <v>8527</v>
      </c>
      <c r="X1774" s="2"/>
      <c r="Y1774" s="2"/>
      <c r="Z1774" s="2"/>
      <c r="AA1774" s="2" t="s">
        <v>832</v>
      </c>
      <c r="AB1774" s="2" t="s">
        <v>73</v>
      </c>
      <c r="AC1774" s="4" t="s">
        <v>44</v>
      </c>
    </row>
    <row r="1775" spans="1:29" x14ac:dyDescent="0.25">
      <c r="A1775" s="1">
        <v>370</v>
      </c>
      <c r="B1775" s="17" t="s">
        <v>8528</v>
      </c>
      <c r="C1775" s="2" t="s">
        <v>8529</v>
      </c>
      <c r="D1775" s="15" t="s">
        <v>2010</v>
      </c>
      <c r="E1775" s="9" t="s">
        <v>8530</v>
      </c>
      <c r="F1775" s="9" t="s">
        <v>1076</v>
      </c>
      <c r="G1775" s="9" t="s">
        <v>4533</v>
      </c>
      <c r="H1775" s="2" t="s">
        <v>60</v>
      </c>
      <c r="I1775" s="3">
        <v>36273</v>
      </c>
      <c r="J1775" s="9" t="str">
        <f t="shared" ca="1" si="29"/>
        <v>24 ans</v>
      </c>
      <c r="K1775" s="2" t="s">
        <v>123</v>
      </c>
      <c r="L1775" s="2" t="str">
        <f>"280"</f>
        <v>280</v>
      </c>
      <c r="M1775" s="2"/>
      <c r="N1775" s="2" t="str">
        <f>"RUE BLONDIN"</f>
        <v>RUE BLONDIN</v>
      </c>
      <c r="O1775" s="2" t="s">
        <v>8260</v>
      </c>
      <c r="P1775" s="9" t="str">
        <f>VLOOKUP($O1775,'Liste des Villes'!$B$2:$B$1128,1,FALSE)</f>
        <v>Saint-Hippolyte</v>
      </c>
      <c r="Q1775" s="9" t="str">
        <f>IFERROR($P1775,PROPER(VLOOKUP($O1775,'Villes en erreur'!$A$2:$B$72,2,FALSE)))</f>
        <v>Saint-Hippolyte</v>
      </c>
      <c r="R1775" s="9" t="s">
        <v>8261</v>
      </c>
      <c r="S1775" s="9" t="str">
        <f>IF(ISBLANK($R1775),"",VLOOKUP($R1775,'Liste des Villes'!$B$2:$H$1128,4,FALSE))</f>
        <v>Laurentides</v>
      </c>
      <c r="T1775" s="2" t="s">
        <v>8512</v>
      </c>
      <c r="U1775" s="2" t="s">
        <v>39</v>
      </c>
      <c r="V1775" s="2" t="s">
        <v>40</v>
      </c>
      <c r="W1775" s="2" t="s">
        <v>8531</v>
      </c>
      <c r="X1775" s="2"/>
      <c r="Y1775" s="2"/>
      <c r="Z1775" s="2"/>
      <c r="AA1775" s="2" t="s">
        <v>832</v>
      </c>
      <c r="AB1775" s="2" t="s">
        <v>73</v>
      </c>
      <c r="AC1775" s="4" t="s">
        <v>44</v>
      </c>
    </row>
    <row r="1776" spans="1:29" x14ac:dyDescent="0.25">
      <c r="A1776" s="1">
        <v>1696</v>
      </c>
      <c r="B1776" s="17" t="s">
        <v>8532</v>
      </c>
      <c r="C1776" s="2" t="s">
        <v>3601</v>
      </c>
      <c r="D1776" s="15" t="s">
        <v>1167</v>
      </c>
      <c r="E1776" s="9" t="s">
        <v>3397</v>
      </c>
      <c r="F1776" s="9" t="s">
        <v>5948</v>
      </c>
      <c r="G1776" s="9" t="s">
        <v>3300</v>
      </c>
      <c r="H1776" s="2" t="s">
        <v>60</v>
      </c>
      <c r="I1776" s="3">
        <v>36273</v>
      </c>
      <c r="J1776" s="9" t="str">
        <f t="shared" ca="1" si="29"/>
        <v>24 ans</v>
      </c>
      <c r="K1776" s="2" t="s">
        <v>123</v>
      </c>
      <c r="L1776" s="2" t="str">
        <f>"279"</f>
        <v>279</v>
      </c>
      <c r="M1776" s="2"/>
      <c r="N1776" s="2" t="str">
        <f>"RUE BLONDIN"</f>
        <v>RUE BLONDIN</v>
      </c>
      <c r="O1776" s="2" t="s">
        <v>8260</v>
      </c>
      <c r="P1776" s="9" t="str">
        <f>VLOOKUP($O1776,'Liste des Villes'!$B$2:$B$1128,1,FALSE)</f>
        <v>Saint-Hippolyte</v>
      </c>
      <c r="Q1776" s="9" t="str">
        <f>IFERROR($P1776,PROPER(VLOOKUP($O1776,'Villes en erreur'!$A$2:$B$72,2,FALSE)))</f>
        <v>Saint-Hippolyte</v>
      </c>
      <c r="R1776" s="9" t="s">
        <v>8261</v>
      </c>
      <c r="S1776" s="9" t="str">
        <f>IF(ISBLANK($R1776),"",VLOOKUP($R1776,'Liste des Villes'!$B$2:$H$1128,4,FALSE))</f>
        <v>Laurentides</v>
      </c>
      <c r="T1776" s="2" t="s">
        <v>8512</v>
      </c>
      <c r="U1776" s="2" t="s">
        <v>39</v>
      </c>
      <c r="V1776" s="2" t="s">
        <v>40</v>
      </c>
      <c r="W1776" s="2" t="s">
        <v>8533</v>
      </c>
      <c r="X1776" s="2"/>
      <c r="Y1776" s="2"/>
      <c r="Z1776" s="2"/>
      <c r="AA1776" s="2" t="s">
        <v>832</v>
      </c>
      <c r="AB1776" s="2" t="s">
        <v>73</v>
      </c>
      <c r="AC1776" s="4" t="s">
        <v>44</v>
      </c>
    </row>
    <row r="1777" spans="1:29" x14ac:dyDescent="0.25">
      <c r="A1777" s="1">
        <v>1309</v>
      </c>
      <c r="B1777" s="17" t="s">
        <v>8534</v>
      </c>
      <c r="C1777" s="2" t="s">
        <v>8535</v>
      </c>
      <c r="D1777" s="15" t="s">
        <v>460</v>
      </c>
      <c r="E1777" s="9" t="s">
        <v>5112</v>
      </c>
      <c r="F1777" s="9" t="s">
        <v>462</v>
      </c>
      <c r="G1777" s="9" t="s">
        <v>107</v>
      </c>
      <c r="H1777" s="2" t="s">
        <v>60</v>
      </c>
      <c r="I1777" s="3">
        <v>36315</v>
      </c>
      <c r="J1777" s="9" t="str">
        <f t="shared" ca="1" si="29"/>
        <v>24 ans</v>
      </c>
      <c r="K1777" s="2" t="s">
        <v>123</v>
      </c>
      <c r="L1777" s="2" t="str">
        <f>"304"</f>
        <v>304</v>
      </c>
      <c r="M1777" s="2"/>
      <c r="N1777" s="2" t="str">
        <f>"RUE CALIXA LAVALLÉE"</f>
        <v>RUE CALIXA LAVALLÉE</v>
      </c>
      <c r="O1777" s="2" t="s">
        <v>8260</v>
      </c>
      <c r="P1777" s="9" t="str">
        <f>VLOOKUP($O1777,'Liste des Villes'!$B$2:$B$1128,1,FALSE)</f>
        <v>Saint-Hippolyte</v>
      </c>
      <c r="Q1777" s="9" t="str">
        <f>IFERROR($P1777,PROPER(VLOOKUP($O1777,'Villes en erreur'!$A$2:$B$72,2,FALSE)))</f>
        <v>Saint-Hippolyte</v>
      </c>
      <c r="R1777" s="9" t="s">
        <v>8261</v>
      </c>
      <c r="S1777" s="9" t="str">
        <f>IF(ISBLANK($R1777),"",VLOOKUP($R1777,'Liste des Villes'!$B$2:$H$1128,4,FALSE))</f>
        <v>Laurentides</v>
      </c>
      <c r="T1777" s="2" t="s">
        <v>8400</v>
      </c>
      <c r="U1777" s="2" t="s">
        <v>39</v>
      </c>
      <c r="V1777" s="2" t="s">
        <v>40</v>
      </c>
      <c r="W1777" s="2" t="s">
        <v>8536</v>
      </c>
      <c r="X1777" s="2"/>
      <c r="Y1777" s="2"/>
      <c r="Z1777" s="2"/>
      <c r="AA1777" s="2" t="s">
        <v>832</v>
      </c>
      <c r="AB1777" s="2" t="s">
        <v>73</v>
      </c>
      <c r="AC1777" s="4" t="s">
        <v>44</v>
      </c>
    </row>
    <row r="1778" spans="1:29" x14ac:dyDescent="0.25">
      <c r="A1778" s="1">
        <v>1188</v>
      </c>
      <c r="B1778" s="17" t="s">
        <v>8537</v>
      </c>
      <c r="C1778" s="2" t="s">
        <v>2795</v>
      </c>
      <c r="D1778" s="15" t="s">
        <v>1592</v>
      </c>
      <c r="E1778" s="9" t="s">
        <v>2796</v>
      </c>
      <c r="F1778" s="9" t="s">
        <v>1590</v>
      </c>
      <c r="G1778" s="9" t="s">
        <v>107</v>
      </c>
      <c r="H1778" s="2" t="s">
        <v>60</v>
      </c>
      <c r="I1778" s="3">
        <v>36314</v>
      </c>
      <c r="J1778" s="9" t="str">
        <f t="shared" ca="1" si="29"/>
        <v>24 ans</v>
      </c>
      <c r="K1778" s="2" t="s">
        <v>123</v>
      </c>
      <c r="L1778" s="2" t="str">
        <f>"304"</f>
        <v>304</v>
      </c>
      <c r="M1778" s="2"/>
      <c r="N1778" s="2" t="str">
        <f>"RUE CADIEUX"</f>
        <v>RUE CADIEUX</v>
      </c>
      <c r="O1778" s="2" t="s">
        <v>8260</v>
      </c>
      <c r="P1778" s="9" t="str">
        <f>VLOOKUP($O1778,'Liste des Villes'!$B$2:$B$1128,1,FALSE)</f>
        <v>Saint-Hippolyte</v>
      </c>
      <c r="Q1778" s="9" t="str">
        <f>IFERROR($P1778,PROPER(VLOOKUP($O1778,'Villes en erreur'!$A$2:$B$72,2,FALSE)))</f>
        <v>Saint-Hippolyte</v>
      </c>
      <c r="R1778" s="9" t="s">
        <v>8261</v>
      </c>
      <c r="S1778" s="9" t="str">
        <f>IF(ISBLANK($R1778),"",VLOOKUP($R1778,'Liste des Villes'!$B$2:$H$1128,4,FALSE))</f>
        <v>Laurentides</v>
      </c>
      <c r="T1778" s="2" t="s">
        <v>8297</v>
      </c>
      <c r="U1778" s="2" t="s">
        <v>39</v>
      </c>
      <c r="V1778" s="2" t="s">
        <v>40</v>
      </c>
      <c r="W1778" s="2" t="s">
        <v>8538</v>
      </c>
      <c r="X1778" s="2"/>
      <c r="Y1778" s="2"/>
      <c r="Z1778" s="2"/>
      <c r="AA1778" s="2" t="s">
        <v>832</v>
      </c>
      <c r="AB1778" s="2" t="s">
        <v>73</v>
      </c>
      <c r="AC1778" s="4" t="s">
        <v>44</v>
      </c>
    </row>
    <row r="1779" spans="1:29" x14ac:dyDescent="0.25">
      <c r="A1779" s="1">
        <v>3186</v>
      </c>
      <c r="B1779" s="17" t="s">
        <v>8539</v>
      </c>
      <c r="C1779" s="2" t="s">
        <v>8540</v>
      </c>
      <c r="D1779" s="15" t="s">
        <v>8541</v>
      </c>
      <c r="E1779" s="9" t="s">
        <v>8542</v>
      </c>
      <c r="F1779" s="9" t="s">
        <v>8543</v>
      </c>
      <c r="G1779" s="9" t="s">
        <v>7546</v>
      </c>
      <c r="H1779" s="2" t="s">
        <v>60</v>
      </c>
      <c r="I1779" s="3">
        <v>36277</v>
      </c>
      <c r="J1779" s="9" t="str">
        <f t="shared" ca="1" si="29"/>
        <v>24 ans</v>
      </c>
      <c r="K1779" s="2" t="s">
        <v>123</v>
      </c>
      <c r="L1779" s="2" t="str">
        <f>"284"</f>
        <v>284</v>
      </c>
      <c r="M1779" s="2"/>
      <c r="N1779" s="2" t="str">
        <f>"RUE BORDEAUX"</f>
        <v>RUE BORDEAUX</v>
      </c>
      <c r="O1779" s="2" t="s">
        <v>8260</v>
      </c>
      <c r="P1779" s="9" t="str">
        <f>VLOOKUP($O1779,'Liste des Villes'!$B$2:$B$1128,1,FALSE)</f>
        <v>Saint-Hippolyte</v>
      </c>
      <c r="Q1779" s="9" t="str">
        <f>IFERROR($P1779,PROPER(VLOOKUP($O1779,'Villes en erreur'!$A$2:$B$72,2,FALSE)))</f>
        <v>Saint-Hippolyte</v>
      </c>
      <c r="R1779" s="9" t="s">
        <v>8261</v>
      </c>
      <c r="S1779" s="9" t="str">
        <f>IF(ISBLANK($R1779),"",VLOOKUP($R1779,'Liste des Villes'!$B$2:$H$1128,4,FALSE))</f>
        <v>Laurentides</v>
      </c>
      <c r="T1779" s="2" t="s">
        <v>8327</v>
      </c>
      <c r="U1779" s="2" t="s">
        <v>39</v>
      </c>
      <c r="V1779" s="2" t="s">
        <v>40</v>
      </c>
      <c r="W1779" s="2" t="s">
        <v>8359</v>
      </c>
      <c r="X1779" s="2"/>
      <c r="Y1779" s="2"/>
      <c r="Z1779" s="2"/>
      <c r="AA1779" s="2" t="s">
        <v>832</v>
      </c>
      <c r="AB1779" s="2" t="s">
        <v>73</v>
      </c>
      <c r="AC1779" s="4" t="s">
        <v>44</v>
      </c>
    </row>
    <row r="1780" spans="1:29" x14ac:dyDescent="0.25">
      <c r="A1780" s="1">
        <v>2917</v>
      </c>
      <c r="B1780" s="17" t="s">
        <v>8544</v>
      </c>
      <c r="C1780" s="2" t="s">
        <v>954</v>
      </c>
      <c r="D1780" s="15" t="s">
        <v>955</v>
      </c>
      <c r="E1780" s="9" t="s">
        <v>956</v>
      </c>
      <c r="F1780" s="9" t="s">
        <v>957</v>
      </c>
      <c r="G1780" s="9" t="s">
        <v>4231</v>
      </c>
      <c r="H1780" s="2" t="s">
        <v>60</v>
      </c>
      <c r="I1780" s="3">
        <v>36292</v>
      </c>
      <c r="J1780" s="9" t="str">
        <f t="shared" ca="1" si="29"/>
        <v>24 ans</v>
      </c>
      <c r="K1780" s="2" t="s">
        <v>123</v>
      </c>
      <c r="L1780" s="2" t="str">
        <f>"291"</f>
        <v>291</v>
      </c>
      <c r="M1780" s="2"/>
      <c r="N1780" s="2" t="str">
        <f>"RUE BRANLY"</f>
        <v>RUE BRANLY</v>
      </c>
      <c r="O1780" s="2" t="s">
        <v>8261</v>
      </c>
      <c r="P1780" s="9" t="str">
        <f>VLOOKUP($O1780,'Liste des Villes'!$B$2:$B$1128,1,FALSE)</f>
        <v>Saint-Hippolyte</v>
      </c>
      <c r="Q1780" s="9" t="str">
        <f>IFERROR($P1780,PROPER(VLOOKUP($O1780,'Villes en erreur'!$A$2:$B$72,2,FALSE)))</f>
        <v>Saint-Hippolyte</v>
      </c>
      <c r="R1780" s="9" t="s">
        <v>8261</v>
      </c>
      <c r="S1780" s="9" t="str">
        <f>IF(ISBLANK($R1780),"",VLOOKUP($R1780,'Liste des Villes'!$B$2:$H$1128,4,FALSE))</f>
        <v>Laurentides</v>
      </c>
      <c r="T1780" s="2" t="s">
        <v>8386</v>
      </c>
      <c r="U1780" s="2" t="s">
        <v>39</v>
      </c>
      <c r="V1780" s="2" t="s">
        <v>40</v>
      </c>
      <c r="W1780" s="2" t="s">
        <v>8545</v>
      </c>
      <c r="X1780" s="2"/>
      <c r="Y1780" s="2"/>
      <c r="Z1780" s="2"/>
      <c r="AA1780" s="2" t="s">
        <v>832</v>
      </c>
      <c r="AB1780" s="2" t="s">
        <v>73</v>
      </c>
      <c r="AC1780" s="4" t="s">
        <v>44</v>
      </c>
    </row>
    <row r="1781" spans="1:29" x14ac:dyDescent="0.25">
      <c r="A1781" s="1">
        <v>1094</v>
      </c>
      <c r="B1781" s="17" t="s">
        <v>8546</v>
      </c>
      <c r="C1781" s="2" t="s">
        <v>8547</v>
      </c>
      <c r="D1781" s="15" t="s">
        <v>2099</v>
      </c>
      <c r="E1781" s="9" t="s">
        <v>5038</v>
      </c>
      <c r="F1781" s="9" t="s">
        <v>2497</v>
      </c>
      <c r="G1781" s="9" t="s">
        <v>5315</v>
      </c>
      <c r="H1781" s="2" t="s">
        <v>60</v>
      </c>
      <c r="I1781" s="3">
        <v>36298</v>
      </c>
      <c r="J1781" s="9" t="str">
        <f t="shared" ca="1" si="29"/>
        <v>24 ans</v>
      </c>
      <c r="K1781" s="2" t="s">
        <v>123</v>
      </c>
      <c r="L1781" s="2" t="str">
        <f>"295"</f>
        <v>295</v>
      </c>
      <c r="M1781" s="2"/>
      <c r="N1781" s="2" t="str">
        <f>"RUE BRAULT"</f>
        <v>RUE BRAULT</v>
      </c>
      <c r="O1781" s="2" t="s">
        <v>8260</v>
      </c>
      <c r="P1781" s="9" t="str">
        <f>VLOOKUP($O1781,'Liste des Villes'!$B$2:$B$1128,1,FALSE)</f>
        <v>Saint-Hippolyte</v>
      </c>
      <c r="Q1781" s="9" t="str">
        <f>IFERROR($P1781,PROPER(VLOOKUP($O1781,'Villes en erreur'!$A$2:$B$72,2,FALSE)))</f>
        <v>Saint-Hippolyte</v>
      </c>
      <c r="R1781" s="9" t="s">
        <v>8261</v>
      </c>
      <c r="S1781" s="9" t="str">
        <f>IF(ISBLANK($R1781),"",VLOOKUP($R1781,'Liste des Villes'!$B$2:$H$1128,4,FALSE))</f>
        <v>Laurentides</v>
      </c>
      <c r="T1781" s="2" t="s">
        <v>8548</v>
      </c>
      <c r="U1781" s="2" t="s">
        <v>39</v>
      </c>
      <c r="V1781" s="2" t="s">
        <v>40</v>
      </c>
      <c r="W1781" s="2" t="s">
        <v>8549</v>
      </c>
      <c r="X1781" s="2"/>
      <c r="Y1781" s="2"/>
      <c r="Z1781" s="2"/>
      <c r="AA1781" s="2" t="s">
        <v>832</v>
      </c>
      <c r="AB1781" s="2" t="s">
        <v>73</v>
      </c>
      <c r="AC1781" s="4" t="s">
        <v>44</v>
      </c>
    </row>
    <row r="1782" spans="1:29" x14ac:dyDescent="0.25">
      <c r="A1782" s="1">
        <v>4463</v>
      </c>
      <c r="B1782" s="17" t="s">
        <v>8550</v>
      </c>
      <c r="C1782" s="2" t="s">
        <v>8551</v>
      </c>
      <c r="D1782" s="15" t="s">
        <v>510</v>
      </c>
      <c r="E1782" s="9" t="s">
        <v>8552</v>
      </c>
      <c r="F1782" s="9" t="s">
        <v>508</v>
      </c>
      <c r="G1782" s="9" t="s">
        <v>2107</v>
      </c>
      <c r="H1782" s="2" t="s">
        <v>60</v>
      </c>
      <c r="I1782" s="3">
        <v>36326</v>
      </c>
      <c r="J1782" s="9" t="str">
        <f t="shared" ca="1" si="29"/>
        <v>24 ans</v>
      </c>
      <c r="K1782" s="2" t="s">
        <v>123</v>
      </c>
      <c r="L1782" s="2" t="str">
        <f>"308"</f>
        <v>308</v>
      </c>
      <c r="M1782" s="2"/>
      <c r="N1782" s="2" t="str">
        <f>"RUE CAMUS"</f>
        <v>RUE CAMUS</v>
      </c>
      <c r="O1782" s="2" t="s">
        <v>8260</v>
      </c>
      <c r="P1782" s="9" t="str">
        <f>VLOOKUP($O1782,'Liste des Villes'!$B$2:$B$1128,1,FALSE)</f>
        <v>Saint-Hippolyte</v>
      </c>
      <c r="Q1782" s="9" t="str">
        <f>IFERROR($P1782,PROPER(VLOOKUP($O1782,'Villes en erreur'!$A$2:$B$72,2,FALSE)))</f>
        <v>Saint-Hippolyte</v>
      </c>
      <c r="R1782" s="9" t="s">
        <v>8261</v>
      </c>
      <c r="S1782" s="9" t="str">
        <f>IF(ISBLANK($R1782),"",VLOOKUP($R1782,'Liste des Villes'!$B$2:$H$1128,4,FALSE))</f>
        <v>Laurentides</v>
      </c>
      <c r="T1782" s="2" t="s">
        <v>8366</v>
      </c>
      <c r="U1782" s="2" t="s">
        <v>39</v>
      </c>
      <c r="V1782" s="2" t="s">
        <v>40</v>
      </c>
      <c r="W1782" s="2" t="s">
        <v>8553</v>
      </c>
      <c r="X1782" s="2"/>
      <c r="Y1782" s="2"/>
      <c r="Z1782" s="2"/>
      <c r="AA1782" s="2" t="s">
        <v>832</v>
      </c>
      <c r="AB1782" s="2" t="s">
        <v>73</v>
      </c>
      <c r="AC1782" s="4" t="s">
        <v>44</v>
      </c>
    </row>
    <row r="1783" spans="1:29" x14ac:dyDescent="0.25">
      <c r="A1783" s="1">
        <v>3507</v>
      </c>
      <c r="B1783" s="17" t="s">
        <v>8554</v>
      </c>
      <c r="C1783" s="2" t="s">
        <v>8555</v>
      </c>
      <c r="D1783" s="15" t="s">
        <v>1417</v>
      </c>
      <c r="E1783" s="9" t="s">
        <v>3285</v>
      </c>
      <c r="F1783" s="9" t="s">
        <v>8556</v>
      </c>
      <c r="G1783" s="9" t="s">
        <v>7546</v>
      </c>
      <c r="H1783" s="2" t="s">
        <v>60</v>
      </c>
      <c r="I1783" s="3">
        <v>36279</v>
      </c>
      <c r="J1783" s="9" t="str">
        <f t="shared" ca="1" si="29"/>
        <v>24 ans</v>
      </c>
      <c r="K1783" s="2" t="s">
        <v>123</v>
      </c>
      <c r="L1783" s="2" t="str">
        <f>"285"</f>
        <v>285</v>
      </c>
      <c r="M1783" s="2"/>
      <c r="N1783" s="2" t="str">
        <f>"RUE BOUCHARD"</f>
        <v>RUE BOUCHARD</v>
      </c>
      <c r="O1783" s="2" t="s">
        <v>8260</v>
      </c>
      <c r="P1783" s="9" t="str">
        <f>VLOOKUP($O1783,'Liste des Villes'!$B$2:$B$1128,1,FALSE)</f>
        <v>Saint-Hippolyte</v>
      </c>
      <c r="Q1783" s="9" t="str">
        <f>IFERROR($P1783,PROPER(VLOOKUP($O1783,'Villes en erreur'!$A$2:$B$72,2,FALSE)))</f>
        <v>Saint-Hippolyte</v>
      </c>
      <c r="R1783" s="9" t="s">
        <v>8261</v>
      </c>
      <c r="S1783" s="9" t="str">
        <f>IF(ISBLANK($R1783),"",VLOOKUP($R1783,'Liste des Villes'!$B$2:$H$1128,4,FALSE))</f>
        <v>Laurentides</v>
      </c>
      <c r="T1783" s="2" t="s">
        <v>8303</v>
      </c>
      <c r="U1783" s="2" t="s">
        <v>39</v>
      </c>
      <c r="V1783" s="2" t="s">
        <v>40</v>
      </c>
      <c r="W1783" s="2" t="s">
        <v>8557</v>
      </c>
      <c r="X1783" s="2"/>
      <c r="Y1783" s="2"/>
      <c r="Z1783" s="2"/>
      <c r="AA1783" s="2" t="s">
        <v>832</v>
      </c>
      <c r="AB1783" s="2" t="s">
        <v>73</v>
      </c>
      <c r="AC1783" s="4" t="s">
        <v>44</v>
      </c>
    </row>
    <row r="1784" spans="1:29" x14ac:dyDescent="0.25">
      <c r="A1784" s="1">
        <v>1232</v>
      </c>
      <c r="B1784" s="17" t="s">
        <v>8558</v>
      </c>
      <c r="C1784" s="2" t="s">
        <v>6633</v>
      </c>
      <c r="D1784" s="15" t="s">
        <v>6634</v>
      </c>
      <c r="E1784" s="9" t="s">
        <v>775</v>
      </c>
      <c r="F1784" s="9" t="s">
        <v>6635</v>
      </c>
      <c r="G1784" s="9" t="s">
        <v>1598</v>
      </c>
      <c r="H1784" s="2" t="s">
        <v>60</v>
      </c>
      <c r="I1784" s="3">
        <v>36301</v>
      </c>
      <c r="J1784" s="9" t="str">
        <f t="shared" ca="1" si="29"/>
        <v>24 ans</v>
      </c>
      <c r="K1784" s="2" t="s">
        <v>123</v>
      </c>
      <c r="L1784" s="2" t="str">
        <f>"295"</f>
        <v>295</v>
      </c>
      <c r="M1784" s="2"/>
      <c r="N1784" s="2" t="str">
        <f>"RUE BRIEN"</f>
        <v>RUE BRIEN</v>
      </c>
      <c r="O1784" s="2" t="s">
        <v>8260</v>
      </c>
      <c r="P1784" s="9" t="str">
        <f>VLOOKUP($O1784,'Liste des Villes'!$B$2:$B$1128,1,FALSE)</f>
        <v>Saint-Hippolyte</v>
      </c>
      <c r="Q1784" s="9" t="str">
        <f>IFERROR($P1784,PROPER(VLOOKUP($O1784,'Villes en erreur'!$A$2:$B$72,2,FALSE)))</f>
        <v>Saint-Hippolyte</v>
      </c>
      <c r="R1784" s="9" t="s">
        <v>8261</v>
      </c>
      <c r="S1784" s="9" t="str">
        <f>IF(ISBLANK($R1784),"",VLOOKUP($R1784,'Liste des Villes'!$B$2:$H$1128,4,FALSE))</f>
        <v>Laurentides</v>
      </c>
      <c r="T1784" s="2" t="s">
        <v>8323</v>
      </c>
      <c r="U1784" s="2" t="s">
        <v>39</v>
      </c>
      <c r="V1784" s="2" t="s">
        <v>40</v>
      </c>
      <c r="W1784" s="2" t="s">
        <v>8559</v>
      </c>
      <c r="X1784" s="2"/>
      <c r="Y1784" s="2"/>
      <c r="Z1784" s="2"/>
      <c r="AA1784" s="2" t="s">
        <v>832</v>
      </c>
      <c r="AB1784" s="2" t="s">
        <v>73</v>
      </c>
      <c r="AC1784" s="4" t="s">
        <v>44</v>
      </c>
    </row>
    <row r="1785" spans="1:29" x14ac:dyDescent="0.25">
      <c r="A1785" s="1">
        <v>4108</v>
      </c>
      <c r="B1785" s="17" t="s">
        <v>8560</v>
      </c>
      <c r="C1785" s="2" t="s">
        <v>8561</v>
      </c>
      <c r="D1785" s="15" t="s">
        <v>4463</v>
      </c>
      <c r="E1785" s="9" t="s">
        <v>1480</v>
      </c>
      <c r="F1785" s="9" t="s">
        <v>4461</v>
      </c>
      <c r="G1785" s="9" t="s">
        <v>107</v>
      </c>
      <c r="H1785" s="2" t="s">
        <v>60</v>
      </c>
      <c r="I1785" s="3">
        <v>36318</v>
      </c>
      <c r="J1785" s="9" t="str">
        <f t="shared" ca="1" si="29"/>
        <v>24 ans</v>
      </c>
      <c r="K1785" s="2" t="s">
        <v>123</v>
      </c>
      <c r="L1785" s="2" t="str">
        <f>"305"</f>
        <v>305</v>
      </c>
      <c r="M1785" s="2"/>
      <c r="N1785" s="2" t="str">
        <f>"RUE CALIXA-LAVALLÉE"</f>
        <v>RUE CALIXA-LAVALLÉE</v>
      </c>
      <c r="O1785" s="2" t="s">
        <v>8260</v>
      </c>
      <c r="P1785" s="9" t="str">
        <f>VLOOKUP($O1785,'Liste des Villes'!$B$2:$B$1128,1,FALSE)</f>
        <v>Saint-Hippolyte</v>
      </c>
      <c r="Q1785" s="9" t="str">
        <f>IFERROR($P1785,PROPER(VLOOKUP($O1785,'Villes en erreur'!$A$2:$B$72,2,FALSE)))</f>
        <v>Saint-Hippolyte</v>
      </c>
      <c r="R1785" s="9" t="s">
        <v>8261</v>
      </c>
      <c r="S1785" s="9" t="str">
        <f>IF(ISBLANK($R1785),"",VLOOKUP($R1785,'Liste des Villes'!$B$2:$H$1128,4,FALSE))</f>
        <v>Laurentides</v>
      </c>
      <c r="T1785" s="2" t="s">
        <v>8526</v>
      </c>
      <c r="U1785" s="2" t="s">
        <v>39</v>
      </c>
      <c r="V1785" s="2" t="s">
        <v>40</v>
      </c>
      <c r="W1785" s="2" t="s">
        <v>8562</v>
      </c>
      <c r="X1785" s="2"/>
      <c r="Y1785" s="2"/>
      <c r="Z1785" s="2"/>
      <c r="AA1785" s="2" t="s">
        <v>832</v>
      </c>
      <c r="AB1785" s="2" t="s">
        <v>73</v>
      </c>
      <c r="AC1785" s="4" t="s">
        <v>44</v>
      </c>
    </row>
    <row r="1786" spans="1:29" x14ac:dyDescent="0.25">
      <c r="A1786" s="1">
        <v>1095</v>
      </c>
      <c r="B1786" s="17" t="s">
        <v>8563</v>
      </c>
      <c r="C1786" s="2" t="s">
        <v>1103</v>
      </c>
      <c r="D1786" s="15" t="s">
        <v>1104</v>
      </c>
      <c r="E1786" s="9" t="s">
        <v>277</v>
      </c>
      <c r="F1786" s="9" t="s">
        <v>8564</v>
      </c>
      <c r="G1786" s="9" t="s">
        <v>4231</v>
      </c>
      <c r="H1786" s="2" t="s">
        <v>60</v>
      </c>
      <c r="I1786" s="3">
        <v>36292</v>
      </c>
      <c r="J1786" s="9" t="str">
        <f t="shared" ca="1" si="29"/>
        <v>24 ans</v>
      </c>
      <c r="K1786" s="2" t="s">
        <v>123</v>
      </c>
      <c r="L1786" s="2" t="str">
        <f>"290"</f>
        <v>290</v>
      </c>
      <c r="M1786" s="2"/>
      <c r="N1786" s="2" t="str">
        <f>"RUE BRAN"</f>
        <v>RUE BRAN</v>
      </c>
      <c r="O1786" s="2" t="s">
        <v>8260</v>
      </c>
      <c r="P1786" s="9" t="str">
        <f>VLOOKUP($O1786,'Liste des Villes'!$B$2:$B$1128,1,FALSE)</f>
        <v>Saint-Hippolyte</v>
      </c>
      <c r="Q1786" s="9" t="str">
        <f>IFERROR($P1786,PROPER(VLOOKUP($O1786,'Villes en erreur'!$A$2:$B$72,2,FALSE)))</f>
        <v>Saint-Hippolyte</v>
      </c>
      <c r="R1786" s="9" t="s">
        <v>8261</v>
      </c>
      <c r="S1786" s="9" t="str">
        <f>IF(ISBLANK($R1786),"",VLOOKUP($R1786,'Liste des Villes'!$B$2:$H$1128,4,FALSE))</f>
        <v>Laurentides</v>
      </c>
      <c r="T1786" s="2" t="s">
        <v>8386</v>
      </c>
      <c r="U1786" s="2" t="s">
        <v>39</v>
      </c>
      <c r="V1786" s="2" t="s">
        <v>40</v>
      </c>
      <c r="W1786" s="2" t="s">
        <v>8565</v>
      </c>
      <c r="X1786" s="2"/>
      <c r="Y1786" s="2"/>
      <c r="Z1786" s="2"/>
      <c r="AA1786" s="2" t="s">
        <v>832</v>
      </c>
      <c r="AB1786" s="2" t="s">
        <v>73</v>
      </c>
      <c r="AC1786" s="4" t="s">
        <v>44</v>
      </c>
    </row>
    <row r="1787" spans="1:29" x14ac:dyDescent="0.25">
      <c r="A1787" s="1">
        <v>2394</v>
      </c>
      <c r="B1787" s="17" t="s">
        <v>8566</v>
      </c>
      <c r="C1787" s="2" t="s">
        <v>8567</v>
      </c>
      <c r="D1787" s="15" t="s">
        <v>1959</v>
      </c>
      <c r="E1787" s="9" t="s">
        <v>389</v>
      </c>
      <c r="F1787" s="9" t="s">
        <v>8568</v>
      </c>
      <c r="G1787" s="9" t="s">
        <v>7128</v>
      </c>
      <c r="H1787" s="2" t="s">
        <v>60</v>
      </c>
      <c r="I1787" s="3">
        <v>36301</v>
      </c>
      <c r="J1787" s="9" t="str">
        <f t="shared" ca="1" si="29"/>
        <v>24 ans</v>
      </c>
      <c r="K1787" s="2" t="s">
        <v>123</v>
      </c>
      <c r="L1787" s="2" t="str">
        <f>"296"</f>
        <v>296</v>
      </c>
      <c r="M1787" s="2"/>
      <c r="N1787" s="2" t="str">
        <f>"RUE BRIÈRE"</f>
        <v>RUE BRIÈRE</v>
      </c>
      <c r="O1787" s="2" t="s">
        <v>8260</v>
      </c>
      <c r="P1787" s="9" t="str">
        <f>VLOOKUP($O1787,'Liste des Villes'!$B$2:$B$1128,1,FALSE)</f>
        <v>Saint-Hippolyte</v>
      </c>
      <c r="Q1787" s="9" t="str">
        <f>IFERROR($P1787,PROPER(VLOOKUP($O1787,'Villes en erreur'!$A$2:$B$72,2,FALSE)))</f>
        <v>Saint-Hippolyte</v>
      </c>
      <c r="R1787" s="9" t="s">
        <v>8261</v>
      </c>
      <c r="S1787" s="9" t="str">
        <f>IF(ISBLANK($R1787),"",VLOOKUP($R1787,'Liste des Villes'!$B$2:$H$1128,4,FALSE))</f>
        <v>Laurentides</v>
      </c>
      <c r="T1787" s="2" t="s">
        <v>8323</v>
      </c>
      <c r="U1787" s="2" t="s">
        <v>39</v>
      </c>
      <c r="V1787" s="2" t="s">
        <v>40</v>
      </c>
      <c r="W1787" s="2" t="s">
        <v>8569</v>
      </c>
      <c r="X1787" s="2"/>
      <c r="Y1787" s="2"/>
      <c r="Z1787" s="2"/>
      <c r="AA1787" s="2" t="s">
        <v>832</v>
      </c>
      <c r="AB1787" s="2" t="s">
        <v>73</v>
      </c>
      <c r="AC1787" s="4" t="s">
        <v>44</v>
      </c>
    </row>
    <row r="1788" spans="1:29" x14ac:dyDescent="0.25">
      <c r="A1788" s="1">
        <v>3335</v>
      </c>
      <c r="B1788" s="17" t="s">
        <v>8570</v>
      </c>
      <c r="C1788" s="2" t="s">
        <v>8571</v>
      </c>
      <c r="D1788" s="15" t="s">
        <v>242</v>
      </c>
      <c r="E1788" s="9" t="s">
        <v>630</v>
      </c>
      <c r="F1788" s="9" t="s">
        <v>8572</v>
      </c>
      <c r="G1788" s="9" t="s">
        <v>8425</v>
      </c>
      <c r="H1788" s="2" t="s">
        <v>60</v>
      </c>
      <c r="I1788" s="3">
        <v>36274</v>
      </c>
      <c r="J1788" s="9" t="str">
        <f t="shared" ca="1" si="29"/>
        <v>24 ans</v>
      </c>
      <c r="K1788" s="2" t="s">
        <v>123</v>
      </c>
      <c r="L1788" s="2" t="str">
        <f>"282"</f>
        <v>282</v>
      </c>
      <c r="M1788" s="2"/>
      <c r="N1788" s="2" t="str">
        <f>"RUE BOILEAU"</f>
        <v>RUE BOILEAU</v>
      </c>
      <c r="O1788" s="2" t="s">
        <v>8260</v>
      </c>
      <c r="P1788" s="9" t="str">
        <f>VLOOKUP($O1788,'Liste des Villes'!$B$2:$B$1128,1,FALSE)</f>
        <v>Saint-Hippolyte</v>
      </c>
      <c r="Q1788" s="9" t="str">
        <f>IFERROR($P1788,PROPER(VLOOKUP($O1788,'Villes en erreur'!$A$2:$B$72,2,FALSE)))</f>
        <v>Saint-Hippolyte</v>
      </c>
      <c r="R1788" s="9" t="s">
        <v>8261</v>
      </c>
      <c r="S1788" s="9" t="str">
        <f>IF(ISBLANK($R1788),"",VLOOKUP($R1788,'Liste des Villes'!$B$2:$H$1128,4,FALSE))</f>
        <v>Laurentides</v>
      </c>
      <c r="T1788" s="2" t="s">
        <v>8573</v>
      </c>
      <c r="U1788" s="2" t="s">
        <v>39</v>
      </c>
      <c r="V1788" s="2" t="s">
        <v>40</v>
      </c>
      <c r="W1788" s="2" t="s">
        <v>8574</v>
      </c>
      <c r="X1788" s="2"/>
      <c r="Y1788" s="2"/>
      <c r="Z1788" s="2"/>
      <c r="AA1788" s="2" t="s">
        <v>832</v>
      </c>
      <c r="AB1788" s="2" t="s">
        <v>73</v>
      </c>
      <c r="AC1788" s="4" t="s">
        <v>44</v>
      </c>
    </row>
    <row r="1789" spans="1:29" x14ac:dyDescent="0.25">
      <c r="A1789" s="1">
        <v>1007</v>
      </c>
      <c r="B1789" s="17" t="s">
        <v>8575</v>
      </c>
      <c r="C1789" s="2" t="s">
        <v>8576</v>
      </c>
      <c r="D1789" s="15" t="s">
        <v>8577</v>
      </c>
      <c r="E1789" s="9" t="s">
        <v>2069</v>
      </c>
      <c r="F1789" s="9" t="s">
        <v>8578</v>
      </c>
      <c r="G1789" s="9" t="s">
        <v>404</v>
      </c>
      <c r="H1789" s="2" t="s">
        <v>35</v>
      </c>
      <c r="I1789" s="3">
        <v>36346</v>
      </c>
      <c r="J1789" s="9" t="str">
        <f t="shared" ca="1" si="29"/>
        <v>24 ans</v>
      </c>
      <c r="K1789" s="2" t="s">
        <v>123</v>
      </c>
      <c r="L1789" s="2" t="str">
        <f>"314"</f>
        <v>314</v>
      </c>
      <c r="M1789" s="2"/>
      <c r="N1789" s="2" t="str">
        <f>"RUE CASTONGUAY"</f>
        <v>RUE CASTONGUAY</v>
      </c>
      <c r="O1789" s="2" t="s">
        <v>8260</v>
      </c>
      <c r="P1789" s="9" t="str">
        <f>VLOOKUP($O1789,'Liste des Villes'!$B$2:$B$1128,1,FALSE)</f>
        <v>Saint-Hippolyte</v>
      </c>
      <c r="Q1789" s="9" t="str">
        <f>IFERROR($P1789,PROPER(VLOOKUP($O1789,'Villes en erreur'!$A$2:$B$72,2,FALSE)))</f>
        <v>Saint-Hippolyte</v>
      </c>
      <c r="R1789" s="9" t="s">
        <v>8261</v>
      </c>
      <c r="S1789" s="9" t="str">
        <f>IF(ISBLANK($R1789),"",VLOOKUP($R1789,'Liste des Villes'!$B$2:$H$1128,4,FALSE))</f>
        <v>Laurentides</v>
      </c>
      <c r="T1789" s="2" t="s">
        <v>8382</v>
      </c>
      <c r="U1789" s="2" t="s">
        <v>39</v>
      </c>
      <c r="V1789" s="2" t="s">
        <v>40</v>
      </c>
      <c r="W1789" s="2" t="s">
        <v>8579</v>
      </c>
      <c r="X1789" s="2"/>
      <c r="Y1789" s="2"/>
      <c r="Z1789" s="2"/>
      <c r="AA1789" s="2" t="s">
        <v>127</v>
      </c>
      <c r="AB1789" s="2" t="s">
        <v>73</v>
      </c>
      <c r="AC1789" s="4" t="s">
        <v>44</v>
      </c>
    </row>
    <row r="1790" spans="1:29" x14ac:dyDescent="0.25">
      <c r="A1790" s="1">
        <v>4507</v>
      </c>
      <c r="B1790" s="17" t="s">
        <v>8580</v>
      </c>
      <c r="C1790" s="2" t="s">
        <v>8581</v>
      </c>
      <c r="D1790" s="15" t="s">
        <v>4050</v>
      </c>
      <c r="E1790" s="9" t="s">
        <v>8582</v>
      </c>
      <c r="F1790" s="9" t="s">
        <v>3252</v>
      </c>
      <c r="G1790" s="9" t="s">
        <v>4231</v>
      </c>
      <c r="H1790" s="2" t="s">
        <v>60</v>
      </c>
      <c r="I1790" s="3">
        <v>36291</v>
      </c>
      <c r="J1790" s="9" t="str">
        <f t="shared" ca="1" si="29"/>
        <v>24 ans</v>
      </c>
      <c r="K1790" s="2" t="s">
        <v>123</v>
      </c>
      <c r="L1790" s="2" t="str">
        <f>"290"</f>
        <v>290</v>
      </c>
      <c r="M1790" s="2"/>
      <c r="N1790" s="2" t="str">
        <f>"RUE BRAN"</f>
        <v>RUE BRAN</v>
      </c>
      <c r="O1790" s="2" t="s">
        <v>8260</v>
      </c>
      <c r="P1790" s="9" t="str">
        <f>VLOOKUP($O1790,'Liste des Villes'!$B$2:$B$1128,1,FALSE)</f>
        <v>Saint-Hippolyte</v>
      </c>
      <c r="Q1790" s="9" t="str">
        <f>IFERROR($P1790,PROPER(VLOOKUP($O1790,'Villes en erreur'!$A$2:$B$72,2,FALSE)))</f>
        <v>Saint-Hippolyte</v>
      </c>
      <c r="R1790" s="9" t="s">
        <v>8261</v>
      </c>
      <c r="S1790" s="9" t="str">
        <f>IF(ISBLANK($R1790),"",VLOOKUP($R1790,'Liste des Villes'!$B$2:$H$1128,4,FALSE))</f>
        <v>Laurentides</v>
      </c>
      <c r="T1790" s="2" t="s">
        <v>8386</v>
      </c>
      <c r="U1790" s="2" t="s">
        <v>39</v>
      </c>
      <c r="V1790" s="2" t="s">
        <v>40</v>
      </c>
      <c r="W1790" s="2" t="s">
        <v>8583</v>
      </c>
      <c r="X1790" s="2"/>
      <c r="Y1790" s="2"/>
      <c r="Z1790" s="2"/>
      <c r="AA1790" s="2" t="s">
        <v>832</v>
      </c>
      <c r="AB1790" s="2" t="s">
        <v>73</v>
      </c>
      <c r="AC1790" s="4" t="s">
        <v>44</v>
      </c>
    </row>
    <row r="1791" spans="1:29" x14ac:dyDescent="0.25">
      <c r="A1791" s="1">
        <v>3870</v>
      </c>
      <c r="B1791" s="17" t="s">
        <v>8584</v>
      </c>
      <c r="C1791" s="2" t="s">
        <v>8585</v>
      </c>
      <c r="D1791" s="15" t="s">
        <v>8586</v>
      </c>
      <c r="E1791" s="9" t="s">
        <v>5151</v>
      </c>
      <c r="F1791" s="9" t="s">
        <v>2099</v>
      </c>
      <c r="G1791" s="9" t="s">
        <v>107</v>
      </c>
      <c r="H1791" s="2" t="s">
        <v>60</v>
      </c>
      <c r="I1791" s="3">
        <v>36311</v>
      </c>
      <c r="J1791" s="9" t="str">
        <f t="shared" ca="1" si="29"/>
        <v>24 ans</v>
      </c>
      <c r="K1791" s="2" t="s">
        <v>123</v>
      </c>
      <c r="L1791" s="2" t="str">
        <f>"303"</f>
        <v>303</v>
      </c>
      <c r="M1791" s="2"/>
      <c r="N1791" s="2" t="str">
        <f>"RUE BRUNO"</f>
        <v>RUE BRUNO</v>
      </c>
      <c r="O1791" s="2" t="s">
        <v>8260</v>
      </c>
      <c r="P1791" s="9" t="str">
        <f>VLOOKUP($O1791,'Liste des Villes'!$B$2:$B$1128,1,FALSE)</f>
        <v>Saint-Hippolyte</v>
      </c>
      <c r="Q1791" s="9" t="str">
        <f>IFERROR($P1791,PROPER(VLOOKUP($O1791,'Villes en erreur'!$A$2:$B$72,2,FALSE)))</f>
        <v>Saint-Hippolyte</v>
      </c>
      <c r="R1791" s="9" t="s">
        <v>8261</v>
      </c>
      <c r="S1791" s="9" t="str">
        <f>IF(ISBLANK($R1791),"",VLOOKUP($R1791,'Liste des Villes'!$B$2:$H$1128,4,FALSE))</f>
        <v>Laurentides</v>
      </c>
      <c r="T1791" s="2" t="s">
        <v>8468</v>
      </c>
      <c r="U1791" s="2" t="s">
        <v>39</v>
      </c>
      <c r="V1791" s="2" t="s">
        <v>40</v>
      </c>
      <c r="W1791" s="2" t="s">
        <v>8587</v>
      </c>
      <c r="X1791" s="2"/>
      <c r="Y1791" s="2"/>
      <c r="Z1791" s="2"/>
      <c r="AA1791" s="2" t="s">
        <v>832</v>
      </c>
      <c r="AB1791" s="2" t="s">
        <v>73</v>
      </c>
      <c r="AC1791" s="4" t="s">
        <v>44</v>
      </c>
    </row>
    <row r="1792" spans="1:29" x14ac:dyDescent="0.25">
      <c r="A1792" s="1">
        <v>3958</v>
      </c>
      <c r="B1792" s="17" t="s">
        <v>8588</v>
      </c>
      <c r="C1792" s="2" t="s">
        <v>8589</v>
      </c>
      <c r="D1792" s="15" t="s">
        <v>5780</v>
      </c>
      <c r="E1792" s="9" t="s">
        <v>8590</v>
      </c>
      <c r="F1792" s="9" t="s">
        <v>5778</v>
      </c>
      <c r="G1792" s="9" t="s">
        <v>389</v>
      </c>
      <c r="H1792" s="2" t="s">
        <v>60</v>
      </c>
      <c r="I1792" s="3">
        <v>36280</v>
      </c>
      <c r="J1792" s="9" t="str">
        <f t="shared" ca="1" si="29"/>
        <v>24 ans</v>
      </c>
      <c r="K1792" s="2" t="s">
        <v>123</v>
      </c>
      <c r="L1792" s="2" t="str">
        <f>"286"</f>
        <v>286</v>
      </c>
      <c r="M1792" s="2"/>
      <c r="N1792" s="2" t="str">
        <f>"RUE BOUCHARD LAVALLÉE"</f>
        <v>RUE BOUCHARD LAVALLÉE</v>
      </c>
      <c r="O1792" s="2" t="s">
        <v>8260</v>
      </c>
      <c r="P1792" s="9" t="str">
        <f>VLOOKUP($O1792,'Liste des Villes'!$B$2:$B$1128,1,FALSE)</f>
        <v>Saint-Hippolyte</v>
      </c>
      <c r="Q1792" s="9" t="str">
        <f>IFERROR($P1792,PROPER(VLOOKUP($O1792,'Villes en erreur'!$A$2:$B$72,2,FALSE)))</f>
        <v>Saint-Hippolyte</v>
      </c>
      <c r="R1792" s="9" t="s">
        <v>8261</v>
      </c>
      <c r="S1792" s="9" t="str">
        <f>IF(ISBLANK($R1792),"",VLOOKUP($R1792,'Liste des Villes'!$B$2:$H$1128,4,FALSE))</f>
        <v>Laurentides</v>
      </c>
      <c r="T1792" s="2" t="s">
        <v>8280</v>
      </c>
      <c r="U1792" s="2" t="s">
        <v>39</v>
      </c>
      <c r="V1792" s="2" t="s">
        <v>40</v>
      </c>
      <c r="W1792" s="2" t="s">
        <v>8591</v>
      </c>
      <c r="X1792" s="2"/>
      <c r="Y1792" s="2"/>
      <c r="Z1792" s="2"/>
      <c r="AA1792" s="2" t="s">
        <v>832</v>
      </c>
      <c r="AB1792" s="2" t="s">
        <v>73</v>
      </c>
      <c r="AC1792" s="4" t="s">
        <v>44</v>
      </c>
    </row>
    <row r="1793" spans="1:29" x14ac:dyDescent="0.25">
      <c r="A1793" s="1">
        <v>3265</v>
      </c>
      <c r="B1793" s="17" t="s">
        <v>8592</v>
      </c>
      <c r="C1793" s="2" t="s">
        <v>8593</v>
      </c>
      <c r="D1793" s="15" t="s">
        <v>3479</v>
      </c>
      <c r="E1793" s="9" t="s">
        <v>1162</v>
      </c>
      <c r="F1793" s="9" t="s">
        <v>3477</v>
      </c>
      <c r="G1793" s="9" t="s">
        <v>2107</v>
      </c>
      <c r="H1793" s="2" t="s">
        <v>60</v>
      </c>
      <c r="I1793" s="3">
        <v>36326</v>
      </c>
      <c r="J1793" s="9" t="str">
        <f t="shared" ca="1" si="29"/>
        <v>24 ans</v>
      </c>
      <c r="K1793" s="2" t="s">
        <v>123</v>
      </c>
      <c r="L1793" s="2" t="str">
        <f>"307"</f>
        <v>307</v>
      </c>
      <c r="M1793" s="2"/>
      <c r="N1793" s="2" t="str">
        <f>"RUE CAMPEAU"</f>
        <v>RUE CAMPEAU</v>
      </c>
      <c r="O1793" s="2" t="s">
        <v>8260</v>
      </c>
      <c r="P1793" s="9" t="str">
        <f>VLOOKUP($O1793,'Liste des Villes'!$B$2:$B$1128,1,FALSE)</f>
        <v>Saint-Hippolyte</v>
      </c>
      <c r="Q1793" s="9" t="str">
        <f>IFERROR($P1793,PROPER(VLOOKUP($O1793,'Villes en erreur'!$A$2:$B$72,2,FALSE)))</f>
        <v>Saint-Hippolyte</v>
      </c>
      <c r="R1793" s="9" t="s">
        <v>8261</v>
      </c>
      <c r="S1793" s="9" t="str">
        <f>IF(ISBLANK($R1793),"",VLOOKUP($R1793,'Liste des Villes'!$B$2:$H$1128,4,FALSE))</f>
        <v>Laurentides</v>
      </c>
      <c r="T1793" s="2" t="s">
        <v>8594</v>
      </c>
      <c r="U1793" s="2" t="s">
        <v>39</v>
      </c>
      <c r="V1793" s="2" t="s">
        <v>40</v>
      </c>
      <c r="W1793" s="2" t="s">
        <v>8595</v>
      </c>
      <c r="X1793" s="2"/>
      <c r="Y1793" s="2"/>
      <c r="Z1793" s="2"/>
      <c r="AA1793" s="2" t="s">
        <v>832</v>
      </c>
      <c r="AB1793" s="2" t="s">
        <v>73</v>
      </c>
      <c r="AC1793" s="4" t="s">
        <v>44</v>
      </c>
    </row>
    <row r="1794" spans="1:29" x14ac:dyDescent="0.25">
      <c r="A1794" s="1">
        <v>3318</v>
      </c>
      <c r="B1794" s="17" t="s">
        <v>8596</v>
      </c>
      <c r="C1794" s="2" t="s">
        <v>8597</v>
      </c>
      <c r="D1794" s="15" t="s">
        <v>3805</v>
      </c>
      <c r="E1794" s="9" t="s">
        <v>757</v>
      </c>
      <c r="F1794" s="9" t="s">
        <v>584</v>
      </c>
      <c r="G1794" s="9" t="s">
        <v>8598</v>
      </c>
      <c r="H1794" s="2" t="s">
        <v>60</v>
      </c>
      <c r="I1794" s="3">
        <v>36304</v>
      </c>
      <c r="J1794" s="9" t="str">
        <f t="shared" ref="J1794:J1857" ca="1" si="30">_xlfn.CONCAT(INT((TODAY()-$I1794)/365.25)," ans")</f>
        <v>24 ans</v>
      </c>
      <c r="K1794" s="2" t="s">
        <v>123</v>
      </c>
      <c r="L1794" s="2" t="str">
        <f>"296"</f>
        <v>296</v>
      </c>
      <c r="M1794" s="2"/>
      <c r="N1794" s="2" t="str">
        <f>"RUE BRIÈRE"</f>
        <v>RUE BRIÈRE</v>
      </c>
      <c r="O1794" s="2" t="s">
        <v>8260</v>
      </c>
      <c r="P1794" s="9" t="str">
        <f>VLOOKUP($O1794,'Liste des Villes'!$B$2:$B$1128,1,FALSE)</f>
        <v>Saint-Hippolyte</v>
      </c>
      <c r="Q1794" s="9" t="str">
        <f>IFERROR($P1794,PROPER(VLOOKUP($O1794,'Villes en erreur'!$A$2:$B$72,2,FALSE)))</f>
        <v>Saint-Hippolyte</v>
      </c>
      <c r="R1794" s="9" t="s">
        <v>8261</v>
      </c>
      <c r="S1794" s="9" t="str">
        <f>IF(ISBLANK($R1794),"",VLOOKUP($R1794,'Liste des Villes'!$B$2:$H$1128,4,FALSE))</f>
        <v>Laurentides</v>
      </c>
      <c r="T1794" s="2" t="s">
        <v>8599</v>
      </c>
      <c r="U1794" s="2" t="s">
        <v>39</v>
      </c>
      <c r="V1794" s="2" t="s">
        <v>40</v>
      </c>
      <c r="W1794" s="2" t="s">
        <v>8600</v>
      </c>
      <c r="X1794" s="2"/>
      <c r="Y1794" s="2"/>
      <c r="Z1794" s="2"/>
      <c r="AA1794" s="2" t="s">
        <v>832</v>
      </c>
      <c r="AB1794" s="2" t="s">
        <v>73</v>
      </c>
      <c r="AC1794" s="4" t="s">
        <v>44</v>
      </c>
    </row>
    <row r="1795" spans="1:29" x14ac:dyDescent="0.25">
      <c r="A1795" s="1">
        <v>367</v>
      </c>
      <c r="B1795" s="17" t="s">
        <v>8601</v>
      </c>
      <c r="C1795" s="2" t="s">
        <v>8602</v>
      </c>
      <c r="D1795" s="15" t="s">
        <v>8603</v>
      </c>
      <c r="E1795" s="9" t="s">
        <v>698</v>
      </c>
      <c r="F1795" s="9" t="s">
        <v>1117</v>
      </c>
      <c r="G1795" s="9" t="s">
        <v>8604</v>
      </c>
      <c r="H1795" s="2" t="s">
        <v>60</v>
      </c>
      <c r="I1795" s="3">
        <v>36336</v>
      </c>
      <c r="J1795" s="9" t="str">
        <f t="shared" ca="1" si="30"/>
        <v>24 ans</v>
      </c>
      <c r="K1795" s="2" t="s">
        <v>123</v>
      </c>
      <c r="L1795" s="2" t="str">
        <f>"311"</f>
        <v>311</v>
      </c>
      <c r="M1795" s="2"/>
      <c r="N1795" s="2" t="str">
        <f>"RUE CAROLE"</f>
        <v>RUE CAROLE</v>
      </c>
      <c r="O1795" s="2" t="s">
        <v>8261</v>
      </c>
      <c r="P1795" s="9" t="str">
        <f>VLOOKUP($O1795,'Liste des Villes'!$B$2:$B$1128,1,FALSE)</f>
        <v>Saint-Hippolyte</v>
      </c>
      <c r="Q1795" s="9" t="str">
        <f>IFERROR($P1795,PROPER(VLOOKUP($O1795,'Villes en erreur'!$A$2:$B$72,2,FALSE)))</f>
        <v>Saint-Hippolyte</v>
      </c>
      <c r="R1795" s="9" t="s">
        <v>8261</v>
      </c>
      <c r="S1795" s="9" t="str">
        <f>IF(ISBLANK($R1795),"",VLOOKUP($R1795,'Liste des Villes'!$B$2:$H$1128,4,FALSE))</f>
        <v>Laurentides</v>
      </c>
      <c r="T1795" s="2" t="s">
        <v>8499</v>
      </c>
      <c r="U1795" s="2" t="s">
        <v>39</v>
      </c>
      <c r="V1795" s="2" t="s">
        <v>40</v>
      </c>
      <c r="W1795" s="2" t="s">
        <v>8605</v>
      </c>
      <c r="X1795" s="2"/>
      <c r="Y1795" s="2"/>
      <c r="Z1795" s="2"/>
      <c r="AA1795" s="2" t="s">
        <v>127</v>
      </c>
      <c r="AB1795" s="2" t="s">
        <v>73</v>
      </c>
      <c r="AC1795" s="4" t="s">
        <v>44</v>
      </c>
    </row>
    <row r="1796" spans="1:29" x14ac:dyDescent="0.25">
      <c r="A1796" s="1">
        <v>3404</v>
      </c>
      <c r="B1796" s="17" t="s">
        <v>8606</v>
      </c>
      <c r="C1796" s="2" t="s">
        <v>8607</v>
      </c>
      <c r="D1796" s="15" t="s">
        <v>3419</v>
      </c>
      <c r="E1796" s="9" t="s">
        <v>698</v>
      </c>
      <c r="F1796" s="9" t="s">
        <v>3418</v>
      </c>
      <c r="G1796" s="9" t="s">
        <v>4231</v>
      </c>
      <c r="H1796" s="2" t="s">
        <v>60</v>
      </c>
      <c r="I1796" s="3">
        <v>36297</v>
      </c>
      <c r="J1796" s="9" t="str">
        <f t="shared" ca="1" si="30"/>
        <v>24 ans</v>
      </c>
      <c r="K1796" s="2" t="s">
        <v>123</v>
      </c>
      <c r="L1796" s="2" t="str">
        <f>"295"</f>
        <v>295</v>
      </c>
      <c r="M1796" s="2"/>
      <c r="N1796" s="2" t="str">
        <f>"RUE BRAULT"</f>
        <v>RUE BRAULT</v>
      </c>
      <c r="O1796" s="2" t="s">
        <v>8260</v>
      </c>
      <c r="P1796" s="9" t="str">
        <f>VLOOKUP($O1796,'Liste des Villes'!$B$2:$B$1128,1,FALSE)</f>
        <v>Saint-Hippolyte</v>
      </c>
      <c r="Q1796" s="9" t="str">
        <f>IFERROR($P1796,PROPER(VLOOKUP($O1796,'Villes en erreur'!$A$2:$B$72,2,FALSE)))</f>
        <v>Saint-Hippolyte</v>
      </c>
      <c r="R1796" s="9" t="s">
        <v>8261</v>
      </c>
      <c r="S1796" s="9" t="str">
        <f>IF(ISBLANK($R1796),"",VLOOKUP($R1796,'Liste des Villes'!$B$2:$H$1128,4,FALSE))</f>
        <v>Laurentides</v>
      </c>
      <c r="T1796" s="2" t="s">
        <v>8608</v>
      </c>
      <c r="U1796" s="2" t="s">
        <v>39</v>
      </c>
      <c r="V1796" s="2" t="s">
        <v>40</v>
      </c>
      <c r="W1796" s="2" t="s">
        <v>8609</v>
      </c>
      <c r="X1796" s="2"/>
      <c r="Y1796" s="2"/>
      <c r="Z1796" s="2"/>
      <c r="AA1796" s="2" t="s">
        <v>832</v>
      </c>
      <c r="AB1796" s="2" t="s">
        <v>73</v>
      </c>
      <c r="AC1796" s="4" t="s">
        <v>44</v>
      </c>
    </row>
    <row r="1797" spans="1:29" x14ac:dyDescent="0.25">
      <c r="A1797" s="1">
        <v>3513</v>
      </c>
      <c r="B1797" s="17" t="s">
        <v>8610</v>
      </c>
      <c r="C1797" s="2" t="s">
        <v>8611</v>
      </c>
      <c r="D1797" s="15" t="s">
        <v>3611</v>
      </c>
      <c r="E1797" s="9" t="s">
        <v>8612</v>
      </c>
      <c r="F1797" s="9" t="s">
        <v>569</v>
      </c>
      <c r="G1797" s="9" t="s">
        <v>2107</v>
      </c>
      <c r="H1797" s="2" t="s">
        <v>60</v>
      </c>
      <c r="I1797" s="3">
        <v>36327</v>
      </c>
      <c r="J1797" s="9" t="str">
        <f t="shared" ca="1" si="30"/>
        <v>24 ans</v>
      </c>
      <c r="K1797" s="2" t="s">
        <v>123</v>
      </c>
      <c r="L1797" s="2" t="str">
        <f>"308"</f>
        <v>308</v>
      </c>
      <c r="M1797" s="2"/>
      <c r="N1797" s="2" t="str">
        <f>"RUE CARDINAL"</f>
        <v>RUE CARDINAL</v>
      </c>
      <c r="O1797" s="2" t="s">
        <v>8260</v>
      </c>
      <c r="P1797" s="9" t="str">
        <f>VLOOKUP($O1797,'Liste des Villes'!$B$2:$B$1128,1,FALSE)</f>
        <v>Saint-Hippolyte</v>
      </c>
      <c r="Q1797" s="9" t="str">
        <f>IFERROR($P1797,PROPER(VLOOKUP($O1797,'Villes en erreur'!$A$2:$B$72,2,FALSE)))</f>
        <v>Saint-Hippolyte</v>
      </c>
      <c r="R1797" s="9" t="s">
        <v>8261</v>
      </c>
      <c r="S1797" s="9" t="str">
        <f>IF(ISBLANK($R1797),"",VLOOKUP($R1797,'Liste des Villes'!$B$2:$H$1128,4,FALSE))</f>
        <v>Laurentides</v>
      </c>
      <c r="T1797" s="2" t="s">
        <v>8613</v>
      </c>
      <c r="U1797" s="2" t="s">
        <v>39</v>
      </c>
      <c r="V1797" s="2" t="s">
        <v>40</v>
      </c>
      <c r="W1797" s="2" t="s">
        <v>8614</v>
      </c>
      <c r="X1797" s="2"/>
      <c r="Y1797" s="2"/>
      <c r="Z1797" s="2"/>
      <c r="AA1797" s="2" t="s">
        <v>127</v>
      </c>
      <c r="AB1797" s="2" t="s">
        <v>73</v>
      </c>
      <c r="AC1797" s="4" t="s">
        <v>44</v>
      </c>
    </row>
    <row r="1798" spans="1:29" x14ac:dyDescent="0.25">
      <c r="A1798" s="1">
        <v>4272</v>
      </c>
      <c r="B1798" s="17" t="s">
        <v>8615</v>
      </c>
      <c r="C1798" s="2" t="s">
        <v>387</v>
      </c>
      <c r="D1798" s="15" t="s">
        <v>388</v>
      </c>
      <c r="E1798" s="9" t="s">
        <v>389</v>
      </c>
      <c r="F1798" s="9" t="s">
        <v>4381</v>
      </c>
      <c r="G1798" s="9" t="s">
        <v>107</v>
      </c>
      <c r="H1798" s="2" t="s">
        <v>60</v>
      </c>
      <c r="I1798" s="3">
        <v>36313</v>
      </c>
      <c r="J1798" s="9" t="str">
        <f t="shared" ca="1" si="30"/>
        <v>24 ans</v>
      </c>
      <c r="K1798" s="2" t="s">
        <v>123</v>
      </c>
      <c r="L1798" s="2" t="str">
        <f>"304"</f>
        <v>304</v>
      </c>
      <c r="M1798" s="2"/>
      <c r="N1798" s="2" t="str">
        <f>"RUE BURROUGHS"</f>
        <v>RUE BURROUGHS</v>
      </c>
      <c r="O1798" s="2" t="s">
        <v>8260</v>
      </c>
      <c r="P1798" s="9" t="str">
        <f>VLOOKUP($O1798,'Liste des Villes'!$B$2:$B$1128,1,FALSE)</f>
        <v>Saint-Hippolyte</v>
      </c>
      <c r="Q1798" s="9" t="str">
        <f>IFERROR($P1798,PROPER(VLOOKUP($O1798,'Villes en erreur'!$A$2:$B$72,2,FALSE)))</f>
        <v>Saint-Hippolyte</v>
      </c>
      <c r="R1798" s="9" t="s">
        <v>8261</v>
      </c>
      <c r="S1798" s="9" t="str">
        <f>IF(ISBLANK($R1798),"",VLOOKUP($R1798,'Liste des Villes'!$B$2:$H$1128,4,FALSE))</f>
        <v>Laurentides</v>
      </c>
      <c r="T1798" s="2" t="s">
        <v>8468</v>
      </c>
      <c r="U1798" s="2" t="s">
        <v>39</v>
      </c>
      <c r="V1798" s="2" t="s">
        <v>40</v>
      </c>
      <c r="W1798" s="2" t="s">
        <v>8616</v>
      </c>
      <c r="X1798" s="2"/>
      <c r="Y1798" s="2"/>
      <c r="Z1798" s="2"/>
      <c r="AA1798" s="2" t="s">
        <v>832</v>
      </c>
      <c r="AB1798" s="2" t="s">
        <v>73</v>
      </c>
      <c r="AC1798" s="4" t="s">
        <v>44</v>
      </c>
    </row>
    <row r="1799" spans="1:29" x14ac:dyDescent="0.25">
      <c r="A1799" s="1">
        <v>4477</v>
      </c>
      <c r="B1799" s="17" t="s">
        <v>8617</v>
      </c>
      <c r="C1799" s="2" t="s">
        <v>4368</v>
      </c>
      <c r="D1799" s="15" t="s">
        <v>4369</v>
      </c>
      <c r="E1799" s="9" t="s">
        <v>2049</v>
      </c>
      <c r="F1799" s="9" t="s">
        <v>8618</v>
      </c>
      <c r="G1799" s="9" t="s">
        <v>8122</v>
      </c>
      <c r="H1799" s="2" t="s">
        <v>60</v>
      </c>
      <c r="I1799" s="3">
        <v>36273</v>
      </c>
      <c r="J1799" s="9" t="str">
        <f t="shared" ca="1" si="30"/>
        <v>24 ans</v>
      </c>
      <c r="K1799" s="2" t="s">
        <v>123</v>
      </c>
      <c r="L1799" s="2" t="str">
        <f>"280"</f>
        <v>280</v>
      </c>
      <c r="M1799" s="2"/>
      <c r="N1799" s="2" t="str">
        <f>"RUE BLONDIN"</f>
        <v>RUE BLONDIN</v>
      </c>
      <c r="O1799" s="2" t="s">
        <v>8260</v>
      </c>
      <c r="P1799" s="9" t="str">
        <f>VLOOKUP($O1799,'Liste des Villes'!$B$2:$B$1128,1,FALSE)</f>
        <v>Saint-Hippolyte</v>
      </c>
      <c r="Q1799" s="9" t="str">
        <f>IFERROR($P1799,PROPER(VLOOKUP($O1799,'Villes en erreur'!$A$2:$B$72,2,FALSE)))</f>
        <v>Saint-Hippolyte</v>
      </c>
      <c r="R1799" s="9" t="s">
        <v>8261</v>
      </c>
      <c r="S1799" s="9" t="str">
        <f>IF(ISBLANK($R1799),"",VLOOKUP($R1799,'Liste des Villes'!$B$2:$H$1128,4,FALSE))</f>
        <v>Laurentides</v>
      </c>
      <c r="T1799" s="2" t="s">
        <v>8512</v>
      </c>
      <c r="U1799" s="2" t="s">
        <v>39</v>
      </c>
      <c r="V1799" s="2" t="s">
        <v>40</v>
      </c>
      <c r="W1799" s="2" t="s">
        <v>8619</v>
      </c>
      <c r="X1799" s="2"/>
      <c r="Y1799" s="2"/>
      <c r="Z1799" s="2"/>
      <c r="AA1799" s="2" t="s">
        <v>832</v>
      </c>
      <c r="AB1799" s="2" t="s">
        <v>73</v>
      </c>
      <c r="AC1799" s="4" t="s">
        <v>44</v>
      </c>
    </row>
    <row r="1800" spans="1:29" x14ac:dyDescent="0.25">
      <c r="A1800" s="1">
        <v>2231</v>
      </c>
      <c r="B1800" s="17" t="s">
        <v>8620</v>
      </c>
      <c r="C1800" s="2" t="s">
        <v>3917</v>
      </c>
      <c r="D1800" s="15" t="s">
        <v>2698</v>
      </c>
      <c r="E1800" s="9" t="s">
        <v>3918</v>
      </c>
      <c r="F1800" s="9" t="s">
        <v>7710</v>
      </c>
      <c r="G1800" s="9" t="s">
        <v>8621</v>
      </c>
      <c r="H1800" s="2" t="s">
        <v>60</v>
      </c>
      <c r="I1800" s="3">
        <v>36305</v>
      </c>
      <c r="J1800" s="9" t="str">
        <f t="shared" ca="1" si="30"/>
        <v>24 ans</v>
      </c>
      <c r="K1800" s="2" t="s">
        <v>123</v>
      </c>
      <c r="L1800" s="2" t="str">
        <f>"297"</f>
        <v>297</v>
      </c>
      <c r="M1800" s="2"/>
      <c r="N1800" s="2" t="str">
        <f>"RUE BRIÈRE"</f>
        <v>RUE BRIÈRE</v>
      </c>
      <c r="O1800" s="2" t="s">
        <v>8260</v>
      </c>
      <c r="P1800" s="9" t="str">
        <f>VLOOKUP($O1800,'Liste des Villes'!$B$2:$B$1128,1,FALSE)</f>
        <v>Saint-Hippolyte</v>
      </c>
      <c r="Q1800" s="9" t="str">
        <f>IFERROR($P1800,PROPER(VLOOKUP($O1800,'Villes en erreur'!$A$2:$B$72,2,FALSE)))</f>
        <v>Saint-Hippolyte</v>
      </c>
      <c r="R1800" s="9" t="s">
        <v>8261</v>
      </c>
      <c r="S1800" s="9" t="str">
        <f>IF(ISBLANK($R1800),"",VLOOKUP($R1800,'Liste des Villes'!$B$2:$H$1128,4,FALSE))</f>
        <v>Laurentides</v>
      </c>
      <c r="T1800" s="2" t="s">
        <v>8622</v>
      </c>
      <c r="U1800" s="2" t="s">
        <v>39</v>
      </c>
      <c r="V1800" s="2" t="s">
        <v>40</v>
      </c>
      <c r="W1800" s="2" t="s">
        <v>8623</v>
      </c>
      <c r="X1800" s="2"/>
      <c r="Y1800" s="2"/>
      <c r="Z1800" s="2"/>
      <c r="AA1800" s="2" t="s">
        <v>832</v>
      </c>
      <c r="AB1800" s="2" t="s">
        <v>73</v>
      </c>
      <c r="AC1800" s="4" t="s">
        <v>44</v>
      </c>
    </row>
    <row r="1801" spans="1:29" x14ac:dyDescent="0.25">
      <c r="A1801" s="1">
        <v>4244</v>
      </c>
      <c r="B1801" s="17" t="s">
        <v>8624</v>
      </c>
      <c r="C1801" s="2" t="s">
        <v>8625</v>
      </c>
      <c r="D1801" s="15" t="s">
        <v>8626</v>
      </c>
      <c r="E1801" s="9" t="s">
        <v>8627</v>
      </c>
      <c r="F1801" s="9" t="s">
        <v>884</v>
      </c>
      <c r="G1801" s="9" t="s">
        <v>5315</v>
      </c>
      <c r="H1801" s="2" t="s">
        <v>60</v>
      </c>
      <c r="I1801" s="3">
        <v>36298</v>
      </c>
      <c r="J1801" s="9" t="str">
        <f t="shared" ca="1" si="30"/>
        <v>24 ans</v>
      </c>
      <c r="K1801" s="2" t="s">
        <v>123</v>
      </c>
      <c r="L1801" s="2" t="str">
        <f>"295"</f>
        <v>295</v>
      </c>
      <c r="M1801" s="2"/>
      <c r="N1801" s="2" t="str">
        <f>"RUE BRAULT"</f>
        <v>RUE BRAULT</v>
      </c>
      <c r="O1801" s="2" t="s">
        <v>8260</v>
      </c>
      <c r="P1801" s="9" t="str">
        <f>VLOOKUP($O1801,'Liste des Villes'!$B$2:$B$1128,1,FALSE)</f>
        <v>Saint-Hippolyte</v>
      </c>
      <c r="Q1801" s="9" t="str">
        <f>IFERROR($P1801,PROPER(VLOOKUP($O1801,'Villes en erreur'!$A$2:$B$72,2,FALSE)))</f>
        <v>Saint-Hippolyte</v>
      </c>
      <c r="R1801" s="9" t="s">
        <v>8261</v>
      </c>
      <c r="S1801" s="9" t="str">
        <f>IF(ISBLANK($R1801),"",VLOOKUP($R1801,'Liste des Villes'!$B$2:$H$1128,4,FALSE))</f>
        <v>Laurentides</v>
      </c>
      <c r="T1801" s="2" t="s">
        <v>8268</v>
      </c>
      <c r="U1801" s="2" t="s">
        <v>39</v>
      </c>
      <c r="V1801" s="2" t="s">
        <v>40</v>
      </c>
      <c r="W1801" s="2" t="s">
        <v>8628</v>
      </c>
      <c r="X1801" s="2"/>
      <c r="Y1801" s="2"/>
      <c r="Z1801" s="2"/>
      <c r="AA1801" s="2" t="s">
        <v>832</v>
      </c>
      <c r="AB1801" s="2" t="s">
        <v>73</v>
      </c>
      <c r="AC1801" s="4" t="s">
        <v>44</v>
      </c>
    </row>
    <row r="1802" spans="1:29" x14ac:dyDescent="0.25">
      <c r="A1802" s="1">
        <v>3202</v>
      </c>
      <c r="B1802" s="17" t="s">
        <v>8629</v>
      </c>
      <c r="C1802" s="2" t="s">
        <v>8630</v>
      </c>
      <c r="D1802" s="15" t="s">
        <v>875</v>
      </c>
      <c r="E1802" s="9" t="s">
        <v>8631</v>
      </c>
      <c r="F1802" s="9" t="s">
        <v>1696</v>
      </c>
      <c r="G1802" s="9" t="s">
        <v>107</v>
      </c>
      <c r="H1802" s="2" t="s">
        <v>60</v>
      </c>
      <c r="I1802" s="3">
        <v>36321</v>
      </c>
      <c r="J1802" s="9" t="str">
        <f t="shared" ca="1" si="30"/>
        <v>24 ans</v>
      </c>
      <c r="K1802" s="2" t="s">
        <v>123</v>
      </c>
      <c r="L1802" s="2" t="str">
        <f>"306"</f>
        <v>306</v>
      </c>
      <c r="M1802" s="2"/>
      <c r="N1802" s="2" t="str">
        <f>"RUE CAMPEAU"</f>
        <v>RUE CAMPEAU</v>
      </c>
      <c r="O1802" s="2" t="s">
        <v>8260</v>
      </c>
      <c r="P1802" s="9" t="str">
        <f>VLOOKUP($O1802,'Liste des Villes'!$B$2:$B$1128,1,FALSE)</f>
        <v>Saint-Hippolyte</v>
      </c>
      <c r="Q1802" s="9" t="str">
        <f>IFERROR($P1802,PROPER(VLOOKUP($O1802,'Villes en erreur'!$A$2:$B$72,2,FALSE)))</f>
        <v>Saint-Hippolyte</v>
      </c>
      <c r="R1802" s="9" t="s">
        <v>8261</v>
      </c>
      <c r="S1802" s="9" t="str">
        <f>IF(ISBLANK($R1802),"",VLOOKUP($R1802,'Liste des Villes'!$B$2:$H$1128,4,FALSE))</f>
        <v>Laurentides</v>
      </c>
      <c r="T1802" s="2" t="s">
        <v>8632</v>
      </c>
      <c r="U1802" s="2" t="s">
        <v>39</v>
      </c>
      <c r="V1802" s="2" t="s">
        <v>40</v>
      </c>
      <c r="W1802" s="2" t="s">
        <v>8633</v>
      </c>
      <c r="X1802" s="2"/>
      <c r="Y1802" s="2"/>
      <c r="Z1802" s="2"/>
      <c r="AA1802" s="2" t="s">
        <v>832</v>
      </c>
      <c r="AB1802" s="2" t="s">
        <v>73</v>
      </c>
      <c r="AC1802" s="4" t="s">
        <v>44</v>
      </c>
    </row>
    <row r="1803" spans="1:29" x14ac:dyDescent="0.25">
      <c r="A1803" s="1">
        <v>4136</v>
      </c>
      <c r="B1803" s="17" t="s">
        <v>8634</v>
      </c>
      <c r="C1803" s="2" t="s">
        <v>8635</v>
      </c>
      <c r="D1803" s="15" t="s">
        <v>3810</v>
      </c>
      <c r="E1803" s="9" t="s">
        <v>2198</v>
      </c>
      <c r="F1803" s="9" t="s">
        <v>5177</v>
      </c>
      <c r="G1803" s="9" t="s">
        <v>2107</v>
      </c>
      <c r="H1803" s="2" t="s">
        <v>60</v>
      </c>
      <c r="I1803" s="3">
        <v>36326</v>
      </c>
      <c r="J1803" s="9" t="str">
        <f t="shared" ca="1" si="30"/>
        <v>24 ans</v>
      </c>
      <c r="K1803" s="2" t="s">
        <v>123</v>
      </c>
      <c r="L1803" s="2" t="str">
        <f>"308"</f>
        <v>308</v>
      </c>
      <c r="M1803" s="2"/>
      <c r="N1803" s="2" t="str">
        <f>"RUE CAMUS"</f>
        <v>RUE CAMUS</v>
      </c>
      <c r="O1803" s="2" t="s">
        <v>8260</v>
      </c>
      <c r="P1803" s="9" t="str">
        <f>VLOOKUP($O1803,'Liste des Villes'!$B$2:$B$1128,1,FALSE)</f>
        <v>Saint-Hippolyte</v>
      </c>
      <c r="Q1803" s="9" t="str">
        <f>IFERROR($P1803,PROPER(VLOOKUP($O1803,'Villes en erreur'!$A$2:$B$72,2,FALSE)))</f>
        <v>Saint-Hippolyte</v>
      </c>
      <c r="R1803" s="9" t="s">
        <v>8261</v>
      </c>
      <c r="S1803" s="9" t="str">
        <f>IF(ISBLANK($R1803),"",VLOOKUP($R1803,'Liste des Villes'!$B$2:$H$1128,4,FALSE))</f>
        <v>Laurentides</v>
      </c>
      <c r="T1803" s="2" t="s">
        <v>8366</v>
      </c>
      <c r="U1803" s="2" t="s">
        <v>39</v>
      </c>
      <c r="V1803" s="2" t="s">
        <v>40</v>
      </c>
      <c r="W1803" s="2" t="s">
        <v>8636</v>
      </c>
      <c r="X1803" s="2"/>
      <c r="Y1803" s="2"/>
      <c r="Z1803" s="2"/>
      <c r="AA1803" s="2" t="s">
        <v>832</v>
      </c>
      <c r="AB1803" s="2" t="s">
        <v>73</v>
      </c>
      <c r="AC1803" s="4" t="s">
        <v>44</v>
      </c>
    </row>
    <row r="1804" spans="1:29" x14ac:dyDescent="0.25">
      <c r="A1804" s="1">
        <v>3062</v>
      </c>
      <c r="B1804" s="17" t="s">
        <v>8637</v>
      </c>
      <c r="C1804" s="2" t="s">
        <v>8638</v>
      </c>
      <c r="D1804" s="15" t="s">
        <v>8639</v>
      </c>
      <c r="E1804" s="9" t="s">
        <v>3595</v>
      </c>
      <c r="F1804" s="9" t="s">
        <v>8640</v>
      </c>
      <c r="G1804" s="9" t="s">
        <v>7006</v>
      </c>
      <c r="H1804" s="2" t="s">
        <v>60</v>
      </c>
      <c r="I1804" s="3">
        <v>36306</v>
      </c>
      <c r="J1804" s="9" t="str">
        <f t="shared" ca="1" si="30"/>
        <v>24 ans</v>
      </c>
      <c r="K1804" s="2" t="s">
        <v>123</v>
      </c>
      <c r="L1804" s="2" t="str">
        <f>"298"</f>
        <v>298</v>
      </c>
      <c r="M1804" s="2"/>
      <c r="N1804" s="2" t="str">
        <f>"RUE BROCHU"</f>
        <v>RUE BROCHU</v>
      </c>
      <c r="O1804" s="2" t="s">
        <v>8260</v>
      </c>
      <c r="P1804" s="9" t="str">
        <f>VLOOKUP($O1804,'Liste des Villes'!$B$2:$B$1128,1,FALSE)</f>
        <v>Saint-Hippolyte</v>
      </c>
      <c r="Q1804" s="9" t="str">
        <f>IFERROR($P1804,PROPER(VLOOKUP($O1804,'Villes en erreur'!$A$2:$B$72,2,FALSE)))</f>
        <v>Saint-Hippolyte</v>
      </c>
      <c r="R1804" s="9" t="s">
        <v>8261</v>
      </c>
      <c r="S1804" s="9" t="str">
        <f>IF(ISBLANK($R1804),"",VLOOKUP($R1804,'Liste des Villes'!$B$2:$H$1128,4,FALSE))</f>
        <v>Laurentides</v>
      </c>
      <c r="T1804" s="2" t="s">
        <v>8641</v>
      </c>
      <c r="U1804" s="2" t="s">
        <v>39</v>
      </c>
      <c r="V1804" s="2" t="s">
        <v>40</v>
      </c>
      <c r="W1804" s="2" t="s">
        <v>8642</v>
      </c>
      <c r="X1804" s="2"/>
      <c r="Y1804" s="2"/>
      <c r="Z1804" s="2"/>
      <c r="AA1804" s="2" t="s">
        <v>832</v>
      </c>
      <c r="AB1804" s="2" t="s">
        <v>73</v>
      </c>
      <c r="AC1804" s="4" t="s">
        <v>44</v>
      </c>
    </row>
    <row r="1805" spans="1:29" x14ac:dyDescent="0.25">
      <c r="A1805" s="1">
        <v>1134</v>
      </c>
      <c r="B1805" s="17" t="s">
        <v>8643</v>
      </c>
      <c r="C1805" s="2" t="s">
        <v>8644</v>
      </c>
      <c r="D1805" s="15" t="s">
        <v>6578</v>
      </c>
      <c r="E1805" s="9" t="s">
        <v>8645</v>
      </c>
      <c r="F1805" s="9" t="s">
        <v>6577</v>
      </c>
      <c r="G1805" s="9" t="s">
        <v>2107</v>
      </c>
      <c r="H1805" s="2" t="s">
        <v>60</v>
      </c>
      <c r="I1805" s="3">
        <v>36334</v>
      </c>
      <c r="J1805" s="9" t="str">
        <f t="shared" ca="1" si="30"/>
        <v>24 ans</v>
      </c>
      <c r="K1805" s="2" t="s">
        <v>123</v>
      </c>
      <c r="L1805" s="2" t="str">
        <f>"309"</f>
        <v>309</v>
      </c>
      <c r="M1805" s="2"/>
      <c r="N1805" s="2" t="str">
        <f>"RUE CARMEN"</f>
        <v>RUE CARMEN</v>
      </c>
      <c r="O1805" s="2" t="s">
        <v>8261</v>
      </c>
      <c r="P1805" s="9" t="str">
        <f>VLOOKUP($O1805,'Liste des Villes'!$B$2:$B$1128,1,FALSE)</f>
        <v>Saint-Hippolyte</v>
      </c>
      <c r="Q1805" s="9" t="str">
        <f>IFERROR($P1805,PROPER(VLOOKUP($O1805,'Villes en erreur'!$A$2:$B$72,2,FALSE)))</f>
        <v>Saint-Hippolyte</v>
      </c>
      <c r="R1805" s="9" t="s">
        <v>8261</v>
      </c>
      <c r="S1805" s="9" t="str">
        <f>IF(ISBLANK($R1805),"",VLOOKUP($R1805,'Liste des Villes'!$B$2:$H$1128,4,FALSE))</f>
        <v>Laurentides</v>
      </c>
      <c r="T1805" s="2" t="s">
        <v>8285</v>
      </c>
      <c r="U1805" s="2" t="s">
        <v>39</v>
      </c>
      <c r="V1805" s="2" t="s">
        <v>40</v>
      </c>
      <c r="W1805" s="2" t="s">
        <v>8646</v>
      </c>
      <c r="X1805" s="2"/>
      <c r="Y1805" s="2"/>
      <c r="Z1805" s="2"/>
      <c r="AA1805" s="2" t="s">
        <v>127</v>
      </c>
      <c r="AB1805" s="2" t="s">
        <v>73</v>
      </c>
      <c r="AC1805" s="4" t="s">
        <v>44</v>
      </c>
    </row>
    <row r="1806" spans="1:29" x14ac:dyDescent="0.25">
      <c r="A1806" s="1">
        <v>3823</v>
      </c>
      <c r="B1806" s="17" t="s">
        <v>8647</v>
      </c>
      <c r="C1806" s="2" t="s">
        <v>8648</v>
      </c>
      <c r="D1806" s="15" t="s">
        <v>8649</v>
      </c>
      <c r="E1806" s="9" t="s">
        <v>8650</v>
      </c>
      <c r="F1806" s="9" t="s">
        <v>8651</v>
      </c>
      <c r="G1806" s="9" t="s">
        <v>389</v>
      </c>
      <c r="H1806" s="2" t="s">
        <v>60</v>
      </c>
      <c r="I1806" s="3">
        <v>36281</v>
      </c>
      <c r="J1806" s="9" t="str">
        <f t="shared" ca="1" si="30"/>
        <v>24 ans</v>
      </c>
      <c r="K1806" s="2" t="s">
        <v>123</v>
      </c>
      <c r="L1806" s="2" t="str">
        <f>"286"</f>
        <v>286</v>
      </c>
      <c r="M1806" s="2"/>
      <c r="N1806" s="2" t="str">
        <f>"RUE BOUCHARD-LAVALLÉE"</f>
        <v>RUE BOUCHARD-LAVALLÉE</v>
      </c>
      <c r="O1806" s="2" t="s">
        <v>8260</v>
      </c>
      <c r="P1806" s="9" t="str">
        <f>VLOOKUP($O1806,'Liste des Villes'!$B$2:$B$1128,1,FALSE)</f>
        <v>Saint-Hippolyte</v>
      </c>
      <c r="Q1806" s="9" t="str">
        <f>IFERROR($P1806,PROPER(VLOOKUP($O1806,'Villes en erreur'!$A$2:$B$72,2,FALSE)))</f>
        <v>Saint-Hippolyte</v>
      </c>
      <c r="R1806" s="9" t="s">
        <v>8261</v>
      </c>
      <c r="S1806" s="9" t="str">
        <f>IF(ISBLANK($R1806),"",VLOOKUP($R1806,'Liste des Villes'!$B$2:$H$1128,4,FALSE))</f>
        <v>Laurentides</v>
      </c>
      <c r="T1806" s="2" t="s">
        <v>8652</v>
      </c>
      <c r="U1806" s="2" t="s">
        <v>39</v>
      </c>
      <c r="V1806" s="2" t="s">
        <v>40</v>
      </c>
      <c r="W1806" s="2" t="s">
        <v>8653</v>
      </c>
      <c r="X1806" s="2"/>
      <c r="Y1806" s="2"/>
      <c r="Z1806" s="2"/>
      <c r="AA1806" s="2" t="s">
        <v>832</v>
      </c>
      <c r="AB1806" s="2" t="s">
        <v>73</v>
      </c>
      <c r="AC1806" s="4" t="s">
        <v>44</v>
      </c>
    </row>
    <row r="1807" spans="1:29" x14ac:dyDescent="0.25">
      <c r="A1807" s="1">
        <v>147</v>
      </c>
      <c r="B1807" s="17" t="s">
        <v>8654</v>
      </c>
      <c r="C1807" s="2" t="s">
        <v>8655</v>
      </c>
      <c r="D1807" s="15" t="s">
        <v>4406</v>
      </c>
      <c r="E1807" s="9" t="s">
        <v>1037</v>
      </c>
      <c r="F1807" s="9" t="s">
        <v>518</v>
      </c>
      <c r="G1807" s="9" t="s">
        <v>4588</v>
      </c>
      <c r="H1807" s="2" t="s">
        <v>60</v>
      </c>
      <c r="I1807" s="3">
        <v>36305</v>
      </c>
      <c r="J1807" s="9" t="str">
        <f t="shared" ca="1" si="30"/>
        <v>24 ans</v>
      </c>
      <c r="K1807" s="2" t="s">
        <v>123</v>
      </c>
      <c r="L1807" s="2" t="str">
        <f>"297"</f>
        <v>297</v>
      </c>
      <c r="M1807" s="2"/>
      <c r="N1807" s="2" t="str">
        <f>"RUE BRIÈRE"</f>
        <v>RUE BRIÈRE</v>
      </c>
      <c r="O1807" s="2" t="s">
        <v>8260</v>
      </c>
      <c r="P1807" s="9" t="str">
        <f>VLOOKUP($O1807,'Liste des Villes'!$B$2:$B$1128,1,FALSE)</f>
        <v>Saint-Hippolyte</v>
      </c>
      <c r="Q1807" s="9" t="str">
        <f>IFERROR($P1807,PROPER(VLOOKUP($O1807,'Villes en erreur'!$A$2:$B$72,2,FALSE)))</f>
        <v>Saint-Hippolyte</v>
      </c>
      <c r="R1807" s="9" t="s">
        <v>8261</v>
      </c>
      <c r="S1807" s="9" t="str">
        <f>IF(ISBLANK($R1807),"",VLOOKUP($R1807,'Liste des Villes'!$B$2:$H$1128,4,FALSE))</f>
        <v>Laurentides</v>
      </c>
      <c r="T1807" s="2" t="s">
        <v>8656</v>
      </c>
      <c r="U1807" s="2" t="s">
        <v>39</v>
      </c>
      <c r="V1807" s="2" t="s">
        <v>40</v>
      </c>
      <c r="W1807" s="2" t="s">
        <v>8657</v>
      </c>
      <c r="X1807" s="2"/>
      <c r="Y1807" s="2"/>
      <c r="Z1807" s="2"/>
      <c r="AA1807" s="2" t="s">
        <v>832</v>
      </c>
      <c r="AB1807" s="2" t="s">
        <v>73</v>
      </c>
      <c r="AC1807" s="4" t="s">
        <v>44</v>
      </c>
    </row>
    <row r="1808" spans="1:29" x14ac:dyDescent="0.25">
      <c r="A1808" s="1">
        <v>3261</v>
      </c>
      <c r="B1808" s="17" t="s">
        <v>8658</v>
      </c>
      <c r="C1808" s="2" t="s">
        <v>8659</v>
      </c>
      <c r="D1808" s="15" t="s">
        <v>2615</v>
      </c>
      <c r="E1808" s="9" t="s">
        <v>114</v>
      </c>
      <c r="F1808" s="9" t="s">
        <v>2613</v>
      </c>
      <c r="G1808" s="9" t="s">
        <v>8660</v>
      </c>
      <c r="H1808" s="2" t="s">
        <v>60</v>
      </c>
      <c r="I1808" s="3">
        <v>36334</v>
      </c>
      <c r="J1808" s="9" t="str">
        <f t="shared" ca="1" si="30"/>
        <v>24 ans</v>
      </c>
      <c r="K1808" s="2" t="s">
        <v>123</v>
      </c>
      <c r="L1808" s="2" t="str">
        <f>"310"</f>
        <v>310</v>
      </c>
      <c r="M1808" s="2"/>
      <c r="N1808" s="2" t="str">
        <f>"RUE CARMEN"</f>
        <v>RUE CARMEN</v>
      </c>
      <c r="O1808" s="2" t="s">
        <v>8260</v>
      </c>
      <c r="P1808" s="9" t="str">
        <f>VLOOKUP($O1808,'Liste des Villes'!$B$2:$B$1128,1,FALSE)</f>
        <v>Saint-Hippolyte</v>
      </c>
      <c r="Q1808" s="9" t="str">
        <f>IFERROR($P1808,PROPER(VLOOKUP($O1808,'Villes en erreur'!$A$2:$B$72,2,FALSE)))</f>
        <v>Saint-Hippolyte</v>
      </c>
      <c r="R1808" s="9" t="s">
        <v>8261</v>
      </c>
      <c r="S1808" s="9" t="str">
        <f>IF(ISBLANK($R1808),"",VLOOKUP($R1808,'Liste des Villes'!$B$2:$H$1128,4,FALSE))</f>
        <v>Laurentides</v>
      </c>
      <c r="T1808" s="2" t="s">
        <v>8285</v>
      </c>
      <c r="U1808" s="2" t="s">
        <v>39</v>
      </c>
      <c r="V1808" s="2" t="s">
        <v>40</v>
      </c>
      <c r="W1808" s="2" t="s">
        <v>8661</v>
      </c>
      <c r="X1808" s="2"/>
      <c r="Y1808" s="2"/>
      <c r="Z1808" s="2"/>
      <c r="AA1808" s="2" t="s">
        <v>127</v>
      </c>
      <c r="AB1808" s="2" t="s">
        <v>73</v>
      </c>
      <c r="AC1808" s="4" t="s">
        <v>44</v>
      </c>
    </row>
    <row r="1809" spans="1:29" x14ac:dyDescent="0.25">
      <c r="A1809" s="1">
        <v>342</v>
      </c>
      <c r="B1809" s="17" t="s">
        <v>8662</v>
      </c>
      <c r="C1809" s="2" t="s">
        <v>3624</v>
      </c>
      <c r="D1809" s="15" t="s">
        <v>3625</v>
      </c>
      <c r="E1809" s="9" t="s">
        <v>3626</v>
      </c>
      <c r="F1809" s="9" t="s">
        <v>178</v>
      </c>
      <c r="G1809" s="9" t="s">
        <v>1553</v>
      </c>
      <c r="H1809" s="2" t="s">
        <v>60</v>
      </c>
      <c r="I1809" s="3">
        <v>36268</v>
      </c>
      <c r="J1809" s="9" t="str">
        <f t="shared" ca="1" si="30"/>
        <v>24 ans</v>
      </c>
      <c r="K1809" s="2" t="s">
        <v>123</v>
      </c>
      <c r="L1809" s="2" t="str">
        <f>"277"</f>
        <v>277</v>
      </c>
      <c r="M1809" s="2"/>
      <c r="N1809" s="2" t="str">
        <f>"RUE BLANCHET"</f>
        <v>RUE BLANCHET</v>
      </c>
      <c r="O1809" s="2" t="s">
        <v>8260</v>
      </c>
      <c r="P1809" s="9" t="str">
        <f>VLOOKUP($O1809,'Liste des Villes'!$B$2:$B$1128,1,FALSE)</f>
        <v>Saint-Hippolyte</v>
      </c>
      <c r="Q1809" s="9" t="str">
        <f>IFERROR($P1809,PROPER(VLOOKUP($O1809,'Villes en erreur'!$A$2:$B$72,2,FALSE)))</f>
        <v>Saint-Hippolyte</v>
      </c>
      <c r="R1809" s="9" t="s">
        <v>8261</v>
      </c>
      <c r="S1809" s="9" t="str">
        <f>IF(ISBLANK($R1809),"",VLOOKUP($R1809,'Liste des Villes'!$B$2:$H$1128,4,FALSE))</f>
        <v>Laurentides</v>
      </c>
      <c r="T1809" s="2" t="s">
        <v>8415</v>
      </c>
      <c r="U1809" s="2" t="s">
        <v>39</v>
      </c>
      <c r="V1809" s="2" t="s">
        <v>40</v>
      </c>
      <c r="W1809" s="2" t="s">
        <v>8663</v>
      </c>
      <c r="X1809" s="2"/>
      <c r="Y1809" s="2"/>
      <c r="Z1809" s="2"/>
      <c r="AA1809" s="2" t="s">
        <v>832</v>
      </c>
      <c r="AB1809" s="2" t="s">
        <v>73</v>
      </c>
      <c r="AC1809" s="4" t="s">
        <v>44</v>
      </c>
    </row>
    <row r="1810" spans="1:29" x14ac:dyDescent="0.25">
      <c r="A1810" s="1">
        <v>604</v>
      </c>
      <c r="B1810" s="17" t="s">
        <v>8664</v>
      </c>
      <c r="C1810" s="2" t="s">
        <v>8665</v>
      </c>
      <c r="D1810" s="15" t="s">
        <v>3073</v>
      </c>
      <c r="E1810" s="9" t="s">
        <v>6484</v>
      </c>
      <c r="F1810" s="9" t="s">
        <v>8666</v>
      </c>
      <c r="G1810" s="9" t="s">
        <v>4329</v>
      </c>
      <c r="H1810" s="2" t="s">
        <v>60</v>
      </c>
      <c r="I1810" s="3">
        <v>36337</v>
      </c>
      <c r="J1810" s="9" t="str">
        <f t="shared" ca="1" si="30"/>
        <v>24 ans</v>
      </c>
      <c r="K1810" s="2" t="s">
        <v>123</v>
      </c>
      <c r="L1810" s="2" t="str">
        <f>"311"</f>
        <v>311</v>
      </c>
      <c r="M1810" s="2"/>
      <c r="N1810" s="2" t="str">
        <f>"RUE CARTIER"</f>
        <v>RUE CARTIER</v>
      </c>
      <c r="O1810" s="2" t="s">
        <v>8260</v>
      </c>
      <c r="P1810" s="9" t="str">
        <f>VLOOKUP($O1810,'Liste des Villes'!$B$2:$B$1128,1,FALSE)</f>
        <v>Saint-Hippolyte</v>
      </c>
      <c r="Q1810" s="9" t="str">
        <f>IFERROR($P1810,PROPER(VLOOKUP($O1810,'Villes en erreur'!$A$2:$B$72,2,FALSE)))</f>
        <v>Saint-Hippolyte</v>
      </c>
      <c r="R1810" s="9" t="s">
        <v>8261</v>
      </c>
      <c r="S1810" s="9" t="str">
        <f>IF(ISBLANK($R1810),"",VLOOKUP($R1810,'Liste des Villes'!$B$2:$H$1128,4,FALSE))</f>
        <v>Laurentides</v>
      </c>
      <c r="T1810" s="2" t="s">
        <v>8409</v>
      </c>
      <c r="U1810" s="2" t="s">
        <v>39</v>
      </c>
      <c r="V1810" s="2" t="s">
        <v>40</v>
      </c>
      <c r="W1810" s="2" t="s">
        <v>8667</v>
      </c>
      <c r="X1810" s="2"/>
      <c r="Y1810" s="2"/>
      <c r="Z1810" s="2"/>
      <c r="AA1810" s="2" t="s">
        <v>127</v>
      </c>
      <c r="AB1810" s="2" t="s">
        <v>73</v>
      </c>
      <c r="AC1810" s="4" t="s">
        <v>44</v>
      </c>
    </row>
    <row r="1811" spans="1:29" x14ac:dyDescent="0.25">
      <c r="A1811" s="1">
        <v>2514</v>
      </c>
      <c r="B1811" s="17" t="s">
        <v>8668</v>
      </c>
      <c r="C1811" s="2" t="s">
        <v>8669</v>
      </c>
      <c r="D1811" s="15" t="s">
        <v>8670</v>
      </c>
      <c r="E1811" s="9" t="s">
        <v>1410</v>
      </c>
      <c r="F1811" s="9" t="s">
        <v>3170</v>
      </c>
      <c r="G1811" s="9" t="s">
        <v>107</v>
      </c>
      <c r="H1811" s="2" t="s">
        <v>60</v>
      </c>
      <c r="I1811" s="3">
        <v>36313</v>
      </c>
      <c r="J1811" s="9" t="str">
        <f t="shared" ca="1" si="30"/>
        <v>24 ans</v>
      </c>
      <c r="K1811" s="2" t="s">
        <v>123</v>
      </c>
      <c r="L1811" s="2" t="str">
        <f>"304"</f>
        <v>304</v>
      </c>
      <c r="M1811" s="2"/>
      <c r="N1811" s="2" t="str">
        <f>"RUE CADIEUX"</f>
        <v>RUE CADIEUX</v>
      </c>
      <c r="O1811" s="2" t="s">
        <v>8260</v>
      </c>
      <c r="P1811" s="9" t="str">
        <f>VLOOKUP($O1811,'Liste des Villes'!$B$2:$B$1128,1,FALSE)</f>
        <v>Saint-Hippolyte</v>
      </c>
      <c r="Q1811" s="9" t="str">
        <f>IFERROR($P1811,PROPER(VLOOKUP($O1811,'Villes en erreur'!$A$2:$B$72,2,FALSE)))</f>
        <v>Saint-Hippolyte</v>
      </c>
      <c r="R1811" s="9" t="s">
        <v>8261</v>
      </c>
      <c r="S1811" s="9" t="str">
        <f>IF(ISBLANK($R1811),"",VLOOKUP($R1811,'Liste des Villes'!$B$2:$H$1128,4,FALSE))</f>
        <v>Laurentides</v>
      </c>
      <c r="T1811" s="2" t="s">
        <v>8671</v>
      </c>
      <c r="U1811" s="2" t="s">
        <v>39</v>
      </c>
      <c r="V1811" s="2" t="s">
        <v>40</v>
      </c>
      <c r="W1811" s="2" t="s">
        <v>8672</v>
      </c>
      <c r="X1811" s="2"/>
      <c r="Y1811" s="2"/>
      <c r="Z1811" s="2"/>
      <c r="AA1811" s="2" t="s">
        <v>832</v>
      </c>
      <c r="AB1811" s="2" t="s">
        <v>73</v>
      </c>
      <c r="AC1811" s="4" t="s">
        <v>44</v>
      </c>
    </row>
    <row r="1812" spans="1:29" x14ac:dyDescent="0.25">
      <c r="A1812" s="1">
        <v>3567</v>
      </c>
      <c r="B1812" s="17" t="s">
        <v>8673</v>
      </c>
      <c r="C1812" s="2" t="s">
        <v>1408</v>
      </c>
      <c r="D1812" s="15" t="s">
        <v>1409</v>
      </c>
      <c r="E1812" s="9" t="s">
        <v>1410</v>
      </c>
      <c r="F1812" s="9" t="s">
        <v>1523</v>
      </c>
      <c r="G1812" s="9" t="s">
        <v>404</v>
      </c>
      <c r="H1812" s="2" t="s">
        <v>35</v>
      </c>
      <c r="I1812" s="3">
        <v>36346</v>
      </c>
      <c r="J1812" s="9" t="str">
        <f t="shared" ca="1" si="30"/>
        <v>24 ans</v>
      </c>
      <c r="K1812" s="2" t="s">
        <v>123</v>
      </c>
      <c r="L1812" s="2" t="str">
        <f>"314"</f>
        <v>314</v>
      </c>
      <c r="M1812" s="2"/>
      <c r="N1812" s="2" t="str">
        <f>"RUE CATHERINE"</f>
        <v>RUE CATHERINE</v>
      </c>
      <c r="O1812" s="2" t="s">
        <v>8260</v>
      </c>
      <c r="P1812" s="9" t="str">
        <f>VLOOKUP($O1812,'Liste des Villes'!$B$2:$B$1128,1,FALSE)</f>
        <v>Saint-Hippolyte</v>
      </c>
      <c r="Q1812" s="9" t="str">
        <f>IFERROR($P1812,PROPER(VLOOKUP($O1812,'Villes en erreur'!$A$2:$B$72,2,FALSE)))</f>
        <v>Saint-Hippolyte</v>
      </c>
      <c r="R1812" s="9" t="s">
        <v>8261</v>
      </c>
      <c r="S1812" s="9" t="str">
        <f>IF(ISBLANK($R1812),"",VLOOKUP($R1812,'Liste des Villes'!$B$2:$H$1128,4,FALSE))</f>
        <v>Laurentides</v>
      </c>
      <c r="T1812" s="2" t="s">
        <v>8318</v>
      </c>
      <c r="U1812" s="2" t="s">
        <v>39</v>
      </c>
      <c r="V1812" s="2" t="s">
        <v>40</v>
      </c>
      <c r="W1812" s="2" t="s">
        <v>8674</v>
      </c>
      <c r="X1812" s="2"/>
      <c r="Y1812" s="2"/>
      <c r="Z1812" s="2"/>
      <c r="AA1812" s="2" t="s">
        <v>127</v>
      </c>
      <c r="AB1812" s="2" t="s">
        <v>73</v>
      </c>
      <c r="AC1812" s="4" t="s">
        <v>44</v>
      </c>
    </row>
    <row r="1813" spans="1:29" x14ac:dyDescent="0.25">
      <c r="A1813" s="1">
        <v>2680</v>
      </c>
      <c r="B1813" s="17" t="s">
        <v>8675</v>
      </c>
      <c r="C1813" s="2" t="s">
        <v>8676</v>
      </c>
      <c r="D1813" s="15" t="s">
        <v>8677</v>
      </c>
      <c r="E1813" s="9" t="s">
        <v>8678</v>
      </c>
      <c r="F1813" s="9" t="s">
        <v>3788</v>
      </c>
      <c r="G1813" s="9" t="s">
        <v>7546</v>
      </c>
      <c r="H1813" s="2" t="s">
        <v>60</v>
      </c>
      <c r="I1813" s="3">
        <v>36279</v>
      </c>
      <c r="J1813" s="9" t="str">
        <f t="shared" ca="1" si="30"/>
        <v>24 ans</v>
      </c>
      <c r="K1813" s="2" t="s">
        <v>123</v>
      </c>
      <c r="L1813" s="2" t="str">
        <f>"285"</f>
        <v>285</v>
      </c>
      <c r="M1813" s="2"/>
      <c r="N1813" s="2" t="str">
        <f>"RUE BOUCHARD"</f>
        <v>RUE BOUCHARD</v>
      </c>
      <c r="O1813" s="2" t="s">
        <v>8260</v>
      </c>
      <c r="P1813" s="9" t="str">
        <f>VLOOKUP($O1813,'Liste des Villes'!$B$2:$B$1128,1,FALSE)</f>
        <v>Saint-Hippolyte</v>
      </c>
      <c r="Q1813" s="9" t="str">
        <f>IFERROR($P1813,PROPER(VLOOKUP($O1813,'Villes en erreur'!$A$2:$B$72,2,FALSE)))</f>
        <v>Saint-Hippolyte</v>
      </c>
      <c r="R1813" s="9" t="s">
        <v>8261</v>
      </c>
      <c r="S1813" s="9" t="str">
        <f>IF(ISBLANK($R1813),"",VLOOKUP($R1813,'Liste des Villes'!$B$2:$H$1128,4,FALSE))</f>
        <v>Laurentides</v>
      </c>
      <c r="T1813" s="2" t="s">
        <v>8679</v>
      </c>
      <c r="U1813" s="2" t="s">
        <v>39</v>
      </c>
      <c r="V1813" s="2" t="s">
        <v>40</v>
      </c>
      <c r="W1813" s="2" t="s">
        <v>8680</v>
      </c>
      <c r="X1813" s="2"/>
      <c r="Y1813" s="2"/>
      <c r="Z1813" s="2"/>
      <c r="AA1813" s="2" t="s">
        <v>832</v>
      </c>
      <c r="AB1813" s="2" t="s">
        <v>73</v>
      </c>
      <c r="AC1813" s="4" t="s">
        <v>44</v>
      </c>
    </row>
    <row r="1814" spans="1:29" x14ac:dyDescent="0.25">
      <c r="A1814" s="1">
        <v>1296</v>
      </c>
      <c r="B1814" s="17" t="s">
        <v>8681</v>
      </c>
      <c r="C1814" s="2" t="s">
        <v>8682</v>
      </c>
      <c r="D1814" s="15" t="s">
        <v>1417</v>
      </c>
      <c r="E1814" s="9" t="s">
        <v>6494</v>
      </c>
      <c r="F1814" s="9" t="s">
        <v>8011</v>
      </c>
      <c r="G1814" s="9" t="s">
        <v>8683</v>
      </c>
      <c r="H1814" s="2" t="s">
        <v>60</v>
      </c>
      <c r="I1814" s="3">
        <v>36336</v>
      </c>
      <c r="J1814" s="9" t="str">
        <f t="shared" ca="1" si="30"/>
        <v>24 ans</v>
      </c>
      <c r="K1814" s="2" t="s">
        <v>123</v>
      </c>
      <c r="L1814" s="2" t="str">
        <f>"311"</f>
        <v>311</v>
      </c>
      <c r="M1814" s="2"/>
      <c r="N1814" s="2" t="str">
        <f>"RUE CARON"</f>
        <v>RUE CARON</v>
      </c>
      <c r="O1814" s="2" t="s">
        <v>8260</v>
      </c>
      <c r="P1814" s="9" t="str">
        <f>VLOOKUP($O1814,'Liste des Villes'!$B$2:$B$1128,1,FALSE)</f>
        <v>Saint-Hippolyte</v>
      </c>
      <c r="Q1814" s="9" t="str">
        <f>IFERROR($P1814,PROPER(VLOOKUP($O1814,'Villes en erreur'!$A$2:$B$72,2,FALSE)))</f>
        <v>Saint-Hippolyte</v>
      </c>
      <c r="R1814" s="9" t="s">
        <v>8261</v>
      </c>
      <c r="S1814" s="9" t="str">
        <f>IF(ISBLANK($R1814),"",VLOOKUP($R1814,'Liste des Villes'!$B$2:$H$1128,4,FALSE))</f>
        <v>Laurentides</v>
      </c>
      <c r="T1814" s="2" t="s">
        <v>8499</v>
      </c>
      <c r="U1814" s="2" t="s">
        <v>39</v>
      </c>
      <c r="V1814" s="2" t="s">
        <v>40</v>
      </c>
      <c r="W1814" s="2" t="s">
        <v>8684</v>
      </c>
      <c r="X1814" s="2"/>
      <c r="Y1814" s="2"/>
      <c r="Z1814" s="2"/>
      <c r="AA1814" s="2" t="s">
        <v>127</v>
      </c>
      <c r="AB1814" s="2" t="s">
        <v>73</v>
      </c>
      <c r="AC1814" s="4" t="s">
        <v>44</v>
      </c>
    </row>
    <row r="1815" spans="1:29" x14ac:dyDescent="0.25">
      <c r="A1815" s="1">
        <v>1256</v>
      </c>
      <c r="B1815" s="17" t="s">
        <v>8685</v>
      </c>
      <c r="C1815" s="2" t="s">
        <v>8686</v>
      </c>
      <c r="D1815" s="15" t="s">
        <v>3204</v>
      </c>
      <c r="E1815" s="9" t="s">
        <v>664</v>
      </c>
      <c r="F1815" s="9" t="s">
        <v>3203</v>
      </c>
      <c r="G1815" s="9" t="s">
        <v>107</v>
      </c>
      <c r="H1815" s="2" t="s">
        <v>60</v>
      </c>
      <c r="I1815" s="3">
        <v>36309</v>
      </c>
      <c r="J1815" s="9" t="str">
        <f t="shared" ca="1" si="30"/>
        <v>24 ans</v>
      </c>
      <c r="K1815" s="2" t="s">
        <v>123</v>
      </c>
      <c r="L1815" s="2" t="str">
        <f>"300"</f>
        <v>300</v>
      </c>
      <c r="M1815" s="2"/>
      <c r="N1815" s="2" t="str">
        <f>"RUE BRUNET"</f>
        <v>RUE BRUNET</v>
      </c>
      <c r="O1815" s="2" t="s">
        <v>8260</v>
      </c>
      <c r="P1815" s="9" t="str">
        <f>VLOOKUP($O1815,'Liste des Villes'!$B$2:$B$1128,1,FALSE)</f>
        <v>Saint-Hippolyte</v>
      </c>
      <c r="Q1815" s="9" t="str">
        <f>IFERROR($P1815,PROPER(VLOOKUP($O1815,'Villes en erreur'!$A$2:$B$72,2,FALSE)))</f>
        <v>Saint-Hippolyte</v>
      </c>
      <c r="R1815" s="9" t="s">
        <v>8261</v>
      </c>
      <c r="S1815" s="9" t="str">
        <f>IF(ISBLANK($R1815),"",VLOOKUP($R1815,'Liste des Villes'!$B$2:$H$1128,4,FALSE))</f>
        <v>Laurentides</v>
      </c>
      <c r="T1815" s="2" t="s">
        <v>8492</v>
      </c>
      <c r="U1815" s="2" t="s">
        <v>39</v>
      </c>
      <c r="V1815" s="2" t="s">
        <v>40</v>
      </c>
      <c r="W1815" s="2" t="s">
        <v>8687</v>
      </c>
      <c r="X1815" s="2"/>
      <c r="Y1815" s="2"/>
      <c r="Z1815" s="2"/>
      <c r="AA1815" s="2" t="s">
        <v>832</v>
      </c>
      <c r="AB1815" s="2" t="s">
        <v>73</v>
      </c>
      <c r="AC1815" s="4" t="s">
        <v>44</v>
      </c>
    </row>
    <row r="1816" spans="1:29" x14ac:dyDescent="0.25">
      <c r="A1816" s="1">
        <v>2829</v>
      </c>
      <c r="B1816" s="17" t="s">
        <v>8688</v>
      </c>
      <c r="C1816" s="2" t="s">
        <v>5572</v>
      </c>
      <c r="D1816" s="15" t="s">
        <v>4347</v>
      </c>
      <c r="E1816" s="9" t="s">
        <v>380</v>
      </c>
      <c r="F1816" s="9" t="s">
        <v>304</v>
      </c>
      <c r="G1816" s="9" t="s">
        <v>2107</v>
      </c>
      <c r="H1816" s="2" t="s">
        <v>60</v>
      </c>
      <c r="I1816" s="3">
        <v>36333</v>
      </c>
      <c r="J1816" s="9" t="str">
        <f t="shared" ca="1" si="30"/>
        <v>24 ans</v>
      </c>
      <c r="K1816" s="2" t="s">
        <v>123</v>
      </c>
      <c r="L1816" s="2" t="str">
        <f>"309"</f>
        <v>309</v>
      </c>
      <c r="M1816" s="2"/>
      <c r="N1816" s="2" t="str">
        <f>"RUE CARMELLE"</f>
        <v>RUE CARMELLE</v>
      </c>
      <c r="O1816" s="2" t="s">
        <v>8260</v>
      </c>
      <c r="P1816" s="9" t="str">
        <f>VLOOKUP($O1816,'Liste des Villes'!$B$2:$B$1128,1,FALSE)</f>
        <v>Saint-Hippolyte</v>
      </c>
      <c r="Q1816" s="9" t="str">
        <f>IFERROR($P1816,PROPER(VLOOKUP($O1816,'Villes en erreur'!$A$2:$B$72,2,FALSE)))</f>
        <v>Saint-Hippolyte</v>
      </c>
      <c r="R1816" s="9" t="s">
        <v>8261</v>
      </c>
      <c r="S1816" s="9" t="str">
        <f>IF(ISBLANK($R1816),"",VLOOKUP($R1816,'Liste des Villes'!$B$2:$H$1128,4,FALSE))</f>
        <v>Laurentides</v>
      </c>
      <c r="T1816" s="2" t="s">
        <v>8285</v>
      </c>
      <c r="U1816" s="2" t="s">
        <v>39</v>
      </c>
      <c r="V1816" s="2" t="s">
        <v>40</v>
      </c>
      <c r="W1816" s="2" t="s">
        <v>8689</v>
      </c>
      <c r="X1816" s="2"/>
      <c r="Y1816" s="2"/>
      <c r="Z1816" s="2"/>
      <c r="AA1816" s="2" t="s">
        <v>127</v>
      </c>
      <c r="AB1816" s="2" t="s">
        <v>73</v>
      </c>
      <c r="AC1816" s="4" t="s">
        <v>44</v>
      </c>
    </row>
    <row r="1817" spans="1:29" x14ac:dyDescent="0.25">
      <c r="A1817" s="1">
        <v>3592</v>
      </c>
      <c r="B1817" s="17" t="s">
        <v>8690</v>
      </c>
      <c r="C1817" s="2" t="s">
        <v>5766</v>
      </c>
      <c r="D1817" s="15" t="s">
        <v>33</v>
      </c>
      <c r="E1817" s="9" t="s">
        <v>5476</v>
      </c>
      <c r="F1817" s="9" t="s">
        <v>2634</v>
      </c>
      <c r="G1817" s="9" t="s">
        <v>7006</v>
      </c>
      <c r="H1817" s="2" t="s">
        <v>60</v>
      </c>
      <c r="I1817" s="3">
        <v>36305</v>
      </c>
      <c r="J1817" s="9" t="str">
        <f t="shared" ca="1" si="30"/>
        <v>24 ans</v>
      </c>
      <c r="K1817" s="2" t="s">
        <v>123</v>
      </c>
      <c r="L1817" s="2" t="str">
        <f>"298"</f>
        <v>298</v>
      </c>
      <c r="M1817" s="2"/>
      <c r="N1817" s="2" t="str">
        <f>"RUE BRISSON"</f>
        <v>RUE BRISSON</v>
      </c>
      <c r="O1817" s="2" t="s">
        <v>8260</v>
      </c>
      <c r="P1817" s="9" t="str">
        <f>VLOOKUP($O1817,'Liste des Villes'!$B$2:$B$1128,1,FALSE)</f>
        <v>Saint-Hippolyte</v>
      </c>
      <c r="Q1817" s="9" t="str">
        <f>IFERROR($P1817,PROPER(VLOOKUP($O1817,'Villes en erreur'!$A$2:$B$72,2,FALSE)))</f>
        <v>Saint-Hippolyte</v>
      </c>
      <c r="R1817" s="9" t="s">
        <v>8261</v>
      </c>
      <c r="S1817" s="9" t="str">
        <f>IF(ISBLANK($R1817),"",VLOOKUP($R1817,'Liste des Villes'!$B$2:$H$1128,4,FALSE))</f>
        <v>Laurentides</v>
      </c>
      <c r="T1817" s="2" t="s">
        <v>8275</v>
      </c>
      <c r="U1817" s="2" t="s">
        <v>39</v>
      </c>
      <c r="V1817" s="2" t="s">
        <v>40</v>
      </c>
      <c r="W1817" s="2" t="s">
        <v>8691</v>
      </c>
      <c r="X1817" s="2"/>
      <c r="Y1817" s="2"/>
      <c r="Z1817" s="2"/>
      <c r="AA1817" s="2" t="s">
        <v>832</v>
      </c>
      <c r="AB1817" s="2" t="s">
        <v>73</v>
      </c>
      <c r="AC1817" s="4" t="s">
        <v>44</v>
      </c>
    </row>
    <row r="1818" spans="1:29" x14ac:dyDescent="0.25">
      <c r="A1818" s="1">
        <v>1544</v>
      </c>
      <c r="B1818" s="17" t="s">
        <v>8692</v>
      </c>
      <c r="C1818" s="2" t="s">
        <v>8693</v>
      </c>
      <c r="D1818" s="15" t="s">
        <v>8694</v>
      </c>
      <c r="E1818" s="9" t="s">
        <v>5476</v>
      </c>
      <c r="F1818" s="9" t="s">
        <v>31</v>
      </c>
      <c r="G1818" s="9" t="s">
        <v>107</v>
      </c>
      <c r="H1818" s="2" t="s">
        <v>60</v>
      </c>
      <c r="I1818" s="3">
        <v>36307</v>
      </c>
      <c r="J1818" s="9" t="str">
        <f t="shared" ca="1" si="30"/>
        <v>24 ans</v>
      </c>
      <c r="K1818" s="2" t="s">
        <v>123</v>
      </c>
      <c r="L1818" s="2" t="str">
        <f>"300"</f>
        <v>300</v>
      </c>
      <c r="M1818" s="2"/>
      <c r="N1818" s="2" t="str">
        <f>"RUE BRUCHÉSI"</f>
        <v>RUE BRUCHÉSI</v>
      </c>
      <c r="O1818" s="2" t="s">
        <v>8260</v>
      </c>
      <c r="P1818" s="9" t="str">
        <f>VLOOKUP($O1818,'Liste des Villes'!$B$2:$B$1128,1,FALSE)</f>
        <v>Saint-Hippolyte</v>
      </c>
      <c r="Q1818" s="9" t="str">
        <f>IFERROR($P1818,PROPER(VLOOKUP($O1818,'Villes en erreur'!$A$2:$B$72,2,FALSE)))</f>
        <v>Saint-Hippolyte</v>
      </c>
      <c r="R1818" s="9" t="s">
        <v>8261</v>
      </c>
      <c r="S1818" s="9" t="str">
        <f>IF(ISBLANK($R1818),"",VLOOKUP($R1818,'Liste des Villes'!$B$2:$H$1128,4,FALSE))</f>
        <v>Laurentides</v>
      </c>
      <c r="T1818" s="2" t="s">
        <v>8306</v>
      </c>
      <c r="U1818" s="2" t="s">
        <v>39</v>
      </c>
      <c r="V1818" s="2" t="s">
        <v>40</v>
      </c>
      <c r="W1818" s="2" t="s">
        <v>8695</v>
      </c>
      <c r="X1818" s="2"/>
      <c r="Y1818" s="2"/>
      <c r="Z1818" s="2"/>
      <c r="AA1818" s="2" t="s">
        <v>832</v>
      </c>
      <c r="AB1818" s="2" t="s">
        <v>73</v>
      </c>
      <c r="AC1818" s="4" t="s">
        <v>44</v>
      </c>
    </row>
    <row r="1819" spans="1:29" x14ac:dyDescent="0.25">
      <c r="A1819" s="1">
        <v>3741</v>
      </c>
      <c r="B1819" s="17" t="s">
        <v>8696</v>
      </c>
      <c r="C1819" s="2" t="s">
        <v>4936</v>
      </c>
      <c r="D1819" s="15" t="s">
        <v>1802</v>
      </c>
      <c r="E1819" s="9" t="s">
        <v>3964</v>
      </c>
      <c r="F1819" s="9" t="s">
        <v>1800</v>
      </c>
      <c r="G1819" s="9" t="s">
        <v>404</v>
      </c>
      <c r="H1819" s="2" t="s">
        <v>35</v>
      </c>
      <c r="I1819" s="3">
        <v>36347</v>
      </c>
      <c r="J1819" s="9" t="str">
        <f t="shared" ca="1" si="30"/>
        <v>24 ans</v>
      </c>
      <c r="K1819" s="2" t="s">
        <v>123</v>
      </c>
      <c r="L1819" s="2" t="str">
        <f>"315"</f>
        <v>315</v>
      </c>
      <c r="M1819" s="2"/>
      <c r="N1819" s="2" t="str">
        <f>"RUE CENTRALE"</f>
        <v>RUE CENTRALE</v>
      </c>
      <c r="O1819" s="2" t="s">
        <v>8260</v>
      </c>
      <c r="P1819" s="9" t="str">
        <f>VLOOKUP($O1819,'Liste des Villes'!$B$2:$B$1128,1,FALSE)</f>
        <v>Saint-Hippolyte</v>
      </c>
      <c r="Q1819" s="9" t="str">
        <f>IFERROR($P1819,PROPER(VLOOKUP($O1819,'Villes en erreur'!$A$2:$B$72,2,FALSE)))</f>
        <v>Saint-Hippolyte</v>
      </c>
      <c r="R1819" s="9" t="s">
        <v>8261</v>
      </c>
      <c r="S1819" s="9" t="str">
        <f>IF(ISBLANK($R1819),"",VLOOKUP($R1819,'Liste des Villes'!$B$2:$H$1128,4,FALSE))</f>
        <v>Laurentides</v>
      </c>
      <c r="T1819" s="2" t="s">
        <v>8318</v>
      </c>
      <c r="U1819" s="2" t="s">
        <v>39</v>
      </c>
      <c r="V1819" s="2" t="s">
        <v>40</v>
      </c>
      <c r="W1819" s="2" t="s">
        <v>8697</v>
      </c>
      <c r="X1819" s="2"/>
      <c r="Y1819" s="2"/>
      <c r="Z1819" s="2"/>
      <c r="AA1819" s="2" t="s">
        <v>127</v>
      </c>
      <c r="AB1819" s="2" t="s">
        <v>73</v>
      </c>
      <c r="AC1819" s="4" t="s">
        <v>44</v>
      </c>
    </row>
    <row r="1820" spans="1:29" x14ac:dyDescent="0.25">
      <c r="A1820" s="1">
        <v>1260</v>
      </c>
      <c r="B1820" s="17" t="s">
        <v>8698</v>
      </c>
      <c r="C1820" s="2" t="s">
        <v>5321</v>
      </c>
      <c r="D1820" s="15" t="s">
        <v>4353</v>
      </c>
      <c r="E1820" s="9" t="s">
        <v>179</v>
      </c>
      <c r="F1820" s="9" t="s">
        <v>7406</v>
      </c>
      <c r="G1820" s="9" t="s">
        <v>6379</v>
      </c>
      <c r="H1820" s="2" t="s">
        <v>35</v>
      </c>
      <c r="I1820" s="3">
        <v>36348</v>
      </c>
      <c r="J1820" s="9" t="str">
        <f t="shared" ca="1" si="30"/>
        <v>24 ans</v>
      </c>
      <c r="K1820" s="2" t="s">
        <v>123</v>
      </c>
      <c r="L1820" s="2" t="str">
        <f>"315"</f>
        <v>315</v>
      </c>
      <c r="M1820" s="2"/>
      <c r="N1820" s="2" t="str">
        <f>"RUE CHABLIS"</f>
        <v>RUE CHABLIS</v>
      </c>
      <c r="O1820" s="2" t="s">
        <v>8699</v>
      </c>
      <c r="P1820" s="9" t="str">
        <f>VLOOKUP($O1820,'Liste des Villes'!$B$2:$B$1128,1,FALSE)</f>
        <v>Saint-Gervais</v>
      </c>
      <c r="Q1820" s="9" t="str">
        <f>IFERROR($P1820,PROPER(VLOOKUP($O1820,'Villes en erreur'!$A$2:$B$72,2,FALSE)))</f>
        <v>Saint-Gervais</v>
      </c>
      <c r="R1820" s="9" t="s">
        <v>8700</v>
      </c>
      <c r="S1820" s="9" t="str">
        <f>IF(ISBLANK($R1820),"",VLOOKUP($R1820,'Liste des Villes'!$B$2:$H$1128,4,FALSE))</f>
        <v>Chaudière-Appalaches</v>
      </c>
      <c r="T1820" s="2" t="s">
        <v>8318</v>
      </c>
      <c r="U1820" s="2" t="s">
        <v>39</v>
      </c>
      <c r="V1820" s="2" t="s">
        <v>40</v>
      </c>
      <c r="W1820" s="2" t="s">
        <v>8701</v>
      </c>
      <c r="X1820" s="2"/>
      <c r="Y1820" s="2"/>
      <c r="Z1820" s="2"/>
      <c r="AA1820" s="2" t="s">
        <v>127</v>
      </c>
      <c r="AB1820" s="2" t="s">
        <v>73</v>
      </c>
      <c r="AC1820" s="4" t="s">
        <v>44</v>
      </c>
    </row>
    <row r="1821" spans="1:29" x14ac:dyDescent="0.25">
      <c r="A1821" s="1">
        <v>1876</v>
      </c>
      <c r="B1821" s="17" t="s">
        <v>8702</v>
      </c>
      <c r="C1821" s="2" t="s">
        <v>8703</v>
      </c>
      <c r="D1821" s="15" t="s">
        <v>8704</v>
      </c>
      <c r="E1821" s="9" t="s">
        <v>509</v>
      </c>
      <c r="F1821" s="9" t="s">
        <v>8705</v>
      </c>
      <c r="G1821" s="9" t="s">
        <v>8706</v>
      </c>
      <c r="H1821" s="2" t="s">
        <v>35</v>
      </c>
      <c r="I1821" s="3">
        <v>36348</v>
      </c>
      <c r="J1821" s="9" t="str">
        <f t="shared" ca="1" si="30"/>
        <v>24 ans</v>
      </c>
      <c r="K1821" s="2" t="s">
        <v>123</v>
      </c>
      <c r="L1821" s="2" t="str">
        <f>"317"</f>
        <v>317</v>
      </c>
      <c r="M1821" s="2"/>
      <c r="N1821" s="2" t="str">
        <f>"RUE CHALOUX"</f>
        <v>RUE CHALOUX</v>
      </c>
      <c r="O1821" s="2" t="s">
        <v>8707</v>
      </c>
      <c r="P1821" s="9" t="str">
        <f>VLOOKUP($O1821,'Liste des Villes'!$B$2:$B$1128,1,FALSE)</f>
        <v>Saint-Frédéric</v>
      </c>
      <c r="Q1821" s="9" t="str">
        <f>IFERROR($P1821,PROPER(VLOOKUP($O1821,'Villes en erreur'!$A$2:$B$72,2,FALSE)))</f>
        <v>Saint-Frédéric</v>
      </c>
      <c r="R1821" s="9" t="s">
        <v>8708</v>
      </c>
      <c r="S1821" s="9" t="str">
        <f>IF(ISBLANK($R1821),"",VLOOKUP($R1821,'Liste des Villes'!$B$2:$H$1128,4,FALSE))</f>
        <v>Chaudière-Appalaches</v>
      </c>
      <c r="T1821" s="2" t="s">
        <v>8709</v>
      </c>
      <c r="U1821" s="2" t="s">
        <v>39</v>
      </c>
      <c r="V1821" s="2" t="s">
        <v>40</v>
      </c>
      <c r="W1821" s="2" t="s">
        <v>8710</v>
      </c>
      <c r="X1821" s="2"/>
      <c r="Y1821" s="2"/>
      <c r="Z1821" s="2"/>
      <c r="AA1821" s="2" t="s">
        <v>127</v>
      </c>
      <c r="AB1821" s="2" t="s">
        <v>73</v>
      </c>
      <c r="AC1821" s="4" t="s">
        <v>44</v>
      </c>
    </row>
    <row r="1822" spans="1:29" x14ac:dyDescent="0.25">
      <c r="A1822" s="1">
        <v>2216</v>
      </c>
      <c r="B1822" s="17" t="s">
        <v>8711</v>
      </c>
      <c r="C1822" s="2" t="s">
        <v>8712</v>
      </c>
      <c r="D1822" s="15" t="s">
        <v>4328</v>
      </c>
      <c r="E1822" s="9" t="s">
        <v>8683</v>
      </c>
      <c r="F1822" s="9" t="s">
        <v>4330</v>
      </c>
      <c r="G1822" s="9" t="s">
        <v>8713</v>
      </c>
      <c r="H1822" s="2" t="s">
        <v>60</v>
      </c>
      <c r="I1822" s="3">
        <v>36348</v>
      </c>
      <c r="J1822" s="9" t="str">
        <f t="shared" ca="1" si="30"/>
        <v>24 ans</v>
      </c>
      <c r="K1822" s="2" t="s">
        <v>123</v>
      </c>
      <c r="L1822" s="2" t="str">
        <f>"317"</f>
        <v>317</v>
      </c>
      <c r="M1822" s="2"/>
      <c r="N1822" s="2" t="str">
        <f>"RUE CHAMBERLAIN"</f>
        <v>RUE CHAMBERLAIN</v>
      </c>
      <c r="O1822" s="2" t="s">
        <v>8714</v>
      </c>
      <c r="P1822" s="9" t="str">
        <f>VLOOKUP($O1822,'Liste des Villes'!$B$2:$B$1128,1,FALSE)</f>
        <v>Saint-Félix-de-Valois</v>
      </c>
      <c r="Q1822" s="9" t="str">
        <f>IFERROR($P1822,PROPER(VLOOKUP($O1822,'Villes en erreur'!$A$2:$B$72,2,FALSE)))</f>
        <v>Saint-Félix-de-Valois</v>
      </c>
      <c r="R1822" s="9" t="s">
        <v>8715</v>
      </c>
      <c r="S1822" s="9" t="str">
        <f>IF(ISBLANK($R1822),"",VLOOKUP($R1822,'Liste des Villes'!$B$2:$H$1128,4,FALSE))</f>
        <v>Lanaudière</v>
      </c>
      <c r="T1822" s="2" t="s">
        <v>8716</v>
      </c>
      <c r="U1822" s="2" t="s">
        <v>39</v>
      </c>
      <c r="V1822" s="2" t="s">
        <v>40</v>
      </c>
      <c r="W1822" s="2" t="s">
        <v>8717</v>
      </c>
      <c r="X1822" s="2"/>
      <c r="Y1822" s="2"/>
      <c r="Z1822" s="2"/>
      <c r="AA1822" s="2" t="s">
        <v>127</v>
      </c>
      <c r="AB1822" s="2" t="s">
        <v>73</v>
      </c>
      <c r="AC1822" s="4" t="s">
        <v>44</v>
      </c>
    </row>
    <row r="1823" spans="1:29" x14ac:dyDescent="0.25">
      <c r="A1823" s="1">
        <v>1025</v>
      </c>
      <c r="B1823" s="17" t="s">
        <v>8718</v>
      </c>
      <c r="C1823" s="2" t="s">
        <v>8719</v>
      </c>
      <c r="D1823" s="15" t="s">
        <v>8720</v>
      </c>
      <c r="E1823" s="9" t="s">
        <v>549</v>
      </c>
      <c r="F1823" s="9" t="s">
        <v>8721</v>
      </c>
      <c r="G1823" s="9" t="s">
        <v>122</v>
      </c>
      <c r="H1823" s="2" t="s">
        <v>35</v>
      </c>
      <c r="I1823" s="3">
        <v>36358</v>
      </c>
      <c r="J1823" s="9" t="str">
        <f t="shared" ca="1" si="30"/>
        <v>24 ans</v>
      </c>
      <c r="K1823" s="2" t="s">
        <v>123</v>
      </c>
      <c r="L1823" s="2" t="str">
        <f>"320"</f>
        <v>320</v>
      </c>
      <c r="M1823" s="2"/>
      <c r="N1823" s="2" t="str">
        <f>"RUE CHAPLEAU"</f>
        <v>RUE CHAPLEAU</v>
      </c>
      <c r="O1823" s="2" t="s">
        <v>8722</v>
      </c>
      <c r="P1823" s="9" t="str">
        <f>VLOOKUP($O1823,'Liste des Villes'!$B$2:$B$1128,1,FALSE)</f>
        <v>Saint-Eustache</v>
      </c>
      <c r="Q1823" s="9" t="str">
        <f>IFERROR($P1823,PROPER(VLOOKUP($O1823,'Villes en erreur'!$A$2:$B$72,2,FALSE)))</f>
        <v>Saint-Eustache</v>
      </c>
      <c r="R1823" s="9" t="s">
        <v>8723</v>
      </c>
      <c r="S1823" s="9" t="str">
        <f>IF(ISBLANK($R1823),"",VLOOKUP($R1823,'Liste des Villes'!$B$2:$H$1128,4,FALSE))</f>
        <v>Laurentides</v>
      </c>
      <c r="T1823" s="2" t="s">
        <v>8724</v>
      </c>
      <c r="U1823" s="2" t="s">
        <v>39</v>
      </c>
      <c r="V1823" s="2" t="s">
        <v>40</v>
      </c>
      <c r="W1823" s="2" t="s">
        <v>8725</v>
      </c>
      <c r="X1823" s="2"/>
      <c r="Y1823" s="2"/>
      <c r="Z1823" s="2"/>
      <c r="AA1823" s="2" t="s">
        <v>127</v>
      </c>
      <c r="AB1823" s="2" t="s">
        <v>73</v>
      </c>
      <c r="AC1823" s="4" t="s">
        <v>44</v>
      </c>
    </row>
    <row r="1824" spans="1:29" x14ac:dyDescent="0.25">
      <c r="A1824" s="1">
        <v>318</v>
      </c>
      <c r="B1824" s="17" t="s">
        <v>8726</v>
      </c>
      <c r="C1824" s="2" t="s">
        <v>8727</v>
      </c>
      <c r="D1824" s="15" t="s">
        <v>8728</v>
      </c>
      <c r="E1824" s="9" t="s">
        <v>6931</v>
      </c>
      <c r="F1824" s="9" t="s">
        <v>8729</v>
      </c>
      <c r="G1824" s="9" t="s">
        <v>3085</v>
      </c>
      <c r="H1824" s="2" t="s">
        <v>60</v>
      </c>
      <c r="I1824" s="3">
        <v>36374</v>
      </c>
      <c r="J1824" s="9" t="str">
        <f t="shared" ca="1" si="30"/>
        <v>24 ans</v>
      </c>
      <c r="K1824" s="2" t="s">
        <v>123</v>
      </c>
      <c r="L1824" s="2" t="str">
        <f>"328"</f>
        <v>328</v>
      </c>
      <c r="M1824" s="2"/>
      <c r="N1824" s="2" t="str">
        <f>"RUE CHÂTEAUNEUF"</f>
        <v>RUE CHÂTEAUNEUF</v>
      </c>
      <c r="O1824" s="2" t="s">
        <v>8722</v>
      </c>
      <c r="P1824" s="9" t="str">
        <f>VLOOKUP($O1824,'Liste des Villes'!$B$2:$B$1128,1,FALSE)</f>
        <v>Saint-Eustache</v>
      </c>
      <c r="Q1824" s="9" t="str">
        <f>IFERROR($P1824,PROPER(VLOOKUP($O1824,'Villes en erreur'!$A$2:$B$72,2,FALSE)))</f>
        <v>Saint-Eustache</v>
      </c>
      <c r="R1824" s="9" t="s">
        <v>8723</v>
      </c>
      <c r="S1824" s="9" t="str">
        <f>IF(ISBLANK($R1824),"",VLOOKUP($R1824,'Liste des Villes'!$B$2:$H$1128,4,FALSE))</f>
        <v>Laurentides</v>
      </c>
      <c r="T1824" s="2" t="s">
        <v>8730</v>
      </c>
      <c r="U1824" s="2" t="s">
        <v>39</v>
      </c>
      <c r="V1824" s="2" t="s">
        <v>40</v>
      </c>
      <c r="W1824" s="2" t="s">
        <v>8731</v>
      </c>
      <c r="X1824" s="2"/>
      <c r="Y1824" s="2"/>
      <c r="Z1824" s="2"/>
      <c r="AA1824" s="2" t="s">
        <v>127</v>
      </c>
      <c r="AB1824" s="2" t="s">
        <v>73</v>
      </c>
      <c r="AC1824" s="4" t="s">
        <v>44</v>
      </c>
    </row>
    <row r="1825" spans="1:29" x14ac:dyDescent="0.25">
      <c r="A1825" s="1">
        <v>2606</v>
      </c>
      <c r="B1825" s="17" t="s">
        <v>8732</v>
      </c>
      <c r="C1825" s="2" t="s">
        <v>2856</v>
      </c>
      <c r="D1825" s="15" t="s">
        <v>1264</v>
      </c>
      <c r="E1825" s="9" t="s">
        <v>826</v>
      </c>
      <c r="F1825" s="9" t="s">
        <v>4666</v>
      </c>
      <c r="G1825" s="9" t="s">
        <v>8733</v>
      </c>
      <c r="H1825" s="2" t="s">
        <v>35</v>
      </c>
      <c r="I1825" s="3">
        <v>36422</v>
      </c>
      <c r="J1825" s="9" t="str">
        <f t="shared" ca="1" si="30"/>
        <v>23 ans</v>
      </c>
      <c r="K1825" s="2" t="s">
        <v>123</v>
      </c>
      <c r="L1825" s="2" t="str">
        <f>"355"</f>
        <v>355</v>
      </c>
      <c r="M1825" s="2"/>
      <c r="N1825" s="2" t="str">
        <f>"RUE DALPÉ"</f>
        <v>RUE DALPÉ</v>
      </c>
      <c r="O1825" s="2" t="s">
        <v>8722</v>
      </c>
      <c r="P1825" s="9" t="str">
        <f>VLOOKUP($O1825,'Liste des Villes'!$B$2:$B$1128,1,FALSE)</f>
        <v>Saint-Eustache</v>
      </c>
      <c r="Q1825" s="9" t="str">
        <f>IFERROR($P1825,PROPER(VLOOKUP($O1825,'Villes en erreur'!$A$2:$B$72,2,FALSE)))</f>
        <v>Saint-Eustache</v>
      </c>
      <c r="R1825" s="9" t="s">
        <v>8723</v>
      </c>
      <c r="S1825" s="9" t="str">
        <f>IF(ISBLANK($R1825),"",VLOOKUP($R1825,'Liste des Villes'!$B$2:$H$1128,4,FALSE))</f>
        <v>Laurentides</v>
      </c>
      <c r="T1825" s="2" t="s">
        <v>8734</v>
      </c>
      <c r="U1825" s="2" t="s">
        <v>39</v>
      </c>
      <c r="V1825" s="2" t="s">
        <v>40</v>
      </c>
      <c r="W1825" s="2" t="s">
        <v>8735</v>
      </c>
      <c r="X1825" s="2"/>
      <c r="Y1825" s="2"/>
      <c r="Z1825" s="2"/>
      <c r="AA1825" s="2" t="s">
        <v>127</v>
      </c>
      <c r="AB1825" s="2" t="s">
        <v>73</v>
      </c>
      <c r="AC1825" s="4" t="s">
        <v>44</v>
      </c>
    </row>
    <row r="1826" spans="1:29" x14ac:dyDescent="0.25">
      <c r="A1826" s="1">
        <v>4079</v>
      </c>
      <c r="B1826" s="17" t="s">
        <v>8736</v>
      </c>
      <c r="C1826" s="2" t="s">
        <v>3624</v>
      </c>
      <c r="D1826" s="15" t="s">
        <v>3625</v>
      </c>
      <c r="E1826" s="9" t="s">
        <v>3626</v>
      </c>
      <c r="F1826" s="9" t="s">
        <v>8737</v>
      </c>
      <c r="G1826" s="9" t="s">
        <v>8738</v>
      </c>
      <c r="H1826" s="2" t="s">
        <v>60</v>
      </c>
      <c r="I1826" s="3">
        <v>36390</v>
      </c>
      <c r="J1826" s="9" t="str">
        <f t="shared" ca="1" si="30"/>
        <v>24 ans</v>
      </c>
      <c r="K1826" s="2" t="s">
        <v>123</v>
      </c>
      <c r="L1826" s="2" t="str">
        <f>"340"</f>
        <v>340</v>
      </c>
      <c r="M1826" s="2"/>
      <c r="N1826" s="2" t="str">
        <f>"RUE COLLERETTE"</f>
        <v>RUE COLLERETTE</v>
      </c>
      <c r="O1826" s="2" t="s">
        <v>8722</v>
      </c>
      <c r="P1826" s="9" t="str">
        <f>VLOOKUP($O1826,'Liste des Villes'!$B$2:$B$1128,1,FALSE)</f>
        <v>Saint-Eustache</v>
      </c>
      <c r="Q1826" s="9" t="str">
        <f>IFERROR($P1826,PROPER(VLOOKUP($O1826,'Villes en erreur'!$A$2:$B$72,2,FALSE)))</f>
        <v>Saint-Eustache</v>
      </c>
      <c r="R1826" s="9" t="s">
        <v>8723</v>
      </c>
      <c r="S1826" s="9" t="str">
        <f>IF(ISBLANK($R1826),"",VLOOKUP($R1826,'Liste des Villes'!$B$2:$H$1128,4,FALSE))</f>
        <v>Laurentides</v>
      </c>
      <c r="T1826" s="2" t="s">
        <v>8739</v>
      </c>
      <c r="U1826" s="2" t="s">
        <v>39</v>
      </c>
      <c r="V1826" s="2" t="s">
        <v>40</v>
      </c>
      <c r="W1826" s="2" t="s">
        <v>8740</v>
      </c>
      <c r="X1826" s="2"/>
      <c r="Y1826" s="2"/>
      <c r="Z1826" s="2"/>
      <c r="AA1826" s="2" t="s">
        <v>127</v>
      </c>
      <c r="AB1826" s="2" t="s">
        <v>73</v>
      </c>
      <c r="AC1826" s="4" t="s">
        <v>44</v>
      </c>
    </row>
    <row r="1827" spans="1:29" x14ac:dyDescent="0.25">
      <c r="A1827" s="1">
        <v>397</v>
      </c>
      <c r="B1827" s="17" t="s">
        <v>8741</v>
      </c>
      <c r="C1827" s="2" t="s">
        <v>6327</v>
      </c>
      <c r="D1827" s="15" t="s">
        <v>1523</v>
      </c>
      <c r="E1827" s="9" t="s">
        <v>6328</v>
      </c>
      <c r="F1827" s="9" t="s">
        <v>2391</v>
      </c>
      <c r="G1827" s="9" t="s">
        <v>8742</v>
      </c>
      <c r="H1827" s="2" t="s">
        <v>60</v>
      </c>
      <c r="I1827" s="3">
        <v>36391</v>
      </c>
      <c r="J1827" s="9" t="str">
        <f t="shared" ca="1" si="30"/>
        <v>24 ans</v>
      </c>
      <c r="K1827" s="2" t="s">
        <v>123</v>
      </c>
      <c r="L1827" s="2" t="str">
        <f>"340"</f>
        <v>340</v>
      </c>
      <c r="M1827" s="2"/>
      <c r="N1827" s="2" t="str">
        <f>"rue Concorde"</f>
        <v>rue Concorde</v>
      </c>
      <c r="O1827" s="2" t="s">
        <v>8722</v>
      </c>
      <c r="P1827" s="9" t="str">
        <f>VLOOKUP($O1827,'Liste des Villes'!$B$2:$B$1128,1,FALSE)</f>
        <v>Saint-Eustache</v>
      </c>
      <c r="Q1827" s="9" t="str">
        <f>IFERROR($P1827,PROPER(VLOOKUP($O1827,'Villes en erreur'!$A$2:$B$72,2,FALSE)))</f>
        <v>Saint-Eustache</v>
      </c>
      <c r="R1827" s="9" t="s">
        <v>8723</v>
      </c>
      <c r="S1827" s="9" t="str">
        <f>IF(ISBLANK($R1827),"",VLOOKUP($R1827,'Liste des Villes'!$B$2:$H$1128,4,FALSE))</f>
        <v>Laurentides</v>
      </c>
      <c r="T1827" s="2" t="s">
        <v>8743</v>
      </c>
      <c r="U1827" s="2" t="s">
        <v>39</v>
      </c>
      <c r="V1827" s="2" t="s">
        <v>40</v>
      </c>
      <c r="W1827" s="2" t="s">
        <v>8744</v>
      </c>
      <c r="X1827" s="2"/>
      <c r="Y1827" s="2"/>
      <c r="Z1827" s="2"/>
      <c r="AA1827" s="2" t="s">
        <v>127</v>
      </c>
      <c r="AB1827" s="2" t="s">
        <v>73</v>
      </c>
      <c r="AC1827" s="4" t="s">
        <v>44</v>
      </c>
    </row>
    <row r="1828" spans="1:29" x14ac:dyDescent="0.25">
      <c r="A1828" s="1">
        <v>388</v>
      </c>
      <c r="B1828" s="17" t="s">
        <v>8745</v>
      </c>
      <c r="C1828" s="2" t="s">
        <v>8746</v>
      </c>
      <c r="D1828" s="15" t="s">
        <v>2139</v>
      </c>
      <c r="E1828" s="9" t="s">
        <v>8747</v>
      </c>
      <c r="F1828" s="9" t="s">
        <v>5196</v>
      </c>
      <c r="G1828" s="9" t="s">
        <v>5747</v>
      </c>
      <c r="H1828" s="2" t="s">
        <v>35</v>
      </c>
      <c r="I1828" s="3">
        <v>36382</v>
      </c>
      <c r="J1828" s="9" t="str">
        <f t="shared" ca="1" si="30"/>
        <v>24 ans</v>
      </c>
      <c r="K1828" s="2" t="s">
        <v>123</v>
      </c>
      <c r="L1828" s="2" t="str">
        <f>"335"</f>
        <v>335</v>
      </c>
      <c r="M1828" s="2"/>
      <c r="N1828" s="2" t="str">
        <f>"RUE CLAUDE GREGOIRE"</f>
        <v>RUE CLAUDE GREGOIRE</v>
      </c>
      <c r="O1828" s="2" t="s">
        <v>8722</v>
      </c>
      <c r="P1828" s="9" t="str">
        <f>VLOOKUP($O1828,'Liste des Villes'!$B$2:$B$1128,1,FALSE)</f>
        <v>Saint-Eustache</v>
      </c>
      <c r="Q1828" s="9" t="str">
        <f>IFERROR($P1828,PROPER(VLOOKUP($O1828,'Villes en erreur'!$A$2:$B$72,2,FALSE)))</f>
        <v>Saint-Eustache</v>
      </c>
      <c r="R1828" s="9" t="s">
        <v>8723</v>
      </c>
      <c r="S1828" s="9" t="str">
        <f>IF(ISBLANK($R1828),"",VLOOKUP($R1828,'Liste des Villes'!$B$2:$H$1128,4,FALSE))</f>
        <v>Laurentides</v>
      </c>
      <c r="T1828" s="2" t="s">
        <v>8748</v>
      </c>
      <c r="U1828" s="2" t="s">
        <v>39</v>
      </c>
      <c r="V1828" s="2" t="s">
        <v>40</v>
      </c>
      <c r="W1828" s="2" t="s">
        <v>8749</v>
      </c>
      <c r="X1828" s="2"/>
      <c r="Y1828" s="2"/>
      <c r="Z1828" s="2"/>
      <c r="AA1828" s="2" t="s">
        <v>127</v>
      </c>
      <c r="AB1828" s="2" t="s">
        <v>73</v>
      </c>
      <c r="AC1828" s="4" t="s">
        <v>44</v>
      </c>
    </row>
    <row r="1829" spans="1:29" x14ac:dyDescent="0.25">
      <c r="A1829" s="1">
        <v>4287</v>
      </c>
      <c r="B1829" s="17" t="s">
        <v>8750</v>
      </c>
      <c r="C1829" s="2" t="s">
        <v>8751</v>
      </c>
      <c r="D1829" s="15" t="s">
        <v>34</v>
      </c>
      <c r="E1829" s="9" t="s">
        <v>8752</v>
      </c>
      <c r="F1829" s="9" t="s">
        <v>8753</v>
      </c>
      <c r="G1829" s="9" t="s">
        <v>3580</v>
      </c>
      <c r="H1829" s="2" t="s">
        <v>60</v>
      </c>
      <c r="I1829" s="3">
        <v>36428</v>
      </c>
      <c r="J1829" s="9" t="str">
        <f t="shared" ca="1" si="30"/>
        <v>23 ans</v>
      </c>
      <c r="K1829" s="2" t="s">
        <v>123</v>
      </c>
      <c r="L1829" s="2" t="str">
        <f>"356"</f>
        <v>356</v>
      </c>
      <c r="M1829" s="2"/>
      <c r="N1829" s="2" t="str">
        <f>"RUE D'AMBOISE"</f>
        <v>RUE D'AMBOISE</v>
      </c>
      <c r="O1829" s="2" t="s">
        <v>8722</v>
      </c>
      <c r="P1829" s="9" t="str">
        <f>VLOOKUP($O1829,'Liste des Villes'!$B$2:$B$1128,1,FALSE)</f>
        <v>Saint-Eustache</v>
      </c>
      <c r="Q1829" s="9" t="str">
        <f>IFERROR($P1829,PROPER(VLOOKUP($O1829,'Villes en erreur'!$A$2:$B$72,2,FALSE)))</f>
        <v>Saint-Eustache</v>
      </c>
      <c r="R1829" s="9" t="s">
        <v>8723</v>
      </c>
      <c r="S1829" s="9" t="str">
        <f>IF(ISBLANK($R1829),"",VLOOKUP($R1829,'Liste des Villes'!$B$2:$H$1128,4,FALSE))</f>
        <v>Laurentides</v>
      </c>
      <c r="T1829" s="2" t="s">
        <v>8754</v>
      </c>
      <c r="U1829" s="2" t="s">
        <v>39</v>
      </c>
      <c r="V1829" s="2" t="s">
        <v>40</v>
      </c>
      <c r="W1829" s="2" t="s">
        <v>8755</v>
      </c>
      <c r="X1829" s="2"/>
      <c r="Y1829" s="2"/>
      <c r="Z1829" s="2"/>
      <c r="AA1829" s="2" t="s">
        <v>127</v>
      </c>
      <c r="AB1829" s="2" t="s">
        <v>73</v>
      </c>
      <c r="AC1829" s="4" t="s">
        <v>44</v>
      </c>
    </row>
    <row r="1830" spans="1:29" x14ac:dyDescent="0.25">
      <c r="A1830" s="1">
        <v>1179</v>
      </c>
      <c r="B1830" s="17" t="s">
        <v>8756</v>
      </c>
      <c r="C1830" s="2" t="s">
        <v>8757</v>
      </c>
      <c r="D1830" s="15" t="s">
        <v>3133</v>
      </c>
      <c r="E1830" s="9" t="s">
        <v>354</v>
      </c>
      <c r="F1830" s="9" t="s">
        <v>355</v>
      </c>
      <c r="G1830" s="9" t="s">
        <v>5501</v>
      </c>
      <c r="H1830" s="2" t="s">
        <v>60</v>
      </c>
      <c r="I1830" s="3">
        <v>36382</v>
      </c>
      <c r="J1830" s="9" t="str">
        <f t="shared" ca="1" si="30"/>
        <v>24 ans</v>
      </c>
      <c r="K1830" s="2" t="s">
        <v>123</v>
      </c>
      <c r="L1830" s="2" t="str">
        <f>"334"</f>
        <v>334</v>
      </c>
      <c r="M1830" s="2"/>
      <c r="N1830" s="2" t="str">
        <f>"RUE CLAUDE"</f>
        <v>RUE CLAUDE</v>
      </c>
      <c r="O1830" s="2" t="s">
        <v>8722</v>
      </c>
      <c r="P1830" s="9" t="str">
        <f>VLOOKUP($O1830,'Liste des Villes'!$B$2:$B$1128,1,FALSE)</f>
        <v>Saint-Eustache</v>
      </c>
      <c r="Q1830" s="9" t="str">
        <f>IFERROR($P1830,PROPER(VLOOKUP($O1830,'Villes en erreur'!$A$2:$B$72,2,FALSE)))</f>
        <v>Saint-Eustache</v>
      </c>
      <c r="R1830" s="9" t="s">
        <v>8723</v>
      </c>
      <c r="S1830" s="9" t="str">
        <f>IF(ISBLANK($R1830),"",VLOOKUP($R1830,'Liste des Villes'!$B$2:$H$1128,4,FALSE))</f>
        <v>Laurentides</v>
      </c>
      <c r="T1830" s="2" t="s">
        <v>8748</v>
      </c>
      <c r="U1830" s="2" t="s">
        <v>39</v>
      </c>
      <c r="V1830" s="2" t="s">
        <v>40</v>
      </c>
      <c r="W1830" s="2" t="s">
        <v>8758</v>
      </c>
      <c r="X1830" s="2"/>
      <c r="Y1830" s="2"/>
      <c r="Z1830" s="2"/>
      <c r="AA1830" s="2" t="s">
        <v>127</v>
      </c>
      <c r="AB1830" s="2" t="s">
        <v>73</v>
      </c>
      <c r="AC1830" s="4" t="s">
        <v>44</v>
      </c>
    </row>
    <row r="1831" spans="1:29" x14ac:dyDescent="0.25">
      <c r="A1831" s="1">
        <v>4603</v>
      </c>
      <c r="B1831" s="17" t="s">
        <v>8759</v>
      </c>
      <c r="C1831" s="2" t="s">
        <v>8760</v>
      </c>
      <c r="D1831" s="15" t="s">
        <v>8761</v>
      </c>
      <c r="E1831" s="9" t="s">
        <v>3913</v>
      </c>
      <c r="F1831" s="9" t="s">
        <v>4643</v>
      </c>
      <c r="G1831" s="9" t="s">
        <v>6931</v>
      </c>
      <c r="H1831" s="2" t="s">
        <v>60</v>
      </c>
      <c r="I1831" s="3">
        <v>36414</v>
      </c>
      <c r="J1831" s="9" t="str">
        <f t="shared" ca="1" si="30"/>
        <v>23 ans</v>
      </c>
      <c r="K1831" s="2" t="s">
        <v>123</v>
      </c>
      <c r="L1831" s="2" t="str">
        <f>"346"</f>
        <v>346</v>
      </c>
      <c r="M1831" s="2"/>
      <c r="N1831" s="2" t="str">
        <f>"RUE COUTU"</f>
        <v>RUE COUTU</v>
      </c>
      <c r="O1831" s="2" t="s">
        <v>8722</v>
      </c>
      <c r="P1831" s="9" t="str">
        <f>VLOOKUP($O1831,'Liste des Villes'!$B$2:$B$1128,1,FALSE)</f>
        <v>Saint-Eustache</v>
      </c>
      <c r="Q1831" s="9" t="str">
        <f>IFERROR($P1831,PROPER(VLOOKUP($O1831,'Villes en erreur'!$A$2:$B$72,2,FALSE)))</f>
        <v>Saint-Eustache</v>
      </c>
      <c r="R1831" s="9" t="s">
        <v>8723</v>
      </c>
      <c r="S1831" s="9" t="str">
        <f>IF(ISBLANK($R1831),"",VLOOKUP($R1831,'Liste des Villes'!$B$2:$H$1128,4,FALSE))</f>
        <v>Laurentides</v>
      </c>
      <c r="T1831" s="2" t="s">
        <v>8762</v>
      </c>
      <c r="U1831" s="2" t="s">
        <v>39</v>
      </c>
      <c r="V1831" s="2" t="s">
        <v>40</v>
      </c>
      <c r="W1831" s="2" t="s">
        <v>8763</v>
      </c>
      <c r="X1831" s="2"/>
      <c r="Y1831" s="2"/>
      <c r="Z1831" s="2"/>
      <c r="AA1831" s="2" t="s">
        <v>127</v>
      </c>
      <c r="AB1831" s="2" t="s">
        <v>73</v>
      </c>
      <c r="AC1831" s="4" t="s">
        <v>44</v>
      </c>
    </row>
    <row r="1832" spans="1:29" x14ac:dyDescent="0.25">
      <c r="A1832" s="1">
        <v>1805</v>
      </c>
      <c r="B1832" s="17" t="s">
        <v>8764</v>
      </c>
      <c r="C1832" s="2" t="s">
        <v>4230</v>
      </c>
      <c r="D1832" s="15" t="s">
        <v>957</v>
      </c>
      <c r="E1832" s="9" t="s">
        <v>4231</v>
      </c>
      <c r="F1832" s="9" t="s">
        <v>4944</v>
      </c>
      <c r="G1832" s="9" t="s">
        <v>2175</v>
      </c>
      <c r="H1832" s="2" t="s">
        <v>60</v>
      </c>
      <c r="I1832" s="3">
        <v>36386</v>
      </c>
      <c r="J1832" s="9" t="str">
        <f t="shared" ca="1" si="30"/>
        <v>24 ans</v>
      </c>
      <c r="K1832" s="2" t="s">
        <v>123</v>
      </c>
      <c r="L1832" s="2" t="str">
        <f>"337"</f>
        <v>337</v>
      </c>
      <c r="M1832" s="2"/>
      <c r="N1832" s="2" t="str">
        <f>"RUE CLÉMENT"</f>
        <v>RUE CLÉMENT</v>
      </c>
      <c r="O1832" s="2" t="s">
        <v>8722</v>
      </c>
      <c r="P1832" s="9" t="str">
        <f>VLOOKUP($O1832,'Liste des Villes'!$B$2:$B$1128,1,FALSE)</f>
        <v>Saint-Eustache</v>
      </c>
      <c r="Q1832" s="9" t="str">
        <f>IFERROR($P1832,PROPER(VLOOKUP($O1832,'Villes en erreur'!$A$2:$B$72,2,FALSE)))</f>
        <v>Saint-Eustache</v>
      </c>
      <c r="R1832" s="9" t="s">
        <v>8723</v>
      </c>
      <c r="S1832" s="9" t="str">
        <f>IF(ISBLANK($R1832),"",VLOOKUP($R1832,'Liste des Villes'!$B$2:$H$1128,4,FALSE))</f>
        <v>Laurentides</v>
      </c>
      <c r="T1832" s="2" t="s">
        <v>8765</v>
      </c>
      <c r="U1832" s="2" t="s">
        <v>39</v>
      </c>
      <c r="V1832" s="2" t="s">
        <v>40</v>
      </c>
      <c r="W1832" s="2" t="s">
        <v>8766</v>
      </c>
      <c r="X1832" s="2"/>
      <c r="Y1832" s="2"/>
      <c r="Z1832" s="2"/>
      <c r="AA1832" s="2" t="s">
        <v>127</v>
      </c>
      <c r="AB1832" s="2" t="s">
        <v>73</v>
      </c>
      <c r="AC1832" s="4" t="s">
        <v>44</v>
      </c>
    </row>
    <row r="1833" spans="1:29" x14ac:dyDescent="0.25">
      <c r="A1833" s="1">
        <v>756</v>
      </c>
      <c r="B1833" s="17" t="s">
        <v>8767</v>
      </c>
      <c r="C1833" s="2" t="s">
        <v>2360</v>
      </c>
      <c r="D1833" s="15" t="s">
        <v>2115</v>
      </c>
      <c r="E1833" s="9" t="s">
        <v>195</v>
      </c>
      <c r="F1833" s="9" t="s">
        <v>2888</v>
      </c>
      <c r="G1833" s="9" t="s">
        <v>8733</v>
      </c>
      <c r="H1833" s="2" t="s">
        <v>35</v>
      </c>
      <c r="I1833" s="3">
        <v>36422</v>
      </c>
      <c r="J1833" s="9" t="str">
        <f t="shared" ca="1" si="30"/>
        <v>23 ans</v>
      </c>
      <c r="K1833" s="2" t="s">
        <v>123</v>
      </c>
      <c r="L1833" s="2" t="str">
        <f>"354"</f>
        <v>354</v>
      </c>
      <c r="M1833" s="2"/>
      <c r="N1833" s="2" t="str">
        <f>"RUE DALHOUSIE"</f>
        <v>RUE DALHOUSIE</v>
      </c>
      <c r="O1833" s="2" t="s">
        <v>8722</v>
      </c>
      <c r="P1833" s="9" t="str">
        <f>VLOOKUP($O1833,'Liste des Villes'!$B$2:$B$1128,1,FALSE)</f>
        <v>Saint-Eustache</v>
      </c>
      <c r="Q1833" s="9" t="str">
        <f>IFERROR($P1833,PROPER(VLOOKUP($O1833,'Villes en erreur'!$A$2:$B$72,2,FALSE)))</f>
        <v>Saint-Eustache</v>
      </c>
      <c r="R1833" s="9" t="s">
        <v>8723</v>
      </c>
      <c r="S1833" s="9" t="str">
        <f>IF(ISBLANK($R1833),"",VLOOKUP($R1833,'Liste des Villes'!$B$2:$H$1128,4,FALSE))</f>
        <v>Laurentides</v>
      </c>
      <c r="T1833" s="2" t="s">
        <v>8734</v>
      </c>
      <c r="U1833" s="2" t="s">
        <v>39</v>
      </c>
      <c r="V1833" s="2" t="s">
        <v>40</v>
      </c>
      <c r="W1833" s="2" t="s">
        <v>8768</v>
      </c>
      <c r="X1833" s="2"/>
      <c r="Y1833" s="2"/>
      <c r="Z1833" s="2"/>
      <c r="AA1833" s="2" t="s">
        <v>127</v>
      </c>
      <c r="AB1833" s="2" t="s">
        <v>73</v>
      </c>
      <c r="AC1833" s="4" t="s">
        <v>44</v>
      </c>
    </row>
    <row r="1834" spans="1:29" x14ac:dyDescent="0.25">
      <c r="A1834" s="1">
        <v>4499</v>
      </c>
      <c r="B1834" s="17" t="s">
        <v>8769</v>
      </c>
      <c r="C1834" s="2" t="s">
        <v>8770</v>
      </c>
      <c r="D1834" s="15" t="s">
        <v>1871</v>
      </c>
      <c r="E1834" s="9" t="s">
        <v>743</v>
      </c>
      <c r="F1834" s="9" t="s">
        <v>1870</v>
      </c>
      <c r="G1834" s="9" t="s">
        <v>3918</v>
      </c>
      <c r="H1834" s="2" t="s">
        <v>35</v>
      </c>
      <c r="I1834" s="3">
        <v>36419</v>
      </c>
      <c r="J1834" s="9" t="str">
        <f t="shared" ca="1" si="30"/>
        <v>23 ans</v>
      </c>
      <c r="K1834" s="2" t="s">
        <v>123</v>
      </c>
      <c r="L1834" s="2" t="str">
        <f>"350"</f>
        <v>350</v>
      </c>
      <c r="M1834" s="2"/>
      <c r="N1834" s="2" t="str">
        <f>"RUE CUSSON"</f>
        <v>RUE CUSSON</v>
      </c>
      <c r="O1834" s="2" t="s">
        <v>8722</v>
      </c>
      <c r="P1834" s="9" t="str">
        <f>VLOOKUP($O1834,'Liste des Villes'!$B$2:$B$1128,1,FALSE)</f>
        <v>Saint-Eustache</v>
      </c>
      <c r="Q1834" s="9" t="str">
        <f>IFERROR($P1834,PROPER(VLOOKUP($O1834,'Villes en erreur'!$A$2:$B$72,2,FALSE)))</f>
        <v>Saint-Eustache</v>
      </c>
      <c r="R1834" s="9" t="s">
        <v>8723</v>
      </c>
      <c r="S1834" s="9" t="str">
        <f>IF(ISBLANK($R1834),"",VLOOKUP($R1834,'Liste des Villes'!$B$2:$H$1128,4,FALSE))</f>
        <v>Laurentides</v>
      </c>
      <c r="T1834" s="2" t="s">
        <v>8771</v>
      </c>
      <c r="U1834" s="2" t="s">
        <v>39</v>
      </c>
      <c r="V1834" s="2" t="s">
        <v>40</v>
      </c>
      <c r="W1834" s="2" t="s">
        <v>8772</v>
      </c>
      <c r="X1834" s="2"/>
      <c r="Y1834" s="2"/>
      <c r="Z1834" s="2"/>
      <c r="AA1834" s="2" t="s">
        <v>127</v>
      </c>
      <c r="AB1834" s="2" t="s">
        <v>73</v>
      </c>
      <c r="AC1834" s="4" t="s">
        <v>44</v>
      </c>
    </row>
    <row r="1835" spans="1:29" x14ac:dyDescent="0.25">
      <c r="A1835" s="1">
        <v>1795</v>
      </c>
      <c r="B1835" s="17" t="s">
        <v>8773</v>
      </c>
      <c r="C1835" s="2" t="s">
        <v>8774</v>
      </c>
      <c r="D1835" s="15" t="s">
        <v>232</v>
      </c>
      <c r="E1835" s="9" t="s">
        <v>8775</v>
      </c>
      <c r="F1835" s="9" t="s">
        <v>234</v>
      </c>
      <c r="G1835" s="9" t="s">
        <v>8776</v>
      </c>
      <c r="H1835" s="2" t="s">
        <v>60</v>
      </c>
      <c r="I1835" s="3">
        <v>36402</v>
      </c>
      <c r="J1835" s="9" t="str">
        <f t="shared" ca="1" si="30"/>
        <v>23 ans</v>
      </c>
      <c r="K1835" s="2" t="s">
        <v>123</v>
      </c>
      <c r="L1835" s="2" t="str">
        <f>"344"</f>
        <v>344</v>
      </c>
      <c r="M1835" s="2"/>
      <c r="N1835" s="2" t="str">
        <f>"RUE COUPAL"</f>
        <v>RUE COUPAL</v>
      </c>
      <c r="O1835" s="2" t="s">
        <v>8722</v>
      </c>
      <c r="P1835" s="9" t="str">
        <f>VLOOKUP($O1835,'Liste des Villes'!$B$2:$B$1128,1,FALSE)</f>
        <v>Saint-Eustache</v>
      </c>
      <c r="Q1835" s="9" t="str">
        <f>IFERROR($P1835,PROPER(VLOOKUP($O1835,'Villes en erreur'!$A$2:$B$72,2,FALSE)))</f>
        <v>Saint-Eustache</v>
      </c>
      <c r="R1835" s="9" t="s">
        <v>8723</v>
      </c>
      <c r="S1835" s="9" t="str">
        <f>IF(ISBLANK($R1835),"",VLOOKUP($R1835,'Liste des Villes'!$B$2:$H$1128,4,FALSE))</f>
        <v>Laurentides</v>
      </c>
      <c r="T1835" s="2" t="s">
        <v>8777</v>
      </c>
      <c r="U1835" s="2" t="s">
        <v>39</v>
      </c>
      <c r="V1835" s="2" t="s">
        <v>40</v>
      </c>
      <c r="W1835" s="2" t="s">
        <v>8778</v>
      </c>
      <c r="X1835" s="2"/>
      <c r="Y1835" s="2"/>
      <c r="Z1835" s="2"/>
      <c r="AA1835" s="2" t="s">
        <v>127</v>
      </c>
      <c r="AB1835" s="2" t="s">
        <v>73</v>
      </c>
      <c r="AC1835" s="4" t="s">
        <v>44</v>
      </c>
    </row>
    <row r="1836" spans="1:29" x14ac:dyDescent="0.25">
      <c r="A1836" s="1">
        <v>4394</v>
      </c>
      <c r="B1836" s="17" t="s">
        <v>8779</v>
      </c>
      <c r="C1836" s="2" t="s">
        <v>8780</v>
      </c>
      <c r="D1836" s="15" t="s">
        <v>8781</v>
      </c>
      <c r="E1836" s="9" t="s">
        <v>253</v>
      </c>
      <c r="F1836" s="9" t="s">
        <v>726</v>
      </c>
      <c r="G1836" s="9" t="s">
        <v>8235</v>
      </c>
      <c r="H1836" s="2" t="s">
        <v>60</v>
      </c>
      <c r="I1836" s="3">
        <v>36404</v>
      </c>
      <c r="J1836" s="9" t="str">
        <f t="shared" ca="1" si="30"/>
        <v>23 ans</v>
      </c>
      <c r="K1836" s="2" t="s">
        <v>123</v>
      </c>
      <c r="L1836" s="2" t="str">
        <f>"344"</f>
        <v>344</v>
      </c>
      <c r="M1836" s="2"/>
      <c r="N1836" s="2" t="str">
        <f>"rue Coupal"</f>
        <v>rue Coupal</v>
      </c>
      <c r="O1836" s="2" t="s">
        <v>8722</v>
      </c>
      <c r="P1836" s="9" t="str">
        <f>VLOOKUP($O1836,'Liste des Villes'!$B$2:$B$1128,1,FALSE)</f>
        <v>Saint-Eustache</v>
      </c>
      <c r="Q1836" s="9" t="str">
        <f>IFERROR($P1836,PROPER(VLOOKUP($O1836,'Villes en erreur'!$A$2:$B$72,2,FALSE)))</f>
        <v>Saint-Eustache</v>
      </c>
      <c r="R1836" s="9" t="s">
        <v>8723</v>
      </c>
      <c r="S1836" s="9" t="str">
        <f>IF(ISBLANK($R1836),"",VLOOKUP($R1836,'Liste des Villes'!$B$2:$H$1128,4,FALSE))</f>
        <v>Laurentides</v>
      </c>
      <c r="T1836" s="2" t="s">
        <v>8777</v>
      </c>
      <c r="U1836" s="2" t="s">
        <v>39</v>
      </c>
      <c r="V1836" s="2" t="s">
        <v>40</v>
      </c>
      <c r="W1836" s="2" t="s">
        <v>8782</v>
      </c>
      <c r="X1836" s="2"/>
      <c r="Y1836" s="2"/>
      <c r="Z1836" s="2"/>
      <c r="AA1836" s="2" t="s">
        <v>127</v>
      </c>
      <c r="AB1836" s="2" t="s">
        <v>73</v>
      </c>
      <c r="AC1836" s="4" t="s">
        <v>44</v>
      </c>
    </row>
    <row r="1837" spans="1:29" x14ac:dyDescent="0.25">
      <c r="A1837" s="1">
        <v>4094</v>
      </c>
      <c r="B1837" s="17" t="s">
        <v>8783</v>
      </c>
      <c r="C1837" s="2" t="s">
        <v>8784</v>
      </c>
      <c r="D1837" s="15" t="s">
        <v>6173</v>
      </c>
      <c r="E1837" s="9" t="s">
        <v>1024</v>
      </c>
      <c r="F1837" s="9" t="s">
        <v>8785</v>
      </c>
      <c r="G1837" s="9" t="s">
        <v>2175</v>
      </c>
      <c r="H1837" s="2" t="s">
        <v>60</v>
      </c>
      <c r="I1837" s="3">
        <v>36386</v>
      </c>
      <c r="J1837" s="9" t="str">
        <f t="shared" ca="1" si="30"/>
        <v>24 ans</v>
      </c>
      <c r="K1837" s="2" t="s">
        <v>123</v>
      </c>
      <c r="L1837" s="2" t="str">
        <f>"337"</f>
        <v>337</v>
      </c>
      <c r="M1837" s="2"/>
      <c r="N1837" s="2" t="str">
        <f>"RUE CLÉMENT"</f>
        <v>RUE CLÉMENT</v>
      </c>
      <c r="O1837" s="2" t="s">
        <v>8722</v>
      </c>
      <c r="P1837" s="9" t="str">
        <f>VLOOKUP($O1837,'Liste des Villes'!$B$2:$B$1128,1,FALSE)</f>
        <v>Saint-Eustache</v>
      </c>
      <c r="Q1837" s="9" t="str">
        <f>IFERROR($P1837,PROPER(VLOOKUP($O1837,'Villes en erreur'!$A$2:$B$72,2,FALSE)))</f>
        <v>Saint-Eustache</v>
      </c>
      <c r="R1837" s="9" t="s">
        <v>8723</v>
      </c>
      <c r="S1837" s="9" t="str">
        <f>IF(ISBLANK($R1837),"",VLOOKUP($R1837,'Liste des Villes'!$B$2:$H$1128,4,FALSE))</f>
        <v>Laurentides</v>
      </c>
      <c r="T1837" s="2" t="s">
        <v>8765</v>
      </c>
      <c r="U1837" s="2" t="s">
        <v>39</v>
      </c>
      <c r="V1837" s="2" t="s">
        <v>40</v>
      </c>
      <c r="W1837" s="2" t="s">
        <v>8786</v>
      </c>
      <c r="X1837" s="2"/>
      <c r="Y1837" s="2"/>
      <c r="Z1837" s="2"/>
      <c r="AA1837" s="2" t="s">
        <v>127</v>
      </c>
      <c r="AB1837" s="2" t="s">
        <v>73</v>
      </c>
      <c r="AC1837" s="4" t="s">
        <v>44</v>
      </c>
    </row>
    <row r="1838" spans="1:29" x14ac:dyDescent="0.25">
      <c r="A1838" s="1">
        <v>1011</v>
      </c>
      <c r="B1838" s="17" t="s">
        <v>8787</v>
      </c>
      <c r="C1838" s="2" t="s">
        <v>8788</v>
      </c>
      <c r="D1838" s="15" t="s">
        <v>5630</v>
      </c>
      <c r="E1838" s="9" t="s">
        <v>3306</v>
      </c>
      <c r="F1838" s="9" t="s">
        <v>5628</v>
      </c>
      <c r="G1838" s="9" t="s">
        <v>4238</v>
      </c>
      <c r="H1838" s="2" t="s">
        <v>35</v>
      </c>
      <c r="I1838" s="3">
        <v>36364</v>
      </c>
      <c r="J1838" s="9" t="str">
        <f t="shared" ca="1" si="30"/>
        <v>24 ans</v>
      </c>
      <c r="K1838" s="2" t="s">
        <v>123</v>
      </c>
      <c r="L1838" s="2" t="str">
        <f>"324"</f>
        <v>324</v>
      </c>
      <c r="M1838" s="2"/>
      <c r="N1838" s="2" t="str">
        <f>"RUE CHARLES"</f>
        <v>RUE CHARLES</v>
      </c>
      <c r="O1838" s="2" t="s">
        <v>8722</v>
      </c>
      <c r="P1838" s="9" t="str">
        <f>VLOOKUP($O1838,'Liste des Villes'!$B$2:$B$1128,1,FALSE)</f>
        <v>Saint-Eustache</v>
      </c>
      <c r="Q1838" s="9" t="str">
        <f>IFERROR($P1838,PROPER(VLOOKUP($O1838,'Villes en erreur'!$A$2:$B$72,2,FALSE)))</f>
        <v>Saint-Eustache</v>
      </c>
      <c r="R1838" s="9" t="s">
        <v>8723</v>
      </c>
      <c r="S1838" s="9" t="str">
        <f>IF(ISBLANK($R1838),"",VLOOKUP($R1838,'Liste des Villes'!$B$2:$H$1128,4,FALSE))</f>
        <v>Laurentides</v>
      </c>
      <c r="T1838" s="2" t="s">
        <v>8789</v>
      </c>
      <c r="U1838" s="2" t="s">
        <v>39</v>
      </c>
      <c r="V1838" s="2" t="s">
        <v>40</v>
      </c>
      <c r="W1838" s="2" t="s">
        <v>8790</v>
      </c>
      <c r="X1838" s="2"/>
      <c r="Y1838" s="2"/>
      <c r="Z1838" s="2"/>
      <c r="AA1838" s="2" t="s">
        <v>127</v>
      </c>
      <c r="AB1838" s="2" t="s">
        <v>73</v>
      </c>
      <c r="AC1838" s="4" t="s">
        <v>44</v>
      </c>
    </row>
    <row r="1839" spans="1:29" x14ac:dyDescent="0.25">
      <c r="A1839" s="1">
        <v>502</v>
      </c>
      <c r="B1839" s="17" t="s">
        <v>8791</v>
      </c>
      <c r="C1839" s="2" t="s">
        <v>8792</v>
      </c>
      <c r="D1839" s="15" t="s">
        <v>4256</v>
      </c>
      <c r="E1839" s="9" t="s">
        <v>8793</v>
      </c>
      <c r="F1839" s="9" t="s">
        <v>8455</v>
      </c>
      <c r="G1839" s="9" t="s">
        <v>8733</v>
      </c>
      <c r="H1839" s="2" t="s">
        <v>35</v>
      </c>
      <c r="I1839" s="3">
        <v>36421</v>
      </c>
      <c r="J1839" s="9" t="str">
        <f t="shared" ca="1" si="30"/>
        <v>23 ans</v>
      </c>
      <c r="K1839" s="2" t="s">
        <v>123</v>
      </c>
      <c r="L1839" s="2" t="str">
        <f>"354"</f>
        <v>354</v>
      </c>
      <c r="M1839" s="2"/>
      <c r="N1839" s="2" t="str">
        <f>"RUE D'ALENÇON"</f>
        <v>RUE D'ALENÇON</v>
      </c>
      <c r="O1839" s="2" t="s">
        <v>8722</v>
      </c>
      <c r="P1839" s="9" t="str">
        <f>VLOOKUP($O1839,'Liste des Villes'!$B$2:$B$1128,1,FALSE)</f>
        <v>Saint-Eustache</v>
      </c>
      <c r="Q1839" s="9" t="str">
        <f>IFERROR($P1839,PROPER(VLOOKUP($O1839,'Villes en erreur'!$A$2:$B$72,2,FALSE)))</f>
        <v>Saint-Eustache</v>
      </c>
      <c r="R1839" s="9" t="s">
        <v>8723</v>
      </c>
      <c r="S1839" s="9" t="str">
        <f>IF(ISBLANK($R1839),"",VLOOKUP($R1839,'Liste des Villes'!$B$2:$H$1128,4,FALSE))</f>
        <v>Laurentides</v>
      </c>
      <c r="T1839" s="2" t="s">
        <v>8734</v>
      </c>
      <c r="U1839" s="2" t="s">
        <v>39</v>
      </c>
      <c r="V1839" s="2" t="s">
        <v>40</v>
      </c>
      <c r="W1839" s="2" t="s">
        <v>8794</v>
      </c>
      <c r="X1839" s="2"/>
      <c r="Y1839" s="2"/>
      <c r="Z1839" s="2"/>
      <c r="AA1839" s="2" t="s">
        <v>127</v>
      </c>
      <c r="AB1839" s="2" t="s">
        <v>73</v>
      </c>
      <c r="AC1839" s="4" t="s">
        <v>44</v>
      </c>
    </row>
    <row r="1840" spans="1:29" x14ac:dyDescent="0.25">
      <c r="A1840" s="1">
        <v>3130</v>
      </c>
      <c r="B1840" s="17" t="s">
        <v>8795</v>
      </c>
      <c r="C1840" s="2" t="s">
        <v>8796</v>
      </c>
      <c r="D1840" s="15" t="s">
        <v>3078</v>
      </c>
      <c r="E1840" s="9" t="s">
        <v>137</v>
      </c>
      <c r="F1840" s="9" t="s">
        <v>3080</v>
      </c>
      <c r="G1840" s="9" t="s">
        <v>8797</v>
      </c>
      <c r="H1840" s="2" t="s">
        <v>35</v>
      </c>
      <c r="I1840" s="3">
        <v>36373</v>
      </c>
      <c r="J1840" s="9" t="str">
        <f t="shared" ca="1" si="30"/>
        <v>24 ans</v>
      </c>
      <c r="K1840" s="2" t="s">
        <v>123</v>
      </c>
      <c r="L1840" s="2" t="str">
        <f>"328"</f>
        <v>328</v>
      </c>
      <c r="M1840" s="2"/>
      <c r="N1840" s="2" t="str">
        <f>"RUE CHÂTEAUNEUF"</f>
        <v>RUE CHÂTEAUNEUF</v>
      </c>
      <c r="O1840" s="2" t="s">
        <v>8722</v>
      </c>
      <c r="P1840" s="9" t="str">
        <f>VLOOKUP($O1840,'Liste des Villes'!$B$2:$B$1128,1,FALSE)</f>
        <v>Saint-Eustache</v>
      </c>
      <c r="Q1840" s="9" t="str">
        <f>IFERROR($P1840,PROPER(VLOOKUP($O1840,'Villes en erreur'!$A$2:$B$72,2,FALSE)))</f>
        <v>Saint-Eustache</v>
      </c>
      <c r="R1840" s="9" t="s">
        <v>8723</v>
      </c>
      <c r="S1840" s="9" t="str">
        <f>IF(ISBLANK($R1840),"",VLOOKUP($R1840,'Liste des Villes'!$B$2:$H$1128,4,FALSE))</f>
        <v>Laurentides</v>
      </c>
      <c r="T1840" s="2" t="s">
        <v>8798</v>
      </c>
      <c r="U1840" s="2" t="s">
        <v>39</v>
      </c>
      <c r="V1840" s="2" t="s">
        <v>40</v>
      </c>
      <c r="W1840" s="2" t="s">
        <v>8799</v>
      </c>
      <c r="X1840" s="2"/>
      <c r="Y1840" s="2"/>
      <c r="Z1840" s="2"/>
      <c r="AA1840" s="2" t="s">
        <v>127</v>
      </c>
      <c r="AB1840" s="2" t="s">
        <v>73</v>
      </c>
      <c r="AC1840" s="4" t="s">
        <v>44</v>
      </c>
    </row>
    <row r="1841" spans="1:29" x14ac:dyDescent="0.25">
      <c r="A1841" s="1">
        <v>3164</v>
      </c>
      <c r="B1841" s="17" t="s">
        <v>8800</v>
      </c>
      <c r="C1841" s="2" t="s">
        <v>6852</v>
      </c>
      <c r="D1841" s="15" t="s">
        <v>6853</v>
      </c>
      <c r="E1841" s="9" t="s">
        <v>341</v>
      </c>
      <c r="F1841" s="9" t="s">
        <v>8801</v>
      </c>
      <c r="G1841" s="9" t="s">
        <v>8802</v>
      </c>
      <c r="H1841" s="2" t="s">
        <v>60</v>
      </c>
      <c r="I1841" s="3">
        <v>36374</v>
      </c>
      <c r="J1841" s="9" t="str">
        <f t="shared" ca="1" si="30"/>
        <v>24 ans</v>
      </c>
      <c r="K1841" s="2" t="s">
        <v>123</v>
      </c>
      <c r="L1841" s="2" t="str">
        <f>"329"</f>
        <v>329</v>
      </c>
      <c r="M1841" s="2"/>
      <c r="N1841" s="2" t="str">
        <f>"RUE CHÂTEAUNEUF"</f>
        <v>RUE CHÂTEAUNEUF</v>
      </c>
      <c r="O1841" s="2" t="s">
        <v>8722</v>
      </c>
      <c r="P1841" s="9" t="str">
        <f>VLOOKUP($O1841,'Liste des Villes'!$B$2:$B$1128,1,FALSE)</f>
        <v>Saint-Eustache</v>
      </c>
      <c r="Q1841" s="9" t="str">
        <f>IFERROR($P1841,PROPER(VLOOKUP($O1841,'Villes en erreur'!$A$2:$B$72,2,FALSE)))</f>
        <v>Saint-Eustache</v>
      </c>
      <c r="R1841" s="9" t="s">
        <v>8723</v>
      </c>
      <c r="S1841" s="9" t="str">
        <f>IF(ISBLANK($R1841),"",VLOOKUP($R1841,'Liste des Villes'!$B$2:$H$1128,4,FALSE))</f>
        <v>Laurentides</v>
      </c>
      <c r="T1841" s="2" t="s">
        <v>8730</v>
      </c>
      <c r="U1841" s="2" t="s">
        <v>39</v>
      </c>
      <c r="V1841" s="2" t="s">
        <v>40</v>
      </c>
      <c r="W1841" s="2" t="s">
        <v>8803</v>
      </c>
      <c r="X1841" s="2"/>
      <c r="Y1841" s="2"/>
      <c r="Z1841" s="2"/>
      <c r="AA1841" s="2" t="s">
        <v>127</v>
      </c>
      <c r="AB1841" s="2" t="s">
        <v>73</v>
      </c>
      <c r="AC1841" s="4" t="s">
        <v>44</v>
      </c>
    </row>
    <row r="1842" spans="1:29" x14ac:dyDescent="0.25">
      <c r="A1842" s="1">
        <v>4118</v>
      </c>
      <c r="B1842" s="17" t="s">
        <v>8804</v>
      </c>
      <c r="C1842" s="2" t="s">
        <v>8805</v>
      </c>
      <c r="D1842" s="15" t="s">
        <v>3473</v>
      </c>
      <c r="E1842" s="9" t="s">
        <v>4280</v>
      </c>
      <c r="F1842" s="9" t="s">
        <v>2161</v>
      </c>
      <c r="G1842" s="9" t="s">
        <v>122</v>
      </c>
      <c r="H1842" s="2" t="s">
        <v>35</v>
      </c>
      <c r="I1842" s="3">
        <v>36362</v>
      </c>
      <c r="J1842" s="9" t="str">
        <f t="shared" ca="1" si="30"/>
        <v>24 ans</v>
      </c>
      <c r="K1842" s="2" t="s">
        <v>123</v>
      </c>
      <c r="L1842" s="2" t="str">
        <f>"323"</f>
        <v>323</v>
      </c>
      <c r="M1842" s="2"/>
      <c r="N1842" s="2" t="str">
        <f>"RUE CHARBONNEAU"</f>
        <v>RUE CHARBONNEAU</v>
      </c>
      <c r="O1842" s="2" t="s">
        <v>8722</v>
      </c>
      <c r="P1842" s="9" t="str">
        <f>VLOOKUP($O1842,'Liste des Villes'!$B$2:$B$1128,1,FALSE)</f>
        <v>Saint-Eustache</v>
      </c>
      <c r="Q1842" s="9" t="str">
        <f>IFERROR($P1842,PROPER(VLOOKUP($O1842,'Villes en erreur'!$A$2:$B$72,2,FALSE)))</f>
        <v>Saint-Eustache</v>
      </c>
      <c r="R1842" s="9" t="s">
        <v>8723</v>
      </c>
      <c r="S1842" s="9" t="str">
        <f>IF(ISBLANK($R1842),"",VLOOKUP($R1842,'Liste des Villes'!$B$2:$H$1128,4,FALSE))</f>
        <v>Laurentides</v>
      </c>
      <c r="T1842" s="2" t="s">
        <v>8806</v>
      </c>
      <c r="U1842" s="2" t="s">
        <v>39</v>
      </c>
      <c r="V1842" s="2" t="s">
        <v>40</v>
      </c>
      <c r="W1842" s="2" t="s">
        <v>8807</v>
      </c>
      <c r="X1842" s="2"/>
      <c r="Y1842" s="2"/>
      <c r="Z1842" s="2"/>
      <c r="AA1842" s="2" t="s">
        <v>127</v>
      </c>
      <c r="AB1842" s="2" t="s">
        <v>73</v>
      </c>
      <c r="AC1842" s="4" t="s">
        <v>44</v>
      </c>
    </row>
    <row r="1843" spans="1:29" x14ac:dyDescent="0.25">
      <c r="A1843" s="1">
        <v>3122</v>
      </c>
      <c r="B1843" s="17" t="s">
        <v>8808</v>
      </c>
      <c r="C1843" s="2" t="s">
        <v>8809</v>
      </c>
      <c r="D1843" s="15" t="s">
        <v>1800</v>
      </c>
      <c r="E1843" s="9" t="s">
        <v>8810</v>
      </c>
      <c r="F1843" s="9" t="s">
        <v>1802</v>
      </c>
      <c r="G1843" s="9" t="s">
        <v>2175</v>
      </c>
      <c r="H1843" s="2" t="s">
        <v>60</v>
      </c>
      <c r="I1843" s="3">
        <v>36388</v>
      </c>
      <c r="J1843" s="9" t="str">
        <f t="shared" ca="1" si="30"/>
        <v>24 ans</v>
      </c>
      <c r="K1843" s="2" t="s">
        <v>123</v>
      </c>
      <c r="L1843" s="2" t="str">
        <f>"338"</f>
        <v>338</v>
      </c>
      <c r="M1843" s="2"/>
      <c r="N1843" s="2" t="str">
        <f>"RUE CLICHE"</f>
        <v>RUE CLICHE</v>
      </c>
      <c r="O1843" s="2" t="s">
        <v>8722</v>
      </c>
      <c r="P1843" s="9" t="str">
        <f>VLOOKUP($O1843,'Liste des Villes'!$B$2:$B$1128,1,FALSE)</f>
        <v>Saint-Eustache</v>
      </c>
      <c r="Q1843" s="9" t="str">
        <f>IFERROR($P1843,PROPER(VLOOKUP($O1843,'Villes en erreur'!$A$2:$B$72,2,FALSE)))</f>
        <v>Saint-Eustache</v>
      </c>
      <c r="R1843" s="9" t="s">
        <v>8723</v>
      </c>
      <c r="S1843" s="9" t="str">
        <f>IF(ISBLANK($R1843),"",VLOOKUP($R1843,'Liste des Villes'!$B$2:$H$1128,4,FALSE))</f>
        <v>Laurentides</v>
      </c>
      <c r="T1843" s="2" t="s">
        <v>8765</v>
      </c>
      <c r="U1843" s="2" t="s">
        <v>39</v>
      </c>
      <c r="V1843" s="2" t="s">
        <v>40</v>
      </c>
      <c r="W1843" s="2" t="s">
        <v>8811</v>
      </c>
      <c r="X1843" s="2"/>
      <c r="Y1843" s="2"/>
      <c r="Z1843" s="2"/>
      <c r="AA1843" s="2" t="s">
        <v>127</v>
      </c>
      <c r="AB1843" s="2" t="s">
        <v>73</v>
      </c>
      <c r="AC1843" s="4" t="s">
        <v>44</v>
      </c>
    </row>
    <row r="1844" spans="1:29" x14ac:dyDescent="0.25">
      <c r="A1844" s="1">
        <v>3461</v>
      </c>
      <c r="B1844" s="17" t="s">
        <v>8812</v>
      </c>
      <c r="C1844" s="2" t="s">
        <v>6272</v>
      </c>
      <c r="D1844" s="15" t="s">
        <v>1454</v>
      </c>
      <c r="E1844" s="9" t="s">
        <v>1024</v>
      </c>
      <c r="F1844" s="9" t="s">
        <v>1452</v>
      </c>
      <c r="G1844" s="9" t="s">
        <v>1729</v>
      </c>
      <c r="H1844" s="2" t="s">
        <v>60</v>
      </c>
      <c r="I1844" s="3">
        <v>36383</v>
      </c>
      <c r="J1844" s="9" t="str">
        <f t="shared" ca="1" si="30"/>
        <v>24 ans</v>
      </c>
      <c r="K1844" s="2" t="s">
        <v>123</v>
      </c>
      <c r="L1844" s="2" t="str">
        <f>"335"</f>
        <v>335</v>
      </c>
      <c r="M1844" s="2"/>
      <c r="N1844" s="2" t="str">
        <f>"RUE CLAUDETTE"</f>
        <v>RUE CLAUDETTE</v>
      </c>
      <c r="O1844" s="2" t="s">
        <v>8722</v>
      </c>
      <c r="P1844" s="9" t="str">
        <f>VLOOKUP($O1844,'Liste des Villes'!$B$2:$B$1128,1,FALSE)</f>
        <v>Saint-Eustache</v>
      </c>
      <c r="Q1844" s="9" t="str">
        <f>IFERROR($P1844,PROPER(VLOOKUP($O1844,'Villes en erreur'!$A$2:$B$72,2,FALSE)))</f>
        <v>Saint-Eustache</v>
      </c>
      <c r="R1844" s="9" t="s">
        <v>8723</v>
      </c>
      <c r="S1844" s="9" t="str">
        <f>IF(ISBLANK($R1844),"",VLOOKUP($R1844,'Liste des Villes'!$B$2:$H$1128,4,FALSE))</f>
        <v>Laurentides</v>
      </c>
      <c r="T1844" s="2" t="s">
        <v>8748</v>
      </c>
      <c r="U1844" s="2" t="s">
        <v>39</v>
      </c>
      <c r="V1844" s="2" t="s">
        <v>40</v>
      </c>
      <c r="W1844" s="2" t="s">
        <v>8813</v>
      </c>
      <c r="X1844" s="2"/>
      <c r="Y1844" s="2"/>
      <c r="Z1844" s="2"/>
      <c r="AA1844" s="2" t="s">
        <v>127</v>
      </c>
      <c r="AB1844" s="2" t="s">
        <v>73</v>
      </c>
      <c r="AC1844" s="4" t="s">
        <v>44</v>
      </c>
    </row>
    <row r="1845" spans="1:29" x14ac:dyDescent="0.25">
      <c r="A1845" s="1">
        <v>2901</v>
      </c>
      <c r="B1845" s="17" t="s">
        <v>8814</v>
      </c>
      <c r="C1845" s="2" t="s">
        <v>8815</v>
      </c>
      <c r="D1845" s="15" t="s">
        <v>3424</v>
      </c>
      <c r="E1845" s="9" t="s">
        <v>4968</v>
      </c>
      <c r="F1845" s="9" t="s">
        <v>1098</v>
      </c>
      <c r="G1845" s="9" t="s">
        <v>3918</v>
      </c>
      <c r="H1845" s="2" t="s">
        <v>35</v>
      </c>
      <c r="I1845" s="3">
        <v>36419</v>
      </c>
      <c r="J1845" s="9" t="str">
        <f t="shared" ca="1" si="30"/>
        <v>23 ans</v>
      </c>
      <c r="K1845" s="2" t="s">
        <v>123</v>
      </c>
      <c r="L1845" s="2" t="str">
        <f>"350"</f>
        <v>350</v>
      </c>
      <c r="M1845" s="2"/>
      <c r="N1845" s="2" t="str">
        <f>"RUE CYR"</f>
        <v>RUE CYR</v>
      </c>
      <c r="O1845" s="2" t="s">
        <v>8722</v>
      </c>
      <c r="P1845" s="9" t="str">
        <f>VLOOKUP($O1845,'Liste des Villes'!$B$2:$B$1128,1,FALSE)</f>
        <v>Saint-Eustache</v>
      </c>
      <c r="Q1845" s="9" t="str">
        <f>IFERROR($P1845,PROPER(VLOOKUP($O1845,'Villes en erreur'!$A$2:$B$72,2,FALSE)))</f>
        <v>Saint-Eustache</v>
      </c>
      <c r="R1845" s="9" t="s">
        <v>8723</v>
      </c>
      <c r="S1845" s="9" t="str">
        <f>IF(ISBLANK($R1845),"",VLOOKUP($R1845,'Liste des Villes'!$B$2:$H$1128,4,FALSE))</f>
        <v>Laurentides</v>
      </c>
      <c r="T1845" s="2" t="s">
        <v>8771</v>
      </c>
      <c r="U1845" s="2" t="s">
        <v>39</v>
      </c>
      <c r="V1845" s="2" t="s">
        <v>40</v>
      </c>
      <c r="W1845" s="2" t="s">
        <v>8816</v>
      </c>
      <c r="X1845" s="2"/>
      <c r="Y1845" s="2"/>
      <c r="Z1845" s="2"/>
      <c r="AA1845" s="2" t="s">
        <v>127</v>
      </c>
      <c r="AB1845" s="2" t="s">
        <v>73</v>
      </c>
      <c r="AC1845" s="4" t="s">
        <v>44</v>
      </c>
    </row>
    <row r="1846" spans="1:29" x14ac:dyDescent="0.25">
      <c r="A1846" s="1">
        <v>542</v>
      </c>
      <c r="B1846" s="17" t="s">
        <v>8817</v>
      </c>
      <c r="C1846" s="2" t="s">
        <v>8818</v>
      </c>
      <c r="D1846" s="15" t="s">
        <v>8819</v>
      </c>
      <c r="E1846" s="9" t="s">
        <v>737</v>
      </c>
      <c r="F1846" s="9" t="s">
        <v>738</v>
      </c>
      <c r="G1846" s="9" t="s">
        <v>8147</v>
      </c>
      <c r="H1846" s="2" t="s">
        <v>60</v>
      </c>
      <c r="I1846" s="3">
        <v>36410</v>
      </c>
      <c r="J1846" s="9" t="str">
        <f t="shared" ca="1" si="30"/>
        <v>23 ans</v>
      </c>
      <c r="K1846" s="2" t="s">
        <v>123</v>
      </c>
      <c r="L1846" s="2" t="str">
        <f>"344"</f>
        <v>344</v>
      </c>
      <c r="M1846" s="2"/>
      <c r="N1846" s="2" t="str">
        <f>"RUE COURSOL"</f>
        <v>RUE COURSOL</v>
      </c>
      <c r="O1846" s="2" t="s">
        <v>8722</v>
      </c>
      <c r="P1846" s="9" t="str">
        <f>VLOOKUP($O1846,'Liste des Villes'!$B$2:$B$1128,1,FALSE)</f>
        <v>Saint-Eustache</v>
      </c>
      <c r="Q1846" s="9" t="str">
        <f>IFERROR($P1846,PROPER(VLOOKUP($O1846,'Villes en erreur'!$A$2:$B$72,2,FALSE)))</f>
        <v>Saint-Eustache</v>
      </c>
      <c r="R1846" s="9" t="s">
        <v>8723</v>
      </c>
      <c r="S1846" s="9" t="str">
        <f>IF(ISBLANK($R1846),"",VLOOKUP($R1846,'Liste des Villes'!$B$2:$H$1128,4,FALSE))</f>
        <v>Laurentides</v>
      </c>
      <c r="T1846" s="2" t="s">
        <v>8777</v>
      </c>
      <c r="U1846" s="2" t="s">
        <v>39</v>
      </c>
      <c r="V1846" s="2" t="s">
        <v>40</v>
      </c>
      <c r="W1846" s="2" t="s">
        <v>8820</v>
      </c>
      <c r="X1846" s="2"/>
      <c r="Y1846" s="2"/>
      <c r="Z1846" s="2"/>
      <c r="AA1846" s="2" t="s">
        <v>127</v>
      </c>
      <c r="AB1846" s="2" t="s">
        <v>73</v>
      </c>
      <c r="AC1846" s="4" t="s">
        <v>44</v>
      </c>
    </row>
    <row r="1847" spans="1:29" x14ac:dyDescent="0.25">
      <c r="A1847" s="1">
        <v>484</v>
      </c>
      <c r="B1847" s="17" t="s">
        <v>8821</v>
      </c>
      <c r="C1847" s="2" t="s">
        <v>8822</v>
      </c>
      <c r="D1847" s="15" t="s">
        <v>56</v>
      </c>
      <c r="E1847" s="9" t="s">
        <v>1584</v>
      </c>
      <c r="F1847" s="9" t="s">
        <v>8823</v>
      </c>
      <c r="G1847" s="9" t="s">
        <v>4238</v>
      </c>
      <c r="H1847" s="2" t="s">
        <v>35</v>
      </c>
      <c r="I1847" s="3">
        <v>36365</v>
      </c>
      <c r="J1847" s="9" t="str">
        <f t="shared" ca="1" si="30"/>
        <v>24 ans</v>
      </c>
      <c r="K1847" s="2" t="s">
        <v>123</v>
      </c>
      <c r="L1847" s="2" t="str">
        <f>"325"</f>
        <v>325</v>
      </c>
      <c r="M1847" s="2"/>
      <c r="N1847" s="2" t="str">
        <f>"RUE CHARLES"</f>
        <v>RUE CHARLES</v>
      </c>
      <c r="O1847" s="2" t="s">
        <v>8722</v>
      </c>
      <c r="P1847" s="9" t="str">
        <f>VLOOKUP($O1847,'Liste des Villes'!$B$2:$B$1128,1,FALSE)</f>
        <v>Saint-Eustache</v>
      </c>
      <c r="Q1847" s="9" t="str">
        <f>IFERROR($P1847,PROPER(VLOOKUP($O1847,'Villes en erreur'!$A$2:$B$72,2,FALSE)))</f>
        <v>Saint-Eustache</v>
      </c>
      <c r="R1847" s="9" t="s">
        <v>8723</v>
      </c>
      <c r="S1847" s="9" t="str">
        <f>IF(ISBLANK($R1847),"",VLOOKUP($R1847,'Liste des Villes'!$B$2:$H$1128,4,FALSE))</f>
        <v>Laurentides</v>
      </c>
      <c r="T1847" s="2" t="s">
        <v>8824</v>
      </c>
      <c r="U1847" s="2" t="s">
        <v>39</v>
      </c>
      <c r="V1847" s="2" t="s">
        <v>40</v>
      </c>
      <c r="W1847" s="2" t="s">
        <v>8825</v>
      </c>
      <c r="X1847" s="2"/>
      <c r="Y1847" s="2"/>
      <c r="Z1847" s="2"/>
      <c r="AA1847" s="2" t="s">
        <v>127</v>
      </c>
      <c r="AB1847" s="2" t="s">
        <v>73</v>
      </c>
      <c r="AC1847" s="4" t="s">
        <v>44</v>
      </c>
    </row>
    <row r="1848" spans="1:29" x14ac:dyDescent="0.25">
      <c r="A1848" s="1">
        <v>2539</v>
      </c>
      <c r="B1848" s="17" t="s">
        <v>8826</v>
      </c>
      <c r="C1848" s="2" t="s">
        <v>8827</v>
      </c>
      <c r="D1848" s="15" t="s">
        <v>527</v>
      </c>
      <c r="E1848" s="9" t="s">
        <v>2069</v>
      </c>
      <c r="F1848" s="9" t="s">
        <v>8828</v>
      </c>
      <c r="G1848" s="9" t="s">
        <v>122</v>
      </c>
      <c r="H1848" s="2" t="s">
        <v>35</v>
      </c>
      <c r="I1848" s="3">
        <v>36359</v>
      </c>
      <c r="J1848" s="9" t="str">
        <f t="shared" ca="1" si="30"/>
        <v>24 ans</v>
      </c>
      <c r="K1848" s="2" t="s">
        <v>123</v>
      </c>
      <c r="L1848" s="2" t="str">
        <f>"322"</f>
        <v>322</v>
      </c>
      <c r="M1848" s="2"/>
      <c r="N1848" s="2" t="str">
        <f>"RUE CHAPLEAU"</f>
        <v>RUE CHAPLEAU</v>
      </c>
      <c r="O1848" s="2" t="s">
        <v>8722</v>
      </c>
      <c r="P1848" s="9" t="str">
        <f>VLOOKUP($O1848,'Liste des Villes'!$B$2:$B$1128,1,FALSE)</f>
        <v>Saint-Eustache</v>
      </c>
      <c r="Q1848" s="9" t="str">
        <f>IFERROR($P1848,PROPER(VLOOKUP($O1848,'Villes en erreur'!$A$2:$B$72,2,FALSE)))</f>
        <v>Saint-Eustache</v>
      </c>
      <c r="R1848" s="9" t="s">
        <v>8723</v>
      </c>
      <c r="S1848" s="9" t="str">
        <f>IF(ISBLANK($R1848),"",VLOOKUP($R1848,'Liste des Villes'!$B$2:$H$1128,4,FALSE))</f>
        <v>Laurentides</v>
      </c>
      <c r="T1848" s="2" t="s">
        <v>8724</v>
      </c>
      <c r="U1848" s="2" t="s">
        <v>39</v>
      </c>
      <c r="V1848" s="2" t="s">
        <v>40</v>
      </c>
      <c r="W1848" s="2" t="s">
        <v>8829</v>
      </c>
      <c r="X1848" s="2"/>
      <c r="Y1848" s="2"/>
      <c r="Z1848" s="2"/>
      <c r="AA1848" s="2" t="s">
        <v>127</v>
      </c>
      <c r="AB1848" s="2" t="s">
        <v>73</v>
      </c>
      <c r="AC1848" s="4" t="s">
        <v>44</v>
      </c>
    </row>
    <row r="1849" spans="1:29" x14ac:dyDescent="0.25">
      <c r="A1849" s="1">
        <v>322</v>
      </c>
      <c r="B1849" s="17" t="s">
        <v>8830</v>
      </c>
      <c r="C1849" s="2" t="s">
        <v>8831</v>
      </c>
      <c r="D1849" s="15" t="s">
        <v>884</v>
      </c>
      <c r="E1849" s="9" t="s">
        <v>7947</v>
      </c>
      <c r="F1849" s="9" t="s">
        <v>8832</v>
      </c>
      <c r="G1849" s="9" t="s">
        <v>8833</v>
      </c>
      <c r="H1849" s="2" t="s">
        <v>60</v>
      </c>
      <c r="I1849" s="3">
        <v>36378</v>
      </c>
      <c r="J1849" s="9" t="str">
        <f t="shared" ca="1" si="30"/>
        <v>24 ans</v>
      </c>
      <c r="K1849" s="2" t="s">
        <v>123</v>
      </c>
      <c r="L1849" s="2" t="str">
        <f>"331"</f>
        <v>331</v>
      </c>
      <c r="M1849" s="2"/>
      <c r="N1849" s="2" t="str">
        <f>"RUE CHENONCEAU"</f>
        <v>RUE CHENONCEAU</v>
      </c>
      <c r="O1849" s="2" t="s">
        <v>8722</v>
      </c>
      <c r="P1849" s="9" t="str">
        <f>VLOOKUP($O1849,'Liste des Villes'!$B$2:$B$1128,1,FALSE)</f>
        <v>Saint-Eustache</v>
      </c>
      <c r="Q1849" s="9" t="str">
        <f>IFERROR($P1849,PROPER(VLOOKUP($O1849,'Villes en erreur'!$A$2:$B$72,2,FALSE)))</f>
        <v>Saint-Eustache</v>
      </c>
      <c r="R1849" s="9" t="s">
        <v>8723</v>
      </c>
      <c r="S1849" s="9" t="str">
        <f>IF(ISBLANK($R1849),"",VLOOKUP($R1849,'Liste des Villes'!$B$2:$H$1128,4,FALSE))</f>
        <v>Laurentides</v>
      </c>
      <c r="T1849" s="2" t="s">
        <v>8834</v>
      </c>
      <c r="U1849" s="2" t="s">
        <v>39</v>
      </c>
      <c r="V1849" s="2" t="s">
        <v>40</v>
      </c>
      <c r="W1849" s="2" t="s">
        <v>8835</v>
      </c>
      <c r="X1849" s="2"/>
      <c r="Y1849" s="2"/>
      <c r="Z1849" s="2"/>
      <c r="AA1849" s="2" t="s">
        <v>127</v>
      </c>
      <c r="AB1849" s="2" t="s">
        <v>73</v>
      </c>
      <c r="AC1849" s="4" t="s">
        <v>44</v>
      </c>
    </row>
    <row r="1850" spans="1:29" x14ac:dyDescent="0.25">
      <c r="A1850" s="1">
        <v>3385</v>
      </c>
      <c r="B1850" s="17" t="s">
        <v>8836</v>
      </c>
      <c r="C1850" s="2" t="s">
        <v>8837</v>
      </c>
      <c r="D1850" s="15" t="s">
        <v>3080</v>
      </c>
      <c r="E1850" s="9" t="s">
        <v>188</v>
      </c>
      <c r="F1850" s="9" t="s">
        <v>3078</v>
      </c>
      <c r="G1850" s="9" t="s">
        <v>6931</v>
      </c>
      <c r="H1850" s="2" t="s">
        <v>60</v>
      </c>
      <c r="I1850" s="3">
        <v>36411</v>
      </c>
      <c r="J1850" s="9" t="str">
        <f t="shared" ca="1" si="30"/>
        <v>23 ans</v>
      </c>
      <c r="K1850" s="2" t="s">
        <v>123</v>
      </c>
      <c r="L1850" s="2" t="str">
        <f>"345"</f>
        <v>345</v>
      </c>
      <c r="M1850" s="2"/>
      <c r="N1850" s="2" t="str">
        <f>"RUE COURVAL"</f>
        <v>RUE COURVAL</v>
      </c>
      <c r="O1850" s="2" t="s">
        <v>8722</v>
      </c>
      <c r="P1850" s="9" t="str">
        <f>VLOOKUP($O1850,'Liste des Villes'!$B$2:$B$1128,1,FALSE)</f>
        <v>Saint-Eustache</v>
      </c>
      <c r="Q1850" s="9" t="str">
        <f>IFERROR($P1850,PROPER(VLOOKUP($O1850,'Villes en erreur'!$A$2:$B$72,2,FALSE)))</f>
        <v>Saint-Eustache</v>
      </c>
      <c r="R1850" s="9" t="s">
        <v>8723</v>
      </c>
      <c r="S1850" s="9" t="str">
        <f>IF(ISBLANK($R1850),"",VLOOKUP($R1850,'Liste des Villes'!$B$2:$H$1128,4,FALSE))</f>
        <v>Laurentides</v>
      </c>
      <c r="T1850" s="2" t="s">
        <v>8777</v>
      </c>
      <c r="U1850" s="2" t="s">
        <v>39</v>
      </c>
      <c r="V1850" s="2" t="s">
        <v>40</v>
      </c>
      <c r="W1850" s="2" t="s">
        <v>8838</v>
      </c>
      <c r="X1850" s="2"/>
      <c r="Y1850" s="2"/>
      <c r="Z1850" s="2"/>
      <c r="AA1850" s="2" t="s">
        <v>127</v>
      </c>
      <c r="AB1850" s="2" t="s">
        <v>73</v>
      </c>
      <c r="AC1850" s="4" t="s">
        <v>44</v>
      </c>
    </row>
    <row r="1851" spans="1:29" x14ac:dyDescent="0.25">
      <c r="A1851" s="1">
        <v>894</v>
      </c>
      <c r="B1851" s="17" t="s">
        <v>8839</v>
      </c>
      <c r="C1851" s="2" t="s">
        <v>8840</v>
      </c>
      <c r="D1851" s="15" t="s">
        <v>7461</v>
      </c>
      <c r="E1851" s="9" t="s">
        <v>8841</v>
      </c>
      <c r="F1851" s="9" t="s">
        <v>7462</v>
      </c>
      <c r="G1851" s="9" t="s">
        <v>2807</v>
      </c>
      <c r="H1851" s="2" t="s">
        <v>60</v>
      </c>
      <c r="I1851" s="3">
        <v>36378</v>
      </c>
      <c r="J1851" s="9" t="str">
        <f t="shared" ca="1" si="30"/>
        <v>24 ans</v>
      </c>
      <c r="K1851" s="2" t="s">
        <v>123</v>
      </c>
      <c r="L1851" s="2" t="str">
        <f>"331"</f>
        <v>331</v>
      </c>
      <c r="M1851" s="2"/>
      <c r="N1851" s="2" t="str">
        <f>"RUE CHERRIER"</f>
        <v>RUE CHERRIER</v>
      </c>
      <c r="O1851" s="2" t="s">
        <v>8722</v>
      </c>
      <c r="P1851" s="9" t="str">
        <f>VLOOKUP($O1851,'Liste des Villes'!$B$2:$B$1128,1,FALSE)</f>
        <v>Saint-Eustache</v>
      </c>
      <c r="Q1851" s="9" t="str">
        <f>IFERROR($P1851,PROPER(VLOOKUP($O1851,'Villes en erreur'!$A$2:$B$72,2,FALSE)))</f>
        <v>Saint-Eustache</v>
      </c>
      <c r="R1851" s="9" t="s">
        <v>8723</v>
      </c>
      <c r="S1851" s="9" t="str">
        <f>IF(ISBLANK($R1851),"",VLOOKUP($R1851,'Liste des Villes'!$B$2:$H$1128,4,FALSE))</f>
        <v>Laurentides</v>
      </c>
      <c r="T1851" s="2" t="s">
        <v>8842</v>
      </c>
      <c r="U1851" s="2" t="s">
        <v>39</v>
      </c>
      <c r="V1851" s="2" t="s">
        <v>40</v>
      </c>
      <c r="W1851" s="2" t="s">
        <v>8843</v>
      </c>
      <c r="X1851" s="2"/>
      <c r="Y1851" s="2"/>
      <c r="Z1851" s="2"/>
      <c r="AA1851" s="2" t="s">
        <v>127</v>
      </c>
      <c r="AB1851" s="2" t="s">
        <v>73</v>
      </c>
      <c r="AC1851" s="4" t="s">
        <v>44</v>
      </c>
    </row>
    <row r="1852" spans="1:29" x14ac:dyDescent="0.25">
      <c r="A1852" s="1">
        <v>4422</v>
      </c>
      <c r="B1852" s="17" t="s">
        <v>8844</v>
      </c>
      <c r="C1852" s="2" t="s">
        <v>8845</v>
      </c>
      <c r="D1852" s="15" t="s">
        <v>3122</v>
      </c>
      <c r="E1852" s="9" t="s">
        <v>8846</v>
      </c>
      <c r="F1852" s="9" t="s">
        <v>106</v>
      </c>
      <c r="G1852" s="9" t="s">
        <v>122</v>
      </c>
      <c r="H1852" s="2" t="s">
        <v>35</v>
      </c>
      <c r="I1852" s="3">
        <v>36360</v>
      </c>
      <c r="J1852" s="9" t="str">
        <f t="shared" ca="1" si="30"/>
        <v>24 ans</v>
      </c>
      <c r="K1852" s="2" t="s">
        <v>123</v>
      </c>
      <c r="L1852" s="2" t="str">
        <f>"322"</f>
        <v>322</v>
      </c>
      <c r="M1852" s="2"/>
      <c r="N1852" s="2" t="str">
        <f>"RUE CHARBONNEAU"</f>
        <v>RUE CHARBONNEAU</v>
      </c>
      <c r="O1852" s="2" t="s">
        <v>8722</v>
      </c>
      <c r="P1852" s="9" t="str">
        <f>VLOOKUP($O1852,'Liste des Villes'!$B$2:$B$1128,1,FALSE)</f>
        <v>Saint-Eustache</v>
      </c>
      <c r="Q1852" s="9" t="str">
        <f>IFERROR($P1852,PROPER(VLOOKUP($O1852,'Villes en erreur'!$A$2:$B$72,2,FALSE)))</f>
        <v>Saint-Eustache</v>
      </c>
      <c r="R1852" s="9" t="s">
        <v>8723</v>
      </c>
      <c r="S1852" s="9" t="str">
        <f>IF(ISBLANK($R1852),"",VLOOKUP($R1852,'Liste des Villes'!$B$2:$H$1128,4,FALSE))</f>
        <v>Laurentides</v>
      </c>
      <c r="T1852" s="2" t="s">
        <v>8847</v>
      </c>
      <c r="U1852" s="2" t="s">
        <v>39</v>
      </c>
      <c r="V1852" s="2" t="s">
        <v>40</v>
      </c>
      <c r="W1852" s="2" t="s">
        <v>8848</v>
      </c>
      <c r="X1852" s="2"/>
      <c r="Y1852" s="2"/>
      <c r="Z1852" s="2"/>
      <c r="AA1852" s="2" t="s">
        <v>127</v>
      </c>
      <c r="AB1852" s="2" t="s">
        <v>73</v>
      </c>
      <c r="AC1852" s="4" t="s">
        <v>44</v>
      </c>
    </row>
    <row r="1853" spans="1:29" x14ac:dyDescent="0.25">
      <c r="A1853" s="1">
        <v>2011</v>
      </c>
      <c r="B1853" s="17" t="s">
        <v>8849</v>
      </c>
      <c r="C1853" s="2" t="s">
        <v>8850</v>
      </c>
      <c r="D1853" s="15" t="s">
        <v>8851</v>
      </c>
      <c r="E1853" s="9" t="s">
        <v>8852</v>
      </c>
      <c r="F1853" s="9" t="s">
        <v>3646</v>
      </c>
      <c r="G1853" s="9" t="s">
        <v>122</v>
      </c>
      <c r="H1853" s="2" t="s">
        <v>35</v>
      </c>
      <c r="I1853" s="3">
        <v>36355</v>
      </c>
      <c r="J1853" s="9" t="str">
        <f t="shared" ca="1" si="30"/>
        <v>24 ans</v>
      </c>
      <c r="K1853" s="2" t="s">
        <v>123</v>
      </c>
      <c r="L1853" s="2" t="str">
        <f>"320"</f>
        <v>320</v>
      </c>
      <c r="M1853" s="2"/>
      <c r="N1853" s="2" t="str">
        <f>"RUE CHANTOVENT"</f>
        <v>RUE CHANTOVENT</v>
      </c>
      <c r="O1853" s="2" t="s">
        <v>8723</v>
      </c>
      <c r="P1853" s="9" t="str">
        <f>VLOOKUP($O1853,'Liste des Villes'!$B$2:$B$1128,1,FALSE)</f>
        <v>Saint-Eustache</v>
      </c>
      <c r="Q1853" s="9" t="str">
        <f>IFERROR($P1853,PROPER(VLOOKUP($O1853,'Villes en erreur'!$A$2:$B$72,2,FALSE)))</f>
        <v>Saint-Eustache</v>
      </c>
      <c r="R1853" s="9" t="s">
        <v>8723</v>
      </c>
      <c r="S1853" s="9" t="str">
        <f>IF(ISBLANK($R1853),"",VLOOKUP($R1853,'Liste des Villes'!$B$2:$H$1128,4,FALSE))</f>
        <v>Laurentides</v>
      </c>
      <c r="T1853" s="2" t="s">
        <v>327</v>
      </c>
      <c r="U1853" s="2" t="s">
        <v>39</v>
      </c>
      <c r="V1853" s="2" t="s">
        <v>40</v>
      </c>
      <c r="W1853" s="2" t="s">
        <v>8853</v>
      </c>
      <c r="X1853" s="2"/>
      <c r="Y1853" s="2"/>
      <c r="Z1853" s="2"/>
      <c r="AA1853" s="2" t="s">
        <v>127</v>
      </c>
      <c r="AB1853" s="2" t="s">
        <v>73</v>
      </c>
      <c r="AC1853" s="4" t="s">
        <v>44</v>
      </c>
    </row>
    <row r="1854" spans="1:29" x14ac:dyDescent="0.25">
      <c r="A1854" s="1">
        <v>1430</v>
      </c>
      <c r="B1854" s="17" t="s">
        <v>8854</v>
      </c>
      <c r="C1854" s="2" t="s">
        <v>8855</v>
      </c>
      <c r="D1854" s="15" t="s">
        <v>8856</v>
      </c>
      <c r="E1854" s="9" t="s">
        <v>3196</v>
      </c>
      <c r="F1854" s="9" t="s">
        <v>1371</v>
      </c>
      <c r="G1854" s="9" t="s">
        <v>2807</v>
      </c>
      <c r="H1854" s="2" t="s">
        <v>60</v>
      </c>
      <c r="I1854" s="3">
        <v>36380</v>
      </c>
      <c r="J1854" s="9" t="str">
        <f t="shared" ca="1" si="30"/>
        <v>24 ans</v>
      </c>
      <c r="K1854" s="2" t="s">
        <v>123</v>
      </c>
      <c r="L1854" s="2" t="str">
        <f>"334"</f>
        <v>334</v>
      </c>
      <c r="M1854" s="2"/>
      <c r="N1854" s="2" t="str">
        <f>"RUE CLAUDE"</f>
        <v>RUE CLAUDE</v>
      </c>
      <c r="O1854" s="2" t="s">
        <v>8722</v>
      </c>
      <c r="P1854" s="9" t="str">
        <f>VLOOKUP($O1854,'Liste des Villes'!$B$2:$B$1128,1,FALSE)</f>
        <v>Saint-Eustache</v>
      </c>
      <c r="Q1854" s="9" t="str">
        <f>IFERROR($P1854,PROPER(VLOOKUP($O1854,'Villes en erreur'!$A$2:$B$72,2,FALSE)))</f>
        <v>Saint-Eustache</v>
      </c>
      <c r="R1854" s="9" t="s">
        <v>8723</v>
      </c>
      <c r="S1854" s="9" t="str">
        <f>IF(ISBLANK($R1854),"",VLOOKUP($R1854,'Liste des Villes'!$B$2:$H$1128,4,FALSE))</f>
        <v>Laurentides</v>
      </c>
      <c r="T1854" s="2" t="s">
        <v>8857</v>
      </c>
      <c r="U1854" s="2" t="s">
        <v>39</v>
      </c>
      <c r="V1854" s="2" t="s">
        <v>40</v>
      </c>
      <c r="W1854" s="2" t="s">
        <v>8858</v>
      </c>
      <c r="X1854" s="2"/>
      <c r="Y1854" s="2"/>
      <c r="Z1854" s="2"/>
      <c r="AA1854" s="2" t="s">
        <v>127</v>
      </c>
      <c r="AB1854" s="2" t="s">
        <v>73</v>
      </c>
      <c r="AC1854" s="4" t="s">
        <v>44</v>
      </c>
    </row>
    <row r="1855" spans="1:29" x14ac:dyDescent="0.25">
      <c r="A1855" s="1">
        <v>3026</v>
      </c>
      <c r="B1855" s="17" t="s">
        <v>8859</v>
      </c>
      <c r="C1855" s="2" t="s">
        <v>8860</v>
      </c>
      <c r="D1855" s="15" t="s">
        <v>6481</v>
      </c>
      <c r="E1855" s="9" t="s">
        <v>4764</v>
      </c>
      <c r="F1855" s="9" t="s">
        <v>2898</v>
      </c>
      <c r="G1855" s="9" t="s">
        <v>122</v>
      </c>
      <c r="H1855" s="2" t="s">
        <v>35</v>
      </c>
      <c r="I1855" s="3">
        <v>36355</v>
      </c>
      <c r="J1855" s="9" t="str">
        <f t="shared" ca="1" si="30"/>
        <v>24 ans</v>
      </c>
      <c r="K1855" s="2" t="s">
        <v>123</v>
      </c>
      <c r="L1855" s="2" t="str">
        <f>"320"</f>
        <v>320</v>
      </c>
      <c r="M1855" s="2"/>
      <c r="N1855" s="2" t="str">
        <f>"RUE CHAMPLAIN"</f>
        <v>RUE CHAMPLAIN</v>
      </c>
      <c r="O1855" s="2" t="s">
        <v>8722</v>
      </c>
      <c r="P1855" s="9" t="str">
        <f>VLOOKUP($O1855,'Liste des Villes'!$B$2:$B$1128,1,FALSE)</f>
        <v>Saint-Eustache</v>
      </c>
      <c r="Q1855" s="9" t="str">
        <f>IFERROR($P1855,PROPER(VLOOKUP($O1855,'Villes en erreur'!$A$2:$B$72,2,FALSE)))</f>
        <v>Saint-Eustache</v>
      </c>
      <c r="R1855" s="9" t="s">
        <v>8723</v>
      </c>
      <c r="S1855" s="9" t="str">
        <f>IF(ISBLANK($R1855),"",VLOOKUP($R1855,'Liste des Villes'!$B$2:$H$1128,4,FALSE))</f>
        <v>Laurentides</v>
      </c>
      <c r="T1855" s="2" t="s">
        <v>327</v>
      </c>
      <c r="U1855" s="2" t="s">
        <v>39</v>
      </c>
      <c r="V1855" s="2" t="s">
        <v>40</v>
      </c>
      <c r="W1855" s="2" t="s">
        <v>8861</v>
      </c>
      <c r="X1855" s="2"/>
      <c r="Y1855" s="2"/>
      <c r="Z1855" s="2"/>
      <c r="AA1855" s="2" t="s">
        <v>127</v>
      </c>
      <c r="AB1855" s="2" t="s">
        <v>73</v>
      </c>
      <c r="AC1855" s="4" t="s">
        <v>44</v>
      </c>
    </row>
    <row r="1856" spans="1:29" x14ac:dyDescent="0.25">
      <c r="A1856" s="1">
        <v>2408</v>
      </c>
      <c r="B1856" s="17" t="s">
        <v>8862</v>
      </c>
      <c r="C1856" s="2" t="s">
        <v>8863</v>
      </c>
      <c r="D1856" s="15" t="s">
        <v>4870</v>
      </c>
      <c r="E1856" s="9" t="s">
        <v>2107</v>
      </c>
      <c r="F1856" s="9" t="s">
        <v>3484</v>
      </c>
      <c r="G1856" s="9" t="s">
        <v>3647</v>
      </c>
      <c r="H1856" s="2" t="s">
        <v>60</v>
      </c>
      <c r="I1856" s="3">
        <v>36401</v>
      </c>
      <c r="J1856" s="9" t="str">
        <f t="shared" ca="1" si="30"/>
        <v>23 ans</v>
      </c>
      <c r="K1856" s="2" t="s">
        <v>123</v>
      </c>
      <c r="L1856" s="2" t="str">
        <f>"344"</f>
        <v>344</v>
      </c>
      <c r="M1856" s="2"/>
      <c r="N1856" s="2" t="str">
        <f>"RUE COTTINGHAM"</f>
        <v>RUE COTTINGHAM</v>
      </c>
      <c r="O1856" s="2" t="s">
        <v>8722</v>
      </c>
      <c r="P1856" s="9" t="str">
        <f>VLOOKUP($O1856,'Liste des Villes'!$B$2:$B$1128,1,FALSE)</f>
        <v>Saint-Eustache</v>
      </c>
      <c r="Q1856" s="9" t="str">
        <f>IFERROR($P1856,PROPER(VLOOKUP($O1856,'Villes en erreur'!$A$2:$B$72,2,FALSE)))</f>
        <v>Saint-Eustache</v>
      </c>
      <c r="R1856" s="9" t="s">
        <v>8723</v>
      </c>
      <c r="S1856" s="9" t="str">
        <f>IF(ISBLANK($R1856),"",VLOOKUP($R1856,'Liste des Villes'!$B$2:$H$1128,4,FALSE))</f>
        <v>Laurentides</v>
      </c>
      <c r="T1856" s="2" t="s">
        <v>8864</v>
      </c>
      <c r="U1856" s="2" t="s">
        <v>39</v>
      </c>
      <c r="V1856" s="2" t="s">
        <v>40</v>
      </c>
      <c r="W1856" s="2" t="s">
        <v>8865</v>
      </c>
      <c r="X1856" s="2"/>
      <c r="Y1856" s="2"/>
      <c r="Z1856" s="2"/>
      <c r="AA1856" s="2" t="s">
        <v>127</v>
      </c>
      <c r="AB1856" s="2" t="s">
        <v>73</v>
      </c>
      <c r="AC1856" s="4" t="s">
        <v>44</v>
      </c>
    </row>
    <row r="1857" spans="1:29" x14ac:dyDescent="0.25">
      <c r="A1857" s="1">
        <v>2880</v>
      </c>
      <c r="B1857" s="17" t="s">
        <v>8866</v>
      </c>
      <c r="C1857" s="2" t="s">
        <v>8867</v>
      </c>
      <c r="D1857" s="15" t="s">
        <v>449</v>
      </c>
      <c r="E1857" s="9" t="s">
        <v>8868</v>
      </c>
      <c r="F1857" s="9" t="s">
        <v>6669</v>
      </c>
      <c r="G1857" s="9" t="s">
        <v>4988</v>
      </c>
      <c r="H1857" s="2" t="s">
        <v>35</v>
      </c>
      <c r="I1857" s="3">
        <v>36431</v>
      </c>
      <c r="J1857" s="9" t="str">
        <f t="shared" ca="1" si="30"/>
        <v>23 ans</v>
      </c>
      <c r="K1857" s="2" t="s">
        <v>123</v>
      </c>
      <c r="L1857" s="2" t="str">
        <f>"359"</f>
        <v>359</v>
      </c>
      <c r="M1857" s="2"/>
      <c r="N1857" s="2" t="str">
        <f>"RUE DANIEL"</f>
        <v>RUE DANIEL</v>
      </c>
      <c r="O1857" s="2" t="s">
        <v>8722</v>
      </c>
      <c r="P1857" s="9" t="str">
        <f>VLOOKUP($O1857,'Liste des Villes'!$B$2:$B$1128,1,FALSE)</f>
        <v>Saint-Eustache</v>
      </c>
      <c r="Q1857" s="9" t="str">
        <f>IFERROR($P1857,PROPER(VLOOKUP($O1857,'Villes en erreur'!$A$2:$B$72,2,FALSE)))</f>
        <v>Saint-Eustache</v>
      </c>
      <c r="R1857" s="9" t="s">
        <v>8723</v>
      </c>
      <c r="S1857" s="9" t="str">
        <f>IF(ISBLANK($R1857),"",VLOOKUP($R1857,'Liste des Villes'!$B$2:$H$1128,4,FALSE))</f>
        <v>Laurentides</v>
      </c>
      <c r="T1857" s="2" t="s">
        <v>8869</v>
      </c>
      <c r="U1857" s="2" t="s">
        <v>39</v>
      </c>
      <c r="V1857" s="2" t="s">
        <v>40</v>
      </c>
      <c r="W1857" s="2" t="s">
        <v>8870</v>
      </c>
      <c r="X1857" s="2"/>
      <c r="Y1857" s="2"/>
      <c r="Z1857" s="2"/>
      <c r="AA1857" s="2" t="s">
        <v>127</v>
      </c>
      <c r="AB1857" s="2" t="s">
        <v>73</v>
      </c>
      <c r="AC1857" s="4" t="s">
        <v>44</v>
      </c>
    </row>
    <row r="1858" spans="1:29" x14ac:dyDescent="0.25">
      <c r="A1858" s="1">
        <v>1607</v>
      </c>
      <c r="B1858" s="17" t="s">
        <v>8871</v>
      </c>
      <c r="C1858" s="2" t="s">
        <v>8872</v>
      </c>
      <c r="D1858" s="15" t="s">
        <v>8873</v>
      </c>
      <c r="E1858" s="9" t="s">
        <v>3708</v>
      </c>
      <c r="F1858" s="9" t="s">
        <v>6008</v>
      </c>
      <c r="G1858" s="9" t="s">
        <v>4988</v>
      </c>
      <c r="H1858" s="2" t="s">
        <v>35</v>
      </c>
      <c r="I1858" s="3">
        <v>36429</v>
      </c>
      <c r="J1858" s="9" t="str">
        <f t="shared" ref="J1858:J1921" ca="1" si="31">_xlfn.CONCAT(INT((TODAY()-$I1858)/365.25)," ans")</f>
        <v>23 ans</v>
      </c>
      <c r="K1858" s="2" t="s">
        <v>123</v>
      </c>
      <c r="L1858" s="2" t="str">
        <f>"359"</f>
        <v>359</v>
      </c>
      <c r="M1858" s="2"/>
      <c r="N1858" s="2" t="str">
        <f>"RUE D'AMQUI"</f>
        <v>RUE D'AMQUI</v>
      </c>
      <c r="O1858" s="2" t="s">
        <v>8722</v>
      </c>
      <c r="P1858" s="9" t="str">
        <f>VLOOKUP($O1858,'Liste des Villes'!$B$2:$B$1128,1,FALSE)</f>
        <v>Saint-Eustache</v>
      </c>
      <c r="Q1858" s="9" t="str">
        <f>IFERROR($P1858,PROPER(VLOOKUP($O1858,'Villes en erreur'!$A$2:$B$72,2,FALSE)))</f>
        <v>Saint-Eustache</v>
      </c>
      <c r="R1858" s="9" t="s">
        <v>8723</v>
      </c>
      <c r="S1858" s="9" t="str">
        <f>IF(ISBLANK($R1858),"",VLOOKUP($R1858,'Liste des Villes'!$B$2:$H$1128,4,FALSE))</f>
        <v>Laurentides</v>
      </c>
      <c r="T1858" s="2" t="s">
        <v>8869</v>
      </c>
      <c r="U1858" s="2" t="s">
        <v>39</v>
      </c>
      <c r="V1858" s="2" t="s">
        <v>40</v>
      </c>
      <c r="W1858" s="2" t="s">
        <v>8874</v>
      </c>
      <c r="X1858" s="2"/>
      <c r="Y1858" s="2"/>
      <c r="Z1858" s="2"/>
      <c r="AA1858" s="2" t="s">
        <v>127</v>
      </c>
      <c r="AB1858" s="2" t="s">
        <v>73</v>
      </c>
      <c r="AC1858" s="4" t="s">
        <v>44</v>
      </c>
    </row>
    <row r="1859" spans="1:29" x14ac:dyDescent="0.25">
      <c r="A1859" s="1">
        <v>3860</v>
      </c>
      <c r="B1859" s="17" t="s">
        <v>8875</v>
      </c>
      <c r="C1859" s="2" t="s">
        <v>8876</v>
      </c>
      <c r="D1859" s="15" t="s">
        <v>8877</v>
      </c>
      <c r="E1859" s="9" t="s">
        <v>277</v>
      </c>
      <c r="F1859" s="9" t="s">
        <v>1951</v>
      </c>
      <c r="G1859" s="9" t="s">
        <v>6931</v>
      </c>
      <c r="H1859" s="2" t="s">
        <v>60</v>
      </c>
      <c r="I1859" s="3">
        <v>36416</v>
      </c>
      <c r="J1859" s="9" t="str">
        <f t="shared" ca="1" si="31"/>
        <v>23 ans</v>
      </c>
      <c r="K1859" s="2" t="s">
        <v>123</v>
      </c>
      <c r="L1859" s="2" t="str">
        <f>"349"</f>
        <v>349</v>
      </c>
      <c r="M1859" s="2"/>
      <c r="N1859" s="2" t="str">
        <f>"RUE COUTURE"</f>
        <v>RUE COUTURE</v>
      </c>
      <c r="O1859" s="2" t="s">
        <v>8722</v>
      </c>
      <c r="P1859" s="9" t="str">
        <f>VLOOKUP($O1859,'Liste des Villes'!$B$2:$B$1128,1,FALSE)</f>
        <v>Saint-Eustache</v>
      </c>
      <c r="Q1859" s="9" t="str">
        <f>IFERROR($P1859,PROPER(VLOOKUP($O1859,'Villes en erreur'!$A$2:$B$72,2,FALSE)))</f>
        <v>Saint-Eustache</v>
      </c>
      <c r="R1859" s="9" t="s">
        <v>8723</v>
      </c>
      <c r="S1859" s="9" t="str">
        <f>IF(ISBLANK($R1859),"",VLOOKUP($R1859,'Liste des Villes'!$B$2:$H$1128,4,FALSE))</f>
        <v>Laurentides</v>
      </c>
      <c r="T1859" s="2" t="s">
        <v>8762</v>
      </c>
      <c r="U1859" s="2" t="s">
        <v>39</v>
      </c>
      <c r="V1859" s="2" t="s">
        <v>40</v>
      </c>
      <c r="W1859" s="2" t="s">
        <v>8878</v>
      </c>
      <c r="X1859" s="2"/>
      <c r="Y1859" s="2"/>
      <c r="Z1859" s="2"/>
      <c r="AA1859" s="2" t="s">
        <v>127</v>
      </c>
      <c r="AB1859" s="2" t="s">
        <v>73</v>
      </c>
      <c r="AC1859" s="4" t="s">
        <v>44</v>
      </c>
    </row>
    <row r="1860" spans="1:29" x14ac:dyDescent="0.25">
      <c r="A1860" s="1">
        <v>1349</v>
      </c>
      <c r="B1860" s="17" t="s">
        <v>8879</v>
      </c>
      <c r="C1860" s="2" t="s">
        <v>2914</v>
      </c>
      <c r="D1860" s="15" t="s">
        <v>164</v>
      </c>
      <c r="E1860" s="9" t="s">
        <v>602</v>
      </c>
      <c r="F1860" s="9" t="s">
        <v>8880</v>
      </c>
      <c r="G1860" s="9" t="s">
        <v>2807</v>
      </c>
      <c r="H1860" s="2" t="s">
        <v>60</v>
      </c>
      <c r="I1860" s="3">
        <v>36379</v>
      </c>
      <c r="J1860" s="9" t="str">
        <f t="shared" ca="1" si="31"/>
        <v>24 ans</v>
      </c>
      <c r="K1860" s="2" t="s">
        <v>123</v>
      </c>
      <c r="L1860" s="2" t="str">
        <f>"331"</f>
        <v>331</v>
      </c>
      <c r="M1860" s="2"/>
      <c r="N1860" s="2" t="str">
        <f>"RUE CHRISTOPHER"</f>
        <v>RUE CHRISTOPHER</v>
      </c>
      <c r="O1860" s="2" t="s">
        <v>8722</v>
      </c>
      <c r="P1860" s="9" t="str">
        <f>VLOOKUP($O1860,'Liste des Villes'!$B$2:$B$1128,1,FALSE)</f>
        <v>Saint-Eustache</v>
      </c>
      <c r="Q1860" s="9" t="str">
        <f>IFERROR($P1860,PROPER(VLOOKUP($O1860,'Villes en erreur'!$A$2:$B$72,2,FALSE)))</f>
        <v>Saint-Eustache</v>
      </c>
      <c r="R1860" s="9" t="s">
        <v>8723</v>
      </c>
      <c r="S1860" s="9" t="str">
        <f>IF(ISBLANK($R1860),"",VLOOKUP($R1860,'Liste des Villes'!$B$2:$H$1128,4,FALSE))</f>
        <v>Laurentides</v>
      </c>
      <c r="T1860" s="2" t="s">
        <v>8842</v>
      </c>
      <c r="U1860" s="2" t="s">
        <v>39</v>
      </c>
      <c r="V1860" s="2" t="s">
        <v>40</v>
      </c>
      <c r="W1860" s="2" t="s">
        <v>8881</v>
      </c>
      <c r="X1860" s="2"/>
      <c r="Y1860" s="2"/>
      <c r="Z1860" s="2"/>
      <c r="AA1860" s="2" t="s">
        <v>127</v>
      </c>
      <c r="AB1860" s="2" t="s">
        <v>73</v>
      </c>
      <c r="AC1860" s="4" t="s">
        <v>44</v>
      </c>
    </row>
    <row r="1861" spans="1:29" x14ac:dyDescent="0.25">
      <c r="A1861" s="1">
        <v>3451</v>
      </c>
      <c r="B1861" s="17" t="s">
        <v>8882</v>
      </c>
      <c r="C1861" s="2" t="s">
        <v>8883</v>
      </c>
      <c r="D1861" s="15" t="s">
        <v>8884</v>
      </c>
      <c r="E1861" s="9" t="s">
        <v>826</v>
      </c>
      <c r="F1861" s="9" t="s">
        <v>766</v>
      </c>
      <c r="G1861" s="9" t="s">
        <v>8885</v>
      </c>
      <c r="H1861" s="2" t="s">
        <v>60</v>
      </c>
      <c r="I1861" s="3">
        <v>36402</v>
      </c>
      <c r="J1861" s="9" t="str">
        <f t="shared" ca="1" si="31"/>
        <v>23 ans</v>
      </c>
      <c r="K1861" s="2" t="s">
        <v>123</v>
      </c>
      <c r="L1861" s="2" t="str">
        <f>"344"</f>
        <v>344</v>
      </c>
      <c r="M1861" s="2"/>
      <c r="N1861" s="2" t="str">
        <f>"RUE COULOMBE"</f>
        <v>RUE COULOMBE</v>
      </c>
      <c r="O1861" s="2" t="s">
        <v>8722</v>
      </c>
      <c r="P1861" s="9" t="str">
        <f>VLOOKUP($O1861,'Liste des Villes'!$B$2:$B$1128,1,FALSE)</f>
        <v>Saint-Eustache</v>
      </c>
      <c r="Q1861" s="9" t="str">
        <f>IFERROR($P1861,PROPER(VLOOKUP($O1861,'Villes en erreur'!$A$2:$B$72,2,FALSE)))</f>
        <v>Saint-Eustache</v>
      </c>
      <c r="R1861" s="9" t="s">
        <v>8723</v>
      </c>
      <c r="S1861" s="9" t="str">
        <f>IF(ISBLANK($R1861),"",VLOOKUP($R1861,'Liste des Villes'!$B$2:$H$1128,4,FALSE))</f>
        <v>Laurentides</v>
      </c>
      <c r="T1861" s="2" t="s">
        <v>8864</v>
      </c>
      <c r="U1861" s="2" t="s">
        <v>39</v>
      </c>
      <c r="V1861" s="2" t="s">
        <v>40</v>
      </c>
      <c r="W1861" s="2" t="s">
        <v>8886</v>
      </c>
      <c r="X1861" s="2"/>
      <c r="Y1861" s="2"/>
      <c r="Z1861" s="2"/>
      <c r="AA1861" s="2" t="s">
        <v>127</v>
      </c>
      <c r="AB1861" s="2" t="s">
        <v>73</v>
      </c>
      <c r="AC1861" s="4" t="s">
        <v>44</v>
      </c>
    </row>
    <row r="1862" spans="1:29" x14ac:dyDescent="0.25">
      <c r="A1862" s="1">
        <v>3767</v>
      </c>
      <c r="B1862" s="17" t="s">
        <v>8887</v>
      </c>
      <c r="C1862" s="2" t="s">
        <v>4593</v>
      </c>
      <c r="D1862" s="15" t="s">
        <v>788</v>
      </c>
      <c r="E1862" s="9" t="s">
        <v>4594</v>
      </c>
      <c r="F1862" s="9" t="s">
        <v>750</v>
      </c>
      <c r="G1862" s="9" t="s">
        <v>8888</v>
      </c>
      <c r="H1862" s="2" t="s">
        <v>35</v>
      </c>
      <c r="I1862" s="3">
        <v>36375</v>
      </c>
      <c r="J1862" s="9" t="str">
        <f t="shared" ca="1" si="31"/>
        <v>24 ans</v>
      </c>
      <c r="K1862" s="2" t="s">
        <v>123</v>
      </c>
      <c r="L1862" s="2" t="str">
        <f>"330"</f>
        <v>330</v>
      </c>
      <c r="M1862" s="2"/>
      <c r="N1862" s="2" t="str">
        <f>"RUE CHAUVEAU"</f>
        <v>RUE CHAUVEAU</v>
      </c>
      <c r="O1862" s="2" t="s">
        <v>8722</v>
      </c>
      <c r="P1862" s="9" t="str">
        <f>VLOOKUP($O1862,'Liste des Villes'!$B$2:$B$1128,1,FALSE)</f>
        <v>Saint-Eustache</v>
      </c>
      <c r="Q1862" s="9" t="str">
        <f>IFERROR($P1862,PROPER(VLOOKUP($O1862,'Villes en erreur'!$A$2:$B$72,2,FALSE)))</f>
        <v>Saint-Eustache</v>
      </c>
      <c r="R1862" s="9" t="s">
        <v>8723</v>
      </c>
      <c r="S1862" s="9" t="str">
        <f>IF(ISBLANK($R1862),"",VLOOKUP($R1862,'Liste des Villes'!$B$2:$H$1128,4,FALSE))</f>
        <v>Laurentides</v>
      </c>
      <c r="T1862" s="2" t="s">
        <v>8889</v>
      </c>
      <c r="U1862" s="2" t="s">
        <v>39</v>
      </c>
      <c r="V1862" s="2" t="s">
        <v>40</v>
      </c>
      <c r="W1862" s="2" t="s">
        <v>8890</v>
      </c>
      <c r="X1862" s="2"/>
      <c r="Y1862" s="2"/>
      <c r="Z1862" s="2"/>
      <c r="AA1862" s="2" t="s">
        <v>127</v>
      </c>
      <c r="AB1862" s="2" t="s">
        <v>73</v>
      </c>
      <c r="AC1862" s="4" t="s">
        <v>44</v>
      </c>
    </row>
    <row r="1863" spans="1:29" x14ac:dyDescent="0.25">
      <c r="A1863" s="1">
        <v>3642</v>
      </c>
      <c r="B1863" s="17" t="s">
        <v>8891</v>
      </c>
      <c r="C1863" s="2" t="s">
        <v>8892</v>
      </c>
      <c r="D1863" s="15" t="s">
        <v>8893</v>
      </c>
      <c r="E1863" s="9" t="s">
        <v>137</v>
      </c>
      <c r="F1863" s="9" t="s">
        <v>3080</v>
      </c>
      <c r="G1863" s="9" t="s">
        <v>2699</v>
      </c>
      <c r="H1863" s="2" t="s">
        <v>60</v>
      </c>
      <c r="I1863" s="3">
        <v>36419</v>
      </c>
      <c r="J1863" s="9" t="str">
        <f t="shared" ca="1" si="31"/>
        <v>23 ans</v>
      </c>
      <c r="K1863" s="2" t="s">
        <v>123</v>
      </c>
      <c r="L1863" s="2" t="str">
        <f>"351"</f>
        <v>351</v>
      </c>
      <c r="M1863" s="2"/>
      <c r="N1863" s="2" t="str">
        <f>"RUE DAGENAIS"</f>
        <v>RUE DAGENAIS</v>
      </c>
      <c r="O1863" s="2" t="s">
        <v>8722</v>
      </c>
      <c r="P1863" s="9" t="str">
        <f>VLOOKUP($O1863,'Liste des Villes'!$B$2:$B$1128,1,FALSE)</f>
        <v>Saint-Eustache</v>
      </c>
      <c r="Q1863" s="9" t="str">
        <f>IFERROR($P1863,PROPER(VLOOKUP($O1863,'Villes en erreur'!$A$2:$B$72,2,FALSE)))</f>
        <v>Saint-Eustache</v>
      </c>
      <c r="R1863" s="9" t="s">
        <v>8723</v>
      </c>
      <c r="S1863" s="9" t="str">
        <f>IF(ISBLANK($R1863),"",VLOOKUP($R1863,'Liste des Villes'!$B$2:$H$1128,4,FALSE))</f>
        <v>Laurentides</v>
      </c>
      <c r="T1863" s="2" t="s">
        <v>8894</v>
      </c>
      <c r="U1863" s="2" t="s">
        <v>39</v>
      </c>
      <c r="V1863" s="2" t="s">
        <v>40</v>
      </c>
      <c r="W1863" s="2" t="s">
        <v>8895</v>
      </c>
      <c r="X1863" s="2"/>
      <c r="Y1863" s="2"/>
      <c r="Z1863" s="2"/>
      <c r="AA1863" s="2" t="s">
        <v>127</v>
      </c>
      <c r="AB1863" s="2" t="s">
        <v>73</v>
      </c>
      <c r="AC1863" s="4" t="s">
        <v>44</v>
      </c>
    </row>
    <row r="1864" spans="1:29" x14ac:dyDescent="0.25">
      <c r="A1864" s="1">
        <v>2673</v>
      </c>
      <c r="B1864" s="17" t="s">
        <v>8896</v>
      </c>
      <c r="C1864" s="2" t="s">
        <v>8897</v>
      </c>
      <c r="D1864" s="15" t="s">
        <v>8898</v>
      </c>
      <c r="E1864" s="9" t="s">
        <v>996</v>
      </c>
      <c r="F1864" s="9" t="s">
        <v>8899</v>
      </c>
      <c r="G1864" s="9" t="s">
        <v>5585</v>
      </c>
      <c r="H1864" s="2" t="s">
        <v>60</v>
      </c>
      <c r="I1864" s="3">
        <v>36392</v>
      </c>
      <c r="J1864" s="9" t="str">
        <f t="shared" ca="1" si="31"/>
        <v>24 ans</v>
      </c>
      <c r="K1864" s="2" t="s">
        <v>123</v>
      </c>
      <c r="L1864" s="2" t="str">
        <f>"341"</f>
        <v>341</v>
      </c>
      <c r="M1864" s="2"/>
      <c r="N1864" s="2" t="str">
        <f>"RUE CORBEIL"</f>
        <v>RUE CORBEIL</v>
      </c>
      <c r="O1864" s="2" t="s">
        <v>8722</v>
      </c>
      <c r="P1864" s="9" t="str">
        <f>VLOOKUP($O1864,'Liste des Villes'!$B$2:$B$1128,1,FALSE)</f>
        <v>Saint-Eustache</v>
      </c>
      <c r="Q1864" s="9" t="str">
        <f>IFERROR($P1864,PROPER(VLOOKUP($O1864,'Villes en erreur'!$A$2:$B$72,2,FALSE)))</f>
        <v>Saint-Eustache</v>
      </c>
      <c r="R1864" s="9" t="s">
        <v>8723</v>
      </c>
      <c r="S1864" s="9" t="str">
        <f>IF(ISBLANK($R1864),"",VLOOKUP($R1864,'Liste des Villes'!$B$2:$H$1128,4,FALSE))</f>
        <v>Laurentides</v>
      </c>
      <c r="T1864" s="2" t="s">
        <v>8900</v>
      </c>
      <c r="U1864" s="2" t="s">
        <v>39</v>
      </c>
      <c r="V1864" s="2" t="s">
        <v>40</v>
      </c>
      <c r="W1864" s="2" t="s">
        <v>8901</v>
      </c>
      <c r="X1864" s="2"/>
      <c r="Y1864" s="2"/>
      <c r="Z1864" s="2"/>
      <c r="AA1864" s="2" t="s">
        <v>127</v>
      </c>
      <c r="AB1864" s="2" t="s">
        <v>73</v>
      </c>
      <c r="AC1864" s="4" t="s">
        <v>44</v>
      </c>
    </row>
    <row r="1865" spans="1:29" x14ac:dyDescent="0.25">
      <c r="A1865" s="1">
        <v>2019</v>
      </c>
      <c r="B1865" s="17" t="s">
        <v>8902</v>
      </c>
      <c r="C1865" s="2" t="s">
        <v>8903</v>
      </c>
      <c r="D1865" s="15" t="s">
        <v>8904</v>
      </c>
      <c r="E1865" s="9" t="s">
        <v>3386</v>
      </c>
      <c r="F1865" s="9" t="s">
        <v>562</v>
      </c>
      <c r="G1865" s="9" t="s">
        <v>2786</v>
      </c>
      <c r="H1865" s="2" t="s">
        <v>60</v>
      </c>
      <c r="I1865" s="3">
        <v>36399</v>
      </c>
      <c r="J1865" s="9" t="str">
        <f t="shared" ca="1" si="31"/>
        <v>23 ans</v>
      </c>
      <c r="K1865" s="2" t="s">
        <v>123</v>
      </c>
      <c r="L1865" s="2" t="str">
        <f>"343"</f>
        <v>343</v>
      </c>
      <c r="M1865" s="2"/>
      <c r="N1865" s="2" t="str">
        <f>"RUE CÔTÉ"</f>
        <v>RUE CÔTÉ</v>
      </c>
      <c r="O1865" s="2" t="s">
        <v>8722</v>
      </c>
      <c r="P1865" s="9" t="str">
        <f>VLOOKUP($O1865,'Liste des Villes'!$B$2:$B$1128,1,FALSE)</f>
        <v>Saint-Eustache</v>
      </c>
      <c r="Q1865" s="9" t="str">
        <f>IFERROR($P1865,PROPER(VLOOKUP($O1865,'Villes en erreur'!$A$2:$B$72,2,FALSE)))</f>
        <v>Saint-Eustache</v>
      </c>
      <c r="R1865" s="9" t="s">
        <v>8723</v>
      </c>
      <c r="S1865" s="9" t="str">
        <f>IF(ISBLANK($R1865),"",VLOOKUP($R1865,'Liste des Villes'!$B$2:$H$1128,4,FALSE))</f>
        <v>Laurentides</v>
      </c>
      <c r="T1865" s="2" t="s">
        <v>8864</v>
      </c>
      <c r="U1865" s="2" t="s">
        <v>39</v>
      </c>
      <c r="V1865" s="2" t="s">
        <v>40</v>
      </c>
      <c r="W1865" s="2" t="s">
        <v>8905</v>
      </c>
      <c r="X1865" s="2"/>
      <c r="Y1865" s="2"/>
      <c r="Z1865" s="2"/>
      <c r="AA1865" s="2" t="s">
        <v>127</v>
      </c>
      <c r="AB1865" s="2" t="s">
        <v>73</v>
      </c>
      <c r="AC1865" s="4" t="s">
        <v>44</v>
      </c>
    </row>
    <row r="1866" spans="1:29" x14ac:dyDescent="0.25">
      <c r="A1866" s="1">
        <v>2427</v>
      </c>
      <c r="B1866" s="17" t="s">
        <v>8906</v>
      </c>
      <c r="C1866" s="2" t="s">
        <v>46</v>
      </c>
      <c r="D1866" s="15" t="s">
        <v>47</v>
      </c>
      <c r="E1866" s="9" t="s">
        <v>48</v>
      </c>
      <c r="F1866" s="9" t="s">
        <v>8907</v>
      </c>
      <c r="G1866" s="9" t="s">
        <v>4238</v>
      </c>
      <c r="H1866" s="2" t="s">
        <v>35</v>
      </c>
      <c r="I1866" s="3">
        <v>36363</v>
      </c>
      <c r="J1866" s="9" t="str">
        <f t="shared" ca="1" si="31"/>
        <v>24 ans</v>
      </c>
      <c r="K1866" s="2" t="s">
        <v>123</v>
      </c>
      <c r="L1866" s="2" t="str">
        <f>"323"</f>
        <v>323</v>
      </c>
      <c r="M1866" s="2"/>
      <c r="N1866" s="2" t="str">
        <f>"RUE CHARLEBOIS"</f>
        <v>RUE CHARLEBOIS</v>
      </c>
      <c r="O1866" s="2" t="s">
        <v>8722</v>
      </c>
      <c r="P1866" s="9" t="str">
        <f>VLOOKUP($O1866,'Liste des Villes'!$B$2:$B$1128,1,FALSE)</f>
        <v>Saint-Eustache</v>
      </c>
      <c r="Q1866" s="9" t="str">
        <f>IFERROR($P1866,PROPER(VLOOKUP($O1866,'Villes en erreur'!$A$2:$B$72,2,FALSE)))</f>
        <v>Saint-Eustache</v>
      </c>
      <c r="R1866" s="9" t="s">
        <v>8723</v>
      </c>
      <c r="S1866" s="9" t="str">
        <f>IF(ISBLANK($R1866),"",VLOOKUP($R1866,'Liste des Villes'!$B$2:$H$1128,4,FALSE))</f>
        <v>Laurentides</v>
      </c>
      <c r="T1866" s="2" t="s">
        <v>8806</v>
      </c>
      <c r="U1866" s="2" t="s">
        <v>39</v>
      </c>
      <c r="V1866" s="2" t="s">
        <v>40</v>
      </c>
      <c r="W1866" s="2" t="s">
        <v>8908</v>
      </c>
      <c r="X1866" s="2"/>
      <c r="Y1866" s="2"/>
      <c r="Z1866" s="2"/>
      <c r="AA1866" s="2" t="s">
        <v>127</v>
      </c>
      <c r="AB1866" s="2" t="s">
        <v>73</v>
      </c>
      <c r="AC1866" s="4" t="s">
        <v>44</v>
      </c>
    </row>
    <row r="1867" spans="1:29" x14ac:dyDescent="0.25">
      <c r="A1867" s="1">
        <v>3090</v>
      </c>
      <c r="B1867" s="17" t="s">
        <v>8909</v>
      </c>
      <c r="C1867" s="2" t="s">
        <v>8910</v>
      </c>
      <c r="D1867" s="15" t="s">
        <v>8911</v>
      </c>
      <c r="E1867" s="9" t="s">
        <v>3397</v>
      </c>
      <c r="F1867" s="9" t="s">
        <v>1169</v>
      </c>
      <c r="G1867" s="9" t="s">
        <v>8912</v>
      </c>
      <c r="H1867" s="2" t="s">
        <v>60</v>
      </c>
      <c r="I1867" s="3">
        <v>36411</v>
      </c>
      <c r="J1867" s="9" t="str">
        <f t="shared" ca="1" si="31"/>
        <v>23 ans</v>
      </c>
      <c r="K1867" s="2" t="s">
        <v>123</v>
      </c>
      <c r="L1867" s="2" t="str">
        <f>"345"</f>
        <v>345</v>
      </c>
      <c r="M1867" s="2"/>
      <c r="N1867" s="2" t="str">
        <f>"RUE COURVAL"</f>
        <v>RUE COURVAL</v>
      </c>
      <c r="O1867" s="2" t="s">
        <v>8722</v>
      </c>
      <c r="P1867" s="9" t="str">
        <f>VLOOKUP($O1867,'Liste des Villes'!$B$2:$B$1128,1,FALSE)</f>
        <v>Saint-Eustache</v>
      </c>
      <c r="Q1867" s="9" t="str">
        <f>IFERROR($P1867,PROPER(VLOOKUP($O1867,'Villes en erreur'!$A$2:$B$72,2,FALSE)))</f>
        <v>Saint-Eustache</v>
      </c>
      <c r="R1867" s="9" t="s">
        <v>8723</v>
      </c>
      <c r="S1867" s="9" t="str">
        <f>IF(ISBLANK($R1867),"",VLOOKUP($R1867,'Liste des Villes'!$B$2:$H$1128,4,FALSE))</f>
        <v>Laurentides</v>
      </c>
      <c r="T1867" s="2" t="s">
        <v>8777</v>
      </c>
      <c r="U1867" s="2" t="s">
        <v>39</v>
      </c>
      <c r="V1867" s="2" t="s">
        <v>40</v>
      </c>
      <c r="W1867" s="2" t="s">
        <v>8913</v>
      </c>
      <c r="X1867" s="2"/>
      <c r="Y1867" s="2"/>
      <c r="Z1867" s="2"/>
      <c r="AA1867" s="2" t="s">
        <v>127</v>
      </c>
      <c r="AB1867" s="2" t="s">
        <v>73</v>
      </c>
      <c r="AC1867" s="4" t="s">
        <v>44</v>
      </c>
    </row>
    <row r="1868" spans="1:29" x14ac:dyDescent="0.25">
      <c r="A1868" s="1">
        <v>2439</v>
      </c>
      <c r="B1868" s="17" t="s">
        <v>8914</v>
      </c>
      <c r="C1868" s="2" t="s">
        <v>8915</v>
      </c>
      <c r="D1868" s="15" t="s">
        <v>2434</v>
      </c>
      <c r="E1868" s="9" t="s">
        <v>8916</v>
      </c>
      <c r="F1868" s="9" t="s">
        <v>8917</v>
      </c>
      <c r="G1868" s="9" t="s">
        <v>8918</v>
      </c>
      <c r="H1868" s="2" t="s">
        <v>35</v>
      </c>
      <c r="I1868" s="3">
        <v>36366</v>
      </c>
      <c r="J1868" s="9" t="str">
        <f t="shared" ca="1" si="31"/>
        <v>24 ans</v>
      </c>
      <c r="K1868" s="2" t="s">
        <v>123</v>
      </c>
      <c r="L1868" s="2" t="str">
        <f>"326"</f>
        <v>326</v>
      </c>
      <c r="M1868" s="2"/>
      <c r="N1868" s="2" t="str">
        <f>"RUE CHARLES"</f>
        <v>RUE CHARLES</v>
      </c>
      <c r="O1868" s="2" t="s">
        <v>8722</v>
      </c>
      <c r="P1868" s="9" t="str">
        <f>VLOOKUP($O1868,'Liste des Villes'!$B$2:$B$1128,1,FALSE)</f>
        <v>Saint-Eustache</v>
      </c>
      <c r="Q1868" s="9" t="str">
        <f>IFERROR($P1868,PROPER(VLOOKUP($O1868,'Villes en erreur'!$A$2:$B$72,2,FALSE)))</f>
        <v>Saint-Eustache</v>
      </c>
      <c r="R1868" s="9" t="s">
        <v>8723</v>
      </c>
      <c r="S1868" s="9" t="str">
        <f>IF(ISBLANK($R1868),"",VLOOKUP($R1868,'Liste des Villes'!$B$2:$H$1128,4,FALSE))</f>
        <v>Laurentides</v>
      </c>
      <c r="T1868" s="2" t="s">
        <v>8919</v>
      </c>
      <c r="U1868" s="2" t="s">
        <v>39</v>
      </c>
      <c r="V1868" s="2" t="s">
        <v>40</v>
      </c>
      <c r="W1868" s="2" t="s">
        <v>8920</v>
      </c>
      <c r="X1868" s="2"/>
      <c r="Y1868" s="2"/>
      <c r="Z1868" s="2"/>
      <c r="AA1868" s="2" t="s">
        <v>127</v>
      </c>
      <c r="AB1868" s="2" t="s">
        <v>73</v>
      </c>
      <c r="AC1868" s="4" t="s">
        <v>44</v>
      </c>
    </row>
    <row r="1869" spans="1:29" x14ac:dyDescent="0.25">
      <c r="A1869" s="1">
        <v>1250</v>
      </c>
      <c r="B1869" s="17" t="s">
        <v>8921</v>
      </c>
      <c r="C1869" s="2" t="s">
        <v>8922</v>
      </c>
      <c r="D1869" s="15" t="s">
        <v>8923</v>
      </c>
      <c r="E1869" s="9" t="s">
        <v>4227</v>
      </c>
      <c r="F1869" s="9" t="s">
        <v>1716</v>
      </c>
      <c r="G1869" s="9" t="s">
        <v>1729</v>
      </c>
      <c r="H1869" s="2" t="s">
        <v>60</v>
      </c>
      <c r="I1869" s="3">
        <v>36383</v>
      </c>
      <c r="J1869" s="9" t="str">
        <f t="shared" ca="1" si="31"/>
        <v>24 ans</v>
      </c>
      <c r="K1869" s="2" t="s">
        <v>123</v>
      </c>
      <c r="L1869" s="2" t="str">
        <f>"335"</f>
        <v>335</v>
      </c>
      <c r="M1869" s="2"/>
      <c r="N1869" s="2" t="str">
        <f>"RUE CLAUDEL"</f>
        <v>RUE CLAUDEL</v>
      </c>
      <c r="O1869" s="2" t="s">
        <v>8722</v>
      </c>
      <c r="P1869" s="9" t="str">
        <f>VLOOKUP($O1869,'Liste des Villes'!$B$2:$B$1128,1,FALSE)</f>
        <v>Saint-Eustache</v>
      </c>
      <c r="Q1869" s="9" t="str">
        <f>IFERROR($P1869,PROPER(VLOOKUP($O1869,'Villes en erreur'!$A$2:$B$72,2,FALSE)))</f>
        <v>Saint-Eustache</v>
      </c>
      <c r="R1869" s="9" t="s">
        <v>8723</v>
      </c>
      <c r="S1869" s="9" t="str">
        <f>IF(ISBLANK($R1869),"",VLOOKUP($R1869,'Liste des Villes'!$B$2:$H$1128,4,FALSE))</f>
        <v>Laurentides</v>
      </c>
      <c r="T1869" s="2" t="s">
        <v>8748</v>
      </c>
      <c r="U1869" s="2" t="s">
        <v>39</v>
      </c>
      <c r="V1869" s="2" t="s">
        <v>40</v>
      </c>
      <c r="W1869" s="2" t="s">
        <v>8924</v>
      </c>
      <c r="X1869" s="2"/>
      <c r="Y1869" s="2"/>
      <c r="Z1869" s="2"/>
      <c r="AA1869" s="2" t="s">
        <v>127</v>
      </c>
      <c r="AB1869" s="2" t="s">
        <v>73</v>
      </c>
      <c r="AC1869" s="4" t="s">
        <v>44</v>
      </c>
    </row>
    <row r="1870" spans="1:29" x14ac:dyDescent="0.25">
      <c r="A1870" s="1">
        <v>2662</v>
      </c>
      <c r="B1870" s="17" t="s">
        <v>8925</v>
      </c>
      <c r="C1870" s="2" t="s">
        <v>8926</v>
      </c>
      <c r="D1870" s="15" t="s">
        <v>8927</v>
      </c>
      <c r="E1870" s="9" t="s">
        <v>1004</v>
      </c>
      <c r="F1870" s="9" t="s">
        <v>8928</v>
      </c>
      <c r="G1870" s="9" t="s">
        <v>8929</v>
      </c>
      <c r="H1870" s="2" t="s">
        <v>60</v>
      </c>
      <c r="I1870" s="3">
        <v>36423</v>
      </c>
      <c r="J1870" s="9" t="str">
        <f t="shared" ca="1" si="31"/>
        <v>23 ans</v>
      </c>
      <c r="K1870" s="2" t="s">
        <v>123</v>
      </c>
      <c r="L1870" s="2" t="str">
        <f>"355"</f>
        <v>355</v>
      </c>
      <c r="M1870" s="2"/>
      <c r="N1870" s="2" t="str">
        <f>"RUE D'ALSACE"</f>
        <v>RUE D'ALSACE</v>
      </c>
      <c r="O1870" s="2" t="s">
        <v>8722</v>
      </c>
      <c r="P1870" s="9" t="str">
        <f>VLOOKUP($O1870,'Liste des Villes'!$B$2:$B$1128,1,FALSE)</f>
        <v>Saint-Eustache</v>
      </c>
      <c r="Q1870" s="9" t="str">
        <f>IFERROR($P1870,PROPER(VLOOKUP($O1870,'Villes en erreur'!$A$2:$B$72,2,FALSE)))</f>
        <v>Saint-Eustache</v>
      </c>
      <c r="R1870" s="9" t="s">
        <v>8723</v>
      </c>
      <c r="S1870" s="9" t="str">
        <f>IF(ISBLANK($R1870),"",VLOOKUP($R1870,'Liste des Villes'!$B$2:$H$1128,4,FALSE))</f>
        <v>Laurentides</v>
      </c>
      <c r="T1870" s="2" t="s">
        <v>8930</v>
      </c>
      <c r="U1870" s="2" t="s">
        <v>39</v>
      </c>
      <c r="V1870" s="2" t="s">
        <v>40</v>
      </c>
      <c r="W1870" s="2" t="s">
        <v>8931</v>
      </c>
      <c r="X1870" s="2"/>
      <c r="Y1870" s="2"/>
      <c r="Z1870" s="2"/>
      <c r="AA1870" s="2" t="s">
        <v>127</v>
      </c>
      <c r="AB1870" s="2" t="s">
        <v>73</v>
      </c>
      <c r="AC1870" s="4" t="s">
        <v>44</v>
      </c>
    </row>
    <row r="1871" spans="1:29" x14ac:dyDescent="0.25">
      <c r="A1871" s="1">
        <v>3818</v>
      </c>
      <c r="B1871" s="17" t="s">
        <v>8932</v>
      </c>
      <c r="C1871" s="2" t="s">
        <v>8933</v>
      </c>
      <c r="D1871" s="15" t="s">
        <v>7965</v>
      </c>
      <c r="E1871" s="9" t="s">
        <v>3306</v>
      </c>
      <c r="F1871" s="9" t="s">
        <v>7964</v>
      </c>
      <c r="G1871" s="9" t="s">
        <v>5142</v>
      </c>
      <c r="H1871" s="2" t="s">
        <v>60</v>
      </c>
      <c r="I1871" s="3">
        <v>36390</v>
      </c>
      <c r="J1871" s="9" t="str">
        <f t="shared" ca="1" si="31"/>
        <v>24 ans</v>
      </c>
      <c r="K1871" s="2" t="s">
        <v>123</v>
      </c>
      <c r="L1871" s="2" t="str">
        <f>"340"</f>
        <v>340</v>
      </c>
      <c r="M1871" s="2"/>
      <c r="N1871" s="2" t="str">
        <f>"RUE COLETTE"</f>
        <v>RUE COLETTE</v>
      </c>
      <c r="O1871" s="2" t="s">
        <v>8722</v>
      </c>
      <c r="P1871" s="9" t="str">
        <f>VLOOKUP($O1871,'Liste des Villes'!$B$2:$B$1128,1,FALSE)</f>
        <v>Saint-Eustache</v>
      </c>
      <c r="Q1871" s="9" t="str">
        <f>IFERROR($P1871,PROPER(VLOOKUP($O1871,'Villes en erreur'!$A$2:$B$72,2,FALSE)))</f>
        <v>Saint-Eustache</v>
      </c>
      <c r="R1871" s="9" t="s">
        <v>8723</v>
      </c>
      <c r="S1871" s="9" t="str">
        <f>IF(ISBLANK($R1871),"",VLOOKUP($R1871,'Liste des Villes'!$B$2:$H$1128,4,FALSE))</f>
        <v>Laurentides</v>
      </c>
      <c r="T1871" s="2" t="s">
        <v>8934</v>
      </c>
      <c r="U1871" s="2" t="s">
        <v>39</v>
      </c>
      <c r="V1871" s="2" t="s">
        <v>40</v>
      </c>
      <c r="W1871" s="2" t="s">
        <v>8935</v>
      </c>
      <c r="X1871" s="2"/>
      <c r="Y1871" s="2"/>
      <c r="Z1871" s="2"/>
      <c r="AA1871" s="2" t="s">
        <v>127</v>
      </c>
      <c r="AB1871" s="2" t="s">
        <v>73</v>
      </c>
      <c r="AC1871" s="4" t="s">
        <v>44</v>
      </c>
    </row>
    <row r="1872" spans="1:29" x14ac:dyDescent="0.25">
      <c r="A1872" s="1">
        <v>1746</v>
      </c>
      <c r="B1872" s="17" t="s">
        <v>8936</v>
      </c>
      <c r="C1872" s="2" t="s">
        <v>8937</v>
      </c>
      <c r="D1872" s="15" t="s">
        <v>1822</v>
      </c>
      <c r="E1872" s="9" t="s">
        <v>521</v>
      </c>
      <c r="F1872" s="9" t="s">
        <v>1821</v>
      </c>
      <c r="G1872" s="9" t="s">
        <v>4238</v>
      </c>
      <c r="H1872" s="2" t="s">
        <v>35</v>
      </c>
      <c r="I1872" s="3">
        <v>36364</v>
      </c>
      <c r="J1872" s="9" t="str">
        <f t="shared" ca="1" si="31"/>
        <v>24 ans</v>
      </c>
      <c r="K1872" s="2" t="s">
        <v>123</v>
      </c>
      <c r="L1872" s="2" t="str">
        <f>"323"</f>
        <v>323</v>
      </c>
      <c r="M1872" s="2"/>
      <c r="N1872" s="2" t="str">
        <f>"RUE CHARLEBOIS"</f>
        <v>RUE CHARLEBOIS</v>
      </c>
      <c r="O1872" s="2" t="s">
        <v>8722</v>
      </c>
      <c r="P1872" s="9" t="str">
        <f>VLOOKUP($O1872,'Liste des Villes'!$B$2:$B$1128,1,FALSE)</f>
        <v>Saint-Eustache</v>
      </c>
      <c r="Q1872" s="9" t="str">
        <f>IFERROR($P1872,PROPER(VLOOKUP($O1872,'Villes en erreur'!$A$2:$B$72,2,FALSE)))</f>
        <v>Saint-Eustache</v>
      </c>
      <c r="R1872" s="9" t="s">
        <v>8723</v>
      </c>
      <c r="S1872" s="9" t="str">
        <f>IF(ISBLANK($R1872),"",VLOOKUP($R1872,'Liste des Villes'!$B$2:$H$1128,4,FALSE))</f>
        <v>Laurentides</v>
      </c>
      <c r="T1872" s="2" t="s">
        <v>8789</v>
      </c>
      <c r="U1872" s="2" t="s">
        <v>39</v>
      </c>
      <c r="V1872" s="2" t="s">
        <v>40</v>
      </c>
      <c r="W1872" s="2" t="s">
        <v>8938</v>
      </c>
      <c r="X1872" s="2"/>
      <c r="Y1872" s="2"/>
      <c r="Z1872" s="2"/>
      <c r="AA1872" s="2" t="s">
        <v>127</v>
      </c>
      <c r="AB1872" s="2" t="s">
        <v>73</v>
      </c>
      <c r="AC1872" s="4" t="s">
        <v>44</v>
      </c>
    </row>
    <row r="1873" spans="1:29" x14ac:dyDescent="0.25">
      <c r="A1873" s="1">
        <v>2492</v>
      </c>
      <c r="B1873" s="17" t="s">
        <v>8939</v>
      </c>
      <c r="C1873" s="2" t="s">
        <v>8940</v>
      </c>
      <c r="D1873" s="15" t="s">
        <v>5994</v>
      </c>
      <c r="E1873" s="9" t="s">
        <v>643</v>
      </c>
      <c r="F1873" s="9" t="s">
        <v>1104</v>
      </c>
      <c r="G1873" s="9" t="s">
        <v>8941</v>
      </c>
      <c r="H1873" s="2" t="s">
        <v>35</v>
      </c>
      <c r="I1873" s="3">
        <v>36367</v>
      </c>
      <c r="J1873" s="9" t="str">
        <f t="shared" ca="1" si="31"/>
        <v>24 ans</v>
      </c>
      <c r="K1873" s="2" t="s">
        <v>123</v>
      </c>
      <c r="L1873" s="2" t="str">
        <f>"326"</f>
        <v>326</v>
      </c>
      <c r="M1873" s="2"/>
      <c r="N1873" s="2" t="str">
        <f>"RUE CHARLES"</f>
        <v>RUE CHARLES</v>
      </c>
      <c r="O1873" s="2" t="s">
        <v>8722</v>
      </c>
      <c r="P1873" s="9" t="str">
        <f>VLOOKUP($O1873,'Liste des Villes'!$B$2:$B$1128,1,FALSE)</f>
        <v>Saint-Eustache</v>
      </c>
      <c r="Q1873" s="9" t="str">
        <f>IFERROR($P1873,PROPER(VLOOKUP($O1873,'Villes en erreur'!$A$2:$B$72,2,FALSE)))</f>
        <v>Saint-Eustache</v>
      </c>
      <c r="R1873" s="9" t="s">
        <v>8723</v>
      </c>
      <c r="S1873" s="9" t="str">
        <f>IF(ISBLANK($R1873),"",VLOOKUP($R1873,'Liste des Villes'!$B$2:$H$1128,4,FALSE))</f>
        <v>Laurentides</v>
      </c>
      <c r="T1873" s="2" t="s">
        <v>8942</v>
      </c>
      <c r="U1873" s="2" t="s">
        <v>39</v>
      </c>
      <c r="V1873" s="2" t="s">
        <v>40</v>
      </c>
      <c r="W1873" s="2" t="s">
        <v>8943</v>
      </c>
      <c r="X1873" s="2"/>
      <c r="Y1873" s="2"/>
      <c r="Z1873" s="2"/>
      <c r="AA1873" s="2" t="s">
        <v>127</v>
      </c>
      <c r="AB1873" s="2" t="s">
        <v>73</v>
      </c>
      <c r="AC1873" s="4" t="s">
        <v>44</v>
      </c>
    </row>
    <row r="1874" spans="1:29" x14ac:dyDescent="0.25">
      <c r="A1874" s="1">
        <v>3800</v>
      </c>
      <c r="B1874" s="17" t="s">
        <v>8944</v>
      </c>
      <c r="C1874" s="2" t="s">
        <v>8945</v>
      </c>
      <c r="D1874" s="15" t="s">
        <v>6676</v>
      </c>
      <c r="E1874" s="9" t="s">
        <v>5943</v>
      </c>
      <c r="F1874" s="9" t="s">
        <v>1845</v>
      </c>
      <c r="G1874" s="9" t="s">
        <v>2175</v>
      </c>
      <c r="H1874" s="2" t="s">
        <v>60</v>
      </c>
      <c r="I1874" s="3">
        <v>36387</v>
      </c>
      <c r="J1874" s="9" t="str">
        <f t="shared" ca="1" si="31"/>
        <v>24 ans</v>
      </c>
      <c r="K1874" s="2" t="s">
        <v>123</v>
      </c>
      <c r="L1874" s="2" t="str">
        <f>"338"</f>
        <v>338</v>
      </c>
      <c r="M1874" s="2"/>
      <c r="N1874" s="2" t="str">
        <f>"RUE CLÉMENT"</f>
        <v>RUE CLÉMENT</v>
      </c>
      <c r="O1874" s="2" t="s">
        <v>8723</v>
      </c>
      <c r="P1874" s="9" t="str">
        <f>VLOOKUP($O1874,'Liste des Villes'!$B$2:$B$1128,1,FALSE)</f>
        <v>Saint-Eustache</v>
      </c>
      <c r="Q1874" s="9" t="str">
        <f>IFERROR($P1874,PROPER(VLOOKUP($O1874,'Villes en erreur'!$A$2:$B$72,2,FALSE)))</f>
        <v>Saint-Eustache</v>
      </c>
      <c r="R1874" s="9" t="s">
        <v>8723</v>
      </c>
      <c r="S1874" s="9" t="str">
        <f>IF(ISBLANK($R1874),"",VLOOKUP($R1874,'Liste des Villes'!$B$2:$H$1128,4,FALSE))</f>
        <v>Laurentides</v>
      </c>
      <c r="T1874" s="2" t="s">
        <v>8765</v>
      </c>
      <c r="U1874" s="2" t="s">
        <v>39</v>
      </c>
      <c r="V1874" s="2" t="s">
        <v>40</v>
      </c>
      <c r="W1874" s="2" t="s">
        <v>8946</v>
      </c>
      <c r="X1874" s="2"/>
      <c r="Y1874" s="2"/>
      <c r="Z1874" s="2"/>
      <c r="AA1874" s="2" t="s">
        <v>127</v>
      </c>
      <c r="AB1874" s="2" t="s">
        <v>73</v>
      </c>
      <c r="AC1874" s="4" t="s">
        <v>44</v>
      </c>
    </row>
    <row r="1875" spans="1:29" x14ac:dyDescent="0.25">
      <c r="A1875" s="1">
        <v>3855</v>
      </c>
      <c r="B1875" s="17" t="s">
        <v>8947</v>
      </c>
      <c r="C1875" s="2" t="s">
        <v>1035</v>
      </c>
      <c r="D1875" s="15" t="s">
        <v>1036</v>
      </c>
      <c r="E1875" s="9" t="s">
        <v>1037</v>
      </c>
      <c r="F1875" s="9" t="s">
        <v>518</v>
      </c>
      <c r="G1875" s="9" t="s">
        <v>8948</v>
      </c>
      <c r="H1875" s="2" t="s">
        <v>60</v>
      </c>
      <c r="I1875" s="3">
        <v>36376</v>
      </c>
      <c r="J1875" s="9" t="str">
        <f t="shared" ca="1" si="31"/>
        <v>24 ans</v>
      </c>
      <c r="K1875" s="2" t="s">
        <v>123</v>
      </c>
      <c r="L1875" s="2" t="str">
        <f>"330"</f>
        <v>330</v>
      </c>
      <c r="M1875" s="2"/>
      <c r="N1875" s="2" t="str">
        <f>"RUE CHAUVIN"</f>
        <v>RUE CHAUVIN</v>
      </c>
      <c r="O1875" s="2" t="s">
        <v>8722</v>
      </c>
      <c r="P1875" s="9" t="str">
        <f>VLOOKUP($O1875,'Liste des Villes'!$B$2:$B$1128,1,FALSE)</f>
        <v>Saint-Eustache</v>
      </c>
      <c r="Q1875" s="9" t="str">
        <f>IFERROR($P1875,PROPER(VLOOKUP($O1875,'Villes en erreur'!$A$2:$B$72,2,FALSE)))</f>
        <v>Saint-Eustache</v>
      </c>
      <c r="R1875" s="9" t="s">
        <v>8723</v>
      </c>
      <c r="S1875" s="9" t="str">
        <f>IF(ISBLANK($R1875),"",VLOOKUP($R1875,'Liste des Villes'!$B$2:$H$1128,4,FALSE))</f>
        <v>Laurentides</v>
      </c>
      <c r="T1875" s="2" t="s">
        <v>8889</v>
      </c>
      <c r="U1875" s="2" t="s">
        <v>39</v>
      </c>
      <c r="V1875" s="2" t="s">
        <v>40</v>
      </c>
      <c r="W1875" s="2" t="s">
        <v>8949</v>
      </c>
      <c r="X1875" s="2"/>
      <c r="Y1875" s="2"/>
      <c r="Z1875" s="2"/>
      <c r="AA1875" s="2" t="s">
        <v>127</v>
      </c>
      <c r="AB1875" s="2" t="s">
        <v>73</v>
      </c>
      <c r="AC1875" s="4" t="s">
        <v>44</v>
      </c>
    </row>
    <row r="1876" spans="1:29" x14ac:dyDescent="0.25">
      <c r="A1876" s="1">
        <v>1475</v>
      </c>
      <c r="B1876" s="17" t="s">
        <v>8950</v>
      </c>
      <c r="C1876" s="2" t="s">
        <v>8951</v>
      </c>
      <c r="D1876" s="15" t="s">
        <v>6694</v>
      </c>
      <c r="E1876" s="9" t="s">
        <v>495</v>
      </c>
      <c r="F1876" s="9" t="s">
        <v>6692</v>
      </c>
      <c r="G1876" s="9" t="s">
        <v>8941</v>
      </c>
      <c r="H1876" s="2" t="s">
        <v>35</v>
      </c>
      <c r="I1876" s="3">
        <v>36368</v>
      </c>
      <c r="J1876" s="9" t="str">
        <f t="shared" ca="1" si="31"/>
        <v>24 ans</v>
      </c>
      <c r="K1876" s="2" t="s">
        <v>123</v>
      </c>
      <c r="L1876" s="2" t="str">
        <f>"326"</f>
        <v>326</v>
      </c>
      <c r="M1876" s="2"/>
      <c r="N1876" s="2" t="str">
        <f>"RUE CHARLES-DESJARDINS"</f>
        <v>RUE CHARLES-DESJARDINS</v>
      </c>
      <c r="O1876" s="2" t="s">
        <v>8722</v>
      </c>
      <c r="P1876" s="9" t="str">
        <f>VLOOKUP($O1876,'Liste des Villes'!$B$2:$B$1128,1,FALSE)</f>
        <v>Saint-Eustache</v>
      </c>
      <c r="Q1876" s="9" t="str">
        <f>IFERROR($P1876,PROPER(VLOOKUP($O1876,'Villes en erreur'!$A$2:$B$72,2,FALSE)))</f>
        <v>Saint-Eustache</v>
      </c>
      <c r="R1876" s="9" t="s">
        <v>8723</v>
      </c>
      <c r="S1876" s="9" t="str">
        <f>IF(ISBLANK($R1876),"",VLOOKUP($R1876,'Liste des Villes'!$B$2:$H$1128,4,FALSE))</f>
        <v>Laurentides</v>
      </c>
      <c r="T1876" s="2" t="s">
        <v>8952</v>
      </c>
      <c r="U1876" s="2" t="s">
        <v>39</v>
      </c>
      <c r="V1876" s="2" t="s">
        <v>40</v>
      </c>
      <c r="W1876" s="2" t="s">
        <v>8953</v>
      </c>
      <c r="X1876" s="2"/>
      <c r="Y1876" s="2"/>
      <c r="Z1876" s="2"/>
      <c r="AA1876" s="2" t="s">
        <v>127</v>
      </c>
      <c r="AB1876" s="2" t="s">
        <v>73</v>
      </c>
      <c r="AC1876" s="4" t="s">
        <v>44</v>
      </c>
    </row>
    <row r="1877" spans="1:29" x14ac:dyDescent="0.25">
      <c r="A1877" s="1">
        <v>3899</v>
      </c>
      <c r="B1877" s="17" t="s">
        <v>8954</v>
      </c>
      <c r="C1877" s="2" t="s">
        <v>8955</v>
      </c>
      <c r="D1877" s="15" t="s">
        <v>3788</v>
      </c>
      <c r="E1877" s="9" t="s">
        <v>8956</v>
      </c>
      <c r="F1877" s="9" t="s">
        <v>8957</v>
      </c>
      <c r="G1877" s="9" t="s">
        <v>6931</v>
      </c>
      <c r="H1877" s="2" t="s">
        <v>60</v>
      </c>
      <c r="I1877" s="3">
        <v>36414</v>
      </c>
      <c r="J1877" s="9" t="str">
        <f t="shared" ca="1" si="31"/>
        <v>23 ans</v>
      </c>
      <c r="K1877" s="2" t="s">
        <v>123</v>
      </c>
      <c r="L1877" s="2" t="str">
        <f>"347"</f>
        <v>347</v>
      </c>
      <c r="M1877" s="2"/>
      <c r="N1877" s="2" t="str">
        <f>"RUE COUTURE"</f>
        <v>RUE COUTURE</v>
      </c>
      <c r="O1877" s="2" t="s">
        <v>8722</v>
      </c>
      <c r="P1877" s="9" t="str">
        <f>VLOOKUP($O1877,'Liste des Villes'!$B$2:$B$1128,1,FALSE)</f>
        <v>Saint-Eustache</v>
      </c>
      <c r="Q1877" s="9" t="str">
        <f>IFERROR($P1877,PROPER(VLOOKUP($O1877,'Villes en erreur'!$A$2:$B$72,2,FALSE)))</f>
        <v>Saint-Eustache</v>
      </c>
      <c r="R1877" s="9" t="s">
        <v>8723</v>
      </c>
      <c r="S1877" s="9" t="str">
        <f>IF(ISBLANK($R1877),"",VLOOKUP($R1877,'Liste des Villes'!$B$2:$H$1128,4,FALSE))</f>
        <v>Laurentides</v>
      </c>
      <c r="T1877" s="2" t="s">
        <v>8762</v>
      </c>
      <c r="U1877" s="2" t="s">
        <v>39</v>
      </c>
      <c r="V1877" s="2" t="s">
        <v>40</v>
      </c>
      <c r="W1877" s="2" t="s">
        <v>8958</v>
      </c>
      <c r="X1877" s="2"/>
      <c r="Y1877" s="2"/>
      <c r="Z1877" s="2"/>
      <c r="AA1877" s="2" t="s">
        <v>127</v>
      </c>
      <c r="AB1877" s="2" t="s">
        <v>73</v>
      </c>
      <c r="AC1877" s="4" t="s">
        <v>44</v>
      </c>
    </row>
    <row r="1878" spans="1:29" x14ac:dyDescent="0.25">
      <c r="A1878" s="1">
        <v>3175</v>
      </c>
      <c r="B1878" s="17" t="s">
        <v>8959</v>
      </c>
      <c r="C1878" s="2" t="s">
        <v>8960</v>
      </c>
      <c r="D1878" s="15" t="s">
        <v>6669</v>
      </c>
      <c r="E1878" s="9" t="s">
        <v>8075</v>
      </c>
      <c r="F1878" s="9" t="s">
        <v>449</v>
      </c>
      <c r="G1878" s="9" t="s">
        <v>8961</v>
      </c>
      <c r="H1878" s="2" t="s">
        <v>60</v>
      </c>
      <c r="I1878" s="3">
        <v>36411</v>
      </c>
      <c r="J1878" s="9" t="str">
        <f t="shared" ca="1" si="31"/>
        <v>23 ans</v>
      </c>
      <c r="K1878" s="2" t="s">
        <v>123</v>
      </c>
      <c r="L1878" s="2" t="str">
        <f>"345"</f>
        <v>345</v>
      </c>
      <c r="M1878" s="2"/>
      <c r="N1878" s="2" t="str">
        <f>"RUE COURSOL"</f>
        <v>RUE COURSOL</v>
      </c>
      <c r="O1878" s="2" t="s">
        <v>8722</v>
      </c>
      <c r="P1878" s="9" t="str">
        <f>VLOOKUP($O1878,'Liste des Villes'!$B$2:$B$1128,1,FALSE)</f>
        <v>Saint-Eustache</v>
      </c>
      <c r="Q1878" s="9" t="str">
        <f>IFERROR($P1878,PROPER(VLOOKUP($O1878,'Villes en erreur'!$A$2:$B$72,2,FALSE)))</f>
        <v>Saint-Eustache</v>
      </c>
      <c r="R1878" s="9" t="s">
        <v>8723</v>
      </c>
      <c r="S1878" s="9" t="str">
        <f>IF(ISBLANK($R1878),"",VLOOKUP($R1878,'Liste des Villes'!$B$2:$H$1128,4,FALSE))</f>
        <v>Laurentides</v>
      </c>
      <c r="T1878" s="2" t="s">
        <v>8777</v>
      </c>
      <c r="U1878" s="2" t="s">
        <v>39</v>
      </c>
      <c r="V1878" s="2" t="s">
        <v>40</v>
      </c>
      <c r="W1878" s="2" t="s">
        <v>8962</v>
      </c>
      <c r="X1878" s="2"/>
      <c r="Y1878" s="2"/>
      <c r="Z1878" s="2"/>
      <c r="AA1878" s="2" t="s">
        <v>127</v>
      </c>
      <c r="AB1878" s="2" t="s">
        <v>73</v>
      </c>
      <c r="AC1878" s="4" t="s">
        <v>44</v>
      </c>
    </row>
    <row r="1879" spans="1:29" x14ac:dyDescent="0.25">
      <c r="A1879" s="1">
        <v>2684</v>
      </c>
      <c r="B1879" s="17" t="s">
        <v>8963</v>
      </c>
      <c r="C1879" s="2" t="s">
        <v>8964</v>
      </c>
      <c r="D1879" s="15" t="s">
        <v>8965</v>
      </c>
      <c r="E1879" s="9" t="s">
        <v>610</v>
      </c>
      <c r="F1879" s="9" t="s">
        <v>8966</v>
      </c>
      <c r="G1879" s="9" t="s">
        <v>122</v>
      </c>
      <c r="H1879" s="2" t="s">
        <v>35</v>
      </c>
      <c r="I1879" s="3">
        <v>36360</v>
      </c>
      <c r="J1879" s="9" t="str">
        <f t="shared" ca="1" si="31"/>
        <v>24 ans</v>
      </c>
      <c r="K1879" s="2" t="s">
        <v>123</v>
      </c>
      <c r="L1879" s="2" t="str">
        <f>"322"</f>
        <v>322</v>
      </c>
      <c r="M1879" s="2"/>
      <c r="N1879" s="2" t="str">
        <f>"RUE CHARBONNEAU"</f>
        <v>RUE CHARBONNEAU</v>
      </c>
      <c r="O1879" s="2" t="s">
        <v>8722</v>
      </c>
      <c r="P1879" s="9" t="str">
        <f>VLOOKUP($O1879,'Liste des Villes'!$B$2:$B$1128,1,FALSE)</f>
        <v>Saint-Eustache</v>
      </c>
      <c r="Q1879" s="9" t="str">
        <f>IFERROR($P1879,PROPER(VLOOKUP($O1879,'Villes en erreur'!$A$2:$B$72,2,FALSE)))</f>
        <v>Saint-Eustache</v>
      </c>
      <c r="R1879" s="9" t="s">
        <v>8723</v>
      </c>
      <c r="S1879" s="9" t="str">
        <f>IF(ISBLANK($R1879),"",VLOOKUP($R1879,'Liste des Villes'!$B$2:$H$1128,4,FALSE))</f>
        <v>Laurentides</v>
      </c>
      <c r="T1879" s="2" t="s">
        <v>8967</v>
      </c>
      <c r="U1879" s="2" t="s">
        <v>39</v>
      </c>
      <c r="V1879" s="2" t="s">
        <v>40</v>
      </c>
      <c r="W1879" s="2" t="s">
        <v>8968</v>
      </c>
      <c r="X1879" s="2"/>
      <c r="Y1879" s="2"/>
      <c r="Z1879" s="2"/>
      <c r="AA1879" s="2" t="s">
        <v>127</v>
      </c>
      <c r="AB1879" s="2" t="s">
        <v>73</v>
      </c>
      <c r="AC1879" s="4" t="s">
        <v>44</v>
      </c>
    </row>
    <row r="1880" spans="1:29" x14ac:dyDescent="0.25">
      <c r="A1880" s="1">
        <v>2098</v>
      </c>
      <c r="B1880" s="17" t="s">
        <v>8969</v>
      </c>
      <c r="C1880" s="2" t="s">
        <v>8970</v>
      </c>
      <c r="D1880" s="15" t="s">
        <v>8971</v>
      </c>
      <c r="E1880" s="9" t="s">
        <v>1024</v>
      </c>
      <c r="F1880" s="9" t="s">
        <v>8972</v>
      </c>
      <c r="G1880" s="9" t="s">
        <v>6931</v>
      </c>
      <c r="H1880" s="2" t="s">
        <v>60</v>
      </c>
      <c r="I1880" s="3">
        <v>36411</v>
      </c>
      <c r="J1880" s="9" t="str">
        <f t="shared" ca="1" si="31"/>
        <v>23 ans</v>
      </c>
      <c r="K1880" s="2" t="s">
        <v>123</v>
      </c>
      <c r="L1880" s="2" t="str">
        <f>"345"</f>
        <v>345</v>
      </c>
      <c r="M1880" s="2"/>
      <c r="N1880" s="2" t="str">
        <f>"RUE COUSINEAU"</f>
        <v>RUE COUSINEAU</v>
      </c>
      <c r="O1880" s="2" t="s">
        <v>8722</v>
      </c>
      <c r="P1880" s="9" t="str">
        <f>VLOOKUP($O1880,'Liste des Villes'!$B$2:$B$1128,1,FALSE)</f>
        <v>Saint-Eustache</v>
      </c>
      <c r="Q1880" s="9" t="str">
        <f>IFERROR($P1880,PROPER(VLOOKUP($O1880,'Villes en erreur'!$A$2:$B$72,2,FALSE)))</f>
        <v>Saint-Eustache</v>
      </c>
      <c r="R1880" s="9" t="s">
        <v>8723</v>
      </c>
      <c r="S1880" s="9" t="str">
        <f>IF(ISBLANK($R1880),"",VLOOKUP($R1880,'Liste des Villes'!$B$2:$H$1128,4,FALSE))</f>
        <v>Laurentides</v>
      </c>
      <c r="T1880" s="2" t="s">
        <v>8762</v>
      </c>
      <c r="U1880" s="2" t="s">
        <v>39</v>
      </c>
      <c r="V1880" s="2" t="s">
        <v>40</v>
      </c>
      <c r="W1880" s="2" t="s">
        <v>8973</v>
      </c>
      <c r="X1880" s="2"/>
      <c r="Y1880" s="2"/>
      <c r="Z1880" s="2"/>
      <c r="AA1880" s="2" t="s">
        <v>127</v>
      </c>
      <c r="AB1880" s="2" t="s">
        <v>73</v>
      </c>
      <c r="AC1880" s="4" t="s">
        <v>44</v>
      </c>
    </row>
    <row r="1881" spans="1:29" x14ac:dyDescent="0.25">
      <c r="A1881" s="1">
        <v>3146</v>
      </c>
      <c r="B1881" s="17" t="s">
        <v>8974</v>
      </c>
      <c r="C1881" s="2" t="s">
        <v>8975</v>
      </c>
      <c r="D1881" s="15" t="s">
        <v>7887</v>
      </c>
      <c r="E1881" s="9" t="s">
        <v>1004</v>
      </c>
      <c r="F1881" s="9" t="s">
        <v>203</v>
      </c>
      <c r="G1881" s="9" t="s">
        <v>6799</v>
      </c>
      <c r="H1881" s="2" t="s">
        <v>35</v>
      </c>
      <c r="I1881" s="3">
        <v>36419</v>
      </c>
      <c r="J1881" s="9" t="str">
        <f t="shared" ca="1" si="31"/>
        <v>23 ans</v>
      </c>
      <c r="K1881" s="2" t="s">
        <v>123</v>
      </c>
      <c r="L1881" s="2" t="str">
        <f>"350"</f>
        <v>350</v>
      </c>
      <c r="M1881" s="2"/>
      <c r="N1881" s="2" t="str">
        <f>"RUE D' ANJOU"</f>
        <v>RUE D' ANJOU</v>
      </c>
      <c r="O1881" s="2" t="s">
        <v>8722</v>
      </c>
      <c r="P1881" s="9" t="str">
        <f>VLOOKUP($O1881,'Liste des Villes'!$B$2:$B$1128,1,FALSE)</f>
        <v>Saint-Eustache</v>
      </c>
      <c r="Q1881" s="9" t="str">
        <f>IFERROR($P1881,PROPER(VLOOKUP($O1881,'Villes en erreur'!$A$2:$B$72,2,FALSE)))</f>
        <v>Saint-Eustache</v>
      </c>
      <c r="R1881" s="9" t="s">
        <v>8723</v>
      </c>
      <c r="S1881" s="9" t="str">
        <f>IF(ISBLANK($R1881),"",VLOOKUP($R1881,'Liste des Villes'!$B$2:$H$1128,4,FALSE))</f>
        <v>Laurentides</v>
      </c>
      <c r="T1881" s="2" t="s">
        <v>8976</v>
      </c>
      <c r="U1881" s="2" t="s">
        <v>39</v>
      </c>
      <c r="V1881" s="2" t="s">
        <v>40</v>
      </c>
      <c r="W1881" s="2" t="s">
        <v>8977</v>
      </c>
      <c r="X1881" s="2"/>
      <c r="Y1881" s="2"/>
      <c r="Z1881" s="2"/>
      <c r="AA1881" s="2" t="s">
        <v>127</v>
      </c>
      <c r="AB1881" s="2" t="s">
        <v>73</v>
      </c>
      <c r="AC1881" s="4" t="s">
        <v>44</v>
      </c>
    </row>
    <row r="1882" spans="1:29" x14ac:dyDescent="0.25">
      <c r="A1882" s="1">
        <v>453</v>
      </c>
      <c r="B1882" s="17" t="s">
        <v>8978</v>
      </c>
      <c r="C1882" s="2" t="s">
        <v>8979</v>
      </c>
      <c r="D1882" s="15" t="s">
        <v>2422</v>
      </c>
      <c r="E1882" s="9" t="s">
        <v>101</v>
      </c>
      <c r="F1882" s="9" t="s">
        <v>3142</v>
      </c>
      <c r="G1882" s="9" t="s">
        <v>3580</v>
      </c>
      <c r="H1882" s="2" t="s">
        <v>60</v>
      </c>
      <c r="I1882" s="3">
        <v>36426</v>
      </c>
      <c r="J1882" s="9" t="str">
        <f t="shared" ca="1" si="31"/>
        <v>23 ans</v>
      </c>
      <c r="K1882" s="2" t="s">
        <v>123</v>
      </c>
      <c r="L1882" s="2" t="str">
        <f>"356"</f>
        <v>356</v>
      </c>
      <c r="M1882" s="2"/>
      <c r="N1882" s="2" t="str">
        <f>"RUE D'AMBOISE"</f>
        <v>RUE D'AMBOISE</v>
      </c>
      <c r="O1882" s="2" t="s">
        <v>8722</v>
      </c>
      <c r="P1882" s="9" t="str">
        <f>VLOOKUP($O1882,'Liste des Villes'!$B$2:$B$1128,1,FALSE)</f>
        <v>Saint-Eustache</v>
      </c>
      <c r="Q1882" s="9" t="str">
        <f>IFERROR($P1882,PROPER(VLOOKUP($O1882,'Villes en erreur'!$A$2:$B$72,2,FALSE)))</f>
        <v>Saint-Eustache</v>
      </c>
      <c r="R1882" s="9" t="s">
        <v>8723</v>
      </c>
      <c r="S1882" s="9" t="str">
        <f>IF(ISBLANK($R1882),"",VLOOKUP($R1882,'Liste des Villes'!$B$2:$H$1128,4,FALSE))</f>
        <v>Laurentides</v>
      </c>
      <c r="T1882" s="2" t="s">
        <v>8754</v>
      </c>
      <c r="U1882" s="2" t="s">
        <v>39</v>
      </c>
      <c r="V1882" s="2" t="s">
        <v>40</v>
      </c>
      <c r="W1882" s="2" t="s">
        <v>8980</v>
      </c>
      <c r="X1882" s="2"/>
      <c r="Y1882" s="2"/>
      <c r="Z1882" s="2"/>
      <c r="AA1882" s="2" t="s">
        <v>127</v>
      </c>
      <c r="AB1882" s="2" t="s">
        <v>73</v>
      </c>
      <c r="AC1882" s="4" t="s">
        <v>44</v>
      </c>
    </row>
    <row r="1883" spans="1:29" x14ac:dyDescent="0.25">
      <c r="A1883" s="1">
        <v>48</v>
      </c>
      <c r="B1883" s="17" t="s">
        <v>8981</v>
      </c>
      <c r="C1883" s="2" t="s">
        <v>8982</v>
      </c>
      <c r="D1883" s="15" t="s">
        <v>1221</v>
      </c>
      <c r="E1883" s="9" t="s">
        <v>2205</v>
      </c>
      <c r="F1883" s="9" t="s">
        <v>1219</v>
      </c>
      <c r="G1883" s="9" t="s">
        <v>8267</v>
      </c>
      <c r="H1883" s="2" t="s">
        <v>60</v>
      </c>
      <c r="I1883" s="3">
        <v>36395</v>
      </c>
      <c r="J1883" s="9" t="str">
        <f t="shared" ca="1" si="31"/>
        <v>24 ans</v>
      </c>
      <c r="K1883" s="2" t="s">
        <v>123</v>
      </c>
      <c r="L1883" s="2" t="str">
        <f>"341"</f>
        <v>341</v>
      </c>
      <c r="M1883" s="2"/>
      <c r="N1883" s="2" t="str">
        <f>"RUE CORINNE DUPUIS"</f>
        <v>RUE CORINNE DUPUIS</v>
      </c>
      <c r="O1883" s="2" t="s">
        <v>8722</v>
      </c>
      <c r="P1883" s="9" t="str">
        <f>VLOOKUP($O1883,'Liste des Villes'!$B$2:$B$1128,1,FALSE)</f>
        <v>Saint-Eustache</v>
      </c>
      <c r="Q1883" s="9" t="str">
        <f>IFERROR($P1883,PROPER(VLOOKUP($O1883,'Villes en erreur'!$A$2:$B$72,2,FALSE)))</f>
        <v>Saint-Eustache</v>
      </c>
      <c r="R1883" s="9" t="s">
        <v>8723</v>
      </c>
      <c r="S1883" s="9" t="str">
        <f>IF(ISBLANK($R1883),"",VLOOKUP($R1883,'Liste des Villes'!$B$2:$H$1128,4,FALSE))</f>
        <v>Laurentides</v>
      </c>
      <c r="T1883" s="2" t="s">
        <v>8983</v>
      </c>
      <c r="U1883" s="2" t="s">
        <v>39</v>
      </c>
      <c r="V1883" s="2" t="s">
        <v>40</v>
      </c>
      <c r="W1883" s="2" t="s">
        <v>8984</v>
      </c>
      <c r="X1883" s="2"/>
      <c r="Y1883" s="2"/>
      <c r="Z1883" s="2"/>
      <c r="AA1883" s="2" t="s">
        <v>127</v>
      </c>
      <c r="AB1883" s="2" t="s">
        <v>73</v>
      </c>
      <c r="AC1883" s="4" t="s">
        <v>44</v>
      </c>
    </row>
    <row r="1884" spans="1:29" x14ac:dyDescent="0.25">
      <c r="A1884" s="1">
        <v>392</v>
      </c>
      <c r="B1884" s="17" t="s">
        <v>8985</v>
      </c>
      <c r="C1884" s="2" t="s">
        <v>8986</v>
      </c>
      <c r="D1884" s="15" t="s">
        <v>8987</v>
      </c>
      <c r="E1884" s="9" t="s">
        <v>7662</v>
      </c>
      <c r="F1884" s="9" t="s">
        <v>8988</v>
      </c>
      <c r="G1884" s="9" t="s">
        <v>8989</v>
      </c>
      <c r="H1884" s="2" t="s">
        <v>60</v>
      </c>
      <c r="I1884" s="3">
        <v>36384</v>
      </c>
      <c r="J1884" s="9" t="str">
        <f t="shared" ca="1" si="31"/>
        <v>24 ans</v>
      </c>
      <c r="K1884" s="2" t="s">
        <v>123</v>
      </c>
      <c r="L1884" s="2" t="str">
        <f>"337"</f>
        <v>337</v>
      </c>
      <c r="M1884" s="2"/>
      <c r="N1884" s="2" t="str">
        <f>"RUE CLÉMENT"</f>
        <v>RUE CLÉMENT</v>
      </c>
      <c r="O1884" s="2" t="s">
        <v>8722</v>
      </c>
      <c r="P1884" s="9" t="str">
        <f>VLOOKUP($O1884,'Liste des Villes'!$B$2:$B$1128,1,FALSE)</f>
        <v>Saint-Eustache</v>
      </c>
      <c r="Q1884" s="9" t="str">
        <f>IFERROR($P1884,PROPER(VLOOKUP($O1884,'Villes en erreur'!$A$2:$B$72,2,FALSE)))</f>
        <v>Saint-Eustache</v>
      </c>
      <c r="R1884" s="9" t="s">
        <v>8723</v>
      </c>
      <c r="S1884" s="9" t="str">
        <f>IF(ISBLANK($R1884),"",VLOOKUP($R1884,'Liste des Villes'!$B$2:$H$1128,4,FALSE))</f>
        <v>Laurentides</v>
      </c>
      <c r="T1884" s="2" t="s">
        <v>8765</v>
      </c>
      <c r="U1884" s="2" t="s">
        <v>39</v>
      </c>
      <c r="V1884" s="2" t="s">
        <v>40</v>
      </c>
      <c r="W1884" s="2" t="s">
        <v>8990</v>
      </c>
      <c r="X1884" s="2"/>
      <c r="Y1884" s="2"/>
      <c r="Z1884" s="2"/>
      <c r="AA1884" s="2" t="s">
        <v>127</v>
      </c>
      <c r="AB1884" s="2" t="s">
        <v>73</v>
      </c>
      <c r="AC1884" s="4" t="s">
        <v>44</v>
      </c>
    </row>
    <row r="1885" spans="1:29" x14ac:dyDescent="0.25">
      <c r="A1885" s="1">
        <v>4296</v>
      </c>
      <c r="B1885" s="17" t="s">
        <v>8991</v>
      </c>
      <c r="C1885" s="2" t="s">
        <v>8992</v>
      </c>
      <c r="D1885" s="15" t="s">
        <v>4529</v>
      </c>
      <c r="E1885" s="9" t="s">
        <v>2585</v>
      </c>
      <c r="F1885" s="9" t="s">
        <v>617</v>
      </c>
      <c r="G1885" s="9" t="s">
        <v>3580</v>
      </c>
      <c r="H1885" s="2" t="s">
        <v>60</v>
      </c>
      <c r="I1885" s="3">
        <v>36428</v>
      </c>
      <c r="J1885" s="9" t="str">
        <f t="shared" ca="1" si="31"/>
        <v>23 ans</v>
      </c>
      <c r="K1885" s="2" t="s">
        <v>123</v>
      </c>
      <c r="L1885" s="2" t="str">
        <f>"356"</f>
        <v>356</v>
      </c>
      <c r="M1885" s="2"/>
      <c r="N1885" s="2" t="str">
        <f>"RUE D'AMBOISE"</f>
        <v>RUE D'AMBOISE</v>
      </c>
      <c r="O1885" s="2" t="s">
        <v>8722</v>
      </c>
      <c r="P1885" s="9" t="str">
        <f>VLOOKUP($O1885,'Liste des Villes'!$B$2:$B$1128,1,FALSE)</f>
        <v>Saint-Eustache</v>
      </c>
      <c r="Q1885" s="9" t="str">
        <f>IFERROR($P1885,PROPER(VLOOKUP($O1885,'Villes en erreur'!$A$2:$B$72,2,FALSE)))</f>
        <v>Saint-Eustache</v>
      </c>
      <c r="R1885" s="9" t="s">
        <v>8723</v>
      </c>
      <c r="S1885" s="9" t="str">
        <f>IF(ISBLANK($R1885),"",VLOOKUP($R1885,'Liste des Villes'!$B$2:$H$1128,4,FALSE))</f>
        <v>Laurentides</v>
      </c>
      <c r="T1885" s="2" t="s">
        <v>8754</v>
      </c>
      <c r="U1885" s="2" t="s">
        <v>39</v>
      </c>
      <c r="V1885" s="2" t="s">
        <v>40</v>
      </c>
      <c r="W1885" s="2" t="s">
        <v>8993</v>
      </c>
      <c r="X1885" s="2"/>
      <c r="Y1885" s="2"/>
      <c r="Z1885" s="2"/>
      <c r="AA1885" s="2" t="s">
        <v>127</v>
      </c>
      <c r="AB1885" s="2" t="s">
        <v>73</v>
      </c>
      <c r="AC1885" s="4" t="s">
        <v>44</v>
      </c>
    </row>
    <row r="1886" spans="1:29" x14ac:dyDescent="0.25">
      <c r="A1886" s="1">
        <v>2782</v>
      </c>
      <c r="B1886" s="17" t="s">
        <v>8994</v>
      </c>
      <c r="C1886" s="2" t="s">
        <v>8288</v>
      </c>
      <c r="D1886" s="15" t="s">
        <v>225</v>
      </c>
      <c r="E1886" s="9" t="s">
        <v>8289</v>
      </c>
      <c r="F1886" s="9" t="s">
        <v>1430</v>
      </c>
      <c r="G1886" s="9" t="s">
        <v>3580</v>
      </c>
      <c r="H1886" s="2" t="s">
        <v>60</v>
      </c>
      <c r="I1886" s="3">
        <v>36425</v>
      </c>
      <c r="J1886" s="9" t="str">
        <f t="shared" ca="1" si="31"/>
        <v>23 ans</v>
      </c>
      <c r="K1886" s="2" t="s">
        <v>123</v>
      </c>
      <c r="L1886" s="2" t="str">
        <f>"355"</f>
        <v>355</v>
      </c>
      <c r="M1886" s="2"/>
      <c r="N1886" s="2" t="str">
        <f>"RUE D'AMBOISE"</f>
        <v>RUE D'AMBOISE</v>
      </c>
      <c r="O1886" s="2" t="s">
        <v>8722</v>
      </c>
      <c r="P1886" s="9" t="str">
        <f>VLOOKUP($O1886,'Liste des Villes'!$B$2:$B$1128,1,FALSE)</f>
        <v>Saint-Eustache</v>
      </c>
      <c r="Q1886" s="9" t="str">
        <f>IFERROR($P1886,PROPER(VLOOKUP($O1886,'Villes en erreur'!$A$2:$B$72,2,FALSE)))</f>
        <v>Saint-Eustache</v>
      </c>
      <c r="R1886" s="9" t="s">
        <v>8723</v>
      </c>
      <c r="S1886" s="9" t="str">
        <f>IF(ISBLANK($R1886),"",VLOOKUP($R1886,'Liste des Villes'!$B$2:$H$1128,4,FALSE))</f>
        <v>Laurentides</v>
      </c>
      <c r="T1886" s="2" t="s">
        <v>8995</v>
      </c>
      <c r="U1886" s="2" t="s">
        <v>39</v>
      </c>
      <c r="V1886" s="2" t="s">
        <v>40</v>
      </c>
      <c r="W1886" s="2" t="s">
        <v>8996</v>
      </c>
      <c r="X1886" s="2"/>
      <c r="Y1886" s="2"/>
      <c r="Z1886" s="2"/>
      <c r="AA1886" s="2" t="s">
        <v>127</v>
      </c>
      <c r="AB1886" s="2" t="s">
        <v>73</v>
      </c>
      <c r="AC1886" s="4" t="s">
        <v>44</v>
      </c>
    </row>
    <row r="1887" spans="1:29" x14ac:dyDescent="0.25">
      <c r="A1887" s="1">
        <v>44</v>
      </c>
      <c r="B1887" s="17" t="s">
        <v>8997</v>
      </c>
      <c r="C1887" s="2" t="s">
        <v>4637</v>
      </c>
      <c r="D1887" s="15" t="s">
        <v>2780</v>
      </c>
      <c r="E1887" s="9" t="s">
        <v>172</v>
      </c>
      <c r="F1887" s="9" t="s">
        <v>2778</v>
      </c>
      <c r="G1887" s="9" t="s">
        <v>5585</v>
      </c>
      <c r="H1887" s="2" t="s">
        <v>60</v>
      </c>
      <c r="I1887" s="3">
        <v>36392</v>
      </c>
      <c r="J1887" s="9" t="str">
        <f t="shared" ca="1" si="31"/>
        <v>24 ans</v>
      </c>
      <c r="K1887" s="2" t="s">
        <v>123</v>
      </c>
      <c r="L1887" s="2" t="str">
        <f>"340"</f>
        <v>340</v>
      </c>
      <c r="M1887" s="2"/>
      <c r="N1887" s="2" t="str">
        <f>"RUE CONSTANTIN"</f>
        <v>RUE CONSTANTIN</v>
      </c>
      <c r="O1887" s="2" t="s">
        <v>8722</v>
      </c>
      <c r="P1887" s="9" t="str">
        <f>VLOOKUP($O1887,'Liste des Villes'!$B$2:$B$1128,1,FALSE)</f>
        <v>Saint-Eustache</v>
      </c>
      <c r="Q1887" s="9" t="str">
        <f>IFERROR($P1887,PROPER(VLOOKUP($O1887,'Villes en erreur'!$A$2:$B$72,2,FALSE)))</f>
        <v>Saint-Eustache</v>
      </c>
      <c r="R1887" s="9" t="s">
        <v>8723</v>
      </c>
      <c r="S1887" s="9" t="str">
        <f>IF(ISBLANK($R1887),"",VLOOKUP($R1887,'Liste des Villes'!$B$2:$H$1128,4,FALSE))</f>
        <v>Laurentides</v>
      </c>
      <c r="T1887" s="2" t="s">
        <v>8743</v>
      </c>
      <c r="U1887" s="2" t="s">
        <v>39</v>
      </c>
      <c r="V1887" s="2" t="s">
        <v>40</v>
      </c>
      <c r="W1887" s="2" t="s">
        <v>8998</v>
      </c>
      <c r="X1887" s="2"/>
      <c r="Y1887" s="2"/>
      <c r="Z1887" s="2"/>
      <c r="AA1887" s="2" t="s">
        <v>127</v>
      </c>
      <c r="AB1887" s="2" t="s">
        <v>73</v>
      </c>
      <c r="AC1887" s="4" t="s">
        <v>44</v>
      </c>
    </row>
    <row r="1888" spans="1:29" x14ac:dyDescent="0.25">
      <c r="A1888" s="1">
        <v>2451</v>
      </c>
      <c r="B1888" s="17" t="s">
        <v>8999</v>
      </c>
      <c r="C1888" s="2" t="s">
        <v>9000</v>
      </c>
      <c r="D1888" s="15" t="s">
        <v>768</v>
      </c>
      <c r="E1888" s="9" t="s">
        <v>826</v>
      </c>
      <c r="F1888" s="9" t="s">
        <v>766</v>
      </c>
      <c r="G1888" s="9" t="s">
        <v>2807</v>
      </c>
      <c r="H1888" s="2" t="s">
        <v>60</v>
      </c>
      <c r="I1888" s="3">
        <v>36379</v>
      </c>
      <c r="J1888" s="9" t="str">
        <f t="shared" ca="1" si="31"/>
        <v>24 ans</v>
      </c>
      <c r="K1888" s="2" t="s">
        <v>123</v>
      </c>
      <c r="L1888" s="2" t="str">
        <f>"333"</f>
        <v>333</v>
      </c>
      <c r="M1888" s="2"/>
      <c r="N1888" s="2" t="str">
        <f>"RUE CLAIRVAL"</f>
        <v>RUE CLAIRVAL</v>
      </c>
      <c r="O1888" s="2" t="s">
        <v>8722</v>
      </c>
      <c r="P1888" s="9" t="str">
        <f>VLOOKUP($O1888,'Liste des Villes'!$B$2:$B$1128,1,FALSE)</f>
        <v>Saint-Eustache</v>
      </c>
      <c r="Q1888" s="9" t="str">
        <f>IFERROR($P1888,PROPER(VLOOKUP($O1888,'Villes en erreur'!$A$2:$B$72,2,FALSE)))</f>
        <v>Saint-Eustache</v>
      </c>
      <c r="R1888" s="9" t="s">
        <v>8723</v>
      </c>
      <c r="S1888" s="9" t="str">
        <f>IF(ISBLANK($R1888),"",VLOOKUP($R1888,'Liste des Villes'!$B$2:$H$1128,4,FALSE))</f>
        <v>Laurentides</v>
      </c>
      <c r="T1888" s="2" t="s">
        <v>8842</v>
      </c>
      <c r="U1888" s="2" t="s">
        <v>39</v>
      </c>
      <c r="V1888" s="2" t="s">
        <v>40</v>
      </c>
      <c r="W1888" s="2" t="s">
        <v>9001</v>
      </c>
      <c r="X1888" s="2"/>
      <c r="Y1888" s="2"/>
      <c r="Z1888" s="2"/>
      <c r="AA1888" s="2" t="s">
        <v>127</v>
      </c>
      <c r="AB1888" s="2" t="s">
        <v>73</v>
      </c>
      <c r="AC1888" s="4" t="s">
        <v>44</v>
      </c>
    </row>
    <row r="1889" spans="1:29" x14ac:dyDescent="0.25">
      <c r="A1889" s="1">
        <v>4601</v>
      </c>
      <c r="B1889" s="17" t="s">
        <v>9002</v>
      </c>
      <c r="C1889" s="2" t="s">
        <v>9003</v>
      </c>
      <c r="D1889" s="15" t="s">
        <v>744</v>
      </c>
      <c r="E1889" s="9" t="s">
        <v>1560</v>
      </c>
      <c r="F1889" s="9" t="s">
        <v>742</v>
      </c>
      <c r="G1889" s="9" t="s">
        <v>7229</v>
      </c>
      <c r="H1889" s="2" t="s">
        <v>35</v>
      </c>
      <c r="I1889" s="3">
        <v>36375</v>
      </c>
      <c r="J1889" s="9" t="str">
        <f t="shared" ca="1" si="31"/>
        <v>24 ans</v>
      </c>
      <c r="K1889" s="2" t="s">
        <v>123</v>
      </c>
      <c r="L1889" s="2" t="str">
        <f>"329"</f>
        <v>329</v>
      </c>
      <c r="M1889" s="2"/>
      <c r="N1889" s="2" t="str">
        <f>"RUE CHATELOIS"</f>
        <v>RUE CHATELOIS</v>
      </c>
      <c r="O1889" s="2" t="s">
        <v>8722</v>
      </c>
      <c r="P1889" s="9" t="str">
        <f>VLOOKUP($O1889,'Liste des Villes'!$B$2:$B$1128,1,FALSE)</f>
        <v>Saint-Eustache</v>
      </c>
      <c r="Q1889" s="9" t="str">
        <f>IFERROR($P1889,PROPER(VLOOKUP($O1889,'Villes en erreur'!$A$2:$B$72,2,FALSE)))</f>
        <v>Saint-Eustache</v>
      </c>
      <c r="R1889" s="9" t="s">
        <v>8723</v>
      </c>
      <c r="S1889" s="9" t="str">
        <f>IF(ISBLANK($R1889),"",VLOOKUP($R1889,'Liste des Villes'!$B$2:$H$1128,4,FALSE))</f>
        <v>Laurentides</v>
      </c>
      <c r="T1889" s="2" t="s">
        <v>9004</v>
      </c>
      <c r="U1889" s="2" t="s">
        <v>39</v>
      </c>
      <c r="V1889" s="2" t="s">
        <v>40</v>
      </c>
      <c r="W1889" s="2" t="s">
        <v>9005</v>
      </c>
      <c r="X1889" s="2"/>
      <c r="Y1889" s="2"/>
      <c r="Z1889" s="2"/>
      <c r="AA1889" s="2" t="s">
        <v>127</v>
      </c>
      <c r="AB1889" s="2" t="s">
        <v>73</v>
      </c>
      <c r="AC1889" s="4" t="s">
        <v>44</v>
      </c>
    </row>
    <row r="1890" spans="1:29" x14ac:dyDescent="0.25">
      <c r="A1890" s="1">
        <v>2138</v>
      </c>
      <c r="B1890" s="17" t="s">
        <v>9006</v>
      </c>
      <c r="C1890" s="2" t="s">
        <v>9007</v>
      </c>
      <c r="D1890" s="15" t="s">
        <v>9008</v>
      </c>
      <c r="E1890" s="9" t="s">
        <v>6386</v>
      </c>
      <c r="F1890" s="9" t="s">
        <v>9009</v>
      </c>
      <c r="G1890" s="9" t="s">
        <v>2175</v>
      </c>
      <c r="H1890" s="2" t="s">
        <v>60</v>
      </c>
      <c r="I1890" s="3">
        <v>36388</v>
      </c>
      <c r="J1890" s="9" t="str">
        <f t="shared" ca="1" si="31"/>
        <v>24 ans</v>
      </c>
      <c r="K1890" s="2" t="s">
        <v>123</v>
      </c>
      <c r="L1890" s="2" t="str">
        <f>"339"</f>
        <v>339</v>
      </c>
      <c r="M1890" s="2"/>
      <c r="N1890" s="2" t="str">
        <f>"rue Clos-des-Mûres"</f>
        <v>rue Clos-des-Mûres</v>
      </c>
      <c r="O1890" s="2" t="s">
        <v>8722</v>
      </c>
      <c r="P1890" s="9" t="str">
        <f>VLOOKUP($O1890,'Liste des Villes'!$B$2:$B$1128,1,FALSE)</f>
        <v>Saint-Eustache</v>
      </c>
      <c r="Q1890" s="9" t="str">
        <f>IFERROR($P1890,PROPER(VLOOKUP($O1890,'Villes en erreur'!$A$2:$B$72,2,FALSE)))</f>
        <v>Saint-Eustache</v>
      </c>
      <c r="R1890" s="9" t="s">
        <v>8723</v>
      </c>
      <c r="S1890" s="9" t="str">
        <f>IF(ISBLANK($R1890),"",VLOOKUP($R1890,'Liste des Villes'!$B$2:$H$1128,4,FALSE))</f>
        <v>Laurentides</v>
      </c>
      <c r="T1890" s="2" t="s">
        <v>9010</v>
      </c>
      <c r="U1890" s="2" t="s">
        <v>39</v>
      </c>
      <c r="V1890" s="2" t="s">
        <v>40</v>
      </c>
      <c r="W1890" s="2" t="s">
        <v>9011</v>
      </c>
      <c r="X1890" s="2"/>
      <c r="Y1890" s="2"/>
      <c r="Z1890" s="2"/>
      <c r="AA1890" s="2" t="s">
        <v>127</v>
      </c>
      <c r="AB1890" s="2" t="s">
        <v>73</v>
      </c>
      <c r="AC1890" s="4" t="s">
        <v>44</v>
      </c>
    </row>
    <row r="1891" spans="1:29" x14ac:dyDescent="0.25">
      <c r="A1891" s="1">
        <v>2271</v>
      </c>
      <c r="B1891" s="17" t="s">
        <v>9012</v>
      </c>
      <c r="C1891" s="2" t="s">
        <v>9013</v>
      </c>
      <c r="D1891" s="15" t="s">
        <v>9014</v>
      </c>
      <c r="E1891" s="9" t="s">
        <v>354</v>
      </c>
      <c r="F1891" s="9" t="s">
        <v>9015</v>
      </c>
      <c r="G1891" s="9" t="s">
        <v>9016</v>
      </c>
      <c r="H1891" s="2" t="s">
        <v>60</v>
      </c>
      <c r="I1891" s="3">
        <v>36398</v>
      </c>
      <c r="J1891" s="9" t="str">
        <f t="shared" ca="1" si="31"/>
        <v>23 ans</v>
      </c>
      <c r="K1891" s="2" t="s">
        <v>123</v>
      </c>
      <c r="L1891" s="2" t="str">
        <f>"343"</f>
        <v>343</v>
      </c>
      <c r="M1891" s="2"/>
      <c r="N1891" s="2" t="str">
        <f>"RUE CORONA"</f>
        <v>RUE CORONA</v>
      </c>
      <c r="O1891" s="2" t="s">
        <v>8722</v>
      </c>
      <c r="P1891" s="9" t="str">
        <f>VLOOKUP($O1891,'Liste des Villes'!$B$2:$B$1128,1,FALSE)</f>
        <v>Saint-Eustache</v>
      </c>
      <c r="Q1891" s="9" t="str">
        <f>IFERROR($P1891,PROPER(VLOOKUP($O1891,'Villes en erreur'!$A$2:$B$72,2,FALSE)))</f>
        <v>Saint-Eustache</v>
      </c>
      <c r="R1891" s="9" t="s">
        <v>8723</v>
      </c>
      <c r="S1891" s="9" t="str">
        <f>IF(ISBLANK($R1891),"",VLOOKUP($R1891,'Liste des Villes'!$B$2:$H$1128,4,FALSE))</f>
        <v>Laurentides</v>
      </c>
      <c r="T1891" s="2" t="s">
        <v>8864</v>
      </c>
      <c r="U1891" s="2" t="s">
        <v>39</v>
      </c>
      <c r="V1891" s="2" t="s">
        <v>40</v>
      </c>
      <c r="W1891" s="2" t="s">
        <v>9017</v>
      </c>
      <c r="X1891" s="2"/>
      <c r="Y1891" s="2"/>
      <c r="Z1891" s="2"/>
      <c r="AA1891" s="2" t="s">
        <v>127</v>
      </c>
      <c r="AB1891" s="2" t="s">
        <v>73</v>
      </c>
      <c r="AC1891" s="4" t="s">
        <v>44</v>
      </c>
    </row>
    <row r="1892" spans="1:29" x14ac:dyDescent="0.25">
      <c r="A1892" s="1">
        <v>3189</v>
      </c>
      <c r="B1892" s="17" t="s">
        <v>9018</v>
      </c>
      <c r="C1892" s="2" t="s">
        <v>9019</v>
      </c>
      <c r="D1892" s="15" t="s">
        <v>5182</v>
      </c>
      <c r="E1892" s="9" t="s">
        <v>3126</v>
      </c>
      <c r="F1892" s="9" t="s">
        <v>5181</v>
      </c>
      <c r="G1892" s="9" t="s">
        <v>7906</v>
      </c>
      <c r="H1892" s="2" t="s">
        <v>35</v>
      </c>
      <c r="I1892" s="3">
        <v>36370</v>
      </c>
      <c r="J1892" s="9" t="str">
        <f t="shared" ca="1" si="31"/>
        <v>24 ans</v>
      </c>
      <c r="K1892" s="2" t="s">
        <v>123</v>
      </c>
      <c r="L1892" s="2" t="str">
        <f>"327"</f>
        <v>327</v>
      </c>
      <c r="M1892" s="2"/>
      <c r="N1892" s="2" t="str">
        <f>"RUE CHARRON"</f>
        <v>RUE CHARRON</v>
      </c>
      <c r="O1892" s="2" t="s">
        <v>8722</v>
      </c>
      <c r="P1892" s="9" t="str">
        <f>VLOOKUP($O1892,'Liste des Villes'!$B$2:$B$1128,1,FALSE)</f>
        <v>Saint-Eustache</v>
      </c>
      <c r="Q1892" s="9" t="str">
        <f>IFERROR($P1892,PROPER(VLOOKUP($O1892,'Villes en erreur'!$A$2:$B$72,2,FALSE)))</f>
        <v>Saint-Eustache</v>
      </c>
      <c r="R1892" s="9" t="s">
        <v>8723</v>
      </c>
      <c r="S1892" s="9" t="str">
        <f>IF(ISBLANK($R1892),"",VLOOKUP($R1892,'Liste des Villes'!$B$2:$H$1128,4,FALSE))</f>
        <v>Laurentides</v>
      </c>
      <c r="T1892" s="2" t="s">
        <v>9020</v>
      </c>
      <c r="U1892" s="2" t="s">
        <v>39</v>
      </c>
      <c r="V1892" s="2" t="s">
        <v>40</v>
      </c>
      <c r="W1892" s="2" t="s">
        <v>9021</v>
      </c>
      <c r="X1892" s="2"/>
      <c r="Y1892" s="2"/>
      <c r="Z1892" s="2"/>
      <c r="AA1892" s="2" t="s">
        <v>127</v>
      </c>
      <c r="AB1892" s="2" t="s">
        <v>73</v>
      </c>
      <c r="AC1892" s="4" t="s">
        <v>44</v>
      </c>
    </row>
    <row r="1893" spans="1:29" x14ac:dyDescent="0.25">
      <c r="A1893" s="1">
        <v>3417</v>
      </c>
      <c r="B1893" s="17" t="s">
        <v>9022</v>
      </c>
      <c r="C1893" s="2" t="s">
        <v>2009</v>
      </c>
      <c r="D1893" s="15" t="s">
        <v>1076</v>
      </c>
      <c r="E1893" s="9" t="s">
        <v>332</v>
      </c>
      <c r="F1893" s="9" t="s">
        <v>3749</v>
      </c>
      <c r="G1893" s="9" t="s">
        <v>4238</v>
      </c>
      <c r="H1893" s="2" t="s">
        <v>35</v>
      </c>
      <c r="I1893" s="3">
        <v>36366</v>
      </c>
      <c r="J1893" s="9" t="str">
        <f t="shared" ca="1" si="31"/>
        <v>24 ans</v>
      </c>
      <c r="K1893" s="2" t="s">
        <v>123</v>
      </c>
      <c r="L1893" s="2" t="str">
        <f>"325"</f>
        <v>325</v>
      </c>
      <c r="M1893" s="2"/>
      <c r="N1893" s="2" t="str">
        <f>"RUE CHARLES"</f>
        <v>RUE CHARLES</v>
      </c>
      <c r="O1893" s="2" t="s">
        <v>8722</v>
      </c>
      <c r="P1893" s="9" t="str">
        <f>VLOOKUP($O1893,'Liste des Villes'!$B$2:$B$1128,1,FALSE)</f>
        <v>Saint-Eustache</v>
      </c>
      <c r="Q1893" s="9" t="str">
        <f>IFERROR($P1893,PROPER(VLOOKUP($O1893,'Villes en erreur'!$A$2:$B$72,2,FALSE)))</f>
        <v>Saint-Eustache</v>
      </c>
      <c r="R1893" s="9" t="s">
        <v>8723</v>
      </c>
      <c r="S1893" s="9" t="str">
        <f>IF(ISBLANK($R1893),"",VLOOKUP($R1893,'Liste des Villes'!$B$2:$H$1128,4,FALSE))</f>
        <v>Laurentides</v>
      </c>
      <c r="T1893" s="2" t="s">
        <v>8919</v>
      </c>
      <c r="U1893" s="2" t="s">
        <v>39</v>
      </c>
      <c r="V1893" s="2" t="s">
        <v>40</v>
      </c>
      <c r="W1893" s="2" t="s">
        <v>9023</v>
      </c>
      <c r="X1893" s="2"/>
      <c r="Y1893" s="2"/>
      <c r="Z1893" s="2"/>
      <c r="AA1893" s="2" t="s">
        <v>127</v>
      </c>
      <c r="AB1893" s="2" t="s">
        <v>73</v>
      </c>
      <c r="AC1893" s="4" t="s">
        <v>44</v>
      </c>
    </row>
    <row r="1894" spans="1:29" x14ac:dyDescent="0.25">
      <c r="A1894" s="1">
        <v>4482</v>
      </c>
      <c r="B1894" s="17" t="s">
        <v>9024</v>
      </c>
      <c r="C1894" s="2" t="s">
        <v>2485</v>
      </c>
      <c r="D1894" s="15" t="s">
        <v>2486</v>
      </c>
      <c r="E1894" s="9" t="s">
        <v>541</v>
      </c>
      <c r="F1894" s="9" t="s">
        <v>9025</v>
      </c>
      <c r="G1894" s="9" t="s">
        <v>2807</v>
      </c>
      <c r="H1894" s="2" t="s">
        <v>60</v>
      </c>
      <c r="I1894" s="3">
        <v>36380</v>
      </c>
      <c r="J1894" s="9" t="str">
        <f t="shared" ca="1" si="31"/>
        <v>24 ans</v>
      </c>
      <c r="K1894" s="2" t="s">
        <v>123</v>
      </c>
      <c r="L1894" s="2" t="str">
        <f>"334"</f>
        <v>334</v>
      </c>
      <c r="M1894" s="2"/>
      <c r="N1894" s="2" t="str">
        <f>"RUE CLARENCE"</f>
        <v>RUE CLARENCE</v>
      </c>
      <c r="O1894" s="2" t="s">
        <v>8722</v>
      </c>
      <c r="P1894" s="9" t="str">
        <f>VLOOKUP($O1894,'Liste des Villes'!$B$2:$B$1128,1,FALSE)</f>
        <v>Saint-Eustache</v>
      </c>
      <c r="Q1894" s="9" t="str">
        <f>IFERROR($P1894,PROPER(VLOOKUP($O1894,'Villes en erreur'!$A$2:$B$72,2,FALSE)))</f>
        <v>Saint-Eustache</v>
      </c>
      <c r="R1894" s="9" t="s">
        <v>8723</v>
      </c>
      <c r="S1894" s="9" t="str">
        <f>IF(ISBLANK($R1894),"",VLOOKUP($R1894,'Liste des Villes'!$B$2:$H$1128,4,FALSE))</f>
        <v>Laurentides</v>
      </c>
      <c r="T1894" s="2" t="s">
        <v>9026</v>
      </c>
      <c r="U1894" s="2" t="s">
        <v>39</v>
      </c>
      <c r="V1894" s="2" t="s">
        <v>40</v>
      </c>
      <c r="W1894" s="2" t="s">
        <v>9027</v>
      </c>
      <c r="X1894" s="2"/>
      <c r="Y1894" s="2"/>
      <c r="Z1894" s="2"/>
      <c r="AA1894" s="2" t="s">
        <v>127</v>
      </c>
      <c r="AB1894" s="2" t="s">
        <v>73</v>
      </c>
      <c r="AC1894" s="4" t="s">
        <v>44</v>
      </c>
    </row>
    <row r="1895" spans="1:29" x14ac:dyDescent="0.25">
      <c r="A1895" s="1">
        <v>3019</v>
      </c>
      <c r="B1895" s="17" t="s">
        <v>9028</v>
      </c>
      <c r="C1895" s="2" t="s">
        <v>9029</v>
      </c>
      <c r="D1895" s="15" t="s">
        <v>9030</v>
      </c>
      <c r="E1895" s="9" t="s">
        <v>4243</v>
      </c>
      <c r="F1895" s="9" t="s">
        <v>1061</v>
      </c>
      <c r="G1895" s="9" t="s">
        <v>9031</v>
      </c>
      <c r="H1895" s="2" t="s">
        <v>60</v>
      </c>
      <c r="I1895" s="3">
        <v>36378</v>
      </c>
      <c r="J1895" s="9" t="str">
        <f t="shared" ca="1" si="31"/>
        <v>24 ans</v>
      </c>
      <c r="K1895" s="2" t="s">
        <v>123</v>
      </c>
      <c r="L1895" s="2" t="str">
        <f>"331"</f>
        <v>331</v>
      </c>
      <c r="M1895" s="2"/>
      <c r="N1895" s="2" t="str">
        <f>"RUE CHÉNIER"</f>
        <v>RUE CHÉNIER</v>
      </c>
      <c r="O1895" s="2" t="s">
        <v>8722</v>
      </c>
      <c r="P1895" s="9" t="str">
        <f>VLOOKUP($O1895,'Liste des Villes'!$B$2:$B$1128,1,FALSE)</f>
        <v>Saint-Eustache</v>
      </c>
      <c r="Q1895" s="9" t="str">
        <f>IFERROR($P1895,PROPER(VLOOKUP($O1895,'Villes en erreur'!$A$2:$B$72,2,FALSE)))</f>
        <v>Saint-Eustache</v>
      </c>
      <c r="R1895" s="9" t="s">
        <v>8723</v>
      </c>
      <c r="S1895" s="9" t="str">
        <f>IF(ISBLANK($R1895),"",VLOOKUP($R1895,'Liste des Villes'!$B$2:$H$1128,4,FALSE))</f>
        <v>Laurentides</v>
      </c>
      <c r="T1895" s="2" t="s">
        <v>9032</v>
      </c>
      <c r="U1895" s="2" t="s">
        <v>39</v>
      </c>
      <c r="V1895" s="2" t="s">
        <v>40</v>
      </c>
      <c r="W1895" s="2" t="s">
        <v>9033</v>
      </c>
      <c r="X1895" s="2"/>
      <c r="Y1895" s="2"/>
      <c r="Z1895" s="2"/>
      <c r="AA1895" s="2" t="s">
        <v>127</v>
      </c>
      <c r="AB1895" s="2" t="s">
        <v>73</v>
      </c>
      <c r="AC1895" s="4" t="s">
        <v>44</v>
      </c>
    </row>
    <row r="1896" spans="1:29" x14ac:dyDescent="0.25">
      <c r="A1896" s="1">
        <v>1417</v>
      </c>
      <c r="B1896" s="17" t="s">
        <v>9034</v>
      </c>
      <c r="C1896" s="2" t="s">
        <v>7545</v>
      </c>
      <c r="D1896" s="15" t="s">
        <v>726</v>
      </c>
      <c r="E1896" s="9" t="s">
        <v>7546</v>
      </c>
      <c r="F1896" s="9" t="s">
        <v>2492</v>
      </c>
      <c r="G1896" s="9" t="s">
        <v>9035</v>
      </c>
      <c r="H1896" s="2" t="s">
        <v>60</v>
      </c>
      <c r="I1896" s="3">
        <v>36418</v>
      </c>
      <c r="J1896" s="9" t="str">
        <f t="shared" ca="1" si="31"/>
        <v>23 ans</v>
      </c>
      <c r="K1896" s="2" t="s">
        <v>123</v>
      </c>
      <c r="L1896" s="2" t="str">
        <f>"349"</f>
        <v>349</v>
      </c>
      <c r="M1896" s="2"/>
      <c r="N1896" s="2" t="str">
        <f>"RUE CREVIER"</f>
        <v>RUE CREVIER</v>
      </c>
      <c r="O1896" s="2" t="s">
        <v>8722</v>
      </c>
      <c r="P1896" s="9" t="str">
        <f>VLOOKUP($O1896,'Liste des Villes'!$B$2:$B$1128,1,FALSE)</f>
        <v>Saint-Eustache</v>
      </c>
      <c r="Q1896" s="9" t="str">
        <f>IFERROR($P1896,PROPER(VLOOKUP($O1896,'Villes en erreur'!$A$2:$B$72,2,FALSE)))</f>
        <v>Saint-Eustache</v>
      </c>
      <c r="R1896" s="9" t="s">
        <v>8723</v>
      </c>
      <c r="S1896" s="9" t="str">
        <f>IF(ISBLANK($R1896),"",VLOOKUP($R1896,'Liste des Villes'!$B$2:$H$1128,4,FALSE))</f>
        <v>Laurentides</v>
      </c>
      <c r="T1896" s="2" t="s">
        <v>8762</v>
      </c>
      <c r="U1896" s="2" t="s">
        <v>39</v>
      </c>
      <c r="V1896" s="2" t="s">
        <v>40</v>
      </c>
      <c r="W1896" s="2" t="s">
        <v>9036</v>
      </c>
      <c r="X1896" s="2"/>
      <c r="Y1896" s="2"/>
      <c r="Z1896" s="2"/>
      <c r="AA1896" s="2" t="s">
        <v>127</v>
      </c>
      <c r="AB1896" s="2" t="s">
        <v>73</v>
      </c>
      <c r="AC1896" s="4" t="s">
        <v>44</v>
      </c>
    </row>
    <row r="1897" spans="1:29" x14ac:dyDescent="0.25">
      <c r="A1897" s="1">
        <v>838</v>
      </c>
      <c r="B1897" s="17" t="s">
        <v>9037</v>
      </c>
      <c r="C1897" s="2" t="s">
        <v>9038</v>
      </c>
      <c r="D1897" s="15" t="s">
        <v>7647</v>
      </c>
      <c r="E1897" s="9" t="s">
        <v>610</v>
      </c>
      <c r="F1897" s="9" t="s">
        <v>7645</v>
      </c>
      <c r="G1897" s="9" t="s">
        <v>2175</v>
      </c>
      <c r="H1897" s="2" t="s">
        <v>60</v>
      </c>
      <c r="I1897" s="3">
        <v>36389</v>
      </c>
      <c r="J1897" s="9" t="str">
        <f t="shared" ca="1" si="31"/>
        <v>24 ans</v>
      </c>
      <c r="K1897" s="2" t="s">
        <v>123</v>
      </c>
      <c r="L1897" s="2" t="str">
        <f>"339"</f>
        <v>339</v>
      </c>
      <c r="M1897" s="2"/>
      <c r="N1897" s="2" t="str">
        <f>"RUE CLOUTIER"</f>
        <v>RUE CLOUTIER</v>
      </c>
      <c r="O1897" s="2" t="s">
        <v>8722</v>
      </c>
      <c r="P1897" s="9" t="str">
        <f>VLOOKUP($O1897,'Liste des Villes'!$B$2:$B$1128,1,FALSE)</f>
        <v>Saint-Eustache</v>
      </c>
      <c r="Q1897" s="9" t="str">
        <f>IFERROR($P1897,PROPER(VLOOKUP($O1897,'Villes en erreur'!$A$2:$B$72,2,FALSE)))</f>
        <v>Saint-Eustache</v>
      </c>
      <c r="R1897" s="9" t="s">
        <v>8723</v>
      </c>
      <c r="S1897" s="9" t="str">
        <f>IF(ISBLANK($R1897),"",VLOOKUP($R1897,'Liste des Villes'!$B$2:$H$1128,4,FALSE))</f>
        <v>Laurentides</v>
      </c>
      <c r="T1897" s="2" t="s">
        <v>9039</v>
      </c>
      <c r="U1897" s="2" t="s">
        <v>39</v>
      </c>
      <c r="V1897" s="2" t="s">
        <v>40</v>
      </c>
      <c r="W1897" s="2" t="s">
        <v>9040</v>
      </c>
      <c r="X1897" s="2"/>
      <c r="Y1897" s="2"/>
      <c r="Z1897" s="2"/>
      <c r="AA1897" s="2" t="s">
        <v>127</v>
      </c>
      <c r="AB1897" s="2" t="s">
        <v>73</v>
      </c>
      <c r="AC1897" s="4" t="s">
        <v>44</v>
      </c>
    </row>
    <row r="1898" spans="1:29" x14ac:dyDescent="0.25">
      <c r="A1898" s="1">
        <v>3157</v>
      </c>
      <c r="B1898" s="17" t="s">
        <v>9041</v>
      </c>
      <c r="C1898" s="2" t="s">
        <v>9042</v>
      </c>
      <c r="D1898" s="15" t="s">
        <v>1477</v>
      </c>
      <c r="E1898" s="9" t="s">
        <v>9043</v>
      </c>
      <c r="F1898" s="9" t="s">
        <v>1479</v>
      </c>
      <c r="G1898" s="9" t="s">
        <v>5142</v>
      </c>
      <c r="H1898" s="2" t="s">
        <v>60</v>
      </c>
      <c r="I1898" s="3">
        <v>36389</v>
      </c>
      <c r="J1898" s="9" t="str">
        <f t="shared" ca="1" si="31"/>
        <v>24 ans</v>
      </c>
      <c r="K1898" s="2" t="s">
        <v>123</v>
      </c>
      <c r="L1898" s="2" t="str">
        <f>"339"</f>
        <v>339</v>
      </c>
      <c r="M1898" s="2"/>
      <c r="N1898" s="2" t="str">
        <f>"RUE CLOUTIER"</f>
        <v>RUE CLOUTIER</v>
      </c>
      <c r="O1898" s="2" t="s">
        <v>8722</v>
      </c>
      <c r="P1898" s="9" t="str">
        <f>VLOOKUP($O1898,'Liste des Villes'!$B$2:$B$1128,1,FALSE)</f>
        <v>Saint-Eustache</v>
      </c>
      <c r="Q1898" s="9" t="str">
        <f>IFERROR($P1898,PROPER(VLOOKUP($O1898,'Villes en erreur'!$A$2:$B$72,2,FALSE)))</f>
        <v>Saint-Eustache</v>
      </c>
      <c r="R1898" s="9" t="s">
        <v>8723</v>
      </c>
      <c r="S1898" s="9" t="str">
        <f>IF(ISBLANK($R1898),"",VLOOKUP($R1898,'Liste des Villes'!$B$2:$H$1128,4,FALSE))</f>
        <v>Laurentides</v>
      </c>
      <c r="T1898" s="2" t="s">
        <v>9039</v>
      </c>
      <c r="U1898" s="2" t="s">
        <v>39</v>
      </c>
      <c r="V1898" s="2" t="s">
        <v>40</v>
      </c>
      <c r="W1898" s="2" t="s">
        <v>9044</v>
      </c>
      <c r="X1898" s="2"/>
      <c r="Y1898" s="2"/>
      <c r="Z1898" s="2"/>
      <c r="AA1898" s="2" t="s">
        <v>127</v>
      </c>
      <c r="AB1898" s="2" t="s">
        <v>73</v>
      </c>
      <c r="AC1898" s="4" t="s">
        <v>44</v>
      </c>
    </row>
    <row r="1899" spans="1:29" x14ac:dyDescent="0.25">
      <c r="A1899" s="1">
        <v>451</v>
      </c>
      <c r="B1899" s="17" t="s">
        <v>9045</v>
      </c>
      <c r="C1899" s="2" t="s">
        <v>9046</v>
      </c>
      <c r="D1899" s="15" t="s">
        <v>4881</v>
      </c>
      <c r="E1899" s="9" t="s">
        <v>2370</v>
      </c>
      <c r="F1899" s="9" t="s">
        <v>178</v>
      </c>
      <c r="G1899" s="9" t="s">
        <v>9047</v>
      </c>
      <c r="H1899" s="2" t="s">
        <v>35</v>
      </c>
      <c r="I1899" s="3">
        <v>36363</v>
      </c>
      <c r="J1899" s="9" t="str">
        <f t="shared" ca="1" si="31"/>
        <v>24 ans</v>
      </c>
      <c r="K1899" s="2" t="s">
        <v>123</v>
      </c>
      <c r="L1899" s="2" t="str">
        <f>"323"</f>
        <v>323</v>
      </c>
      <c r="M1899" s="2"/>
      <c r="N1899" s="2" t="str">
        <f>"RUE CHARBONNEAU"</f>
        <v>RUE CHARBONNEAU</v>
      </c>
      <c r="O1899" s="2" t="s">
        <v>8722</v>
      </c>
      <c r="P1899" s="9" t="str">
        <f>VLOOKUP($O1899,'Liste des Villes'!$B$2:$B$1128,1,FALSE)</f>
        <v>Saint-Eustache</v>
      </c>
      <c r="Q1899" s="9" t="str">
        <f>IFERROR($P1899,PROPER(VLOOKUP($O1899,'Villes en erreur'!$A$2:$B$72,2,FALSE)))</f>
        <v>Saint-Eustache</v>
      </c>
      <c r="R1899" s="9" t="s">
        <v>8723</v>
      </c>
      <c r="S1899" s="9" t="str">
        <f>IF(ISBLANK($R1899),"",VLOOKUP($R1899,'Liste des Villes'!$B$2:$H$1128,4,FALSE))</f>
        <v>Laurentides</v>
      </c>
      <c r="T1899" s="2" t="s">
        <v>8806</v>
      </c>
      <c r="U1899" s="2" t="s">
        <v>39</v>
      </c>
      <c r="V1899" s="2" t="s">
        <v>40</v>
      </c>
      <c r="W1899" s="2" t="s">
        <v>9048</v>
      </c>
      <c r="X1899" s="2"/>
      <c r="Y1899" s="2"/>
      <c r="Z1899" s="2"/>
      <c r="AA1899" s="2" t="s">
        <v>127</v>
      </c>
      <c r="AB1899" s="2" t="s">
        <v>73</v>
      </c>
      <c r="AC1899" s="4" t="s">
        <v>44</v>
      </c>
    </row>
    <row r="1900" spans="1:29" x14ac:dyDescent="0.25">
      <c r="A1900" s="1">
        <v>659</v>
      </c>
      <c r="B1900" s="17" t="s">
        <v>9049</v>
      </c>
      <c r="C1900" s="2" t="s">
        <v>9050</v>
      </c>
      <c r="D1900" s="15" t="s">
        <v>9051</v>
      </c>
      <c r="E1900" s="9" t="s">
        <v>2404</v>
      </c>
      <c r="F1900" s="9" t="s">
        <v>9052</v>
      </c>
      <c r="G1900" s="9" t="s">
        <v>8941</v>
      </c>
      <c r="H1900" s="2" t="s">
        <v>35</v>
      </c>
      <c r="I1900" s="3">
        <v>36367</v>
      </c>
      <c r="J1900" s="9" t="str">
        <f t="shared" ca="1" si="31"/>
        <v>24 ans</v>
      </c>
      <c r="K1900" s="2" t="s">
        <v>123</v>
      </c>
      <c r="L1900" s="2" t="str">
        <f>"326"</f>
        <v>326</v>
      </c>
      <c r="M1900" s="2"/>
      <c r="N1900" s="2" t="str">
        <f>"RUE CHARLES-DESJARDINS"</f>
        <v>RUE CHARLES-DESJARDINS</v>
      </c>
      <c r="O1900" s="2" t="s">
        <v>8722</v>
      </c>
      <c r="P1900" s="9" t="str">
        <f>VLOOKUP($O1900,'Liste des Villes'!$B$2:$B$1128,1,FALSE)</f>
        <v>Saint-Eustache</v>
      </c>
      <c r="Q1900" s="9" t="str">
        <f>IFERROR($P1900,PROPER(VLOOKUP($O1900,'Villes en erreur'!$A$2:$B$72,2,FALSE)))</f>
        <v>Saint-Eustache</v>
      </c>
      <c r="R1900" s="9" t="s">
        <v>8723</v>
      </c>
      <c r="S1900" s="9" t="str">
        <f>IF(ISBLANK($R1900),"",VLOOKUP($R1900,'Liste des Villes'!$B$2:$H$1128,4,FALSE))</f>
        <v>Laurentides</v>
      </c>
      <c r="T1900" s="2" t="s">
        <v>8942</v>
      </c>
      <c r="U1900" s="2" t="s">
        <v>39</v>
      </c>
      <c r="V1900" s="2" t="s">
        <v>40</v>
      </c>
      <c r="W1900" s="2" t="s">
        <v>9053</v>
      </c>
      <c r="X1900" s="2"/>
      <c r="Y1900" s="2"/>
      <c r="Z1900" s="2"/>
      <c r="AA1900" s="2" t="s">
        <v>127</v>
      </c>
      <c r="AB1900" s="2" t="s">
        <v>73</v>
      </c>
      <c r="AC1900" s="4" t="s">
        <v>44</v>
      </c>
    </row>
    <row r="1901" spans="1:29" x14ac:dyDescent="0.25">
      <c r="A1901" s="1">
        <v>724</v>
      </c>
      <c r="B1901" s="17" t="s">
        <v>9054</v>
      </c>
      <c r="C1901" s="2" t="s">
        <v>3830</v>
      </c>
      <c r="D1901" s="15" t="s">
        <v>3831</v>
      </c>
      <c r="E1901" s="9" t="s">
        <v>114</v>
      </c>
      <c r="F1901" s="9" t="s">
        <v>9055</v>
      </c>
      <c r="G1901" s="9" t="s">
        <v>9056</v>
      </c>
      <c r="H1901" s="2" t="s">
        <v>60</v>
      </c>
      <c r="I1901" s="3">
        <v>36399</v>
      </c>
      <c r="J1901" s="9" t="str">
        <f t="shared" ca="1" si="31"/>
        <v>23 ans</v>
      </c>
      <c r="K1901" s="2" t="s">
        <v>123</v>
      </c>
      <c r="L1901" s="2" t="str">
        <f>"343"</f>
        <v>343</v>
      </c>
      <c r="M1901" s="2"/>
      <c r="N1901" s="2" t="str">
        <f>"RUE COSTELLO"</f>
        <v>RUE COSTELLO</v>
      </c>
      <c r="O1901" s="2" t="s">
        <v>8722</v>
      </c>
      <c r="P1901" s="9" t="str">
        <f>VLOOKUP($O1901,'Liste des Villes'!$B$2:$B$1128,1,FALSE)</f>
        <v>Saint-Eustache</v>
      </c>
      <c r="Q1901" s="9" t="str">
        <f>IFERROR($P1901,PROPER(VLOOKUP($O1901,'Villes en erreur'!$A$2:$B$72,2,FALSE)))</f>
        <v>Saint-Eustache</v>
      </c>
      <c r="R1901" s="9" t="s">
        <v>8723</v>
      </c>
      <c r="S1901" s="9" t="str">
        <f>IF(ISBLANK($R1901),"",VLOOKUP($R1901,'Liste des Villes'!$B$2:$H$1128,4,FALSE))</f>
        <v>Laurentides</v>
      </c>
      <c r="T1901" s="2" t="s">
        <v>8864</v>
      </c>
      <c r="U1901" s="2" t="s">
        <v>39</v>
      </c>
      <c r="V1901" s="2" t="s">
        <v>40</v>
      </c>
      <c r="W1901" s="2" t="s">
        <v>9057</v>
      </c>
      <c r="X1901" s="2"/>
      <c r="Y1901" s="2"/>
      <c r="Z1901" s="2"/>
      <c r="AA1901" s="2" t="s">
        <v>127</v>
      </c>
      <c r="AB1901" s="2" t="s">
        <v>73</v>
      </c>
      <c r="AC1901" s="4" t="s">
        <v>44</v>
      </c>
    </row>
    <row r="1902" spans="1:29" x14ac:dyDescent="0.25">
      <c r="A1902" s="1">
        <v>83</v>
      </c>
      <c r="B1902" s="17" t="s">
        <v>9058</v>
      </c>
      <c r="C1902" s="2" t="s">
        <v>9059</v>
      </c>
      <c r="D1902" s="15" t="s">
        <v>9060</v>
      </c>
      <c r="E1902" s="9" t="s">
        <v>253</v>
      </c>
      <c r="F1902" s="9" t="s">
        <v>9061</v>
      </c>
      <c r="G1902" s="9" t="s">
        <v>3085</v>
      </c>
      <c r="H1902" s="2" t="s">
        <v>60</v>
      </c>
      <c r="I1902" s="3">
        <v>36374</v>
      </c>
      <c r="J1902" s="9" t="str">
        <f t="shared" ca="1" si="31"/>
        <v>24 ans</v>
      </c>
      <c r="K1902" s="2" t="s">
        <v>123</v>
      </c>
      <c r="L1902" s="2" t="str">
        <f>"328"</f>
        <v>328</v>
      </c>
      <c r="M1902" s="2"/>
      <c r="N1902" s="2" t="str">
        <f>"RUE CHÂTEAUNEUF"</f>
        <v>RUE CHÂTEAUNEUF</v>
      </c>
      <c r="O1902" s="2" t="s">
        <v>8722</v>
      </c>
      <c r="P1902" s="9" t="str">
        <f>VLOOKUP($O1902,'Liste des Villes'!$B$2:$B$1128,1,FALSE)</f>
        <v>Saint-Eustache</v>
      </c>
      <c r="Q1902" s="9" t="str">
        <f>IFERROR($P1902,PROPER(VLOOKUP($O1902,'Villes en erreur'!$A$2:$B$72,2,FALSE)))</f>
        <v>Saint-Eustache</v>
      </c>
      <c r="R1902" s="9" t="s">
        <v>8723</v>
      </c>
      <c r="S1902" s="9" t="str">
        <f>IF(ISBLANK($R1902),"",VLOOKUP($R1902,'Liste des Villes'!$B$2:$H$1128,4,FALSE))</f>
        <v>Laurentides</v>
      </c>
      <c r="T1902" s="2" t="s">
        <v>8798</v>
      </c>
      <c r="U1902" s="2" t="s">
        <v>39</v>
      </c>
      <c r="V1902" s="2" t="s">
        <v>40</v>
      </c>
      <c r="W1902" s="2" t="s">
        <v>9062</v>
      </c>
      <c r="X1902" s="2"/>
      <c r="Y1902" s="2"/>
      <c r="Z1902" s="2"/>
      <c r="AA1902" s="2" t="s">
        <v>127</v>
      </c>
      <c r="AB1902" s="2" t="s">
        <v>73</v>
      </c>
      <c r="AC1902" s="4" t="s">
        <v>44</v>
      </c>
    </row>
    <row r="1903" spans="1:29" x14ac:dyDescent="0.25">
      <c r="A1903" s="1">
        <v>1535</v>
      </c>
      <c r="B1903" s="17" t="s">
        <v>9063</v>
      </c>
      <c r="C1903" s="2" t="s">
        <v>8250</v>
      </c>
      <c r="D1903" s="15" t="s">
        <v>3122</v>
      </c>
      <c r="E1903" s="9" t="s">
        <v>956</v>
      </c>
      <c r="F1903" s="9" t="s">
        <v>9064</v>
      </c>
      <c r="G1903" s="9" t="s">
        <v>1056</v>
      </c>
      <c r="H1903" s="2" t="s">
        <v>60</v>
      </c>
      <c r="I1903" s="3">
        <v>36383</v>
      </c>
      <c r="J1903" s="9" t="str">
        <f t="shared" ca="1" si="31"/>
        <v>24 ans</v>
      </c>
      <c r="K1903" s="2" t="s">
        <v>123</v>
      </c>
      <c r="L1903" s="2" t="str">
        <f>"336"</f>
        <v>336</v>
      </c>
      <c r="M1903" s="2"/>
      <c r="N1903" s="2" t="str">
        <f>"RUE CLAVEAU"</f>
        <v>RUE CLAVEAU</v>
      </c>
      <c r="O1903" s="2" t="s">
        <v>8722</v>
      </c>
      <c r="P1903" s="9" t="str">
        <f>VLOOKUP($O1903,'Liste des Villes'!$B$2:$B$1128,1,FALSE)</f>
        <v>Saint-Eustache</v>
      </c>
      <c r="Q1903" s="9" t="str">
        <f>IFERROR($P1903,PROPER(VLOOKUP($O1903,'Villes en erreur'!$A$2:$B$72,2,FALSE)))</f>
        <v>Saint-Eustache</v>
      </c>
      <c r="R1903" s="9" t="s">
        <v>8723</v>
      </c>
      <c r="S1903" s="9" t="str">
        <f>IF(ISBLANK($R1903),"",VLOOKUP($R1903,'Liste des Villes'!$B$2:$H$1128,4,FALSE))</f>
        <v>Laurentides</v>
      </c>
      <c r="T1903" s="2" t="s">
        <v>8748</v>
      </c>
      <c r="U1903" s="2" t="s">
        <v>39</v>
      </c>
      <c r="V1903" s="2" t="s">
        <v>40</v>
      </c>
      <c r="W1903" s="2" t="s">
        <v>9065</v>
      </c>
      <c r="X1903" s="2"/>
      <c r="Y1903" s="2"/>
      <c r="Z1903" s="2"/>
      <c r="AA1903" s="2" t="s">
        <v>127</v>
      </c>
      <c r="AB1903" s="2" t="s">
        <v>73</v>
      </c>
      <c r="AC1903" s="4" t="s">
        <v>44</v>
      </c>
    </row>
    <row r="1904" spans="1:29" x14ac:dyDescent="0.25">
      <c r="A1904" s="1">
        <v>1402</v>
      </c>
      <c r="B1904" s="17" t="s">
        <v>9066</v>
      </c>
      <c r="C1904" s="2" t="s">
        <v>9067</v>
      </c>
      <c r="D1904" s="15" t="s">
        <v>2434</v>
      </c>
      <c r="E1904" s="9" t="s">
        <v>9068</v>
      </c>
      <c r="F1904" s="9" t="s">
        <v>9069</v>
      </c>
      <c r="G1904" s="9" t="s">
        <v>122</v>
      </c>
      <c r="H1904" s="2" t="s">
        <v>35</v>
      </c>
      <c r="I1904" s="3">
        <v>36359</v>
      </c>
      <c r="J1904" s="9" t="str">
        <f t="shared" ca="1" si="31"/>
        <v>24 ans</v>
      </c>
      <c r="K1904" s="2" t="s">
        <v>123</v>
      </c>
      <c r="L1904" s="2" t="str">
        <f>"322"</f>
        <v>322</v>
      </c>
      <c r="M1904" s="2"/>
      <c r="N1904" s="2" t="str">
        <f>"RUE CHAPLEAU"</f>
        <v>RUE CHAPLEAU</v>
      </c>
      <c r="O1904" s="2" t="s">
        <v>8722</v>
      </c>
      <c r="P1904" s="9" t="str">
        <f>VLOOKUP($O1904,'Liste des Villes'!$B$2:$B$1128,1,FALSE)</f>
        <v>Saint-Eustache</v>
      </c>
      <c r="Q1904" s="9" t="str">
        <f>IFERROR($P1904,PROPER(VLOOKUP($O1904,'Villes en erreur'!$A$2:$B$72,2,FALSE)))</f>
        <v>Saint-Eustache</v>
      </c>
      <c r="R1904" s="9" t="s">
        <v>8723</v>
      </c>
      <c r="S1904" s="9" t="str">
        <f>IF(ISBLANK($R1904),"",VLOOKUP($R1904,'Liste des Villes'!$B$2:$H$1128,4,FALSE))</f>
        <v>Laurentides</v>
      </c>
      <c r="T1904" s="2" t="s">
        <v>8967</v>
      </c>
      <c r="U1904" s="2" t="s">
        <v>39</v>
      </c>
      <c r="V1904" s="2" t="s">
        <v>40</v>
      </c>
      <c r="W1904" s="2" t="s">
        <v>9070</v>
      </c>
      <c r="X1904" s="2"/>
      <c r="Y1904" s="2"/>
      <c r="Z1904" s="2"/>
      <c r="AA1904" s="2" t="s">
        <v>127</v>
      </c>
      <c r="AB1904" s="2" t="s">
        <v>73</v>
      </c>
      <c r="AC1904" s="4" t="s">
        <v>44</v>
      </c>
    </row>
    <row r="1905" spans="1:29" x14ac:dyDescent="0.25">
      <c r="A1905" s="1">
        <v>2741</v>
      </c>
      <c r="B1905" s="17" t="s">
        <v>9071</v>
      </c>
      <c r="C1905" s="2" t="s">
        <v>9072</v>
      </c>
      <c r="D1905" s="15" t="s">
        <v>9073</v>
      </c>
      <c r="E1905" s="9" t="s">
        <v>253</v>
      </c>
      <c r="F1905" s="9" t="s">
        <v>9074</v>
      </c>
      <c r="G1905" s="9" t="s">
        <v>9075</v>
      </c>
      <c r="H1905" s="2" t="s">
        <v>60</v>
      </c>
      <c r="I1905" s="3">
        <v>36419</v>
      </c>
      <c r="J1905" s="9" t="str">
        <f t="shared" ca="1" si="31"/>
        <v>23 ans</v>
      </c>
      <c r="K1905" s="2" t="s">
        <v>123</v>
      </c>
      <c r="L1905" s="2" t="str">
        <f>"350"</f>
        <v>350</v>
      </c>
      <c r="M1905" s="2"/>
      <c r="N1905" s="2" t="str">
        <f>"RUE CUSSON"</f>
        <v>RUE CUSSON</v>
      </c>
      <c r="O1905" s="2" t="s">
        <v>8722</v>
      </c>
      <c r="P1905" s="9" t="str">
        <f>VLOOKUP($O1905,'Liste des Villes'!$B$2:$B$1128,1,FALSE)</f>
        <v>Saint-Eustache</v>
      </c>
      <c r="Q1905" s="9" t="str">
        <f>IFERROR($P1905,PROPER(VLOOKUP($O1905,'Villes en erreur'!$A$2:$B$72,2,FALSE)))</f>
        <v>Saint-Eustache</v>
      </c>
      <c r="R1905" s="9" t="s">
        <v>8723</v>
      </c>
      <c r="S1905" s="9" t="str">
        <f>IF(ISBLANK($R1905),"",VLOOKUP($R1905,'Liste des Villes'!$B$2:$H$1128,4,FALSE))</f>
        <v>Laurentides</v>
      </c>
      <c r="T1905" s="2" t="s">
        <v>9076</v>
      </c>
      <c r="U1905" s="2" t="s">
        <v>39</v>
      </c>
      <c r="V1905" s="2" t="s">
        <v>40</v>
      </c>
      <c r="W1905" s="2" t="s">
        <v>9077</v>
      </c>
      <c r="X1905" s="2"/>
      <c r="Y1905" s="2"/>
      <c r="Z1905" s="2"/>
      <c r="AA1905" s="2" t="s">
        <v>127</v>
      </c>
      <c r="AB1905" s="2" t="s">
        <v>73</v>
      </c>
      <c r="AC1905" s="4" t="s">
        <v>44</v>
      </c>
    </row>
    <row r="1906" spans="1:29" x14ac:dyDescent="0.25">
      <c r="A1906" s="1">
        <v>1132</v>
      </c>
      <c r="B1906" s="17" t="s">
        <v>9078</v>
      </c>
      <c r="C1906" s="2" t="s">
        <v>9079</v>
      </c>
      <c r="D1906" s="15" t="s">
        <v>726</v>
      </c>
      <c r="E1906" s="9" t="s">
        <v>8425</v>
      </c>
      <c r="F1906" s="9" t="s">
        <v>725</v>
      </c>
      <c r="G1906" s="9" t="s">
        <v>8279</v>
      </c>
      <c r="H1906" s="2" t="s">
        <v>35</v>
      </c>
      <c r="I1906" s="3">
        <v>36423</v>
      </c>
      <c r="J1906" s="9" t="str">
        <f t="shared" ca="1" si="31"/>
        <v>23 ans</v>
      </c>
      <c r="K1906" s="2" t="s">
        <v>123</v>
      </c>
      <c r="L1906" s="2" t="str">
        <f>"355"</f>
        <v>355</v>
      </c>
      <c r="M1906" s="2"/>
      <c r="N1906" s="2" t="str">
        <f>"RUE D'ALSACE"</f>
        <v>RUE D'ALSACE</v>
      </c>
      <c r="O1906" s="2" t="s">
        <v>8722</v>
      </c>
      <c r="P1906" s="9" t="str">
        <f>VLOOKUP($O1906,'Liste des Villes'!$B$2:$B$1128,1,FALSE)</f>
        <v>Saint-Eustache</v>
      </c>
      <c r="Q1906" s="9" t="str">
        <f>IFERROR($P1906,PROPER(VLOOKUP($O1906,'Villes en erreur'!$A$2:$B$72,2,FALSE)))</f>
        <v>Saint-Eustache</v>
      </c>
      <c r="R1906" s="9" t="s">
        <v>8723</v>
      </c>
      <c r="S1906" s="9" t="str">
        <f>IF(ISBLANK($R1906),"",VLOOKUP($R1906,'Liste des Villes'!$B$2:$H$1128,4,FALSE))</f>
        <v>Laurentides</v>
      </c>
      <c r="T1906" s="2" t="s">
        <v>9080</v>
      </c>
      <c r="U1906" s="2" t="s">
        <v>39</v>
      </c>
      <c r="V1906" s="2" t="s">
        <v>40</v>
      </c>
      <c r="W1906" s="2" t="s">
        <v>9081</v>
      </c>
      <c r="X1906" s="2"/>
      <c r="Y1906" s="2"/>
      <c r="Z1906" s="2"/>
      <c r="AA1906" s="2" t="s">
        <v>127</v>
      </c>
      <c r="AB1906" s="2" t="s">
        <v>73</v>
      </c>
      <c r="AC1906" s="4" t="s">
        <v>44</v>
      </c>
    </row>
    <row r="1907" spans="1:29" x14ac:dyDescent="0.25">
      <c r="A1907" s="1">
        <v>1648</v>
      </c>
      <c r="B1907" s="17" t="s">
        <v>9082</v>
      </c>
      <c r="C1907" s="2" t="s">
        <v>1288</v>
      </c>
      <c r="D1907" s="15" t="s">
        <v>601</v>
      </c>
      <c r="E1907" s="9" t="s">
        <v>1289</v>
      </c>
      <c r="F1907" s="9" t="s">
        <v>599</v>
      </c>
      <c r="G1907" s="9" t="s">
        <v>122</v>
      </c>
      <c r="H1907" s="2" t="s">
        <v>35</v>
      </c>
      <c r="I1907" s="3">
        <v>36355</v>
      </c>
      <c r="J1907" s="9" t="str">
        <f t="shared" ca="1" si="31"/>
        <v>24 ans</v>
      </c>
      <c r="K1907" s="2" t="s">
        <v>123</v>
      </c>
      <c r="L1907" s="2" t="str">
        <f>"320"</f>
        <v>320</v>
      </c>
      <c r="M1907" s="2"/>
      <c r="N1907" s="2" t="str">
        <f>"RUE CHANTOVENT"</f>
        <v>RUE CHANTOVENT</v>
      </c>
      <c r="O1907" s="2" t="s">
        <v>8722</v>
      </c>
      <c r="P1907" s="9" t="str">
        <f>VLOOKUP($O1907,'Liste des Villes'!$B$2:$B$1128,1,FALSE)</f>
        <v>Saint-Eustache</v>
      </c>
      <c r="Q1907" s="9" t="str">
        <f>IFERROR($P1907,PROPER(VLOOKUP($O1907,'Villes en erreur'!$A$2:$B$72,2,FALSE)))</f>
        <v>Saint-Eustache</v>
      </c>
      <c r="R1907" s="9" t="s">
        <v>8723</v>
      </c>
      <c r="S1907" s="9" t="str">
        <f>IF(ISBLANK($R1907),"",VLOOKUP($R1907,'Liste des Villes'!$B$2:$H$1128,4,FALSE))</f>
        <v>Laurentides</v>
      </c>
      <c r="T1907" s="2" t="s">
        <v>9083</v>
      </c>
      <c r="U1907" s="2" t="s">
        <v>39</v>
      </c>
      <c r="V1907" s="2" t="s">
        <v>40</v>
      </c>
      <c r="W1907" s="2" t="s">
        <v>9084</v>
      </c>
      <c r="X1907" s="2"/>
      <c r="Y1907" s="2"/>
      <c r="Z1907" s="2"/>
      <c r="AA1907" s="2" t="s">
        <v>127</v>
      </c>
      <c r="AB1907" s="2" t="s">
        <v>73</v>
      </c>
      <c r="AC1907" s="4" t="s">
        <v>44</v>
      </c>
    </row>
    <row r="1908" spans="1:29" x14ac:dyDescent="0.25">
      <c r="A1908" s="1">
        <v>1773</v>
      </c>
      <c r="B1908" s="17" t="s">
        <v>9085</v>
      </c>
      <c r="C1908" s="2" t="s">
        <v>2542</v>
      </c>
      <c r="D1908" s="15" t="s">
        <v>34</v>
      </c>
      <c r="E1908" s="9" t="s">
        <v>341</v>
      </c>
      <c r="F1908" s="9" t="s">
        <v>395</v>
      </c>
      <c r="G1908" s="9" t="s">
        <v>9086</v>
      </c>
      <c r="H1908" s="2" t="s">
        <v>60</v>
      </c>
      <c r="I1908" s="3">
        <v>36417</v>
      </c>
      <c r="J1908" s="9" t="str">
        <f t="shared" ca="1" si="31"/>
        <v>23 ans</v>
      </c>
      <c r="K1908" s="2" t="s">
        <v>123</v>
      </c>
      <c r="L1908" s="2" t="str">
        <f>"349"</f>
        <v>349</v>
      </c>
      <c r="M1908" s="2"/>
      <c r="N1908" s="2" t="str">
        <f>"RUE CRESCENT"</f>
        <v>RUE CRESCENT</v>
      </c>
      <c r="O1908" s="2" t="s">
        <v>8722</v>
      </c>
      <c r="P1908" s="9" t="str">
        <f>VLOOKUP($O1908,'Liste des Villes'!$B$2:$B$1128,1,FALSE)</f>
        <v>Saint-Eustache</v>
      </c>
      <c r="Q1908" s="9" t="str">
        <f>IFERROR($P1908,PROPER(VLOOKUP($O1908,'Villes en erreur'!$A$2:$B$72,2,FALSE)))</f>
        <v>Saint-Eustache</v>
      </c>
      <c r="R1908" s="9" t="s">
        <v>8723</v>
      </c>
      <c r="S1908" s="9" t="str">
        <f>IF(ISBLANK($R1908),"",VLOOKUP($R1908,'Liste des Villes'!$B$2:$H$1128,4,FALSE))</f>
        <v>Laurentides</v>
      </c>
      <c r="T1908" s="2" t="s">
        <v>8762</v>
      </c>
      <c r="U1908" s="2" t="s">
        <v>39</v>
      </c>
      <c r="V1908" s="2" t="s">
        <v>40</v>
      </c>
      <c r="W1908" s="2" t="s">
        <v>9087</v>
      </c>
      <c r="X1908" s="2"/>
      <c r="Y1908" s="2"/>
      <c r="Z1908" s="2"/>
      <c r="AA1908" s="2" t="s">
        <v>127</v>
      </c>
      <c r="AB1908" s="2" t="s">
        <v>73</v>
      </c>
      <c r="AC1908" s="4" t="s">
        <v>44</v>
      </c>
    </row>
    <row r="1909" spans="1:29" x14ac:dyDescent="0.25">
      <c r="A1909" s="1">
        <v>2475</v>
      </c>
      <c r="B1909" s="17" t="s">
        <v>9088</v>
      </c>
      <c r="C1909" s="2" t="s">
        <v>9089</v>
      </c>
      <c r="D1909" s="15" t="s">
        <v>4066</v>
      </c>
      <c r="E1909" s="9" t="s">
        <v>878</v>
      </c>
      <c r="F1909" s="9" t="s">
        <v>9090</v>
      </c>
      <c r="G1909" s="9" t="s">
        <v>4988</v>
      </c>
      <c r="H1909" s="2" t="s">
        <v>35</v>
      </c>
      <c r="I1909" s="3">
        <v>36428</v>
      </c>
      <c r="J1909" s="9" t="str">
        <f t="shared" ca="1" si="31"/>
        <v>23 ans</v>
      </c>
      <c r="K1909" s="2" t="s">
        <v>123</v>
      </c>
      <c r="L1909" s="2" t="str">
        <f>"357"</f>
        <v>357</v>
      </c>
      <c r="M1909" s="2"/>
      <c r="N1909" s="2" t="str">
        <f>"RUE DAMIEN-CYR"</f>
        <v>RUE DAMIEN-CYR</v>
      </c>
      <c r="O1909" s="2" t="s">
        <v>8722</v>
      </c>
      <c r="P1909" s="9" t="str">
        <f>VLOOKUP($O1909,'Liste des Villes'!$B$2:$B$1128,1,FALSE)</f>
        <v>Saint-Eustache</v>
      </c>
      <c r="Q1909" s="9" t="str">
        <f>IFERROR($P1909,PROPER(VLOOKUP($O1909,'Villes en erreur'!$A$2:$B$72,2,FALSE)))</f>
        <v>Saint-Eustache</v>
      </c>
      <c r="R1909" s="9" t="s">
        <v>8723</v>
      </c>
      <c r="S1909" s="9" t="str">
        <f>IF(ISBLANK($R1909),"",VLOOKUP($R1909,'Liste des Villes'!$B$2:$H$1128,4,FALSE))</f>
        <v>Laurentides</v>
      </c>
      <c r="T1909" s="2" t="s">
        <v>8869</v>
      </c>
      <c r="U1909" s="2" t="s">
        <v>39</v>
      </c>
      <c r="V1909" s="2" t="s">
        <v>40</v>
      </c>
      <c r="W1909" s="2" t="s">
        <v>9091</v>
      </c>
      <c r="X1909" s="2"/>
      <c r="Y1909" s="2"/>
      <c r="Z1909" s="2"/>
      <c r="AA1909" s="2" t="s">
        <v>127</v>
      </c>
      <c r="AB1909" s="2" t="s">
        <v>73</v>
      </c>
      <c r="AC1909" s="4" t="s">
        <v>44</v>
      </c>
    </row>
    <row r="1910" spans="1:29" x14ac:dyDescent="0.25">
      <c r="A1910" s="1">
        <v>2402</v>
      </c>
      <c r="B1910" s="17" t="s">
        <v>9092</v>
      </c>
      <c r="C1910" s="2" t="s">
        <v>6607</v>
      </c>
      <c r="D1910" s="15" t="s">
        <v>6608</v>
      </c>
      <c r="E1910" s="9" t="s">
        <v>5511</v>
      </c>
      <c r="F1910" s="9" t="s">
        <v>718</v>
      </c>
      <c r="G1910" s="9" t="s">
        <v>9093</v>
      </c>
      <c r="H1910" s="2" t="s">
        <v>35</v>
      </c>
      <c r="I1910" s="3">
        <v>36418</v>
      </c>
      <c r="J1910" s="9" t="str">
        <f t="shared" ca="1" si="31"/>
        <v>23 ans</v>
      </c>
      <c r="K1910" s="2" t="s">
        <v>123</v>
      </c>
      <c r="L1910" s="2" t="str">
        <f>"350"</f>
        <v>350</v>
      </c>
      <c r="M1910" s="2"/>
      <c r="N1910" s="2" t="str">
        <f>"RUE CREVIER"</f>
        <v>RUE CREVIER</v>
      </c>
      <c r="O1910" s="2" t="s">
        <v>8722</v>
      </c>
      <c r="P1910" s="9" t="str">
        <f>VLOOKUP($O1910,'Liste des Villes'!$B$2:$B$1128,1,FALSE)</f>
        <v>Saint-Eustache</v>
      </c>
      <c r="Q1910" s="9" t="str">
        <f>IFERROR($P1910,PROPER(VLOOKUP($O1910,'Villes en erreur'!$A$2:$B$72,2,FALSE)))</f>
        <v>Saint-Eustache</v>
      </c>
      <c r="R1910" s="9" t="s">
        <v>8723</v>
      </c>
      <c r="S1910" s="9" t="str">
        <f>IF(ISBLANK($R1910),"",VLOOKUP($R1910,'Liste des Villes'!$B$2:$H$1128,4,FALSE))</f>
        <v>Laurentides</v>
      </c>
      <c r="T1910" s="2" t="s">
        <v>9094</v>
      </c>
      <c r="U1910" s="2" t="s">
        <v>39</v>
      </c>
      <c r="V1910" s="2" t="s">
        <v>40</v>
      </c>
      <c r="W1910" s="2" t="s">
        <v>9095</v>
      </c>
      <c r="X1910" s="2"/>
      <c r="Y1910" s="2"/>
      <c r="Z1910" s="2"/>
      <c r="AA1910" s="2" t="s">
        <v>127</v>
      </c>
      <c r="AB1910" s="2" t="s">
        <v>73</v>
      </c>
      <c r="AC1910" s="4" t="s">
        <v>44</v>
      </c>
    </row>
    <row r="1911" spans="1:29" x14ac:dyDescent="0.25">
      <c r="A1911" s="1">
        <v>1861</v>
      </c>
      <c r="B1911" s="17" t="s">
        <v>9096</v>
      </c>
      <c r="C1911" s="2" t="s">
        <v>9097</v>
      </c>
      <c r="D1911" s="15" t="s">
        <v>31</v>
      </c>
      <c r="E1911" s="9" t="s">
        <v>5991</v>
      </c>
      <c r="F1911" s="9" t="s">
        <v>8694</v>
      </c>
      <c r="G1911" s="9" t="s">
        <v>6931</v>
      </c>
      <c r="H1911" s="2" t="s">
        <v>60</v>
      </c>
      <c r="I1911" s="3">
        <v>36412</v>
      </c>
      <c r="J1911" s="9" t="str">
        <f t="shared" ca="1" si="31"/>
        <v>23 ans</v>
      </c>
      <c r="K1911" s="2" t="s">
        <v>123</v>
      </c>
      <c r="L1911" s="2" t="str">
        <f>"345"</f>
        <v>345</v>
      </c>
      <c r="M1911" s="2"/>
      <c r="N1911" s="2" t="str">
        <f>"RUE COUSINEAU"</f>
        <v>RUE COUSINEAU</v>
      </c>
      <c r="O1911" s="2" t="s">
        <v>8722</v>
      </c>
      <c r="P1911" s="9" t="str">
        <f>VLOOKUP($O1911,'Liste des Villes'!$B$2:$B$1128,1,FALSE)</f>
        <v>Saint-Eustache</v>
      </c>
      <c r="Q1911" s="9" t="str">
        <f>IFERROR($P1911,PROPER(VLOOKUP($O1911,'Villes en erreur'!$A$2:$B$72,2,FALSE)))</f>
        <v>Saint-Eustache</v>
      </c>
      <c r="R1911" s="9" t="s">
        <v>8723</v>
      </c>
      <c r="S1911" s="9" t="str">
        <f>IF(ISBLANK($R1911),"",VLOOKUP($R1911,'Liste des Villes'!$B$2:$H$1128,4,FALSE))</f>
        <v>Laurentides</v>
      </c>
      <c r="T1911" s="2" t="s">
        <v>8762</v>
      </c>
      <c r="U1911" s="2" t="s">
        <v>39</v>
      </c>
      <c r="V1911" s="2" t="s">
        <v>40</v>
      </c>
      <c r="W1911" s="2" t="s">
        <v>9098</v>
      </c>
      <c r="X1911" s="2"/>
      <c r="Y1911" s="2"/>
      <c r="Z1911" s="2"/>
      <c r="AA1911" s="2" t="s">
        <v>127</v>
      </c>
      <c r="AB1911" s="2" t="s">
        <v>73</v>
      </c>
      <c r="AC1911" s="4" t="s">
        <v>44</v>
      </c>
    </row>
    <row r="1912" spans="1:29" x14ac:dyDescent="0.25">
      <c r="A1912" s="1">
        <v>1597</v>
      </c>
      <c r="B1912" s="17" t="s">
        <v>9099</v>
      </c>
      <c r="C1912" s="2" t="s">
        <v>5690</v>
      </c>
      <c r="D1912" s="15" t="s">
        <v>4620</v>
      </c>
      <c r="E1912" s="9" t="s">
        <v>1315</v>
      </c>
      <c r="F1912" s="9" t="s">
        <v>4619</v>
      </c>
      <c r="G1912" s="9" t="s">
        <v>2524</v>
      </c>
      <c r="H1912" s="2" t="s">
        <v>60</v>
      </c>
      <c r="I1912" s="3">
        <v>36371</v>
      </c>
      <c r="J1912" s="9" t="str">
        <f t="shared" ca="1" si="31"/>
        <v>24 ans</v>
      </c>
      <c r="K1912" s="2" t="s">
        <v>123</v>
      </c>
      <c r="L1912" s="2" t="str">
        <f>"327"</f>
        <v>327</v>
      </c>
      <c r="M1912" s="2"/>
      <c r="N1912" s="2" t="str">
        <f>"RUE CHARTRAND"</f>
        <v>RUE CHARTRAND</v>
      </c>
      <c r="O1912" s="2" t="s">
        <v>8722</v>
      </c>
      <c r="P1912" s="9" t="str">
        <f>VLOOKUP($O1912,'Liste des Villes'!$B$2:$B$1128,1,FALSE)</f>
        <v>Saint-Eustache</v>
      </c>
      <c r="Q1912" s="9" t="str">
        <f>IFERROR($P1912,PROPER(VLOOKUP($O1912,'Villes en erreur'!$A$2:$B$72,2,FALSE)))</f>
        <v>Saint-Eustache</v>
      </c>
      <c r="R1912" s="9" t="s">
        <v>8723</v>
      </c>
      <c r="S1912" s="9" t="str">
        <f>IF(ISBLANK($R1912),"",VLOOKUP($R1912,'Liste des Villes'!$B$2:$H$1128,4,FALSE))</f>
        <v>Laurentides</v>
      </c>
      <c r="T1912" s="2" t="s">
        <v>9100</v>
      </c>
      <c r="U1912" s="2" t="s">
        <v>39</v>
      </c>
      <c r="V1912" s="2" t="s">
        <v>40</v>
      </c>
      <c r="W1912" s="2" t="s">
        <v>9101</v>
      </c>
      <c r="X1912" s="2"/>
      <c r="Y1912" s="2"/>
      <c r="Z1912" s="2"/>
      <c r="AA1912" s="2" t="s">
        <v>127</v>
      </c>
      <c r="AB1912" s="2" t="s">
        <v>73</v>
      </c>
      <c r="AC1912" s="4" t="s">
        <v>44</v>
      </c>
    </row>
    <row r="1913" spans="1:29" x14ac:dyDescent="0.25">
      <c r="A1913" s="1">
        <v>3897</v>
      </c>
      <c r="B1913" s="17" t="s">
        <v>9102</v>
      </c>
      <c r="C1913" s="2" t="s">
        <v>9103</v>
      </c>
      <c r="D1913" s="15" t="s">
        <v>9104</v>
      </c>
      <c r="E1913" s="9" t="s">
        <v>2877</v>
      </c>
      <c r="F1913" s="9" t="s">
        <v>9105</v>
      </c>
      <c r="G1913" s="9" t="s">
        <v>122</v>
      </c>
      <c r="H1913" s="2" t="s">
        <v>35</v>
      </c>
      <c r="I1913" s="3">
        <v>36357</v>
      </c>
      <c r="J1913" s="9" t="str">
        <f t="shared" ca="1" si="31"/>
        <v>24 ans</v>
      </c>
      <c r="K1913" s="2" t="s">
        <v>123</v>
      </c>
      <c r="L1913" s="2" t="str">
        <f>"320"</f>
        <v>320</v>
      </c>
      <c r="M1913" s="2"/>
      <c r="N1913" s="2" t="str">
        <f>"RUE CHAPLEAU"</f>
        <v>RUE CHAPLEAU</v>
      </c>
      <c r="O1913" s="2" t="s">
        <v>8722</v>
      </c>
      <c r="P1913" s="9" t="str">
        <f>VLOOKUP($O1913,'Liste des Villes'!$B$2:$B$1128,1,FALSE)</f>
        <v>Saint-Eustache</v>
      </c>
      <c r="Q1913" s="9" t="str">
        <f>IFERROR($P1913,PROPER(VLOOKUP($O1913,'Villes en erreur'!$A$2:$B$72,2,FALSE)))</f>
        <v>Saint-Eustache</v>
      </c>
      <c r="R1913" s="9" t="s">
        <v>8723</v>
      </c>
      <c r="S1913" s="9" t="str">
        <f>IF(ISBLANK($R1913),"",VLOOKUP($R1913,'Liste des Villes'!$B$2:$H$1128,4,FALSE))</f>
        <v>Laurentides</v>
      </c>
      <c r="T1913" s="2" t="s">
        <v>9083</v>
      </c>
      <c r="U1913" s="2" t="s">
        <v>39</v>
      </c>
      <c r="V1913" s="2" t="s">
        <v>40</v>
      </c>
      <c r="W1913" s="2" t="s">
        <v>9106</v>
      </c>
      <c r="X1913" s="2"/>
      <c r="Y1913" s="2"/>
      <c r="Z1913" s="2"/>
      <c r="AA1913" s="2" t="s">
        <v>127</v>
      </c>
      <c r="AB1913" s="2" t="s">
        <v>73</v>
      </c>
      <c r="AC1913" s="4" t="s">
        <v>44</v>
      </c>
    </row>
    <row r="1914" spans="1:29" x14ac:dyDescent="0.25">
      <c r="A1914" s="1">
        <v>2851</v>
      </c>
      <c r="B1914" s="17" t="s">
        <v>9107</v>
      </c>
      <c r="C1914" s="2" t="s">
        <v>9108</v>
      </c>
      <c r="D1914" s="15" t="s">
        <v>9109</v>
      </c>
      <c r="E1914" s="9" t="s">
        <v>8941</v>
      </c>
      <c r="F1914" s="9" t="s">
        <v>9110</v>
      </c>
      <c r="G1914" s="9" t="s">
        <v>5253</v>
      </c>
      <c r="H1914" s="2" t="s">
        <v>60</v>
      </c>
      <c r="I1914" s="3">
        <v>36374</v>
      </c>
      <c r="J1914" s="9" t="str">
        <f t="shared" ca="1" si="31"/>
        <v>24 ans</v>
      </c>
      <c r="K1914" s="2" t="s">
        <v>123</v>
      </c>
      <c r="L1914" s="2" t="str">
        <f>"329"</f>
        <v>329</v>
      </c>
      <c r="M1914" s="2"/>
      <c r="N1914" s="2" t="str">
        <f>"RUE CHÂTEAUNEUF"</f>
        <v>RUE CHÂTEAUNEUF</v>
      </c>
      <c r="O1914" s="2" t="s">
        <v>8722</v>
      </c>
      <c r="P1914" s="9" t="str">
        <f>VLOOKUP($O1914,'Liste des Villes'!$B$2:$B$1128,1,FALSE)</f>
        <v>Saint-Eustache</v>
      </c>
      <c r="Q1914" s="9" t="str">
        <f>IFERROR($P1914,PROPER(VLOOKUP($O1914,'Villes en erreur'!$A$2:$B$72,2,FALSE)))</f>
        <v>Saint-Eustache</v>
      </c>
      <c r="R1914" s="9" t="s">
        <v>8723</v>
      </c>
      <c r="S1914" s="9" t="str">
        <f>IF(ISBLANK($R1914),"",VLOOKUP($R1914,'Liste des Villes'!$B$2:$H$1128,4,FALSE))</f>
        <v>Laurentides</v>
      </c>
      <c r="T1914" s="2" t="s">
        <v>8730</v>
      </c>
      <c r="U1914" s="2" t="s">
        <v>39</v>
      </c>
      <c r="V1914" s="2" t="s">
        <v>40</v>
      </c>
      <c r="W1914" s="2" t="s">
        <v>9111</v>
      </c>
      <c r="X1914" s="2"/>
      <c r="Y1914" s="2"/>
      <c r="Z1914" s="2"/>
      <c r="AA1914" s="2" t="s">
        <v>127</v>
      </c>
      <c r="AB1914" s="2" t="s">
        <v>73</v>
      </c>
      <c r="AC1914" s="4" t="s">
        <v>44</v>
      </c>
    </row>
    <row r="1915" spans="1:29" x14ac:dyDescent="0.25">
      <c r="A1915" s="1">
        <v>4303</v>
      </c>
      <c r="B1915" s="17" t="s">
        <v>9112</v>
      </c>
      <c r="C1915" s="2" t="s">
        <v>9113</v>
      </c>
      <c r="D1915" s="15" t="s">
        <v>4304</v>
      </c>
      <c r="E1915" s="9" t="s">
        <v>186</v>
      </c>
      <c r="F1915" s="9" t="s">
        <v>4303</v>
      </c>
      <c r="G1915" s="9" t="s">
        <v>9114</v>
      </c>
      <c r="H1915" s="2" t="s">
        <v>60</v>
      </c>
      <c r="I1915" s="3">
        <v>36378</v>
      </c>
      <c r="J1915" s="9" t="str">
        <f t="shared" ca="1" si="31"/>
        <v>24 ans</v>
      </c>
      <c r="K1915" s="2" t="s">
        <v>123</v>
      </c>
      <c r="L1915" s="2" t="str">
        <f>"331"</f>
        <v>331</v>
      </c>
      <c r="M1915" s="2"/>
      <c r="N1915" s="2" t="str">
        <f>"RUE CHÉNIER"</f>
        <v>RUE CHÉNIER</v>
      </c>
      <c r="O1915" s="2" t="s">
        <v>8722</v>
      </c>
      <c r="P1915" s="9" t="str">
        <f>VLOOKUP($O1915,'Liste des Villes'!$B$2:$B$1128,1,FALSE)</f>
        <v>Saint-Eustache</v>
      </c>
      <c r="Q1915" s="9" t="str">
        <f>IFERROR($P1915,PROPER(VLOOKUP($O1915,'Villes en erreur'!$A$2:$B$72,2,FALSE)))</f>
        <v>Saint-Eustache</v>
      </c>
      <c r="R1915" s="9" t="s">
        <v>8723</v>
      </c>
      <c r="S1915" s="9" t="str">
        <f>IF(ISBLANK($R1915),"",VLOOKUP($R1915,'Liste des Villes'!$B$2:$H$1128,4,FALSE))</f>
        <v>Laurentides</v>
      </c>
      <c r="T1915" s="2" t="s">
        <v>8834</v>
      </c>
      <c r="U1915" s="2" t="s">
        <v>39</v>
      </c>
      <c r="V1915" s="2" t="s">
        <v>40</v>
      </c>
      <c r="W1915" s="2" t="s">
        <v>9115</v>
      </c>
      <c r="X1915" s="2"/>
      <c r="Y1915" s="2"/>
      <c r="Z1915" s="2"/>
      <c r="AA1915" s="2" t="s">
        <v>127</v>
      </c>
      <c r="AB1915" s="2" t="s">
        <v>73</v>
      </c>
      <c r="AC1915" s="4" t="s">
        <v>44</v>
      </c>
    </row>
    <row r="1916" spans="1:29" x14ac:dyDescent="0.25">
      <c r="A1916" s="1">
        <v>2989</v>
      </c>
      <c r="B1916" s="17" t="s">
        <v>9116</v>
      </c>
      <c r="C1916" s="2" t="s">
        <v>9117</v>
      </c>
      <c r="D1916" s="15" t="s">
        <v>9118</v>
      </c>
      <c r="E1916" s="9" t="s">
        <v>9119</v>
      </c>
      <c r="F1916" s="9" t="s">
        <v>9120</v>
      </c>
      <c r="G1916" s="9" t="s">
        <v>6765</v>
      </c>
      <c r="H1916" s="2" t="s">
        <v>35</v>
      </c>
      <c r="I1916" s="3">
        <v>36368</v>
      </c>
      <c r="J1916" s="9" t="str">
        <f t="shared" ca="1" si="31"/>
        <v>24 ans</v>
      </c>
      <c r="K1916" s="2" t="s">
        <v>123</v>
      </c>
      <c r="L1916" s="2" t="str">
        <f>"327"</f>
        <v>327</v>
      </c>
      <c r="M1916" s="2"/>
      <c r="N1916" s="2" t="str">
        <f>"RUE CHARLES-OLIVIER"</f>
        <v>RUE CHARLES-OLIVIER</v>
      </c>
      <c r="O1916" s="2" t="s">
        <v>8722</v>
      </c>
      <c r="P1916" s="9" t="str">
        <f>VLOOKUP($O1916,'Liste des Villes'!$B$2:$B$1128,1,FALSE)</f>
        <v>Saint-Eustache</v>
      </c>
      <c r="Q1916" s="9" t="str">
        <f>IFERROR($P1916,PROPER(VLOOKUP($O1916,'Villes en erreur'!$A$2:$B$72,2,FALSE)))</f>
        <v>Saint-Eustache</v>
      </c>
      <c r="R1916" s="9" t="s">
        <v>8723</v>
      </c>
      <c r="S1916" s="9" t="str">
        <f>IF(ISBLANK($R1916),"",VLOOKUP($R1916,'Liste des Villes'!$B$2:$H$1128,4,FALSE))</f>
        <v>Laurentides</v>
      </c>
      <c r="T1916" s="2" t="s">
        <v>9020</v>
      </c>
      <c r="U1916" s="2" t="s">
        <v>39</v>
      </c>
      <c r="V1916" s="2" t="s">
        <v>40</v>
      </c>
      <c r="W1916" s="2" t="s">
        <v>9121</v>
      </c>
      <c r="X1916" s="2"/>
      <c r="Y1916" s="2"/>
      <c r="Z1916" s="2"/>
      <c r="AA1916" s="2" t="s">
        <v>127</v>
      </c>
      <c r="AB1916" s="2" t="s">
        <v>73</v>
      </c>
      <c r="AC1916" s="4" t="s">
        <v>44</v>
      </c>
    </row>
    <row r="1917" spans="1:29" x14ac:dyDescent="0.25">
      <c r="A1917" s="1">
        <v>386</v>
      </c>
      <c r="B1917" s="17" t="s">
        <v>9122</v>
      </c>
      <c r="C1917" s="2" t="s">
        <v>9123</v>
      </c>
      <c r="D1917" s="15" t="s">
        <v>1773</v>
      </c>
      <c r="E1917" s="9" t="s">
        <v>5183</v>
      </c>
      <c r="F1917" s="9" t="s">
        <v>9124</v>
      </c>
      <c r="G1917" s="9" t="s">
        <v>9125</v>
      </c>
      <c r="H1917" s="2" t="s">
        <v>60</v>
      </c>
      <c r="I1917" s="3">
        <v>36376</v>
      </c>
      <c r="J1917" s="9" t="str">
        <f t="shared" ca="1" si="31"/>
        <v>24 ans</v>
      </c>
      <c r="K1917" s="2" t="s">
        <v>123</v>
      </c>
      <c r="L1917" s="2" t="str">
        <f>"331"</f>
        <v>331</v>
      </c>
      <c r="M1917" s="2"/>
      <c r="N1917" s="2" t="str">
        <f>"RUE CHÉNIER"</f>
        <v>RUE CHÉNIER</v>
      </c>
      <c r="O1917" s="2" t="s">
        <v>8722</v>
      </c>
      <c r="P1917" s="9" t="str">
        <f>VLOOKUP($O1917,'Liste des Villes'!$B$2:$B$1128,1,FALSE)</f>
        <v>Saint-Eustache</v>
      </c>
      <c r="Q1917" s="9" t="str">
        <f>IFERROR($P1917,PROPER(VLOOKUP($O1917,'Villes en erreur'!$A$2:$B$72,2,FALSE)))</f>
        <v>Saint-Eustache</v>
      </c>
      <c r="R1917" s="9" t="s">
        <v>8723</v>
      </c>
      <c r="S1917" s="9" t="str">
        <f>IF(ISBLANK($R1917),"",VLOOKUP($R1917,'Liste des Villes'!$B$2:$H$1128,4,FALSE))</f>
        <v>Laurentides</v>
      </c>
      <c r="T1917" s="2" t="s">
        <v>9126</v>
      </c>
      <c r="U1917" s="2" t="s">
        <v>39</v>
      </c>
      <c r="V1917" s="2" t="s">
        <v>40</v>
      </c>
      <c r="W1917" s="2" t="s">
        <v>9127</v>
      </c>
      <c r="X1917" s="2"/>
      <c r="Y1917" s="2"/>
      <c r="Z1917" s="2"/>
      <c r="AA1917" s="2" t="s">
        <v>127</v>
      </c>
      <c r="AB1917" s="2" t="s">
        <v>73</v>
      </c>
      <c r="AC1917" s="4" t="s">
        <v>44</v>
      </c>
    </row>
    <row r="1918" spans="1:29" x14ac:dyDescent="0.25">
      <c r="A1918" s="1">
        <v>1644</v>
      </c>
      <c r="B1918" s="17" t="s">
        <v>9128</v>
      </c>
      <c r="C1918" s="2" t="s">
        <v>561</v>
      </c>
      <c r="D1918" s="15" t="s">
        <v>562</v>
      </c>
      <c r="E1918" s="9" t="s">
        <v>563</v>
      </c>
      <c r="F1918" s="9" t="s">
        <v>9129</v>
      </c>
      <c r="G1918" s="9" t="s">
        <v>122</v>
      </c>
      <c r="H1918" s="2" t="s">
        <v>35</v>
      </c>
      <c r="I1918" s="3">
        <v>36358</v>
      </c>
      <c r="J1918" s="9" t="str">
        <f t="shared" ca="1" si="31"/>
        <v>24 ans</v>
      </c>
      <c r="K1918" s="2" t="s">
        <v>123</v>
      </c>
      <c r="L1918" s="2" t="str">
        <f>"321"</f>
        <v>321</v>
      </c>
      <c r="M1918" s="2"/>
      <c r="N1918" s="2" t="str">
        <f>"RUE CHAPLEAU"</f>
        <v>RUE CHAPLEAU</v>
      </c>
      <c r="O1918" s="2" t="s">
        <v>8722</v>
      </c>
      <c r="P1918" s="9" t="str">
        <f>VLOOKUP($O1918,'Liste des Villes'!$B$2:$B$1128,1,FALSE)</f>
        <v>Saint-Eustache</v>
      </c>
      <c r="Q1918" s="9" t="str">
        <f>IFERROR($P1918,PROPER(VLOOKUP($O1918,'Villes en erreur'!$A$2:$B$72,2,FALSE)))</f>
        <v>Saint-Eustache</v>
      </c>
      <c r="R1918" s="9" t="s">
        <v>8723</v>
      </c>
      <c r="S1918" s="9" t="str">
        <f>IF(ISBLANK($R1918),"",VLOOKUP($R1918,'Liste des Villes'!$B$2:$H$1128,4,FALSE))</f>
        <v>Laurentides</v>
      </c>
      <c r="T1918" s="2" t="s">
        <v>8724</v>
      </c>
      <c r="U1918" s="2" t="s">
        <v>39</v>
      </c>
      <c r="V1918" s="2" t="s">
        <v>40</v>
      </c>
      <c r="W1918" s="2" t="s">
        <v>9130</v>
      </c>
      <c r="X1918" s="2"/>
      <c r="Y1918" s="2"/>
      <c r="Z1918" s="2"/>
      <c r="AA1918" s="2" t="s">
        <v>127</v>
      </c>
      <c r="AB1918" s="2" t="s">
        <v>73</v>
      </c>
      <c r="AC1918" s="4" t="s">
        <v>44</v>
      </c>
    </row>
    <row r="1919" spans="1:29" x14ac:dyDescent="0.25">
      <c r="A1919" s="1">
        <v>1455</v>
      </c>
      <c r="B1919" s="17" t="s">
        <v>9131</v>
      </c>
      <c r="C1919" s="2" t="s">
        <v>4171</v>
      </c>
      <c r="D1919" s="15" t="s">
        <v>1398</v>
      </c>
      <c r="E1919" s="9" t="s">
        <v>698</v>
      </c>
      <c r="F1919" s="9" t="s">
        <v>1396</v>
      </c>
      <c r="G1919" s="9" t="s">
        <v>5585</v>
      </c>
      <c r="H1919" s="2" t="s">
        <v>60</v>
      </c>
      <c r="I1919" s="3">
        <v>36392</v>
      </c>
      <c r="J1919" s="9" t="str">
        <f t="shared" ca="1" si="31"/>
        <v>24 ans</v>
      </c>
      <c r="K1919" s="2" t="s">
        <v>123</v>
      </c>
      <c r="L1919" s="2" t="str">
        <f>"340"</f>
        <v>340</v>
      </c>
      <c r="M1919" s="2"/>
      <c r="N1919" s="2" t="str">
        <f>"RUE CORBEIL"</f>
        <v>RUE CORBEIL</v>
      </c>
      <c r="O1919" s="2" t="s">
        <v>8722</v>
      </c>
      <c r="P1919" s="9" t="str">
        <f>VLOOKUP($O1919,'Liste des Villes'!$B$2:$B$1128,1,FALSE)</f>
        <v>Saint-Eustache</v>
      </c>
      <c r="Q1919" s="9" t="str">
        <f>IFERROR($P1919,PROPER(VLOOKUP($O1919,'Villes en erreur'!$A$2:$B$72,2,FALSE)))</f>
        <v>Saint-Eustache</v>
      </c>
      <c r="R1919" s="9" t="s">
        <v>8723</v>
      </c>
      <c r="S1919" s="9" t="str">
        <f>IF(ISBLANK($R1919),"",VLOOKUP($R1919,'Liste des Villes'!$B$2:$H$1128,4,FALSE))</f>
        <v>Laurentides</v>
      </c>
      <c r="T1919" s="2" t="s">
        <v>8743</v>
      </c>
      <c r="U1919" s="2" t="s">
        <v>39</v>
      </c>
      <c r="V1919" s="2" t="s">
        <v>40</v>
      </c>
      <c r="W1919" s="2" t="s">
        <v>9132</v>
      </c>
      <c r="X1919" s="2"/>
      <c r="Y1919" s="2"/>
      <c r="Z1919" s="2"/>
      <c r="AA1919" s="2" t="s">
        <v>127</v>
      </c>
      <c r="AB1919" s="2" t="s">
        <v>73</v>
      </c>
      <c r="AC1919" s="4" t="s">
        <v>44</v>
      </c>
    </row>
    <row r="1920" spans="1:29" x14ac:dyDescent="0.25">
      <c r="A1920" s="1">
        <v>1378</v>
      </c>
      <c r="B1920" s="17" t="s">
        <v>9133</v>
      </c>
      <c r="C1920" s="2" t="s">
        <v>9134</v>
      </c>
      <c r="D1920" s="15" t="s">
        <v>1301</v>
      </c>
      <c r="E1920" s="9" t="s">
        <v>9135</v>
      </c>
      <c r="F1920" s="9" t="s">
        <v>9136</v>
      </c>
      <c r="G1920" s="9" t="s">
        <v>7938</v>
      </c>
      <c r="H1920" s="2" t="s">
        <v>60</v>
      </c>
      <c r="I1920" s="3">
        <v>36391</v>
      </c>
      <c r="J1920" s="9" t="str">
        <f t="shared" ca="1" si="31"/>
        <v>24 ans</v>
      </c>
      <c r="K1920" s="2" t="s">
        <v>123</v>
      </c>
      <c r="L1920" s="2" t="str">
        <f>"340"</f>
        <v>340</v>
      </c>
      <c r="M1920" s="2"/>
      <c r="N1920" s="2" t="str">
        <f>"RUE COLLERETTE"</f>
        <v>RUE COLLERETTE</v>
      </c>
      <c r="O1920" s="2" t="s">
        <v>8722</v>
      </c>
      <c r="P1920" s="9" t="str">
        <f>VLOOKUP($O1920,'Liste des Villes'!$B$2:$B$1128,1,FALSE)</f>
        <v>Saint-Eustache</v>
      </c>
      <c r="Q1920" s="9" t="str">
        <f>IFERROR($P1920,PROPER(VLOOKUP($O1920,'Villes en erreur'!$A$2:$B$72,2,FALSE)))</f>
        <v>Saint-Eustache</v>
      </c>
      <c r="R1920" s="9" t="s">
        <v>8723</v>
      </c>
      <c r="S1920" s="9" t="str">
        <f>IF(ISBLANK($R1920),"",VLOOKUP($R1920,'Liste des Villes'!$B$2:$H$1128,4,FALSE))</f>
        <v>Laurentides</v>
      </c>
      <c r="T1920" s="2" t="s">
        <v>8743</v>
      </c>
      <c r="U1920" s="2" t="s">
        <v>39</v>
      </c>
      <c r="V1920" s="2" t="s">
        <v>40</v>
      </c>
      <c r="W1920" s="2" t="s">
        <v>9137</v>
      </c>
      <c r="X1920" s="2"/>
      <c r="Y1920" s="2"/>
      <c r="Z1920" s="2"/>
      <c r="AA1920" s="2" t="s">
        <v>127</v>
      </c>
      <c r="AB1920" s="2" t="s">
        <v>73</v>
      </c>
      <c r="AC1920" s="4" t="s">
        <v>44</v>
      </c>
    </row>
    <row r="1921" spans="1:29" x14ac:dyDescent="0.25">
      <c r="A1921" s="1">
        <v>1243</v>
      </c>
      <c r="B1921" s="17" t="s">
        <v>9138</v>
      </c>
      <c r="C1921" s="2" t="s">
        <v>9139</v>
      </c>
      <c r="D1921" s="15" t="s">
        <v>9140</v>
      </c>
      <c r="E1921" s="9" t="s">
        <v>4106</v>
      </c>
      <c r="F1921" s="9" t="s">
        <v>6634</v>
      </c>
      <c r="G1921" s="9" t="s">
        <v>9141</v>
      </c>
      <c r="H1921" s="2" t="s">
        <v>60</v>
      </c>
      <c r="I1921" s="3">
        <v>36375</v>
      </c>
      <c r="J1921" s="9" t="str">
        <f t="shared" ca="1" si="31"/>
        <v>24 ans</v>
      </c>
      <c r="K1921" s="2" t="s">
        <v>123</v>
      </c>
      <c r="L1921" s="2" t="str">
        <f>"329"</f>
        <v>329</v>
      </c>
      <c r="M1921" s="2"/>
      <c r="N1921" s="2" t="str">
        <f>"RUE CHAUMONTEL"</f>
        <v>RUE CHAUMONTEL</v>
      </c>
      <c r="O1921" s="2" t="s">
        <v>8722</v>
      </c>
      <c r="P1921" s="9" t="str">
        <f>VLOOKUP($O1921,'Liste des Villes'!$B$2:$B$1128,1,FALSE)</f>
        <v>Saint-Eustache</v>
      </c>
      <c r="Q1921" s="9" t="str">
        <f>IFERROR($P1921,PROPER(VLOOKUP($O1921,'Villes en erreur'!$A$2:$B$72,2,FALSE)))</f>
        <v>Saint-Eustache</v>
      </c>
      <c r="R1921" s="9" t="s">
        <v>8723</v>
      </c>
      <c r="S1921" s="9" t="str">
        <f>IF(ISBLANK($R1921),"",VLOOKUP($R1921,'Liste des Villes'!$B$2:$H$1128,4,FALSE))</f>
        <v>Laurentides</v>
      </c>
      <c r="T1921" s="2" t="s">
        <v>9142</v>
      </c>
      <c r="U1921" s="2" t="s">
        <v>39</v>
      </c>
      <c r="V1921" s="2" t="s">
        <v>40</v>
      </c>
      <c r="W1921" s="2" t="s">
        <v>9143</v>
      </c>
      <c r="X1921" s="2"/>
      <c r="Y1921" s="2"/>
      <c r="Z1921" s="2"/>
      <c r="AA1921" s="2" t="s">
        <v>127</v>
      </c>
      <c r="AB1921" s="2" t="s">
        <v>73</v>
      </c>
      <c r="AC1921" s="4" t="s">
        <v>44</v>
      </c>
    </row>
    <row r="1922" spans="1:29" x14ac:dyDescent="0.25">
      <c r="A1922" s="1">
        <v>585</v>
      </c>
      <c r="B1922" s="17" t="s">
        <v>9144</v>
      </c>
      <c r="C1922" s="2" t="s">
        <v>9145</v>
      </c>
      <c r="D1922" s="15" t="s">
        <v>4118</v>
      </c>
      <c r="E1922" s="9" t="s">
        <v>9146</v>
      </c>
      <c r="F1922" s="9" t="s">
        <v>2837</v>
      </c>
      <c r="G1922" s="9" t="s">
        <v>8235</v>
      </c>
      <c r="H1922" s="2" t="s">
        <v>60</v>
      </c>
      <c r="I1922" s="3">
        <v>36405</v>
      </c>
      <c r="J1922" s="9" t="str">
        <f t="shared" ref="J1922:J1985" ca="1" si="32">_xlfn.CONCAT(INT((TODAY()-$I1922)/365.25)," ans")</f>
        <v>23 ans</v>
      </c>
      <c r="K1922" s="2" t="s">
        <v>123</v>
      </c>
      <c r="L1922" s="2" t="str">
        <f>"344"</f>
        <v>344</v>
      </c>
      <c r="M1922" s="2"/>
      <c r="N1922" s="2" t="str">
        <f>"RUE COURSOL"</f>
        <v>RUE COURSOL</v>
      </c>
      <c r="O1922" s="2" t="s">
        <v>8722</v>
      </c>
      <c r="P1922" s="9" t="str">
        <f>VLOOKUP($O1922,'Liste des Villes'!$B$2:$B$1128,1,FALSE)</f>
        <v>Saint-Eustache</v>
      </c>
      <c r="Q1922" s="9" t="str">
        <f>IFERROR($P1922,PROPER(VLOOKUP($O1922,'Villes en erreur'!$A$2:$B$72,2,FALSE)))</f>
        <v>Saint-Eustache</v>
      </c>
      <c r="R1922" s="9" t="s">
        <v>8723</v>
      </c>
      <c r="S1922" s="9" t="str">
        <f>IF(ISBLANK($R1922),"",VLOOKUP($R1922,'Liste des Villes'!$B$2:$H$1128,4,FALSE))</f>
        <v>Laurentides</v>
      </c>
      <c r="T1922" s="2" t="s">
        <v>8777</v>
      </c>
      <c r="U1922" s="2" t="s">
        <v>39</v>
      </c>
      <c r="V1922" s="2" t="s">
        <v>40</v>
      </c>
      <c r="W1922" s="2" t="s">
        <v>9147</v>
      </c>
      <c r="X1922" s="2"/>
      <c r="Y1922" s="2"/>
      <c r="Z1922" s="2"/>
      <c r="AA1922" s="2" t="s">
        <v>127</v>
      </c>
      <c r="AB1922" s="2" t="s">
        <v>73</v>
      </c>
      <c r="AC1922" s="4" t="s">
        <v>44</v>
      </c>
    </row>
    <row r="1923" spans="1:29" x14ac:dyDescent="0.25">
      <c r="A1923" s="1">
        <v>1284</v>
      </c>
      <c r="B1923" s="17" t="s">
        <v>9148</v>
      </c>
      <c r="C1923" s="2" t="s">
        <v>2846</v>
      </c>
      <c r="D1923" s="15" t="s">
        <v>1360</v>
      </c>
      <c r="E1923" s="9" t="s">
        <v>2847</v>
      </c>
      <c r="F1923" s="9" t="s">
        <v>1781</v>
      </c>
      <c r="G1923" s="9" t="s">
        <v>4988</v>
      </c>
      <c r="H1923" s="2" t="s">
        <v>35</v>
      </c>
      <c r="I1923" s="3">
        <v>36429</v>
      </c>
      <c r="J1923" s="9" t="str">
        <f t="shared" ca="1" si="32"/>
        <v>23 ans</v>
      </c>
      <c r="K1923" s="2" t="s">
        <v>123</v>
      </c>
      <c r="L1923" s="2" t="str">
        <f>"357"</f>
        <v>357</v>
      </c>
      <c r="M1923" s="2"/>
      <c r="N1923" s="2" t="str">
        <f>"RUE DAMIEN-MASSON"</f>
        <v>RUE DAMIEN-MASSON</v>
      </c>
      <c r="O1923" s="2" t="s">
        <v>8722</v>
      </c>
      <c r="P1923" s="9" t="str">
        <f>VLOOKUP($O1923,'Liste des Villes'!$B$2:$B$1128,1,FALSE)</f>
        <v>Saint-Eustache</v>
      </c>
      <c r="Q1923" s="9" t="str">
        <f>IFERROR($P1923,PROPER(VLOOKUP($O1923,'Villes en erreur'!$A$2:$B$72,2,FALSE)))</f>
        <v>Saint-Eustache</v>
      </c>
      <c r="R1923" s="9" t="s">
        <v>8723</v>
      </c>
      <c r="S1923" s="9" t="str">
        <f>IF(ISBLANK($R1923),"",VLOOKUP($R1923,'Liste des Villes'!$B$2:$H$1128,4,FALSE))</f>
        <v>Laurentides</v>
      </c>
      <c r="T1923" s="2" t="s">
        <v>8869</v>
      </c>
      <c r="U1923" s="2" t="s">
        <v>39</v>
      </c>
      <c r="V1923" s="2" t="s">
        <v>40</v>
      </c>
      <c r="W1923" s="2" t="s">
        <v>9149</v>
      </c>
      <c r="X1923" s="2"/>
      <c r="Y1923" s="2"/>
      <c r="Z1923" s="2"/>
      <c r="AA1923" s="2" t="s">
        <v>127</v>
      </c>
      <c r="AB1923" s="2" t="s">
        <v>73</v>
      </c>
      <c r="AC1923" s="4" t="s">
        <v>44</v>
      </c>
    </row>
    <row r="1924" spans="1:29" x14ac:dyDescent="0.25">
      <c r="A1924" s="1">
        <v>458</v>
      </c>
      <c r="B1924" s="17" t="s">
        <v>9150</v>
      </c>
      <c r="C1924" s="2" t="s">
        <v>4637</v>
      </c>
      <c r="D1924" s="15" t="s">
        <v>2780</v>
      </c>
      <c r="E1924" s="9" t="s">
        <v>172</v>
      </c>
      <c r="F1924" s="9" t="s">
        <v>2778</v>
      </c>
      <c r="G1924" s="9" t="s">
        <v>9151</v>
      </c>
      <c r="H1924" s="2" t="s">
        <v>35</v>
      </c>
      <c r="I1924" s="3">
        <v>36420</v>
      </c>
      <c r="J1924" s="9" t="str">
        <f t="shared" ca="1" si="32"/>
        <v>23 ans</v>
      </c>
      <c r="K1924" s="2" t="s">
        <v>123</v>
      </c>
      <c r="L1924" s="2" t="str">
        <f>"353"</f>
        <v>353</v>
      </c>
      <c r="M1924" s="2"/>
      <c r="N1924" s="2" t="str">
        <f>"RUE D'ALENÇON"</f>
        <v>RUE D'ALENÇON</v>
      </c>
      <c r="O1924" s="2" t="s">
        <v>8722</v>
      </c>
      <c r="P1924" s="9" t="str">
        <f>VLOOKUP($O1924,'Liste des Villes'!$B$2:$B$1128,1,FALSE)</f>
        <v>Saint-Eustache</v>
      </c>
      <c r="Q1924" s="9" t="str">
        <f>IFERROR($P1924,PROPER(VLOOKUP($O1924,'Villes en erreur'!$A$2:$B$72,2,FALSE)))</f>
        <v>Saint-Eustache</v>
      </c>
      <c r="R1924" s="9" t="s">
        <v>8723</v>
      </c>
      <c r="S1924" s="9" t="str">
        <f>IF(ISBLANK($R1924),"",VLOOKUP($R1924,'Liste des Villes'!$B$2:$H$1128,4,FALSE))</f>
        <v>Laurentides</v>
      </c>
      <c r="T1924" s="2" t="s">
        <v>8734</v>
      </c>
      <c r="U1924" s="2" t="s">
        <v>39</v>
      </c>
      <c r="V1924" s="2" t="s">
        <v>40</v>
      </c>
      <c r="W1924" s="2" t="s">
        <v>9152</v>
      </c>
      <c r="X1924" s="2"/>
      <c r="Y1924" s="2"/>
      <c r="Z1924" s="2"/>
      <c r="AA1924" s="2" t="s">
        <v>127</v>
      </c>
      <c r="AB1924" s="2" t="s">
        <v>73</v>
      </c>
      <c r="AC1924" s="4" t="s">
        <v>44</v>
      </c>
    </row>
    <row r="1925" spans="1:29" x14ac:dyDescent="0.25">
      <c r="A1925" s="1">
        <v>2598</v>
      </c>
      <c r="B1925" s="17" t="s">
        <v>9153</v>
      </c>
      <c r="C1925" s="2" t="s">
        <v>9154</v>
      </c>
      <c r="D1925" s="15" t="s">
        <v>8236</v>
      </c>
      <c r="E1925" s="9" t="s">
        <v>165</v>
      </c>
      <c r="F1925" s="9" t="s">
        <v>3646</v>
      </c>
      <c r="G1925" s="9" t="s">
        <v>1891</v>
      </c>
      <c r="H1925" s="2" t="s">
        <v>60</v>
      </c>
      <c r="I1925" s="3">
        <v>36383</v>
      </c>
      <c r="J1925" s="9" t="str">
        <f t="shared" ca="1" si="32"/>
        <v>24 ans</v>
      </c>
      <c r="K1925" s="2" t="s">
        <v>123</v>
      </c>
      <c r="L1925" s="2" t="str">
        <f>"337"</f>
        <v>337</v>
      </c>
      <c r="M1925" s="2"/>
      <c r="N1925" s="2" t="str">
        <f>"RUE CLÉMENT"</f>
        <v>RUE CLÉMENT</v>
      </c>
      <c r="O1925" s="2" t="s">
        <v>8722</v>
      </c>
      <c r="P1925" s="9" t="str">
        <f>VLOOKUP($O1925,'Liste des Villes'!$B$2:$B$1128,1,FALSE)</f>
        <v>Saint-Eustache</v>
      </c>
      <c r="Q1925" s="9" t="str">
        <f>IFERROR($P1925,PROPER(VLOOKUP($O1925,'Villes en erreur'!$A$2:$B$72,2,FALSE)))</f>
        <v>Saint-Eustache</v>
      </c>
      <c r="R1925" s="9" t="s">
        <v>8723</v>
      </c>
      <c r="S1925" s="9" t="str">
        <f>IF(ISBLANK($R1925),"",VLOOKUP($R1925,'Liste des Villes'!$B$2:$H$1128,4,FALSE))</f>
        <v>Laurentides</v>
      </c>
      <c r="T1925" s="2" t="s">
        <v>8748</v>
      </c>
      <c r="U1925" s="2" t="s">
        <v>39</v>
      </c>
      <c r="V1925" s="2" t="s">
        <v>40</v>
      </c>
      <c r="W1925" s="2" t="s">
        <v>9155</v>
      </c>
      <c r="X1925" s="2"/>
      <c r="Y1925" s="2"/>
      <c r="Z1925" s="2"/>
      <c r="AA1925" s="2" t="s">
        <v>127</v>
      </c>
      <c r="AB1925" s="2" t="s">
        <v>73</v>
      </c>
      <c r="AC1925" s="4" t="s">
        <v>44</v>
      </c>
    </row>
    <row r="1926" spans="1:29" x14ac:dyDescent="0.25">
      <c r="A1926" s="1">
        <v>1812</v>
      </c>
      <c r="B1926" s="17" t="s">
        <v>9156</v>
      </c>
      <c r="C1926" s="2" t="s">
        <v>9157</v>
      </c>
      <c r="D1926" s="15" t="s">
        <v>9158</v>
      </c>
      <c r="E1926" s="9" t="s">
        <v>929</v>
      </c>
      <c r="F1926" s="9" t="s">
        <v>2983</v>
      </c>
      <c r="G1926" s="9" t="s">
        <v>122</v>
      </c>
      <c r="H1926" s="2" t="s">
        <v>35</v>
      </c>
      <c r="I1926" s="3">
        <v>36359</v>
      </c>
      <c r="J1926" s="9" t="str">
        <f t="shared" ca="1" si="32"/>
        <v>24 ans</v>
      </c>
      <c r="K1926" s="2" t="s">
        <v>123</v>
      </c>
      <c r="L1926" s="2" t="str">
        <f>"322"</f>
        <v>322</v>
      </c>
      <c r="M1926" s="2"/>
      <c r="N1926" s="2" t="str">
        <f>"RUE CHAPLEAU"</f>
        <v>RUE CHAPLEAU</v>
      </c>
      <c r="O1926" s="2" t="s">
        <v>8722</v>
      </c>
      <c r="P1926" s="9" t="str">
        <f>VLOOKUP($O1926,'Liste des Villes'!$B$2:$B$1128,1,FALSE)</f>
        <v>Saint-Eustache</v>
      </c>
      <c r="Q1926" s="9" t="str">
        <f>IFERROR($P1926,PROPER(VLOOKUP($O1926,'Villes en erreur'!$A$2:$B$72,2,FALSE)))</f>
        <v>Saint-Eustache</v>
      </c>
      <c r="R1926" s="9" t="s">
        <v>8723</v>
      </c>
      <c r="S1926" s="9" t="str">
        <f>IF(ISBLANK($R1926),"",VLOOKUP($R1926,'Liste des Villes'!$B$2:$H$1128,4,FALSE))</f>
        <v>Laurentides</v>
      </c>
      <c r="T1926" s="2" t="s">
        <v>8967</v>
      </c>
      <c r="U1926" s="2" t="s">
        <v>39</v>
      </c>
      <c r="V1926" s="2" t="s">
        <v>40</v>
      </c>
      <c r="W1926" s="2" t="s">
        <v>9159</v>
      </c>
      <c r="X1926" s="2"/>
      <c r="Y1926" s="2"/>
      <c r="Z1926" s="2"/>
      <c r="AA1926" s="2" t="s">
        <v>127</v>
      </c>
      <c r="AB1926" s="2" t="s">
        <v>73</v>
      </c>
      <c r="AC1926" s="4" t="s">
        <v>44</v>
      </c>
    </row>
    <row r="1927" spans="1:29" x14ac:dyDescent="0.25">
      <c r="A1927" s="1">
        <v>2747</v>
      </c>
      <c r="B1927" s="17" t="s">
        <v>9160</v>
      </c>
      <c r="C1927" s="2" t="s">
        <v>9161</v>
      </c>
      <c r="D1927" s="15" t="s">
        <v>9162</v>
      </c>
      <c r="E1927" s="9" t="s">
        <v>9163</v>
      </c>
      <c r="F1927" s="9" t="s">
        <v>9164</v>
      </c>
      <c r="G1927" s="9" t="s">
        <v>9165</v>
      </c>
      <c r="H1927" s="2" t="s">
        <v>60</v>
      </c>
      <c r="I1927" s="3">
        <v>36368</v>
      </c>
      <c r="J1927" s="9" t="str">
        <f t="shared" ca="1" si="32"/>
        <v>24 ans</v>
      </c>
      <c r="K1927" s="2" t="s">
        <v>123</v>
      </c>
      <c r="L1927" s="2" t="str">
        <f>"327"</f>
        <v>327</v>
      </c>
      <c r="M1927" s="2"/>
      <c r="N1927" s="2" t="str">
        <f>"RUE CHARLES-HUOT"</f>
        <v>RUE CHARLES-HUOT</v>
      </c>
      <c r="O1927" s="2" t="s">
        <v>8722</v>
      </c>
      <c r="P1927" s="9" t="str">
        <f>VLOOKUP($O1927,'Liste des Villes'!$B$2:$B$1128,1,FALSE)</f>
        <v>Saint-Eustache</v>
      </c>
      <c r="Q1927" s="9" t="str">
        <f>IFERROR($P1927,PROPER(VLOOKUP($O1927,'Villes en erreur'!$A$2:$B$72,2,FALSE)))</f>
        <v>Saint-Eustache</v>
      </c>
      <c r="R1927" s="9" t="s">
        <v>8723</v>
      </c>
      <c r="S1927" s="9" t="str">
        <f>IF(ISBLANK($R1927),"",VLOOKUP($R1927,'Liste des Villes'!$B$2:$H$1128,4,FALSE))</f>
        <v>Laurentides</v>
      </c>
      <c r="T1927" s="2" t="s">
        <v>9166</v>
      </c>
      <c r="U1927" s="2" t="s">
        <v>39</v>
      </c>
      <c r="V1927" s="2" t="s">
        <v>40</v>
      </c>
      <c r="W1927" s="2" t="s">
        <v>9167</v>
      </c>
      <c r="X1927" s="2"/>
      <c r="Y1927" s="2"/>
      <c r="Z1927" s="2"/>
      <c r="AA1927" s="2" t="s">
        <v>127</v>
      </c>
      <c r="AB1927" s="2" t="s">
        <v>73</v>
      </c>
      <c r="AC1927" s="4" t="s">
        <v>44</v>
      </c>
    </row>
    <row r="1928" spans="1:29" x14ac:dyDescent="0.25">
      <c r="A1928" s="1">
        <v>3789</v>
      </c>
      <c r="B1928" s="17" t="s">
        <v>9168</v>
      </c>
      <c r="C1928" s="2" t="s">
        <v>9169</v>
      </c>
      <c r="D1928" s="15" t="s">
        <v>5394</v>
      </c>
      <c r="E1928" s="9" t="s">
        <v>9170</v>
      </c>
      <c r="F1928" s="9" t="s">
        <v>2698</v>
      </c>
      <c r="G1928" s="9" t="s">
        <v>8267</v>
      </c>
      <c r="H1928" s="2" t="s">
        <v>35</v>
      </c>
      <c r="I1928" s="3">
        <v>36396</v>
      </c>
      <c r="J1928" s="9" t="str">
        <f t="shared" ca="1" si="32"/>
        <v>24 ans</v>
      </c>
      <c r="K1928" s="2" t="s">
        <v>123</v>
      </c>
      <c r="L1928" s="2" t="str">
        <f>"342"</f>
        <v>342</v>
      </c>
      <c r="M1928" s="2"/>
      <c r="N1928" s="2" t="str">
        <f>"RUE CORINNE-DUPUIS"</f>
        <v>RUE CORINNE-DUPUIS</v>
      </c>
      <c r="O1928" s="2" t="s">
        <v>8722</v>
      </c>
      <c r="P1928" s="9" t="str">
        <f>VLOOKUP($O1928,'Liste des Villes'!$B$2:$B$1128,1,FALSE)</f>
        <v>Saint-Eustache</v>
      </c>
      <c r="Q1928" s="9" t="str">
        <f>IFERROR($P1928,PROPER(VLOOKUP($O1928,'Villes en erreur'!$A$2:$B$72,2,FALSE)))</f>
        <v>Saint-Eustache</v>
      </c>
      <c r="R1928" s="9" t="s">
        <v>8723</v>
      </c>
      <c r="S1928" s="9" t="str">
        <f>IF(ISBLANK($R1928),"",VLOOKUP($R1928,'Liste des Villes'!$B$2:$H$1128,4,FALSE))</f>
        <v>Laurentides</v>
      </c>
      <c r="T1928" s="2" t="s">
        <v>8983</v>
      </c>
      <c r="U1928" s="2" t="s">
        <v>39</v>
      </c>
      <c r="V1928" s="2" t="s">
        <v>40</v>
      </c>
      <c r="W1928" s="2" t="s">
        <v>9171</v>
      </c>
      <c r="X1928" s="2"/>
      <c r="Y1928" s="2"/>
      <c r="Z1928" s="2"/>
      <c r="AA1928" s="2" t="s">
        <v>127</v>
      </c>
      <c r="AB1928" s="2" t="s">
        <v>73</v>
      </c>
      <c r="AC1928" s="4" t="s">
        <v>44</v>
      </c>
    </row>
    <row r="1929" spans="1:29" x14ac:dyDescent="0.25">
      <c r="A1929" s="1">
        <v>1951</v>
      </c>
      <c r="B1929" s="17" t="s">
        <v>9172</v>
      </c>
      <c r="C1929" s="2" t="s">
        <v>9173</v>
      </c>
      <c r="D1929" s="15" t="s">
        <v>7998</v>
      </c>
      <c r="E1929" s="9" t="s">
        <v>9174</v>
      </c>
      <c r="F1929" s="9" t="s">
        <v>7996</v>
      </c>
      <c r="G1929" s="9" t="s">
        <v>9175</v>
      </c>
      <c r="H1929" s="2" t="s">
        <v>60</v>
      </c>
      <c r="I1929" s="3">
        <v>36384</v>
      </c>
      <c r="J1929" s="9" t="str">
        <f t="shared" ca="1" si="32"/>
        <v>24 ans</v>
      </c>
      <c r="K1929" s="2" t="s">
        <v>123</v>
      </c>
      <c r="L1929" s="2" t="str">
        <f>"337"</f>
        <v>337</v>
      </c>
      <c r="M1929" s="2"/>
      <c r="N1929" s="2" t="str">
        <f>"RUE CLÉMENT"</f>
        <v>RUE CLÉMENT</v>
      </c>
      <c r="O1929" s="2" t="s">
        <v>8722</v>
      </c>
      <c r="P1929" s="9" t="str">
        <f>VLOOKUP($O1929,'Liste des Villes'!$B$2:$B$1128,1,FALSE)</f>
        <v>Saint-Eustache</v>
      </c>
      <c r="Q1929" s="9" t="str">
        <f>IFERROR($P1929,PROPER(VLOOKUP($O1929,'Villes en erreur'!$A$2:$B$72,2,FALSE)))</f>
        <v>Saint-Eustache</v>
      </c>
      <c r="R1929" s="9" t="s">
        <v>8723</v>
      </c>
      <c r="S1929" s="9" t="str">
        <f>IF(ISBLANK($R1929),"",VLOOKUP($R1929,'Liste des Villes'!$B$2:$H$1128,4,FALSE))</f>
        <v>Laurentides</v>
      </c>
      <c r="T1929" s="2" t="s">
        <v>8765</v>
      </c>
      <c r="U1929" s="2" t="s">
        <v>39</v>
      </c>
      <c r="V1929" s="2" t="s">
        <v>40</v>
      </c>
      <c r="W1929" s="2" t="s">
        <v>9176</v>
      </c>
      <c r="X1929" s="2"/>
      <c r="Y1929" s="2"/>
      <c r="Z1929" s="2"/>
      <c r="AA1929" s="2" t="s">
        <v>127</v>
      </c>
      <c r="AB1929" s="2" t="s">
        <v>73</v>
      </c>
      <c r="AC1929" s="4" t="s">
        <v>44</v>
      </c>
    </row>
    <row r="1930" spans="1:29" x14ac:dyDescent="0.25">
      <c r="A1930" s="1">
        <v>269</v>
      </c>
      <c r="B1930" s="17" t="s">
        <v>9177</v>
      </c>
      <c r="C1930" s="2" t="s">
        <v>9178</v>
      </c>
      <c r="D1930" s="15" t="s">
        <v>460</v>
      </c>
      <c r="E1930" s="9" t="s">
        <v>3184</v>
      </c>
      <c r="F1930" s="9" t="s">
        <v>462</v>
      </c>
      <c r="G1930" s="9" t="s">
        <v>4238</v>
      </c>
      <c r="H1930" s="2" t="s">
        <v>35</v>
      </c>
      <c r="I1930" s="3">
        <v>36365</v>
      </c>
      <c r="J1930" s="9" t="str">
        <f t="shared" ca="1" si="32"/>
        <v>24 ans</v>
      </c>
      <c r="K1930" s="2" t="s">
        <v>123</v>
      </c>
      <c r="L1930" s="2" t="str">
        <f>"324"</f>
        <v>324</v>
      </c>
      <c r="M1930" s="2"/>
      <c r="N1930" s="2" t="str">
        <f>"RUE CHARLES"</f>
        <v>RUE CHARLES</v>
      </c>
      <c r="O1930" s="2" t="s">
        <v>8722</v>
      </c>
      <c r="P1930" s="9" t="str">
        <f>VLOOKUP($O1930,'Liste des Villes'!$B$2:$B$1128,1,FALSE)</f>
        <v>Saint-Eustache</v>
      </c>
      <c r="Q1930" s="9" t="str">
        <f>IFERROR($P1930,PROPER(VLOOKUP($O1930,'Villes en erreur'!$A$2:$B$72,2,FALSE)))</f>
        <v>Saint-Eustache</v>
      </c>
      <c r="R1930" s="9" t="s">
        <v>8723</v>
      </c>
      <c r="S1930" s="9" t="str">
        <f>IF(ISBLANK($R1930),"",VLOOKUP($R1930,'Liste des Villes'!$B$2:$H$1128,4,FALSE))</f>
        <v>Laurentides</v>
      </c>
      <c r="T1930" s="2" t="s">
        <v>8789</v>
      </c>
      <c r="U1930" s="2" t="s">
        <v>39</v>
      </c>
      <c r="V1930" s="2" t="s">
        <v>40</v>
      </c>
      <c r="W1930" s="2" t="s">
        <v>9179</v>
      </c>
      <c r="X1930" s="2"/>
      <c r="Y1930" s="2"/>
      <c r="Z1930" s="2"/>
      <c r="AA1930" s="2" t="s">
        <v>127</v>
      </c>
      <c r="AB1930" s="2" t="s">
        <v>73</v>
      </c>
      <c r="AC1930" s="4" t="s">
        <v>44</v>
      </c>
    </row>
    <row r="1931" spans="1:29" x14ac:dyDescent="0.25">
      <c r="A1931" s="1">
        <v>995</v>
      </c>
      <c r="B1931" s="17" t="s">
        <v>9180</v>
      </c>
      <c r="C1931" s="2" t="s">
        <v>9181</v>
      </c>
      <c r="D1931" s="15" t="s">
        <v>4835</v>
      </c>
      <c r="E1931" s="9" t="s">
        <v>4324</v>
      </c>
      <c r="F1931" s="9" t="s">
        <v>9182</v>
      </c>
      <c r="G1931" s="9" t="s">
        <v>4716</v>
      </c>
      <c r="H1931" s="2" t="s">
        <v>35</v>
      </c>
      <c r="I1931" s="3">
        <v>36468</v>
      </c>
      <c r="J1931" s="9" t="str">
        <f t="shared" ca="1" si="32"/>
        <v>23 ans</v>
      </c>
      <c r="K1931" s="2" t="s">
        <v>123</v>
      </c>
      <c r="L1931" s="2" t="str">
        <f>"385"</f>
        <v>385</v>
      </c>
      <c r="M1931" s="2"/>
      <c r="N1931" s="2" t="str">
        <f>"RUE DE CHAMBORD"</f>
        <v>RUE DE CHAMBORD</v>
      </c>
      <c r="O1931" s="2" t="s">
        <v>9183</v>
      </c>
      <c r="P1931" s="9" t="str">
        <f>VLOOKUP($O1931,'Liste des Villes'!$B$2:$B$1128,1,FALSE)</f>
        <v>Sainte-Thérèse</v>
      </c>
      <c r="Q1931" s="9" t="str">
        <f>IFERROR($P1931,PROPER(VLOOKUP($O1931,'Villes en erreur'!$A$2:$B$72,2,FALSE)))</f>
        <v>Sainte-Thérèse</v>
      </c>
      <c r="R1931" s="9" t="s">
        <v>9184</v>
      </c>
      <c r="S1931" s="9" t="str">
        <f>IF(ISBLANK($R1931),"",VLOOKUP($R1931,'Liste des Villes'!$B$2:$H$1128,4,FALSE))</f>
        <v>Laurentides</v>
      </c>
      <c r="T1931" s="2" t="s">
        <v>9185</v>
      </c>
      <c r="U1931" s="2" t="s">
        <v>39</v>
      </c>
      <c r="V1931" s="2" t="s">
        <v>40</v>
      </c>
      <c r="W1931" s="2" t="s">
        <v>9186</v>
      </c>
      <c r="X1931" s="2"/>
      <c r="Y1931" s="2"/>
      <c r="Z1931" s="2"/>
      <c r="AA1931" s="2" t="s">
        <v>9187</v>
      </c>
      <c r="AB1931" s="2" t="s">
        <v>73</v>
      </c>
      <c r="AC1931" s="4" t="s">
        <v>44</v>
      </c>
    </row>
    <row r="1932" spans="1:29" x14ac:dyDescent="0.25">
      <c r="A1932" s="1">
        <v>1408</v>
      </c>
      <c r="B1932" s="17" t="s">
        <v>9188</v>
      </c>
      <c r="C1932" s="2" t="s">
        <v>5633</v>
      </c>
      <c r="D1932" s="15" t="s">
        <v>5634</v>
      </c>
      <c r="E1932" s="9" t="s">
        <v>4320</v>
      </c>
      <c r="F1932" s="9" t="s">
        <v>9189</v>
      </c>
      <c r="G1932" s="9" t="s">
        <v>5779</v>
      </c>
      <c r="H1932" s="2" t="s">
        <v>60</v>
      </c>
      <c r="I1932" s="3">
        <v>36472</v>
      </c>
      <c r="J1932" s="9" t="str">
        <f t="shared" ca="1" si="32"/>
        <v>23 ans</v>
      </c>
      <c r="K1932" s="2" t="s">
        <v>123</v>
      </c>
      <c r="L1932" s="2" t="str">
        <f>"388"</f>
        <v>388</v>
      </c>
      <c r="M1932" s="2"/>
      <c r="N1932" s="2" t="str">
        <f>"RUE DE CHANTILLY"</f>
        <v>RUE DE CHANTILLY</v>
      </c>
      <c r="O1932" s="2" t="s">
        <v>9183</v>
      </c>
      <c r="P1932" s="9" t="str">
        <f>VLOOKUP($O1932,'Liste des Villes'!$B$2:$B$1128,1,FALSE)</f>
        <v>Sainte-Thérèse</v>
      </c>
      <c r="Q1932" s="9" t="str">
        <f>IFERROR($P1932,PROPER(VLOOKUP($O1932,'Villes en erreur'!$A$2:$B$72,2,FALSE)))</f>
        <v>Sainte-Thérèse</v>
      </c>
      <c r="R1932" s="9" t="s">
        <v>9184</v>
      </c>
      <c r="S1932" s="9" t="str">
        <f>IF(ISBLANK($R1932),"",VLOOKUP($R1932,'Liste des Villes'!$B$2:$H$1128,4,FALSE))</f>
        <v>Laurentides</v>
      </c>
      <c r="T1932" s="2" t="s">
        <v>9190</v>
      </c>
      <c r="U1932" s="2" t="s">
        <v>39</v>
      </c>
      <c r="V1932" s="2" t="s">
        <v>40</v>
      </c>
      <c r="W1932" s="2" t="s">
        <v>9191</v>
      </c>
      <c r="X1932" s="2"/>
      <c r="Y1932" s="2"/>
      <c r="Z1932" s="2"/>
      <c r="AA1932" s="2" t="s">
        <v>9187</v>
      </c>
      <c r="AB1932" s="2" t="s">
        <v>73</v>
      </c>
      <c r="AC1932" s="4" t="s">
        <v>44</v>
      </c>
    </row>
    <row r="1933" spans="1:29" x14ac:dyDescent="0.25">
      <c r="A1933" s="1">
        <v>371</v>
      </c>
      <c r="B1933" s="17" t="s">
        <v>9192</v>
      </c>
      <c r="C1933" s="2" t="s">
        <v>1435</v>
      </c>
      <c r="D1933" s="15" t="s">
        <v>1436</v>
      </c>
      <c r="E1933" s="9" t="s">
        <v>99</v>
      </c>
      <c r="F1933" s="9" t="s">
        <v>100</v>
      </c>
      <c r="G1933" s="9" t="s">
        <v>8552</v>
      </c>
      <c r="H1933" s="2" t="s">
        <v>35</v>
      </c>
      <c r="I1933" s="3">
        <v>36438</v>
      </c>
      <c r="J1933" s="9" t="str">
        <f t="shared" ca="1" si="32"/>
        <v>23 ans</v>
      </c>
      <c r="K1933" s="2" t="s">
        <v>123</v>
      </c>
      <c r="L1933" s="2" t="str">
        <f>"366"</f>
        <v>366</v>
      </c>
      <c r="M1933" s="2"/>
      <c r="N1933" s="2" t="str">
        <f>"RUE DE BEAUFORT"</f>
        <v>RUE DE BEAUFORT</v>
      </c>
      <c r="O1933" s="2" t="s">
        <v>9183</v>
      </c>
      <c r="P1933" s="9" t="str">
        <f>VLOOKUP($O1933,'Liste des Villes'!$B$2:$B$1128,1,FALSE)</f>
        <v>Sainte-Thérèse</v>
      </c>
      <c r="Q1933" s="9" t="str">
        <f>IFERROR($P1933,PROPER(VLOOKUP($O1933,'Villes en erreur'!$A$2:$B$72,2,FALSE)))</f>
        <v>Sainte-Thérèse</v>
      </c>
      <c r="R1933" s="9" t="s">
        <v>9184</v>
      </c>
      <c r="S1933" s="9" t="str">
        <f>IF(ISBLANK($R1933),"",VLOOKUP($R1933,'Liste des Villes'!$B$2:$H$1128,4,FALSE))</f>
        <v>Laurentides</v>
      </c>
      <c r="T1933" s="2" t="s">
        <v>9193</v>
      </c>
      <c r="U1933" s="2" t="s">
        <v>39</v>
      </c>
      <c r="V1933" s="2" t="s">
        <v>40</v>
      </c>
      <c r="W1933" s="2" t="s">
        <v>9194</v>
      </c>
      <c r="X1933" s="2"/>
      <c r="Y1933" s="2"/>
      <c r="Z1933" s="2"/>
      <c r="AA1933" s="2" t="s">
        <v>127</v>
      </c>
      <c r="AB1933" s="2" t="s">
        <v>73</v>
      </c>
      <c r="AC1933" s="4" t="s">
        <v>44</v>
      </c>
    </row>
    <row r="1934" spans="1:29" x14ac:dyDescent="0.25">
      <c r="A1934" s="1">
        <v>461</v>
      </c>
      <c r="B1934" s="17" t="s">
        <v>9195</v>
      </c>
      <c r="C1934" s="2" t="s">
        <v>5325</v>
      </c>
      <c r="D1934" s="15" t="s">
        <v>4978</v>
      </c>
      <c r="E1934" s="9" t="s">
        <v>3451</v>
      </c>
      <c r="F1934" s="9" t="s">
        <v>9196</v>
      </c>
      <c r="G1934" s="9" t="s">
        <v>4609</v>
      </c>
      <c r="H1934" s="2" t="s">
        <v>60</v>
      </c>
      <c r="I1934" s="3">
        <v>36446</v>
      </c>
      <c r="J1934" s="9" t="str">
        <f t="shared" ca="1" si="32"/>
        <v>23 ans</v>
      </c>
      <c r="K1934" s="2" t="s">
        <v>123</v>
      </c>
      <c r="L1934" s="2" t="str">
        <f>"370"</f>
        <v>370</v>
      </c>
      <c r="M1934" s="2"/>
      <c r="N1934" s="2" t="str">
        <f>"RUE DE BELFORT"</f>
        <v>RUE DE BELFORT</v>
      </c>
      <c r="O1934" s="2" t="s">
        <v>9183</v>
      </c>
      <c r="P1934" s="9" t="str">
        <f>VLOOKUP($O1934,'Liste des Villes'!$B$2:$B$1128,1,FALSE)</f>
        <v>Sainte-Thérèse</v>
      </c>
      <c r="Q1934" s="9" t="str">
        <f>IFERROR($P1934,PROPER(VLOOKUP($O1934,'Villes en erreur'!$A$2:$B$72,2,FALSE)))</f>
        <v>Sainte-Thérèse</v>
      </c>
      <c r="R1934" s="9" t="s">
        <v>9184</v>
      </c>
      <c r="S1934" s="9" t="str">
        <f>IF(ISBLANK($R1934),"",VLOOKUP($R1934,'Liste des Villes'!$B$2:$H$1128,4,FALSE))</f>
        <v>Laurentides</v>
      </c>
      <c r="T1934" s="2" t="s">
        <v>9193</v>
      </c>
      <c r="U1934" s="2" t="s">
        <v>39</v>
      </c>
      <c r="V1934" s="2" t="s">
        <v>40</v>
      </c>
      <c r="W1934" s="2" t="s">
        <v>9197</v>
      </c>
      <c r="X1934" s="2"/>
      <c r="Y1934" s="2"/>
      <c r="Z1934" s="2"/>
      <c r="AA1934" s="2" t="s">
        <v>9187</v>
      </c>
      <c r="AB1934" s="2" t="s">
        <v>73</v>
      </c>
      <c r="AC1934" s="4" t="s">
        <v>44</v>
      </c>
    </row>
    <row r="1935" spans="1:29" x14ac:dyDescent="0.25">
      <c r="A1935" s="1">
        <v>333</v>
      </c>
      <c r="B1935" s="17" t="s">
        <v>9198</v>
      </c>
      <c r="C1935" s="2" t="s">
        <v>3699</v>
      </c>
      <c r="D1935" s="15" t="s">
        <v>1716</v>
      </c>
      <c r="E1935" s="9" t="s">
        <v>3700</v>
      </c>
      <c r="F1935" s="9" t="s">
        <v>9199</v>
      </c>
      <c r="G1935" s="9" t="s">
        <v>4988</v>
      </c>
      <c r="H1935" s="2" t="s">
        <v>35</v>
      </c>
      <c r="I1935" s="3">
        <v>36432</v>
      </c>
      <c r="J1935" s="9" t="str">
        <f t="shared" ca="1" si="32"/>
        <v>23 ans</v>
      </c>
      <c r="K1935" s="2" t="s">
        <v>123</v>
      </c>
      <c r="L1935" s="2" t="str">
        <f>"360"</f>
        <v>360</v>
      </c>
      <c r="M1935" s="2"/>
      <c r="N1935" s="2" t="str">
        <f>"RUE DANIEL"</f>
        <v>RUE DANIEL</v>
      </c>
      <c r="O1935" s="2" t="s">
        <v>9183</v>
      </c>
      <c r="P1935" s="9" t="str">
        <f>VLOOKUP($O1935,'Liste des Villes'!$B$2:$B$1128,1,FALSE)</f>
        <v>Sainte-Thérèse</v>
      </c>
      <c r="Q1935" s="9" t="str">
        <f>IFERROR($P1935,PROPER(VLOOKUP($O1935,'Villes en erreur'!$A$2:$B$72,2,FALSE)))</f>
        <v>Sainte-Thérèse</v>
      </c>
      <c r="R1935" s="9" t="s">
        <v>9184</v>
      </c>
      <c r="S1935" s="9" t="str">
        <f>IF(ISBLANK($R1935),"",VLOOKUP($R1935,'Liste des Villes'!$B$2:$H$1128,4,FALSE))</f>
        <v>Laurentides</v>
      </c>
      <c r="T1935" s="2" t="s">
        <v>8869</v>
      </c>
      <c r="U1935" s="2" t="s">
        <v>39</v>
      </c>
      <c r="V1935" s="2" t="s">
        <v>40</v>
      </c>
      <c r="W1935" s="2" t="s">
        <v>9200</v>
      </c>
      <c r="X1935" s="2"/>
      <c r="Y1935" s="2"/>
      <c r="Z1935" s="2"/>
      <c r="AA1935" s="2" t="s">
        <v>127</v>
      </c>
      <c r="AB1935" s="2" t="s">
        <v>73</v>
      </c>
      <c r="AC1935" s="4" t="s">
        <v>44</v>
      </c>
    </row>
    <row r="1936" spans="1:29" x14ac:dyDescent="0.25">
      <c r="A1936" s="1">
        <v>4446</v>
      </c>
      <c r="B1936" s="17" t="s">
        <v>9201</v>
      </c>
      <c r="C1936" s="2" t="s">
        <v>4065</v>
      </c>
      <c r="D1936" s="15" t="s">
        <v>4066</v>
      </c>
      <c r="E1936" s="9" t="s">
        <v>1207</v>
      </c>
      <c r="F1936" s="9" t="s">
        <v>9202</v>
      </c>
      <c r="G1936" s="9" t="s">
        <v>8504</v>
      </c>
      <c r="H1936" s="2" t="s">
        <v>35</v>
      </c>
      <c r="I1936" s="3">
        <v>36436</v>
      </c>
      <c r="J1936" s="9" t="str">
        <f t="shared" ca="1" si="32"/>
        <v>23 ans</v>
      </c>
      <c r="K1936" s="2" t="s">
        <v>123</v>
      </c>
      <c r="L1936" s="2" t="str">
        <f>"364"</f>
        <v>364</v>
      </c>
      <c r="M1936" s="2"/>
      <c r="N1936" s="2" t="str">
        <f>"Rue de Beaufort"</f>
        <v>Rue de Beaufort</v>
      </c>
      <c r="O1936" s="2" t="s">
        <v>9183</v>
      </c>
      <c r="P1936" s="9" t="str">
        <f>VLOOKUP($O1936,'Liste des Villes'!$B$2:$B$1128,1,FALSE)</f>
        <v>Sainte-Thérèse</v>
      </c>
      <c r="Q1936" s="9" t="str">
        <f>IFERROR($P1936,PROPER(VLOOKUP($O1936,'Villes en erreur'!$A$2:$B$72,2,FALSE)))</f>
        <v>Sainte-Thérèse</v>
      </c>
      <c r="R1936" s="9" t="s">
        <v>9184</v>
      </c>
      <c r="S1936" s="9" t="str">
        <f>IF(ISBLANK($R1936),"",VLOOKUP($R1936,'Liste des Villes'!$B$2:$H$1128,4,FALSE))</f>
        <v>Laurentides</v>
      </c>
      <c r="T1936" s="2" t="s">
        <v>9203</v>
      </c>
      <c r="U1936" s="2" t="s">
        <v>39</v>
      </c>
      <c r="V1936" s="2" t="s">
        <v>40</v>
      </c>
      <c r="W1936" s="2" t="s">
        <v>9204</v>
      </c>
      <c r="X1936" s="2"/>
      <c r="Y1936" s="2"/>
      <c r="Z1936" s="2"/>
      <c r="AA1936" s="2" t="s">
        <v>127</v>
      </c>
      <c r="AB1936" s="2" t="s">
        <v>73</v>
      </c>
      <c r="AC1936" s="4" t="s">
        <v>44</v>
      </c>
    </row>
    <row r="1937" spans="1:29" x14ac:dyDescent="0.25">
      <c r="A1937" s="1">
        <v>2444</v>
      </c>
      <c r="B1937" s="17" t="s">
        <v>9205</v>
      </c>
      <c r="C1937" s="2" t="s">
        <v>2286</v>
      </c>
      <c r="D1937" s="15" t="s">
        <v>1951</v>
      </c>
      <c r="E1937" s="9" t="s">
        <v>186</v>
      </c>
      <c r="F1937" s="9" t="s">
        <v>1950</v>
      </c>
      <c r="G1937" s="9" t="s">
        <v>7997</v>
      </c>
      <c r="H1937" s="2" t="s">
        <v>35</v>
      </c>
      <c r="I1937" s="3">
        <v>36469</v>
      </c>
      <c r="J1937" s="9" t="str">
        <f t="shared" ca="1" si="32"/>
        <v>23 ans</v>
      </c>
      <c r="K1937" s="2" t="s">
        <v>123</v>
      </c>
      <c r="L1937" s="2" t="str">
        <f>"386"</f>
        <v>386</v>
      </c>
      <c r="M1937" s="2"/>
      <c r="N1937" s="2" t="str">
        <f>"RUE DE CHAMONIX"</f>
        <v>RUE DE CHAMONIX</v>
      </c>
      <c r="O1937" s="2" t="s">
        <v>9183</v>
      </c>
      <c r="P1937" s="9" t="str">
        <f>VLOOKUP($O1937,'Liste des Villes'!$B$2:$B$1128,1,FALSE)</f>
        <v>Sainte-Thérèse</v>
      </c>
      <c r="Q1937" s="9" t="str">
        <f>IFERROR($P1937,PROPER(VLOOKUP($O1937,'Villes en erreur'!$A$2:$B$72,2,FALSE)))</f>
        <v>Sainte-Thérèse</v>
      </c>
      <c r="R1937" s="9" t="s">
        <v>9184</v>
      </c>
      <c r="S1937" s="9" t="str">
        <f>IF(ISBLANK($R1937),"",VLOOKUP($R1937,'Liste des Villes'!$B$2:$H$1128,4,FALSE))</f>
        <v>Laurentides</v>
      </c>
      <c r="T1937" s="2" t="s">
        <v>9206</v>
      </c>
      <c r="U1937" s="2" t="s">
        <v>39</v>
      </c>
      <c r="V1937" s="2" t="s">
        <v>40</v>
      </c>
      <c r="W1937" s="2" t="s">
        <v>9207</v>
      </c>
      <c r="X1937" s="2"/>
      <c r="Y1937" s="2"/>
      <c r="Z1937" s="2"/>
      <c r="AA1937" s="2" t="s">
        <v>9187</v>
      </c>
      <c r="AB1937" s="2" t="s">
        <v>73</v>
      </c>
      <c r="AC1937" s="4" t="s">
        <v>44</v>
      </c>
    </row>
    <row r="1938" spans="1:29" x14ac:dyDescent="0.25">
      <c r="A1938" s="1">
        <v>4208</v>
      </c>
      <c r="B1938" s="17" t="s">
        <v>9208</v>
      </c>
      <c r="C1938" s="2" t="s">
        <v>2511</v>
      </c>
      <c r="D1938" s="15" t="s">
        <v>304</v>
      </c>
      <c r="E1938" s="9" t="s">
        <v>2512</v>
      </c>
      <c r="F1938" s="9" t="s">
        <v>2181</v>
      </c>
      <c r="G1938" s="9" t="s">
        <v>8956</v>
      </c>
      <c r="H1938" s="2" t="s">
        <v>60</v>
      </c>
      <c r="I1938" s="3">
        <v>36448</v>
      </c>
      <c r="J1938" s="9" t="str">
        <f t="shared" ca="1" si="32"/>
        <v>23 ans</v>
      </c>
      <c r="K1938" s="2" t="s">
        <v>123</v>
      </c>
      <c r="L1938" s="2" t="str">
        <f>"372"</f>
        <v>372</v>
      </c>
      <c r="M1938" s="2"/>
      <c r="N1938" s="2" t="str">
        <f>"RUE DE BLOIS"</f>
        <v>RUE DE BLOIS</v>
      </c>
      <c r="O1938" s="2" t="s">
        <v>9183</v>
      </c>
      <c r="P1938" s="9" t="str">
        <f>VLOOKUP($O1938,'Liste des Villes'!$B$2:$B$1128,1,FALSE)</f>
        <v>Sainte-Thérèse</v>
      </c>
      <c r="Q1938" s="9" t="str">
        <f>IFERROR($P1938,PROPER(VLOOKUP($O1938,'Villes en erreur'!$A$2:$B$72,2,FALSE)))</f>
        <v>Sainte-Thérèse</v>
      </c>
      <c r="R1938" s="9" t="s">
        <v>9184</v>
      </c>
      <c r="S1938" s="9" t="str">
        <f>IF(ISBLANK($R1938),"",VLOOKUP($R1938,'Liste des Villes'!$B$2:$H$1128,4,FALSE))</f>
        <v>Laurentides</v>
      </c>
      <c r="T1938" s="2" t="s">
        <v>9193</v>
      </c>
      <c r="U1938" s="2" t="s">
        <v>39</v>
      </c>
      <c r="V1938" s="2" t="s">
        <v>40</v>
      </c>
      <c r="W1938" s="2" t="s">
        <v>9209</v>
      </c>
      <c r="X1938" s="2"/>
      <c r="Y1938" s="2"/>
      <c r="Z1938" s="2"/>
      <c r="AA1938" s="2" t="s">
        <v>9187</v>
      </c>
      <c r="AB1938" s="2" t="s">
        <v>73</v>
      </c>
      <c r="AC1938" s="4" t="s">
        <v>44</v>
      </c>
    </row>
    <row r="1939" spans="1:29" x14ac:dyDescent="0.25">
      <c r="A1939" s="1">
        <v>3210</v>
      </c>
      <c r="B1939" s="17" t="s">
        <v>9210</v>
      </c>
      <c r="C1939" s="2" t="s">
        <v>9211</v>
      </c>
      <c r="D1939" s="15" t="s">
        <v>4518</v>
      </c>
      <c r="E1939" s="9" t="s">
        <v>219</v>
      </c>
      <c r="F1939" s="9" t="s">
        <v>582</v>
      </c>
      <c r="G1939" s="9" t="s">
        <v>9212</v>
      </c>
      <c r="H1939" s="2" t="s">
        <v>60</v>
      </c>
      <c r="I1939" s="3">
        <v>36465</v>
      </c>
      <c r="J1939" s="9" t="str">
        <f t="shared" ca="1" si="32"/>
        <v>23 ans</v>
      </c>
      <c r="K1939" s="2" t="s">
        <v>123</v>
      </c>
      <c r="L1939" s="2" t="str">
        <f>"383"</f>
        <v>383</v>
      </c>
      <c r="M1939" s="2"/>
      <c r="N1939" s="2" t="str">
        <f>"RUE DE CHAMBLY"</f>
        <v>RUE DE CHAMBLY</v>
      </c>
      <c r="O1939" s="2" t="s">
        <v>9183</v>
      </c>
      <c r="P1939" s="9" t="str">
        <f>VLOOKUP($O1939,'Liste des Villes'!$B$2:$B$1128,1,FALSE)</f>
        <v>Sainte-Thérèse</v>
      </c>
      <c r="Q1939" s="9" t="str">
        <f>IFERROR($P1939,PROPER(VLOOKUP($O1939,'Villes en erreur'!$A$2:$B$72,2,FALSE)))</f>
        <v>Sainte-Thérèse</v>
      </c>
      <c r="R1939" s="9" t="s">
        <v>9184</v>
      </c>
      <c r="S1939" s="9" t="str">
        <f>IF(ISBLANK($R1939),"",VLOOKUP($R1939,'Liste des Villes'!$B$2:$H$1128,4,FALSE))</f>
        <v>Laurentides</v>
      </c>
      <c r="T1939" s="2" t="s">
        <v>9213</v>
      </c>
      <c r="U1939" s="2" t="s">
        <v>39</v>
      </c>
      <c r="V1939" s="2" t="s">
        <v>40</v>
      </c>
      <c r="W1939" s="2" t="s">
        <v>9214</v>
      </c>
      <c r="X1939" s="2"/>
      <c r="Y1939" s="2"/>
      <c r="Z1939" s="2"/>
      <c r="AA1939" s="2" t="s">
        <v>9187</v>
      </c>
      <c r="AB1939" s="2" t="s">
        <v>73</v>
      </c>
      <c r="AC1939" s="4" t="s">
        <v>44</v>
      </c>
    </row>
    <row r="1940" spans="1:29" x14ac:dyDescent="0.25">
      <c r="A1940" s="1">
        <v>3921</v>
      </c>
      <c r="B1940" s="17" t="s">
        <v>9215</v>
      </c>
      <c r="C1940" s="2" t="s">
        <v>9216</v>
      </c>
      <c r="D1940" s="15" t="s">
        <v>6624</v>
      </c>
      <c r="E1940" s="9" t="s">
        <v>743</v>
      </c>
      <c r="F1940" s="9" t="s">
        <v>7023</v>
      </c>
      <c r="G1940" s="9" t="s">
        <v>9217</v>
      </c>
      <c r="H1940" s="2" t="s">
        <v>60</v>
      </c>
      <c r="I1940" s="3">
        <v>36467</v>
      </c>
      <c r="J1940" s="9" t="str">
        <f t="shared" ca="1" si="32"/>
        <v>23 ans</v>
      </c>
      <c r="K1940" s="2" t="s">
        <v>123</v>
      </c>
      <c r="L1940" s="2" t="str">
        <f>"385"</f>
        <v>385</v>
      </c>
      <c r="M1940" s="2"/>
      <c r="N1940" s="2" t="str">
        <f>"RUE DE CHAMBORD"</f>
        <v>RUE DE CHAMBORD</v>
      </c>
      <c r="O1940" s="2" t="s">
        <v>9183</v>
      </c>
      <c r="P1940" s="9" t="str">
        <f>VLOOKUP($O1940,'Liste des Villes'!$B$2:$B$1128,1,FALSE)</f>
        <v>Sainte-Thérèse</v>
      </c>
      <c r="Q1940" s="9" t="str">
        <f>IFERROR($P1940,PROPER(VLOOKUP($O1940,'Villes en erreur'!$A$2:$B$72,2,FALSE)))</f>
        <v>Sainte-Thérèse</v>
      </c>
      <c r="R1940" s="9" t="s">
        <v>9184</v>
      </c>
      <c r="S1940" s="9" t="str">
        <f>IF(ISBLANK($R1940),"",VLOOKUP($R1940,'Liste des Villes'!$B$2:$H$1128,4,FALSE))</f>
        <v>Laurentides</v>
      </c>
      <c r="T1940" s="2" t="s">
        <v>9218</v>
      </c>
      <c r="U1940" s="2" t="s">
        <v>39</v>
      </c>
      <c r="V1940" s="2" t="s">
        <v>40</v>
      </c>
      <c r="W1940" s="2" t="s">
        <v>9219</v>
      </c>
      <c r="X1940" s="2"/>
      <c r="Y1940" s="2"/>
      <c r="Z1940" s="2"/>
      <c r="AA1940" s="2" t="s">
        <v>9187</v>
      </c>
      <c r="AB1940" s="2" t="s">
        <v>73</v>
      </c>
      <c r="AC1940" s="4" t="s">
        <v>44</v>
      </c>
    </row>
    <row r="1941" spans="1:29" x14ac:dyDescent="0.25">
      <c r="A1941" s="1">
        <v>49</v>
      </c>
      <c r="B1941" s="17" t="s">
        <v>9220</v>
      </c>
      <c r="C1941" s="2" t="s">
        <v>9221</v>
      </c>
      <c r="D1941" s="15" t="s">
        <v>9222</v>
      </c>
      <c r="E1941" s="9" t="s">
        <v>9223</v>
      </c>
      <c r="F1941" s="9" t="s">
        <v>9224</v>
      </c>
      <c r="G1941" s="9" t="s">
        <v>9225</v>
      </c>
      <c r="H1941" s="2" t="s">
        <v>60</v>
      </c>
      <c r="I1941" s="3">
        <v>36467</v>
      </c>
      <c r="J1941" s="9" t="str">
        <f t="shared" ca="1" si="32"/>
        <v>23 ans</v>
      </c>
      <c r="K1941" s="2" t="s">
        <v>123</v>
      </c>
      <c r="L1941" s="2" t="str">
        <f>"385"</f>
        <v>385</v>
      </c>
      <c r="M1941" s="2"/>
      <c r="N1941" s="2" t="str">
        <f>"RUE DE CHAMBORD"</f>
        <v>RUE DE CHAMBORD</v>
      </c>
      <c r="O1941" s="2" t="s">
        <v>9183</v>
      </c>
      <c r="P1941" s="9" t="str">
        <f>VLOOKUP($O1941,'Liste des Villes'!$B$2:$B$1128,1,FALSE)</f>
        <v>Sainte-Thérèse</v>
      </c>
      <c r="Q1941" s="9" t="str">
        <f>IFERROR($P1941,PROPER(VLOOKUP($O1941,'Villes en erreur'!$A$2:$B$72,2,FALSE)))</f>
        <v>Sainte-Thérèse</v>
      </c>
      <c r="R1941" s="9" t="s">
        <v>9184</v>
      </c>
      <c r="S1941" s="9" t="str">
        <f>IF(ISBLANK($R1941),"",VLOOKUP($R1941,'Liste des Villes'!$B$2:$H$1128,4,FALSE))</f>
        <v>Laurentides</v>
      </c>
      <c r="T1941" s="2" t="s">
        <v>9226</v>
      </c>
      <c r="U1941" s="2" t="s">
        <v>39</v>
      </c>
      <c r="V1941" s="2" t="s">
        <v>40</v>
      </c>
      <c r="W1941" s="2" t="s">
        <v>9227</v>
      </c>
      <c r="X1941" s="2"/>
      <c r="Y1941" s="2"/>
      <c r="Z1941" s="2"/>
      <c r="AA1941" s="2" t="s">
        <v>9187</v>
      </c>
      <c r="AB1941" s="2" t="s">
        <v>73</v>
      </c>
      <c r="AC1941" s="4" t="s">
        <v>44</v>
      </c>
    </row>
    <row r="1942" spans="1:29" x14ac:dyDescent="0.25">
      <c r="A1942" s="1">
        <v>2596</v>
      </c>
      <c r="B1942" s="17" t="s">
        <v>9228</v>
      </c>
      <c r="C1942" s="2" t="s">
        <v>177</v>
      </c>
      <c r="D1942" s="15" t="s">
        <v>178</v>
      </c>
      <c r="E1942" s="9" t="s">
        <v>179</v>
      </c>
      <c r="F1942" s="9" t="s">
        <v>4972</v>
      </c>
      <c r="G1942" s="9" t="s">
        <v>6841</v>
      </c>
      <c r="H1942" s="2" t="s">
        <v>35</v>
      </c>
      <c r="I1942" s="3">
        <v>36435</v>
      </c>
      <c r="J1942" s="9" t="str">
        <f t="shared" ca="1" si="32"/>
        <v>23 ans</v>
      </c>
      <c r="K1942" s="2" t="s">
        <v>123</v>
      </c>
      <c r="L1942" s="2" t="str">
        <f>"362"</f>
        <v>362</v>
      </c>
      <c r="M1942" s="2"/>
      <c r="N1942" s="2" t="str">
        <f>"RUE D'AUBERVILLIERS"</f>
        <v>RUE D'AUBERVILLIERS</v>
      </c>
      <c r="O1942" s="2" t="s">
        <v>9183</v>
      </c>
      <c r="P1942" s="9" t="str">
        <f>VLOOKUP($O1942,'Liste des Villes'!$B$2:$B$1128,1,FALSE)</f>
        <v>Sainte-Thérèse</v>
      </c>
      <c r="Q1942" s="9" t="str">
        <f>IFERROR($P1942,PROPER(VLOOKUP($O1942,'Villes en erreur'!$A$2:$B$72,2,FALSE)))</f>
        <v>Sainte-Thérèse</v>
      </c>
      <c r="R1942" s="9" t="s">
        <v>9184</v>
      </c>
      <c r="S1942" s="9" t="str">
        <f>IF(ISBLANK($R1942),"",VLOOKUP($R1942,'Liste des Villes'!$B$2:$H$1128,4,FALSE))</f>
        <v>Laurentides</v>
      </c>
      <c r="T1942" s="2" t="s">
        <v>9229</v>
      </c>
      <c r="U1942" s="2" t="s">
        <v>39</v>
      </c>
      <c r="V1942" s="2" t="s">
        <v>40</v>
      </c>
      <c r="W1942" s="2" t="s">
        <v>9230</v>
      </c>
      <c r="X1942" s="2"/>
      <c r="Y1942" s="2"/>
      <c r="Z1942" s="2"/>
      <c r="AA1942" s="2" t="s">
        <v>127</v>
      </c>
      <c r="AB1942" s="2" t="s">
        <v>73</v>
      </c>
      <c r="AC1942" s="4" t="s">
        <v>44</v>
      </c>
    </row>
    <row r="1943" spans="1:29" x14ac:dyDescent="0.25">
      <c r="A1943" s="1">
        <v>4103</v>
      </c>
      <c r="B1943" s="17" t="s">
        <v>9231</v>
      </c>
      <c r="C1943" s="2" t="s">
        <v>9232</v>
      </c>
      <c r="D1943" s="15" t="s">
        <v>9233</v>
      </c>
      <c r="E1943" s="9" t="s">
        <v>1447</v>
      </c>
      <c r="F1943" s="9" t="s">
        <v>1923</v>
      </c>
      <c r="G1943" s="9" t="s">
        <v>9234</v>
      </c>
      <c r="H1943" s="2" t="s">
        <v>60</v>
      </c>
      <c r="I1943" s="3">
        <v>36442</v>
      </c>
      <c r="J1943" s="9" t="str">
        <f t="shared" ca="1" si="32"/>
        <v>23 ans</v>
      </c>
      <c r="K1943" s="2" t="s">
        <v>123</v>
      </c>
      <c r="L1943" s="2" t="str">
        <f>"368"</f>
        <v>368</v>
      </c>
      <c r="M1943" s="2"/>
      <c r="N1943" s="2" t="str">
        <f>"RUE DE BEAUFORT"</f>
        <v>RUE DE BEAUFORT</v>
      </c>
      <c r="O1943" s="2" t="s">
        <v>9183</v>
      </c>
      <c r="P1943" s="9" t="str">
        <f>VLOOKUP($O1943,'Liste des Villes'!$B$2:$B$1128,1,FALSE)</f>
        <v>Sainte-Thérèse</v>
      </c>
      <c r="Q1943" s="9" t="str">
        <f>IFERROR($P1943,PROPER(VLOOKUP($O1943,'Villes en erreur'!$A$2:$B$72,2,FALSE)))</f>
        <v>Sainte-Thérèse</v>
      </c>
      <c r="R1943" s="9" t="s">
        <v>9184</v>
      </c>
      <c r="S1943" s="9" t="str">
        <f>IF(ISBLANK($R1943),"",VLOOKUP($R1943,'Liste des Villes'!$B$2:$H$1128,4,FALSE))</f>
        <v>Laurentides</v>
      </c>
      <c r="T1943" s="2" t="s">
        <v>9193</v>
      </c>
      <c r="U1943" s="2" t="s">
        <v>39</v>
      </c>
      <c r="V1943" s="2" t="s">
        <v>40</v>
      </c>
      <c r="W1943" s="2" t="s">
        <v>9235</v>
      </c>
      <c r="X1943" s="2"/>
      <c r="Y1943" s="2"/>
      <c r="Z1943" s="2"/>
      <c r="AA1943" s="2" t="s">
        <v>127</v>
      </c>
      <c r="AB1943" s="2" t="s">
        <v>73</v>
      </c>
      <c r="AC1943" s="4" t="s">
        <v>44</v>
      </c>
    </row>
    <row r="1944" spans="1:29" x14ac:dyDescent="0.25">
      <c r="A1944" s="1">
        <v>1930</v>
      </c>
      <c r="B1944" s="17" t="s">
        <v>9236</v>
      </c>
      <c r="C1944" s="2" t="s">
        <v>46</v>
      </c>
      <c r="D1944" s="15" t="s">
        <v>47</v>
      </c>
      <c r="E1944" s="9" t="s">
        <v>48</v>
      </c>
      <c r="F1944" s="9" t="s">
        <v>4792</v>
      </c>
      <c r="G1944" s="9" t="s">
        <v>9237</v>
      </c>
      <c r="H1944" s="2" t="s">
        <v>60</v>
      </c>
      <c r="I1944" s="3">
        <v>36461</v>
      </c>
      <c r="J1944" s="9" t="str">
        <f t="shared" ca="1" si="32"/>
        <v>23 ans</v>
      </c>
      <c r="K1944" s="2" t="s">
        <v>123</v>
      </c>
      <c r="L1944" s="2" t="str">
        <f>"381"</f>
        <v>381</v>
      </c>
      <c r="M1944" s="2"/>
      <c r="N1944" s="2" t="str">
        <f>"RUE DE CAPLAN"</f>
        <v>RUE DE CAPLAN</v>
      </c>
      <c r="O1944" s="2" t="s">
        <v>9183</v>
      </c>
      <c r="P1944" s="9" t="str">
        <f>VLOOKUP($O1944,'Liste des Villes'!$B$2:$B$1128,1,FALSE)</f>
        <v>Sainte-Thérèse</v>
      </c>
      <c r="Q1944" s="9" t="str">
        <f>IFERROR($P1944,PROPER(VLOOKUP($O1944,'Villes en erreur'!$A$2:$B$72,2,FALSE)))</f>
        <v>Sainte-Thérèse</v>
      </c>
      <c r="R1944" s="9" t="s">
        <v>9184</v>
      </c>
      <c r="S1944" s="9" t="str">
        <f>IF(ISBLANK($R1944),"",VLOOKUP($R1944,'Liste des Villes'!$B$2:$H$1128,4,FALSE))</f>
        <v>Laurentides</v>
      </c>
      <c r="T1944" s="2" t="s">
        <v>9238</v>
      </c>
      <c r="U1944" s="2" t="s">
        <v>39</v>
      </c>
      <c r="V1944" s="2" t="s">
        <v>40</v>
      </c>
      <c r="W1944" s="2" t="s">
        <v>9239</v>
      </c>
      <c r="X1944" s="2"/>
      <c r="Y1944" s="2"/>
      <c r="Z1944" s="2"/>
      <c r="AA1944" s="2" t="s">
        <v>9187</v>
      </c>
      <c r="AB1944" s="2" t="s">
        <v>73</v>
      </c>
      <c r="AC1944" s="4" t="s">
        <v>44</v>
      </c>
    </row>
    <row r="1945" spans="1:29" x14ac:dyDescent="0.25">
      <c r="A1945" s="1">
        <v>2695</v>
      </c>
      <c r="B1945" s="17" t="s">
        <v>9240</v>
      </c>
      <c r="C1945" s="2" t="s">
        <v>9241</v>
      </c>
      <c r="D1945" s="15" t="s">
        <v>3581</v>
      </c>
      <c r="E1945" s="9" t="s">
        <v>509</v>
      </c>
      <c r="F1945" s="9" t="s">
        <v>2698</v>
      </c>
      <c r="G1945" s="9" t="s">
        <v>6106</v>
      </c>
      <c r="H1945" s="2" t="s">
        <v>35</v>
      </c>
      <c r="I1945" s="3">
        <v>36454</v>
      </c>
      <c r="J1945" s="9" t="str">
        <f t="shared" ca="1" si="32"/>
        <v>23 ans</v>
      </c>
      <c r="K1945" s="2" t="s">
        <v>123</v>
      </c>
      <c r="L1945" s="2" t="str">
        <f>"376"</f>
        <v>376</v>
      </c>
      <c r="M1945" s="2"/>
      <c r="N1945" s="2" t="str">
        <f>"RUE DE BOULOGNE"</f>
        <v>RUE DE BOULOGNE</v>
      </c>
      <c r="O1945" s="2" t="s">
        <v>9184</v>
      </c>
      <c r="P1945" s="9" t="str">
        <f>VLOOKUP($O1945,'Liste des Villes'!$B$2:$B$1128,1,FALSE)</f>
        <v>Sainte-Thérèse</v>
      </c>
      <c r="Q1945" s="9" t="str">
        <f>IFERROR($P1945,PROPER(VLOOKUP($O1945,'Villes en erreur'!$A$2:$B$72,2,FALSE)))</f>
        <v>Sainte-Thérèse</v>
      </c>
      <c r="R1945" s="9" t="s">
        <v>9184</v>
      </c>
      <c r="S1945" s="9" t="str">
        <f>IF(ISBLANK($R1945),"",VLOOKUP($R1945,'Liste des Villes'!$B$2:$H$1128,4,FALSE))</f>
        <v>Laurentides</v>
      </c>
      <c r="T1945" s="2" t="s">
        <v>9242</v>
      </c>
      <c r="U1945" s="2" t="s">
        <v>39</v>
      </c>
      <c r="V1945" s="2" t="s">
        <v>40</v>
      </c>
      <c r="W1945" s="2" t="s">
        <v>9243</v>
      </c>
      <c r="X1945" s="2"/>
      <c r="Y1945" s="2"/>
      <c r="Z1945" s="2"/>
      <c r="AA1945" s="2" t="s">
        <v>9187</v>
      </c>
      <c r="AB1945" s="2" t="s">
        <v>73</v>
      </c>
      <c r="AC1945" s="4" t="s">
        <v>44</v>
      </c>
    </row>
    <row r="1946" spans="1:29" x14ac:dyDescent="0.25">
      <c r="A1946" s="1">
        <v>2830</v>
      </c>
      <c r="B1946" s="17" t="s">
        <v>9244</v>
      </c>
      <c r="C1946" s="2" t="s">
        <v>9245</v>
      </c>
      <c r="D1946" s="15" t="s">
        <v>867</v>
      </c>
      <c r="E1946" s="9" t="s">
        <v>9246</v>
      </c>
      <c r="F1946" s="9" t="s">
        <v>3760</v>
      </c>
      <c r="G1946" s="9" t="s">
        <v>3162</v>
      </c>
      <c r="H1946" s="2" t="s">
        <v>35</v>
      </c>
      <c r="I1946" s="3">
        <v>36457</v>
      </c>
      <c r="J1946" s="9" t="str">
        <f t="shared" ca="1" si="32"/>
        <v>23 ans</v>
      </c>
      <c r="K1946" s="2" t="s">
        <v>123</v>
      </c>
      <c r="L1946" s="2" t="str">
        <f>"379"</f>
        <v>379</v>
      </c>
      <c r="M1946" s="2"/>
      <c r="N1946" s="2" t="str">
        <f>"RUE DE BROUAGE"</f>
        <v>RUE DE BROUAGE</v>
      </c>
      <c r="O1946" s="2" t="s">
        <v>9183</v>
      </c>
      <c r="P1946" s="9" t="str">
        <f>VLOOKUP($O1946,'Liste des Villes'!$B$2:$B$1128,1,FALSE)</f>
        <v>Sainte-Thérèse</v>
      </c>
      <c r="Q1946" s="9" t="str">
        <f>IFERROR($P1946,PROPER(VLOOKUP($O1946,'Villes en erreur'!$A$2:$B$72,2,FALSE)))</f>
        <v>Sainte-Thérèse</v>
      </c>
      <c r="R1946" s="9" t="s">
        <v>9184</v>
      </c>
      <c r="S1946" s="9" t="str">
        <f>IF(ISBLANK($R1946),"",VLOOKUP($R1946,'Liste des Villes'!$B$2:$H$1128,4,FALSE))</f>
        <v>Laurentides</v>
      </c>
      <c r="T1946" s="2" t="s">
        <v>9247</v>
      </c>
      <c r="U1946" s="2" t="s">
        <v>39</v>
      </c>
      <c r="V1946" s="2" t="s">
        <v>40</v>
      </c>
      <c r="W1946" s="2" t="s">
        <v>9248</v>
      </c>
      <c r="X1946" s="2"/>
      <c r="Y1946" s="2"/>
      <c r="Z1946" s="2"/>
      <c r="AA1946" s="2" t="s">
        <v>9187</v>
      </c>
      <c r="AB1946" s="2" t="s">
        <v>73</v>
      </c>
      <c r="AC1946" s="4" t="s">
        <v>44</v>
      </c>
    </row>
    <row r="1947" spans="1:29" x14ac:dyDescent="0.25">
      <c r="A1947" s="1">
        <v>325</v>
      </c>
      <c r="B1947" s="17" t="s">
        <v>9249</v>
      </c>
      <c r="C1947" s="2" t="s">
        <v>9250</v>
      </c>
      <c r="D1947" s="15" t="s">
        <v>6990</v>
      </c>
      <c r="E1947" s="9" t="s">
        <v>1809</v>
      </c>
      <c r="F1947" s="9" t="s">
        <v>6989</v>
      </c>
      <c r="G1947" s="9" t="s">
        <v>9251</v>
      </c>
      <c r="H1947" s="2" t="s">
        <v>35</v>
      </c>
      <c r="I1947" s="3">
        <v>36442</v>
      </c>
      <c r="J1947" s="9" t="str">
        <f t="shared" ca="1" si="32"/>
        <v>23 ans</v>
      </c>
      <c r="K1947" s="2" t="s">
        <v>123</v>
      </c>
      <c r="L1947" s="2" t="str">
        <f>"367"</f>
        <v>367</v>
      </c>
      <c r="M1947" s="2"/>
      <c r="N1947" s="2" t="str">
        <f>"RUE DE BEAUFORT"</f>
        <v>RUE DE BEAUFORT</v>
      </c>
      <c r="O1947" s="2" t="s">
        <v>9183</v>
      </c>
      <c r="P1947" s="9" t="str">
        <f>VLOOKUP($O1947,'Liste des Villes'!$B$2:$B$1128,1,FALSE)</f>
        <v>Sainte-Thérèse</v>
      </c>
      <c r="Q1947" s="9" t="str">
        <f>IFERROR($P1947,PROPER(VLOOKUP($O1947,'Villes en erreur'!$A$2:$B$72,2,FALSE)))</f>
        <v>Sainte-Thérèse</v>
      </c>
      <c r="R1947" s="9" t="s">
        <v>9184</v>
      </c>
      <c r="S1947" s="9" t="str">
        <f>IF(ISBLANK($R1947),"",VLOOKUP($R1947,'Liste des Villes'!$B$2:$H$1128,4,FALSE))</f>
        <v>Laurentides</v>
      </c>
      <c r="T1947" s="2" t="s">
        <v>9193</v>
      </c>
      <c r="U1947" s="2" t="s">
        <v>39</v>
      </c>
      <c r="V1947" s="2" t="s">
        <v>40</v>
      </c>
      <c r="W1947" s="2" t="s">
        <v>9252</v>
      </c>
      <c r="X1947" s="2"/>
      <c r="Y1947" s="2"/>
      <c r="Z1947" s="2"/>
      <c r="AA1947" s="2" t="s">
        <v>127</v>
      </c>
      <c r="AB1947" s="2" t="s">
        <v>73</v>
      </c>
      <c r="AC1947" s="4" t="s">
        <v>44</v>
      </c>
    </row>
    <row r="1948" spans="1:29" x14ac:dyDescent="0.25">
      <c r="A1948" s="1">
        <v>4399</v>
      </c>
      <c r="B1948" s="17" t="s">
        <v>9253</v>
      </c>
      <c r="C1948" s="2" t="s">
        <v>9254</v>
      </c>
      <c r="D1948" s="15" t="s">
        <v>3018</v>
      </c>
      <c r="E1948" s="9" t="s">
        <v>6630</v>
      </c>
      <c r="F1948" s="9" t="s">
        <v>9255</v>
      </c>
      <c r="G1948" s="9" t="s">
        <v>3162</v>
      </c>
      <c r="H1948" s="2" t="s">
        <v>35</v>
      </c>
      <c r="I1948" s="3">
        <v>36454</v>
      </c>
      <c r="J1948" s="9" t="str">
        <f t="shared" ca="1" si="32"/>
        <v>23 ans</v>
      </c>
      <c r="K1948" s="2" t="s">
        <v>123</v>
      </c>
      <c r="L1948" s="2" t="str">
        <f>"377"</f>
        <v>377</v>
      </c>
      <c r="M1948" s="2"/>
      <c r="N1948" s="2" t="str">
        <f>"RUE DE BOULOGNE"</f>
        <v>RUE DE BOULOGNE</v>
      </c>
      <c r="O1948" s="2" t="s">
        <v>9183</v>
      </c>
      <c r="P1948" s="9" t="str">
        <f>VLOOKUP($O1948,'Liste des Villes'!$B$2:$B$1128,1,FALSE)</f>
        <v>Sainte-Thérèse</v>
      </c>
      <c r="Q1948" s="9" t="str">
        <f>IFERROR($P1948,PROPER(VLOOKUP($O1948,'Villes en erreur'!$A$2:$B$72,2,FALSE)))</f>
        <v>Sainte-Thérèse</v>
      </c>
      <c r="R1948" s="9" t="s">
        <v>9184</v>
      </c>
      <c r="S1948" s="9" t="str">
        <f>IF(ISBLANK($R1948),"",VLOOKUP($R1948,'Liste des Villes'!$B$2:$H$1128,4,FALSE))</f>
        <v>Laurentides</v>
      </c>
      <c r="T1948" s="2" t="s">
        <v>9242</v>
      </c>
      <c r="U1948" s="2" t="s">
        <v>39</v>
      </c>
      <c r="V1948" s="2" t="s">
        <v>40</v>
      </c>
      <c r="W1948" s="2" t="s">
        <v>9256</v>
      </c>
      <c r="X1948" s="2"/>
      <c r="Y1948" s="2"/>
      <c r="Z1948" s="2"/>
      <c r="AA1948" s="2" t="s">
        <v>9187</v>
      </c>
      <c r="AB1948" s="2" t="s">
        <v>73</v>
      </c>
      <c r="AC1948" s="4" t="s">
        <v>44</v>
      </c>
    </row>
    <row r="1949" spans="1:29" x14ac:dyDescent="0.25">
      <c r="A1949" s="1">
        <v>1265</v>
      </c>
      <c r="B1949" s="17" t="s">
        <v>9257</v>
      </c>
      <c r="C1949" s="2" t="s">
        <v>9258</v>
      </c>
      <c r="D1949" s="15" t="s">
        <v>4821</v>
      </c>
      <c r="E1949" s="9" t="s">
        <v>5810</v>
      </c>
      <c r="F1949" s="9" t="s">
        <v>2898</v>
      </c>
      <c r="G1949" s="9" t="s">
        <v>9259</v>
      </c>
      <c r="H1949" s="2" t="s">
        <v>35</v>
      </c>
      <c r="I1949" s="3">
        <v>36444</v>
      </c>
      <c r="J1949" s="9" t="str">
        <f t="shared" ca="1" si="32"/>
        <v>23 ans</v>
      </c>
      <c r="K1949" s="2" t="s">
        <v>123</v>
      </c>
      <c r="L1949" s="2" t="str">
        <f>"370"</f>
        <v>370</v>
      </c>
      <c r="M1949" s="2"/>
      <c r="N1949" s="2" t="str">
        <f>"RUE DE BEAUPRÉ"</f>
        <v>RUE DE BEAUPRÉ</v>
      </c>
      <c r="O1949" s="2" t="s">
        <v>9183</v>
      </c>
      <c r="P1949" s="9" t="str">
        <f>VLOOKUP($O1949,'Liste des Villes'!$B$2:$B$1128,1,FALSE)</f>
        <v>Sainte-Thérèse</v>
      </c>
      <c r="Q1949" s="9" t="str">
        <f>IFERROR($P1949,PROPER(VLOOKUP($O1949,'Villes en erreur'!$A$2:$B$72,2,FALSE)))</f>
        <v>Sainte-Thérèse</v>
      </c>
      <c r="R1949" s="9" t="s">
        <v>9184</v>
      </c>
      <c r="S1949" s="9" t="str">
        <f>IF(ISBLANK($R1949),"",VLOOKUP($R1949,'Liste des Villes'!$B$2:$H$1128,4,FALSE))</f>
        <v>Laurentides</v>
      </c>
      <c r="T1949" s="2" t="s">
        <v>9193</v>
      </c>
      <c r="U1949" s="2" t="s">
        <v>39</v>
      </c>
      <c r="V1949" s="2" t="s">
        <v>40</v>
      </c>
      <c r="W1949" s="2" t="s">
        <v>9260</v>
      </c>
      <c r="X1949" s="2"/>
      <c r="Y1949" s="2"/>
      <c r="Z1949" s="2"/>
      <c r="AA1949" s="2" t="s">
        <v>127</v>
      </c>
      <c r="AB1949" s="2" t="s">
        <v>73</v>
      </c>
      <c r="AC1949" s="4" t="s">
        <v>44</v>
      </c>
    </row>
    <row r="1950" spans="1:29" x14ac:dyDescent="0.25">
      <c r="A1950" s="1">
        <v>336</v>
      </c>
      <c r="B1950" s="17" t="s">
        <v>9261</v>
      </c>
      <c r="C1950" s="2" t="s">
        <v>9262</v>
      </c>
      <c r="D1950" s="15" t="s">
        <v>9263</v>
      </c>
      <c r="E1950" s="9" t="s">
        <v>7855</v>
      </c>
      <c r="F1950" s="9" t="s">
        <v>2763</v>
      </c>
      <c r="G1950" s="9" t="s">
        <v>3511</v>
      </c>
      <c r="H1950" s="2" t="s">
        <v>35</v>
      </c>
      <c r="I1950" s="3">
        <v>36437</v>
      </c>
      <c r="J1950" s="9" t="str">
        <f t="shared" ca="1" si="32"/>
        <v>23 ans</v>
      </c>
      <c r="K1950" s="2" t="s">
        <v>123</v>
      </c>
      <c r="L1950" s="2" t="str">
        <f>"365"</f>
        <v>365</v>
      </c>
      <c r="M1950" s="2"/>
      <c r="N1950" s="2" t="str">
        <f>"RUE DE BEAUFORT"</f>
        <v>RUE DE BEAUFORT</v>
      </c>
      <c r="O1950" s="2" t="s">
        <v>9183</v>
      </c>
      <c r="P1950" s="9" t="str">
        <f>VLOOKUP($O1950,'Liste des Villes'!$B$2:$B$1128,1,FALSE)</f>
        <v>Sainte-Thérèse</v>
      </c>
      <c r="Q1950" s="9" t="str">
        <f>IFERROR($P1950,PROPER(VLOOKUP($O1950,'Villes en erreur'!$A$2:$B$72,2,FALSE)))</f>
        <v>Sainte-Thérèse</v>
      </c>
      <c r="R1950" s="9" t="s">
        <v>9184</v>
      </c>
      <c r="S1950" s="9" t="str">
        <f>IF(ISBLANK($R1950),"",VLOOKUP($R1950,'Liste des Villes'!$B$2:$H$1128,4,FALSE))</f>
        <v>Laurentides</v>
      </c>
      <c r="T1950" s="2" t="s">
        <v>9264</v>
      </c>
      <c r="U1950" s="2" t="s">
        <v>39</v>
      </c>
      <c r="V1950" s="2" t="s">
        <v>40</v>
      </c>
      <c r="W1950" s="2" t="s">
        <v>9265</v>
      </c>
      <c r="X1950" s="2"/>
      <c r="Y1950" s="2"/>
      <c r="Z1950" s="2"/>
      <c r="AA1950" s="2" t="s">
        <v>127</v>
      </c>
      <c r="AB1950" s="2" t="s">
        <v>73</v>
      </c>
      <c r="AC1950" s="4" t="s">
        <v>44</v>
      </c>
    </row>
    <row r="1951" spans="1:29" x14ac:dyDescent="0.25">
      <c r="A1951" s="1">
        <v>3651</v>
      </c>
      <c r="B1951" s="17" t="s">
        <v>9266</v>
      </c>
      <c r="C1951" s="2" t="s">
        <v>9267</v>
      </c>
      <c r="D1951" s="15" t="s">
        <v>8640</v>
      </c>
      <c r="E1951" s="9" t="s">
        <v>3375</v>
      </c>
      <c r="F1951" s="9" t="s">
        <v>8639</v>
      </c>
      <c r="G1951" s="9" t="s">
        <v>3162</v>
      </c>
      <c r="H1951" s="2" t="s">
        <v>35</v>
      </c>
      <c r="I1951" s="3">
        <v>36459</v>
      </c>
      <c r="J1951" s="9" t="str">
        <f t="shared" ca="1" si="32"/>
        <v>23 ans</v>
      </c>
      <c r="K1951" s="2" t="s">
        <v>123</v>
      </c>
      <c r="L1951" s="2" t="str">
        <f>"379"</f>
        <v>379</v>
      </c>
      <c r="M1951" s="2"/>
      <c r="N1951" s="2" t="str">
        <f>"RUE DE CADILLAC"</f>
        <v>RUE DE CADILLAC</v>
      </c>
      <c r="O1951" s="2" t="s">
        <v>9183</v>
      </c>
      <c r="P1951" s="9" t="str">
        <f>VLOOKUP($O1951,'Liste des Villes'!$B$2:$B$1128,1,FALSE)</f>
        <v>Sainte-Thérèse</v>
      </c>
      <c r="Q1951" s="9" t="str">
        <f>IFERROR($P1951,PROPER(VLOOKUP($O1951,'Villes en erreur'!$A$2:$B$72,2,FALSE)))</f>
        <v>Sainte-Thérèse</v>
      </c>
      <c r="R1951" s="9" t="s">
        <v>9184</v>
      </c>
      <c r="S1951" s="9" t="str">
        <f>IF(ISBLANK($R1951),"",VLOOKUP($R1951,'Liste des Villes'!$B$2:$H$1128,4,FALSE))</f>
        <v>Laurentides</v>
      </c>
      <c r="T1951" s="2" t="s">
        <v>9247</v>
      </c>
      <c r="U1951" s="2" t="s">
        <v>39</v>
      </c>
      <c r="V1951" s="2" t="s">
        <v>40</v>
      </c>
      <c r="W1951" s="2" t="s">
        <v>9268</v>
      </c>
      <c r="X1951" s="2"/>
      <c r="Y1951" s="2"/>
      <c r="Z1951" s="2"/>
      <c r="AA1951" s="2" t="s">
        <v>9187</v>
      </c>
      <c r="AB1951" s="2" t="s">
        <v>73</v>
      </c>
      <c r="AC1951" s="4" t="s">
        <v>44</v>
      </c>
    </row>
    <row r="1952" spans="1:29" x14ac:dyDescent="0.25">
      <c r="A1952" s="1">
        <v>457</v>
      </c>
      <c r="B1952" s="17" t="s">
        <v>9269</v>
      </c>
      <c r="C1952" s="2" t="s">
        <v>9270</v>
      </c>
      <c r="D1952" s="15" t="s">
        <v>9271</v>
      </c>
      <c r="E1952" s="9" t="s">
        <v>495</v>
      </c>
      <c r="F1952" s="9" t="s">
        <v>9272</v>
      </c>
      <c r="G1952" s="9" t="s">
        <v>9273</v>
      </c>
      <c r="H1952" s="2" t="s">
        <v>60</v>
      </c>
      <c r="I1952" s="3">
        <v>36447</v>
      </c>
      <c r="J1952" s="9" t="str">
        <f t="shared" ca="1" si="32"/>
        <v>23 ans</v>
      </c>
      <c r="K1952" s="2" t="s">
        <v>123</v>
      </c>
      <c r="L1952" s="2" t="str">
        <f>"371"</f>
        <v>371</v>
      </c>
      <c r="M1952" s="2"/>
      <c r="N1952" s="2" t="str">
        <f>"RUE DE BLOIS"</f>
        <v>RUE DE BLOIS</v>
      </c>
      <c r="O1952" s="2" t="s">
        <v>9183</v>
      </c>
      <c r="P1952" s="9" t="str">
        <f>VLOOKUP($O1952,'Liste des Villes'!$B$2:$B$1128,1,FALSE)</f>
        <v>Sainte-Thérèse</v>
      </c>
      <c r="Q1952" s="9" t="str">
        <f>IFERROR($P1952,PROPER(VLOOKUP($O1952,'Villes en erreur'!$A$2:$B$72,2,FALSE)))</f>
        <v>Sainte-Thérèse</v>
      </c>
      <c r="R1952" s="9" t="s">
        <v>9184</v>
      </c>
      <c r="S1952" s="9" t="str">
        <f>IF(ISBLANK($R1952),"",VLOOKUP($R1952,'Liste des Villes'!$B$2:$H$1128,4,FALSE))</f>
        <v>Laurentides</v>
      </c>
      <c r="T1952" s="2" t="s">
        <v>9193</v>
      </c>
      <c r="U1952" s="2" t="s">
        <v>39</v>
      </c>
      <c r="V1952" s="2" t="s">
        <v>40</v>
      </c>
      <c r="W1952" s="2" t="s">
        <v>9274</v>
      </c>
      <c r="X1952" s="2"/>
      <c r="Y1952" s="2"/>
      <c r="Z1952" s="2"/>
      <c r="AA1952" s="2" t="s">
        <v>9187</v>
      </c>
      <c r="AB1952" s="2" t="s">
        <v>73</v>
      </c>
      <c r="AC1952" s="4" t="s">
        <v>44</v>
      </c>
    </row>
    <row r="1953" spans="1:29" x14ac:dyDescent="0.25">
      <c r="A1953" s="1">
        <v>2515</v>
      </c>
      <c r="B1953" s="17" t="s">
        <v>9275</v>
      </c>
      <c r="C1953" s="2" t="s">
        <v>9276</v>
      </c>
      <c r="D1953" s="15" t="s">
        <v>9277</v>
      </c>
      <c r="E1953" s="9" t="s">
        <v>1004</v>
      </c>
      <c r="F1953" s="9" t="s">
        <v>9278</v>
      </c>
      <c r="G1953" s="9" t="s">
        <v>9279</v>
      </c>
      <c r="H1953" s="2" t="s">
        <v>60</v>
      </c>
      <c r="I1953" s="3">
        <v>36447</v>
      </c>
      <c r="J1953" s="9" t="str">
        <f t="shared" ca="1" si="32"/>
        <v>23 ans</v>
      </c>
      <c r="K1953" s="2" t="s">
        <v>123</v>
      </c>
      <c r="L1953" s="2" t="str">
        <f>"370"</f>
        <v>370</v>
      </c>
      <c r="M1953" s="2"/>
      <c r="N1953" s="2" t="str">
        <f>"RUE DE BELLE RIVIÈRE"</f>
        <v>RUE DE BELLE RIVIÈRE</v>
      </c>
      <c r="O1953" s="2" t="s">
        <v>9183</v>
      </c>
      <c r="P1953" s="9" t="str">
        <f>VLOOKUP($O1953,'Liste des Villes'!$B$2:$B$1128,1,FALSE)</f>
        <v>Sainte-Thérèse</v>
      </c>
      <c r="Q1953" s="9" t="str">
        <f>IFERROR($P1953,PROPER(VLOOKUP($O1953,'Villes en erreur'!$A$2:$B$72,2,FALSE)))</f>
        <v>Sainte-Thérèse</v>
      </c>
      <c r="R1953" s="9" t="s">
        <v>9184</v>
      </c>
      <c r="S1953" s="9" t="str">
        <f>IF(ISBLANK($R1953),"",VLOOKUP($R1953,'Liste des Villes'!$B$2:$H$1128,4,FALSE))</f>
        <v>Laurentides</v>
      </c>
      <c r="T1953" s="2" t="s">
        <v>9193</v>
      </c>
      <c r="U1953" s="2" t="s">
        <v>39</v>
      </c>
      <c r="V1953" s="2" t="s">
        <v>40</v>
      </c>
      <c r="W1953" s="2" t="s">
        <v>9280</v>
      </c>
      <c r="X1953" s="2"/>
      <c r="Y1953" s="2"/>
      <c r="Z1953" s="2"/>
      <c r="AA1953" s="2" t="s">
        <v>9187</v>
      </c>
      <c r="AB1953" s="2" t="s">
        <v>73</v>
      </c>
      <c r="AC1953" s="4" t="s">
        <v>44</v>
      </c>
    </row>
    <row r="1954" spans="1:29" x14ac:dyDescent="0.25">
      <c r="A1954" s="1">
        <v>3689</v>
      </c>
      <c r="B1954" s="17" t="s">
        <v>9281</v>
      </c>
      <c r="C1954" s="2" t="s">
        <v>9282</v>
      </c>
      <c r="D1954" s="15" t="s">
        <v>9283</v>
      </c>
      <c r="E1954" s="9" t="s">
        <v>9284</v>
      </c>
      <c r="F1954" s="9" t="s">
        <v>7481</v>
      </c>
      <c r="G1954" s="9" t="s">
        <v>2624</v>
      </c>
      <c r="H1954" s="2" t="s">
        <v>60</v>
      </c>
      <c r="I1954" s="3">
        <v>36452</v>
      </c>
      <c r="J1954" s="9" t="str">
        <f t="shared" ca="1" si="32"/>
        <v>23 ans</v>
      </c>
      <c r="K1954" s="2" t="s">
        <v>123</v>
      </c>
      <c r="L1954" s="2" t="str">
        <f>"374"</f>
        <v>374</v>
      </c>
      <c r="M1954" s="2"/>
      <c r="N1954" s="2" t="str">
        <f>"RUE DE BORDEAUX"</f>
        <v>RUE DE BORDEAUX</v>
      </c>
      <c r="O1954" s="2" t="s">
        <v>9183</v>
      </c>
      <c r="P1954" s="9" t="str">
        <f>VLOOKUP($O1954,'Liste des Villes'!$B$2:$B$1128,1,FALSE)</f>
        <v>Sainte-Thérèse</v>
      </c>
      <c r="Q1954" s="9" t="str">
        <f>IFERROR($P1954,PROPER(VLOOKUP($O1954,'Villes en erreur'!$A$2:$B$72,2,FALSE)))</f>
        <v>Sainte-Thérèse</v>
      </c>
      <c r="R1954" s="9" t="s">
        <v>9184</v>
      </c>
      <c r="S1954" s="9" t="str">
        <f>IF(ISBLANK($R1954),"",VLOOKUP($R1954,'Liste des Villes'!$B$2:$H$1128,4,FALSE))</f>
        <v>Laurentides</v>
      </c>
      <c r="T1954" s="2" t="s">
        <v>9285</v>
      </c>
      <c r="U1954" s="2" t="s">
        <v>39</v>
      </c>
      <c r="V1954" s="2" t="s">
        <v>40</v>
      </c>
      <c r="W1954" s="2" t="s">
        <v>9286</v>
      </c>
      <c r="X1954" s="2"/>
      <c r="Y1954" s="2"/>
      <c r="Z1954" s="2"/>
      <c r="AA1954" s="2" t="s">
        <v>9187</v>
      </c>
      <c r="AB1954" s="2" t="s">
        <v>73</v>
      </c>
      <c r="AC1954" s="4" t="s">
        <v>44</v>
      </c>
    </row>
    <row r="1955" spans="1:29" x14ac:dyDescent="0.25">
      <c r="A1955" s="1">
        <v>4473</v>
      </c>
      <c r="B1955" s="17" t="s">
        <v>9287</v>
      </c>
      <c r="C1955" s="2" t="s">
        <v>9288</v>
      </c>
      <c r="D1955" s="15" t="s">
        <v>808</v>
      </c>
      <c r="E1955" s="9" t="s">
        <v>929</v>
      </c>
      <c r="F1955" s="9" t="s">
        <v>9289</v>
      </c>
      <c r="G1955" s="9" t="s">
        <v>9290</v>
      </c>
      <c r="H1955" s="2" t="s">
        <v>35</v>
      </c>
      <c r="I1955" s="3">
        <v>36476</v>
      </c>
      <c r="J1955" s="9" t="str">
        <f t="shared" ca="1" si="32"/>
        <v>23 ans</v>
      </c>
      <c r="K1955" s="2" t="s">
        <v>123</v>
      </c>
      <c r="L1955" s="2" t="str">
        <f>"391"</f>
        <v>391</v>
      </c>
      <c r="M1955" s="2"/>
      <c r="N1955" s="2" t="str">
        <f>"RUE DE CHENONCEAU"</f>
        <v>RUE DE CHENONCEAU</v>
      </c>
      <c r="O1955" s="2" t="s">
        <v>9183</v>
      </c>
      <c r="P1955" s="9" t="str">
        <f>VLOOKUP($O1955,'Liste des Villes'!$B$2:$B$1128,1,FALSE)</f>
        <v>Sainte-Thérèse</v>
      </c>
      <c r="Q1955" s="9" t="str">
        <f>IFERROR($P1955,PROPER(VLOOKUP($O1955,'Villes en erreur'!$A$2:$B$72,2,FALSE)))</f>
        <v>Sainte-Thérèse</v>
      </c>
      <c r="R1955" s="9" t="s">
        <v>9184</v>
      </c>
      <c r="S1955" s="9" t="str">
        <f>IF(ISBLANK($R1955),"",VLOOKUP($R1955,'Liste des Villes'!$B$2:$H$1128,4,FALSE))</f>
        <v>Laurentides</v>
      </c>
      <c r="T1955" s="2" t="s">
        <v>9291</v>
      </c>
      <c r="U1955" s="2" t="s">
        <v>39</v>
      </c>
      <c r="V1955" s="2" t="s">
        <v>40</v>
      </c>
      <c r="W1955" s="2" t="s">
        <v>9292</v>
      </c>
      <c r="X1955" s="2"/>
      <c r="Y1955" s="2"/>
      <c r="Z1955" s="2"/>
      <c r="AA1955" s="2" t="s">
        <v>9187</v>
      </c>
      <c r="AB1955" s="2" t="s">
        <v>73</v>
      </c>
      <c r="AC1955" s="4" t="s">
        <v>44</v>
      </c>
    </row>
    <row r="1956" spans="1:29" x14ac:dyDescent="0.25">
      <c r="A1956" s="1">
        <v>3311</v>
      </c>
      <c r="B1956" s="17" t="s">
        <v>9293</v>
      </c>
      <c r="C1956" s="2" t="s">
        <v>9294</v>
      </c>
      <c r="D1956" s="15" t="s">
        <v>6750</v>
      </c>
      <c r="E1956" s="9" t="s">
        <v>9295</v>
      </c>
      <c r="F1956" s="9" t="s">
        <v>1145</v>
      </c>
      <c r="G1956" s="9" t="s">
        <v>4988</v>
      </c>
      <c r="H1956" s="2" t="s">
        <v>35</v>
      </c>
      <c r="I1956" s="3">
        <v>36431</v>
      </c>
      <c r="J1956" s="9" t="str">
        <f t="shared" ca="1" si="32"/>
        <v>23 ans</v>
      </c>
      <c r="K1956" s="2" t="s">
        <v>123</v>
      </c>
      <c r="L1956" s="2" t="str">
        <f>"360"</f>
        <v>360</v>
      </c>
      <c r="M1956" s="2"/>
      <c r="N1956" s="2" t="str">
        <f>"RUE DANIEL"</f>
        <v>RUE DANIEL</v>
      </c>
      <c r="O1956" s="2" t="s">
        <v>9183</v>
      </c>
      <c r="P1956" s="9" t="str">
        <f>VLOOKUP($O1956,'Liste des Villes'!$B$2:$B$1128,1,FALSE)</f>
        <v>Sainte-Thérèse</v>
      </c>
      <c r="Q1956" s="9" t="str">
        <f>IFERROR($P1956,PROPER(VLOOKUP($O1956,'Villes en erreur'!$A$2:$B$72,2,FALSE)))</f>
        <v>Sainte-Thérèse</v>
      </c>
      <c r="R1956" s="9" t="s">
        <v>9184</v>
      </c>
      <c r="S1956" s="9" t="str">
        <f>IF(ISBLANK($R1956),"",VLOOKUP($R1956,'Liste des Villes'!$B$2:$H$1128,4,FALSE))</f>
        <v>Laurentides</v>
      </c>
      <c r="T1956" s="2" t="s">
        <v>8869</v>
      </c>
      <c r="U1956" s="2" t="s">
        <v>39</v>
      </c>
      <c r="V1956" s="2" t="s">
        <v>40</v>
      </c>
      <c r="W1956" s="2" t="s">
        <v>9296</v>
      </c>
      <c r="X1956" s="2"/>
      <c r="Y1956" s="2"/>
      <c r="Z1956" s="2"/>
      <c r="AA1956" s="2" t="s">
        <v>127</v>
      </c>
      <c r="AB1956" s="2" t="s">
        <v>73</v>
      </c>
      <c r="AC1956" s="4" t="s">
        <v>44</v>
      </c>
    </row>
    <row r="1957" spans="1:29" x14ac:dyDescent="0.25">
      <c r="A1957" s="1">
        <v>128</v>
      </c>
      <c r="B1957" s="17" t="s">
        <v>9297</v>
      </c>
      <c r="C1957" s="2" t="s">
        <v>3962</v>
      </c>
      <c r="D1957" s="15" t="s">
        <v>3963</v>
      </c>
      <c r="E1957" s="9" t="s">
        <v>3964</v>
      </c>
      <c r="F1957" s="9" t="s">
        <v>1800</v>
      </c>
      <c r="G1957" s="9" t="s">
        <v>4609</v>
      </c>
      <c r="H1957" s="2" t="s">
        <v>60</v>
      </c>
      <c r="I1957" s="3">
        <v>36446</v>
      </c>
      <c r="J1957" s="9" t="str">
        <f t="shared" ca="1" si="32"/>
        <v>23 ans</v>
      </c>
      <c r="K1957" s="2" t="s">
        <v>123</v>
      </c>
      <c r="L1957" s="2" t="str">
        <f>"370"</f>
        <v>370</v>
      </c>
      <c r="M1957" s="2"/>
      <c r="N1957" s="2" t="str">
        <f>"RUE DE BEDONIA"</f>
        <v>RUE DE BEDONIA</v>
      </c>
      <c r="O1957" s="2" t="s">
        <v>9183</v>
      </c>
      <c r="P1957" s="9" t="str">
        <f>VLOOKUP($O1957,'Liste des Villes'!$B$2:$B$1128,1,FALSE)</f>
        <v>Sainte-Thérèse</v>
      </c>
      <c r="Q1957" s="9" t="str">
        <f>IFERROR($P1957,PROPER(VLOOKUP($O1957,'Villes en erreur'!$A$2:$B$72,2,FALSE)))</f>
        <v>Sainte-Thérèse</v>
      </c>
      <c r="R1957" s="9" t="s">
        <v>9184</v>
      </c>
      <c r="S1957" s="9" t="str">
        <f>IF(ISBLANK($R1957),"",VLOOKUP($R1957,'Liste des Villes'!$B$2:$H$1128,4,FALSE))</f>
        <v>Laurentides</v>
      </c>
      <c r="T1957" s="2" t="s">
        <v>9193</v>
      </c>
      <c r="U1957" s="2" t="s">
        <v>39</v>
      </c>
      <c r="V1957" s="2" t="s">
        <v>40</v>
      </c>
      <c r="W1957" s="2" t="s">
        <v>9298</v>
      </c>
      <c r="X1957" s="2"/>
      <c r="Y1957" s="2"/>
      <c r="Z1957" s="2"/>
      <c r="AA1957" s="2" t="s">
        <v>127</v>
      </c>
      <c r="AB1957" s="2" t="s">
        <v>73</v>
      </c>
      <c r="AC1957" s="4" t="s">
        <v>44</v>
      </c>
    </row>
    <row r="1958" spans="1:29" x14ac:dyDescent="0.25">
      <c r="A1958" s="1">
        <v>3577</v>
      </c>
      <c r="B1958" s="17" t="s">
        <v>9299</v>
      </c>
      <c r="C1958" s="2" t="s">
        <v>9300</v>
      </c>
      <c r="D1958" s="15" t="s">
        <v>1530</v>
      </c>
      <c r="E1958" s="9" t="s">
        <v>2807</v>
      </c>
      <c r="F1958" s="9" t="s">
        <v>56</v>
      </c>
      <c r="G1958" s="9" t="s">
        <v>260</v>
      </c>
      <c r="H1958" s="2" t="s">
        <v>35</v>
      </c>
      <c r="I1958" s="3">
        <v>36444</v>
      </c>
      <c r="J1958" s="9" t="str">
        <f t="shared" ca="1" si="32"/>
        <v>23 ans</v>
      </c>
      <c r="K1958" s="2" t="s">
        <v>123</v>
      </c>
      <c r="L1958" s="2" t="str">
        <f>"370"</f>
        <v>370</v>
      </c>
      <c r="M1958" s="2"/>
      <c r="N1958" s="2" t="str">
        <f>"RUE DE BEAUPRÉ"</f>
        <v>RUE DE BEAUPRÉ</v>
      </c>
      <c r="O1958" s="2" t="s">
        <v>9183</v>
      </c>
      <c r="P1958" s="9" t="str">
        <f>VLOOKUP($O1958,'Liste des Villes'!$B$2:$B$1128,1,FALSE)</f>
        <v>Sainte-Thérèse</v>
      </c>
      <c r="Q1958" s="9" t="str">
        <f>IFERROR($P1958,PROPER(VLOOKUP($O1958,'Villes en erreur'!$A$2:$B$72,2,FALSE)))</f>
        <v>Sainte-Thérèse</v>
      </c>
      <c r="R1958" s="9" t="s">
        <v>9184</v>
      </c>
      <c r="S1958" s="9" t="str">
        <f>IF(ISBLANK($R1958),"",VLOOKUP($R1958,'Liste des Villes'!$B$2:$H$1128,4,FALSE))</f>
        <v>Laurentides</v>
      </c>
      <c r="T1958" s="2" t="s">
        <v>9193</v>
      </c>
      <c r="U1958" s="2" t="s">
        <v>39</v>
      </c>
      <c r="V1958" s="2" t="s">
        <v>40</v>
      </c>
      <c r="W1958" s="2" t="s">
        <v>9301</v>
      </c>
      <c r="X1958" s="2"/>
      <c r="Y1958" s="2"/>
      <c r="Z1958" s="2"/>
      <c r="AA1958" s="2" t="s">
        <v>127</v>
      </c>
      <c r="AB1958" s="2" t="s">
        <v>73</v>
      </c>
      <c r="AC1958" s="4" t="s">
        <v>44</v>
      </c>
    </row>
    <row r="1959" spans="1:29" x14ac:dyDescent="0.25">
      <c r="A1959" s="1">
        <v>328</v>
      </c>
      <c r="B1959" s="17" t="s">
        <v>9302</v>
      </c>
      <c r="C1959" s="2" t="s">
        <v>9303</v>
      </c>
      <c r="D1959" s="15" t="s">
        <v>1417</v>
      </c>
      <c r="E1959" s="9" t="s">
        <v>1845</v>
      </c>
      <c r="F1959" s="9" t="s">
        <v>9304</v>
      </c>
      <c r="G1959" s="9" t="s">
        <v>2624</v>
      </c>
      <c r="H1959" s="2" t="s">
        <v>60</v>
      </c>
      <c r="I1959" s="3">
        <v>36452</v>
      </c>
      <c r="J1959" s="9" t="str">
        <f t="shared" ca="1" si="32"/>
        <v>23 ans</v>
      </c>
      <c r="K1959" s="2" t="s">
        <v>123</v>
      </c>
      <c r="L1959" s="2" t="str">
        <f>"374"</f>
        <v>374</v>
      </c>
      <c r="M1959" s="2"/>
      <c r="N1959" s="2" t="str">
        <f>"RUE DE BORDEAUX"</f>
        <v>RUE DE BORDEAUX</v>
      </c>
      <c r="O1959" s="2" t="s">
        <v>9183</v>
      </c>
      <c r="P1959" s="9" t="str">
        <f>VLOOKUP($O1959,'Liste des Villes'!$B$2:$B$1128,1,FALSE)</f>
        <v>Sainte-Thérèse</v>
      </c>
      <c r="Q1959" s="9" t="str">
        <f>IFERROR($P1959,PROPER(VLOOKUP($O1959,'Villes en erreur'!$A$2:$B$72,2,FALSE)))</f>
        <v>Sainte-Thérèse</v>
      </c>
      <c r="R1959" s="9" t="s">
        <v>9184</v>
      </c>
      <c r="S1959" s="9" t="str">
        <f>IF(ISBLANK($R1959),"",VLOOKUP($R1959,'Liste des Villes'!$B$2:$H$1128,4,FALSE))</f>
        <v>Laurentides</v>
      </c>
      <c r="T1959" s="2" t="s">
        <v>9242</v>
      </c>
      <c r="U1959" s="2" t="s">
        <v>39</v>
      </c>
      <c r="V1959" s="2" t="s">
        <v>40</v>
      </c>
      <c r="W1959" s="2" t="s">
        <v>9305</v>
      </c>
      <c r="X1959" s="2"/>
      <c r="Y1959" s="2"/>
      <c r="Z1959" s="2"/>
      <c r="AA1959" s="2" t="s">
        <v>9187</v>
      </c>
      <c r="AB1959" s="2" t="s">
        <v>73</v>
      </c>
      <c r="AC1959" s="4" t="s">
        <v>44</v>
      </c>
    </row>
    <row r="1960" spans="1:29" x14ac:dyDescent="0.25">
      <c r="A1960" s="1">
        <v>4560</v>
      </c>
      <c r="B1960" s="17" t="s">
        <v>9306</v>
      </c>
      <c r="C1960" s="2" t="s">
        <v>4091</v>
      </c>
      <c r="D1960" s="15" t="s">
        <v>4050</v>
      </c>
      <c r="E1960" s="9" t="s">
        <v>4092</v>
      </c>
      <c r="F1960" s="9" t="s">
        <v>9307</v>
      </c>
      <c r="G1960" s="9" t="s">
        <v>9308</v>
      </c>
      <c r="H1960" s="2" t="s">
        <v>35</v>
      </c>
      <c r="I1960" s="3">
        <v>36475</v>
      </c>
      <c r="J1960" s="9" t="str">
        <f t="shared" ca="1" si="32"/>
        <v>23 ans</v>
      </c>
      <c r="K1960" s="2" t="s">
        <v>123</v>
      </c>
      <c r="L1960" s="2" t="str">
        <f>"390"</f>
        <v>390</v>
      </c>
      <c r="M1960" s="2"/>
      <c r="N1960" s="2" t="str">
        <f>"RUE DE CHENONCEAU"</f>
        <v>RUE DE CHENONCEAU</v>
      </c>
      <c r="O1960" s="2" t="s">
        <v>9183</v>
      </c>
      <c r="P1960" s="9" t="str">
        <f>VLOOKUP($O1960,'Liste des Villes'!$B$2:$B$1128,1,FALSE)</f>
        <v>Sainte-Thérèse</v>
      </c>
      <c r="Q1960" s="9" t="str">
        <f>IFERROR($P1960,PROPER(VLOOKUP($O1960,'Villes en erreur'!$A$2:$B$72,2,FALSE)))</f>
        <v>Sainte-Thérèse</v>
      </c>
      <c r="R1960" s="9" t="s">
        <v>9184</v>
      </c>
      <c r="S1960" s="9" t="str">
        <f>IF(ISBLANK($R1960),"",VLOOKUP($R1960,'Liste des Villes'!$B$2:$H$1128,4,FALSE))</f>
        <v>Laurentides</v>
      </c>
      <c r="T1960" s="2" t="s">
        <v>9309</v>
      </c>
      <c r="U1960" s="2" t="s">
        <v>39</v>
      </c>
      <c r="V1960" s="2" t="s">
        <v>40</v>
      </c>
      <c r="W1960" s="2" t="s">
        <v>9310</v>
      </c>
      <c r="X1960" s="2"/>
      <c r="Y1960" s="2"/>
      <c r="Z1960" s="2"/>
      <c r="AA1960" s="2" t="s">
        <v>9187</v>
      </c>
      <c r="AB1960" s="2" t="s">
        <v>73</v>
      </c>
      <c r="AC1960" s="4" t="s">
        <v>44</v>
      </c>
    </row>
    <row r="1961" spans="1:29" x14ac:dyDescent="0.25">
      <c r="A1961" s="1">
        <v>1418</v>
      </c>
      <c r="B1961" s="17" t="s">
        <v>9311</v>
      </c>
      <c r="C1961" s="2" t="s">
        <v>3368</v>
      </c>
      <c r="D1961" s="15" t="s">
        <v>3042</v>
      </c>
      <c r="E1961" s="9" t="s">
        <v>3274</v>
      </c>
      <c r="F1961" s="9" t="s">
        <v>5888</v>
      </c>
      <c r="G1961" s="9" t="s">
        <v>3162</v>
      </c>
      <c r="H1961" s="2" t="s">
        <v>35</v>
      </c>
      <c r="I1961" s="3">
        <v>36459</v>
      </c>
      <c r="J1961" s="9" t="str">
        <f t="shared" ca="1" si="32"/>
        <v>23 ans</v>
      </c>
      <c r="K1961" s="2" t="s">
        <v>123</v>
      </c>
      <c r="L1961" s="2" t="str">
        <f>"379"</f>
        <v>379</v>
      </c>
      <c r="M1961" s="2"/>
      <c r="N1961" s="2" t="str">
        <f>"RUE DE CAHORS"</f>
        <v>RUE DE CAHORS</v>
      </c>
      <c r="O1961" s="2" t="s">
        <v>9183</v>
      </c>
      <c r="P1961" s="9" t="str">
        <f>VLOOKUP($O1961,'Liste des Villes'!$B$2:$B$1128,1,FALSE)</f>
        <v>Sainte-Thérèse</v>
      </c>
      <c r="Q1961" s="9" t="str">
        <f>IFERROR($P1961,PROPER(VLOOKUP($O1961,'Villes en erreur'!$A$2:$B$72,2,FALSE)))</f>
        <v>Sainte-Thérèse</v>
      </c>
      <c r="R1961" s="9" t="s">
        <v>9184</v>
      </c>
      <c r="S1961" s="9" t="str">
        <f>IF(ISBLANK($R1961),"",VLOOKUP($R1961,'Liste des Villes'!$B$2:$H$1128,4,FALSE))</f>
        <v>Laurentides</v>
      </c>
      <c r="T1961" s="2" t="s">
        <v>9247</v>
      </c>
      <c r="U1961" s="2" t="s">
        <v>39</v>
      </c>
      <c r="V1961" s="2" t="s">
        <v>40</v>
      </c>
      <c r="W1961" s="2" t="s">
        <v>9312</v>
      </c>
      <c r="X1961" s="2"/>
      <c r="Y1961" s="2"/>
      <c r="Z1961" s="2"/>
      <c r="AA1961" s="2" t="s">
        <v>9187</v>
      </c>
      <c r="AB1961" s="2" t="s">
        <v>73</v>
      </c>
      <c r="AC1961" s="4" t="s">
        <v>44</v>
      </c>
    </row>
    <row r="1962" spans="1:29" x14ac:dyDescent="0.25">
      <c r="A1962" s="1">
        <v>2780</v>
      </c>
      <c r="B1962" s="17" t="s">
        <v>9313</v>
      </c>
      <c r="C1962" s="2" t="s">
        <v>9314</v>
      </c>
      <c r="D1962" s="15" t="s">
        <v>7473</v>
      </c>
      <c r="E1962" s="9" t="s">
        <v>743</v>
      </c>
      <c r="F1962" s="9" t="s">
        <v>1076</v>
      </c>
      <c r="G1962" s="9" t="s">
        <v>3162</v>
      </c>
      <c r="H1962" s="2" t="s">
        <v>35</v>
      </c>
      <c r="I1962" s="3">
        <v>36455</v>
      </c>
      <c r="J1962" s="9" t="str">
        <f t="shared" ca="1" si="32"/>
        <v>23 ans</v>
      </c>
      <c r="K1962" s="2" t="s">
        <v>123</v>
      </c>
      <c r="L1962" s="2" t="str">
        <f>"377"</f>
        <v>377</v>
      </c>
      <c r="M1962" s="2"/>
      <c r="N1962" s="2" t="str">
        <f>"RUE DE BOURGOGNE"</f>
        <v>RUE DE BOURGOGNE</v>
      </c>
      <c r="O1962" s="2" t="s">
        <v>9183</v>
      </c>
      <c r="P1962" s="9" t="str">
        <f>VLOOKUP($O1962,'Liste des Villes'!$B$2:$B$1128,1,FALSE)</f>
        <v>Sainte-Thérèse</v>
      </c>
      <c r="Q1962" s="9" t="str">
        <f>IFERROR($P1962,PROPER(VLOOKUP($O1962,'Villes en erreur'!$A$2:$B$72,2,FALSE)))</f>
        <v>Sainte-Thérèse</v>
      </c>
      <c r="R1962" s="9" t="s">
        <v>9184</v>
      </c>
      <c r="S1962" s="9" t="str">
        <f>IF(ISBLANK($R1962),"",VLOOKUP($R1962,'Liste des Villes'!$B$2:$H$1128,4,FALSE))</f>
        <v>Laurentides</v>
      </c>
      <c r="T1962" s="2" t="s">
        <v>9315</v>
      </c>
      <c r="U1962" s="2" t="s">
        <v>39</v>
      </c>
      <c r="V1962" s="2" t="s">
        <v>40</v>
      </c>
      <c r="W1962" s="2" t="s">
        <v>9316</v>
      </c>
      <c r="X1962" s="2"/>
      <c r="Y1962" s="2"/>
      <c r="Z1962" s="2"/>
      <c r="AA1962" s="2" t="s">
        <v>9187</v>
      </c>
      <c r="AB1962" s="2" t="s">
        <v>73</v>
      </c>
      <c r="AC1962" s="4" t="s">
        <v>44</v>
      </c>
    </row>
    <row r="1963" spans="1:29" x14ac:dyDescent="0.25">
      <c r="A1963" s="1">
        <v>593</v>
      </c>
      <c r="B1963" s="17" t="s">
        <v>9317</v>
      </c>
      <c r="C1963" s="2" t="s">
        <v>9318</v>
      </c>
      <c r="D1963" s="15" t="s">
        <v>9319</v>
      </c>
      <c r="E1963" s="9" t="s">
        <v>348</v>
      </c>
      <c r="F1963" s="9" t="s">
        <v>8151</v>
      </c>
      <c r="G1963" s="9" t="s">
        <v>9320</v>
      </c>
      <c r="H1963" s="2" t="s">
        <v>60</v>
      </c>
      <c r="I1963" s="3">
        <v>36460</v>
      </c>
      <c r="J1963" s="9" t="str">
        <f t="shared" ca="1" si="32"/>
        <v>23 ans</v>
      </c>
      <c r="K1963" s="2" t="s">
        <v>123</v>
      </c>
      <c r="L1963" s="2" t="str">
        <f>"380"</f>
        <v>380</v>
      </c>
      <c r="M1963" s="2"/>
      <c r="N1963" s="2" t="str">
        <f>"RUE DE CALLIÈRES"</f>
        <v>RUE DE CALLIÈRES</v>
      </c>
      <c r="O1963" s="2" t="s">
        <v>9183</v>
      </c>
      <c r="P1963" s="9" t="str">
        <f>VLOOKUP($O1963,'Liste des Villes'!$B$2:$B$1128,1,FALSE)</f>
        <v>Sainte-Thérèse</v>
      </c>
      <c r="Q1963" s="9" t="str">
        <f>IFERROR($P1963,PROPER(VLOOKUP($O1963,'Villes en erreur'!$A$2:$B$72,2,FALSE)))</f>
        <v>Sainte-Thérèse</v>
      </c>
      <c r="R1963" s="9" t="s">
        <v>9184</v>
      </c>
      <c r="S1963" s="9" t="str">
        <f>IF(ISBLANK($R1963),"",VLOOKUP($R1963,'Liste des Villes'!$B$2:$H$1128,4,FALSE))</f>
        <v>Laurentides</v>
      </c>
      <c r="T1963" s="2" t="s">
        <v>9321</v>
      </c>
      <c r="U1963" s="2" t="s">
        <v>39</v>
      </c>
      <c r="V1963" s="2" t="s">
        <v>40</v>
      </c>
      <c r="W1963" s="2" t="s">
        <v>9322</v>
      </c>
      <c r="X1963" s="2"/>
      <c r="Y1963" s="2"/>
      <c r="Z1963" s="2"/>
      <c r="AA1963" s="2" t="s">
        <v>9187</v>
      </c>
      <c r="AB1963" s="2" t="s">
        <v>73</v>
      </c>
      <c r="AC1963" s="4" t="s">
        <v>44</v>
      </c>
    </row>
    <row r="1964" spans="1:29" x14ac:dyDescent="0.25">
      <c r="A1964" s="1">
        <v>3844</v>
      </c>
      <c r="B1964" s="17" t="s">
        <v>9323</v>
      </c>
      <c r="C1964" s="2" t="s">
        <v>9324</v>
      </c>
      <c r="D1964" s="15" t="s">
        <v>2706</v>
      </c>
      <c r="E1964" s="9" t="s">
        <v>3218</v>
      </c>
      <c r="F1964" s="9" t="s">
        <v>9325</v>
      </c>
      <c r="G1964" s="9" t="s">
        <v>4988</v>
      </c>
      <c r="H1964" s="2" t="s">
        <v>35</v>
      </c>
      <c r="I1964" s="3">
        <v>36433</v>
      </c>
      <c r="J1964" s="9" t="str">
        <f t="shared" ca="1" si="32"/>
        <v>23 ans</v>
      </c>
      <c r="K1964" s="2" t="s">
        <v>123</v>
      </c>
      <c r="L1964" s="2" t="str">
        <f>"361"</f>
        <v>361</v>
      </c>
      <c r="M1964" s="2"/>
      <c r="N1964" s="2" t="str">
        <f>"RUE D'ANJOU"</f>
        <v>RUE D'ANJOU</v>
      </c>
      <c r="O1964" s="2" t="s">
        <v>9183</v>
      </c>
      <c r="P1964" s="9" t="str">
        <f>VLOOKUP($O1964,'Liste des Villes'!$B$2:$B$1128,1,FALSE)</f>
        <v>Sainte-Thérèse</v>
      </c>
      <c r="Q1964" s="9" t="str">
        <f>IFERROR($P1964,PROPER(VLOOKUP($O1964,'Villes en erreur'!$A$2:$B$72,2,FALSE)))</f>
        <v>Sainte-Thérèse</v>
      </c>
      <c r="R1964" s="9" t="s">
        <v>9184</v>
      </c>
      <c r="S1964" s="9" t="str">
        <f>IF(ISBLANK($R1964),"",VLOOKUP($R1964,'Liste des Villes'!$B$2:$H$1128,4,FALSE))</f>
        <v>Laurentides</v>
      </c>
      <c r="T1964" s="2" t="s">
        <v>8869</v>
      </c>
      <c r="U1964" s="2" t="s">
        <v>39</v>
      </c>
      <c r="V1964" s="2" t="s">
        <v>40</v>
      </c>
      <c r="W1964" s="2" t="s">
        <v>9326</v>
      </c>
      <c r="X1964" s="2"/>
      <c r="Y1964" s="2"/>
      <c r="Z1964" s="2"/>
      <c r="AA1964" s="2" t="s">
        <v>127</v>
      </c>
      <c r="AB1964" s="2" t="s">
        <v>73</v>
      </c>
      <c r="AC1964" s="4" t="s">
        <v>44</v>
      </c>
    </row>
    <row r="1965" spans="1:29" x14ac:dyDescent="0.25">
      <c r="A1965" s="1">
        <v>1027</v>
      </c>
      <c r="B1965" s="17" t="s">
        <v>9327</v>
      </c>
      <c r="C1965" s="2" t="s">
        <v>9328</v>
      </c>
      <c r="D1965" s="15" t="s">
        <v>9329</v>
      </c>
      <c r="E1965" s="9" t="s">
        <v>2334</v>
      </c>
      <c r="F1965" s="9" t="s">
        <v>9330</v>
      </c>
      <c r="G1965" s="9" t="s">
        <v>8167</v>
      </c>
      <c r="H1965" s="2" t="s">
        <v>35</v>
      </c>
      <c r="I1965" s="3">
        <v>36474</v>
      </c>
      <c r="J1965" s="9" t="str">
        <f t="shared" ca="1" si="32"/>
        <v>23 ans</v>
      </c>
      <c r="K1965" s="2" t="s">
        <v>123</v>
      </c>
      <c r="L1965" s="2" t="str">
        <f>"390"</f>
        <v>390</v>
      </c>
      <c r="M1965" s="2"/>
      <c r="N1965" s="2" t="str">
        <f>"RUE DE CHATHAM"</f>
        <v>RUE DE CHATHAM</v>
      </c>
      <c r="O1965" s="2" t="s">
        <v>9183</v>
      </c>
      <c r="P1965" s="9" t="str">
        <f>VLOOKUP($O1965,'Liste des Villes'!$B$2:$B$1128,1,FALSE)</f>
        <v>Sainte-Thérèse</v>
      </c>
      <c r="Q1965" s="9" t="str">
        <f>IFERROR($P1965,PROPER(VLOOKUP($O1965,'Villes en erreur'!$A$2:$B$72,2,FALSE)))</f>
        <v>Sainte-Thérèse</v>
      </c>
      <c r="R1965" s="9" t="s">
        <v>9184</v>
      </c>
      <c r="S1965" s="9" t="str">
        <f>IF(ISBLANK($R1965),"",VLOOKUP($R1965,'Liste des Villes'!$B$2:$H$1128,4,FALSE))</f>
        <v>Laurentides</v>
      </c>
      <c r="T1965" s="2" t="s">
        <v>9331</v>
      </c>
      <c r="U1965" s="2" t="s">
        <v>39</v>
      </c>
      <c r="V1965" s="2" t="s">
        <v>40</v>
      </c>
      <c r="W1965" s="2" t="s">
        <v>9332</v>
      </c>
      <c r="X1965" s="2"/>
      <c r="Y1965" s="2"/>
      <c r="Z1965" s="2"/>
      <c r="AA1965" s="2" t="s">
        <v>9187</v>
      </c>
      <c r="AB1965" s="2" t="s">
        <v>73</v>
      </c>
      <c r="AC1965" s="4" t="s">
        <v>44</v>
      </c>
    </row>
    <row r="1966" spans="1:29" x14ac:dyDescent="0.25">
      <c r="A1966" s="1">
        <v>3920</v>
      </c>
      <c r="B1966" s="17" t="s">
        <v>9333</v>
      </c>
      <c r="C1966" s="2" t="s">
        <v>2343</v>
      </c>
      <c r="D1966" s="15" t="s">
        <v>2344</v>
      </c>
      <c r="E1966" s="9" t="s">
        <v>94</v>
      </c>
      <c r="F1966" s="9" t="s">
        <v>6322</v>
      </c>
      <c r="G1966" s="9" t="s">
        <v>3720</v>
      </c>
      <c r="H1966" s="2" t="s">
        <v>60</v>
      </c>
      <c r="I1966" s="3">
        <v>36453</v>
      </c>
      <c r="J1966" s="9" t="str">
        <f t="shared" ca="1" si="32"/>
        <v>23 ans</v>
      </c>
      <c r="K1966" s="2" t="s">
        <v>123</v>
      </c>
      <c r="L1966" s="2" t="str">
        <f>"375"</f>
        <v>375</v>
      </c>
      <c r="M1966" s="2"/>
      <c r="N1966" s="2" t="str">
        <f>"RUE DE BORDEAUX"</f>
        <v>RUE DE BORDEAUX</v>
      </c>
      <c r="O1966" s="2" t="s">
        <v>9183</v>
      </c>
      <c r="P1966" s="9" t="str">
        <f>VLOOKUP($O1966,'Liste des Villes'!$B$2:$B$1128,1,FALSE)</f>
        <v>Sainte-Thérèse</v>
      </c>
      <c r="Q1966" s="9" t="str">
        <f>IFERROR($P1966,PROPER(VLOOKUP($O1966,'Villes en erreur'!$A$2:$B$72,2,FALSE)))</f>
        <v>Sainte-Thérèse</v>
      </c>
      <c r="R1966" s="9" t="s">
        <v>9184</v>
      </c>
      <c r="S1966" s="9" t="str">
        <f>IF(ISBLANK($R1966),"",VLOOKUP($R1966,'Liste des Villes'!$B$2:$H$1128,4,FALSE))</f>
        <v>Laurentides</v>
      </c>
      <c r="T1966" s="2" t="s">
        <v>9242</v>
      </c>
      <c r="U1966" s="2" t="s">
        <v>39</v>
      </c>
      <c r="V1966" s="2" t="s">
        <v>40</v>
      </c>
      <c r="W1966" s="2" t="s">
        <v>9334</v>
      </c>
      <c r="X1966" s="2"/>
      <c r="Y1966" s="2"/>
      <c r="Z1966" s="2"/>
      <c r="AA1966" s="2" t="s">
        <v>9187</v>
      </c>
      <c r="AB1966" s="2" t="s">
        <v>73</v>
      </c>
      <c r="AC1966" s="4" t="s">
        <v>44</v>
      </c>
    </row>
    <row r="1967" spans="1:29" x14ac:dyDescent="0.25">
      <c r="A1967" s="1">
        <v>3830</v>
      </c>
      <c r="B1967" s="17" t="s">
        <v>9335</v>
      </c>
      <c r="C1967" s="2" t="s">
        <v>9336</v>
      </c>
      <c r="D1967" s="15" t="s">
        <v>5472</v>
      </c>
      <c r="E1967" s="9" t="s">
        <v>610</v>
      </c>
      <c r="F1967" s="9" t="s">
        <v>5471</v>
      </c>
      <c r="G1967" s="9" t="s">
        <v>4988</v>
      </c>
      <c r="H1967" s="2" t="s">
        <v>35</v>
      </c>
      <c r="I1967" s="3">
        <v>36432</v>
      </c>
      <c r="J1967" s="9" t="str">
        <f t="shared" ca="1" si="32"/>
        <v>23 ans</v>
      </c>
      <c r="K1967" s="2" t="s">
        <v>123</v>
      </c>
      <c r="L1967" s="2" t="str">
        <f>"361"</f>
        <v>361</v>
      </c>
      <c r="M1967" s="2"/>
      <c r="N1967" s="2" t="str">
        <f>"RUE D'ANJOU"</f>
        <v>RUE D'ANJOU</v>
      </c>
      <c r="O1967" s="2" t="s">
        <v>9183</v>
      </c>
      <c r="P1967" s="9" t="str">
        <f>VLOOKUP($O1967,'Liste des Villes'!$B$2:$B$1128,1,FALSE)</f>
        <v>Sainte-Thérèse</v>
      </c>
      <c r="Q1967" s="9" t="str">
        <f>IFERROR($P1967,PROPER(VLOOKUP($O1967,'Villes en erreur'!$A$2:$B$72,2,FALSE)))</f>
        <v>Sainte-Thérèse</v>
      </c>
      <c r="R1967" s="9" t="s">
        <v>9184</v>
      </c>
      <c r="S1967" s="9" t="str">
        <f>IF(ISBLANK($R1967),"",VLOOKUP($R1967,'Liste des Villes'!$B$2:$H$1128,4,FALSE))</f>
        <v>Laurentides</v>
      </c>
      <c r="T1967" s="2" t="s">
        <v>8869</v>
      </c>
      <c r="U1967" s="2" t="s">
        <v>39</v>
      </c>
      <c r="V1967" s="2" t="s">
        <v>40</v>
      </c>
      <c r="W1967" s="2" t="s">
        <v>9337</v>
      </c>
      <c r="X1967" s="2"/>
      <c r="Y1967" s="2"/>
      <c r="Z1967" s="2"/>
      <c r="AA1967" s="2" t="s">
        <v>127</v>
      </c>
      <c r="AB1967" s="2" t="s">
        <v>73</v>
      </c>
      <c r="AC1967" s="4" t="s">
        <v>44</v>
      </c>
    </row>
    <row r="1968" spans="1:29" x14ac:dyDescent="0.25">
      <c r="A1968" s="1">
        <v>4002</v>
      </c>
      <c r="B1968" s="17" t="s">
        <v>9338</v>
      </c>
      <c r="C1968" s="2" t="s">
        <v>6754</v>
      </c>
      <c r="D1968" s="15" t="s">
        <v>3553</v>
      </c>
      <c r="E1968" s="9" t="s">
        <v>3162</v>
      </c>
      <c r="F1968" s="9" t="s">
        <v>2474</v>
      </c>
      <c r="G1968" s="9" t="s">
        <v>4716</v>
      </c>
      <c r="H1968" s="2" t="s">
        <v>35</v>
      </c>
      <c r="I1968" s="3">
        <v>36468</v>
      </c>
      <c r="J1968" s="9" t="str">
        <f t="shared" ca="1" si="32"/>
        <v>23 ans</v>
      </c>
      <c r="K1968" s="2" t="s">
        <v>123</v>
      </c>
      <c r="L1968" s="2" t="str">
        <f>"386"</f>
        <v>386</v>
      </c>
      <c r="M1968" s="2"/>
      <c r="N1968" s="2" t="str">
        <f>"RUE DE CHAMONIX"</f>
        <v>RUE DE CHAMONIX</v>
      </c>
      <c r="O1968" s="2" t="s">
        <v>9183</v>
      </c>
      <c r="P1968" s="9" t="str">
        <f>VLOOKUP($O1968,'Liste des Villes'!$B$2:$B$1128,1,FALSE)</f>
        <v>Sainte-Thérèse</v>
      </c>
      <c r="Q1968" s="9" t="str">
        <f>IFERROR($P1968,PROPER(VLOOKUP($O1968,'Villes en erreur'!$A$2:$B$72,2,FALSE)))</f>
        <v>Sainte-Thérèse</v>
      </c>
      <c r="R1968" s="9" t="s">
        <v>9184</v>
      </c>
      <c r="S1968" s="9" t="str">
        <f>IF(ISBLANK($R1968),"",VLOOKUP($R1968,'Liste des Villes'!$B$2:$H$1128,4,FALSE))</f>
        <v>Laurentides</v>
      </c>
      <c r="T1968" s="2" t="s">
        <v>9339</v>
      </c>
      <c r="U1968" s="2" t="s">
        <v>39</v>
      </c>
      <c r="V1968" s="2" t="s">
        <v>40</v>
      </c>
      <c r="W1968" s="2" t="s">
        <v>9340</v>
      </c>
      <c r="X1968" s="2"/>
      <c r="Y1968" s="2"/>
      <c r="Z1968" s="2"/>
      <c r="AA1968" s="2" t="s">
        <v>9187</v>
      </c>
      <c r="AB1968" s="2" t="s">
        <v>73</v>
      </c>
      <c r="AC1968" s="4" t="s">
        <v>44</v>
      </c>
    </row>
    <row r="1969" spans="1:29" x14ac:dyDescent="0.25">
      <c r="A1969" s="1">
        <v>4289</v>
      </c>
      <c r="B1969" s="17" t="s">
        <v>9341</v>
      </c>
      <c r="C1969" s="2" t="s">
        <v>9342</v>
      </c>
      <c r="D1969" s="15" t="s">
        <v>9343</v>
      </c>
      <c r="E1969" s="9" t="s">
        <v>1268</v>
      </c>
      <c r="F1969" s="9" t="s">
        <v>2898</v>
      </c>
      <c r="G1969" s="9" t="s">
        <v>9163</v>
      </c>
      <c r="H1969" s="2" t="s">
        <v>35</v>
      </c>
      <c r="I1969" s="3">
        <v>36443</v>
      </c>
      <c r="J1969" s="9" t="str">
        <f t="shared" ca="1" si="32"/>
        <v>23 ans</v>
      </c>
      <c r="K1969" s="2" t="s">
        <v>123</v>
      </c>
      <c r="L1969" s="2" t="str">
        <f>"369"</f>
        <v>369</v>
      </c>
      <c r="M1969" s="2"/>
      <c r="N1969" s="2" t="str">
        <f>"RUE DE BEAUHARNOIS"</f>
        <v>RUE DE BEAUHARNOIS</v>
      </c>
      <c r="O1969" s="2" t="s">
        <v>9183</v>
      </c>
      <c r="P1969" s="9" t="str">
        <f>VLOOKUP($O1969,'Liste des Villes'!$B$2:$B$1128,1,FALSE)</f>
        <v>Sainte-Thérèse</v>
      </c>
      <c r="Q1969" s="9" t="str">
        <f>IFERROR($P1969,PROPER(VLOOKUP($O1969,'Villes en erreur'!$A$2:$B$72,2,FALSE)))</f>
        <v>Sainte-Thérèse</v>
      </c>
      <c r="R1969" s="9" t="s">
        <v>9184</v>
      </c>
      <c r="S1969" s="9" t="str">
        <f>IF(ISBLANK($R1969),"",VLOOKUP($R1969,'Liste des Villes'!$B$2:$H$1128,4,FALSE))</f>
        <v>Laurentides</v>
      </c>
      <c r="T1969" s="2" t="s">
        <v>9193</v>
      </c>
      <c r="U1969" s="2" t="s">
        <v>39</v>
      </c>
      <c r="V1969" s="2" t="s">
        <v>40</v>
      </c>
      <c r="W1969" s="2" t="s">
        <v>9344</v>
      </c>
      <c r="X1969" s="2"/>
      <c r="Y1969" s="2"/>
      <c r="Z1969" s="2"/>
      <c r="AA1969" s="2" t="s">
        <v>127</v>
      </c>
      <c r="AB1969" s="2" t="s">
        <v>73</v>
      </c>
      <c r="AC1969" s="4" t="s">
        <v>44</v>
      </c>
    </row>
    <row r="1970" spans="1:29" x14ac:dyDescent="0.25">
      <c r="A1970" s="1">
        <v>1592</v>
      </c>
      <c r="B1970" s="17" t="s">
        <v>9345</v>
      </c>
      <c r="C1970" s="2" t="s">
        <v>9346</v>
      </c>
      <c r="D1970" s="15" t="s">
        <v>1746</v>
      </c>
      <c r="E1970" s="9" t="s">
        <v>3990</v>
      </c>
      <c r="F1970" s="9" t="s">
        <v>5762</v>
      </c>
      <c r="G1970" s="9" t="s">
        <v>3511</v>
      </c>
      <c r="H1970" s="2" t="s">
        <v>35</v>
      </c>
      <c r="I1970" s="3">
        <v>36437</v>
      </c>
      <c r="J1970" s="9" t="str">
        <f t="shared" ca="1" si="32"/>
        <v>23 ans</v>
      </c>
      <c r="K1970" s="2" t="s">
        <v>123</v>
      </c>
      <c r="L1970" s="2" t="str">
        <f>"365"</f>
        <v>365</v>
      </c>
      <c r="M1970" s="2"/>
      <c r="N1970" s="2" t="str">
        <f>"RUE DE BEAUFORT"</f>
        <v>RUE DE BEAUFORT</v>
      </c>
      <c r="O1970" s="2" t="s">
        <v>9183</v>
      </c>
      <c r="P1970" s="9" t="str">
        <f>VLOOKUP($O1970,'Liste des Villes'!$B$2:$B$1128,1,FALSE)</f>
        <v>Sainte-Thérèse</v>
      </c>
      <c r="Q1970" s="9" t="str">
        <f>IFERROR($P1970,PROPER(VLOOKUP($O1970,'Villes en erreur'!$A$2:$B$72,2,FALSE)))</f>
        <v>Sainte-Thérèse</v>
      </c>
      <c r="R1970" s="9" t="s">
        <v>9184</v>
      </c>
      <c r="S1970" s="9" t="str">
        <f>IF(ISBLANK($R1970),"",VLOOKUP($R1970,'Liste des Villes'!$B$2:$H$1128,4,FALSE))</f>
        <v>Laurentides</v>
      </c>
      <c r="T1970" s="2" t="s">
        <v>9347</v>
      </c>
      <c r="U1970" s="2" t="s">
        <v>39</v>
      </c>
      <c r="V1970" s="2" t="s">
        <v>40</v>
      </c>
      <c r="W1970" s="2" t="s">
        <v>9348</v>
      </c>
      <c r="X1970" s="2"/>
      <c r="Y1970" s="2"/>
      <c r="Z1970" s="2"/>
      <c r="AA1970" s="2" t="s">
        <v>127</v>
      </c>
      <c r="AB1970" s="2" t="s">
        <v>73</v>
      </c>
      <c r="AC1970" s="4" t="s">
        <v>44</v>
      </c>
    </row>
    <row r="1971" spans="1:29" x14ac:dyDescent="0.25">
      <c r="A1971" s="1">
        <v>1800</v>
      </c>
      <c r="B1971" s="17" t="s">
        <v>9349</v>
      </c>
      <c r="C1971" s="2" t="s">
        <v>9350</v>
      </c>
      <c r="D1971" s="15" t="s">
        <v>5394</v>
      </c>
      <c r="E1971" s="9" t="s">
        <v>1236</v>
      </c>
      <c r="F1971" s="9" t="s">
        <v>2698</v>
      </c>
      <c r="G1971" s="9" t="s">
        <v>5779</v>
      </c>
      <c r="H1971" s="2" t="s">
        <v>60</v>
      </c>
      <c r="I1971" s="3">
        <v>36473</v>
      </c>
      <c r="J1971" s="9" t="str">
        <f t="shared" ca="1" si="32"/>
        <v>23 ans</v>
      </c>
      <c r="K1971" s="2" t="s">
        <v>123</v>
      </c>
      <c r="L1971" s="2" t="str">
        <f>"388"</f>
        <v>388</v>
      </c>
      <c r="M1971" s="2"/>
      <c r="N1971" s="2" t="str">
        <f>"RUE DE CHANTILLY"</f>
        <v>RUE DE CHANTILLY</v>
      </c>
      <c r="O1971" s="2" t="s">
        <v>9183</v>
      </c>
      <c r="P1971" s="9" t="str">
        <f>VLOOKUP($O1971,'Liste des Villes'!$B$2:$B$1128,1,FALSE)</f>
        <v>Sainte-Thérèse</v>
      </c>
      <c r="Q1971" s="9" t="str">
        <f>IFERROR($P1971,PROPER(VLOOKUP($O1971,'Villes en erreur'!$A$2:$B$72,2,FALSE)))</f>
        <v>Sainte-Thérèse</v>
      </c>
      <c r="R1971" s="9" t="s">
        <v>9184</v>
      </c>
      <c r="S1971" s="9" t="str">
        <f>IF(ISBLANK($R1971),"",VLOOKUP($R1971,'Liste des Villes'!$B$2:$H$1128,4,FALSE))</f>
        <v>Laurentides</v>
      </c>
      <c r="T1971" s="2" t="s">
        <v>9351</v>
      </c>
      <c r="U1971" s="2" t="s">
        <v>39</v>
      </c>
      <c r="V1971" s="2" t="s">
        <v>40</v>
      </c>
      <c r="W1971" s="2" t="s">
        <v>9352</v>
      </c>
      <c r="X1971" s="2"/>
      <c r="Y1971" s="2"/>
      <c r="Z1971" s="2"/>
      <c r="AA1971" s="2" t="s">
        <v>9187</v>
      </c>
      <c r="AB1971" s="2" t="s">
        <v>73</v>
      </c>
      <c r="AC1971" s="4" t="s">
        <v>44</v>
      </c>
    </row>
    <row r="1972" spans="1:29" x14ac:dyDescent="0.25">
      <c r="A1972" s="1">
        <v>3989</v>
      </c>
      <c r="B1972" s="17" t="s">
        <v>9353</v>
      </c>
      <c r="C1972" s="2" t="s">
        <v>9354</v>
      </c>
      <c r="D1972" s="15" t="s">
        <v>9355</v>
      </c>
      <c r="E1972" s="9" t="s">
        <v>685</v>
      </c>
      <c r="F1972" s="9" t="s">
        <v>541</v>
      </c>
      <c r="G1972" s="9" t="s">
        <v>9146</v>
      </c>
      <c r="H1972" s="2" t="s">
        <v>60</v>
      </c>
      <c r="I1972" s="3">
        <v>36436</v>
      </c>
      <c r="J1972" s="9" t="str">
        <f t="shared" ca="1" si="32"/>
        <v>23 ans</v>
      </c>
      <c r="K1972" s="2" t="s">
        <v>123</v>
      </c>
      <c r="L1972" s="2" t="str">
        <f>"363"</f>
        <v>363</v>
      </c>
      <c r="M1972" s="2"/>
      <c r="N1972" s="2" t="str">
        <f>"RUE D'AVESNIÈRES"</f>
        <v>RUE D'AVESNIÈRES</v>
      </c>
      <c r="O1972" s="2" t="s">
        <v>9183</v>
      </c>
      <c r="P1972" s="9" t="str">
        <f>VLOOKUP($O1972,'Liste des Villes'!$B$2:$B$1128,1,FALSE)</f>
        <v>Sainte-Thérèse</v>
      </c>
      <c r="Q1972" s="9" t="str">
        <f>IFERROR($P1972,PROPER(VLOOKUP($O1972,'Villes en erreur'!$A$2:$B$72,2,FALSE)))</f>
        <v>Sainte-Thérèse</v>
      </c>
      <c r="R1972" s="9" t="s">
        <v>9184</v>
      </c>
      <c r="S1972" s="9" t="str">
        <f>IF(ISBLANK($R1972),"",VLOOKUP($R1972,'Liste des Villes'!$B$2:$H$1128,4,FALSE))</f>
        <v>Laurentides</v>
      </c>
      <c r="T1972" s="2" t="s">
        <v>9356</v>
      </c>
      <c r="U1972" s="2" t="s">
        <v>39</v>
      </c>
      <c r="V1972" s="2" t="s">
        <v>40</v>
      </c>
      <c r="W1972" s="2" t="s">
        <v>9357</v>
      </c>
      <c r="X1972" s="2"/>
      <c r="Y1972" s="2"/>
      <c r="Z1972" s="2"/>
      <c r="AA1972" s="2" t="s">
        <v>127</v>
      </c>
      <c r="AB1972" s="2" t="s">
        <v>73</v>
      </c>
      <c r="AC1972" s="4" t="s">
        <v>44</v>
      </c>
    </row>
    <row r="1973" spans="1:29" x14ac:dyDescent="0.25">
      <c r="A1973" s="1">
        <v>2987</v>
      </c>
      <c r="B1973" s="17" t="s">
        <v>9358</v>
      </c>
      <c r="C1973" s="2" t="s">
        <v>9359</v>
      </c>
      <c r="D1973" s="15" t="s">
        <v>9289</v>
      </c>
      <c r="E1973" s="9" t="s">
        <v>370</v>
      </c>
      <c r="F1973" s="9" t="s">
        <v>808</v>
      </c>
      <c r="G1973" s="9" t="s">
        <v>9360</v>
      </c>
      <c r="H1973" s="2" t="s">
        <v>60</v>
      </c>
      <c r="I1973" s="3">
        <v>36469</v>
      </c>
      <c r="J1973" s="9" t="str">
        <f t="shared" ca="1" si="32"/>
        <v>23 ans</v>
      </c>
      <c r="K1973" s="2" t="s">
        <v>123</v>
      </c>
      <c r="L1973" s="2" t="str">
        <f>"387"</f>
        <v>387</v>
      </c>
      <c r="M1973" s="2"/>
      <c r="N1973" s="2" t="str">
        <f>"RUE DE CHAMONIX"</f>
        <v>RUE DE CHAMONIX</v>
      </c>
      <c r="O1973" s="2" t="s">
        <v>9183</v>
      </c>
      <c r="P1973" s="9" t="str">
        <f>VLOOKUP($O1973,'Liste des Villes'!$B$2:$B$1128,1,FALSE)</f>
        <v>Sainte-Thérèse</v>
      </c>
      <c r="Q1973" s="9" t="str">
        <f>IFERROR($P1973,PROPER(VLOOKUP($O1973,'Villes en erreur'!$A$2:$B$72,2,FALSE)))</f>
        <v>Sainte-Thérèse</v>
      </c>
      <c r="R1973" s="9" t="s">
        <v>9184</v>
      </c>
      <c r="S1973" s="9" t="str">
        <f>IF(ISBLANK($R1973),"",VLOOKUP($R1973,'Liste des Villes'!$B$2:$H$1128,4,FALSE))</f>
        <v>Laurentides</v>
      </c>
      <c r="T1973" s="2" t="s">
        <v>9361</v>
      </c>
      <c r="U1973" s="2" t="s">
        <v>39</v>
      </c>
      <c r="V1973" s="2" t="s">
        <v>40</v>
      </c>
      <c r="W1973" s="2" t="s">
        <v>9362</v>
      </c>
      <c r="X1973" s="2"/>
      <c r="Y1973" s="2"/>
      <c r="Z1973" s="2"/>
      <c r="AA1973" s="2" t="s">
        <v>9187</v>
      </c>
      <c r="AB1973" s="2" t="s">
        <v>73</v>
      </c>
      <c r="AC1973" s="4" t="s">
        <v>44</v>
      </c>
    </row>
    <row r="1974" spans="1:29" x14ac:dyDescent="0.25">
      <c r="A1974" s="1">
        <v>1976</v>
      </c>
      <c r="B1974" s="17" t="s">
        <v>9363</v>
      </c>
      <c r="C1974" s="2" t="s">
        <v>5109</v>
      </c>
      <c r="D1974" s="15" t="s">
        <v>2139</v>
      </c>
      <c r="E1974" s="9" t="s">
        <v>325</v>
      </c>
      <c r="F1974" s="9" t="s">
        <v>3097</v>
      </c>
      <c r="G1974" s="9" t="s">
        <v>9364</v>
      </c>
      <c r="H1974" s="2" t="s">
        <v>60</v>
      </c>
      <c r="I1974" s="3">
        <v>36434</v>
      </c>
      <c r="J1974" s="9" t="str">
        <f t="shared" ca="1" si="32"/>
        <v>23 ans</v>
      </c>
      <c r="K1974" s="2" t="s">
        <v>123</v>
      </c>
      <c r="L1974" s="2" t="str">
        <f>"362"</f>
        <v>362</v>
      </c>
      <c r="M1974" s="2"/>
      <c r="N1974" s="2" t="str">
        <f>"RUE D'ARTAGNAN"</f>
        <v>RUE D'ARTAGNAN</v>
      </c>
      <c r="O1974" s="2" t="s">
        <v>9183</v>
      </c>
      <c r="P1974" s="9" t="str">
        <f>VLOOKUP($O1974,'Liste des Villes'!$B$2:$B$1128,1,FALSE)</f>
        <v>Sainte-Thérèse</v>
      </c>
      <c r="Q1974" s="9" t="str">
        <f>IFERROR($P1974,PROPER(VLOOKUP($O1974,'Villes en erreur'!$A$2:$B$72,2,FALSE)))</f>
        <v>Sainte-Thérèse</v>
      </c>
      <c r="R1974" s="9" t="s">
        <v>9184</v>
      </c>
      <c r="S1974" s="9" t="str">
        <f>IF(ISBLANK($R1974),"",VLOOKUP($R1974,'Liste des Villes'!$B$2:$H$1128,4,FALSE))</f>
        <v>Laurentides</v>
      </c>
      <c r="T1974" s="2" t="s">
        <v>9229</v>
      </c>
      <c r="U1974" s="2" t="s">
        <v>39</v>
      </c>
      <c r="V1974" s="2" t="s">
        <v>40</v>
      </c>
      <c r="W1974" s="2" t="s">
        <v>9365</v>
      </c>
      <c r="X1974" s="2"/>
      <c r="Y1974" s="2"/>
      <c r="Z1974" s="2"/>
      <c r="AA1974" s="2" t="s">
        <v>127</v>
      </c>
      <c r="AB1974" s="2" t="s">
        <v>73</v>
      </c>
      <c r="AC1974" s="4" t="s">
        <v>44</v>
      </c>
    </row>
    <row r="1975" spans="1:29" x14ac:dyDescent="0.25">
      <c r="A1975" s="1">
        <v>1516</v>
      </c>
      <c r="B1975" s="17" t="s">
        <v>9366</v>
      </c>
      <c r="C1975" s="2" t="s">
        <v>9367</v>
      </c>
      <c r="D1975" s="15" t="s">
        <v>1219</v>
      </c>
      <c r="E1975" s="9" t="s">
        <v>5385</v>
      </c>
      <c r="F1975" s="9" t="s">
        <v>2434</v>
      </c>
      <c r="G1975" s="9" t="s">
        <v>6073</v>
      </c>
      <c r="H1975" s="2" t="s">
        <v>60</v>
      </c>
      <c r="I1975" s="3">
        <v>36440</v>
      </c>
      <c r="J1975" s="9" t="str">
        <f t="shared" ca="1" si="32"/>
        <v>23 ans</v>
      </c>
      <c r="K1975" s="2" t="s">
        <v>123</v>
      </c>
      <c r="L1975" s="2" t="str">
        <f>"367"</f>
        <v>367</v>
      </c>
      <c r="M1975" s="2"/>
      <c r="N1975" s="2" t="str">
        <f>"RUE DE BEAUFORT"</f>
        <v>RUE DE BEAUFORT</v>
      </c>
      <c r="O1975" s="2" t="s">
        <v>9183</v>
      </c>
      <c r="P1975" s="9" t="str">
        <f>VLOOKUP($O1975,'Liste des Villes'!$B$2:$B$1128,1,FALSE)</f>
        <v>Sainte-Thérèse</v>
      </c>
      <c r="Q1975" s="9" t="str">
        <f>IFERROR($P1975,PROPER(VLOOKUP($O1975,'Villes en erreur'!$A$2:$B$72,2,FALSE)))</f>
        <v>Sainte-Thérèse</v>
      </c>
      <c r="R1975" s="9" t="s">
        <v>9184</v>
      </c>
      <c r="S1975" s="9" t="str">
        <f>IF(ISBLANK($R1975),"",VLOOKUP($R1975,'Liste des Villes'!$B$2:$H$1128,4,FALSE))</f>
        <v>Laurentides</v>
      </c>
      <c r="T1975" s="2" t="s">
        <v>9193</v>
      </c>
      <c r="U1975" s="2" t="s">
        <v>39</v>
      </c>
      <c r="V1975" s="2" t="s">
        <v>40</v>
      </c>
      <c r="W1975" s="2" t="s">
        <v>9368</v>
      </c>
      <c r="X1975" s="2"/>
      <c r="Y1975" s="2"/>
      <c r="Z1975" s="2"/>
      <c r="AA1975" s="2" t="s">
        <v>127</v>
      </c>
      <c r="AB1975" s="2" t="s">
        <v>73</v>
      </c>
      <c r="AC1975" s="4" t="s">
        <v>44</v>
      </c>
    </row>
    <row r="1976" spans="1:29" x14ac:dyDescent="0.25">
      <c r="A1976" s="1">
        <v>638</v>
      </c>
      <c r="B1976" s="17" t="s">
        <v>9369</v>
      </c>
      <c r="C1976" s="2" t="s">
        <v>9370</v>
      </c>
      <c r="D1976" s="15" t="s">
        <v>9371</v>
      </c>
      <c r="E1976" s="9" t="s">
        <v>85</v>
      </c>
      <c r="F1976" s="9" t="s">
        <v>4512</v>
      </c>
      <c r="G1976" s="9" t="s">
        <v>2717</v>
      </c>
      <c r="H1976" s="2" t="s">
        <v>60</v>
      </c>
      <c r="I1976" s="3">
        <v>36467</v>
      </c>
      <c r="J1976" s="9" t="str">
        <f t="shared" ca="1" si="32"/>
        <v>23 ans</v>
      </c>
      <c r="K1976" s="2" t="s">
        <v>123</v>
      </c>
      <c r="L1976" s="2" t="str">
        <f>"385"</f>
        <v>385</v>
      </c>
      <c r="M1976" s="2"/>
      <c r="N1976" s="2" t="str">
        <f>"RUE DE CHAMBORD"</f>
        <v>RUE DE CHAMBORD</v>
      </c>
      <c r="O1976" s="2" t="s">
        <v>9183</v>
      </c>
      <c r="P1976" s="9" t="str">
        <f>VLOOKUP($O1976,'Liste des Villes'!$B$2:$B$1128,1,FALSE)</f>
        <v>Sainte-Thérèse</v>
      </c>
      <c r="Q1976" s="9" t="str">
        <f>IFERROR($P1976,PROPER(VLOOKUP($O1976,'Villes en erreur'!$A$2:$B$72,2,FALSE)))</f>
        <v>Sainte-Thérèse</v>
      </c>
      <c r="R1976" s="9" t="s">
        <v>9184</v>
      </c>
      <c r="S1976" s="9" t="str">
        <f>IF(ISBLANK($R1976),"",VLOOKUP($R1976,'Liste des Villes'!$B$2:$H$1128,4,FALSE))</f>
        <v>Laurentides</v>
      </c>
      <c r="T1976" s="2" t="s">
        <v>9185</v>
      </c>
      <c r="U1976" s="2" t="s">
        <v>39</v>
      </c>
      <c r="V1976" s="2" t="s">
        <v>40</v>
      </c>
      <c r="W1976" s="2" t="s">
        <v>9372</v>
      </c>
      <c r="X1976" s="2"/>
      <c r="Y1976" s="2"/>
      <c r="Z1976" s="2"/>
      <c r="AA1976" s="2" t="s">
        <v>9187</v>
      </c>
      <c r="AB1976" s="2" t="s">
        <v>73</v>
      </c>
      <c r="AC1976" s="4" t="s">
        <v>44</v>
      </c>
    </row>
    <row r="1977" spans="1:29" x14ac:dyDescent="0.25">
      <c r="A1977" s="1">
        <v>1093</v>
      </c>
      <c r="B1977" s="17" t="s">
        <v>9373</v>
      </c>
      <c r="C1977" s="2" t="s">
        <v>6852</v>
      </c>
      <c r="D1977" s="15" t="s">
        <v>6853</v>
      </c>
      <c r="E1977" s="9" t="s">
        <v>341</v>
      </c>
      <c r="F1977" s="9" t="s">
        <v>2729</v>
      </c>
      <c r="G1977" s="9" t="s">
        <v>1503</v>
      </c>
      <c r="H1977" s="2" t="s">
        <v>60</v>
      </c>
      <c r="I1977" s="3">
        <v>36461</v>
      </c>
      <c r="J1977" s="9" t="str">
        <f t="shared" ca="1" si="32"/>
        <v>23 ans</v>
      </c>
      <c r="K1977" s="2" t="s">
        <v>123</v>
      </c>
      <c r="L1977" s="2" t="str">
        <f>"381"</f>
        <v>381</v>
      </c>
      <c r="M1977" s="2"/>
      <c r="N1977" s="2" t="str">
        <f>"RUE DE CALVI"</f>
        <v>RUE DE CALVI</v>
      </c>
      <c r="O1977" s="2" t="s">
        <v>9183</v>
      </c>
      <c r="P1977" s="9" t="str">
        <f>VLOOKUP($O1977,'Liste des Villes'!$B$2:$B$1128,1,FALSE)</f>
        <v>Sainte-Thérèse</v>
      </c>
      <c r="Q1977" s="9" t="str">
        <f>IFERROR($P1977,PROPER(VLOOKUP($O1977,'Villes en erreur'!$A$2:$B$72,2,FALSE)))</f>
        <v>Sainte-Thérèse</v>
      </c>
      <c r="R1977" s="9" t="s">
        <v>9184</v>
      </c>
      <c r="S1977" s="9" t="str">
        <f>IF(ISBLANK($R1977),"",VLOOKUP($R1977,'Liste des Villes'!$B$2:$H$1128,4,FALSE))</f>
        <v>Laurentides</v>
      </c>
      <c r="T1977" s="2" t="s">
        <v>9238</v>
      </c>
      <c r="U1977" s="2" t="s">
        <v>39</v>
      </c>
      <c r="V1977" s="2" t="s">
        <v>40</v>
      </c>
      <c r="W1977" s="2" t="s">
        <v>9374</v>
      </c>
      <c r="X1977" s="2"/>
      <c r="Y1977" s="2"/>
      <c r="Z1977" s="2"/>
      <c r="AA1977" s="2" t="s">
        <v>9187</v>
      </c>
      <c r="AB1977" s="2" t="s">
        <v>73</v>
      </c>
      <c r="AC1977" s="4" t="s">
        <v>44</v>
      </c>
    </row>
    <row r="1978" spans="1:29" x14ac:dyDescent="0.25">
      <c r="A1978" s="1">
        <v>4051</v>
      </c>
      <c r="B1978" s="17" t="s">
        <v>9375</v>
      </c>
      <c r="C1978" s="2" t="s">
        <v>834</v>
      </c>
      <c r="D1978" s="15" t="s">
        <v>835</v>
      </c>
      <c r="E1978" s="9" t="s">
        <v>99</v>
      </c>
      <c r="F1978" s="9" t="s">
        <v>312</v>
      </c>
      <c r="G1978" s="9" t="s">
        <v>260</v>
      </c>
      <c r="H1978" s="2" t="s">
        <v>35</v>
      </c>
      <c r="I1978" s="3">
        <v>36445</v>
      </c>
      <c r="J1978" s="9" t="str">
        <f t="shared" ca="1" si="32"/>
        <v>23 ans</v>
      </c>
      <c r="K1978" s="2" t="s">
        <v>123</v>
      </c>
      <c r="L1978" s="2" t="str">
        <f>"370"</f>
        <v>370</v>
      </c>
      <c r="M1978" s="2"/>
      <c r="N1978" s="2" t="str">
        <f>"RUE DE BEAUVOIR"</f>
        <v>RUE DE BEAUVOIR</v>
      </c>
      <c r="O1978" s="2" t="s">
        <v>9183</v>
      </c>
      <c r="P1978" s="9" t="str">
        <f>VLOOKUP($O1978,'Liste des Villes'!$B$2:$B$1128,1,FALSE)</f>
        <v>Sainte-Thérèse</v>
      </c>
      <c r="Q1978" s="9" t="str">
        <f>IFERROR($P1978,PROPER(VLOOKUP($O1978,'Villes en erreur'!$A$2:$B$72,2,FALSE)))</f>
        <v>Sainte-Thérèse</v>
      </c>
      <c r="R1978" s="9" t="s">
        <v>9184</v>
      </c>
      <c r="S1978" s="9" t="str">
        <f>IF(ISBLANK($R1978),"",VLOOKUP($R1978,'Liste des Villes'!$B$2:$H$1128,4,FALSE))</f>
        <v>Laurentides</v>
      </c>
      <c r="T1978" s="2" t="s">
        <v>9193</v>
      </c>
      <c r="U1978" s="2" t="s">
        <v>39</v>
      </c>
      <c r="V1978" s="2" t="s">
        <v>40</v>
      </c>
      <c r="W1978" s="2" t="s">
        <v>9376</v>
      </c>
      <c r="X1978" s="2"/>
      <c r="Y1978" s="2"/>
      <c r="Z1978" s="2"/>
      <c r="AA1978" s="2" t="s">
        <v>127</v>
      </c>
      <c r="AB1978" s="2" t="s">
        <v>73</v>
      </c>
      <c r="AC1978" s="4" t="s">
        <v>44</v>
      </c>
    </row>
    <row r="1979" spans="1:29" x14ac:dyDescent="0.25">
      <c r="A1979" s="1">
        <v>4345</v>
      </c>
      <c r="B1979" s="17" t="s">
        <v>9377</v>
      </c>
      <c r="C1979" s="2" t="s">
        <v>9378</v>
      </c>
      <c r="D1979" s="15" t="s">
        <v>9379</v>
      </c>
      <c r="E1979" s="9" t="s">
        <v>137</v>
      </c>
      <c r="F1979" s="9" t="s">
        <v>527</v>
      </c>
      <c r="G1979" s="9" t="s">
        <v>9308</v>
      </c>
      <c r="H1979" s="2" t="s">
        <v>35</v>
      </c>
      <c r="I1979" s="3">
        <v>36474</v>
      </c>
      <c r="J1979" s="9" t="str">
        <f t="shared" ca="1" si="32"/>
        <v>23 ans</v>
      </c>
      <c r="K1979" s="2" t="s">
        <v>123</v>
      </c>
      <c r="L1979" s="2" t="str">
        <f>"390"</f>
        <v>390</v>
      </c>
      <c r="M1979" s="2"/>
      <c r="N1979" s="2" t="str">
        <f>"RUE DE CHAUMONT"</f>
        <v>RUE DE CHAUMONT</v>
      </c>
      <c r="O1979" s="2" t="s">
        <v>9183</v>
      </c>
      <c r="P1979" s="9" t="str">
        <f>VLOOKUP($O1979,'Liste des Villes'!$B$2:$B$1128,1,FALSE)</f>
        <v>Sainte-Thérèse</v>
      </c>
      <c r="Q1979" s="9" t="str">
        <f>IFERROR($P1979,PROPER(VLOOKUP($O1979,'Villes en erreur'!$A$2:$B$72,2,FALSE)))</f>
        <v>Sainte-Thérèse</v>
      </c>
      <c r="R1979" s="9" t="s">
        <v>9184</v>
      </c>
      <c r="S1979" s="9" t="str">
        <f>IF(ISBLANK($R1979),"",VLOOKUP($R1979,'Liste des Villes'!$B$2:$H$1128,4,FALSE))</f>
        <v>Laurentides</v>
      </c>
      <c r="T1979" s="2" t="s">
        <v>9309</v>
      </c>
      <c r="U1979" s="2" t="s">
        <v>39</v>
      </c>
      <c r="V1979" s="2" t="s">
        <v>40</v>
      </c>
      <c r="W1979" s="2" t="s">
        <v>9380</v>
      </c>
      <c r="X1979" s="2"/>
      <c r="Y1979" s="2"/>
      <c r="Z1979" s="2"/>
      <c r="AA1979" s="2" t="s">
        <v>9187</v>
      </c>
      <c r="AB1979" s="2" t="s">
        <v>73</v>
      </c>
      <c r="AC1979" s="4" t="s">
        <v>44</v>
      </c>
    </row>
    <row r="1980" spans="1:29" x14ac:dyDescent="0.25">
      <c r="A1980" s="1">
        <v>1835</v>
      </c>
      <c r="B1980" s="17" t="s">
        <v>9381</v>
      </c>
      <c r="C1980" s="2" t="s">
        <v>9382</v>
      </c>
      <c r="D1980" s="15" t="s">
        <v>9383</v>
      </c>
      <c r="E1980" s="9" t="s">
        <v>503</v>
      </c>
      <c r="F1980" s="9" t="s">
        <v>1548</v>
      </c>
      <c r="G1980" s="9" t="s">
        <v>3162</v>
      </c>
      <c r="H1980" s="2" t="s">
        <v>35</v>
      </c>
      <c r="I1980" s="3">
        <v>36457</v>
      </c>
      <c r="J1980" s="9" t="str">
        <f t="shared" ca="1" si="32"/>
        <v>23 ans</v>
      </c>
      <c r="K1980" s="2" t="s">
        <v>123</v>
      </c>
      <c r="L1980" s="2" t="str">
        <f>"378"</f>
        <v>378</v>
      </c>
      <c r="M1980" s="2"/>
      <c r="N1980" s="2" t="str">
        <f>"RUE DE BROUAGE"</f>
        <v>RUE DE BROUAGE</v>
      </c>
      <c r="O1980" s="2" t="s">
        <v>9183</v>
      </c>
      <c r="P1980" s="9" t="str">
        <f>VLOOKUP($O1980,'Liste des Villes'!$B$2:$B$1128,1,FALSE)</f>
        <v>Sainte-Thérèse</v>
      </c>
      <c r="Q1980" s="9" t="str">
        <f>IFERROR($P1980,PROPER(VLOOKUP($O1980,'Villes en erreur'!$A$2:$B$72,2,FALSE)))</f>
        <v>Sainte-Thérèse</v>
      </c>
      <c r="R1980" s="9" t="s">
        <v>9184</v>
      </c>
      <c r="S1980" s="9" t="str">
        <f>IF(ISBLANK($R1980),"",VLOOKUP($R1980,'Liste des Villes'!$B$2:$H$1128,4,FALSE))</f>
        <v>Laurentides</v>
      </c>
      <c r="T1980" s="2" t="s">
        <v>9315</v>
      </c>
      <c r="U1980" s="2" t="s">
        <v>39</v>
      </c>
      <c r="V1980" s="2" t="s">
        <v>40</v>
      </c>
      <c r="W1980" s="2" t="s">
        <v>9384</v>
      </c>
      <c r="X1980" s="2"/>
      <c r="Y1980" s="2"/>
      <c r="Z1980" s="2"/>
      <c r="AA1980" s="2" t="s">
        <v>9187</v>
      </c>
      <c r="AB1980" s="2" t="s">
        <v>73</v>
      </c>
      <c r="AC1980" s="4" t="s">
        <v>44</v>
      </c>
    </row>
    <row r="1981" spans="1:29" x14ac:dyDescent="0.25">
      <c r="A1981" s="1">
        <v>3961</v>
      </c>
      <c r="B1981" s="17" t="s">
        <v>9385</v>
      </c>
      <c r="C1981" s="2" t="s">
        <v>9386</v>
      </c>
      <c r="D1981" s="15" t="s">
        <v>9387</v>
      </c>
      <c r="E1981" s="9" t="s">
        <v>2049</v>
      </c>
      <c r="F1981" s="9" t="s">
        <v>8971</v>
      </c>
      <c r="G1981" s="9" t="s">
        <v>5166</v>
      </c>
      <c r="H1981" s="2" t="s">
        <v>60</v>
      </c>
      <c r="I1981" s="3">
        <v>36461</v>
      </c>
      <c r="J1981" s="9" t="str">
        <f t="shared" ca="1" si="32"/>
        <v>23 ans</v>
      </c>
      <c r="K1981" s="2" t="s">
        <v>123</v>
      </c>
      <c r="L1981" s="2" t="str">
        <f>"383"</f>
        <v>383</v>
      </c>
      <c r="M1981" s="2"/>
      <c r="N1981" s="2" t="str">
        <f>"RUE DE CASTILLE"</f>
        <v>RUE DE CASTILLE</v>
      </c>
      <c r="O1981" s="2" t="s">
        <v>9183</v>
      </c>
      <c r="P1981" s="9" t="str">
        <f>VLOOKUP($O1981,'Liste des Villes'!$B$2:$B$1128,1,FALSE)</f>
        <v>Sainte-Thérèse</v>
      </c>
      <c r="Q1981" s="9" t="str">
        <f>IFERROR($P1981,PROPER(VLOOKUP($O1981,'Villes en erreur'!$A$2:$B$72,2,FALSE)))</f>
        <v>Sainte-Thérèse</v>
      </c>
      <c r="R1981" s="9" t="s">
        <v>9184</v>
      </c>
      <c r="S1981" s="9" t="str">
        <f>IF(ISBLANK($R1981),"",VLOOKUP($R1981,'Liste des Villes'!$B$2:$H$1128,4,FALSE))</f>
        <v>Laurentides</v>
      </c>
      <c r="T1981" s="2" t="s">
        <v>9388</v>
      </c>
      <c r="U1981" s="2" t="s">
        <v>39</v>
      </c>
      <c r="V1981" s="2" t="s">
        <v>40</v>
      </c>
      <c r="W1981" s="2" t="s">
        <v>9389</v>
      </c>
      <c r="X1981" s="2"/>
      <c r="Y1981" s="2"/>
      <c r="Z1981" s="2"/>
      <c r="AA1981" s="2" t="s">
        <v>9187</v>
      </c>
      <c r="AB1981" s="2" t="s">
        <v>73</v>
      </c>
      <c r="AC1981" s="4" t="s">
        <v>44</v>
      </c>
    </row>
    <row r="1982" spans="1:29" x14ac:dyDescent="0.25">
      <c r="A1982" s="1">
        <v>2995</v>
      </c>
      <c r="B1982" s="17" t="s">
        <v>9390</v>
      </c>
      <c r="C1982" s="2" t="s">
        <v>6898</v>
      </c>
      <c r="D1982" s="15" t="s">
        <v>1268</v>
      </c>
      <c r="E1982" s="9" t="s">
        <v>6899</v>
      </c>
      <c r="F1982" s="9" t="s">
        <v>2600</v>
      </c>
      <c r="G1982" s="9" t="s">
        <v>9391</v>
      </c>
      <c r="H1982" s="2" t="s">
        <v>60</v>
      </c>
      <c r="I1982" s="3">
        <v>36447</v>
      </c>
      <c r="J1982" s="9" t="str">
        <f t="shared" ca="1" si="32"/>
        <v>23 ans</v>
      </c>
      <c r="K1982" s="2" t="s">
        <v>123</v>
      </c>
      <c r="L1982" s="2" t="str">
        <f>"371"</f>
        <v>371</v>
      </c>
      <c r="M1982" s="2"/>
      <c r="N1982" s="2" t="str">
        <f>"RUE DE BLOIS"</f>
        <v>RUE DE BLOIS</v>
      </c>
      <c r="O1982" s="2" t="s">
        <v>9183</v>
      </c>
      <c r="P1982" s="9" t="str">
        <f>VLOOKUP($O1982,'Liste des Villes'!$B$2:$B$1128,1,FALSE)</f>
        <v>Sainte-Thérèse</v>
      </c>
      <c r="Q1982" s="9" t="str">
        <f>IFERROR($P1982,PROPER(VLOOKUP($O1982,'Villes en erreur'!$A$2:$B$72,2,FALSE)))</f>
        <v>Sainte-Thérèse</v>
      </c>
      <c r="R1982" s="9" t="s">
        <v>9184</v>
      </c>
      <c r="S1982" s="9" t="str">
        <f>IF(ISBLANK($R1982),"",VLOOKUP($R1982,'Liste des Villes'!$B$2:$H$1128,4,FALSE))</f>
        <v>Laurentides</v>
      </c>
      <c r="T1982" s="2" t="s">
        <v>9193</v>
      </c>
      <c r="U1982" s="2" t="s">
        <v>39</v>
      </c>
      <c r="V1982" s="2" t="s">
        <v>40</v>
      </c>
      <c r="W1982" s="2" t="s">
        <v>9392</v>
      </c>
      <c r="X1982" s="2"/>
      <c r="Y1982" s="2"/>
      <c r="Z1982" s="2"/>
      <c r="AA1982" s="2" t="s">
        <v>9187</v>
      </c>
      <c r="AB1982" s="2" t="s">
        <v>73</v>
      </c>
      <c r="AC1982" s="4" t="s">
        <v>44</v>
      </c>
    </row>
    <row r="1983" spans="1:29" x14ac:dyDescent="0.25">
      <c r="A1983" s="1">
        <v>2699</v>
      </c>
      <c r="B1983" s="17" t="s">
        <v>9393</v>
      </c>
      <c r="C1983" s="2" t="s">
        <v>9394</v>
      </c>
      <c r="D1983" s="15" t="s">
        <v>9395</v>
      </c>
      <c r="E1983" s="9" t="s">
        <v>253</v>
      </c>
      <c r="F1983" s="9" t="s">
        <v>3831</v>
      </c>
      <c r="G1983" s="9" t="s">
        <v>9396</v>
      </c>
      <c r="H1983" s="2" t="s">
        <v>35</v>
      </c>
      <c r="I1983" s="3">
        <v>36435</v>
      </c>
      <c r="J1983" s="9" t="str">
        <f t="shared" ca="1" si="32"/>
        <v>23 ans</v>
      </c>
      <c r="K1983" s="2" t="s">
        <v>123</v>
      </c>
      <c r="L1983" s="2" t="str">
        <f>"362"</f>
        <v>362</v>
      </c>
      <c r="M1983" s="2"/>
      <c r="N1983" s="2" t="str">
        <f>"RUE D'ARTAGNAN"</f>
        <v>RUE D'ARTAGNAN</v>
      </c>
      <c r="O1983" s="2" t="s">
        <v>9183</v>
      </c>
      <c r="P1983" s="9" t="str">
        <f>VLOOKUP($O1983,'Liste des Villes'!$B$2:$B$1128,1,FALSE)</f>
        <v>Sainte-Thérèse</v>
      </c>
      <c r="Q1983" s="9" t="str">
        <f>IFERROR($P1983,PROPER(VLOOKUP($O1983,'Villes en erreur'!$A$2:$B$72,2,FALSE)))</f>
        <v>Sainte-Thérèse</v>
      </c>
      <c r="R1983" s="9" t="s">
        <v>9184</v>
      </c>
      <c r="S1983" s="9" t="str">
        <f>IF(ISBLANK($R1983),"",VLOOKUP($R1983,'Liste des Villes'!$B$2:$H$1128,4,FALSE))</f>
        <v>Laurentides</v>
      </c>
      <c r="T1983" s="2" t="s">
        <v>9229</v>
      </c>
      <c r="U1983" s="2" t="s">
        <v>39</v>
      </c>
      <c r="V1983" s="2" t="s">
        <v>40</v>
      </c>
      <c r="W1983" s="2" t="s">
        <v>9397</v>
      </c>
      <c r="X1983" s="2"/>
      <c r="Y1983" s="2"/>
      <c r="Z1983" s="2"/>
      <c r="AA1983" s="2" t="s">
        <v>127</v>
      </c>
      <c r="AB1983" s="2" t="s">
        <v>73</v>
      </c>
      <c r="AC1983" s="4" t="s">
        <v>44</v>
      </c>
    </row>
    <row r="1984" spans="1:29" x14ac:dyDescent="0.25">
      <c r="A1984" s="1">
        <v>2311</v>
      </c>
      <c r="B1984" s="17" t="s">
        <v>9398</v>
      </c>
      <c r="C1984" s="2" t="s">
        <v>9399</v>
      </c>
      <c r="D1984" s="15" t="s">
        <v>9400</v>
      </c>
      <c r="E1984" s="9" t="s">
        <v>929</v>
      </c>
      <c r="F1984" s="9" t="s">
        <v>9401</v>
      </c>
      <c r="G1984" s="9" t="s">
        <v>8504</v>
      </c>
      <c r="H1984" s="2" t="s">
        <v>35</v>
      </c>
      <c r="I1984" s="3">
        <v>36436</v>
      </c>
      <c r="J1984" s="9" t="str">
        <f t="shared" ca="1" si="32"/>
        <v>23 ans</v>
      </c>
      <c r="K1984" s="2" t="s">
        <v>123</v>
      </c>
      <c r="L1984" s="2" t="str">
        <f>"364"</f>
        <v>364</v>
      </c>
      <c r="M1984" s="2"/>
      <c r="N1984" s="2" t="str">
        <f>"RUE DE BEAUCOURT"</f>
        <v>RUE DE BEAUCOURT</v>
      </c>
      <c r="O1984" s="2" t="s">
        <v>9183</v>
      </c>
      <c r="P1984" s="9" t="str">
        <f>VLOOKUP($O1984,'Liste des Villes'!$B$2:$B$1128,1,FALSE)</f>
        <v>Sainte-Thérèse</v>
      </c>
      <c r="Q1984" s="9" t="str">
        <f>IFERROR($P1984,PROPER(VLOOKUP($O1984,'Villes en erreur'!$A$2:$B$72,2,FALSE)))</f>
        <v>Sainte-Thérèse</v>
      </c>
      <c r="R1984" s="9" t="s">
        <v>9184</v>
      </c>
      <c r="S1984" s="9" t="str">
        <f>IF(ISBLANK($R1984),"",VLOOKUP($R1984,'Liste des Villes'!$B$2:$H$1128,4,FALSE))</f>
        <v>Laurentides</v>
      </c>
      <c r="T1984" s="2" t="s">
        <v>9356</v>
      </c>
      <c r="U1984" s="2" t="s">
        <v>39</v>
      </c>
      <c r="V1984" s="2" t="s">
        <v>40</v>
      </c>
      <c r="W1984" s="2" t="s">
        <v>9402</v>
      </c>
      <c r="X1984" s="2"/>
      <c r="Y1984" s="2"/>
      <c r="Z1984" s="2"/>
      <c r="AA1984" s="2" t="s">
        <v>127</v>
      </c>
      <c r="AB1984" s="2" t="s">
        <v>73</v>
      </c>
      <c r="AC1984" s="4" t="s">
        <v>44</v>
      </c>
    </row>
    <row r="1985" spans="1:29" x14ac:dyDescent="0.25">
      <c r="A1985" s="1">
        <v>2801</v>
      </c>
      <c r="B1985" s="17" t="s">
        <v>9403</v>
      </c>
      <c r="C1985" s="2" t="s">
        <v>2759</v>
      </c>
      <c r="D1985" s="15" t="s">
        <v>2693</v>
      </c>
      <c r="E1985" s="9" t="s">
        <v>781</v>
      </c>
      <c r="F1985" s="9" t="s">
        <v>782</v>
      </c>
      <c r="G1985" s="9" t="s">
        <v>9404</v>
      </c>
      <c r="H1985" s="2" t="s">
        <v>60</v>
      </c>
      <c r="I1985" s="3">
        <v>36465</v>
      </c>
      <c r="J1985" s="9" t="str">
        <f t="shared" ca="1" si="32"/>
        <v>23 ans</v>
      </c>
      <c r="K1985" s="2" t="s">
        <v>123</v>
      </c>
      <c r="L1985" s="2" t="str">
        <f>"384"</f>
        <v>384</v>
      </c>
      <c r="M1985" s="2"/>
      <c r="N1985" s="2" t="str">
        <f>"RUE DE CHAMBORD"</f>
        <v>RUE DE CHAMBORD</v>
      </c>
      <c r="O1985" s="2" t="s">
        <v>9183</v>
      </c>
      <c r="P1985" s="9" t="str">
        <f>VLOOKUP($O1985,'Liste des Villes'!$B$2:$B$1128,1,FALSE)</f>
        <v>Sainte-Thérèse</v>
      </c>
      <c r="Q1985" s="9" t="str">
        <f>IFERROR($P1985,PROPER(VLOOKUP($O1985,'Villes en erreur'!$A$2:$B$72,2,FALSE)))</f>
        <v>Sainte-Thérèse</v>
      </c>
      <c r="R1985" s="9" t="s">
        <v>9184</v>
      </c>
      <c r="S1985" s="9" t="str">
        <f>IF(ISBLANK($R1985),"",VLOOKUP($R1985,'Liste des Villes'!$B$2:$H$1128,4,FALSE))</f>
        <v>Laurentides</v>
      </c>
      <c r="T1985" s="2" t="s">
        <v>9405</v>
      </c>
      <c r="U1985" s="2" t="s">
        <v>39</v>
      </c>
      <c r="V1985" s="2" t="s">
        <v>40</v>
      </c>
      <c r="W1985" s="2" t="s">
        <v>9406</v>
      </c>
      <c r="X1985" s="2"/>
      <c r="Y1985" s="2"/>
      <c r="Z1985" s="2"/>
      <c r="AA1985" s="2" t="s">
        <v>9187</v>
      </c>
      <c r="AB1985" s="2" t="s">
        <v>73</v>
      </c>
      <c r="AC1985" s="4" t="s">
        <v>44</v>
      </c>
    </row>
    <row r="1986" spans="1:29" x14ac:dyDescent="0.25">
      <c r="A1986" s="1">
        <v>1293</v>
      </c>
      <c r="B1986" s="17" t="s">
        <v>9407</v>
      </c>
      <c r="C1986" s="2" t="s">
        <v>9408</v>
      </c>
      <c r="D1986" s="15" t="s">
        <v>1702</v>
      </c>
      <c r="E1986" s="9" t="s">
        <v>7448</v>
      </c>
      <c r="F1986" s="9" t="s">
        <v>1649</v>
      </c>
      <c r="G1986" s="9" t="s">
        <v>8956</v>
      </c>
      <c r="H1986" s="2" t="s">
        <v>60</v>
      </c>
      <c r="I1986" s="3">
        <v>36448</v>
      </c>
      <c r="J1986" s="9" t="str">
        <f t="shared" ref="J1986:J2049" ca="1" si="33">_xlfn.CONCAT(INT((TODAY()-$I1986)/365.25)," ans")</f>
        <v>23 ans</v>
      </c>
      <c r="K1986" s="2" t="s">
        <v>123</v>
      </c>
      <c r="L1986" s="2" t="str">
        <f>"372"</f>
        <v>372</v>
      </c>
      <c r="M1986" s="2"/>
      <c r="N1986" s="2" t="str">
        <f>"RUE DE BONNEVILLE"</f>
        <v>RUE DE BONNEVILLE</v>
      </c>
      <c r="O1986" s="2" t="s">
        <v>9183</v>
      </c>
      <c r="P1986" s="9" t="str">
        <f>VLOOKUP($O1986,'Liste des Villes'!$B$2:$B$1128,1,FALSE)</f>
        <v>Sainte-Thérèse</v>
      </c>
      <c r="Q1986" s="9" t="str">
        <f>IFERROR($P1986,PROPER(VLOOKUP($O1986,'Villes en erreur'!$A$2:$B$72,2,FALSE)))</f>
        <v>Sainte-Thérèse</v>
      </c>
      <c r="R1986" s="9" t="s">
        <v>9184</v>
      </c>
      <c r="S1986" s="9" t="str">
        <f>IF(ISBLANK($R1986),"",VLOOKUP($R1986,'Liste des Villes'!$B$2:$H$1128,4,FALSE))</f>
        <v>Laurentides</v>
      </c>
      <c r="T1986" s="2" t="s">
        <v>9193</v>
      </c>
      <c r="U1986" s="2" t="s">
        <v>39</v>
      </c>
      <c r="V1986" s="2" t="s">
        <v>40</v>
      </c>
      <c r="W1986" s="2" t="s">
        <v>9409</v>
      </c>
      <c r="X1986" s="2"/>
      <c r="Y1986" s="2"/>
      <c r="Z1986" s="2"/>
      <c r="AA1986" s="2" t="s">
        <v>9187</v>
      </c>
      <c r="AB1986" s="2" t="s">
        <v>73</v>
      </c>
      <c r="AC1986" s="4" t="s">
        <v>44</v>
      </c>
    </row>
    <row r="1987" spans="1:29" x14ac:dyDescent="0.25">
      <c r="A1987" s="1">
        <v>1579</v>
      </c>
      <c r="B1987" s="17" t="s">
        <v>9410</v>
      </c>
      <c r="C1987" s="2" t="s">
        <v>7278</v>
      </c>
      <c r="D1987" s="15" t="s">
        <v>3760</v>
      </c>
      <c r="E1987" s="9" t="s">
        <v>1560</v>
      </c>
      <c r="F1987" s="9" t="s">
        <v>867</v>
      </c>
      <c r="G1987" s="9" t="s">
        <v>3891</v>
      </c>
      <c r="H1987" s="2" t="s">
        <v>60</v>
      </c>
      <c r="I1987" s="3">
        <v>36449</v>
      </c>
      <c r="J1987" s="9" t="str">
        <f t="shared" ca="1" si="33"/>
        <v>23 ans</v>
      </c>
      <c r="K1987" s="2" t="s">
        <v>123</v>
      </c>
      <c r="L1987" s="2" t="str">
        <f>"372"</f>
        <v>372</v>
      </c>
      <c r="M1987" s="2"/>
      <c r="N1987" s="2" t="str">
        <f>"RUE DE BORDEAUX"</f>
        <v>RUE DE BORDEAUX</v>
      </c>
      <c r="O1987" s="2" t="s">
        <v>9183</v>
      </c>
      <c r="P1987" s="9" t="str">
        <f>VLOOKUP($O1987,'Liste des Villes'!$B$2:$B$1128,1,FALSE)</f>
        <v>Sainte-Thérèse</v>
      </c>
      <c r="Q1987" s="9" t="str">
        <f>IFERROR($P1987,PROPER(VLOOKUP($O1987,'Villes en erreur'!$A$2:$B$72,2,FALSE)))</f>
        <v>Sainte-Thérèse</v>
      </c>
      <c r="R1987" s="9" t="s">
        <v>9184</v>
      </c>
      <c r="S1987" s="9" t="str">
        <f>IF(ISBLANK($R1987),"",VLOOKUP($R1987,'Liste des Villes'!$B$2:$H$1128,4,FALSE))</f>
        <v>Laurentides</v>
      </c>
      <c r="T1987" s="2" t="s">
        <v>9193</v>
      </c>
      <c r="U1987" s="2" t="s">
        <v>39</v>
      </c>
      <c r="V1987" s="2" t="s">
        <v>40</v>
      </c>
      <c r="W1987" s="2" t="s">
        <v>9411</v>
      </c>
      <c r="X1987" s="2"/>
      <c r="Y1987" s="2"/>
      <c r="Z1987" s="2"/>
      <c r="AA1987" s="2" t="s">
        <v>9187</v>
      </c>
      <c r="AB1987" s="2" t="s">
        <v>73</v>
      </c>
      <c r="AC1987" s="4" t="s">
        <v>44</v>
      </c>
    </row>
    <row r="1988" spans="1:29" x14ac:dyDescent="0.25">
      <c r="A1988" s="1">
        <v>139</v>
      </c>
      <c r="B1988" s="17" t="s">
        <v>9412</v>
      </c>
      <c r="C1988" s="2" t="s">
        <v>2209</v>
      </c>
      <c r="D1988" s="15" t="s">
        <v>782</v>
      </c>
      <c r="E1988" s="9" t="s">
        <v>2210</v>
      </c>
      <c r="F1988" s="9" t="s">
        <v>780</v>
      </c>
      <c r="G1988" s="9" t="s">
        <v>77</v>
      </c>
      <c r="H1988" s="2" t="s">
        <v>60</v>
      </c>
      <c r="I1988" s="3">
        <v>36467</v>
      </c>
      <c r="J1988" s="9" t="str">
        <f t="shared" ca="1" si="33"/>
        <v>23 ans</v>
      </c>
      <c r="K1988" s="2" t="s">
        <v>123</v>
      </c>
      <c r="L1988" s="2" t="str">
        <f>"385"</f>
        <v>385</v>
      </c>
      <c r="M1988" s="2"/>
      <c r="N1988" s="2" t="str">
        <f>"RUE DE CHAMBORD"</f>
        <v>RUE DE CHAMBORD</v>
      </c>
      <c r="O1988" s="2" t="s">
        <v>9183</v>
      </c>
      <c r="P1988" s="9" t="str">
        <f>VLOOKUP($O1988,'Liste des Villes'!$B$2:$B$1128,1,FALSE)</f>
        <v>Sainte-Thérèse</v>
      </c>
      <c r="Q1988" s="9" t="str">
        <f>IFERROR($P1988,PROPER(VLOOKUP($O1988,'Villes en erreur'!$A$2:$B$72,2,FALSE)))</f>
        <v>Sainte-Thérèse</v>
      </c>
      <c r="R1988" s="9" t="s">
        <v>9184</v>
      </c>
      <c r="S1988" s="9" t="str">
        <f>IF(ISBLANK($R1988),"",VLOOKUP($R1988,'Liste des Villes'!$B$2:$H$1128,4,FALSE))</f>
        <v>Laurentides</v>
      </c>
      <c r="T1988" s="2" t="s">
        <v>9413</v>
      </c>
      <c r="U1988" s="2" t="s">
        <v>39</v>
      </c>
      <c r="V1988" s="2" t="s">
        <v>40</v>
      </c>
      <c r="W1988" s="2" t="s">
        <v>9414</v>
      </c>
      <c r="X1988" s="2"/>
      <c r="Y1988" s="2"/>
      <c r="Z1988" s="2"/>
      <c r="AA1988" s="2" t="s">
        <v>9187</v>
      </c>
      <c r="AB1988" s="2" t="s">
        <v>73</v>
      </c>
      <c r="AC1988" s="4" t="s">
        <v>44</v>
      </c>
    </row>
    <row r="1989" spans="1:29" x14ac:dyDescent="0.25">
      <c r="A1989" s="1">
        <v>911</v>
      </c>
      <c r="B1989" s="17" t="s">
        <v>9415</v>
      </c>
      <c r="C1989" s="2" t="s">
        <v>5791</v>
      </c>
      <c r="D1989" s="15" t="s">
        <v>5792</v>
      </c>
      <c r="E1989" s="9" t="s">
        <v>5793</v>
      </c>
      <c r="F1989" s="9" t="s">
        <v>47</v>
      </c>
      <c r="G1989" s="9" t="s">
        <v>3511</v>
      </c>
      <c r="H1989" s="2" t="s">
        <v>35</v>
      </c>
      <c r="I1989" s="3">
        <v>36438</v>
      </c>
      <c r="J1989" s="9" t="str">
        <f t="shared" ca="1" si="33"/>
        <v>23 ans</v>
      </c>
      <c r="K1989" s="2" t="s">
        <v>123</v>
      </c>
      <c r="L1989" s="2" t="str">
        <f>"366"</f>
        <v>366</v>
      </c>
      <c r="M1989" s="2"/>
      <c r="N1989" s="2" t="str">
        <f>"RUE DE BEAUFORT"</f>
        <v>RUE DE BEAUFORT</v>
      </c>
      <c r="O1989" s="2" t="s">
        <v>9183</v>
      </c>
      <c r="P1989" s="9" t="str">
        <f>VLOOKUP($O1989,'Liste des Villes'!$B$2:$B$1128,1,FALSE)</f>
        <v>Sainte-Thérèse</v>
      </c>
      <c r="Q1989" s="9" t="str">
        <f>IFERROR($P1989,PROPER(VLOOKUP($O1989,'Villes en erreur'!$A$2:$B$72,2,FALSE)))</f>
        <v>Sainte-Thérèse</v>
      </c>
      <c r="R1989" s="9" t="s">
        <v>9184</v>
      </c>
      <c r="S1989" s="9" t="str">
        <f>IF(ISBLANK($R1989),"",VLOOKUP($R1989,'Liste des Villes'!$B$2:$H$1128,4,FALSE))</f>
        <v>Laurentides</v>
      </c>
      <c r="T1989" s="2" t="s">
        <v>9416</v>
      </c>
      <c r="U1989" s="2" t="s">
        <v>39</v>
      </c>
      <c r="V1989" s="2" t="s">
        <v>40</v>
      </c>
      <c r="W1989" s="2" t="s">
        <v>9417</v>
      </c>
      <c r="X1989" s="2"/>
      <c r="Y1989" s="2"/>
      <c r="Z1989" s="2"/>
      <c r="AA1989" s="2" t="s">
        <v>127</v>
      </c>
      <c r="AB1989" s="2" t="s">
        <v>73</v>
      </c>
      <c r="AC1989" s="4" t="s">
        <v>44</v>
      </c>
    </row>
    <row r="1990" spans="1:29" x14ac:dyDescent="0.25">
      <c r="A1990" s="1">
        <v>2497</v>
      </c>
      <c r="B1990" s="17" t="s">
        <v>9418</v>
      </c>
      <c r="C1990" s="2" t="s">
        <v>9419</v>
      </c>
      <c r="D1990" s="15" t="s">
        <v>6760</v>
      </c>
      <c r="E1990" s="9" t="s">
        <v>503</v>
      </c>
      <c r="F1990" s="9" t="s">
        <v>504</v>
      </c>
      <c r="G1990" s="9" t="s">
        <v>3162</v>
      </c>
      <c r="H1990" s="2" t="s">
        <v>35</v>
      </c>
      <c r="I1990" s="3">
        <v>36460</v>
      </c>
      <c r="J1990" s="9" t="str">
        <f t="shared" ca="1" si="33"/>
        <v>23 ans</v>
      </c>
      <c r="K1990" s="2" t="s">
        <v>123</v>
      </c>
      <c r="L1990" s="2" t="str">
        <f>"380"</f>
        <v>380</v>
      </c>
      <c r="M1990" s="2"/>
      <c r="N1990" s="2" t="str">
        <f>"RUE DE CALLIÈRES"</f>
        <v>RUE DE CALLIÈRES</v>
      </c>
      <c r="O1990" s="2" t="s">
        <v>9183</v>
      </c>
      <c r="P1990" s="9" t="str">
        <f>VLOOKUP($O1990,'Liste des Villes'!$B$2:$B$1128,1,FALSE)</f>
        <v>Sainte-Thérèse</v>
      </c>
      <c r="Q1990" s="9" t="str">
        <f>IFERROR($P1990,PROPER(VLOOKUP($O1990,'Villes en erreur'!$A$2:$B$72,2,FALSE)))</f>
        <v>Sainte-Thérèse</v>
      </c>
      <c r="R1990" s="9" t="s">
        <v>9184</v>
      </c>
      <c r="S1990" s="9" t="str">
        <f>IF(ISBLANK($R1990),"",VLOOKUP($R1990,'Liste des Villes'!$B$2:$H$1128,4,FALSE))</f>
        <v>Laurentides</v>
      </c>
      <c r="T1990" s="2" t="s">
        <v>9420</v>
      </c>
      <c r="U1990" s="2" t="s">
        <v>39</v>
      </c>
      <c r="V1990" s="2" t="s">
        <v>40</v>
      </c>
      <c r="W1990" s="2" t="s">
        <v>9421</v>
      </c>
      <c r="X1990" s="2"/>
      <c r="Y1990" s="2"/>
      <c r="Z1990" s="2"/>
      <c r="AA1990" s="2" t="s">
        <v>9187</v>
      </c>
      <c r="AB1990" s="2" t="s">
        <v>73</v>
      </c>
      <c r="AC1990" s="4" t="s">
        <v>44</v>
      </c>
    </row>
    <row r="1991" spans="1:29" x14ac:dyDescent="0.25">
      <c r="A1991" s="1">
        <v>498</v>
      </c>
      <c r="B1991" s="17" t="s">
        <v>9422</v>
      </c>
      <c r="C1991" s="2" t="s">
        <v>954</v>
      </c>
      <c r="D1991" s="15" t="s">
        <v>955</v>
      </c>
      <c r="E1991" s="9" t="s">
        <v>956</v>
      </c>
      <c r="F1991" s="9" t="s">
        <v>957</v>
      </c>
      <c r="G1991" s="9" t="s">
        <v>9391</v>
      </c>
      <c r="H1991" s="2" t="s">
        <v>60</v>
      </c>
      <c r="I1991" s="3">
        <v>36447</v>
      </c>
      <c r="J1991" s="9" t="str">
        <f t="shared" ca="1" si="33"/>
        <v>23 ans</v>
      </c>
      <c r="K1991" s="2" t="s">
        <v>123</v>
      </c>
      <c r="L1991" s="2" t="str">
        <f>"370"</f>
        <v>370</v>
      </c>
      <c r="M1991" s="2"/>
      <c r="N1991" s="2" t="str">
        <f>"RUE DE BELLE-RIVIÈRE"</f>
        <v>RUE DE BELLE-RIVIÈRE</v>
      </c>
      <c r="O1991" s="2" t="s">
        <v>9183</v>
      </c>
      <c r="P1991" s="9" t="str">
        <f>VLOOKUP($O1991,'Liste des Villes'!$B$2:$B$1128,1,FALSE)</f>
        <v>Sainte-Thérèse</v>
      </c>
      <c r="Q1991" s="9" t="str">
        <f>IFERROR($P1991,PROPER(VLOOKUP($O1991,'Villes en erreur'!$A$2:$B$72,2,FALSE)))</f>
        <v>Sainte-Thérèse</v>
      </c>
      <c r="R1991" s="9" t="s">
        <v>9184</v>
      </c>
      <c r="S1991" s="9" t="str">
        <f>IF(ISBLANK($R1991),"",VLOOKUP($R1991,'Liste des Villes'!$B$2:$H$1128,4,FALSE))</f>
        <v>Laurentides</v>
      </c>
      <c r="T1991" s="2" t="s">
        <v>9193</v>
      </c>
      <c r="U1991" s="2" t="s">
        <v>39</v>
      </c>
      <c r="V1991" s="2" t="s">
        <v>40</v>
      </c>
      <c r="W1991" s="2" t="s">
        <v>9423</v>
      </c>
      <c r="X1991" s="2"/>
      <c r="Y1991" s="2"/>
      <c r="Z1991" s="2"/>
      <c r="AA1991" s="2" t="s">
        <v>9187</v>
      </c>
      <c r="AB1991" s="2" t="s">
        <v>73</v>
      </c>
      <c r="AC1991" s="4" t="s">
        <v>44</v>
      </c>
    </row>
    <row r="1992" spans="1:29" x14ac:dyDescent="0.25">
      <c r="A1992" s="1">
        <v>997</v>
      </c>
      <c r="B1992" s="17" t="s">
        <v>9424</v>
      </c>
      <c r="C1992" s="2" t="s">
        <v>8796</v>
      </c>
      <c r="D1992" s="15" t="s">
        <v>3078</v>
      </c>
      <c r="E1992" s="9" t="s">
        <v>137</v>
      </c>
      <c r="F1992" s="9" t="s">
        <v>3080</v>
      </c>
      <c r="G1992" s="9" t="s">
        <v>9425</v>
      </c>
      <c r="H1992" s="2" t="s">
        <v>60</v>
      </c>
      <c r="I1992" s="3">
        <v>36463</v>
      </c>
      <c r="J1992" s="9" t="str">
        <f t="shared" ca="1" si="33"/>
        <v>23 ans</v>
      </c>
      <c r="K1992" s="2" t="s">
        <v>123</v>
      </c>
      <c r="L1992" s="2" t="str">
        <f>"383"</f>
        <v>383</v>
      </c>
      <c r="M1992" s="2"/>
      <c r="N1992" s="2" t="str">
        <f>"RUE DE CERNAY"</f>
        <v>RUE DE CERNAY</v>
      </c>
      <c r="O1992" s="2" t="s">
        <v>9183</v>
      </c>
      <c r="P1992" s="9" t="str">
        <f>VLOOKUP($O1992,'Liste des Villes'!$B$2:$B$1128,1,FALSE)</f>
        <v>Sainte-Thérèse</v>
      </c>
      <c r="Q1992" s="9" t="str">
        <f>IFERROR($P1992,PROPER(VLOOKUP($O1992,'Villes en erreur'!$A$2:$B$72,2,FALSE)))</f>
        <v>Sainte-Thérèse</v>
      </c>
      <c r="R1992" s="9" t="s">
        <v>9184</v>
      </c>
      <c r="S1992" s="9" t="str">
        <f>IF(ISBLANK($R1992),"",VLOOKUP($R1992,'Liste des Villes'!$B$2:$H$1128,4,FALSE))</f>
        <v>Laurentides</v>
      </c>
      <c r="T1992" s="2" t="s">
        <v>9426</v>
      </c>
      <c r="U1992" s="2" t="s">
        <v>39</v>
      </c>
      <c r="V1992" s="2" t="s">
        <v>40</v>
      </c>
      <c r="W1992" s="2" t="s">
        <v>9427</v>
      </c>
      <c r="X1992" s="2"/>
      <c r="Y1992" s="2"/>
      <c r="Z1992" s="2"/>
      <c r="AA1992" s="2" t="s">
        <v>9187</v>
      </c>
      <c r="AB1992" s="2" t="s">
        <v>73</v>
      </c>
      <c r="AC1992" s="4" t="s">
        <v>44</v>
      </c>
    </row>
    <row r="1993" spans="1:29" x14ac:dyDescent="0.25">
      <c r="A1993" s="1">
        <v>4451</v>
      </c>
      <c r="B1993" s="17" t="s">
        <v>9428</v>
      </c>
      <c r="C1993" s="2" t="s">
        <v>9429</v>
      </c>
      <c r="D1993" s="15" t="s">
        <v>3765</v>
      </c>
      <c r="E1993" s="9" t="s">
        <v>4106</v>
      </c>
      <c r="F1993" s="9" t="s">
        <v>6634</v>
      </c>
      <c r="G1993" s="9" t="s">
        <v>9308</v>
      </c>
      <c r="H1993" s="2" t="s">
        <v>35</v>
      </c>
      <c r="I1993" s="3">
        <v>36475</v>
      </c>
      <c r="J1993" s="9" t="str">
        <f t="shared" ca="1" si="33"/>
        <v>23 ans</v>
      </c>
      <c r="K1993" s="2" t="s">
        <v>123</v>
      </c>
      <c r="L1993" s="2" t="str">
        <f>"390"</f>
        <v>390</v>
      </c>
      <c r="M1993" s="2"/>
      <c r="N1993" s="2" t="str">
        <f>"RUE DE CHENONCEAU"</f>
        <v>RUE DE CHENONCEAU</v>
      </c>
      <c r="O1993" s="2" t="s">
        <v>9183</v>
      </c>
      <c r="P1993" s="9" t="str">
        <f>VLOOKUP($O1993,'Liste des Villes'!$B$2:$B$1128,1,FALSE)</f>
        <v>Sainte-Thérèse</v>
      </c>
      <c r="Q1993" s="9" t="str">
        <f>IFERROR($P1993,PROPER(VLOOKUP($O1993,'Villes en erreur'!$A$2:$B$72,2,FALSE)))</f>
        <v>Sainte-Thérèse</v>
      </c>
      <c r="R1993" s="9" t="s">
        <v>9184</v>
      </c>
      <c r="S1993" s="9" t="str">
        <f>IF(ISBLANK($R1993),"",VLOOKUP($R1993,'Liste des Villes'!$B$2:$H$1128,4,FALSE))</f>
        <v>Laurentides</v>
      </c>
      <c r="T1993" s="2" t="s">
        <v>9309</v>
      </c>
      <c r="U1993" s="2" t="s">
        <v>39</v>
      </c>
      <c r="V1993" s="2" t="s">
        <v>40</v>
      </c>
      <c r="W1993" s="2" t="s">
        <v>9430</v>
      </c>
      <c r="X1993" s="2"/>
      <c r="Y1993" s="2"/>
      <c r="Z1993" s="2"/>
      <c r="AA1993" s="2" t="s">
        <v>9187</v>
      </c>
      <c r="AB1993" s="2" t="s">
        <v>73</v>
      </c>
      <c r="AC1993" s="4" t="s">
        <v>44</v>
      </c>
    </row>
    <row r="1994" spans="1:29" x14ac:dyDescent="0.25">
      <c r="A1994" s="1">
        <v>3308</v>
      </c>
      <c r="B1994" s="17" t="s">
        <v>9431</v>
      </c>
      <c r="C1994" s="2" t="s">
        <v>9432</v>
      </c>
      <c r="D1994" s="15" t="s">
        <v>449</v>
      </c>
      <c r="E1994" s="9" t="s">
        <v>9433</v>
      </c>
      <c r="F1994" s="9" t="s">
        <v>6669</v>
      </c>
      <c r="G1994" s="9" t="s">
        <v>9434</v>
      </c>
      <c r="H1994" s="2" t="s">
        <v>60</v>
      </c>
      <c r="I1994" s="3">
        <v>36465</v>
      </c>
      <c r="J1994" s="9" t="str">
        <f t="shared" ca="1" si="33"/>
        <v>23 ans</v>
      </c>
      <c r="K1994" s="2" t="s">
        <v>123</v>
      </c>
      <c r="L1994" s="2" t="str">
        <f>"384"</f>
        <v>384</v>
      </c>
      <c r="M1994" s="2"/>
      <c r="N1994" s="2" t="str">
        <f>"RUE DE CHAMBORD"</f>
        <v>RUE DE CHAMBORD</v>
      </c>
      <c r="O1994" s="2" t="s">
        <v>9183</v>
      </c>
      <c r="P1994" s="9" t="str">
        <f>VLOOKUP($O1994,'Liste des Villes'!$B$2:$B$1128,1,FALSE)</f>
        <v>Sainte-Thérèse</v>
      </c>
      <c r="Q1994" s="9" t="str">
        <f>IFERROR($P1994,PROPER(VLOOKUP($O1994,'Villes en erreur'!$A$2:$B$72,2,FALSE)))</f>
        <v>Sainte-Thérèse</v>
      </c>
      <c r="R1994" s="9" t="s">
        <v>9184</v>
      </c>
      <c r="S1994" s="9" t="str">
        <f>IF(ISBLANK($R1994),"",VLOOKUP($R1994,'Liste des Villes'!$B$2:$H$1128,4,FALSE))</f>
        <v>Laurentides</v>
      </c>
      <c r="T1994" s="2" t="s">
        <v>9435</v>
      </c>
      <c r="U1994" s="2" t="s">
        <v>39</v>
      </c>
      <c r="V1994" s="2" t="s">
        <v>40</v>
      </c>
      <c r="W1994" s="2" t="s">
        <v>9436</v>
      </c>
      <c r="X1994" s="2"/>
      <c r="Y1994" s="2"/>
      <c r="Z1994" s="2"/>
      <c r="AA1994" s="2" t="s">
        <v>9187</v>
      </c>
      <c r="AB1994" s="2" t="s">
        <v>73</v>
      </c>
      <c r="AC1994" s="4" t="s">
        <v>44</v>
      </c>
    </row>
    <row r="1995" spans="1:29" x14ac:dyDescent="0.25">
      <c r="A1995" s="1">
        <v>4169</v>
      </c>
      <c r="B1995" s="17" t="s">
        <v>9437</v>
      </c>
      <c r="C1995" s="2" t="s">
        <v>9438</v>
      </c>
      <c r="D1995" s="15" t="s">
        <v>248</v>
      </c>
      <c r="E1995" s="9" t="s">
        <v>1650</v>
      </c>
      <c r="F1995" s="9" t="s">
        <v>246</v>
      </c>
      <c r="G1995" s="9" t="s">
        <v>260</v>
      </c>
      <c r="H1995" s="2" t="s">
        <v>35</v>
      </c>
      <c r="I1995" s="3">
        <v>36445</v>
      </c>
      <c r="J1995" s="9" t="str">
        <f t="shared" ca="1" si="33"/>
        <v>23 ans</v>
      </c>
      <c r="K1995" s="2" t="s">
        <v>123</v>
      </c>
      <c r="L1995" s="2" t="str">
        <f>"370"</f>
        <v>370</v>
      </c>
      <c r="M1995" s="2"/>
      <c r="N1995" s="2" t="str">
        <f>"RUE DE BÉCANCOUR"</f>
        <v>RUE DE BÉCANCOUR</v>
      </c>
      <c r="O1995" s="2" t="s">
        <v>9183</v>
      </c>
      <c r="P1995" s="9" t="str">
        <f>VLOOKUP($O1995,'Liste des Villes'!$B$2:$B$1128,1,FALSE)</f>
        <v>Sainte-Thérèse</v>
      </c>
      <c r="Q1995" s="9" t="str">
        <f>IFERROR($P1995,PROPER(VLOOKUP($O1995,'Villes en erreur'!$A$2:$B$72,2,FALSE)))</f>
        <v>Sainte-Thérèse</v>
      </c>
      <c r="R1995" s="9" t="s">
        <v>9184</v>
      </c>
      <c r="S1995" s="9" t="str">
        <f>IF(ISBLANK($R1995),"",VLOOKUP($R1995,'Liste des Villes'!$B$2:$H$1128,4,FALSE))</f>
        <v>Laurentides</v>
      </c>
      <c r="T1995" s="2" t="s">
        <v>9193</v>
      </c>
      <c r="U1995" s="2" t="s">
        <v>39</v>
      </c>
      <c r="V1995" s="2" t="s">
        <v>40</v>
      </c>
      <c r="W1995" s="2" t="s">
        <v>9439</v>
      </c>
      <c r="X1995" s="2"/>
      <c r="Y1995" s="2"/>
      <c r="Z1995" s="2"/>
      <c r="AA1995" s="2" t="s">
        <v>127</v>
      </c>
      <c r="AB1995" s="2" t="s">
        <v>73</v>
      </c>
      <c r="AC1995" s="4" t="s">
        <v>44</v>
      </c>
    </row>
    <row r="1996" spans="1:29" x14ac:dyDescent="0.25">
      <c r="A1996" s="1">
        <v>3809</v>
      </c>
      <c r="B1996" s="17" t="s">
        <v>9440</v>
      </c>
      <c r="C1996" s="2" t="s">
        <v>874</v>
      </c>
      <c r="D1996" s="15" t="s">
        <v>875</v>
      </c>
      <c r="E1996" s="9" t="s">
        <v>876</v>
      </c>
      <c r="F1996" s="9" t="s">
        <v>9441</v>
      </c>
      <c r="G1996" s="9" t="s">
        <v>3162</v>
      </c>
      <c r="H1996" s="2" t="s">
        <v>35</v>
      </c>
      <c r="I1996" s="3">
        <v>36460</v>
      </c>
      <c r="J1996" s="9" t="str">
        <f t="shared" ca="1" si="33"/>
        <v>23 ans</v>
      </c>
      <c r="K1996" s="2" t="s">
        <v>123</v>
      </c>
      <c r="L1996" s="2" t="str">
        <f>"380"</f>
        <v>380</v>
      </c>
      <c r="M1996" s="2"/>
      <c r="N1996" s="2" t="str">
        <f>"RUE DE CALAIS"</f>
        <v>RUE DE CALAIS</v>
      </c>
      <c r="O1996" s="2" t="s">
        <v>9183</v>
      </c>
      <c r="P1996" s="9" t="str">
        <f>VLOOKUP($O1996,'Liste des Villes'!$B$2:$B$1128,1,FALSE)</f>
        <v>Sainte-Thérèse</v>
      </c>
      <c r="Q1996" s="9" t="str">
        <f>IFERROR($P1996,PROPER(VLOOKUP($O1996,'Villes en erreur'!$A$2:$B$72,2,FALSE)))</f>
        <v>Sainte-Thérèse</v>
      </c>
      <c r="R1996" s="9" t="s">
        <v>9184</v>
      </c>
      <c r="S1996" s="9" t="str">
        <f>IF(ISBLANK($R1996),"",VLOOKUP($R1996,'Liste des Villes'!$B$2:$H$1128,4,FALSE))</f>
        <v>Laurentides</v>
      </c>
      <c r="T1996" s="2" t="s">
        <v>9442</v>
      </c>
      <c r="U1996" s="2" t="s">
        <v>39</v>
      </c>
      <c r="V1996" s="2" t="s">
        <v>40</v>
      </c>
      <c r="W1996" s="2" t="s">
        <v>9443</v>
      </c>
      <c r="X1996" s="2"/>
      <c r="Y1996" s="2"/>
      <c r="Z1996" s="2"/>
      <c r="AA1996" s="2" t="s">
        <v>9187</v>
      </c>
      <c r="AB1996" s="2" t="s">
        <v>73</v>
      </c>
      <c r="AC1996" s="4" t="s">
        <v>44</v>
      </c>
    </row>
    <row r="1997" spans="1:29" x14ac:dyDescent="0.25">
      <c r="A1997" s="1">
        <v>884</v>
      </c>
      <c r="B1997" s="17" t="s">
        <v>9444</v>
      </c>
      <c r="C1997" s="2" t="s">
        <v>9445</v>
      </c>
      <c r="D1997" s="15" t="s">
        <v>9446</v>
      </c>
      <c r="E1997" s="9" t="s">
        <v>9447</v>
      </c>
      <c r="F1997" s="9" t="s">
        <v>9448</v>
      </c>
      <c r="G1997" s="9" t="s">
        <v>9449</v>
      </c>
      <c r="H1997" s="2" t="s">
        <v>35</v>
      </c>
      <c r="I1997" s="3">
        <v>36442</v>
      </c>
      <c r="J1997" s="9" t="str">
        <f t="shared" ca="1" si="33"/>
        <v>23 ans</v>
      </c>
      <c r="K1997" s="2" t="s">
        <v>123</v>
      </c>
      <c r="L1997" s="2" t="str">
        <f>"367"</f>
        <v>367</v>
      </c>
      <c r="M1997" s="2"/>
      <c r="N1997" s="2" t="str">
        <f>"RUE DE BEAUFORT"</f>
        <v>RUE DE BEAUFORT</v>
      </c>
      <c r="O1997" s="2" t="s">
        <v>9183</v>
      </c>
      <c r="P1997" s="9" t="str">
        <f>VLOOKUP($O1997,'Liste des Villes'!$B$2:$B$1128,1,FALSE)</f>
        <v>Sainte-Thérèse</v>
      </c>
      <c r="Q1997" s="9" t="str">
        <f>IFERROR($P1997,PROPER(VLOOKUP($O1997,'Villes en erreur'!$A$2:$B$72,2,FALSE)))</f>
        <v>Sainte-Thérèse</v>
      </c>
      <c r="R1997" s="9" t="s">
        <v>9184</v>
      </c>
      <c r="S1997" s="9" t="str">
        <f>IF(ISBLANK($R1997),"",VLOOKUP($R1997,'Liste des Villes'!$B$2:$H$1128,4,FALSE))</f>
        <v>Laurentides</v>
      </c>
      <c r="T1997" s="2" t="s">
        <v>9193</v>
      </c>
      <c r="U1997" s="2" t="s">
        <v>39</v>
      </c>
      <c r="V1997" s="2" t="s">
        <v>40</v>
      </c>
      <c r="W1997" s="2" t="s">
        <v>9450</v>
      </c>
      <c r="X1997" s="2"/>
      <c r="Y1997" s="2"/>
      <c r="Z1997" s="2"/>
      <c r="AA1997" s="2" t="s">
        <v>127</v>
      </c>
      <c r="AB1997" s="2" t="s">
        <v>73</v>
      </c>
      <c r="AC1997" s="4" t="s">
        <v>44</v>
      </c>
    </row>
    <row r="1998" spans="1:29" x14ac:dyDescent="0.25">
      <c r="A1998" s="1">
        <v>25</v>
      </c>
      <c r="B1998" s="17" t="s">
        <v>9451</v>
      </c>
      <c r="C1998" s="2" t="s">
        <v>7545</v>
      </c>
      <c r="D1998" s="15" t="s">
        <v>726</v>
      </c>
      <c r="E1998" s="9" t="s">
        <v>7546</v>
      </c>
      <c r="F1998" s="9" t="s">
        <v>8781</v>
      </c>
      <c r="G1998" s="9" t="s">
        <v>4163</v>
      </c>
      <c r="H1998" s="2" t="s">
        <v>60</v>
      </c>
      <c r="I1998" s="3">
        <v>36461</v>
      </c>
      <c r="J1998" s="9" t="str">
        <f t="shared" ca="1" si="33"/>
        <v>23 ans</v>
      </c>
      <c r="K1998" s="2" t="s">
        <v>123</v>
      </c>
      <c r="L1998" s="2" t="str">
        <f>"380"</f>
        <v>380</v>
      </c>
      <c r="M1998" s="2"/>
      <c r="N1998" s="2" t="str">
        <f>"RUE DE CALVI"</f>
        <v>RUE DE CALVI</v>
      </c>
      <c r="O1998" s="2" t="s">
        <v>9183</v>
      </c>
      <c r="P1998" s="9" t="str">
        <f>VLOOKUP($O1998,'Liste des Villes'!$B$2:$B$1128,1,FALSE)</f>
        <v>Sainte-Thérèse</v>
      </c>
      <c r="Q1998" s="9" t="str">
        <f>IFERROR($P1998,PROPER(VLOOKUP($O1998,'Villes en erreur'!$A$2:$B$72,2,FALSE)))</f>
        <v>Sainte-Thérèse</v>
      </c>
      <c r="R1998" s="9" t="s">
        <v>9184</v>
      </c>
      <c r="S1998" s="9" t="str">
        <f>IF(ISBLANK($R1998),"",VLOOKUP($R1998,'Liste des Villes'!$B$2:$H$1128,4,FALSE))</f>
        <v>Laurentides</v>
      </c>
      <c r="T1998" s="2" t="s">
        <v>9452</v>
      </c>
      <c r="U1998" s="2" t="s">
        <v>39</v>
      </c>
      <c r="V1998" s="2" t="s">
        <v>40</v>
      </c>
      <c r="W1998" s="2" t="s">
        <v>9453</v>
      </c>
      <c r="X1998" s="2"/>
      <c r="Y1998" s="2"/>
      <c r="Z1998" s="2"/>
      <c r="AA1998" s="2" t="s">
        <v>9187</v>
      </c>
      <c r="AB1998" s="2" t="s">
        <v>73</v>
      </c>
      <c r="AC1998" s="4" t="s">
        <v>44</v>
      </c>
    </row>
    <row r="1999" spans="1:29" x14ac:dyDescent="0.25">
      <c r="A1999" s="1">
        <v>98</v>
      </c>
      <c r="B1999" s="17" t="s">
        <v>9454</v>
      </c>
      <c r="C1999" s="2" t="s">
        <v>9455</v>
      </c>
      <c r="D1999" s="15" t="s">
        <v>9456</v>
      </c>
      <c r="E1999" s="9" t="s">
        <v>1236</v>
      </c>
      <c r="F1999" s="9" t="s">
        <v>8728</v>
      </c>
      <c r="G1999" s="9" t="s">
        <v>9457</v>
      </c>
      <c r="H1999" s="2" t="s">
        <v>60</v>
      </c>
      <c r="I1999" s="3">
        <v>36450</v>
      </c>
      <c r="J1999" s="9" t="str">
        <f t="shared" ca="1" si="33"/>
        <v>23 ans</v>
      </c>
      <c r="K1999" s="2" t="s">
        <v>123</v>
      </c>
      <c r="L1999" s="2" t="str">
        <f>"372"</f>
        <v>372</v>
      </c>
      <c r="M1999" s="2"/>
      <c r="N1999" s="2" t="str">
        <f>"RUE DE BORDEAUX"</f>
        <v>RUE DE BORDEAUX</v>
      </c>
      <c r="O1999" s="2" t="s">
        <v>9183</v>
      </c>
      <c r="P1999" s="9" t="str">
        <f>VLOOKUP($O1999,'Liste des Villes'!$B$2:$B$1128,1,FALSE)</f>
        <v>Sainte-Thérèse</v>
      </c>
      <c r="Q1999" s="9" t="str">
        <f>IFERROR($P1999,PROPER(VLOOKUP($O1999,'Villes en erreur'!$A$2:$B$72,2,FALSE)))</f>
        <v>Sainte-Thérèse</v>
      </c>
      <c r="R1999" s="9" t="s">
        <v>9184</v>
      </c>
      <c r="S1999" s="9" t="str">
        <f>IF(ISBLANK($R1999),"",VLOOKUP($R1999,'Liste des Villes'!$B$2:$H$1128,4,FALSE))</f>
        <v>Laurentides</v>
      </c>
      <c r="T1999" s="2" t="s">
        <v>9285</v>
      </c>
      <c r="U1999" s="2" t="s">
        <v>39</v>
      </c>
      <c r="V1999" s="2" t="s">
        <v>40</v>
      </c>
      <c r="W1999" s="2" t="s">
        <v>9458</v>
      </c>
      <c r="X1999" s="2"/>
      <c r="Y1999" s="2"/>
      <c r="Z1999" s="2"/>
      <c r="AA1999" s="2" t="s">
        <v>9187</v>
      </c>
      <c r="AB1999" s="2" t="s">
        <v>73</v>
      </c>
      <c r="AC1999" s="4" t="s">
        <v>44</v>
      </c>
    </row>
    <row r="2000" spans="1:29" x14ac:dyDescent="0.25">
      <c r="A2000" s="1">
        <v>1778</v>
      </c>
      <c r="B2000" s="17" t="s">
        <v>9459</v>
      </c>
      <c r="C2000" s="2" t="s">
        <v>9460</v>
      </c>
      <c r="D2000" s="15" t="s">
        <v>2474</v>
      </c>
      <c r="E2000" s="9" t="s">
        <v>9461</v>
      </c>
      <c r="F2000" s="9" t="s">
        <v>6736</v>
      </c>
      <c r="G2000" s="9" t="s">
        <v>3511</v>
      </c>
      <c r="H2000" s="2" t="s">
        <v>35</v>
      </c>
      <c r="I2000" s="3">
        <v>36437</v>
      </c>
      <c r="J2000" s="9" t="str">
        <f t="shared" ca="1" si="33"/>
        <v>23 ans</v>
      </c>
      <c r="K2000" s="2" t="s">
        <v>123</v>
      </c>
      <c r="L2000" s="2" t="str">
        <f>"366"</f>
        <v>366</v>
      </c>
      <c r="M2000" s="2"/>
      <c r="N2000" s="2" t="str">
        <f>"RUE DE BEAUFORT"</f>
        <v>RUE DE BEAUFORT</v>
      </c>
      <c r="O2000" s="2" t="s">
        <v>9183</v>
      </c>
      <c r="P2000" s="9" t="str">
        <f>VLOOKUP($O2000,'Liste des Villes'!$B$2:$B$1128,1,FALSE)</f>
        <v>Sainte-Thérèse</v>
      </c>
      <c r="Q2000" s="9" t="str">
        <f>IFERROR($P2000,PROPER(VLOOKUP($O2000,'Villes en erreur'!$A$2:$B$72,2,FALSE)))</f>
        <v>Sainte-Thérèse</v>
      </c>
      <c r="R2000" s="9" t="s">
        <v>9184</v>
      </c>
      <c r="S2000" s="9" t="str">
        <f>IF(ISBLANK($R2000),"",VLOOKUP($R2000,'Liste des Villes'!$B$2:$H$1128,4,FALSE))</f>
        <v>Laurentides</v>
      </c>
      <c r="T2000" s="2" t="s">
        <v>9416</v>
      </c>
      <c r="U2000" s="2" t="s">
        <v>39</v>
      </c>
      <c r="V2000" s="2" t="s">
        <v>40</v>
      </c>
      <c r="W2000" s="2" t="s">
        <v>9462</v>
      </c>
      <c r="X2000" s="2"/>
      <c r="Y2000" s="2"/>
      <c r="Z2000" s="2"/>
      <c r="AA2000" s="2" t="s">
        <v>127</v>
      </c>
      <c r="AB2000" s="2" t="s">
        <v>73</v>
      </c>
      <c r="AC2000" s="4" t="s">
        <v>44</v>
      </c>
    </row>
    <row r="2001" spans="1:29" x14ac:dyDescent="0.25">
      <c r="A2001" s="1">
        <v>4294</v>
      </c>
      <c r="B2001" s="17" t="s">
        <v>9463</v>
      </c>
      <c r="C2001" s="2" t="s">
        <v>9464</v>
      </c>
      <c r="D2001" s="15" t="s">
        <v>8666</v>
      </c>
      <c r="E2001" s="9" t="s">
        <v>610</v>
      </c>
      <c r="F2001" s="9" t="s">
        <v>9465</v>
      </c>
      <c r="G2001" s="9" t="s">
        <v>9466</v>
      </c>
      <c r="H2001" s="2" t="s">
        <v>35</v>
      </c>
      <c r="I2001" s="3">
        <v>36443</v>
      </c>
      <c r="J2001" s="9" t="str">
        <f t="shared" ca="1" si="33"/>
        <v>23 ans</v>
      </c>
      <c r="K2001" s="2" t="s">
        <v>123</v>
      </c>
      <c r="L2001" s="2" t="str">
        <f>"369"</f>
        <v>369</v>
      </c>
      <c r="M2001" s="2"/>
      <c r="N2001" s="2" t="str">
        <f>"RUE DE BEAUFORT"</f>
        <v>RUE DE BEAUFORT</v>
      </c>
      <c r="O2001" s="2" t="s">
        <v>9183</v>
      </c>
      <c r="P2001" s="9" t="str">
        <f>VLOOKUP($O2001,'Liste des Villes'!$B$2:$B$1128,1,FALSE)</f>
        <v>Sainte-Thérèse</v>
      </c>
      <c r="Q2001" s="9" t="str">
        <f>IFERROR($P2001,PROPER(VLOOKUP($O2001,'Villes en erreur'!$A$2:$B$72,2,FALSE)))</f>
        <v>Sainte-Thérèse</v>
      </c>
      <c r="R2001" s="9" t="s">
        <v>9184</v>
      </c>
      <c r="S2001" s="9" t="str">
        <f>IF(ISBLANK($R2001),"",VLOOKUP($R2001,'Liste des Villes'!$B$2:$H$1128,4,FALSE))</f>
        <v>Laurentides</v>
      </c>
      <c r="T2001" s="2" t="s">
        <v>9193</v>
      </c>
      <c r="U2001" s="2" t="s">
        <v>39</v>
      </c>
      <c r="V2001" s="2" t="s">
        <v>40</v>
      </c>
      <c r="W2001" s="2" t="s">
        <v>9467</v>
      </c>
      <c r="X2001" s="2"/>
      <c r="Y2001" s="2"/>
      <c r="Z2001" s="2"/>
      <c r="AA2001" s="2" t="s">
        <v>127</v>
      </c>
      <c r="AB2001" s="2" t="s">
        <v>73</v>
      </c>
      <c r="AC2001" s="4" t="s">
        <v>44</v>
      </c>
    </row>
    <row r="2002" spans="1:29" x14ac:dyDescent="0.25">
      <c r="A2002" s="1">
        <v>2319</v>
      </c>
      <c r="B2002" s="17" t="s">
        <v>9468</v>
      </c>
      <c r="C2002" s="2" t="s">
        <v>9157</v>
      </c>
      <c r="D2002" s="15" t="s">
        <v>9158</v>
      </c>
      <c r="E2002" s="9" t="s">
        <v>929</v>
      </c>
      <c r="F2002" s="9" t="s">
        <v>4493</v>
      </c>
      <c r="G2002" s="9" t="s">
        <v>9469</v>
      </c>
      <c r="H2002" s="2" t="s">
        <v>35</v>
      </c>
      <c r="I2002" s="3">
        <v>36438</v>
      </c>
      <c r="J2002" s="9" t="str">
        <f t="shared" ca="1" si="33"/>
        <v>23 ans</v>
      </c>
      <c r="K2002" s="2" t="s">
        <v>123</v>
      </c>
      <c r="L2002" s="2" t="str">
        <f>"366"</f>
        <v>366</v>
      </c>
      <c r="M2002" s="2"/>
      <c r="N2002" s="2" t="str">
        <f>"RUE DE BEAUFORT"</f>
        <v>RUE DE BEAUFORT</v>
      </c>
      <c r="O2002" s="2" t="s">
        <v>9183</v>
      </c>
      <c r="P2002" s="9" t="str">
        <f>VLOOKUP($O2002,'Liste des Villes'!$B$2:$B$1128,1,FALSE)</f>
        <v>Sainte-Thérèse</v>
      </c>
      <c r="Q2002" s="9" t="str">
        <f>IFERROR($P2002,PROPER(VLOOKUP($O2002,'Villes en erreur'!$A$2:$B$72,2,FALSE)))</f>
        <v>Sainte-Thérèse</v>
      </c>
      <c r="R2002" s="9" t="s">
        <v>9184</v>
      </c>
      <c r="S2002" s="9" t="str">
        <f>IF(ISBLANK($R2002),"",VLOOKUP($R2002,'Liste des Villes'!$B$2:$H$1128,4,FALSE))</f>
        <v>Laurentides</v>
      </c>
      <c r="T2002" s="2" t="s">
        <v>9416</v>
      </c>
      <c r="U2002" s="2" t="s">
        <v>39</v>
      </c>
      <c r="V2002" s="2" t="s">
        <v>40</v>
      </c>
      <c r="W2002" s="2" t="s">
        <v>9470</v>
      </c>
      <c r="X2002" s="2"/>
      <c r="Y2002" s="2"/>
      <c r="Z2002" s="2"/>
      <c r="AA2002" s="2" t="s">
        <v>127</v>
      </c>
      <c r="AB2002" s="2" t="s">
        <v>73</v>
      </c>
      <c r="AC2002" s="4" t="s">
        <v>44</v>
      </c>
    </row>
    <row r="2003" spans="1:29" x14ac:dyDescent="0.25">
      <c r="A2003" s="1">
        <v>1625</v>
      </c>
      <c r="B2003" s="17" t="s">
        <v>9471</v>
      </c>
      <c r="C2003" s="2" t="s">
        <v>4115</v>
      </c>
      <c r="D2003" s="15" t="s">
        <v>762</v>
      </c>
      <c r="E2003" s="9" t="s">
        <v>922</v>
      </c>
      <c r="F2003" s="9" t="s">
        <v>1230</v>
      </c>
      <c r="G2003" s="9" t="s">
        <v>9308</v>
      </c>
      <c r="H2003" s="2" t="s">
        <v>35</v>
      </c>
      <c r="I2003" s="3">
        <v>36475</v>
      </c>
      <c r="J2003" s="9" t="str">
        <f t="shared" ca="1" si="33"/>
        <v>23 ans</v>
      </c>
      <c r="K2003" s="2" t="s">
        <v>123</v>
      </c>
      <c r="L2003" s="2" t="str">
        <f>"391"</f>
        <v>391</v>
      </c>
      <c r="M2003" s="2"/>
      <c r="N2003" s="2" t="str">
        <f>"RUE DE CHENONCEAU"</f>
        <v>RUE DE CHENONCEAU</v>
      </c>
      <c r="O2003" s="2" t="s">
        <v>9183</v>
      </c>
      <c r="P2003" s="9" t="str">
        <f>VLOOKUP($O2003,'Liste des Villes'!$B$2:$B$1128,1,FALSE)</f>
        <v>Sainte-Thérèse</v>
      </c>
      <c r="Q2003" s="9" t="str">
        <f>IFERROR($P2003,PROPER(VLOOKUP($O2003,'Villes en erreur'!$A$2:$B$72,2,FALSE)))</f>
        <v>Sainte-Thérèse</v>
      </c>
      <c r="R2003" s="9" t="s">
        <v>9184</v>
      </c>
      <c r="S2003" s="9" t="str">
        <f>IF(ISBLANK($R2003),"",VLOOKUP($R2003,'Liste des Villes'!$B$2:$H$1128,4,FALSE))</f>
        <v>Laurentides</v>
      </c>
      <c r="T2003" s="2" t="s">
        <v>9472</v>
      </c>
      <c r="U2003" s="2" t="s">
        <v>39</v>
      </c>
      <c r="V2003" s="2" t="s">
        <v>40</v>
      </c>
      <c r="W2003" s="2" t="s">
        <v>9473</v>
      </c>
      <c r="X2003" s="2"/>
      <c r="Y2003" s="2"/>
      <c r="Z2003" s="2"/>
      <c r="AA2003" s="2" t="s">
        <v>9187</v>
      </c>
      <c r="AB2003" s="2" t="s">
        <v>73</v>
      </c>
      <c r="AC2003" s="4" t="s">
        <v>44</v>
      </c>
    </row>
    <row r="2004" spans="1:29" x14ac:dyDescent="0.25">
      <c r="A2004" s="1">
        <v>1021</v>
      </c>
      <c r="B2004" s="17" t="s">
        <v>9474</v>
      </c>
      <c r="C2004" s="2" t="s">
        <v>9475</v>
      </c>
      <c r="D2004" s="15" t="s">
        <v>9255</v>
      </c>
      <c r="E2004" s="9" t="s">
        <v>698</v>
      </c>
      <c r="F2004" s="9" t="s">
        <v>3018</v>
      </c>
      <c r="G2004" s="9" t="s">
        <v>9476</v>
      </c>
      <c r="H2004" s="2" t="s">
        <v>60</v>
      </c>
      <c r="I2004" s="3">
        <v>36474</v>
      </c>
      <c r="J2004" s="9" t="str">
        <f t="shared" ca="1" si="33"/>
        <v>23 ans</v>
      </c>
      <c r="K2004" s="2" t="s">
        <v>123</v>
      </c>
      <c r="L2004" s="2" t="str">
        <f>"390"</f>
        <v>390</v>
      </c>
      <c r="M2004" s="2"/>
      <c r="N2004" s="2" t="str">
        <f>"RUE DE CHARLESBOURG"</f>
        <v>RUE DE CHARLESBOURG</v>
      </c>
      <c r="O2004" s="2" t="s">
        <v>9183</v>
      </c>
      <c r="P2004" s="9" t="str">
        <f>VLOOKUP($O2004,'Liste des Villes'!$B$2:$B$1128,1,FALSE)</f>
        <v>Sainte-Thérèse</v>
      </c>
      <c r="Q2004" s="9" t="str">
        <f>IFERROR($P2004,PROPER(VLOOKUP($O2004,'Villes en erreur'!$A$2:$B$72,2,FALSE)))</f>
        <v>Sainte-Thérèse</v>
      </c>
      <c r="R2004" s="9" t="s">
        <v>9184</v>
      </c>
      <c r="S2004" s="9" t="str">
        <f>IF(ISBLANK($R2004),"",VLOOKUP($R2004,'Liste des Villes'!$B$2:$H$1128,4,FALSE))</f>
        <v>Laurentides</v>
      </c>
      <c r="T2004" s="2" t="s">
        <v>9331</v>
      </c>
      <c r="U2004" s="2" t="s">
        <v>39</v>
      </c>
      <c r="V2004" s="2" t="s">
        <v>40</v>
      </c>
      <c r="W2004" s="2" t="s">
        <v>9477</v>
      </c>
      <c r="X2004" s="2"/>
      <c r="Y2004" s="2"/>
      <c r="Z2004" s="2"/>
      <c r="AA2004" s="2" t="s">
        <v>9187</v>
      </c>
      <c r="AB2004" s="2" t="s">
        <v>73</v>
      </c>
      <c r="AC2004" s="4" t="s">
        <v>44</v>
      </c>
    </row>
    <row r="2005" spans="1:29" x14ac:dyDescent="0.25">
      <c r="A2005" s="1">
        <v>2805</v>
      </c>
      <c r="B2005" s="17" t="s">
        <v>9478</v>
      </c>
      <c r="C2005" s="2" t="s">
        <v>9479</v>
      </c>
      <c r="D2005" s="15" t="s">
        <v>278</v>
      </c>
      <c r="E2005" s="9" t="s">
        <v>186</v>
      </c>
      <c r="F2005" s="9" t="s">
        <v>276</v>
      </c>
      <c r="G2005" s="9" t="s">
        <v>3162</v>
      </c>
      <c r="H2005" s="2" t="s">
        <v>35</v>
      </c>
      <c r="I2005" s="3">
        <v>36456</v>
      </c>
      <c r="J2005" s="9" t="str">
        <f t="shared" ca="1" si="33"/>
        <v>23 ans</v>
      </c>
      <c r="K2005" s="2" t="s">
        <v>123</v>
      </c>
      <c r="L2005" s="2" t="str">
        <f>"377"</f>
        <v>377</v>
      </c>
      <c r="M2005" s="2"/>
      <c r="N2005" s="2" t="str">
        <f>"RUE DE BROUAGE"</f>
        <v>RUE DE BROUAGE</v>
      </c>
      <c r="O2005" s="2" t="s">
        <v>9183</v>
      </c>
      <c r="P2005" s="9" t="str">
        <f>VLOOKUP($O2005,'Liste des Villes'!$B$2:$B$1128,1,FALSE)</f>
        <v>Sainte-Thérèse</v>
      </c>
      <c r="Q2005" s="9" t="str">
        <f>IFERROR($P2005,PROPER(VLOOKUP($O2005,'Villes en erreur'!$A$2:$B$72,2,FALSE)))</f>
        <v>Sainte-Thérèse</v>
      </c>
      <c r="R2005" s="9" t="s">
        <v>9184</v>
      </c>
      <c r="S2005" s="9" t="str">
        <f>IF(ISBLANK($R2005),"",VLOOKUP($R2005,'Liste des Villes'!$B$2:$H$1128,4,FALSE))</f>
        <v>Laurentides</v>
      </c>
      <c r="T2005" s="2" t="s">
        <v>9315</v>
      </c>
      <c r="U2005" s="2" t="s">
        <v>39</v>
      </c>
      <c r="V2005" s="2" t="s">
        <v>40</v>
      </c>
      <c r="W2005" s="2" t="s">
        <v>9480</v>
      </c>
      <c r="X2005" s="2"/>
      <c r="Y2005" s="2"/>
      <c r="Z2005" s="2"/>
      <c r="AA2005" s="2" t="s">
        <v>9187</v>
      </c>
      <c r="AB2005" s="2" t="s">
        <v>73</v>
      </c>
      <c r="AC2005" s="4" t="s">
        <v>44</v>
      </c>
    </row>
    <row r="2006" spans="1:29" x14ac:dyDescent="0.25">
      <c r="A2006" s="1">
        <v>2554</v>
      </c>
      <c r="B2006" s="17" t="s">
        <v>9481</v>
      </c>
      <c r="C2006" s="2" t="s">
        <v>7465</v>
      </c>
      <c r="D2006" s="15" t="s">
        <v>7466</v>
      </c>
      <c r="E2006" s="9" t="s">
        <v>495</v>
      </c>
      <c r="F2006" s="9" t="s">
        <v>438</v>
      </c>
      <c r="G2006" s="9" t="s">
        <v>9482</v>
      </c>
      <c r="H2006" s="2" t="s">
        <v>60</v>
      </c>
      <c r="I2006" s="3">
        <v>36443</v>
      </c>
      <c r="J2006" s="9" t="str">
        <f t="shared" ca="1" si="33"/>
        <v>23 ans</v>
      </c>
      <c r="K2006" s="2" t="s">
        <v>123</v>
      </c>
      <c r="L2006" s="2" t="str">
        <f>"369"</f>
        <v>369</v>
      </c>
      <c r="M2006" s="2"/>
      <c r="N2006" s="2" t="str">
        <f>"RUE DE BEAUFORT"</f>
        <v>RUE DE BEAUFORT</v>
      </c>
      <c r="O2006" s="2" t="s">
        <v>9183</v>
      </c>
      <c r="P2006" s="9" t="str">
        <f>VLOOKUP($O2006,'Liste des Villes'!$B$2:$B$1128,1,FALSE)</f>
        <v>Sainte-Thérèse</v>
      </c>
      <c r="Q2006" s="9" t="str">
        <f>IFERROR($P2006,PROPER(VLOOKUP($O2006,'Villes en erreur'!$A$2:$B$72,2,FALSE)))</f>
        <v>Sainte-Thérèse</v>
      </c>
      <c r="R2006" s="9" t="s">
        <v>9184</v>
      </c>
      <c r="S2006" s="9" t="str">
        <f>IF(ISBLANK($R2006),"",VLOOKUP($R2006,'Liste des Villes'!$B$2:$H$1128,4,FALSE))</f>
        <v>Laurentides</v>
      </c>
      <c r="T2006" s="2" t="s">
        <v>9193</v>
      </c>
      <c r="U2006" s="2" t="s">
        <v>39</v>
      </c>
      <c r="V2006" s="2" t="s">
        <v>40</v>
      </c>
      <c r="W2006" s="2" t="s">
        <v>9483</v>
      </c>
      <c r="X2006" s="2"/>
      <c r="Y2006" s="2"/>
      <c r="Z2006" s="2"/>
      <c r="AA2006" s="2" t="s">
        <v>127</v>
      </c>
      <c r="AB2006" s="2" t="s">
        <v>73</v>
      </c>
      <c r="AC2006" s="4" t="s">
        <v>44</v>
      </c>
    </row>
    <row r="2007" spans="1:29" x14ac:dyDescent="0.25">
      <c r="A2007" s="1">
        <v>1851</v>
      </c>
      <c r="B2007" s="17" t="s">
        <v>9484</v>
      </c>
      <c r="C2007" s="2" t="s">
        <v>9485</v>
      </c>
      <c r="D2007" s="15" t="s">
        <v>3396</v>
      </c>
      <c r="E2007" s="9" t="s">
        <v>2217</v>
      </c>
      <c r="F2007" s="9" t="s">
        <v>3395</v>
      </c>
      <c r="G2007" s="9" t="s">
        <v>9486</v>
      </c>
      <c r="H2007" s="2" t="s">
        <v>35</v>
      </c>
      <c r="I2007" s="3">
        <v>36436</v>
      </c>
      <c r="J2007" s="9" t="str">
        <f t="shared" ca="1" si="33"/>
        <v>23 ans</v>
      </c>
      <c r="K2007" s="2" t="s">
        <v>123</v>
      </c>
      <c r="L2007" s="2" t="str">
        <f>"365"</f>
        <v>365</v>
      </c>
      <c r="M2007" s="2"/>
      <c r="N2007" s="2" t="str">
        <f>"RUE DE BEAUFORT"</f>
        <v>RUE DE BEAUFORT</v>
      </c>
      <c r="O2007" s="2" t="s">
        <v>9183</v>
      </c>
      <c r="P2007" s="9" t="str">
        <f>VLOOKUP($O2007,'Liste des Villes'!$B$2:$B$1128,1,FALSE)</f>
        <v>Sainte-Thérèse</v>
      </c>
      <c r="Q2007" s="9" t="str">
        <f>IFERROR($P2007,PROPER(VLOOKUP($O2007,'Villes en erreur'!$A$2:$B$72,2,FALSE)))</f>
        <v>Sainte-Thérèse</v>
      </c>
      <c r="R2007" s="9" t="s">
        <v>9184</v>
      </c>
      <c r="S2007" s="9" t="str">
        <f>IF(ISBLANK($R2007),"",VLOOKUP($R2007,'Liste des Villes'!$B$2:$H$1128,4,FALSE))</f>
        <v>Laurentides</v>
      </c>
      <c r="T2007" s="2" t="s">
        <v>9203</v>
      </c>
      <c r="U2007" s="2" t="s">
        <v>39</v>
      </c>
      <c r="V2007" s="2" t="s">
        <v>40</v>
      </c>
      <c r="W2007" s="2" t="s">
        <v>9487</v>
      </c>
      <c r="X2007" s="2"/>
      <c r="Y2007" s="2"/>
      <c r="Z2007" s="2"/>
      <c r="AA2007" s="2" t="s">
        <v>127</v>
      </c>
      <c r="AB2007" s="2" t="s">
        <v>73</v>
      </c>
      <c r="AC2007" s="4" t="s">
        <v>44</v>
      </c>
    </row>
    <row r="2008" spans="1:29" x14ac:dyDescent="0.25">
      <c r="A2008" s="1">
        <v>535</v>
      </c>
      <c r="B2008" s="17" t="s">
        <v>9488</v>
      </c>
      <c r="C2008" s="2" t="s">
        <v>9489</v>
      </c>
      <c r="D2008" s="15" t="s">
        <v>5282</v>
      </c>
      <c r="E2008" s="9" t="s">
        <v>796</v>
      </c>
      <c r="F2008" s="9" t="s">
        <v>5281</v>
      </c>
      <c r="G2008" s="9" t="s">
        <v>1069</v>
      </c>
      <c r="H2008" s="2" t="s">
        <v>35</v>
      </c>
      <c r="I2008" s="3">
        <v>36433</v>
      </c>
      <c r="J2008" s="9" t="str">
        <f t="shared" ca="1" si="33"/>
        <v>23 ans</v>
      </c>
      <c r="K2008" s="2" t="s">
        <v>123</v>
      </c>
      <c r="L2008" s="2" t="str">
        <f>"361"</f>
        <v>361</v>
      </c>
      <c r="M2008" s="2"/>
      <c r="N2008" s="2" t="str">
        <f>"RUE D'ANVERS"</f>
        <v>RUE D'ANVERS</v>
      </c>
      <c r="O2008" s="2" t="s">
        <v>9183</v>
      </c>
      <c r="P2008" s="9" t="str">
        <f>VLOOKUP($O2008,'Liste des Villes'!$B$2:$B$1128,1,FALSE)</f>
        <v>Sainte-Thérèse</v>
      </c>
      <c r="Q2008" s="9" t="str">
        <f>IFERROR($P2008,PROPER(VLOOKUP($O2008,'Villes en erreur'!$A$2:$B$72,2,FALSE)))</f>
        <v>Sainte-Thérèse</v>
      </c>
      <c r="R2008" s="9" t="s">
        <v>9184</v>
      </c>
      <c r="S2008" s="9" t="str">
        <f>IF(ISBLANK($R2008),"",VLOOKUP($R2008,'Liste des Villes'!$B$2:$H$1128,4,FALSE))</f>
        <v>Laurentides</v>
      </c>
      <c r="T2008" s="2" t="s">
        <v>9229</v>
      </c>
      <c r="U2008" s="2" t="s">
        <v>39</v>
      </c>
      <c r="V2008" s="2" t="s">
        <v>40</v>
      </c>
      <c r="W2008" s="2" t="s">
        <v>9490</v>
      </c>
      <c r="X2008" s="2"/>
      <c r="Y2008" s="2"/>
      <c r="Z2008" s="2"/>
      <c r="AA2008" s="2" t="s">
        <v>127</v>
      </c>
      <c r="AB2008" s="2" t="s">
        <v>73</v>
      </c>
      <c r="AC2008" s="4" t="s">
        <v>44</v>
      </c>
    </row>
    <row r="2009" spans="1:29" x14ac:dyDescent="0.25">
      <c r="A2009" s="1">
        <v>4501</v>
      </c>
      <c r="B2009" s="17" t="s">
        <v>9491</v>
      </c>
      <c r="C2009" s="2" t="s">
        <v>7930</v>
      </c>
      <c r="D2009" s="15" t="s">
        <v>7931</v>
      </c>
      <c r="E2009" s="9" t="s">
        <v>179</v>
      </c>
      <c r="F2009" s="9" t="s">
        <v>9492</v>
      </c>
      <c r="G2009" s="9" t="s">
        <v>3162</v>
      </c>
      <c r="H2009" s="2" t="s">
        <v>35</v>
      </c>
      <c r="I2009" s="3">
        <v>36459</v>
      </c>
      <c r="J2009" s="9" t="str">
        <f t="shared" ca="1" si="33"/>
        <v>23 ans</v>
      </c>
      <c r="K2009" s="2" t="s">
        <v>123</v>
      </c>
      <c r="L2009" s="2" t="str">
        <f>"379"</f>
        <v>379</v>
      </c>
      <c r="M2009" s="2"/>
      <c r="N2009" s="2" t="str">
        <f>"RUE DE CAHORS"</f>
        <v>RUE DE CAHORS</v>
      </c>
      <c r="O2009" s="2" t="s">
        <v>9183</v>
      </c>
      <c r="P2009" s="9" t="str">
        <f>VLOOKUP($O2009,'Liste des Villes'!$B$2:$B$1128,1,FALSE)</f>
        <v>Sainte-Thérèse</v>
      </c>
      <c r="Q2009" s="9" t="str">
        <f>IFERROR($P2009,PROPER(VLOOKUP($O2009,'Villes en erreur'!$A$2:$B$72,2,FALSE)))</f>
        <v>Sainte-Thérèse</v>
      </c>
      <c r="R2009" s="9" t="s">
        <v>9184</v>
      </c>
      <c r="S2009" s="9" t="str">
        <f>IF(ISBLANK($R2009),"",VLOOKUP($R2009,'Liste des Villes'!$B$2:$H$1128,4,FALSE))</f>
        <v>Laurentides</v>
      </c>
      <c r="T2009" s="2" t="s">
        <v>9493</v>
      </c>
      <c r="U2009" s="2" t="s">
        <v>39</v>
      </c>
      <c r="V2009" s="2" t="s">
        <v>40</v>
      </c>
      <c r="W2009" s="2" t="s">
        <v>9494</v>
      </c>
      <c r="X2009" s="2"/>
      <c r="Y2009" s="2"/>
      <c r="Z2009" s="2"/>
      <c r="AA2009" s="2" t="s">
        <v>9187</v>
      </c>
      <c r="AB2009" s="2" t="s">
        <v>73</v>
      </c>
      <c r="AC2009" s="4" t="s">
        <v>44</v>
      </c>
    </row>
    <row r="2010" spans="1:29" x14ac:dyDescent="0.25">
      <c r="A2010" s="1">
        <v>1753</v>
      </c>
      <c r="B2010" s="17" t="s">
        <v>9495</v>
      </c>
      <c r="C2010" s="2" t="s">
        <v>8693</v>
      </c>
      <c r="D2010" s="15" t="s">
        <v>8694</v>
      </c>
      <c r="E2010" s="9" t="s">
        <v>5476</v>
      </c>
      <c r="F2010" s="9" t="s">
        <v>31</v>
      </c>
      <c r="G2010" s="9" t="s">
        <v>3162</v>
      </c>
      <c r="H2010" s="2" t="s">
        <v>35</v>
      </c>
      <c r="I2010" s="3">
        <v>36455</v>
      </c>
      <c r="J2010" s="9" t="str">
        <f t="shared" ca="1" si="33"/>
        <v>23 ans</v>
      </c>
      <c r="K2010" s="2" t="s">
        <v>123</v>
      </c>
      <c r="L2010" s="2" t="str">
        <f>"377"</f>
        <v>377</v>
      </c>
      <c r="M2010" s="2"/>
      <c r="N2010" s="2" t="str">
        <f>"RUE DE BOURGES"</f>
        <v>RUE DE BOURGES</v>
      </c>
      <c r="O2010" s="2" t="s">
        <v>9183</v>
      </c>
      <c r="P2010" s="9" t="str">
        <f>VLOOKUP($O2010,'Liste des Villes'!$B$2:$B$1128,1,FALSE)</f>
        <v>Sainte-Thérèse</v>
      </c>
      <c r="Q2010" s="9" t="str">
        <f>IFERROR($P2010,PROPER(VLOOKUP($O2010,'Villes en erreur'!$A$2:$B$72,2,FALSE)))</f>
        <v>Sainte-Thérèse</v>
      </c>
      <c r="R2010" s="9" t="s">
        <v>9184</v>
      </c>
      <c r="S2010" s="9" t="str">
        <f>IF(ISBLANK($R2010),"",VLOOKUP($R2010,'Liste des Villes'!$B$2:$H$1128,4,FALSE))</f>
        <v>Laurentides</v>
      </c>
      <c r="T2010" s="2" t="s">
        <v>9315</v>
      </c>
      <c r="U2010" s="2" t="s">
        <v>39</v>
      </c>
      <c r="V2010" s="2" t="s">
        <v>40</v>
      </c>
      <c r="W2010" s="2" t="s">
        <v>9496</v>
      </c>
      <c r="X2010" s="2"/>
      <c r="Y2010" s="2"/>
      <c r="Z2010" s="2"/>
      <c r="AA2010" s="2" t="s">
        <v>9187</v>
      </c>
      <c r="AB2010" s="2" t="s">
        <v>73</v>
      </c>
      <c r="AC2010" s="4" t="s">
        <v>44</v>
      </c>
    </row>
    <row r="2011" spans="1:29" x14ac:dyDescent="0.25">
      <c r="A2011" s="1">
        <v>930</v>
      </c>
      <c r="B2011" s="17" t="s">
        <v>9497</v>
      </c>
      <c r="C2011" s="2" t="s">
        <v>9498</v>
      </c>
      <c r="D2011" s="15" t="s">
        <v>9499</v>
      </c>
      <c r="E2011" s="9" t="s">
        <v>3126</v>
      </c>
      <c r="F2011" s="9" t="s">
        <v>9500</v>
      </c>
      <c r="G2011" s="9" t="s">
        <v>5779</v>
      </c>
      <c r="H2011" s="2" t="s">
        <v>60</v>
      </c>
      <c r="I2011" s="3">
        <v>36471</v>
      </c>
      <c r="J2011" s="9" t="str">
        <f t="shared" ca="1" si="33"/>
        <v>23 ans</v>
      </c>
      <c r="K2011" s="2" t="s">
        <v>123</v>
      </c>
      <c r="L2011" s="2" t="str">
        <f>"388"</f>
        <v>388</v>
      </c>
      <c r="M2011" s="2"/>
      <c r="N2011" s="2" t="str">
        <f>"RUE DE CHAMPAGNAC"</f>
        <v>RUE DE CHAMPAGNAC</v>
      </c>
      <c r="O2011" s="2" t="s">
        <v>9183</v>
      </c>
      <c r="P2011" s="9" t="str">
        <f>VLOOKUP($O2011,'Liste des Villes'!$B$2:$B$1128,1,FALSE)</f>
        <v>Sainte-Thérèse</v>
      </c>
      <c r="Q2011" s="9" t="str">
        <f>IFERROR($P2011,PROPER(VLOOKUP($O2011,'Villes en erreur'!$A$2:$B$72,2,FALSE)))</f>
        <v>Sainte-Thérèse</v>
      </c>
      <c r="R2011" s="9" t="s">
        <v>9184</v>
      </c>
      <c r="S2011" s="9" t="str">
        <f>IF(ISBLANK($R2011),"",VLOOKUP($R2011,'Liste des Villes'!$B$2:$H$1128,4,FALSE))</f>
        <v>Laurentides</v>
      </c>
      <c r="T2011" s="2" t="s">
        <v>9501</v>
      </c>
      <c r="U2011" s="2" t="s">
        <v>39</v>
      </c>
      <c r="V2011" s="2" t="s">
        <v>40</v>
      </c>
      <c r="W2011" s="2" t="s">
        <v>9502</v>
      </c>
      <c r="X2011" s="2"/>
      <c r="Y2011" s="2"/>
      <c r="Z2011" s="2"/>
      <c r="AA2011" s="2" t="s">
        <v>9187</v>
      </c>
      <c r="AB2011" s="2" t="s">
        <v>73</v>
      </c>
      <c r="AC2011" s="4" t="s">
        <v>44</v>
      </c>
    </row>
    <row r="2012" spans="1:29" x14ac:dyDescent="0.25">
      <c r="A2012" s="1">
        <v>1606</v>
      </c>
      <c r="B2012" s="17" t="s">
        <v>9503</v>
      </c>
      <c r="C2012" s="2" t="s">
        <v>9504</v>
      </c>
      <c r="D2012" s="15" t="s">
        <v>9505</v>
      </c>
      <c r="E2012" s="9" t="s">
        <v>2404</v>
      </c>
      <c r="F2012" s="9" t="s">
        <v>4395</v>
      </c>
      <c r="G2012" s="9" t="s">
        <v>9506</v>
      </c>
      <c r="H2012" s="2" t="s">
        <v>60</v>
      </c>
      <c r="I2012" s="3">
        <v>36450</v>
      </c>
      <c r="J2012" s="9" t="str">
        <f t="shared" ca="1" si="33"/>
        <v>23 ans</v>
      </c>
      <c r="K2012" s="2" t="s">
        <v>123</v>
      </c>
      <c r="L2012" s="2" t="str">
        <f>"374"</f>
        <v>374</v>
      </c>
      <c r="M2012" s="2"/>
      <c r="N2012" s="2" t="str">
        <f>"RUE DE BORDEAUX"</f>
        <v>RUE DE BORDEAUX</v>
      </c>
      <c r="O2012" s="2" t="s">
        <v>9183</v>
      </c>
      <c r="P2012" s="9" t="str">
        <f>VLOOKUP($O2012,'Liste des Villes'!$B$2:$B$1128,1,FALSE)</f>
        <v>Sainte-Thérèse</v>
      </c>
      <c r="Q2012" s="9" t="str">
        <f>IFERROR($P2012,PROPER(VLOOKUP($O2012,'Villes en erreur'!$A$2:$B$72,2,FALSE)))</f>
        <v>Sainte-Thérèse</v>
      </c>
      <c r="R2012" s="9" t="s">
        <v>9184</v>
      </c>
      <c r="S2012" s="9" t="str">
        <f>IF(ISBLANK($R2012),"",VLOOKUP($R2012,'Liste des Villes'!$B$2:$H$1128,4,FALSE))</f>
        <v>Laurentides</v>
      </c>
      <c r="T2012" s="2" t="s">
        <v>9285</v>
      </c>
      <c r="U2012" s="2" t="s">
        <v>39</v>
      </c>
      <c r="V2012" s="2" t="s">
        <v>40</v>
      </c>
      <c r="W2012" s="2" t="s">
        <v>9507</v>
      </c>
      <c r="X2012" s="2"/>
      <c r="Y2012" s="2"/>
      <c r="Z2012" s="2"/>
      <c r="AA2012" s="2" t="s">
        <v>9187</v>
      </c>
      <c r="AB2012" s="2" t="s">
        <v>73</v>
      </c>
      <c r="AC2012" s="4" t="s">
        <v>44</v>
      </c>
    </row>
    <row r="2013" spans="1:29" x14ac:dyDescent="0.25">
      <c r="A2013" s="1">
        <v>4145</v>
      </c>
      <c r="B2013" s="17" t="s">
        <v>9508</v>
      </c>
      <c r="C2013" s="2" t="s">
        <v>8160</v>
      </c>
      <c r="D2013" s="15" t="s">
        <v>7971</v>
      </c>
      <c r="E2013" s="9" t="s">
        <v>8161</v>
      </c>
      <c r="F2013" s="9" t="s">
        <v>884</v>
      </c>
      <c r="G2013" s="9" t="s">
        <v>9509</v>
      </c>
      <c r="H2013" s="2" t="s">
        <v>60</v>
      </c>
      <c r="I2013" s="3">
        <v>36477</v>
      </c>
      <c r="J2013" s="9" t="str">
        <f t="shared" ca="1" si="33"/>
        <v>23 ans</v>
      </c>
      <c r="K2013" s="2" t="s">
        <v>123</v>
      </c>
      <c r="L2013" s="2" t="str">
        <f>"391"</f>
        <v>391</v>
      </c>
      <c r="M2013" s="2"/>
      <c r="N2013" s="2" t="str">
        <f>"RUE DE CHERBOURG"</f>
        <v>RUE DE CHERBOURG</v>
      </c>
      <c r="O2013" s="2" t="s">
        <v>9510</v>
      </c>
      <c r="P2013" s="9" t="str">
        <f>VLOOKUP($O2013,'Liste des Villes'!$B$2:$B$1128,1,FALSE)</f>
        <v>Saint-Esprit</v>
      </c>
      <c r="Q2013" s="9" t="str">
        <f>IFERROR($P2013,PROPER(VLOOKUP($O2013,'Villes en erreur'!$A$2:$B$72,2,FALSE)))</f>
        <v>Saint-Esprit</v>
      </c>
      <c r="R2013" s="9" t="s">
        <v>9511</v>
      </c>
      <c r="S2013" s="9" t="str">
        <f>IF(ISBLANK($R2013),"",VLOOKUP($R2013,'Liste des Villes'!$B$2:$H$1128,4,FALSE))</f>
        <v>Lanaudière</v>
      </c>
      <c r="T2013" s="2" t="s">
        <v>9512</v>
      </c>
      <c r="U2013" s="2" t="s">
        <v>39</v>
      </c>
      <c r="V2013" s="2" t="s">
        <v>40</v>
      </c>
      <c r="W2013" s="2" t="s">
        <v>9513</v>
      </c>
      <c r="X2013" s="2"/>
      <c r="Y2013" s="2"/>
      <c r="Z2013" s="2"/>
      <c r="AA2013" s="2" t="s">
        <v>9187</v>
      </c>
      <c r="AB2013" s="2" t="s">
        <v>73</v>
      </c>
      <c r="AC2013" s="4" t="s">
        <v>44</v>
      </c>
    </row>
    <row r="2014" spans="1:29" x14ac:dyDescent="0.25">
      <c r="A2014" s="1">
        <v>250</v>
      </c>
      <c r="B2014" s="17" t="s">
        <v>9514</v>
      </c>
      <c r="C2014" s="2" t="s">
        <v>2105</v>
      </c>
      <c r="D2014" s="15" t="s">
        <v>2106</v>
      </c>
      <c r="E2014" s="9" t="s">
        <v>2107</v>
      </c>
      <c r="F2014" s="9" t="s">
        <v>2108</v>
      </c>
      <c r="G2014" s="9" t="s">
        <v>9515</v>
      </c>
      <c r="H2014" s="2" t="s">
        <v>60</v>
      </c>
      <c r="I2014" s="3">
        <v>36477</v>
      </c>
      <c r="J2014" s="9" t="str">
        <f t="shared" ca="1" si="33"/>
        <v>23 ans</v>
      </c>
      <c r="K2014" s="2" t="s">
        <v>123</v>
      </c>
      <c r="L2014" s="2" t="str">
        <f>"391"</f>
        <v>391</v>
      </c>
      <c r="M2014" s="2"/>
      <c r="N2014" s="2" t="str">
        <f>"RUE DE CLICHY"</f>
        <v>RUE DE CLICHY</v>
      </c>
      <c r="O2014" s="2" t="s">
        <v>9510</v>
      </c>
      <c r="P2014" s="9" t="str">
        <f>VLOOKUP($O2014,'Liste des Villes'!$B$2:$B$1128,1,FALSE)</f>
        <v>Saint-Esprit</v>
      </c>
      <c r="Q2014" s="9" t="str">
        <f>IFERROR($P2014,PROPER(VLOOKUP($O2014,'Villes en erreur'!$A$2:$B$72,2,FALSE)))</f>
        <v>Saint-Esprit</v>
      </c>
      <c r="R2014" s="9" t="s">
        <v>9511</v>
      </c>
      <c r="S2014" s="9" t="str">
        <f>IF(ISBLANK($R2014),"",VLOOKUP($R2014,'Liste des Villes'!$B$2:$H$1128,4,FALSE))</f>
        <v>Lanaudière</v>
      </c>
      <c r="T2014" s="2" t="s">
        <v>9516</v>
      </c>
      <c r="U2014" s="2" t="s">
        <v>39</v>
      </c>
      <c r="V2014" s="2" t="s">
        <v>40</v>
      </c>
      <c r="W2014" s="2" t="s">
        <v>9517</v>
      </c>
      <c r="X2014" s="2"/>
      <c r="Y2014" s="2"/>
      <c r="Z2014" s="2"/>
      <c r="AA2014" s="2" t="s">
        <v>9187</v>
      </c>
      <c r="AB2014" s="2" t="s">
        <v>73</v>
      </c>
      <c r="AC2014" s="4" t="s">
        <v>44</v>
      </c>
    </row>
    <row r="2015" spans="1:29" x14ac:dyDescent="0.25">
      <c r="A2015" s="1">
        <v>4505</v>
      </c>
      <c r="B2015" s="17" t="s">
        <v>9518</v>
      </c>
      <c r="C2015" s="2" t="s">
        <v>3290</v>
      </c>
      <c r="D2015" s="15" t="s">
        <v>312</v>
      </c>
      <c r="E2015" s="9" t="s">
        <v>122</v>
      </c>
      <c r="F2015" s="9" t="s">
        <v>9519</v>
      </c>
      <c r="G2015" s="9" t="s">
        <v>9520</v>
      </c>
      <c r="H2015" s="2" t="s">
        <v>60</v>
      </c>
      <c r="I2015" s="3">
        <v>36479</v>
      </c>
      <c r="J2015" s="9" t="str">
        <f t="shared" ca="1" si="33"/>
        <v>23 ans</v>
      </c>
      <c r="K2015" s="2" t="s">
        <v>123</v>
      </c>
      <c r="L2015" s="2" t="str">
        <f>"391"</f>
        <v>391</v>
      </c>
      <c r="M2015" s="2"/>
      <c r="N2015" s="2" t="str">
        <f>"RUE DE DENONVILLE"</f>
        <v>RUE DE DENONVILLE</v>
      </c>
      <c r="O2015" s="2" t="s">
        <v>9510</v>
      </c>
      <c r="P2015" s="9" t="str">
        <f>VLOOKUP($O2015,'Liste des Villes'!$B$2:$B$1128,1,FALSE)</f>
        <v>Saint-Esprit</v>
      </c>
      <c r="Q2015" s="9" t="str">
        <f>IFERROR($P2015,PROPER(VLOOKUP($O2015,'Villes en erreur'!$A$2:$B$72,2,FALSE)))</f>
        <v>Saint-Esprit</v>
      </c>
      <c r="R2015" s="9" t="s">
        <v>9511</v>
      </c>
      <c r="S2015" s="9" t="str">
        <f>IF(ISBLANK($R2015),"",VLOOKUP($R2015,'Liste des Villes'!$B$2:$H$1128,4,FALSE))</f>
        <v>Lanaudière</v>
      </c>
      <c r="T2015" s="2" t="s">
        <v>9521</v>
      </c>
      <c r="U2015" s="2" t="s">
        <v>39</v>
      </c>
      <c r="V2015" s="2" t="s">
        <v>40</v>
      </c>
      <c r="W2015" s="2" t="s">
        <v>9522</v>
      </c>
      <c r="X2015" s="2"/>
      <c r="Y2015" s="2"/>
      <c r="Z2015" s="2"/>
      <c r="AA2015" s="2" t="s">
        <v>9187</v>
      </c>
      <c r="AB2015" s="2" t="s">
        <v>73</v>
      </c>
      <c r="AC2015" s="4" t="s">
        <v>44</v>
      </c>
    </row>
    <row r="2016" spans="1:29" x14ac:dyDescent="0.25">
      <c r="A2016" s="1">
        <v>3645</v>
      </c>
      <c r="B2016" s="17" t="s">
        <v>9523</v>
      </c>
      <c r="C2016" s="2" t="s">
        <v>9524</v>
      </c>
      <c r="D2016" s="15" t="s">
        <v>7461</v>
      </c>
      <c r="E2016" s="9" t="s">
        <v>4633</v>
      </c>
      <c r="F2016" s="9" t="s">
        <v>1592</v>
      </c>
      <c r="G2016" s="9" t="s">
        <v>5162</v>
      </c>
      <c r="H2016" s="2" t="s">
        <v>60</v>
      </c>
      <c r="I2016" s="3">
        <v>36478</v>
      </c>
      <c r="J2016" s="9" t="str">
        <f t="shared" ca="1" si="33"/>
        <v>23 ans</v>
      </c>
      <c r="K2016" s="2" t="s">
        <v>123</v>
      </c>
      <c r="L2016" s="2" t="str">
        <f>"391"</f>
        <v>391</v>
      </c>
      <c r="M2016" s="2"/>
      <c r="N2016" s="2" t="str">
        <f>"RUE DE DENONVILLE"</f>
        <v>RUE DE DENONVILLE</v>
      </c>
      <c r="O2016" s="2" t="s">
        <v>9510</v>
      </c>
      <c r="P2016" s="9" t="str">
        <f>VLOOKUP($O2016,'Liste des Villes'!$B$2:$B$1128,1,FALSE)</f>
        <v>Saint-Esprit</v>
      </c>
      <c r="Q2016" s="9" t="str">
        <f>IFERROR($P2016,PROPER(VLOOKUP($O2016,'Villes en erreur'!$A$2:$B$72,2,FALSE)))</f>
        <v>Saint-Esprit</v>
      </c>
      <c r="R2016" s="9" t="s">
        <v>9511</v>
      </c>
      <c r="S2016" s="9" t="str">
        <f>IF(ISBLANK($R2016),"",VLOOKUP($R2016,'Liste des Villes'!$B$2:$H$1128,4,FALSE))</f>
        <v>Lanaudière</v>
      </c>
      <c r="T2016" s="2" t="s">
        <v>9525</v>
      </c>
      <c r="U2016" s="2" t="s">
        <v>39</v>
      </c>
      <c r="V2016" s="2" t="s">
        <v>40</v>
      </c>
      <c r="W2016" s="2" t="s">
        <v>9526</v>
      </c>
      <c r="X2016" s="2"/>
      <c r="Y2016" s="2"/>
      <c r="Z2016" s="2"/>
      <c r="AA2016" s="2" t="s">
        <v>9187</v>
      </c>
      <c r="AB2016" s="2" t="s">
        <v>73</v>
      </c>
      <c r="AC2016" s="4" t="s">
        <v>44</v>
      </c>
    </row>
    <row r="2017" spans="1:29" x14ac:dyDescent="0.25">
      <c r="A2017" s="1">
        <v>990</v>
      </c>
      <c r="B2017" s="17" t="s">
        <v>9527</v>
      </c>
      <c r="C2017" s="2" t="s">
        <v>9528</v>
      </c>
      <c r="D2017" s="15" t="s">
        <v>5106</v>
      </c>
      <c r="E2017" s="9" t="s">
        <v>1599</v>
      </c>
      <c r="F2017" s="9" t="s">
        <v>5104</v>
      </c>
      <c r="G2017" s="9" t="s">
        <v>9529</v>
      </c>
      <c r="H2017" s="2" t="s">
        <v>60</v>
      </c>
      <c r="I2017" s="3">
        <v>36477</v>
      </c>
      <c r="J2017" s="9" t="str">
        <f t="shared" ca="1" si="33"/>
        <v>23 ans</v>
      </c>
      <c r="K2017" s="2" t="s">
        <v>123</v>
      </c>
      <c r="L2017" s="2" t="str">
        <f>"391"</f>
        <v>391</v>
      </c>
      <c r="M2017" s="2"/>
      <c r="N2017" s="2" t="str">
        <f>"RUE DE CHEVILLON"</f>
        <v>RUE DE CHEVILLON</v>
      </c>
      <c r="O2017" s="2" t="s">
        <v>9510</v>
      </c>
      <c r="P2017" s="9" t="str">
        <f>VLOOKUP($O2017,'Liste des Villes'!$B$2:$B$1128,1,FALSE)</f>
        <v>Saint-Esprit</v>
      </c>
      <c r="Q2017" s="9" t="str">
        <f>IFERROR($P2017,PROPER(VLOOKUP($O2017,'Villes en erreur'!$A$2:$B$72,2,FALSE)))</f>
        <v>Saint-Esprit</v>
      </c>
      <c r="R2017" s="9" t="s">
        <v>9511</v>
      </c>
      <c r="S2017" s="9" t="str">
        <f>IF(ISBLANK($R2017),"",VLOOKUP($R2017,'Liste des Villes'!$B$2:$H$1128,4,FALSE))</f>
        <v>Lanaudière</v>
      </c>
      <c r="T2017" s="2" t="s">
        <v>9512</v>
      </c>
      <c r="U2017" s="2" t="s">
        <v>39</v>
      </c>
      <c r="V2017" s="2" t="s">
        <v>40</v>
      </c>
      <c r="W2017" s="2" t="s">
        <v>9530</v>
      </c>
      <c r="X2017" s="2"/>
      <c r="Y2017" s="2"/>
      <c r="Z2017" s="2"/>
      <c r="AA2017" s="2" t="s">
        <v>9187</v>
      </c>
      <c r="AB2017" s="2" t="s">
        <v>73</v>
      </c>
      <c r="AC2017" s="4" t="s">
        <v>44</v>
      </c>
    </row>
    <row r="2018" spans="1:29" x14ac:dyDescent="0.25">
      <c r="A2018" s="1">
        <v>4049</v>
      </c>
      <c r="B2018" s="17" t="s">
        <v>9531</v>
      </c>
      <c r="C2018" s="2" t="s">
        <v>1507</v>
      </c>
      <c r="D2018" s="15" t="s">
        <v>1508</v>
      </c>
      <c r="E2018" s="9" t="s">
        <v>92</v>
      </c>
      <c r="F2018" s="9" t="s">
        <v>9532</v>
      </c>
      <c r="G2018" s="9" t="s">
        <v>137</v>
      </c>
      <c r="H2018" s="2" t="s">
        <v>60</v>
      </c>
      <c r="I2018" s="3">
        <v>36553</v>
      </c>
      <c r="J2018" s="9" t="str">
        <f t="shared" ca="1" si="33"/>
        <v>23 ans</v>
      </c>
      <c r="K2018" s="2" t="s">
        <v>68</v>
      </c>
      <c r="L2018" s="2" t="str">
        <f>"445"</f>
        <v>445</v>
      </c>
      <c r="M2018" s="2"/>
      <c r="N2018" s="2" t="str">
        <f>"RUE DE LA PASSION"</f>
        <v>RUE DE LA PASSION</v>
      </c>
      <c r="O2018" s="2" t="s">
        <v>9533</v>
      </c>
      <c r="P2018" s="9" t="str">
        <f>VLOOKUP($O2018,'Liste des Villes'!$B$2:$B$1128,1,FALSE)</f>
        <v>Sainte-Sophie</v>
      </c>
      <c r="Q2018" s="9" t="str">
        <f>IFERROR($P2018,PROPER(VLOOKUP($O2018,'Villes en erreur'!$A$2:$B$72,2,FALSE)))</f>
        <v>Sainte-Sophie</v>
      </c>
      <c r="R2018" s="9" t="s">
        <v>9534</v>
      </c>
      <c r="S2018" s="9" t="str">
        <f>IF(ISBLANK($R2018),"",VLOOKUP($R2018,'Liste des Villes'!$B$2:$H$1128,4,FALSE))</f>
        <v>Laurentides</v>
      </c>
      <c r="T2018" s="2" t="s">
        <v>9535</v>
      </c>
      <c r="U2018" s="2" t="s">
        <v>39</v>
      </c>
      <c r="V2018" s="2" t="s">
        <v>40</v>
      </c>
      <c r="W2018" s="2" t="s">
        <v>9536</v>
      </c>
      <c r="X2018" s="2"/>
      <c r="Y2018" s="2"/>
      <c r="Z2018" s="2"/>
      <c r="AA2018" s="2" t="s">
        <v>515</v>
      </c>
      <c r="AB2018" s="2" t="s">
        <v>73</v>
      </c>
      <c r="AC2018" s="4" t="s">
        <v>44</v>
      </c>
    </row>
    <row r="2019" spans="1:29" x14ac:dyDescent="0.25">
      <c r="A2019" s="1">
        <v>1277</v>
      </c>
      <c r="B2019" s="17" t="s">
        <v>9537</v>
      </c>
      <c r="C2019" s="2" t="s">
        <v>943</v>
      </c>
      <c r="D2019" s="15" t="s">
        <v>234</v>
      </c>
      <c r="E2019" s="9" t="s">
        <v>92</v>
      </c>
      <c r="F2019" s="9" t="s">
        <v>944</v>
      </c>
      <c r="G2019" s="9" t="s">
        <v>683</v>
      </c>
      <c r="H2019" s="2" t="s">
        <v>60</v>
      </c>
      <c r="I2019" s="3">
        <v>36541</v>
      </c>
      <c r="J2019" s="9" t="str">
        <f t="shared" ca="1" si="33"/>
        <v>23 ans</v>
      </c>
      <c r="K2019" s="2" t="s">
        <v>68</v>
      </c>
      <c r="L2019" s="2" t="str">
        <f>"435"</f>
        <v>435</v>
      </c>
      <c r="M2019" s="2"/>
      <c r="N2019" s="2" t="str">
        <f>"RUE DE LA GRANDE OURSE"</f>
        <v>RUE DE LA GRANDE OURSE</v>
      </c>
      <c r="O2019" s="2" t="s">
        <v>9533</v>
      </c>
      <c r="P2019" s="9" t="str">
        <f>VLOOKUP($O2019,'Liste des Villes'!$B$2:$B$1128,1,FALSE)</f>
        <v>Sainte-Sophie</v>
      </c>
      <c r="Q2019" s="9" t="str">
        <f>IFERROR($P2019,PROPER(VLOOKUP($O2019,'Villes en erreur'!$A$2:$B$72,2,FALSE)))</f>
        <v>Sainte-Sophie</v>
      </c>
      <c r="R2019" s="9" t="s">
        <v>9534</v>
      </c>
      <c r="S2019" s="9" t="str">
        <f>IF(ISBLANK($R2019),"",VLOOKUP($R2019,'Liste des Villes'!$B$2:$H$1128,4,FALSE))</f>
        <v>Laurentides</v>
      </c>
      <c r="T2019" s="2" t="s">
        <v>9538</v>
      </c>
      <c r="U2019" s="2" t="s">
        <v>39</v>
      </c>
      <c r="V2019" s="2" t="s">
        <v>40</v>
      </c>
      <c r="W2019" s="2" t="s">
        <v>9539</v>
      </c>
      <c r="X2019" s="2"/>
      <c r="Y2019" s="2"/>
      <c r="Z2019" s="2"/>
      <c r="AA2019" s="2" t="s">
        <v>515</v>
      </c>
      <c r="AB2019" s="2" t="s">
        <v>73</v>
      </c>
      <c r="AC2019" s="4" t="s">
        <v>44</v>
      </c>
    </row>
    <row r="2020" spans="1:29" x14ac:dyDescent="0.25">
      <c r="A2020" s="1">
        <v>4061</v>
      </c>
      <c r="B2020" s="17" t="s">
        <v>9540</v>
      </c>
      <c r="C2020" s="2" t="s">
        <v>9541</v>
      </c>
      <c r="D2020" s="15" t="s">
        <v>2910</v>
      </c>
      <c r="E2020" s="9" t="s">
        <v>929</v>
      </c>
      <c r="F2020" s="9" t="s">
        <v>6994</v>
      </c>
      <c r="G2020" s="9" t="s">
        <v>137</v>
      </c>
      <c r="H2020" s="2" t="s">
        <v>60</v>
      </c>
      <c r="I2020" s="3">
        <v>36566</v>
      </c>
      <c r="J2020" s="9" t="str">
        <f t="shared" ca="1" si="33"/>
        <v>23 ans</v>
      </c>
      <c r="K2020" s="2" t="s">
        <v>68</v>
      </c>
      <c r="L2020" s="2" t="str">
        <f>"458"</f>
        <v>458</v>
      </c>
      <c r="M2020" s="2"/>
      <c r="N2020" s="2" t="str">
        <f>"RUE DE LA PROMENADE"</f>
        <v>RUE DE LA PROMENADE</v>
      </c>
      <c r="O2020" s="2" t="s">
        <v>9533</v>
      </c>
      <c r="P2020" s="9" t="str">
        <f>VLOOKUP($O2020,'Liste des Villes'!$B$2:$B$1128,1,FALSE)</f>
        <v>Sainte-Sophie</v>
      </c>
      <c r="Q2020" s="9" t="str">
        <f>IFERROR($P2020,PROPER(VLOOKUP($O2020,'Villes en erreur'!$A$2:$B$72,2,FALSE)))</f>
        <v>Sainte-Sophie</v>
      </c>
      <c r="R2020" s="9" t="s">
        <v>9534</v>
      </c>
      <c r="S2020" s="9" t="str">
        <f>IF(ISBLANK($R2020),"",VLOOKUP($R2020,'Liste des Villes'!$B$2:$H$1128,4,FALSE))</f>
        <v>Laurentides</v>
      </c>
      <c r="T2020" s="2" t="s">
        <v>9542</v>
      </c>
      <c r="U2020" s="2" t="s">
        <v>39</v>
      </c>
      <c r="V2020" s="2" t="s">
        <v>40</v>
      </c>
      <c r="W2020" s="2" t="s">
        <v>9543</v>
      </c>
      <c r="X2020" s="2"/>
      <c r="Y2020" s="2"/>
      <c r="Z2020" s="2"/>
      <c r="AA2020" s="2" t="s">
        <v>515</v>
      </c>
      <c r="AB2020" s="2" t="s">
        <v>73</v>
      </c>
      <c r="AC2020" s="4" t="s">
        <v>44</v>
      </c>
    </row>
    <row r="2021" spans="1:29" x14ac:dyDescent="0.25">
      <c r="A2021" s="1">
        <v>630</v>
      </c>
      <c r="B2021" s="17" t="s">
        <v>9544</v>
      </c>
      <c r="C2021" s="2" t="s">
        <v>1348</v>
      </c>
      <c r="D2021" s="15" t="s">
        <v>1349</v>
      </c>
      <c r="E2021" s="9" t="s">
        <v>380</v>
      </c>
      <c r="F2021" s="9" t="s">
        <v>6513</v>
      </c>
      <c r="G2021" s="9" t="s">
        <v>1097</v>
      </c>
      <c r="H2021" s="2" t="s">
        <v>60</v>
      </c>
      <c r="I2021" s="3">
        <v>36579</v>
      </c>
      <c r="J2021" s="9" t="str">
        <f t="shared" ca="1" si="33"/>
        <v>23 ans</v>
      </c>
      <c r="K2021" s="2" t="s">
        <v>68</v>
      </c>
      <c r="L2021" s="2" t="str">
        <f>"470"</f>
        <v>470</v>
      </c>
      <c r="M2021" s="2"/>
      <c r="N2021" s="2" t="str">
        <f>"RUE DE LA ROSÉE"</f>
        <v>RUE DE LA ROSÉE</v>
      </c>
      <c r="O2021" s="2" t="s">
        <v>9533</v>
      </c>
      <c r="P2021" s="9" t="str">
        <f>VLOOKUP($O2021,'Liste des Villes'!$B$2:$B$1128,1,FALSE)</f>
        <v>Sainte-Sophie</v>
      </c>
      <c r="Q2021" s="9" t="str">
        <f>IFERROR($P2021,PROPER(VLOOKUP($O2021,'Villes en erreur'!$A$2:$B$72,2,FALSE)))</f>
        <v>Sainte-Sophie</v>
      </c>
      <c r="R2021" s="9" t="s">
        <v>9534</v>
      </c>
      <c r="S2021" s="9" t="str">
        <f>IF(ISBLANK($R2021),"",VLOOKUP($R2021,'Liste des Villes'!$B$2:$H$1128,4,FALSE))</f>
        <v>Laurentides</v>
      </c>
      <c r="T2021" s="2" t="s">
        <v>9545</v>
      </c>
      <c r="U2021" s="2" t="s">
        <v>39</v>
      </c>
      <c r="V2021" s="2" t="s">
        <v>40</v>
      </c>
      <c r="W2021" s="2" t="s">
        <v>9546</v>
      </c>
      <c r="X2021" s="2"/>
      <c r="Y2021" s="2"/>
      <c r="Z2021" s="2"/>
      <c r="AA2021" s="2" t="s">
        <v>515</v>
      </c>
      <c r="AB2021" s="2" t="s">
        <v>73</v>
      </c>
      <c r="AC2021" s="4" t="s">
        <v>44</v>
      </c>
    </row>
    <row r="2022" spans="1:29" x14ac:dyDescent="0.25">
      <c r="A2022" s="1">
        <v>452</v>
      </c>
      <c r="B2022" s="17" t="s">
        <v>9547</v>
      </c>
      <c r="C2022" s="2" t="s">
        <v>9548</v>
      </c>
      <c r="D2022" s="15" t="s">
        <v>9549</v>
      </c>
      <c r="E2022" s="9" t="s">
        <v>370</v>
      </c>
      <c r="F2022" s="9" t="s">
        <v>9550</v>
      </c>
      <c r="G2022" s="9" t="s">
        <v>683</v>
      </c>
      <c r="H2022" s="2" t="s">
        <v>60</v>
      </c>
      <c r="I2022" s="3">
        <v>36543</v>
      </c>
      <c r="J2022" s="9" t="str">
        <f t="shared" ca="1" si="33"/>
        <v>23 ans</v>
      </c>
      <c r="K2022" s="2" t="s">
        <v>68</v>
      </c>
      <c r="L2022" s="2" t="str">
        <f>"438"</f>
        <v>438</v>
      </c>
      <c r="M2022" s="2"/>
      <c r="N2022" s="2" t="str">
        <f>"RUE DE LA LUZERNE"</f>
        <v>RUE DE LA LUZERNE</v>
      </c>
      <c r="O2022" s="2" t="s">
        <v>9533</v>
      </c>
      <c r="P2022" s="9" t="str">
        <f>VLOOKUP($O2022,'Liste des Villes'!$B$2:$B$1128,1,FALSE)</f>
        <v>Sainte-Sophie</v>
      </c>
      <c r="Q2022" s="9" t="str">
        <f>IFERROR($P2022,PROPER(VLOOKUP($O2022,'Villes en erreur'!$A$2:$B$72,2,FALSE)))</f>
        <v>Sainte-Sophie</v>
      </c>
      <c r="R2022" s="9" t="s">
        <v>9534</v>
      </c>
      <c r="S2022" s="9" t="str">
        <f>IF(ISBLANK($R2022),"",VLOOKUP($R2022,'Liste des Villes'!$B$2:$H$1128,4,FALSE))</f>
        <v>Laurentides</v>
      </c>
      <c r="T2022" s="2" t="s">
        <v>9551</v>
      </c>
      <c r="U2022" s="2" t="s">
        <v>39</v>
      </c>
      <c r="V2022" s="2" t="s">
        <v>40</v>
      </c>
      <c r="W2022" s="2" t="s">
        <v>9552</v>
      </c>
      <c r="X2022" s="2"/>
      <c r="Y2022" s="2"/>
      <c r="Z2022" s="2"/>
      <c r="AA2022" s="2" t="s">
        <v>515</v>
      </c>
      <c r="AB2022" s="2" t="s">
        <v>73</v>
      </c>
      <c r="AC2022" s="4" t="s">
        <v>44</v>
      </c>
    </row>
    <row r="2023" spans="1:29" x14ac:dyDescent="0.25">
      <c r="A2023" s="1">
        <v>2748</v>
      </c>
      <c r="B2023" s="17" t="s">
        <v>9553</v>
      </c>
      <c r="C2023" s="2" t="s">
        <v>9554</v>
      </c>
      <c r="D2023" s="15" t="s">
        <v>9555</v>
      </c>
      <c r="E2023" s="9" t="s">
        <v>1162</v>
      </c>
      <c r="F2023" s="9" t="s">
        <v>9556</v>
      </c>
      <c r="G2023" s="9" t="s">
        <v>511</v>
      </c>
      <c r="H2023" s="2" t="s">
        <v>60</v>
      </c>
      <c r="I2023" s="3">
        <v>36579</v>
      </c>
      <c r="J2023" s="9" t="str">
        <f t="shared" ca="1" si="33"/>
        <v>23 ans</v>
      </c>
      <c r="K2023" s="2" t="s">
        <v>68</v>
      </c>
      <c r="L2023" s="2" t="str">
        <f>"472"</f>
        <v>472</v>
      </c>
      <c r="M2023" s="2"/>
      <c r="N2023" s="2" t="str">
        <f>"RUE DE LA SAINTE-MARGUERI"</f>
        <v>RUE DE LA SAINTE-MARGUERI</v>
      </c>
      <c r="O2023" s="2" t="s">
        <v>9533</v>
      </c>
      <c r="P2023" s="9" t="str">
        <f>VLOOKUP($O2023,'Liste des Villes'!$B$2:$B$1128,1,FALSE)</f>
        <v>Sainte-Sophie</v>
      </c>
      <c r="Q2023" s="9" t="str">
        <f>IFERROR($P2023,PROPER(VLOOKUP($O2023,'Villes en erreur'!$A$2:$B$72,2,FALSE)))</f>
        <v>Sainte-Sophie</v>
      </c>
      <c r="R2023" s="9" t="s">
        <v>9534</v>
      </c>
      <c r="S2023" s="9" t="str">
        <f>IF(ISBLANK($R2023),"",VLOOKUP($R2023,'Liste des Villes'!$B$2:$H$1128,4,FALSE))</f>
        <v>Laurentides</v>
      </c>
      <c r="T2023" s="2" t="s">
        <v>9545</v>
      </c>
      <c r="U2023" s="2" t="s">
        <v>39</v>
      </c>
      <c r="V2023" s="2" t="s">
        <v>40</v>
      </c>
      <c r="W2023" s="2" t="s">
        <v>9557</v>
      </c>
      <c r="X2023" s="2"/>
      <c r="Y2023" s="2"/>
      <c r="Z2023" s="2"/>
      <c r="AA2023" s="2" t="s">
        <v>515</v>
      </c>
      <c r="AB2023" s="2" t="s">
        <v>73</v>
      </c>
      <c r="AC2023" s="4" t="s">
        <v>44</v>
      </c>
    </row>
    <row r="2024" spans="1:29" x14ac:dyDescent="0.25">
      <c r="A2024" s="1">
        <v>1197</v>
      </c>
      <c r="B2024" s="17" t="s">
        <v>9558</v>
      </c>
      <c r="C2024" s="2" t="s">
        <v>9559</v>
      </c>
      <c r="D2024" s="15" t="s">
        <v>9560</v>
      </c>
      <c r="E2024" s="9" t="s">
        <v>186</v>
      </c>
      <c r="F2024" s="9" t="s">
        <v>1104</v>
      </c>
      <c r="G2024" s="9" t="s">
        <v>622</v>
      </c>
      <c r="H2024" s="2" t="s">
        <v>60</v>
      </c>
      <c r="I2024" s="3">
        <v>36531</v>
      </c>
      <c r="J2024" s="9" t="str">
        <f t="shared" ca="1" si="33"/>
        <v>23 ans</v>
      </c>
      <c r="K2024" s="2" t="s">
        <v>68</v>
      </c>
      <c r="L2024" s="2" t="str">
        <f>"428"</f>
        <v>428</v>
      </c>
      <c r="M2024" s="2"/>
      <c r="N2024" s="2" t="str">
        <f>"RUE DE LA COURONNE"</f>
        <v>RUE DE LA COURONNE</v>
      </c>
      <c r="O2024" s="2" t="s">
        <v>9533</v>
      </c>
      <c r="P2024" s="9" t="str">
        <f>VLOOKUP($O2024,'Liste des Villes'!$B$2:$B$1128,1,FALSE)</f>
        <v>Sainte-Sophie</v>
      </c>
      <c r="Q2024" s="9" t="str">
        <f>IFERROR($P2024,PROPER(VLOOKUP($O2024,'Villes en erreur'!$A$2:$B$72,2,FALSE)))</f>
        <v>Sainte-Sophie</v>
      </c>
      <c r="R2024" s="9" t="s">
        <v>9534</v>
      </c>
      <c r="S2024" s="9" t="str">
        <f>IF(ISBLANK($R2024),"",VLOOKUP($R2024,'Liste des Villes'!$B$2:$H$1128,4,FALSE))</f>
        <v>Laurentides</v>
      </c>
      <c r="T2024" s="2" t="s">
        <v>9561</v>
      </c>
      <c r="U2024" s="2" t="s">
        <v>39</v>
      </c>
      <c r="V2024" s="2" t="s">
        <v>40</v>
      </c>
      <c r="W2024" s="2" t="s">
        <v>9562</v>
      </c>
      <c r="X2024" s="2"/>
      <c r="Y2024" s="2"/>
      <c r="Z2024" s="2"/>
      <c r="AA2024" s="2" t="s">
        <v>9187</v>
      </c>
      <c r="AB2024" s="2" t="s">
        <v>73</v>
      </c>
      <c r="AC2024" s="4" t="s">
        <v>44</v>
      </c>
    </row>
    <row r="2025" spans="1:29" x14ac:dyDescent="0.25">
      <c r="A2025" s="1">
        <v>403</v>
      </c>
      <c r="B2025" s="17" t="s">
        <v>9563</v>
      </c>
      <c r="C2025" s="2" t="s">
        <v>9564</v>
      </c>
      <c r="D2025" s="15" t="s">
        <v>1024</v>
      </c>
      <c r="E2025" s="9" t="s">
        <v>9565</v>
      </c>
      <c r="F2025" s="9" t="s">
        <v>7931</v>
      </c>
      <c r="G2025" s="9" t="s">
        <v>8075</v>
      </c>
      <c r="H2025" s="2" t="s">
        <v>60</v>
      </c>
      <c r="I2025" s="3">
        <v>36487</v>
      </c>
      <c r="J2025" s="9" t="str">
        <f t="shared" ca="1" si="33"/>
        <v>23 ans</v>
      </c>
      <c r="K2025" s="2" t="s">
        <v>123</v>
      </c>
      <c r="L2025" s="2" t="str">
        <f>"399"</f>
        <v>399</v>
      </c>
      <c r="M2025" s="2"/>
      <c r="N2025" s="2" t="str">
        <f>"RUE DE HONFLEUR"</f>
        <v>RUE DE HONFLEUR</v>
      </c>
      <c r="O2025" s="2" t="s">
        <v>9533</v>
      </c>
      <c r="P2025" s="9" t="str">
        <f>VLOOKUP($O2025,'Liste des Villes'!$B$2:$B$1128,1,FALSE)</f>
        <v>Sainte-Sophie</v>
      </c>
      <c r="Q2025" s="9" t="str">
        <f>IFERROR($P2025,PROPER(VLOOKUP($O2025,'Villes en erreur'!$A$2:$B$72,2,FALSE)))</f>
        <v>Sainte-Sophie</v>
      </c>
      <c r="R2025" s="9" t="s">
        <v>9534</v>
      </c>
      <c r="S2025" s="9" t="str">
        <f>IF(ISBLANK($R2025),"",VLOOKUP($R2025,'Liste des Villes'!$B$2:$H$1128,4,FALSE))</f>
        <v>Laurentides</v>
      </c>
      <c r="T2025" s="2" t="s">
        <v>9566</v>
      </c>
      <c r="U2025" s="2" t="s">
        <v>39</v>
      </c>
      <c r="V2025" s="2" t="s">
        <v>40</v>
      </c>
      <c r="W2025" s="2" t="s">
        <v>9567</v>
      </c>
      <c r="X2025" s="2"/>
      <c r="Y2025" s="2"/>
      <c r="Z2025" s="2"/>
      <c r="AA2025" s="2" t="s">
        <v>9187</v>
      </c>
      <c r="AB2025" s="2" t="s">
        <v>73</v>
      </c>
      <c r="AC2025" s="4" t="s">
        <v>44</v>
      </c>
    </row>
    <row r="2026" spans="1:29" x14ac:dyDescent="0.25">
      <c r="A2026" s="1">
        <v>169</v>
      </c>
      <c r="B2026" s="17" t="s">
        <v>9568</v>
      </c>
      <c r="C2026" s="2" t="s">
        <v>1328</v>
      </c>
      <c r="D2026" s="15" t="s">
        <v>1329</v>
      </c>
      <c r="E2026" s="9" t="s">
        <v>1330</v>
      </c>
      <c r="F2026" s="9" t="s">
        <v>9569</v>
      </c>
      <c r="G2026" s="9" t="s">
        <v>622</v>
      </c>
      <c r="H2026" s="2" t="s">
        <v>60</v>
      </c>
      <c r="I2026" s="3">
        <v>36534</v>
      </c>
      <c r="J2026" s="9" t="str">
        <f t="shared" ca="1" si="33"/>
        <v>23 ans</v>
      </c>
      <c r="K2026" s="2" t="s">
        <v>68</v>
      </c>
      <c r="L2026" s="2" t="str">
        <f>"430"</f>
        <v>430</v>
      </c>
      <c r="M2026" s="2"/>
      <c r="N2026" s="2" t="str">
        <f>"RUE DE LA DAME NEUVE"</f>
        <v>RUE DE LA DAME NEUVE</v>
      </c>
      <c r="O2026" s="2" t="s">
        <v>9533</v>
      </c>
      <c r="P2026" s="9" t="str">
        <f>VLOOKUP($O2026,'Liste des Villes'!$B$2:$B$1128,1,FALSE)</f>
        <v>Sainte-Sophie</v>
      </c>
      <c r="Q2026" s="9" t="str">
        <f>IFERROR($P2026,PROPER(VLOOKUP($O2026,'Villes en erreur'!$A$2:$B$72,2,FALSE)))</f>
        <v>Sainte-Sophie</v>
      </c>
      <c r="R2026" s="9" t="s">
        <v>9534</v>
      </c>
      <c r="S2026" s="9" t="str">
        <f>IF(ISBLANK($R2026),"",VLOOKUP($R2026,'Liste des Villes'!$B$2:$H$1128,4,FALSE))</f>
        <v>Laurentides</v>
      </c>
      <c r="T2026" s="2" t="s">
        <v>9570</v>
      </c>
      <c r="U2026" s="2" t="s">
        <v>39</v>
      </c>
      <c r="V2026" s="2" t="s">
        <v>40</v>
      </c>
      <c r="W2026" s="2" t="s">
        <v>9571</v>
      </c>
      <c r="X2026" s="2"/>
      <c r="Y2026" s="2"/>
      <c r="Z2026" s="2"/>
      <c r="AA2026" s="2" t="s">
        <v>9187</v>
      </c>
      <c r="AB2026" s="2" t="s">
        <v>73</v>
      </c>
      <c r="AC2026" s="4" t="s">
        <v>44</v>
      </c>
    </row>
    <row r="2027" spans="1:29" x14ac:dyDescent="0.25">
      <c r="A2027" s="1">
        <v>1109</v>
      </c>
      <c r="B2027" s="17" t="s">
        <v>9572</v>
      </c>
      <c r="C2027" s="2" t="s">
        <v>9573</v>
      </c>
      <c r="D2027" s="15" t="s">
        <v>2718</v>
      </c>
      <c r="E2027" s="9" t="s">
        <v>9574</v>
      </c>
      <c r="F2027" s="9" t="s">
        <v>76</v>
      </c>
      <c r="G2027" s="9" t="s">
        <v>8075</v>
      </c>
      <c r="H2027" s="2" t="s">
        <v>60</v>
      </c>
      <c r="I2027" s="3">
        <v>36484</v>
      </c>
      <c r="J2027" s="9" t="str">
        <f t="shared" ca="1" si="33"/>
        <v>23 ans</v>
      </c>
      <c r="K2027" s="2" t="s">
        <v>123</v>
      </c>
      <c r="L2027" s="2" t="str">
        <f>"399"</f>
        <v>399</v>
      </c>
      <c r="M2027" s="2"/>
      <c r="N2027" s="2" t="str">
        <f>"RUE DE GUYENNE"</f>
        <v>RUE DE GUYENNE</v>
      </c>
      <c r="O2027" s="2" t="s">
        <v>9533</v>
      </c>
      <c r="P2027" s="9" t="str">
        <f>VLOOKUP($O2027,'Liste des Villes'!$B$2:$B$1128,1,FALSE)</f>
        <v>Sainte-Sophie</v>
      </c>
      <c r="Q2027" s="9" t="str">
        <f>IFERROR($P2027,PROPER(VLOOKUP($O2027,'Villes en erreur'!$A$2:$B$72,2,FALSE)))</f>
        <v>Sainte-Sophie</v>
      </c>
      <c r="R2027" s="9" t="s">
        <v>9534</v>
      </c>
      <c r="S2027" s="9" t="str">
        <f>IF(ISBLANK($R2027),"",VLOOKUP($R2027,'Liste des Villes'!$B$2:$H$1128,4,FALSE))</f>
        <v>Laurentides</v>
      </c>
      <c r="T2027" s="2" t="s">
        <v>9575</v>
      </c>
      <c r="U2027" s="2" t="s">
        <v>39</v>
      </c>
      <c r="V2027" s="2" t="s">
        <v>40</v>
      </c>
      <c r="W2027" s="2" t="s">
        <v>9576</v>
      </c>
      <c r="X2027" s="2"/>
      <c r="Y2027" s="2"/>
      <c r="Z2027" s="2"/>
      <c r="AA2027" s="2" t="s">
        <v>9187</v>
      </c>
      <c r="AB2027" s="2" t="s">
        <v>73</v>
      </c>
      <c r="AC2027" s="4" t="s">
        <v>44</v>
      </c>
    </row>
    <row r="2028" spans="1:29" x14ac:dyDescent="0.25">
      <c r="A2028" s="1">
        <v>3685</v>
      </c>
      <c r="B2028" s="17" t="s">
        <v>9577</v>
      </c>
      <c r="C2028" s="2" t="s">
        <v>2542</v>
      </c>
      <c r="D2028" s="15" t="s">
        <v>34</v>
      </c>
      <c r="E2028" s="9" t="s">
        <v>341</v>
      </c>
      <c r="F2028" s="9" t="s">
        <v>395</v>
      </c>
      <c r="G2028" s="9" t="s">
        <v>5624</v>
      </c>
      <c r="H2028" s="2" t="s">
        <v>35</v>
      </c>
      <c r="I2028" s="3">
        <v>36579</v>
      </c>
      <c r="J2028" s="9" t="str">
        <f t="shared" ca="1" si="33"/>
        <v>23 ans</v>
      </c>
      <c r="K2028" s="2" t="s">
        <v>68</v>
      </c>
      <c r="L2028" s="2" t="str">
        <f>"470"</f>
        <v>470</v>
      </c>
      <c r="M2028" s="2"/>
      <c r="N2028" s="2" t="str">
        <f>"RUE DE LA RIVIÈRE"</f>
        <v>RUE DE LA RIVIÈRE</v>
      </c>
      <c r="O2028" s="2" t="s">
        <v>9533</v>
      </c>
      <c r="P2028" s="9" t="str">
        <f>VLOOKUP($O2028,'Liste des Villes'!$B$2:$B$1128,1,FALSE)</f>
        <v>Sainte-Sophie</v>
      </c>
      <c r="Q2028" s="9" t="str">
        <f>IFERROR($P2028,PROPER(VLOOKUP($O2028,'Villes en erreur'!$A$2:$B$72,2,FALSE)))</f>
        <v>Sainte-Sophie</v>
      </c>
      <c r="R2028" s="9" t="s">
        <v>9534</v>
      </c>
      <c r="S2028" s="9" t="str">
        <f>IF(ISBLANK($R2028),"",VLOOKUP($R2028,'Liste des Villes'!$B$2:$H$1128,4,FALSE))</f>
        <v>Laurentides</v>
      </c>
      <c r="T2028" s="2" t="s">
        <v>9578</v>
      </c>
      <c r="U2028" s="2" t="s">
        <v>39</v>
      </c>
      <c r="V2028" s="2" t="s">
        <v>40</v>
      </c>
      <c r="W2028" s="2" t="s">
        <v>9579</v>
      </c>
      <c r="X2028" s="2"/>
      <c r="Y2028" s="2"/>
      <c r="Z2028" s="2"/>
      <c r="AA2028" s="2" t="s">
        <v>515</v>
      </c>
      <c r="AB2028" s="2" t="s">
        <v>73</v>
      </c>
      <c r="AC2028" s="4" t="s">
        <v>44</v>
      </c>
    </row>
    <row r="2029" spans="1:29" x14ac:dyDescent="0.25">
      <c r="A2029" s="1">
        <v>2080</v>
      </c>
      <c r="B2029" s="17" t="s">
        <v>9580</v>
      </c>
      <c r="C2029" s="2" t="s">
        <v>9581</v>
      </c>
      <c r="D2029" s="15" t="s">
        <v>9582</v>
      </c>
      <c r="E2029" s="9" t="s">
        <v>114</v>
      </c>
      <c r="F2029" s="9" t="s">
        <v>2613</v>
      </c>
      <c r="G2029" s="9" t="s">
        <v>8075</v>
      </c>
      <c r="H2029" s="2" t="s">
        <v>60</v>
      </c>
      <c r="I2029" s="3">
        <v>36485</v>
      </c>
      <c r="J2029" s="9" t="str">
        <f t="shared" ca="1" si="33"/>
        <v>23 ans</v>
      </c>
      <c r="K2029" s="2" t="s">
        <v>123</v>
      </c>
      <c r="L2029" s="2" t="str">
        <f>"399"</f>
        <v>399</v>
      </c>
      <c r="M2029" s="2"/>
      <c r="N2029" s="2" t="str">
        <f>"RUE DE HONFLEUR"</f>
        <v>RUE DE HONFLEUR</v>
      </c>
      <c r="O2029" s="2" t="s">
        <v>9533</v>
      </c>
      <c r="P2029" s="9" t="str">
        <f>VLOOKUP($O2029,'Liste des Villes'!$B$2:$B$1128,1,FALSE)</f>
        <v>Sainte-Sophie</v>
      </c>
      <c r="Q2029" s="9" t="str">
        <f>IFERROR($P2029,PROPER(VLOOKUP($O2029,'Villes en erreur'!$A$2:$B$72,2,FALSE)))</f>
        <v>Sainte-Sophie</v>
      </c>
      <c r="R2029" s="9" t="s">
        <v>9534</v>
      </c>
      <c r="S2029" s="9" t="str">
        <f>IF(ISBLANK($R2029),"",VLOOKUP($R2029,'Liste des Villes'!$B$2:$H$1128,4,FALSE))</f>
        <v>Laurentides</v>
      </c>
      <c r="T2029" s="2" t="s">
        <v>9583</v>
      </c>
      <c r="U2029" s="2" t="s">
        <v>39</v>
      </c>
      <c r="V2029" s="2" t="s">
        <v>40</v>
      </c>
      <c r="W2029" s="2" t="s">
        <v>9584</v>
      </c>
      <c r="X2029" s="2"/>
      <c r="Y2029" s="2"/>
      <c r="Z2029" s="2"/>
      <c r="AA2029" s="2" t="s">
        <v>9187</v>
      </c>
      <c r="AB2029" s="2" t="s">
        <v>73</v>
      </c>
      <c r="AC2029" s="4" t="s">
        <v>44</v>
      </c>
    </row>
    <row r="2030" spans="1:29" x14ac:dyDescent="0.25">
      <c r="A2030" s="1">
        <v>4572</v>
      </c>
      <c r="B2030" s="17" t="s">
        <v>9585</v>
      </c>
      <c r="C2030" s="2" t="s">
        <v>9586</v>
      </c>
      <c r="D2030" s="15" t="s">
        <v>304</v>
      </c>
      <c r="E2030" s="9" t="s">
        <v>9587</v>
      </c>
      <c r="F2030" s="9" t="s">
        <v>2181</v>
      </c>
      <c r="G2030" s="9" t="s">
        <v>4594</v>
      </c>
      <c r="H2030" s="2" t="s">
        <v>60</v>
      </c>
      <c r="I2030" s="3">
        <v>36501</v>
      </c>
      <c r="J2030" s="9" t="str">
        <f t="shared" ca="1" si="33"/>
        <v>23 ans</v>
      </c>
      <c r="K2030" s="2" t="s">
        <v>123</v>
      </c>
      <c r="L2030" s="2" t="str">
        <f>"407"</f>
        <v>407</v>
      </c>
      <c r="M2030" s="2"/>
      <c r="N2030" s="2" t="str">
        <f>"RUE DE LA BRETAGNE"</f>
        <v>RUE DE LA BRETAGNE</v>
      </c>
      <c r="O2030" s="2" t="s">
        <v>9533</v>
      </c>
      <c r="P2030" s="9" t="str">
        <f>VLOOKUP($O2030,'Liste des Villes'!$B$2:$B$1128,1,FALSE)</f>
        <v>Sainte-Sophie</v>
      </c>
      <c r="Q2030" s="9" t="str">
        <f>IFERROR($P2030,PROPER(VLOOKUP($O2030,'Villes en erreur'!$A$2:$B$72,2,FALSE)))</f>
        <v>Sainte-Sophie</v>
      </c>
      <c r="R2030" s="9" t="s">
        <v>9534</v>
      </c>
      <c r="S2030" s="9" t="str">
        <f>IF(ISBLANK($R2030),"",VLOOKUP($R2030,'Liste des Villes'!$B$2:$H$1128,4,FALSE))</f>
        <v>Laurentides</v>
      </c>
      <c r="T2030" s="2" t="s">
        <v>9588</v>
      </c>
      <c r="U2030" s="2" t="s">
        <v>39</v>
      </c>
      <c r="V2030" s="2" t="s">
        <v>40</v>
      </c>
      <c r="W2030" s="2" t="s">
        <v>9589</v>
      </c>
      <c r="X2030" s="2"/>
      <c r="Y2030" s="2"/>
      <c r="Z2030" s="2"/>
      <c r="AA2030" s="2" t="s">
        <v>9187</v>
      </c>
      <c r="AB2030" s="2" t="s">
        <v>73</v>
      </c>
      <c r="AC2030" s="4" t="s">
        <v>44</v>
      </c>
    </row>
    <row r="2031" spans="1:29" x14ac:dyDescent="0.25">
      <c r="A2031" s="1">
        <v>2980</v>
      </c>
      <c r="B2031" s="17" t="s">
        <v>9590</v>
      </c>
      <c r="C2031" s="2" t="s">
        <v>9591</v>
      </c>
      <c r="D2031" s="15" t="s">
        <v>9592</v>
      </c>
      <c r="E2031" s="9" t="s">
        <v>6058</v>
      </c>
      <c r="F2031" s="9" t="s">
        <v>8020</v>
      </c>
      <c r="G2031" s="9" t="s">
        <v>1377</v>
      </c>
      <c r="H2031" s="2" t="s">
        <v>60</v>
      </c>
      <c r="I2031" s="3">
        <v>36490</v>
      </c>
      <c r="J2031" s="9" t="str">
        <f t="shared" ca="1" si="33"/>
        <v>23 ans</v>
      </c>
      <c r="K2031" s="2" t="s">
        <v>123</v>
      </c>
      <c r="L2031" s="2" t="str">
        <f>"401"</f>
        <v>401</v>
      </c>
      <c r="M2031" s="2"/>
      <c r="N2031" s="2" t="str">
        <f>"RUE DE LA BASTILLE"</f>
        <v>RUE DE LA BASTILLE</v>
      </c>
      <c r="O2031" s="2" t="s">
        <v>9533</v>
      </c>
      <c r="P2031" s="9" t="str">
        <f>VLOOKUP($O2031,'Liste des Villes'!$B$2:$B$1128,1,FALSE)</f>
        <v>Sainte-Sophie</v>
      </c>
      <c r="Q2031" s="9" t="str">
        <f>IFERROR($P2031,PROPER(VLOOKUP($O2031,'Villes en erreur'!$A$2:$B$72,2,FALSE)))</f>
        <v>Sainte-Sophie</v>
      </c>
      <c r="R2031" s="9" t="s">
        <v>9534</v>
      </c>
      <c r="S2031" s="9" t="str">
        <f>IF(ISBLANK($R2031),"",VLOOKUP($R2031,'Liste des Villes'!$B$2:$H$1128,4,FALSE))</f>
        <v>Laurentides</v>
      </c>
      <c r="T2031" s="2" t="s">
        <v>9593</v>
      </c>
      <c r="U2031" s="2" t="s">
        <v>39</v>
      </c>
      <c r="V2031" s="2" t="s">
        <v>40</v>
      </c>
      <c r="W2031" s="2" t="s">
        <v>9594</v>
      </c>
      <c r="X2031" s="2"/>
      <c r="Y2031" s="2"/>
      <c r="Z2031" s="2"/>
      <c r="AA2031" s="2" t="s">
        <v>9187</v>
      </c>
      <c r="AB2031" s="2" t="s">
        <v>73</v>
      </c>
      <c r="AC2031" s="4" t="s">
        <v>44</v>
      </c>
    </row>
    <row r="2032" spans="1:29" x14ac:dyDescent="0.25">
      <c r="A2032" s="1">
        <v>1589</v>
      </c>
      <c r="B2032" s="17" t="s">
        <v>9595</v>
      </c>
      <c r="C2032" s="2" t="s">
        <v>9596</v>
      </c>
      <c r="D2032" s="15" t="s">
        <v>6205</v>
      </c>
      <c r="E2032" s="9" t="s">
        <v>1410</v>
      </c>
      <c r="F2032" s="9" t="s">
        <v>6204</v>
      </c>
      <c r="G2032" s="9" t="s">
        <v>622</v>
      </c>
      <c r="H2032" s="2" t="s">
        <v>60</v>
      </c>
      <c r="I2032" s="3">
        <v>36536</v>
      </c>
      <c r="J2032" s="9" t="str">
        <f t="shared" ca="1" si="33"/>
        <v>23 ans</v>
      </c>
      <c r="K2032" s="2" t="s">
        <v>68</v>
      </c>
      <c r="L2032" s="2" t="str">
        <f>"432"</f>
        <v>432</v>
      </c>
      <c r="M2032" s="2"/>
      <c r="N2032" s="2" t="str">
        <f>"RUE DE LA DURANTAYE"</f>
        <v>RUE DE LA DURANTAYE</v>
      </c>
      <c r="O2032" s="2" t="s">
        <v>9533</v>
      </c>
      <c r="P2032" s="9" t="str">
        <f>VLOOKUP($O2032,'Liste des Villes'!$B$2:$B$1128,1,FALSE)</f>
        <v>Sainte-Sophie</v>
      </c>
      <c r="Q2032" s="9" t="str">
        <f>IFERROR($P2032,PROPER(VLOOKUP($O2032,'Villes en erreur'!$A$2:$B$72,2,FALSE)))</f>
        <v>Sainte-Sophie</v>
      </c>
      <c r="R2032" s="9" t="s">
        <v>9534</v>
      </c>
      <c r="S2032" s="9" t="str">
        <f>IF(ISBLANK($R2032),"",VLOOKUP($R2032,'Liste des Villes'!$B$2:$H$1128,4,FALSE))</f>
        <v>Laurentides</v>
      </c>
      <c r="T2032" s="2" t="s">
        <v>9597</v>
      </c>
      <c r="U2032" s="2" t="s">
        <v>39</v>
      </c>
      <c r="V2032" s="2" t="s">
        <v>40</v>
      </c>
      <c r="W2032" s="2" t="s">
        <v>9598</v>
      </c>
      <c r="X2032" s="2"/>
      <c r="Y2032" s="2"/>
      <c r="Z2032" s="2"/>
      <c r="AA2032" s="2" t="s">
        <v>515</v>
      </c>
      <c r="AB2032" s="2" t="s">
        <v>73</v>
      </c>
      <c r="AC2032" s="4" t="s">
        <v>44</v>
      </c>
    </row>
    <row r="2033" spans="1:29" x14ac:dyDescent="0.25">
      <c r="A2033" s="1">
        <v>1958</v>
      </c>
      <c r="B2033" s="17" t="s">
        <v>9599</v>
      </c>
      <c r="C2033" s="2" t="s">
        <v>4838</v>
      </c>
      <c r="D2033" s="15" t="s">
        <v>4839</v>
      </c>
      <c r="E2033" s="9" t="s">
        <v>539</v>
      </c>
      <c r="F2033" s="9" t="s">
        <v>540</v>
      </c>
      <c r="G2033" s="9" t="s">
        <v>922</v>
      </c>
      <c r="H2033" s="2" t="s">
        <v>60</v>
      </c>
      <c r="I2033" s="3">
        <v>36547</v>
      </c>
      <c r="J2033" s="9" t="str">
        <f t="shared" ca="1" si="33"/>
        <v>23 ans</v>
      </c>
      <c r="K2033" s="2" t="s">
        <v>68</v>
      </c>
      <c r="L2033" s="2" t="str">
        <f>"441"</f>
        <v>441</v>
      </c>
      <c r="M2033" s="2"/>
      <c r="N2033" s="2" t="str">
        <f>"RUE DE LA MONTAGNE"</f>
        <v>RUE DE LA MONTAGNE</v>
      </c>
      <c r="O2033" s="2" t="s">
        <v>9533</v>
      </c>
      <c r="P2033" s="9" t="str">
        <f>VLOOKUP($O2033,'Liste des Villes'!$B$2:$B$1128,1,FALSE)</f>
        <v>Sainte-Sophie</v>
      </c>
      <c r="Q2033" s="9" t="str">
        <f>IFERROR($P2033,PROPER(VLOOKUP($O2033,'Villes en erreur'!$A$2:$B$72,2,FALSE)))</f>
        <v>Sainte-Sophie</v>
      </c>
      <c r="R2033" s="9" t="s">
        <v>9534</v>
      </c>
      <c r="S2033" s="9" t="str">
        <f>IF(ISBLANK($R2033),"",VLOOKUP($R2033,'Liste des Villes'!$B$2:$H$1128,4,FALSE))</f>
        <v>Laurentides</v>
      </c>
      <c r="T2033" s="2" t="s">
        <v>9600</v>
      </c>
      <c r="U2033" s="2" t="s">
        <v>39</v>
      </c>
      <c r="V2033" s="2" t="s">
        <v>40</v>
      </c>
      <c r="W2033" s="2" t="s">
        <v>9601</v>
      </c>
      <c r="X2033" s="2"/>
      <c r="Y2033" s="2"/>
      <c r="Z2033" s="2"/>
      <c r="AA2033" s="2" t="s">
        <v>515</v>
      </c>
      <c r="AB2033" s="2" t="s">
        <v>73</v>
      </c>
      <c r="AC2033" s="4" t="s">
        <v>44</v>
      </c>
    </row>
    <row r="2034" spans="1:29" x14ac:dyDescent="0.25">
      <c r="A2034" s="1">
        <v>496</v>
      </c>
      <c r="B2034" s="17" t="s">
        <v>9602</v>
      </c>
      <c r="C2034" s="2" t="s">
        <v>2669</v>
      </c>
      <c r="D2034" s="15" t="s">
        <v>2670</v>
      </c>
      <c r="E2034" s="9" t="s">
        <v>92</v>
      </c>
      <c r="F2034" s="9" t="s">
        <v>7355</v>
      </c>
      <c r="G2034" s="9" t="s">
        <v>622</v>
      </c>
      <c r="H2034" s="2" t="s">
        <v>60</v>
      </c>
      <c r="I2034" s="3">
        <v>36525</v>
      </c>
      <c r="J2034" s="9" t="str">
        <f t="shared" ca="1" si="33"/>
        <v>23 ans</v>
      </c>
      <c r="K2034" s="2" t="s">
        <v>123</v>
      </c>
      <c r="L2034" s="2" t="str">
        <f>"425"</f>
        <v>425</v>
      </c>
      <c r="M2034" s="2"/>
      <c r="N2034" s="2" t="str">
        <f>"RUE DE LA COLLINE"</f>
        <v>RUE DE LA COLLINE</v>
      </c>
      <c r="O2034" s="2" t="s">
        <v>9533</v>
      </c>
      <c r="P2034" s="9" t="str">
        <f>VLOOKUP($O2034,'Liste des Villes'!$B$2:$B$1128,1,FALSE)</f>
        <v>Sainte-Sophie</v>
      </c>
      <c r="Q2034" s="9" t="str">
        <f>IFERROR($P2034,PROPER(VLOOKUP($O2034,'Villes en erreur'!$A$2:$B$72,2,FALSE)))</f>
        <v>Sainte-Sophie</v>
      </c>
      <c r="R2034" s="9" t="s">
        <v>9534</v>
      </c>
      <c r="S2034" s="9" t="str">
        <f>IF(ISBLANK($R2034),"",VLOOKUP($R2034,'Liste des Villes'!$B$2:$H$1128,4,FALSE))</f>
        <v>Laurentides</v>
      </c>
      <c r="T2034" s="2" t="s">
        <v>9603</v>
      </c>
      <c r="U2034" s="2" t="s">
        <v>39</v>
      </c>
      <c r="V2034" s="2" t="s">
        <v>40</v>
      </c>
      <c r="W2034" s="2" t="s">
        <v>9604</v>
      </c>
      <c r="X2034" s="2"/>
      <c r="Y2034" s="2"/>
      <c r="Z2034" s="2"/>
      <c r="AA2034" s="2" t="s">
        <v>9187</v>
      </c>
      <c r="AB2034" s="2" t="s">
        <v>73</v>
      </c>
      <c r="AC2034" s="4" t="s">
        <v>44</v>
      </c>
    </row>
    <row r="2035" spans="1:29" x14ac:dyDescent="0.25">
      <c r="A2035" s="1">
        <v>1415</v>
      </c>
      <c r="B2035" s="17" t="s">
        <v>9605</v>
      </c>
      <c r="C2035" s="2" t="s">
        <v>9606</v>
      </c>
      <c r="D2035" s="15" t="s">
        <v>2792</v>
      </c>
      <c r="E2035" s="9" t="s">
        <v>2049</v>
      </c>
      <c r="F2035" s="9" t="s">
        <v>2791</v>
      </c>
      <c r="G2035" s="9" t="s">
        <v>622</v>
      </c>
      <c r="H2035" s="2" t="s">
        <v>60</v>
      </c>
      <c r="I2035" s="3">
        <v>36534</v>
      </c>
      <c r="J2035" s="9" t="str">
        <f t="shared" ca="1" si="33"/>
        <v>23 ans</v>
      </c>
      <c r="K2035" s="2" t="s">
        <v>68</v>
      </c>
      <c r="L2035" s="2" t="str">
        <f>"430"</f>
        <v>430</v>
      </c>
      <c r="M2035" s="2"/>
      <c r="N2035" s="2" t="str">
        <f>"RUE DE LA DAME NEUVE"</f>
        <v>RUE DE LA DAME NEUVE</v>
      </c>
      <c r="O2035" s="2" t="s">
        <v>9533</v>
      </c>
      <c r="P2035" s="9" t="str">
        <f>VLOOKUP($O2035,'Liste des Villes'!$B$2:$B$1128,1,FALSE)</f>
        <v>Sainte-Sophie</v>
      </c>
      <c r="Q2035" s="9" t="str">
        <f>IFERROR($P2035,PROPER(VLOOKUP($O2035,'Villes en erreur'!$A$2:$B$72,2,FALSE)))</f>
        <v>Sainte-Sophie</v>
      </c>
      <c r="R2035" s="9" t="s">
        <v>9534</v>
      </c>
      <c r="S2035" s="9" t="str">
        <f>IF(ISBLANK($R2035),"",VLOOKUP($R2035,'Liste des Villes'!$B$2:$H$1128,4,FALSE))</f>
        <v>Laurentides</v>
      </c>
      <c r="T2035" s="2" t="s">
        <v>9607</v>
      </c>
      <c r="U2035" s="2" t="s">
        <v>39</v>
      </c>
      <c r="V2035" s="2" t="s">
        <v>40</v>
      </c>
      <c r="W2035" s="2" t="s">
        <v>9608</v>
      </c>
      <c r="X2035" s="2"/>
      <c r="Y2035" s="2"/>
      <c r="Z2035" s="2"/>
      <c r="AA2035" s="2" t="s">
        <v>9187</v>
      </c>
      <c r="AB2035" s="2" t="s">
        <v>73</v>
      </c>
      <c r="AC2035" s="4" t="s">
        <v>44</v>
      </c>
    </row>
    <row r="2036" spans="1:29" x14ac:dyDescent="0.25">
      <c r="A2036" s="1">
        <v>632</v>
      </c>
      <c r="B2036" s="17" t="s">
        <v>9609</v>
      </c>
      <c r="C2036" s="2" t="s">
        <v>9610</v>
      </c>
      <c r="D2036" s="15" t="s">
        <v>9611</v>
      </c>
      <c r="E2036" s="9" t="s">
        <v>796</v>
      </c>
      <c r="F2036" s="9" t="s">
        <v>1349</v>
      </c>
      <c r="G2036" s="9" t="s">
        <v>4968</v>
      </c>
      <c r="H2036" s="2" t="s">
        <v>60</v>
      </c>
      <c r="I2036" s="3">
        <v>36578</v>
      </c>
      <c r="J2036" s="9" t="str">
        <f t="shared" ca="1" si="33"/>
        <v>23 ans</v>
      </c>
      <c r="K2036" s="2" t="s">
        <v>68</v>
      </c>
      <c r="L2036" s="2" t="str">
        <f>"468"</f>
        <v>468</v>
      </c>
      <c r="M2036" s="2"/>
      <c r="N2036" s="2" t="str">
        <f>"RUE DE LA RIVIÈRE"</f>
        <v>RUE DE LA RIVIÈRE</v>
      </c>
      <c r="O2036" s="2" t="s">
        <v>9533</v>
      </c>
      <c r="P2036" s="9" t="str">
        <f>VLOOKUP($O2036,'Liste des Villes'!$B$2:$B$1128,1,FALSE)</f>
        <v>Sainte-Sophie</v>
      </c>
      <c r="Q2036" s="9" t="str">
        <f>IFERROR($P2036,PROPER(VLOOKUP($O2036,'Villes en erreur'!$A$2:$B$72,2,FALSE)))</f>
        <v>Sainte-Sophie</v>
      </c>
      <c r="R2036" s="9" t="s">
        <v>9534</v>
      </c>
      <c r="S2036" s="9" t="str">
        <f>IF(ISBLANK($R2036),"",VLOOKUP($R2036,'Liste des Villes'!$B$2:$H$1128,4,FALSE))</f>
        <v>Laurentides</v>
      </c>
      <c r="T2036" s="2" t="s">
        <v>9612</v>
      </c>
      <c r="U2036" s="2" t="s">
        <v>39</v>
      </c>
      <c r="V2036" s="2" t="s">
        <v>40</v>
      </c>
      <c r="W2036" s="2" t="s">
        <v>9613</v>
      </c>
      <c r="X2036" s="2"/>
      <c r="Y2036" s="2"/>
      <c r="Z2036" s="2"/>
      <c r="AA2036" s="2" t="s">
        <v>515</v>
      </c>
      <c r="AB2036" s="2" t="s">
        <v>73</v>
      </c>
      <c r="AC2036" s="4" t="s">
        <v>44</v>
      </c>
    </row>
    <row r="2037" spans="1:29" x14ac:dyDescent="0.25">
      <c r="A2037" s="1">
        <v>3222</v>
      </c>
      <c r="B2037" s="17" t="s">
        <v>9614</v>
      </c>
      <c r="C2037" s="2" t="s">
        <v>5206</v>
      </c>
      <c r="D2037" s="15" t="s">
        <v>3035</v>
      </c>
      <c r="E2037" s="9" t="s">
        <v>59</v>
      </c>
      <c r="F2037" s="9" t="s">
        <v>657</v>
      </c>
      <c r="G2037" s="9" t="s">
        <v>622</v>
      </c>
      <c r="H2037" s="2" t="s">
        <v>60</v>
      </c>
      <c r="I2037" s="3">
        <v>36522</v>
      </c>
      <c r="J2037" s="9" t="str">
        <f t="shared" ca="1" si="33"/>
        <v>23 ans</v>
      </c>
      <c r="K2037" s="2" t="s">
        <v>123</v>
      </c>
      <c r="L2037" s="2" t="str">
        <f>"422"</f>
        <v>422</v>
      </c>
      <c r="M2037" s="2"/>
      <c r="N2037" s="2" t="str">
        <f>"RUE DE LA CHÂTELAINE"</f>
        <v>RUE DE LA CHÂTELAINE</v>
      </c>
      <c r="O2037" s="2" t="s">
        <v>9533</v>
      </c>
      <c r="P2037" s="9" t="str">
        <f>VLOOKUP($O2037,'Liste des Villes'!$B$2:$B$1128,1,FALSE)</f>
        <v>Sainte-Sophie</v>
      </c>
      <c r="Q2037" s="9" t="str">
        <f>IFERROR($P2037,PROPER(VLOOKUP($O2037,'Villes en erreur'!$A$2:$B$72,2,FALSE)))</f>
        <v>Sainte-Sophie</v>
      </c>
      <c r="R2037" s="9" t="s">
        <v>9534</v>
      </c>
      <c r="S2037" s="9" t="str">
        <f>IF(ISBLANK($R2037),"",VLOOKUP($R2037,'Liste des Villes'!$B$2:$H$1128,4,FALSE))</f>
        <v>Laurentides</v>
      </c>
      <c r="T2037" s="2" t="s">
        <v>9615</v>
      </c>
      <c r="U2037" s="2" t="s">
        <v>39</v>
      </c>
      <c r="V2037" s="2" t="s">
        <v>40</v>
      </c>
      <c r="W2037" s="2" t="s">
        <v>9616</v>
      </c>
      <c r="X2037" s="2"/>
      <c r="Y2037" s="2"/>
      <c r="Z2037" s="2"/>
      <c r="AA2037" s="2" t="s">
        <v>9187</v>
      </c>
      <c r="AB2037" s="2" t="s">
        <v>73</v>
      </c>
      <c r="AC2037" s="4" t="s">
        <v>44</v>
      </c>
    </row>
    <row r="2038" spans="1:29" x14ac:dyDescent="0.25">
      <c r="A2038" s="1">
        <v>153</v>
      </c>
      <c r="B2038" s="17" t="s">
        <v>9617</v>
      </c>
      <c r="C2038" s="2" t="s">
        <v>9618</v>
      </c>
      <c r="D2038" s="15" t="s">
        <v>9619</v>
      </c>
      <c r="E2038" s="9" t="s">
        <v>4011</v>
      </c>
      <c r="F2038" s="9" t="s">
        <v>9620</v>
      </c>
      <c r="G2038" s="9" t="s">
        <v>137</v>
      </c>
      <c r="H2038" s="2" t="s">
        <v>60</v>
      </c>
      <c r="I2038" s="3">
        <v>36557</v>
      </c>
      <c r="J2038" s="9" t="str">
        <f t="shared" ca="1" si="33"/>
        <v>23 ans</v>
      </c>
      <c r="K2038" s="2" t="s">
        <v>68</v>
      </c>
      <c r="L2038" s="2" t="str">
        <f>"448"</f>
        <v>448</v>
      </c>
      <c r="M2038" s="2"/>
      <c r="N2038" s="2" t="str">
        <f>"RUE DE LA PICARDIE"</f>
        <v>RUE DE LA PICARDIE</v>
      </c>
      <c r="O2038" s="2" t="s">
        <v>9533</v>
      </c>
      <c r="P2038" s="9" t="str">
        <f>VLOOKUP($O2038,'Liste des Villes'!$B$2:$B$1128,1,FALSE)</f>
        <v>Sainte-Sophie</v>
      </c>
      <c r="Q2038" s="9" t="str">
        <f>IFERROR($P2038,PROPER(VLOOKUP($O2038,'Villes en erreur'!$A$2:$B$72,2,FALSE)))</f>
        <v>Sainte-Sophie</v>
      </c>
      <c r="R2038" s="9" t="s">
        <v>9534</v>
      </c>
      <c r="S2038" s="9" t="str">
        <f>IF(ISBLANK($R2038),"",VLOOKUP($R2038,'Liste des Villes'!$B$2:$H$1128,4,FALSE))</f>
        <v>Laurentides</v>
      </c>
      <c r="T2038" s="2" t="s">
        <v>9621</v>
      </c>
      <c r="U2038" s="2" t="s">
        <v>39</v>
      </c>
      <c r="V2038" s="2" t="s">
        <v>40</v>
      </c>
      <c r="W2038" s="2" t="s">
        <v>9622</v>
      </c>
      <c r="X2038" s="2"/>
      <c r="Y2038" s="2"/>
      <c r="Z2038" s="2"/>
      <c r="AA2038" s="2" t="s">
        <v>515</v>
      </c>
      <c r="AB2038" s="2" t="s">
        <v>73</v>
      </c>
      <c r="AC2038" s="4" t="s">
        <v>44</v>
      </c>
    </row>
    <row r="2039" spans="1:29" x14ac:dyDescent="0.25">
      <c r="A2039" s="1">
        <v>873</v>
      </c>
      <c r="B2039" s="17" t="s">
        <v>9623</v>
      </c>
      <c r="C2039" s="2" t="s">
        <v>9624</v>
      </c>
      <c r="D2039" s="15" t="s">
        <v>9625</v>
      </c>
      <c r="E2039" s="9" t="s">
        <v>9626</v>
      </c>
      <c r="F2039" s="9" t="s">
        <v>9627</v>
      </c>
      <c r="G2039" s="9" t="s">
        <v>622</v>
      </c>
      <c r="H2039" s="2" t="s">
        <v>60</v>
      </c>
      <c r="I2039" s="3">
        <v>36522</v>
      </c>
      <c r="J2039" s="9" t="str">
        <f t="shared" ca="1" si="33"/>
        <v>23 ans</v>
      </c>
      <c r="K2039" s="2" t="s">
        <v>123</v>
      </c>
      <c r="L2039" s="2" t="str">
        <f>"421"</f>
        <v>421</v>
      </c>
      <c r="M2039" s="2"/>
      <c r="N2039" s="2" t="str">
        <f>"RUE DE LA CHARENTE"</f>
        <v>RUE DE LA CHARENTE</v>
      </c>
      <c r="O2039" s="2" t="s">
        <v>9533</v>
      </c>
      <c r="P2039" s="9" t="str">
        <f>VLOOKUP($O2039,'Liste des Villes'!$B$2:$B$1128,1,FALSE)</f>
        <v>Sainte-Sophie</v>
      </c>
      <c r="Q2039" s="9" t="str">
        <f>IFERROR($P2039,PROPER(VLOOKUP($O2039,'Villes en erreur'!$A$2:$B$72,2,FALSE)))</f>
        <v>Sainte-Sophie</v>
      </c>
      <c r="R2039" s="9" t="s">
        <v>9534</v>
      </c>
      <c r="S2039" s="9" t="str">
        <f>IF(ISBLANK($R2039),"",VLOOKUP($R2039,'Liste des Villes'!$B$2:$H$1128,4,FALSE))</f>
        <v>Laurentides</v>
      </c>
      <c r="T2039" s="2" t="s">
        <v>9628</v>
      </c>
      <c r="U2039" s="2" t="s">
        <v>39</v>
      </c>
      <c r="V2039" s="2" t="s">
        <v>40</v>
      </c>
      <c r="W2039" s="2" t="s">
        <v>9629</v>
      </c>
      <c r="X2039" s="2"/>
      <c r="Y2039" s="2"/>
      <c r="Z2039" s="2"/>
      <c r="AA2039" s="2" t="s">
        <v>9187</v>
      </c>
      <c r="AB2039" s="2" t="s">
        <v>73</v>
      </c>
      <c r="AC2039" s="4" t="s">
        <v>44</v>
      </c>
    </row>
    <row r="2040" spans="1:29" x14ac:dyDescent="0.25">
      <c r="A2040" s="1">
        <v>38</v>
      </c>
      <c r="B2040" s="17" t="s">
        <v>9630</v>
      </c>
      <c r="C2040" s="2" t="s">
        <v>9631</v>
      </c>
      <c r="D2040" s="15" t="s">
        <v>1268</v>
      </c>
      <c r="E2040" s="9" t="s">
        <v>3897</v>
      </c>
      <c r="F2040" s="9" t="s">
        <v>6028</v>
      </c>
      <c r="G2040" s="9" t="s">
        <v>4968</v>
      </c>
      <c r="H2040" s="2" t="s">
        <v>60</v>
      </c>
      <c r="I2040" s="3">
        <v>36574</v>
      </c>
      <c r="J2040" s="9" t="str">
        <f t="shared" ca="1" si="33"/>
        <v>23 ans</v>
      </c>
      <c r="K2040" s="2" t="s">
        <v>68</v>
      </c>
      <c r="L2040" s="2" t="str">
        <f>"464"</f>
        <v>464</v>
      </c>
      <c r="M2040" s="2"/>
      <c r="N2040" s="2" t="str">
        <f>"RUE DE LA RANDONNÉE"</f>
        <v>RUE DE LA RANDONNÉE</v>
      </c>
      <c r="O2040" s="2" t="s">
        <v>9533</v>
      </c>
      <c r="P2040" s="9" t="str">
        <f>VLOOKUP($O2040,'Liste des Villes'!$B$2:$B$1128,1,FALSE)</f>
        <v>Sainte-Sophie</v>
      </c>
      <c r="Q2040" s="9" t="str">
        <f>IFERROR($P2040,PROPER(VLOOKUP($O2040,'Villes en erreur'!$A$2:$B$72,2,FALSE)))</f>
        <v>Sainte-Sophie</v>
      </c>
      <c r="R2040" s="9" t="s">
        <v>9534</v>
      </c>
      <c r="S2040" s="9" t="str">
        <f>IF(ISBLANK($R2040),"",VLOOKUP($R2040,'Liste des Villes'!$B$2:$H$1128,4,FALSE))</f>
        <v>Laurentides</v>
      </c>
      <c r="T2040" s="2" t="s">
        <v>9632</v>
      </c>
      <c r="U2040" s="2" t="s">
        <v>39</v>
      </c>
      <c r="V2040" s="2" t="s">
        <v>40</v>
      </c>
      <c r="W2040" s="2" t="s">
        <v>9633</v>
      </c>
      <c r="X2040" s="2"/>
      <c r="Y2040" s="2"/>
      <c r="Z2040" s="2"/>
      <c r="AA2040" s="2" t="s">
        <v>515</v>
      </c>
      <c r="AB2040" s="2" t="s">
        <v>73</v>
      </c>
      <c r="AC2040" s="4" t="s">
        <v>44</v>
      </c>
    </row>
    <row r="2041" spans="1:29" x14ac:dyDescent="0.25">
      <c r="A2041" s="1">
        <v>2241</v>
      </c>
      <c r="B2041" s="17" t="s">
        <v>9634</v>
      </c>
      <c r="C2041" s="2" t="s">
        <v>9635</v>
      </c>
      <c r="D2041" s="15" t="s">
        <v>5784</v>
      </c>
      <c r="E2041" s="9" t="s">
        <v>9636</v>
      </c>
      <c r="F2041" s="9" t="s">
        <v>3252</v>
      </c>
      <c r="G2041" s="9" t="s">
        <v>922</v>
      </c>
      <c r="H2041" s="2" t="s">
        <v>60</v>
      </c>
      <c r="I2041" s="3">
        <v>36546</v>
      </c>
      <c r="J2041" s="9" t="str">
        <f t="shared" ca="1" si="33"/>
        <v>23 ans</v>
      </c>
      <c r="K2041" s="2" t="s">
        <v>68</v>
      </c>
      <c r="L2041" s="2" t="str">
        <f>"441"</f>
        <v>441</v>
      </c>
      <c r="M2041" s="2"/>
      <c r="N2041" s="2" t="str">
        <f>"RUE DE LA MOISSON"</f>
        <v>RUE DE LA MOISSON</v>
      </c>
      <c r="O2041" s="2" t="s">
        <v>9533</v>
      </c>
      <c r="P2041" s="9" t="str">
        <f>VLOOKUP($O2041,'Liste des Villes'!$B$2:$B$1128,1,FALSE)</f>
        <v>Sainte-Sophie</v>
      </c>
      <c r="Q2041" s="9" t="str">
        <f>IFERROR($P2041,PROPER(VLOOKUP($O2041,'Villes en erreur'!$A$2:$B$72,2,FALSE)))</f>
        <v>Sainte-Sophie</v>
      </c>
      <c r="R2041" s="9" t="s">
        <v>9534</v>
      </c>
      <c r="S2041" s="9" t="str">
        <f>IF(ISBLANK($R2041),"",VLOOKUP($R2041,'Liste des Villes'!$B$2:$H$1128,4,FALSE))</f>
        <v>Laurentides</v>
      </c>
      <c r="T2041" s="2" t="s">
        <v>9637</v>
      </c>
      <c r="U2041" s="2" t="s">
        <v>39</v>
      </c>
      <c r="V2041" s="2" t="s">
        <v>40</v>
      </c>
      <c r="W2041" s="2" t="s">
        <v>9638</v>
      </c>
      <c r="X2041" s="2"/>
      <c r="Y2041" s="2"/>
      <c r="Z2041" s="2"/>
      <c r="AA2041" s="2" t="s">
        <v>515</v>
      </c>
      <c r="AB2041" s="2" t="s">
        <v>73</v>
      </c>
      <c r="AC2041" s="4" t="s">
        <v>44</v>
      </c>
    </row>
    <row r="2042" spans="1:29" x14ac:dyDescent="0.25">
      <c r="A2042" s="1">
        <v>3997</v>
      </c>
      <c r="B2042" s="17" t="s">
        <v>9639</v>
      </c>
      <c r="C2042" s="2" t="s">
        <v>9640</v>
      </c>
      <c r="D2042" s="15" t="s">
        <v>7598</v>
      </c>
      <c r="E2042" s="9" t="s">
        <v>4686</v>
      </c>
      <c r="F2042" s="9" t="s">
        <v>7597</v>
      </c>
      <c r="G2042" s="9" t="s">
        <v>4831</v>
      </c>
      <c r="H2042" s="2" t="s">
        <v>60</v>
      </c>
      <c r="I2042" s="3">
        <v>36572</v>
      </c>
      <c r="J2042" s="9" t="str">
        <f t="shared" ca="1" si="33"/>
        <v>23 ans</v>
      </c>
      <c r="K2042" s="2" t="s">
        <v>68</v>
      </c>
      <c r="L2042" s="2" t="str">
        <f>"461"</f>
        <v>461</v>
      </c>
      <c r="M2042" s="2"/>
      <c r="N2042" s="2" t="str">
        <f>"RUE DE LA RANDONNÉE"</f>
        <v>RUE DE LA RANDONNÉE</v>
      </c>
      <c r="O2042" s="2" t="s">
        <v>9533</v>
      </c>
      <c r="P2042" s="9" t="str">
        <f>VLOOKUP($O2042,'Liste des Villes'!$B$2:$B$1128,1,FALSE)</f>
        <v>Sainte-Sophie</v>
      </c>
      <c r="Q2042" s="9" t="str">
        <f>IFERROR($P2042,PROPER(VLOOKUP($O2042,'Villes en erreur'!$A$2:$B$72,2,FALSE)))</f>
        <v>Sainte-Sophie</v>
      </c>
      <c r="R2042" s="9" t="s">
        <v>9534</v>
      </c>
      <c r="S2042" s="9" t="str">
        <f>IF(ISBLANK($R2042),"",VLOOKUP($R2042,'Liste des Villes'!$B$2:$H$1128,4,FALSE))</f>
        <v>Laurentides</v>
      </c>
      <c r="T2042" s="2" t="s">
        <v>9641</v>
      </c>
      <c r="U2042" s="2" t="s">
        <v>39</v>
      </c>
      <c r="V2042" s="2" t="s">
        <v>40</v>
      </c>
      <c r="W2042" s="2" t="s">
        <v>9642</v>
      </c>
      <c r="X2042" s="2"/>
      <c r="Y2042" s="2"/>
      <c r="Z2042" s="2"/>
      <c r="AA2042" s="2" t="s">
        <v>515</v>
      </c>
      <c r="AB2042" s="2" t="s">
        <v>73</v>
      </c>
      <c r="AC2042" s="4" t="s">
        <v>44</v>
      </c>
    </row>
    <row r="2043" spans="1:29" x14ac:dyDescent="0.25">
      <c r="A2043" s="1">
        <v>3325</v>
      </c>
      <c r="B2043" s="17" t="s">
        <v>9643</v>
      </c>
      <c r="C2043" s="2" t="s">
        <v>170</v>
      </c>
      <c r="D2043" s="15" t="s">
        <v>171</v>
      </c>
      <c r="E2043" s="9" t="s">
        <v>172</v>
      </c>
      <c r="F2043" s="9" t="s">
        <v>1236</v>
      </c>
      <c r="G2043" s="9" t="s">
        <v>622</v>
      </c>
      <c r="H2043" s="2" t="s">
        <v>60</v>
      </c>
      <c r="I2043" s="3">
        <v>36530</v>
      </c>
      <c r="J2043" s="9" t="str">
        <f t="shared" ca="1" si="33"/>
        <v>23 ans</v>
      </c>
      <c r="K2043" s="2" t="s">
        <v>123</v>
      </c>
      <c r="L2043" s="2" t="str">
        <f>"428"</f>
        <v>428</v>
      </c>
      <c r="M2043" s="2"/>
      <c r="N2043" s="2" t="str">
        <f>"RUE DE LA COULÉE"</f>
        <v>RUE DE LA COULÉE</v>
      </c>
      <c r="O2043" s="2" t="s">
        <v>9533</v>
      </c>
      <c r="P2043" s="9" t="str">
        <f>VLOOKUP($O2043,'Liste des Villes'!$B$2:$B$1128,1,FALSE)</f>
        <v>Sainte-Sophie</v>
      </c>
      <c r="Q2043" s="9" t="str">
        <f>IFERROR($P2043,PROPER(VLOOKUP($O2043,'Villes en erreur'!$A$2:$B$72,2,FALSE)))</f>
        <v>Sainte-Sophie</v>
      </c>
      <c r="R2043" s="9" t="s">
        <v>9534</v>
      </c>
      <c r="S2043" s="9" t="str">
        <f>IF(ISBLANK($R2043),"",VLOOKUP($R2043,'Liste des Villes'!$B$2:$H$1128,4,FALSE))</f>
        <v>Laurentides</v>
      </c>
      <c r="T2043" s="2" t="s">
        <v>9644</v>
      </c>
      <c r="U2043" s="2" t="s">
        <v>39</v>
      </c>
      <c r="V2043" s="2" t="s">
        <v>40</v>
      </c>
      <c r="W2043" s="2" t="s">
        <v>9645</v>
      </c>
      <c r="X2043" s="2"/>
      <c r="Y2043" s="2"/>
      <c r="Z2043" s="2"/>
      <c r="AA2043" s="2" t="s">
        <v>9187</v>
      </c>
      <c r="AB2043" s="2" t="s">
        <v>73</v>
      </c>
      <c r="AC2043" s="4" t="s">
        <v>44</v>
      </c>
    </row>
    <row r="2044" spans="1:29" x14ac:dyDescent="0.25">
      <c r="A2044" s="1">
        <v>3579</v>
      </c>
      <c r="B2044" s="17" t="s">
        <v>9646</v>
      </c>
      <c r="C2044" s="2" t="s">
        <v>1793</v>
      </c>
      <c r="D2044" s="15" t="s">
        <v>349</v>
      </c>
      <c r="E2044" s="9" t="s">
        <v>622</v>
      </c>
      <c r="F2044" s="9" t="s">
        <v>1794</v>
      </c>
      <c r="G2044" s="9" t="s">
        <v>622</v>
      </c>
      <c r="H2044" s="2" t="s">
        <v>60</v>
      </c>
      <c r="I2044" s="3">
        <v>36530</v>
      </c>
      <c r="J2044" s="9" t="str">
        <f t="shared" ca="1" si="33"/>
        <v>23 ans</v>
      </c>
      <c r="K2044" s="2" t="s">
        <v>123</v>
      </c>
      <c r="L2044" s="2" t="str">
        <f>"427"</f>
        <v>427</v>
      </c>
      <c r="M2044" s="2"/>
      <c r="N2044" s="2" t="str">
        <f>"RUE DE LA CONCORDE"</f>
        <v>RUE DE LA CONCORDE</v>
      </c>
      <c r="O2044" s="2" t="s">
        <v>9533</v>
      </c>
      <c r="P2044" s="9" t="str">
        <f>VLOOKUP($O2044,'Liste des Villes'!$B$2:$B$1128,1,FALSE)</f>
        <v>Sainte-Sophie</v>
      </c>
      <c r="Q2044" s="9" t="str">
        <f>IFERROR($P2044,PROPER(VLOOKUP($O2044,'Villes en erreur'!$A$2:$B$72,2,FALSE)))</f>
        <v>Sainte-Sophie</v>
      </c>
      <c r="R2044" s="9" t="s">
        <v>9534</v>
      </c>
      <c r="S2044" s="9" t="str">
        <f>IF(ISBLANK($R2044),"",VLOOKUP($R2044,'Liste des Villes'!$B$2:$H$1128,4,FALSE))</f>
        <v>Laurentides</v>
      </c>
      <c r="T2044" s="2" t="s">
        <v>9647</v>
      </c>
      <c r="U2044" s="2" t="s">
        <v>39</v>
      </c>
      <c r="V2044" s="2" t="s">
        <v>40</v>
      </c>
      <c r="W2044" s="2" t="s">
        <v>9648</v>
      </c>
      <c r="X2044" s="2"/>
      <c r="Y2044" s="2"/>
      <c r="Z2044" s="2"/>
      <c r="AA2044" s="2" t="s">
        <v>9187</v>
      </c>
      <c r="AB2044" s="2" t="s">
        <v>73</v>
      </c>
      <c r="AC2044" s="4" t="s">
        <v>44</v>
      </c>
    </row>
    <row r="2045" spans="1:29" x14ac:dyDescent="0.25">
      <c r="A2045" s="1">
        <v>3693</v>
      </c>
      <c r="B2045" s="17" t="s">
        <v>9649</v>
      </c>
      <c r="C2045" s="2" t="s">
        <v>9650</v>
      </c>
      <c r="D2045" s="15" t="s">
        <v>173</v>
      </c>
      <c r="E2045" s="9" t="s">
        <v>9651</v>
      </c>
      <c r="F2045" s="9" t="s">
        <v>9652</v>
      </c>
      <c r="G2045" s="9" t="s">
        <v>7655</v>
      </c>
      <c r="H2045" s="2" t="s">
        <v>60</v>
      </c>
      <c r="I2045" s="3">
        <v>36509</v>
      </c>
      <c r="J2045" s="9" t="str">
        <f t="shared" ca="1" si="33"/>
        <v>23 ans</v>
      </c>
      <c r="K2045" s="2" t="s">
        <v>123</v>
      </c>
      <c r="L2045" s="2" t="str">
        <f>"414"</f>
        <v>414</v>
      </c>
      <c r="M2045" s="2"/>
      <c r="N2045" s="2" t="str">
        <f>"RUE DE LA CANTINIÈRE"</f>
        <v>RUE DE LA CANTINIÈRE</v>
      </c>
      <c r="O2045" s="2" t="s">
        <v>9533</v>
      </c>
      <c r="P2045" s="9" t="str">
        <f>VLOOKUP($O2045,'Liste des Villes'!$B$2:$B$1128,1,FALSE)</f>
        <v>Sainte-Sophie</v>
      </c>
      <c r="Q2045" s="9" t="str">
        <f>IFERROR($P2045,PROPER(VLOOKUP($O2045,'Villes en erreur'!$A$2:$B$72,2,FALSE)))</f>
        <v>Sainte-Sophie</v>
      </c>
      <c r="R2045" s="9" t="s">
        <v>9534</v>
      </c>
      <c r="S2045" s="9" t="str">
        <f>IF(ISBLANK($R2045),"",VLOOKUP($R2045,'Liste des Villes'!$B$2:$H$1128,4,FALSE))</f>
        <v>Laurentides</v>
      </c>
      <c r="T2045" s="2" t="s">
        <v>9653</v>
      </c>
      <c r="U2045" s="2" t="s">
        <v>39</v>
      </c>
      <c r="V2045" s="2" t="s">
        <v>40</v>
      </c>
      <c r="W2045" s="2" t="s">
        <v>9654</v>
      </c>
      <c r="X2045" s="2"/>
      <c r="Y2045" s="2"/>
      <c r="Z2045" s="2"/>
      <c r="AA2045" s="2" t="s">
        <v>9187</v>
      </c>
      <c r="AB2045" s="2" t="s">
        <v>73</v>
      </c>
      <c r="AC2045" s="4" t="s">
        <v>44</v>
      </c>
    </row>
    <row r="2046" spans="1:29" x14ac:dyDescent="0.25">
      <c r="A2046" s="1">
        <v>3365</v>
      </c>
      <c r="B2046" s="17" t="s">
        <v>9655</v>
      </c>
      <c r="C2046" s="2" t="s">
        <v>9656</v>
      </c>
      <c r="D2046" s="15" t="s">
        <v>9657</v>
      </c>
      <c r="E2046" s="9" t="s">
        <v>685</v>
      </c>
      <c r="F2046" s="9" t="s">
        <v>1016</v>
      </c>
      <c r="G2046" s="9" t="s">
        <v>137</v>
      </c>
      <c r="H2046" s="2" t="s">
        <v>60</v>
      </c>
      <c r="I2046" s="3">
        <v>36561</v>
      </c>
      <c r="J2046" s="9" t="str">
        <f t="shared" ca="1" si="33"/>
        <v>23 ans</v>
      </c>
      <c r="K2046" s="2" t="s">
        <v>68</v>
      </c>
      <c r="L2046" s="2" t="str">
        <f>"453"</f>
        <v>453</v>
      </c>
      <c r="M2046" s="2"/>
      <c r="N2046" s="2" t="str">
        <f>"RUE DE LA PLAGE"</f>
        <v>RUE DE LA PLAGE</v>
      </c>
      <c r="O2046" s="2" t="s">
        <v>9533</v>
      </c>
      <c r="P2046" s="9" t="str">
        <f>VLOOKUP($O2046,'Liste des Villes'!$B$2:$B$1128,1,FALSE)</f>
        <v>Sainte-Sophie</v>
      </c>
      <c r="Q2046" s="9" t="str">
        <f>IFERROR($P2046,PROPER(VLOOKUP($O2046,'Villes en erreur'!$A$2:$B$72,2,FALSE)))</f>
        <v>Sainte-Sophie</v>
      </c>
      <c r="R2046" s="9" t="s">
        <v>9534</v>
      </c>
      <c r="S2046" s="9" t="str">
        <f>IF(ISBLANK($R2046),"",VLOOKUP($R2046,'Liste des Villes'!$B$2:$H$1128,4,FALSE))</f>
        <v>Laurentides</v>
      </c>
      <c r="T2046" s="2" t="s">
        <v>9658</v>
      </c>
      <c r="U2046" s="2" t="s">
        <v>39</v>
      </c>
      <c r="V2046" s="2" t="s">
        <v>40</v>
      </c>
      <c r="W2046" s="2" t="s">
        <v>9659</v>
      </c>
      <c r="X2046" s="2"/>
      <c r="Y2046" s="2"/>
      <c r="Z2046" s="2"/>
      <c r="AA2046" s="2" t="s">
        <v>515</v>
      </c>
      <c r="AB2046" s="2" t="s">
        <v>73</v>
      </c>
      <c r="AC2046" s="4" t="s">
        <v>44</v>
      </c>
    </row>
    <row r="2047" spans="1:29" x14ac:dyDescent="0.25">
      <c r="A2047" s="1">
        <v>3609</v>
      </c>
      <c r="B2047" s="17" t="s">
        <v>9660</v>
      </c>
      <c r="C2047" s="2" t="s">
        <v>9661</v>
      </c>
      <c r="D2047" s="15" t="s">
        <v>762</v>
      </c>
      <c r="E2047" s="9" t="s">
        <v>683</v>
      </c>
      <c r="F2047" s="9" t="s">
        <v>9662</v>
      </c>
      <c r="G2047" s="9" t="s">
        <v>683</v>
      </c>
      <c r="H2047" s="2" t="s">
        <v>60</v>
      </c>
      <c r="I2047" s="3">
        <v>36541</v>
      </c>
      <c r="J2047" s="9" t="str">
        <f t="shared" ca="1" si="33"/>
        <v>23 ans</v>
      </c>
      <c r="K2047" s="2" t="s">
        <v>68</v>
      </c>
      <c r="L2047" s="2" t="str">
        <f>"435"</f>
        <v>435</v>
      </c>
      <c r="M2047" s="2"/>
      <c r="N2047" s="2" t="str">
        <f>"RUE DE LA GOÉLETTE"</f>
        <v>RUE DE LA GOÉLETTE</v>
      </c>
      <c r="O2047" s="2" t="s">
        <v>9533</v>
      </c>
      <c r="P2047" s="9" t="str">
        <f>VLOOKUP($O2047,'Liste des Villes'!$B$2:$B$1128,1,FALSE)</f>
        <v>Sainte-Sophie</v>
      </c>
      <c r="Q2047" s="9" t="str">
        <f>IFERROR($P2047,PROPER(VLOOKUP($O2047,'Villes en erreur'!$A$2:$B$72,2,FALSE)))</f>
        <v>Sainte-Sophie</v>
      </c>
      <c r="R2047" s="9" t="s">
        <v>9534</v>
      </c>
      <c r="S2047" s="9" t="str">
        <f>IF(ISBLANK($R2047),"",VLOOKUP($R2047,'Liste des Villes'!$B$2:$H$1128,4,FALSE))</f>
        <v>Laurentides</v>
      </c>
      <c r="T2047" s="2" t="s">
        <v>9663</v>
      </c>
      <c r="U2047" s="2" t="s">
        <v>39</v>
      </c>
      <c r="V2047" s="2" t="s">
        <v>40</v>
      </c>
      <c r="W2047" s="2" t="s">
        <v>9664</v>
      </c>
      <c r="X2047" s="2"/>
      <c r="Y2047" s="2"/>
      <c r="Z2047" s="2"/>
      <c r="AA2047" s="2" t="s">
        <v>515</v>
      </c>
      <c r="AB2047" s="2" t="s">
        <v>73</v>
      </c>
      <c r="AC2047" s="4" t="s">
        <v>44</v>
      </c>
    </row>
    <row r="2048" spans="1:29" x14ac:dyDescent="0.25">
      <c r="A2048" s="1">
        <v>2081</v>
      </c>
      <c r="B2048" s="17" t="s">
        <v>9665</v>
      </c>
      <c r="C2048" s="2" t="s">
        <v>2286</v>
      </c>
      <c r="D2048" s="15" t="s">
        <v>1951</v>
      </c>
      <c r="E2048" s="9" t="s">
        <v>186</v>
      </c>
      <c r="F2048" s="9" t="s">
        <v>4303</v>
      </c>
      <c r="G2048" s="9" t="s">
        <v>137</v>
      </c>
      <c r="H2048" s="2" t="s">
        <v>60</v>
      </c>
      <c r="I2048" s="3">
        <v>36565</v>
      </c>
      <c r="J2048" s="9" t="str">
        <f t="shared" ca="1" si="33"/>
        <v>23 ans</v>
      </c>
      <c r="K2048" s="2" t="s">
        <v>68</v>
      </c>
      <c r="L2048" s="2" t="str">
        <f>"456"</f>
        <v>456</v>
      </c>
      <c r="M2048" s="2"/>
      <c r="N2048" s="2" t="str">
        <f>"RUE DE LA PLÉNITUDE"</f>
        <v>RUE DE LA PLÉNITUDE</v>
      </c>
      <c r="O2048" s="2" t="s">
        <v>9533</v>
      </c>
      <c r="P2048" s="9" t="str">
        <f>VLOOKUP($O2048,'Liste des Villes'!$B$2:$B$1128,1,FALSE)</f>
        <v>Sainte-Sophie</v>
      </c>
      <c r="Q2048" s="9" t="str">
        <f>IFERROR($P2048,PROPER(VLOOKUP($O2048,'Villes en erreur'!$A$2:$B$72,2,FALSE)))</f>
        <v>Sainte-Sophie</v>
      </c>
      <c r="R2048" s="9" t="s">
        <v>9534</v>
      </c>
      <c r="S2048" s="9" t="str">
        <f>IF(ISBLANK($R2048),"",VLOOKUP($R2048,'Liste des Villes'!$B$2:$H$1128,4,FALSE))</f>
        <v>Laurentides</v>
      </c>
      <c r="T2048" s="2" t="s">
        <v>9666</v>
      </c>
      <c r="U2048" s="2" t="s">
        <v>39</v>
      </c>
      <c r="V2048" s="2" t="s">
        <v>40</v>
      </c>
      <c r="W2048" s="2" t="s">
        <v>9667</v>
      </c>
      <c r="X2048" s="2"/>
      <c r="Y2048" s="2"/>
      <c r="Z2048" s="2"/>
      <c r="AA2048" s="2" t="s">
        <v>515</v>
      </c>
      <c r="AB2048" s="2" t="s">
        <v>73</v>
      </c>
      <c r="AC2048" s="4" t="s">
        <v>44</v>
      </c>
    </row>
    <row r="2049" spans="1:29" x14ac:dyDescent="0.25">
      <c r="A2049" s="1">
        <v>2638</v>
      </c>
      <c r="B2049" s="17" t="s">
        <v>9668</v>
      </c>
      <c r="C2049" s="2" t="s">
        <v>9669</v>
      </c>
      <c r="D2049" s="15" t="s">
        <v>1617</v>
      </c>
      <c r="E2049" s="9" t="s">
        <v>9670</v>
      </c>
      <c r="F2049" s="9" t="s">
        <v>246</v>
      </c>
      <c r="G2049" s="9" t="s">
        <v>8039</v>
      </c>
      <c r="H2049" s="2" t="s">
        <v>60</v>
      </c>
      <c r="I2049" s="3">
        <v>36483</v>
      </c>
      <c r="J2049" s="9" t="str">
        <f t="shared" ca="1" si="33"/>
        <v>23 ans</v>
      </c>
      <c r="K2049" s="2" t="s">
        <v>123</v>
      </c>
      <c r="L2049" s="2" t="str">
        <f>"396"</f>
        <v>396</v>
      </c>
      <c r="M2049" s="2"/>
      <c r="N2049" s="2" t="str">
        <f>"RUE DE GRANVILLE"</f>
        <v>RUE DE GRANVILLE</v>
      </c>
      <c r="O2049" s="2" t="s">
        <v>9533</v>
      </c>
      <c r="P2049" s="9" t="str">
        <f>VLOOKUP($O2049,'Liste des Villes'!$B$2:$B$1128,1,FALSE)</f>
        <v>Sainte-Sophie</v>
      </c>
      <c r="Q2049" s="9" t="str">
        <f>IFERROR($P2049,PROPER(VLOOKUP($O2049,'Villes en erreur'!$A$2:$B$72,2,FALSE)))</f>
        <v>Sainte-Sophie</v>
      </c>
      <c r="R2049" s="9" t="s">
        <v>9534</v>
      </c>
      <c r="S2049" s="9" t="str">
        <f>IF(ISBLANK($R2049),"",VLOOKUP($R2049,'Liste des Villes'!$B$2:$H$1128,4,FALSE))</f>
        <v>Laurentides</v>
      </c>
      <c r="T2049" s="2" t="s">
        <v>9671</v>
      </c>
      <c r="U2049" s="2" t="s">
        <v>39</v>
      </c>
      <c r="V2049" s="2" t="s">
        <v>40</v>
      </c>
      <c r="W2049" s="2" t="s">
        <v>9672</v>
      </c>
      <c r="X2049" s="2"/>
      <c r="Y2049" s="2"/>
      <c r="Z2049" s="2"/>
      <c r="AA2049" s="2" t="s">
        <v>9187</v>
      </c>
      <c r="AB2049" s="2" t="s">
        <v>73</v>
      </c>
      <c r="AC2049" s="4" t="s">
        <v>44</v>
      </c>
    </row>
    <row r="2050" spans="1:29" x14ac:dyDescent="0.25">
      <c r="A2050" s="1">
        <v>1143</v>
      </c>
      <c r="B2050" s="17" t="s">
        <v>9673</v>
      </c>
      <c r="C2050" s="2" t="s">
        <v>9674</v>
      </c>
      <c r="D2050" s="15" t="s">
        <v>9492</v>
      </c>
      <c r="E2050" s="9" t="s">
        <v>1423</v>
      </c>
      <c r="F2050" s="9" t="s">
        <v>9675</v>
      </c>
      <c r="G2050" s="9" t="s">
        <v>9676</v>
      </c>
      <c r="H2050" s="2" t="s">
        <v>60</v>
      </c>
      <c r="I2050" s="3">
        <v>36500</v>
      </c>
      <c r="J2050" s="9" t="str">
        <f t="shared" ref="J2050:J2113" ca="1" si="34">_xlfn.CONCAT(INT((TODAY()-$I2050)/365.25)," ans")</f>
        <v>23 ans</v>
      </c>
      <c r="K2050" s="2" t="s">
        <v>123</v>
      </c>
      <c r="L2050" s="2" t="str">
        <f>"407"</f>
        <v>407</v>
      </c>
      <c r="M2050" s="2"/>
      <c r="N2050" s="2" t="str">
        <f>"RUE DE LA BRETAGNE"</f>
        <v>RUE DE LA BRETAGNE</v>
      </c>
      <c r="O2050" s="2" t="s">
        <v>9533</v>
      </c>
      <c r="P2050" s="9" t="str">
        <f>VLOOKUP($O2050,'Liste des Villes'!$B$2:$B$1128,1,FALSE)</f>
        <v>Sainte-Sophie</v>
      </c>
      <c r="Q2050" s="9" t="str">
        <f>IFERROR($P2050,PROPER(VLOOKUP($O2050,'Villes en erreur'!$A$2:$B$72,2,FALSE)))</f>
        <v>Sainte-Sophie</v>
      </c>
      <c r="R2050" s="9" t="s">
        <v>9534</v>
      </c>
      <c r="S2050" s="9" t="str">
        <f>IF(ISBLANK($R2050),"",VLOOKUP($R2050,'Liste des Villes'!$B$2:$H$1128,4,FALSE))</f>
        <v>Laurentides</v>
      </c>
      <c r="T2050" s="2" t="s">
        <v>9677</v>
      </c>
      <c r="U2050" s="2" t="s">
        <v>39</v>
      </c>
      <c r="V2050" s="2" t="s">
        <v>40</v>
      </c>
      <c r="W2050" s="2" t="s">
        <v>9678</v>
      </c>
      <c r="X2050" s="2"/>
      <c r="Y2050" s="2"/>
      <c r="Z2050" s="2"/>
      <c r="AA2050" s="2" t="s">
        <v>9187</v>
      </c>
      <c r="AB2050" s="2" t="s">
        <v>73</v>
      </c>
      <c r="AC2050" s="4" t="s">
        <v>44</v>
      </c>
    </row>
    <row r="2051" spans="1:29" x14ac:dyDescent="0.25">
      <c r="A2051" s="1">
        <v>2944</v>
      </c>
      <c r="B2051" s="17" t="s">
        <v>9679</v>
      </c>
      <c r="C2051" s="2" t="s">
        <v>5696</v>
      </c>
      <c r="D2051" s="15" t="s">
        <v>197</v>
      </c>
      <c r="E2051" s="9" t="s">
        <v>495</v>
      </c>
      <c r="F2051" s="9" t="s">
        <v>4679</v>
      </c>
      <c r="G2051" s="9" t="s">
        <v>817</v>
      </c>
      <c r="H2051" s="2" t="s">
        <v>60</v>
      </c>
      <c r="I2051" s="3">
        <v>36516</v>
      </c>
      <c r="J2051" s="9" t="str">
        <f t="shared" ca="1" si="34"/>
        <v>23 ans</v>
      </c>
      <c r="K2051" s="2" t="s">
        <v>123</v>
      </c>
      <c r="L2051" s="2" t="str">
        <f>"419"</f>
        <v>419</v>
      </c>
      <c r="M2051" s="2"/>
      <c r="N2051" s="2" t="str">
        <f>"RUE DE LA CHARENTE"</f>
        <v>RUE DE LA CHARENTE</v>
      </c>
      <c r="O2051" s="2" t="s">
        <v>9533</v>
      </c>
      <c r="P2051" s="9" t="str">
        <f>VLOOKUP($O2051,'Liste des Villes'!$B$2:$B$1128,1,FALSE)</f>
        <v>Sainte-Sophie</v>
      </c>
      <c r="Q2051" s="9" t="str">
        <f>IFERROR($P2051,PROPER(VLOOKUP($O2051,'Villes en erreur'!$A$2:$B$72,2,FALSE)))</f>
        <v>Sainte-Sophie</v>
      </c>
      <c r="R2051" s="9" t="s">
        <v>9534</v>
      </c>
      <c r="S2051" s="9" t="str">
        <f>IF(ISBLANK($R2051),"",VLOOKUP($R2051,'Liste des Villes'!$B$2:$H$1128,4,FALSE))</f>
        <v>Laurentides</v>
      </c>
      <c r="T2051" s="2" t="s">
        <v>9680</v>
      </c>
      <c r="U2051" s="2" t="s">
        <v>39</v>
      </c>
      <c r="V2051" s="2" t="s">
        <v>40</v>
      </c>
      <c r="W2051" s="2" t="s">
        <v>9681</v>
      </c>
      <c r="X2051" s="2"/>
      <c r="Y2051" s="2"/>
      <c r="Z2051" s="2"/>
      <c r="AA2051" s="2" t="s">
        <v>9187</v>
      </c>
      <c r="AB2051" s="2" t="s">
        <v>73</v>
      </c>
      <c r="AC2051" s="4" t="s">
        <v>44</v>
      </c>
    </row>
    <row r="2052" spans="1:29" x14ac:dyDescent="0.25">
      <c r="A2052" s="1">
        <v>2547</v>
      </c>
      <c r="B2052" s="17" t="s">
        <v>9682</v>
      </c>
      <c r="C2052" s="2" t="s">
        <v>9683</v>
      </c>
      <c r="D2052" s="15" t="s">
        <v>3617</v>
      </c>
      <c r="E2052" s="9" t="s">
        <v>3235</v>
      </c>
      <c r="F2052" s="9" t="s">
        <v>363</v>
      </c>
      <c r="G2052" s="9" t="s">
        <v>622</v>
      </c>
      <c r="H2052" s="2" t="s">
        <v>60</v>
      </c>
      <c r="I2052" s="3">
        <v>36537</v>
      </c>
      <c r="J2052" s="9" t="str">
        <f t="shared" ca="1" si="34"/>
        <v>23 ans</v>
      </c>
      <c r="K2052" s="2" t="s">
        <v>68</v>
      </c>
      <c r="L2052" s="2" t="str">
        <f>"432"</f>
        <v>432</v>
      </c>
      <c r="M2052" s="2"/>
      <c r="N2052" s="2" t="str">
        <f>"RUE DE LA FÉE-ROUGE"</f>
        <v>RUE DE LA FÉE-ROUGE</v>
      </c>
      <c r="O2052" s="2" t="s">
        <v>9533</v>
      </c>
      <c r="P2052" s="9" t="str">
        <f>VLOOKUP($O2052,'Liste des Villes'!$B$2:$B$1128,1,FALSE)</f>
        <v>Sainte-Sophie</v>
      </c>
      <c r="Q2052" s="9" t="str">
        <f>IFERROR($P2052,PROPER(VLOOKUP($O2052,'Villes en erreur'!$A$2:$B$72,2,FALSE)))</f>
        <v>Sainte-Sophie</v>
      </c>
      <c r="R2052" s="9" t="s">
        <v>9534</v>
      </c>
      <c r="S2052" s="9" t="str">
        <f>IF(ISBLANK($R2052),"",VLOOKUP($R2052,'Liste des Villes'!$B$2:$H$1128,4,FALSE))</f>
        <v>Laurentides</v>
      </c>
      <c r="T2052" s="2" t="s">
        <v>9684</v>
      </c>
      <c r="U2052" s="2" t="s">
        <v>39</v>
      </c>
      <c r="V2052" s="2" t="s">
        <v>40</v>
      </c>
      <c r="W2052" s="2" t="s">
        <v>9685</v>
      </c>
      <c r="X2052" s="2"/>
      <c r="Y2052" s="2"/>
      <c r="Z2052" s="2"/>
      <c r="AA2052" s="2" t="s">
        <v>515</v>
      </c>
      <c r="AB2052" s="2" t="s">
        <v>73</v>
      </c>
      <c r="AC2052" s="4" t="s">
        <v>44</v>
      </c>
    </row>
    <row r="2053" spans="1:29" x14ac:dyDescent="0.25">
      <c r="A2053" s="1">
        <v>1829</v>
      </c>
      <c r="B2053" s="17" t="s">
        <v>9686</v>
      </c>
      <c r="C2053" s="2" t="s">
        <v>9687</v>
      </c>
      <c r="D2053" s="15" t="s">
        <v>6111</v>
      </c>
      <c r="E2053" s="9" t="s">
        <v>698</v>
      </c>
      <c r="F2053" s="9" t="s">
        <v>6110</v>
      </c>
      <c r="G2053" s="9" t="s">
        <v>683</v>
      </c>
      <c r="H2053" s="2" t="s">
        <v>60</v>
      </c>
      <c r="I2053" s="3">
        <v>36545</v>
      </c>
      <c r="J2053" s="9" t="str">
        <f t="shared" ca="1" si="34"/>
        <v>23 ans</v>
      </c>
      <c r="K2053" s="2" t="s">
        <v>68</v>
      </c>
      <c r="L2053" s="2" t="str">
        <f>"440"</f>
        <v>440</v>
      </c>
      <c r="M2053" s="2"/>
      <c r="N2053" s="2" t="str">
        <f>"RUE DE LA MILICE"</f>
        <v>RUE DE LA MILICE</v>
      </c>
      <c r="O2053" s="2" t="s">
        <v>9533</v>
      </c>
      <c r="P2053" s="9" t="str">
        <f>VLOOKUP($O2053,'Liste des Villes'!$B$2:$B$1128,1,FALSE)</f>
        <v>Sainte-Sophie</v>
      </c>
      <c r="Q2053" s="9" t="str">
        <f>IFERROR($P2053,PROPER(VLOOKUP($O2053,'Villes en erreur'!$A$2:$B$72,2,FALSE)))</f>
        <v>Sainte-Sophie</v>
      </c>
      <c r="R2053" s="9" t="s">
        <v>9534</v>
      </c>
      <c r="S2053" s="9" t="str">
        <f>IF(ISBLANK($R2053),"",VLOOKUP($R2053,'Liste des Villes'!$B$2:$H$1128,4,FALSE))</f>
        <v>Laurentides</v>
      </c>
      <c r="T2053" s="2" t="s">
        <v>9688</v>
      </c>
      <c r="U2053" s="2" t="s">
        <v>39</v>
      </c>
      <c r="V2053" s="2" t="s">
        <v>40</v>
      </c>
      <c r="W2053" s="2" t="s">
        <v>9689</v>
      </c>
      <c r="X2053" s="2"/>
      <c r="Y2053" s="2"/>
      <c r="Z2053" s="2"/>
      <c r="AA2053" s="2" t="s">
        <v>515</v>
      </c>
      <c r="AB2053" s="2" t="s">
        <v>73</v>
      </c>
      <c r="AC2053" s="4" t="s">
        <v>44</v>
      </c>
    </row>
    <row r="2054" spans="1:29" x14ac:dyDescent="0.25">
      <c r="A2054" s="1">
        <v>248</v>
      </c>
      <c r="B2054" s="17" t="s">
        <v>9690</v>
      </c>
      <c r="C2054" s="2" t="s">
        <v>9691</v>
      </c>
      <c r="D2054" s="15" t="s">
        <v>460</v>
      </c>
      <c r="E2054" s="9" t="s">
        <v>6562</v>
      </c>
      <c r="F2054" s="9" t="s">
        <v>462</v>
      </c>
      <c r="G2054" s="9" t="s">
        <v>1465</v>
      </c>
      <c r="H2054" s="2" t="s">
        <v>60</v>
      </c>
      <c r="I2054" s="3">
        <v>36502</v>
      </c>
      <c r="J2054" s="9" t="str">
        <f t="shared" ca="1" si="34"/>
        <v>23 ans</v>
      </c>
      <c r="K2054" s="2" t="s">
        <v>123</v>
      </c>
      <c r="L2054" s="2" t="str">
        <f>"408"</f>
        <v>408</v>
      </c>
      <c r="M2054" s="2"/>
      <c r="N2054" s="2" t="str">
        <f>"RUE DE LA BRETAGNE"</f>
        <v>RUE DE LA BRETAGNE</v>
      </c>
      <c r="O2054" s="2" t="s">
        <v>9533</v>
      </c>
      <c r="P2054" s="9" t="str">
        <f>VLOOKUP($O2054,'Liste des Villes'!$B$2:$B$1128,1,FALSE)</f>
        <v>Sainte-Sophie</v>
      </c>
      <c r="Q2054" s="9" t="str">
        <f>IFERROR($P2054,PROPER(VLOOKUP($O2054,'Villes en erreur'!$A$2:$B$72,2,FALSE)))</f>
        <v>Sainte-Sophie</v>
      </c>
      <c r="R2054" s="9" t="s">
        <v>9534</v>
      </c>
      <c r="S2054" s="9" t="str">
        <f>IF(ISBLANK($R2054),"",VLOOKUP($R2054,'Liste des Villes'!$B$2:$H$1128,4,FALSE))</f>
        <v>Laurentides</v>
      </c>
      <c r="T2054" s="2" t="s">
        <v>9692</v>
      </c>
      <c r="U2054" s="2" t="s">
        <v>39</v>
      </c>
      <c r="V2054" s="2" t="s">
        <v>40</v>
      </c>
      <c r="W2054" s="2" t="s">
        <v>9693</v>
      </c>
      <c r="X2054" s="2"/>
      <c r="Y2054" s="2"/>
      <c r="Z2054" s="2"/>
      <c r="AA2054" s="2" t="s">
        <v>9187</v>
      </c>
      <c r="AB2054" s="2" t="s">
        <v>73</v>
      </c>
      <c r="AC2054" s="4" t="s">
        <v>44</v>
      </c>
    </row>
    <row r="2055" spans="1:29" x14ac:dyDescent="0.25">
      <c r="A2055" s="1">
        <v>1351</v>
      </c>
      <c r="B2055" s="17" t="s">
        <v>9694</v>
      </c>
      <c r="C2055" s="2" t="s">
        <v>9695</v>
      </c>
      <c r="D2055" s="15" t="s">
        <v>4844</v>
      </c>
      <c r="E2055" s="9" t="s">
        <v>9696</v>
      </c>
      <c r="F2055" s="9" t="s">
        <v>934</v>
      </c>
      <c r="G2055" s="9" t="s">
        <v>989</v>
      </c>
      <c r="H2055" s="2" t="s">
        <v>60</v>
      </c>
      <c r="I2055" s="3">
        <v>36511</v>
      </c>
      <c r="J2055" s="9" t="str">
        <f t="shared" ca="1" si="34"/>
        <v>23 ans</v>
      </c>
      <c r="K2055" s="2" t="s">
        <v>123</v>
      </c>
      <c r="L2055" s="2" t="str">
        <f>"415"</f>
        <v>415</v>
      </c>
      <c r="M2055" s="2"/>
      <c r="N2055" s="2" t="str">
        <f>"RUE DE LA CÉRAMIQUE"</f>
        <v>RUE DE LA CÉRAMIQUE</v>
      </c>
      <c r="O2055" s="2" t="s">
        <v>9533</v>
      </c>
      <c r="P2055" s="9" t="str">
        <f>VLOOKUP($O2055,'Liste des Villes'!$B$2:$B$1128,1,FALSE)</f>
        <v>Sainte-Sophie</v>
      </c>
      <c r="Q2055" s="9" t="str">
        <f>IFERROR($P2055,PROPER(VLOOKUP($O2055,'Villes en erreur'!$A$2:$B$72,2,FALSE)))</f>
        <v>Sainte-Sophie</v>
      </c>
      <c r="R2055" s="9" t="s">
        <v>9534</v>
      </c>
      <c r="S2055" s="9" t="str">
        <f>IF(ISBLANK($R2055),"",VLOOKUP($R2055,'Liste des Villes'!$B$2:$H$1128,4,FALSE))</f>
        <v>Laurentides</v>
      </c>
      <c r="T2055" s="2" t="s">
        <v>9697</v>
      </c>
      <c r="U2055" s="2" t="s">
        <v>39</v>
      </c>
      <c r="V2055" s="2" t="s">
        <v>40</v>
      </c>
      <c r="W2055" s="2" t="s">
        <v>9698</v>
      </c>
      <c r="X2055" s="2"/>
      <c r="Y2055" s="2"/>
      <c r="Z2055" s="2"/>
      <c r="AA2055" s="2" t="s">
        <v>9187</v>
      </c>
      <c r="AB2055" s="2" t="s">
        <v>73</v>
      </c>
      <c r="AC2055" s="4" t="s">
        <v>44</v>
      </c>
    </row>
    <row r="2056" spans="1:29" x14ac:dyDescent="0.25">
      <c r="A2056" s="1">
        <v>985</v>
      </c>
      <c r="B2056" s="17" t="s">
        <v>9699</v>
      </c>
      <c r="C2056" s="2" t="s">
        <v>9700</v>
      </c>
      <c r="D2056" s="15" t="s">
        <v>1247</v>
      </c>
      <c r="E2056" s="9" t="s">
        <v>9701</v>
      </c>
      <c r="F2056" s="9" t="s">
        <v>1245</v>
      </c>
      <c r="G2056" s="9" t="s">
        <v>4594</v>
      </c>
      <c r="H2056" s="2" t="s">
        <v>60</v>
      </c>
      <c r="I2056" s="3">
        <v>36502</v>
      </c>
      <c r="J2056" s="9" t="str">
        <f t="shared" ca="1" si="34"/>
        <v>23 ans</v>
      </c>
      <c r="K2056" s="2" t="s">
        <v>123</v>
      </c>
      <c r="L2056" s="2" t="str">
        <f>"408"</f>
        <v>408</v>
      </c>
      <c r="M2056" s="2"/>
      <c r="N2056" s="2" t="str">
        <f>"RUE DE LA BRETAGNE"</f>
        <v>RUE DE LA BRETAGNE</v>
      </c>
      <c r="O2056" s="2" t="s">
        <v>9533</v>
      </c>
      <c r="P2056" s="9" t="str">
        <f>VLOOKUP($O2056,'Liste des Villes'!$B$2:$B$1128,1,FALSE)</f>
        <v>Sainte-Sophie</v>
      </c>
      <c r="Q2056" s="9" t="str">
        <f>IFERROR($P2056,PROPER(VLOOKUP($O2056,'Villes en erreur'!$A$2:$B$72,2,FALSE)))</f>
        <v>Sainte-Sophie</v>
      </c>
      <c r="R2056" s="9" t="s">
        <v>9534</v>
      </c>
      <c r="S2056" s="9" t="str">
        <f>IF(ISBLANK($R2056),"",VLOOKUP($R2056,'Liste des Villes'!$B$2:$H$1128,4,FALSE))</f>
        <v>Laurentides</v>
      </c>
      <c r="T2056" s="2" t="s">
        <v>9692</v>
      </c>
      <c r="U2056" s="2" t="s">
        <v>39</v>
      </c>
      <c r="V2056" s="2" t="s">
        <v>40</v>
      </c>
      <c r="W2056" s="2" t="s">
        <v>9702</v>
      </c>
      <c r="X2056" s="2"/>
      <c r="Y2056" s="2"/>
      <c r="Z2056" s="2"/>
      <c r="AA2056" s="2" t="s">
        <v>9187</v>
      </c>
      <c r="AB2056" s="2" t="s">
        <v>73</v>
      </c>
      <c r="AC2056" s="4" t="s">
        <v>44</v>
      </c>
    </row>
    <row r="2057" spans="1:29" x14ac:dyDescent="0.25">
      <c r="A2057" s="1">
        <v>2022</v>
      </c>
      <c r="B2057" s="17" t="s">
        <v>9703</v>
      </c>
      <c r="C2057" s="2" t="s">
        <v>9704</v>
      </c>
      <c r="D2057" s="15" t="s">
        <v>6293</v>
      </c>
      <c r="E2057" s="9" t="s">
        <v>635</v>
      </c>
      <c r="F2057" s="9" t="s">
        <v>411</v>
      </c>
      <c r="G2057" s="9" t="s">
        <v>137</v>
      </c>
      <c r="H2057" s="2" t="s">
        <v>60</v>
      </c>
      <c r="I2057" s="3">
        <v>36559</v>
      </c>
      <c r="J2057" s="9" t="str">
        <f t="shared" ca="1" si="34"/>
        <v>23 ans</v>
      </c>
      <c r="K2057" s="2" t="s">
        <v>68</v>
      </c>
      <c r="L2057" s="2" t="str">
        <f>"451"</f>
        <v>451</v>
      </c>
      <c r="M2057" s="2"/>
      <c r="N2057" s="2" t="str">
        <f>"RUE DE LA PIERRE-DE-LUNE"</f>
        <v>RUE DE LA PIERRE-DE-LUNE</v>
      </c>
      <c r="O2057" s="2" t="s">
        <v>9533</v>
      </c>
      <c r="P2057" s="9" t="str">
        <f>VLOOKUP($O2057,'Liste des Villes'!$B$2:$B$1128,1,FALSE)</f>
        <v>Sainte-Sophie</v>
      </c>
      <c r="Q2057" s="9" t="str">
        <f>IFERROR($P2057,PROPER(VLOOKUP($O2057,'Villes en erreur'!$A$2:$B$72,2,FALSE)))</f>
        <v>Sainte-Sophie</v>
      </c>
      <c r="R2057" s="9" t="s">
        <v>9534</v>
      </c>
      <c r="S2057" s="9" t="str">
        <f>IF(ISBLANK($R2057),"",VLOOKUP($R2057,'Liste des Villes'!$B$2:$H$1128,4,FALSE))</f>
        <v>Laurentides</v>
      </c>
      <c r="T2057" s="2" t="s">
        <v>9705</v>
      </c>
      <c r="U2057" s="2" t="s">
        <v>39</v>
      </c>
      <c r="V2057" s="2" t="s">
        <v>40</v>
      </c>
      <c r="W2057" s="2" t="s">
        <v>9706</v>
      </c>
      <c r="X2057" s="2"/>
      <c r="Y2057" s="2"/>
      <c r="Z2057" s="2"/>
      <c r="AA2057" s="2" t="s">
        <v>515</v>
      </c>
      <c r="AB2057" s="2" t="s">
        <v>73</v>
      </c>
      <c r="AC2057" s="4" t="s">
        <v>44</v>
      </c>
    </row>
    <row r="2058" spans="1:29" x14ac:dyDescent="0.25">
      <c r="A2058" s="1">
        <v>1413</v>
      </c>
      <c r="B2058" s="17" t="s">
        <v>9707</v>
      </c>
      <c r="C2058" s="2" t="s">
        <v>9708</v>
      </c>
      <c r="D2058" s="15" t="s">
        <v>6974</v>
      </c>
      <c r="E2058" s="9" t="s">
        <v>1410</v>
      </c>
      <c r="F2058" s="9" t="s">
        <v>1808</v>
      </c>
      <c r="G2058" s="9" t="s">
        <v>989</v>
      </c>
      <c r="H2058" s="2" t="s">
        <v>60</v>
      </c>
      <c r="I2058" s="3">
        <v>36514</v>
      </c>
      <c r="J2058" s="9" t="str">
        <f t="shared" ca="1" si="34"/>
        <v>23 ans</v>
      </c>
      <c r="K2058" s="2" t="s">
        <v>123</v>
      </c>
      <c r="L2058" s="2" t="str">
        <f>"416"</f>
        <v>416</v>
      </c>
      <c r="M2058" s="2"/>
      <c r="N2058" s="2" t="str">
        <f>"RUE DE LA CHAMPAGNE"</f>
        <v>RUE DE LA CHAMPAGNE</v>
      </c>
      <c r="O2058" s="2" t="s">
        <v>9533</v>
      </c>
      <c r="P2058" s="9" t="str">
        <f>VLOOKUP($O2058,'Liste des Villes'!$B$2:$B$1128,1,FALSE)</f>
        <v>Sainte-Sophie</v>
      </c>
      <c r="Q2058" s="9" t="str">
        <f>IFERROR($P2058,PROPER(VLOOKUP($O2058,'Villes en erreur'!$A$2:$B$72,2,FALSE)))</f>
        <v>Sainte-Sophie</v>
      </c>
      <c r="R2058" s="9" t="s">
        <v>9534</v>
      </c>
      <c r="S2058" s="9" t="str">
        <f>IF(ISBLANK($R2058),"",VLOOKUP($R2058,'Liste des Villes'!$B$2:$H$1128,4,FALSE))</f>
        <v>Laurentides</v>
      </c>
      <c r="T2058" s="2" t="s">
        <v>9709</v>
      </c>
      <c r="U2058" s="2" t="s">
        <v>39</v>
      </c>
      <c r="V2058" s="2" t="s">
        <v>40</v>
      </c>
      <c r="W2058" s="2" t="s">
        <v>9710</v>
      </c>
      <c r="X2058" s="2"/>
      <c r="Y2058" s="2"/>
      <c r="Z2058" s="2"/>
      <c r="AA2058" s="2" t="s">
        <v>9187</v>
      </c>
      <c r="AB2058" s="2" t="s">
        <v>73</v>
      </c>
      <c r="AC2058" s="4" t="s">
        <v>44</v>
      </c>
    </row>
    <row r="2059" spans="1:29" x14ac:dyDescent="0.25">
      <c r="A2059" s="1">
        <v>2157</v>
      </c>
      <c r="B2059" s="17" t="s">
        <v>9711</v>
      </c>
      <c r="C2059" s="2" t="s">
        <v>9712</v>
      </c>
      <c r="D2059" s="15" t="s">
        <v>2927</v>
      </c>
      <c r="E2059" s="9" t="s">
        <v>2049</v>
      </c>
      <c r="F2059" s="9" t="s">
        <v>2926</v>
      </c>
      <c r="G2059" s="9" t="s">
        <v>9713</v>
      </c>
      <c r="H2059" s="2" t="s">
        <v>60</v>
      </c>
      <c r="I2059" s="3">
        <v>36479</v>
      </c>
      <c r="J2059" s="9" t="str">
        <f t="shared" ca="1" si="34"/>
        <v>23 ans</v>
      </c>
      <c r="K2059" s="2" t="s">
        <v>123</v>
      </c>
      <c r="L2059" s="2" t="str">
        <f>"392"</f>
        <v>392</v>
      </c>
      <c r="M2059" s="2"/>
      <c r="N2059" s="2" t="str">
        <f>"RUE DE DIJON"</f>
        <v>RUE DE DIJON</v>
      </c>
      <c r="O2059" s="2" t="s">
        <v>9533</v>
      </c>
      <c r="P2059" s="9" t="str">
        <f>VLOOKUP($O2059,'Liste des Villes'!$B$2:$B$1128,1,FALSE)</f>
        <v>Sainte-Sophie</v>
      </c>
      <c r="Q2059" s="9" t="str">
        <f>IFERROR($P2059,PROPER(VLOOKUP($O2059,'Villes en erreur'!$A$2:$B$72,2,FALSE)))</f>
        <v>Sainte-Sophie</v>
      </c>
      <c r="R2059" s="9" t="s">
        <v>9534</v>
      </c>
      <c r="S2059" s="9" t="str">
        <f>IF(ISBLANK($R2059),"",VLOOKUP($R2059,'Liste des Villes'!$B$2:$H$1128,4,FALSE))</f>
        <v>Laurentides</v>
      </c>
      <c r="T2059" s="2" t="s">
        <v>9714</v>
      </c>
      <c r="U2059" s="2" t="s">
        <v>39</v>
      </c>
      <c r="V2059" s="2" t="s">
        <v>40</v>
      </c>
      <c r="W2059" s="2" t="s">
        <v>9715</v>
      </c>
      <c r="X2059" s="2"/>
      <c r="Y2059" s="2"/>
      <c r="Z2059" s="2"/>
      <c r="AA2059" s="2" t="s">
        <v>9187</v>
      </c>
      <c r="AB2059" s="2" t="s">
        <v>73</v>
      </c>
      <c r="AC2059" s="4" t="s">
        <v>44</v>
      </c>
    </row>
    <row r="2060" spans="1:29" x14ac:dyDescent="0.25">
      <c r="A2060" s="1">
        <v>1838</v>
      </c>
      <c r="B2060" s="17" t="s">
        <v>9716</v>
      </c>
      <c r="C2060" s="2" t="s">
        <v>9717</v>
      </c>
      <c r="D2060" s="15" t="s">
        <v>7017</v>
      </c>
      <c r="E2060" s="9" t="s">
        <v>9718</v>
      </c>
      <c r="F2060" s="9" t="s">
        <v>7016</v>
      </c>
      <c r="G2060" s="9" t="s">
        <v>622</v>
      </c>
      <c r="H2060" s="2" t="s">
        <v>60</v>
      </c>
      <c r="I2060" s="3">
        <v>36528</v>
      </c>
      <c r="J2060" s="9" t="str">
        <f t="shared" ca="1" si="34"/>
        <v>23 ans</v>
      </c>
      <c r="K2060" s="2" t="s">
        <v>123</v>
      </c>
      <c r="L2060" s="2" t="str">
        <f>"426"</f>
        <v>426</v>
      </c>
      <c r="M2060" s="2"/>
      <c r="N2060" s="2" t="str">
        <f>"RUE DE LA CONCORDE"</f>
        <v>RUE DE LA CONCORDE</v>
      </c>
      <c r="O2060" s="2" t="s">
        <v>9533</v>
      </c>
      <c r="P2060" s="9" t="str">
        <f>VLOOKUP($O2060,'Liste des Villes'!$B$2:$B$1128,1,FALSE)</f>
        <v>Sainte-Sophie</v>
      </c>
      <c r="Q2060" s="9" t="str">
        <f>IFERROR($P2060,PROPER(VLOOKUP($O2060,'Villes en erreur'!$A$2:$B$72,2,FALSE)))</f>
        <v>Sainte-Sophie</v>
      </c>
      <c r="R2060" s="9" t="s">
        <v>9534</v>
      </c>
      <c r="S2060" s="9" t="str">
        <f>IF(ISBLANK($R2060),"",VLOOKUP($R2060,'Liste des Villes'!$B$2:$H$1128,4,FALSE))</f>
        <v>Laurentides</v>
      </c>
      <c r="T2060" s="2" t="s">
        <v>9719</v>
      </c>
      <c r="U2060" s="2" t="s">
        <v>39</v>
      </c>
      <c r="V2060" s="2" t="s">
        <v>40</v>
      </c>
      <c r="W2060" s="2" t="s">
        <v>9720</v>
      </c>
      <c r="X2060" s="2"/>
      <c r="Y2060" s="2"/>
      <c r="Z2060" s="2"/>
      <c r="AA2060" s="2" t="s">
        <v>9187</v>
      </c>
      <c r="AB2060" s="2" t="s">
        <v>73</v>
      </c>
      <c r="AC2060" s="4" t="s">
        <v>44</v>
      </c>
    </row>
    <row r="2061" spans="1:29" x14ac:dyDescent="0.25">
      <c r="A2061" s="1">
        <v>3295</v>
      </c>
      <c r="B2061" s="17" t="s">
        <v>9721</v>
      </c>
      <c r="C2061" s="2" t="s">
        <v>9722</v>
      </c>
      <c r="D2061" s="15" t="s">
        <v>1466</v>
      </c>
      <c r="E2061" s="9" t="s">
        <v>751</v>
      </c>
      <c r="F2061" s="9" t="s">
        <v>788</v>
      </c>
      <c r="G2061" s="9" t="s">
        <v>1377</v>
      </c>
      <c r="H2061" s="2" t="s">
        <v>60</v>
      </c>
      <c r="I2061" s="3">
        <v>36493</v>
      </c>
      <c r="J2061" s="9" t="str">
        <f t="shared" ca="1" si="34"/>
        <v>23 ans</v>
      </c>
      <c r="K2061" s="2" t="s">
        <v>123</v>
      </c>
      <c r="L2061" s="2" t="str">
        <f>"403"</f>
        <v>403</v>
      </c>
      <c r="M2061" s="2"/>
      <c r="N2061" s="2" t="str">
        <f>"RUE DE LA BERGE"</f>
        <v>RUE DE LA BERGE</v>
      </c>
      <c r="O2061" s="2" t="s">
        <v>9533</v>
      </c>
      <c r="P2061" s="9" t="str">
        <f>VLOOKUP($O2061,'Liste des Villes'!$B$2:$B$1128,1,FALSE)</f>
        <v>Sainte-Sophie</v>
      </c>
      <c r="Q2061" s="9" t="str">
        <f>IFERROR($P2061,PROPER(VLOOKUP($O2061,'Villes en erreur'!$A$2:$B$72,2,FALSE)))</f>
        <v>Sainte-Sophie</v>
      </c>
      <c r="R2061" s="9" t="s">
        <v>9534</v>
      </c>
      <c r="S2061" s="9" t="str">
        <f>IF(ISBLANK($R2061),"",VLOOKUP($R2061,'Liste des Villes'!$B$2:$H$1128,4,FALSE))</f>
        <v>Laurentides</v>
      </c>
      <c r="T2061" s="2" t="s">
        <v>9723</v>
      </c>
      <c r="U2061" s="2" t="s">
        <v>39</v>
      </c>
      <c r="V2061" s="2" t="s">
        <v>40</v>
      </c>
      <c r="W2061" s="2" t="s">
        <v>9724</v>
      </c>
      <c r="X2061" s="2"/>
      <c r="Y2061" s="2"/>
      <c r="Z2061" s="2"/>
      <c r="AA2061" s="2" t="s">
        <v>9187</v>
      </c>
      <c r="AB2061" s="2" t="s">
        <v>73</v>
      </c>
      <c r="AC2061" s="4" t="s">
        <v>44</v>
      </c>
    </row>
    <row r="2062" spans="1:29" x14ac:dyDescent="0.25">
      <c r="A2062" s="1">
        <v>2045</v>
      </c>
      <c r="B2062" s="17" t="s">
        <v>9725</v>
      </c>
      <c r="C2062" s="2" t="s">
        <v>7545</v>
      </c>
      <c r="D2062" s="15" t="s">
        <v>726</v>
      </c>
      <c r="E2062" s="9" t="s">
        <v>7546</v>
      </c>
      <c r="F2062" s="9" t="s">
        <v>725</v>
      </c>
      <c r="G2062" s="9" t="s">
        <v>137</v>
      </c>
      <c r="H2062" s="2" t="s">
        <v>60</v>
      </c>
      <c r="I2062" s="3">
        <v>36553</v>
      </c>
      <c r="J2062" s="9" t="str">
        <f t="shared" ca="1" si="34"/>
        <v>23 ans</v>
      </c>
      <c r="K2062" s="2" t="s">
        <v>68</v>
      </c>
      <c r="L2062" s="2" t="str">
        <f>"445"</f>
        <v>445</v>
      </c>
      <c r="M2062" s="2"/>
      <c r="N2062" s="2" t="str">
        <f>"RUE DE LA PASSION"</f>
        <v>RUE DE LA PASSION</v>
      </c>
      <c r="O2062" s="2" t="s">
        <v>9533</v>
      </c>
      <c r="P2062" s="9" t="str">
        <f>VLOOKUP($O2062,'Liste des Villes'!$B$2:$B$1128,1,FALSE)</f>
        <v>Sainte-Sophie</v>
      </c>
      <c r="Q2062" s="9" t="str">
        <f>IFERROR($P2062,PROPER(VLOOKUP($O2062,'Villes en erreur'!$A$2:$B$72,2,FALSE)))</f>
        <v>Sainte-Sophie</v>
      </c>
      <c r="R2062" s="9" t="s">
        <v>9534</v>
      </c>
      <c r="S2062" s="9" t="str">
        <f>IF(ISBLANK($R2062),"",VLOOKUP($R2062,'Liste des Villes'!$B$2:$H$1128,4,FALSE))</f>
        <v>Laurentides</v>
      </c>
      <c r="T2062" s="2" t="s">
        <v>9726</v>
      </c>
      <c r="U2062" s="2" t="s">
        <v>39</v>
      </c>
      <c r="V2062" s="2" t="s">
        <v>40</v>
      </c>
      <c r="W2062" s="2" t="s">
        <v>9727</v>
      </c>
      <c r="X2062" s="2"/>
      <c r="Y2062" s="2"/>
      <c r="Z2062" s="2"/>
      <c r="AA2062" s="2" t="s">
        <v>515</v>
      </c>
      <c r="AB2062" s="2" t="s">
        <v>73</v>
      </c>
      <c r="AC2062" s="4" t="s">
        <v>44</v>
      </c>
    </row>
    <row r="2063" spans="1:29" x14ac:dyDescent="0.25">
      <c r="A2063" s="1">
        <v>349</v>
      </c>
      <c r="B2063" s="17" t="s">
        <v>9728</v>
      </c>
      <c r="C2063" s="2" t="s">
        <v>9729</v>
      </c>
      <c r="D2063" s="15" t="s">
        <v>9532</v>
      </c>
      <c r="E2063" s="9" t="s">
        <v>9730</v>
      </c>
      <c r="F2063" s="9" t="s">
        <v>1508</v>
      </c>
      <c r="G2063" s="9" t="s">
        <v>622</v>
      </c>
      <c r="H2063" s="2" t="s">
        <v>60</v>
      </c>
      <c r="I2063" s="3">
        <v>36525</v>
      </c>
      <c r="J2063" s="9" t="str">
        <f t="shared" ca="1" si="34"/>
        <v>23 ans</v>
      </c>
      <c r="K2063" s="2" t="s">
        <v>123</v>
      </c>
      <c r="L2063" s="2" t="str">
        <f>"425"</f>
        <v>425</v>
      </c>
      <c r="M2063" s="2"/>
      <c r="N2063" s="2" t="str">
        <f>"RUE DE LA COMMUNE"</f>
        <v>RUE DE LA COMMUNE</v>
      </c>
      <c r="O2063" s="2" t="s">
        <v>9533</v>
      </c>
      <c r="P2063" s="9" t="str">
        <f>VLOOKUP($O2063,'Liste des Villes'!$B$2:$B$1128,1,FALSE)</f>
        <v>Sainte-Sophie</v>
      </c>
      <c r="Q2063" s="9" t="str">
        <f>IFERROR($P2063,PROPER(VLOOKUP($O2063,'Villes en erreur'!$A$2:$B$72,2,FALSE)))</f>
        <v>Sainte-Sophie</v>
      </c>
      <c r="R2063" s="9" t="s">
        <v>9534</v>
      </c>
      <c r="S2063" s="9" t="str">
        <f>IF(ISBLANK($R2063),"",VLOOKUP($R2063,'Liste des Villes'!$B$2:$H$1128,4,FALSE))</f>
        <v>Laurentides</v>
      </c>
      <c r="T2063" s="2" t="s">
        <v>9731</v>
      </c>
      <c r="U2063" s="2" t="s">
        <v>39</v>
      </c>
      <c r="V2063" s="2" t="s">
        <v>40</v>
      </c>
      <c r="W2063" s="2" t="s">
        <v>9732</v>
      </c>
      <c r="X2063" s="2"/>
      <c r="Y2063" s="2"/>
      <c r="Z2063" s="2"/>
      <c r="AA2063" s="2" t="s">
        <v>9187</v>
      </c>
      <c r="AB2063" s="2" t="s">
        <v>73</v>
      </c>
      <c r="AC2063" s="4" t="s">
        <v>44</v>
      </c>
    </row>
    <row r="2064" spans="1:29" x14ac:dyDescent="0.25">
      <c r="A2064" s="1">
        <v>4597</v>
      </c>
      <c r="B2064" s="17" t="s">
        <v>9733</v>
      </c>
      <c r="C2064" s="2" t="s">
        <v>9734</v>
      </c>
      <c r="D2064" s="15" t="s">
        <v>4081</v>
      </c>
      <c r="E2064" s="9" t="s">
        <v>9735</v>
      </c>
      <c r="F2064" s="9" t="s">
        <v>9736</v>
      </c>
      <c r="G2064" s="9" t="s">
        <v>622</v>
      </c>
      <c r="H2064" s="2" t="s">
        <v>60</v>
      </c>
      <c r="I2064" s="3">
        <v>36526</v>
      </c>
      <c r="J2064" s="9" t="str">
        <f t="shared" ca="1" si="34"/>
        <v>23 ans</v>
      </c>
      <c r="K2064" s="2" t="s">
        <v>123</v>
      </c>
      <c r="L2064" s="2" t="str">
        <f>"426"</f>
        <v>426</v>
      </c>
      <c r="M2064" s="2"/>
      <c r="N2064" s="2" t="str">
        <f>"RUE DE LA COMTESSE"</f>
        <v>RUE DE LA COMTESSE</v>
      </c>
      <c r="O2064" s="2" t="s">
        <v>9533</v>
      </c>
      <c r="P2064" s="9" t="str">
        <f>VLOOKUP($O2064,'Liste des Villes'!$B$2:$B$1128,1,FALSE)</f>
        <v>Sainte-Sophie</v>
      </c>
      <c r="Q2064" s="9" t="str">
        <f>IFERROR($P2064,PROPER(VLOOKUP($O2064,'Villes en erreur'!$A$2:$B$72,2,FALSE)))</f>
        <v>Sainte-Sophie</v>
      </c>
      <c r="R2064" s="9" t="s">
        <v>9534</v>
      </c>
      <c r="S2064" s="9" t="str">
        <f>IF(ISBLANK($R2064),"",VLOOKUP($R2064,'Liste des Villes'!$B$2:$H$1128,4,FALSE))</f>
        <v>Laurentides</v>
      </c>
      <c r="T2064" s="2" t="s">
        <v>9737</v>
      </c>
      <c r="U2064" s="2" t="s">
        <v>39</v>
      </c>
      <c r="V2064" s="2" t="s">
        <v>40</v>
      </c>
      <c r="W2064" s="2" t="s">
        <v>9738</v>
      </c>
      <c r="X2064" s="2"/>
      <c r="Y2064" s="2"/>
      <c r="Z2064" s="2"/>
      <c r="AA2064" s="2" t="s">
        <v>9187</v>
      </c>
      <c r="AB2064" s="2" t="s">
        <v>73</v>
      </c>
      <c r="AC2064" s="4" t="s">
        <v>44</v>
      </c>
    </row>
    <row r="2065" spans="1:29" x14ac:dyDescent="0.25">
      <c r="A2065" s="1">
        <v>41</v>
      </c>
      <c r="B2065" s="17" t="s">
        <v>9739</v>
      </c>
      <c r="C2065" s="2" t="s">
        <v>9740</v>
      </c>
      <c r="D2065" s="15" t="s">
        <v>4058</v>
      </c>
      <c r="E2065" s="9" t="s">
        <v>495</v>
      </c>
      <c r="F2065" s="9" t="s">
        <v>6435</v>
      </c>
      <c r="G2065" s="9" t="s">
        <v>5990</v>
      </c>
      <c r="H2065" s="2" t="s">
        <v>60</v>
      </c>
      <c r="I2065" s="3">
        <v>36509</v>
      </c>
      <c r="J2065" s="9" t="str">
        <f t="shared" ca="1" si="34"/>
        <v>23 ans</v>
      </c>
      <c r="K2065" s="2" t="s">
        <v>123</v>
      </c>
      <c r="L2065" s="2" t="str">
        <f>"413"</f>
        <v>413</v>
      </c>
      <c r="M2065" s="2"/>
      <c r="N2065" s="2" t="str">
        <f>"RUE DE LA CANARDIÈRE"</f>
        <v>RUE DE LA CANARDIÈRE</v>
      </c>
      <c r="O2065" s="2" t="s">
        <v>9533</v>
      </c>
      <c r="P2065" s="9" t="str">
        <f>VLOOKUP($O2065,'Liste des Villes'!$B$2:$B$1128,1,FALSE)</f>
        <v>Sainte-Sophie</v>
      </c>
      <c r="Q2065" s="9" t="str">
        <f>IFERROR($P2065,PROPER(VLOOKUP($O2065,'Villes en erreur'!$A$2:$B$72,2,FALSE)))</f>
        <v>Sainte-Sophie</v>
      </c>
      <c r="R2065" s="9" t="s">
        <v>9534</v>
      </c>
      <c r="S2065" s="9" t="str">
        <f>IF(ISBLANK($R2065),"",VLOOKUP($R2065,'Liste des Villes'!$B$2:$H$1128,4,FALSE))</f>
        <v>Laurentides</v>
      </c>
      <c r="T2065" s="2" t="s">
        <v>9653</v>
      </c>
      <c r="U2065" s="2" t="s">
        <v>39</v>
      </c>
      <c r="V2065" s="2" t="s">
        <v>40</v>
      </c>
      <c r="W2065" s="2" t="s">
        <v>9741</v>
      </c>
      <c r="X2065" s="2"/>
      <c r="Y2065" s="2"/>
      <c r="Z2065" s="2"/>
      <c r="AA2065" s="2" t="s">
        <v>9187</v>
      </c>
      <c r="AB2065" s="2" t="s">
        <v>73</v>
      </c>
      <c r="AC2065" s="4" t="s">
        <v>44</v>
      </c>
    </row>
    <row r="2066" spans="1:29" x14ac:dyDescent="0.25">
      <c r="A2066" s="1">
        <v>4559</v>
      </c>
      <c r="B2066" s="17" t="s">
        <v>9742</v>
      </c>
      <c r="C2066" s="2" t="s">
        <v>9743</v>
      </c>
      <c r="D2066" s="15" t="s">
        <v>2099</v>
      </c>
      <c r="E2066" s="9" t="s">
        <v>8143</v>
      </c>
      <c r="F2066" s="9" t="s">
        <v>8586</v>
      </c>
      <c r="G2066" s="9" t="s">
        <v>622</v>
      </c>
      <c r="H2066" s="2" t="s">
        <v>60</v>
      </c>
      <c r="I2066" s="3">
        <v>36522</v>
      </c>
      <c r="J2066" s="9" t="str">
        <f t="shared" ca="1" si="34"/>
        <v>23 ans</v>
      </c>
      <c r="K2066" s="2" t="s">
        <v>123</v>
      </c>
      <c r="L2066" s="2" t="str">
        <f>"421"</f>
        <v>421</v>
      </c>
      <c r="M2066" s="2"/>
      <c r="N2066" s="2" t="str">
        <f>"RUE DE LA CHARENTE"</f>
        <v>RUE DE LA CHARENTE</v>
      </c>
      <c r="O2066" s="2" t="s">
        <v>9533</v>
      </c>
      <c r="P2066" s="9" t="str">
        <f>VLOOKUP($O2066,'Liste des Villes'!$B$2:$B$1128,1,FALSE)</f>
        <v>Sainte-Sophie</v>
      </c>
      <c r="Q2066" s="9" t="str">
        <f>IFERROR($P2066,PROPER(VLOOKUP($O2066,'Villes en erreur'!$A$2:$B$72,2,FALSE)))</f>
        <v>Sainte-Sophie</v>
      </c>
      <c r="R2066" s="9" t="s">
        <v>9534</v>
      </c>
      <c r="S2066" s="9" t="str">
        <f>IF(ISBLANK($R2066),"",VLOOKUP($R2066,'Liste des Villes'!$B$2:$H$1128,4,FALSE))</f>
        <v>Laurentides</v>
      </c>
      <c r="T2066" s="2" t="s">
        <v>9628</v>
      </c>
      <c r="U2066" s="2" t="s">
        <v>39</v>
      </c>
      <c r="V2066" s="2" t="s">
        <v>40</v>
      </c>
      <c r="W2066" s="2" t="s">
        <v>9744</v>
      </c>
      <c r="X2066" s="2"/>
      <c r="Y2066" s="2"/>
      <c r="Z2066" s="2"/>
      <c r="AA2066" s="2" t="s">
        <v>9187</v>
      </c>
      <c r="AB2066" s="2" t="s">
        <v>73</v>
      </c>
      <c r="AC2066" s="4" t="s">
        <v>44</v>
      </c>
    </row>
    <row r="2067" spans="1:29" x14ac:dyDescent="0.25">
      <c r="A2067" s="1">
        <v>2666</v>
      </c>
      <c r="B2067" s="17" t="s">
        <v>9745</v>
      </c>
      <c r="C2067" s="2" t="s">
        <v>9746</v>
      </c>
      <c r="D2067" s="15" t="s">
        <v>9747</v>
      </c>
      <c r="E2067" s="9" t="s">
        <v>8833</v>
      </c>
      <c r="F2067" s="9" t="s">
        <v>56</v>
      </c>
      <c r="G2067" s="9" t="s">
        <v>9748</v>
      </c>
      <c r="H2067" s="2" t="s">
        <v>60</v>
      </c>
      <c r="I2067" s="3">
        <v>36570</v>
      </c>
      <c r="J2067" s="9" t="str">
        <f t="shared" ca="1" si="34"/>
        <v>23 ans</v>
      </c>
      <c r="K2067" s="2" t="s">
        <v>68</v>
      </c>
      <c r="L2067" s="2" t="str">
        <f>"461"</f>
        <v>461</v>
      </c>
      <c r="M2067" s="2"/>
      <c r="N2067" s="2" t="str">
        <f>"RUE DE LA QUIÉTUDE"</f>
        <v>RUE DE LA QUIÉTUDE</v>
      </c>
      <c r="O2067" s="2" t="s">
        <v>9533</v>
      </c>
      <c r="P2067" s="9" t="str">
        <f>VLOOKUP($O2067,'Liste des Villes'!$B$2:$B$1128,1,FALSE)</f>
        <v>Sainte-Sophie</v>
      </c>
      <c r="Q2067" s="9" t="str">
        <f>IFERROR($P2067,PROPER(VLOOKUP($O2067,'Villes en erreur'!$A$2:$B$72,2,FALSE)))</f>
        <v>Sainte-Sophie</v>
      </c>
      <c r="R2067" s="9" t="s">
        <v>9534</v>
      </c>
      <c r="S2067" s="9" t="str">
        <f>IF(ISBLANK($R2067),"",VLOOKUP($R2067,'Liste des Villes'!$B$2:$H$1128,4,FALSE))</f>
        <v>Laurentides</v>
      </c>
      <c r="T2067" s="2" t="s">
        <v>9749</v>
      </c>
      <c r="U2067" s="2" t="s">
        <v>39</v>
      </c>
      <c r="V2067" s="2" t="s">
        <v>40</v>
      </c>
      <c r="W2067" s="2" t="s">
        <v>9750</v>
      </c>
      <c r="X2067" s="2"/>
      <c r="Y2067" s="2"/>
      <c r="Z2067" s="2"/>
      <c r="AA2067" s="2" t="s">
        <v>515</v>
      </c>
      <c r="AB2067" s="2" t="s">
        <v>73</v>
      </c>
      <c r="AC2067" s="4" t="s">
        <v>44</v>
      </c>
    </row>
    <row r="2068" spans="1:29" x14ac:dyDescent="0.25">
      <c r="A2068" s="1">
        <v>1970</v>
      </c>
      <c r="B2068" s="17" t="s">
        <v>9751</v>
      </c>
      <c r="C2068" s="2" t="s">
        <v>9752</v>
      </c>
      <c r="D2068" s="15" t="s">
        <v>8025</v>
      </c>
      <c r="E2068" s="9" t="s">
        <v>1212</v>
      </c>
      <c r="F2068" s="9" t="s">
        <v>8024</v>
      </c>
      <c r="G2068" s="9" t="s">
        <v>9753</v>
      </c>
      <c r="H2068" s="2" t="s">
        <v>60</v>
      </c>
      <c r="I2068" s="3">
        <v>36578</v>
      </c>
      <c r="J2068" s="9" t="str">
        <f t="shared" ca="1" si="34"/>
        <v>23 ans</v>
      </c>
      <c r="K2068" s="2" t="s">
        <v>68</v>
      </c>
      <c r="L2068" s="2" t="str">
        <f>"469"</f>
        <v>469</v>
      </c>
      <c r="M2068" s="2"/>
      <c r="N2068" s="2" t="str">
        <f>"RUE DE LA RIVIÈRE"</f>
        <v>RUE DE LA RIVIÈRE</v>
      </c>
      <c r="O2068" s="2" t="s">
        <v>9533</v>
      </c>
      <c r="P2068" s="9" t="str">
        <f>VLOOKUP($O2068,'Liste des Villes'!$B$2:$B$1128,1,FALSE)</f>
        <v>Sainte-Sophie</v>
      </c>
      <c r="Q2068" s="9" t="str">
        <f>IFERROR($P2068,PROPER(VLOOKUP($O2068,'Villes en erreur'!$A$2:$B$72,2,FALSE)))</f>
        <v>Sainte-Sophie</v>
      </c>
      <c r="R2068" s="9" t="s">
        <v>9534</v>
      </c>
      <c r="S2068" s="9" t="str">
        <f>IF(ISBLANK($R2068),"",VLOOKUP($R2068,'Liste des Villes'!$B$2:$H$1128,4,FALSE))</f>
        <v>Laurentides</v>
      </c>
      <c r="T2068" s="2" t="s">
        <v>9754</v>
      </c>
      <c r="U2068" s="2" t="s">
        <v>39</v>
      </c>
      <c r="V2068" s="2" t="s">
        <v>40</v>
      </c>
      <c r="W2068" s="2" t="s">
        <v>9755</v>
      </c>
      <c r="X2068" s="2"/>
      <c r="Y2068" s="2"/>
      <c r="Z2068" s="2"/>
      <c r="AA2068" s="2" t="s">
        <v>515</v>
      </c>
      <c r="AB2068" s="2" t="s">
        <v>73</v>
      </c>
      <c r="AC2068" s="4" t="s">
        <v>44</v>
      </c>
    </row>
    <row r="2069" spans="1:29" x14ac:dyDescent="0.25">
      <c r="A2069" s="1">
        <v>1779</v>
      </c>
      <c r="B2069" s="17" t="s">
        <v>9756</v>
      </c>
      <c r="C2069" s="2" t="s">
        <v>9757</v>
      </c>
      <c r="D2069" s="15" t="s">
        <v>4932</v>
      </c>
      <c r="E2069" s="9" t="s">
        <v>3218</v>
      </c>
      <c r="F2069" s="9" t="s">
        <v>9758</v>
      </c>
      <c r="G2069" s="9" t="s">
        <v>5399</v>
      </c>
      <c r="H2069" s="2" t="s">
        <v>60</v>
      </c>
      <c r="I2069" s="3">
        <v>36508</v>
      </c>
      <c r="J2069" s="9" t="str">
        <f t="shared" ca="1" si="34"/>
        <v>23 ans</v>
      </c>
      <c r="K2069" s="2" t="s">
        <v>123</v>
      </c>
      <c r="L2069" s="2" t="str">
        <f>"411"</f>
        <v>411</v>
      </c>
      <c r="M2069" s="2"/>
      <c r="N2069" s="2" t="str">
        <f>"RUE DE LA CAMPAGNE"</f>
        <v>RUE DE LA CAMPAGNE</v>
      </c>
      <c r="O2069" s="2" t="s">
        <v>9533</v>
      </c>
      <c r="P2069" s="9" t="str">
        <f>VLOOKUP($O2069,'Liste des Villes'!$B$2:$B$1128,1,FALSE)</f>
        <v>Sainte-Sophie</v>
      </c>
      <c r="Q2069" s="9" t="str">
        <f>IFERROR($P2069,PROPER(VLOOKUP($O2069,'Villes en erreur'!$A$2:$B$72,2,FALSE)))</f>
        <v>Sainte-Sophie</v>
      </c>
      <c r="R2069" s="9" t="s">
        <v>9534</v>
      </c>
      <c r="S2069" s="9" t="str">
        <f>IF(ISBLANK($R2069),"",VLOOKUP($R2069,'Liste des Villes'!$B$2:$H$1128,4,FALSE))</f>
        <v>Laurentides</v>
      </c>
      <c r="T2069" s="2" t="s">
        <v>9759</v>
      </c>
      <c r="U2069" s="2" t="s">
        <v>39</v>
      </c>
      <c r="V2069" s="2" t="s">
        <v>40</v>
      </c>
      <c r="W2069" s="2" t="s">
        <v>9760</v>
      </c>
      <c r="X2069" s="2"/>
      <c r="Y2069" s="2"/>
      <c r="Z2069" s="2"/>
      <c r="AA2069" s="2" t="s">
        <v>9187</v>
      </c>
      <c r="AB2069" s="2" t="s">
        <v>73</v>
      </c>
      <c r="AC2069" s="4" t="s">
        <v>44</v>
      </c>
    </row>
    <row r="2070" spans="1:29" x14ac:dyDescent="0.25">
      <c r="A2070" s="1">
        <v>47</v>
      </c>
      <c r="B2070" s="17" t="s">
        <v>9761</v>
      </c>
      <c r="C2070" s="2" t="s">
        <v>9762</v>
      </c>
      <c r="D2070" s="15" t="s">
        <v>9763</v>
      </c>
      <c r="E2070" s="9" t="s">
        <v>9764</v>
      </c>
      <c r="F2070" s="9" t="s">
        <v>9765</v>
      </c>
      <c r="G2070" s="9" t="s">
        <v>8612</v>
      </c>
      <c r="H2070" s="2" t="s">
        <v>60</v>
      </c>
      <c r="I2070" s="3">
        <v>36572</v>
      </c>
      <c r="J2070" s="9" t="str">
        <f t="shared" ca="1" si="34"/>
        <v>23 ans</v>
      </c>
      <c r="K2070" s="2" t="s">
        <v>68</v>
      </c>
      <c r="L2070" s="2" t="str">
        <f>"462"</f>
        <v>462</v>
      </c>
      <c r="M2070" s="2"/>
      <c r="N2070" s="2" t="str">
        <f>"RUE DE LA RANDONNÉE"</f>
        <v>RUE DE LA RANDONNÉE</v>
      </c>
      <c r="O2070" s="2" t="s">
        <v>9533</v>
      </c>
      <c r="P2070" s="9" t="str">
        <f>VLOOKUP($O2070,'Liste des Villes'!$B$2:$B$1128,1,FALSE)</f>
        <v>Sainte-Sophie</v>
      </c>
      <c r="Q2070" s="9" t="str">
        <f>IFERROR($P2070,PROPER(VLOOKUP($O2070,'Villes en erreur'!$A$2:$B$72,2,FALSE)))</f>
        <v>Sainte-Sophie</v>
      </c>
      <c r="R2070" s="9" t="s">
        <v>9534</v>
      </c>
      <c r="S2070" s="9" t="str">
        <f>IF(ISBLANK($R2070),"",VLOOKUP($R2070,'Liste des Villes'!$B$2:$H$1128,4,FALSE))</f>
        <v>Laurentides</v>
      </c>
      <c r="T2070" s="2" t="s">
        <v>9766</v>
      </c>
      <c r="U2070" s="2" t="s">
        <v>39</v>
      </c>
      <c r="V2070" s="2" t="s">
        <v>40</v>
      </c>
      <c r="W2070" s="2" t="s">
        <v>9767</v>
      </c>
      <c r="X2070" s="2"/>
      <c r="Y2070" s="2"/>
      <c r="Z2070" s="2"/>
      <c r="AA2070" s="2" t="s">
        <v>515</v>
      </c>
      <c r="AB2070" s="2" t="s">
        <v>73</v>
      </c>
      <c r="AC2070" s="4" t="s">
        <v>44</v>
      </c>
    </row>
    <row r="2071" spans="1:29" x14ac:dyDescent="0.25">
      <c r="A2071" s="1">
        <v>3607</v>
      </c>
      <c r="B2071" s="17" t="s">
        <v>9768</v>
      </c>
      <c r="C2071" s="2" t="s">
        <v>9769</v>
      </c>
      <c r="D2071" s="15" t="s">
        <v>2099</v>
      </c>
      <c r="E2071" s="9" t="s">
        <v>7762</v>
      </c>
      <c r="F2071" s="9" t="s">
        <v>9770</v>
      </c>
      <c r="G2071" s="9" t="s">
        <v>622</v>
      </c>
      <c r="H2071" s="2" t="s">
        <v>60</v>
      </c>
      <c r="I2071" s="3">
        <v>36528</v>
      </c>
      <c r="J2071" s="9" t="str">
        <f t="shared" ca="1" si="34"/>
        <v>23 ans</v>
      </c>
      <c r="K2071" s="2" t="s">
        <v>123</v>
      </c>
      <c r="L2071" s="2" t="str">
        <f>"426"</f>
        <v>426</v>
      </c>
      <c r="M2071" s="2"/>
      <c r="N2071" s="2" t="str">
        <f>"RUE DE LA CONCORDE"</f>
        <v>RUE DE LA CONCORDE</v>
      </c>
      <c r="O2071" s="2" t="s">
        <v>9533</v>
      </c>
      <c r="P2071" s="9" t="str">
        <f>VLOOKUP($O2071,'Liste des Villes'!$B$2:$B$1128,1,FALSE)</f>
        <v>Sainte-Sophie</v>
      </c>
      <c r="Q2071" s="9" t="str">
        <f>IFERROR($P2071,PROPER(VLOOKUP($O2071,'Villes en erreur'!$A$2:$B$72,2,FALSE)))</f>
        <v>Sainte-Sophie</v>
      </c>
      <c r="R2071" s="9" t="s">
        <v>9534</v>
      </c>
      <c r="S2071" s="9" t="str">
        <f>IF(ISBLANK($R2071),"",VLOOKUP($R2071,'Liste des Villes'!$B$2:$H$1128,4,FALSE))</f>
        <v>Laurentides</v>
      </c>
      <c r="T2071" s="2" t="s">
        <v>9771</v>
      </c>
      <c r="U2071" s="2" t="s">
        <v>39</v>
      </c>
      <c r="V2071" s="2" t="s">
        <v>40</v>
      </c>
      <c r="W2071" s="2" t="s">
        <v>9772</v>
      </c>
      <c r="X2071" s="2"/>
      <c r="Y2071" s="2"/>
      <c r="Z2071" s="2"/>
      <c r="AA2071" s="2" t="s">
        <v>9187</v>
      </c>
      <c r="AB2071" s="2" t="s">
        <v>73</v>
      </c>
      <c r="AC2071" s="4" t="s">
        <v>44</v>
      </c>
    </row>
    <row r="2072" spans="1:29" x14ac:dyDescent="0.25">
      <c r="A2072" s="1">
        <v>863</v>
      </c>
      <c r="B2072" s="17" t="s">
        <v>9773</v>
      </c>
      <c r="C2072" s="2" t="s">
        <v>9774</v>
      </c>
      <c r="D2072" s="15" t="s">
        <v>460</v>
      </c>
      <c r="E2072" s="9" t="s">
        <v>4383</v>
      </c>
      <c r="F2072" s="9" t="s">
        <v>462</v>
      </c>
      <c r="G2072" s="9" t="s">
        <v>683</v>
      </c>
      <c r="H2072" s="2" t="s">
        <v>60</v>
      </c>
      <c r="I2072" s="3">
        <v>36544</v>
      </c>
      <c r="J2072" s="9" t="str">
        <f t="shared" ca="1" si="34"/>
        <v>23 ans</v>
      </c>
      <c r="K2072" s="2" t="s">
        <v>68</v>
      </c>
      <c r="L2072" s="2" t="str">
        <f>"440"</f>
        <v>440</v>
      </c>
      <c r="M2072" s="2"/>
      <c r="N2072" s="2" t="str">
        <f>"RUE DE LA MAIRIE"</f>
        <v>RUE DE LA MAIRIE</v>
      </c>
      <c r="O2072" s="2" t="s">
        <v>9533</v>
      </c>
      <c r="P2072" s="9" t="str">
        <f>VLOOKUP($O2072,'Liste des Villes'!$B$2:$B$1128,1,FALSE)</f>
        <v>Sainte-Sophie</v>
      </c>
      <c r="Q2072" s="9" t="str">
        <f>IFERROR($P2072,PROPER(VLOOKUP($O2072,'Villes en erreur'!$A$2:$B$72,2,FALSE)))</f>
        <v>Sainte-Sophie</v>
      </c>
      <c r="R2072" s="9" t="s">
        <v>9534</v>
      </c>
      <c r="S2072" s="9" t="str">
        <f>IF(ISBLANK($R2072),"",VLOOKUP($R2072,'Liste des Villes'!$B$2:$H$1128,4,FALSE))</f>
        <v>Laurentides</v>
      </c>
      <c r="T2072" s="2" t="s">
        <v>9775</v>
      </c>
      <c r="U2072" s="2" t="s">
        <v>39</v>
      </c>
      <c r="V2072" s="2" t="s">
        <v>40</v>
      </c>
      <c r="W2072" s="2" t="s">
        <v>9776</v>
      </c>
      <c r="X2072" s="2"/>
      <c r="Y2072" s="2"/>
      <c r="Z2072" s="2"/>
      <c r="AA2072" s="2" t="s">
        <v>515</v>
      </c>
      <c r="AB2072" s="2" t="s">
        <v>73</v>
      </c>
      <c r="AC2072" s="4" t="s">
        <v>44</v>
      </c>
    </row>
    <row r="2073" spans="1:29" x14ac:dyDescent="0.25">
      <c r="A2073" s="1">
        <v>416</v>
      </c>
      <c r="B2073" s="17" t="s">
        <v>9777</v>
      </c>
      <c r="C2073" s="2" t="s">
        <v>9778</v>
      </c>
      <c r="D2073" s="15" t="s">
        <v>9779</v>
      </c>
      <c r="E2073" s="9" t="s">
        <v>3143</v>
      </c>
      <c r="F2073" s="9" t="s">
        <v>4479</v>
      </c>
      <c r="G2073" s="9" t="s">
        <v>137</v>
      </c>
      <c r="H2073" s="2" t="s">
        <v>60</v>
      </c>
      <c r="I2073" s="3">
        <v>36565</v>
      </c>
      <c r="J2073" s="9" t="str">
        <f t="shared" ca="1" si="34"/>
        <v>23 ans</v>
      </c>
      <c r="K2073" s="2" t="s">
        <v>68</v>
      </c>
      <c r="L2073" s="2" t="str">
        <f>"455"</f>
        <v>455</v>
      </c>
      <c r="M2073" s="2"/>
      <c r="N2073" s="2" t="str">
        <f>"RUE DE LA PLANTATION"</f>
        <v>RUE DE LA PLANTATION</v>
      </c>
      <c r="O2073" s="2" t="s">
        <v>9533</v>
      </c>
      <c r="P2073" s="9" t="str">
        <f>VLOOKUP($O2073,'Liste des Villes'!$B$2:$B$1128,1,FALSE)</f>
        <v>Sainte-Sophie</v>
      </c>
      <c r="Q2073" s="9" t="str">
        <f>IFERROR($P2073,PROPER(VLOOKUP($O2073,'Villes en erreur'!$A$2:$B$72,2,FALSE)))</f>
        <v>Sainte-Sophie</v>
      </c>
      <c r="R2073" s="9" t="s">
        <v>9534</v>
      </c>
      <c r="S2073" s="9" t="str">
        <f>IF(ISBLANK($R2073),"",VLOOKUP($R2073,'Liste des Villes'!$B$2:$H$1128,4,FALSE))</f>
        <v>Laurentides</v>
      </c>
      <c r="T2073" s="2" t="s">
        <v>9780</v>
      </c>
      <c r="U2073" s="2" t="s">
        <v>39</v>
      </c>
      <c r="V2073" s="2" t="s">
        <v>40</v>
      </c>
      <c r="W2073" s="2" t="s">
        <v>9781</v>
      </c>
      <c r="X2073" s="2"/>
      <c r="Y2073" s="2"/>
      <c r="Z2073" s="2"/>
      <c r="AA2073" s="2" t="s">
        <v>515</v>
      </c>
      <c r="AB2073" s="2" t="s">
        <v>73</v>
      </c>
      <c r="AC2073" s="4" t="s">
        <v>44</v>
      </c>
    </row>
    <row r="2074" spans="1:29" x14ac:dyDescent="0.25">
      <c r="A2074" s="1">
        <v>2395</v>
      </c>
      <c r="B2074" s="17" t="s">
        <v>9782</v>
      </c>
      <c r="C2074" s="2" t="s">
        <v>9783</v>
      </c>
      <c r="D2074" s="15" t="s">
        <v>9784</v>
      </c>
      <c r="E2074" s="9" t="s">
        <v>370</v>
      </c>
      <c r="F2074" s="9" t="s">
        <v>2316</v>
      </c>
      <c r="G2074" s="9" t="s">
        <v>989</v>
      </c>
      <c r="H2074" s="2" t="s">
        <v>60</v>
      </c>
      <c r="I2074" s="3">
        <v>36510</v>
      </c>
      <c r="J2074" s="9" t="str">
        <f t="shared" ca="1" si="34"/>
        <v>23 ans</v>
      </c>
      <c r="K2074" s="2" t="s">
        <v>123</v>
      </c>
      <c r="L2074" s="2" t="str">
        <f>"415"</f>
        <v>415</v>
      </c>
      <c r="M2074" s="2"/>
      <c r="N2074" s="2" t="str">
        <f>"RUE DE LA CÉDRIÈRE"</f>
        <v>RUE DE LA CÉDRIÈRE</v>
      </c>
      <c r="O2074" s="2" t="s">
        <v>9533</v>
      </c>
      <c r="P2074" s="9" t="str">
        <f>VLOOKUP($O2074,'Liste des Villes'!$B$2:$B$1128,1,FALSE)</f>
        <v>Sainte-Sophie</v>
      </c>
      <c r="Q2074" s="9" t="str">
        <f>IFERROR($P2074,PROPER(VLOOKUP($O2074,'Villes en erreur'!$A$2:$B$72,2,FALSE)))</f>
        <v>Sainte-Sophie</v>
      </c>
      <c r="R2074" s="9" t="s">
        <v>9534</v>
      </c>
      <c r="S2074" s="9" t="str">
        <f>IF(ISBLANK($R2074),"",VLOOKUP($R2074,'Liste des Villes'!$B$2:$H$1128,4,FALSE))</f>
        <v>Laurentides</v>
      </c>
      <c r="T2074" s="2" t="s">
        <v>9785</v>
      </c>
      <c r="U2074" s="2" t="s">
        <v>39</v>
      </c>
      <c r="V2074" s="2" t="s">
        <v>40</v>
      </c>
      <c r="W2074" s="2" t="s">
        <v>9786</v>
      </c>
      <c r="X2074" s="2"/>
      <c r="Y2074" s="2"/>
      <c r="Z2074" s="2"/>
      <c r="AA2074" s="2" t="s">
        <v>9187</v>
      </c>
      <c r="AB2074" s="2" t="s">
        <v>73</v>
      </c>
      <c r="AC2074" s="4" t="s">
        <v>44</v>
      </c>
    </row>
    <row r="2075" spans="1:29" x14ac:dyDescent="0.25">
      <c r="A2075" s="1">
        <v>2795</v>
      </c>
      <c r="B2075" s="17" t="s">
        <v>9787</v>
      </c>
      <c r="C2075" s="2" t="s">
        <v>9788</v>
      </c>
      <c r="D2075" s="15" t="s">
        <v>3892</v>
      </c>
      <c r="E2075" s="9" t="s">
        <v>9789</v>
      </c>
      <c r="F2075" s="9" t="s">
        <v>3788</v>
      </c>
      <c r="G2075" s="9" t="s">
        <v>9790</v>
      </c>
      <c r="H2075" s="2" t="s">
        <v>60</v>
      </c>
      <c r="I2075" s="3">
        <v>36481</v>
      </c>
      <c r="J2075" s="9" t="str">
        <f t="shared" ca="1" si="34"/>
        <v>23 ans</v>
      </c>
      <c r="K2075" s="2" t="s">
        <v>123</v>
      </c>
      <c r="L2075" s="2" t="str">
        <f>"393"</f>
        <v>393</v>
      </c>
      <c r="M2075" s="2"/>
      <c r="N2075" s="2" t="str">
        <f>"RUE DE DIJON"</f>
        <v>RUE DE DIJON</v>
      </c>
      <c r="O2075" s="2" t="s">
        <v>9533</v>
      </c>
      <c r="P2075" s="9" t="str">
        <f>VLOOKUP($O2075,'Liste des Villes'!$B$2:$B$1128,1,FALSE)</f>
        <v>Sainte-Sophie</v>
      </c>
      <c r="Q2075" s="9" t="str">
        <f>IFERROR($P2075,PROPER(VLOOKUP($O2075,'Villes en erreur'!$A$2:$B$72,2,FALSE)))</f>
        <v>Sainte-Sophie</v>
      </c>
      <c r="R2075" s="9" t="s">
        <v>9534</v>
      </c>
      <c r="S2075" s="9" t="str">
        <f>IF(ISBLANK($R2075),"",VLOOKUP($R2075,'Liste des Villes'!$B$2:$H$1128,4,FALSE))</f>
        <v>Laurentides</v>
      </c>
      <c r="T2075" s="2" t="s">
        <v>9791</v>
      </c>
      <c r="U2075" s="2" t="s">
        <v>39</v>
      </c>
      <c r="V2075" s="2" t="s">
        <v>40</v>
      </c>
      <c r="W2075" s="2" t="s">
        <v>9792</v>
      </c>
      <c r="X2075" s="2"/>
      <c r="Y2075" s="2"/>
      <c r="Z2075" s="2"/>
      <c r="AA2075" s="2" t="s">
        <v>9187</v>
      </c>
      <c r="AB2075" s="2" t="s">
        <v>73</v>
      </c>
      <c r="AC2075" s="4" t="s">
        <v>44</v>
      </c>
    </row>
    <row r="2076" spans="1:29" x14ac:dyDescent="0.25">
      <c r="A2076" s="1">
        <v>1630</v>
      </c>
      <c r="B2076" s="17" t="s">
        <v>9793</v>
      </c>
      <c r="C2076" s="2" t="s">
        <v>994</v>
      </c>
      <c r="D2076" s="15" t="s">
        <v>995</v>
      </c>
      <c r="E2076" s="9" t="s">
        <v>996</v>
      </c>
      <c r="F2076" s="9" t="s">
        <v>9794</v>
      </c>
      <c r="G2076" s="9" t="s">
        <v>1377</v>
      </c>
      <c r="H2076" s="2" t="s">
        <v>60</v>
      </c>
      <c r="I2076" s="3">
        <v>36489</v>
      </c>
      <c r="J2076" s="9" t="str">
        <f t="shared" ca="1" si="34"/>
        <v>23 ans</v>
      </c>
      <c r="K2076" s="2" t="s">
        <v>123</v>
      </c>
      <c r="L2076" s="2" t="str">
        <f>"400"</f>
        <v>400</v>
      </c>
      <c r="M2076" s="2"/>
      <c r="N2076" s="2" t="str">
        <f>"RUE DE L' ÉMÉRILLON"</f>
        <v>RUE DE L' ÉMÉRILLON</v>
      </c>
      <c r="O2076" s="2" t="s">
        <v>9533</v>
      </c>
      <c r="P2076" s="9" t="str">
        <f>VLOOKUP($O2076,'Liste des Villes'!$B$2:$B$1128,1,FALSE)</f>
        <v>Sainte-Sophie</v>
      </c>
      <c r="Q2076" s="9" t="str">
        <f>IFERROR($P2076,PROPER(VLOOKUP($O2076,'Villes en erreur'!$A$2:$B$72,2,FALSE)))</f>
        <v>Sainte-Sophie</v>
      </c>
      <c r="R2076" s="9" t="s">
        <v>9534</v>
      </c>
      <c r="S2076" s="9" t="str">
        <f>IF(ISBLANK($R2076),"",VLOOKUP($R2076,'Liste des Villes'!$B$2:$H$1128,4,FALSE))</f>
        <v>Laurentides</v>
      </c>
      <c r="T2076" s="2" t="s">
        <v>9795</v>
      </c>
      <c r="U2076" s="2" t="s">
        <v>39</v>
      </c>
      <c r="V2076" s="2" t="s">
        <v>40</v>
      </c>
      <c r="W2076" s="2" t="s">
        <v>9796</v>
      </c>
      <c r="X2076" s="2"/>
      <c r="Y2076" s="2"/>
      <c r="Z2076" s="2"/>
      <c r="AA2076" s="2" t="s">
        <v>9187</v>
      </c>
      <c r="AB2076" s="2" t="s">
        <v>73</v>
      </c>
      <c r="AC2076" s="4" t="s">
        <v>44</v>
      </c>
    </row>
    <row r="2077" spans="1:29" x14ac:dyDescent="0.25">
      <c r="A2077" s="1">
        <v>3063</v>
      </c>
      <c r="B2077" s="17" t="s">
        <v>9797</v>
      </c>
      <c r="C2077" s="2" t="s">
        <v>2286</v>
      </c>
      <c r="D2077" s="15" t="s">
        <v>1951</v>
      </c>
      <c r="E2077" s="9" t="s">
        <v>186</v>
      </c>
      <c r="F2077" s="9" t="s">
        <v>8877</v>
      </c>
      <c r="G2077" s="9" t="s">
        <v>137</v>
      </c>
      <c r="H2077" s="2" t="s">
        <v>60</v>
      </c>
      <c r="I2077" s="3">
        <v>36567</v>
      </c>
      <c r="J2077" s="9" t="str">
        <f t="shared" ca="1" si="34"/>
        <v>23 ans</v>
      </c>
      <c r="K2077" s="2" t="s">
        <v>68</v>
      </c>
      <c r="L2077" s="2" t="str">
        <f>"461"</f>
        <v>461</v>
      </c>
      <c r="M2077" s="2"/>
      <c r="N2077" s="2" t="str">
        <f>"RUE DE LA PROVIDENCE"</f>
        <v>RUE DE LA PROVIDENCE</v>
      </c>
      <c r="O2077" s="2" t="s">
        <v>9534</v>
      </c>
      <c r="P2077" s="9" t="str">
        <f>VLOOKUP($O2077,'Liste des Villes'!$B$2:$B$1128,1,FALSE)</f>
        <v>Sainte-Sophie</v>
      </c>
      <c r="Q2077" s="9" t="str">
        <f>IFERROR($P2077,PROPER(VLOOKUP($O2077,'Villes en erreur'!$A$2:$B$72,2,FALSE)))</f>
        <v>Sainte-Sophie</v>
      </c>
      <c r="R2077" s="9" t="s">
        <v>9534</v>
      </c>
      <c r="S2077" s="9" t="str">
        <f>IF(ISBLANK($R2077),"",VLOOKUP($R2077,'Liste des Villes'!$B$2:$H$1128,4,FALSE))</f>
        <v>Laurentides</v>
      </c>
      <c r="T2077" s="2" t="s">
        <v>9798</v>
      </c>
      <c r="U2077" s="2" t="s">
        <v>39</v>
      </c>
      <c r="V2077" s="2" t="s">
        <v>40</v>
      </c>
      <c r="W2077" s="2" t="s">
        <v>9799</v>
      </c>
      <c r="X2077" s="2"/>
      <c r="Y2077" s="2"/>
      <c r="Z2077" s="2"/>
      <c r="AA2077" s="2" t="s">
        <v>515</v>
      </c>
      <c r="AB2077" s="2" t="s">
        <v>73</v>
      </c>
      <c r="AC2077" s="4" t="s">
        <v>44</v>
      </c>
    </row>
    <row r="2078" spans="1:29" x14ac:dyDescent="0.25">
      <c r="A2078" s="1">
        <v>1965</v>
      </c>
      <c r="B2078" s="17" t="s">
        <v>9800</v>
      </c>
      <c r="C2078" s="2" t="s">
        <v>9801</v>
      </c>
      <c r="D2078" s="15" t="s">
        <v>7899</v>
      </c>
      <c r="E2078" s="9" t="s">
        <v>1086</v>
      </c>
      <c r="F2078" s="9" t="s">
        <v>100</v>
      </c>
      <c r="G2078" s="9" t="s">
        <v>4831</v>
      </c>
      <c r="H2078" s="2" t="s">
        <v>60</v>
      </c>
      <c r="I2078" s="3">
        <v>36571</v>
      </c>
      <c r="J2078" s="9" t="str">
        <f t="shared" ca="1" si="34"/>
        <v>23 ans</v>
      </c>
      <c r="K2078" s="2" t="s">
        <v>68</v>
      </c>
      <c r="L2078" s="2" t="str">
        <f>"461"</f>
        <v>461</v>
      </c>
      <c r="M2078" s="2"/>
      <c r="N2078" s="2" t="str">
        <f>"RUE DE LA RAFALE"</f>
        <v>RUE DE LA RAFALE</v>
      </c>
      <c r="O2078" s="2" t="s">
        <v>9533</v>
      </c>
      <c r="P2078" s="9" t="str">
        <f>VLOOKUP($O2078,'Liste des Villes'!$B$2:$B$1128,1,FALSE)</f>
        <v>Sainte-Sophie</v>
      </c>
      <c r="Q2078" s="9" t="str">
        <f>IFERROR($P2078,PROPER(VLOOKUP($O2078,'Villes en erreur'!$A$2:$B$72,2,FALSE)))</f>
        <v>Sainte-Sophie</v>
      </c>
      <c r="R2078" s="9" t="s">
        <v>9534</v>
      </c>
      <c r="S2078" s="9" t="str">
        <f>IF(ISBLANK($R2078),"",VLOOKUP($R2078,'Liste des Villes'!$B$2:$H$1128,4,FALSE))</f>
        <v>Laurentides</v>
      </c>
      <c r="T2078" s="2" t="s">
        <v>9749</v>
      </c>
      <c r="U2078" s="2" t="s">
        <v>39</v>
      </c>
      <c r="V2078" s="2" t="s">
        <v>40</v>
      </c>
      <c r="W2078" s="2" t="s">
        <v>9802</v>
      </c>
      <c r="X2078" s="2"/>
      <c r="Y2078" s="2"/>
      <c r="Z2078" s="2"/>
      <c r="AA2078" s="2" t="s">
        <v>515</v>
      </c>
      <c r="AB2078" s="2" t="s">
        <v>73</v>
      </c>
      <c r="AC2078" s="4" t="s">
        <v>44</v>
      </c>
    </row>
    <row r="2079" spans="1:29" x14ac:dyDescent="0.25">
      <c r="A2079" s="1">
        <v>1912</v>
      </c>
      <c r="B2079" s="17" t="s">
        <v>9803</v>
      </c>
      <c r="C2079" s="2" t="s">
        <v>9804</v>
      </c>
      <c r="D2079" s="15" t="s">
        <v>4643</v>
      </c>
      <c r="E2079" s="9" t="s">
        <v>9805</v>
      </c>
      <c r="F2079" s="9" t="s">
        <v>7502</v>
      </c>
      <c r="G2079" s="9" t="s">
        <v>622</v>
      </c>
      <c r="H2079" s="2" t="s">
        <v>60</v>
      </c>
      <c r="I2079" s="3">
        <v>36524</v>
      </c>
      <c r="J2079" s="9" t="str">
        <f t="shared" ca="1" si="34"/>
        <v>23 ans</v>
      </c>
      <c r="K2079" s="2" t="s">
        <v>123</v>
      </c>
      <c r="L2079" s="2" t="str">
        <f>"423"</f>
        <v>423</v>
      </c>
      <c r="M2079" s="2"/>
      <c r="N2079" s="2" t="str">
        <f>"RUE DE LA CITÉ-DES-PINS"</f>
        <v>RUE DE LA CITÉ-DES-PINS</v>
      </c>
      <c r="O2079" s="2" t="s">
        <v>9533</v>
      </c>
      <c r="P2079" s="9" t="str">
        <f>VLOOKUP($O2079,'Liste des Villes'!$B$2:$B$1128,1,FALSE)</f>
        <v>Sainte-Sophie</v>
      </c>
      <c r="Q2079" s="9" t="str">
        <f>IFERROR($P2079,PROPER(VLOOKUP($O2079,'Villes en erreur'!$A$2:$B$72,2,FALSE)))</f>
        <v>Sainte-Sophie</v>
      </c>
      <c r="R2079" s="9" t="s">
        <v>9534</v>
      </c>
      <c r="S2079" s="9" t="str">
        <f>IF(ISBLANK($R2079),"",VLOOKUP($R2079,'Liste des Villes'!$B$2:$H$1128,4,FALSE))</f>
        <v>Laurentides</v>
      </c>
      <c r="T2079" s="2" t="s">
        <v>9806</v>
      </c>
      <c r="U2079" s="2" t="s">
        <v>39</v>
      </c>
      <c r="V2079" s="2" t="s">
        <v>40</v>
      </c>
      <c r="W2079" s="2" t="s">
        <v>9807</v>
      </c>
      <c r="X2079" s="2"/>
      <c r="Y2079" s="2"/>
      <c r="Z2079" s="2"/>
      <c r="AA2079" s="2" t="s">
        <v>9187</v>
      </c>
      <c r="AB2079" s="2" t="s">
        <v>73</v>
      </c>
      <c r="AC2079" s="4" t="s">
        <v>44</v>
      </c>
    </row>
    <row r="2080" spans="1:29" x14ac:dyDescent="0.25">
      <c r="A2080" s="1">
        <v>567</v>
      </c>
      <c r="B2080" s="17" t="s">
        <v>9808</v>
      </c>
      <c r="C2080" s="2" t="s">
        <v>9809</v>
      </c>
      <c r="D2080" s="15" t="s">
        <v>2170</v>
      </c>
      <c r="E2080" s="9" t="s">
        <v>796</v>
      </c>
      <c r="F2080" s="9" t="s">
        <v>1349</v>
      </c>
      <c r="G2080" s="9" t="s">
        <v>8039</v>
      </c>
      <c r="H2080" s="2" t="s">
        <v>60</v>
      </c>
      <c r="I2080" s="3">
        <v>36484</v>
      </c>
      <c r="J2080" s="9" t="str">
        <f t="shared" ca="1" si="34"/>
        <v>23 ans</v>
      </c>
      <c r="K2080" s="2" t="s">
        <v>123</v>
      </c>
      <c r="L2080" s="2" t="str">
        <f>"396"</f>
        <v>396</v>
      </c>
      <c r="M2080" s="2"/>
      <c r="N2080" s="2" t="str">
        <f>"RUE DE GRENOBLE"</f>
        <v>RUE DE GRENOBLE</v>
      </c>
      <c r="O2080" s="2" t="s">
        <v>9533</v>
      </c>
      <c r="P2080" s="9" t="str">
        <f>VLOOKUP($O2080,'Liste des Villes'!$B$2:$B$1128,1,FALSE)</f>
        <v>Sainte-Sophie</v>
      </c>
      <c r="Q2080" s="9" t="str">
        <f>IFERROR($P2080,PROPER(VLOOKUP($O2080,'Villes en erreur'!$A$2:$B$72,2,FALSE)))</f>
        <v>Sainte-Sophie</v>
      </c>
      <c r="R2080" s="9" t="s">
        <v>9534</v>
      </c>
      <c r="S2080" s="9" t="str">
        <f>IF(ISBLANK($R2080),"",VLOOKUP($R2080,'Liste des Villes'!$B$2:$H$1128,4,FALSE))</f>
        <v>Laurentides</v>
      </c>
      <c r="T2080" s="2" t="s">
        <v>9810</v>
      </c>
      <c r="U2080" s="2" t="s">
        <v>39</v>
      </c>
      <c r="V2080" s="2" t="s">
        <v>40</v>
      </c>
      <c r="W2080" s="2" t="s">
        <v>9811</v>
      </c>
      <c r="X2080" s="2"/>
      <c r="Y2080" s="2"/>
      <c r="Z2080" s="2"/>
      <c r="AA2080" s="2" t="s">
        <v>9187</v>
      </c>
      <c r="AB2080" s="2" t="s">
        <v>73</v>
      </c>
      <c r="AC2080" s="4" t="s">
        <v>44</v>
      </c>
    </row>
    <row r="2081" spans="1:29" x14ac:dyDescent="0.25">
      <c r="A2081" s="1">
        <v>4277</v>
      </c>
      <c r="B2081" s="17" t="s">
        <v>9812</v>
      </c>
      <c r="C2081" s="2" t="s">
        <v>9813</v>
      </c>
      <c r="D2081" s="15" t="s">
        <v>4087</v>
      </c>
      <c r="E2081" s="9" t="s">
        <v>9360</v>
      </c>
      <c r="F2081" s="9" t="s">
        <v>4538</v>
      </c>
      <c r="G2081" s="9" t="s">
        <v>8075</v>
      </c>
      <c r="H2081" s="2" t="s">
        <v>60</v>
      </c>
      <c r="I2081" s="3">
        <v>36487</v>
      </c>
      <c r="J2081" s="9" t="str">
        <f t="shared" ca="1" si="34"/>
        <v>23 ans</v>
      </c>
      <c r="K2081" s="2" t="s">
        <v>123</v>
      </c>
      <c r="L2081" s="2" t="str">
        <f>"400"</f>
        <v>400</v>
      </c>
      <c r="M2081" s="2"/>
      <c r="N2081" s="2" t="str">
        <f>"RUE DE JOLIETTE"</f>
        <v>RUE DE JOLIETTE</v>
      </c>
      <c r="O2081" s="2" t="s">
        <v>9533</v>
      </c>
      <c r="P2081" s="9" t="str">
        <f>VLOOKUP($O2081,'Liste des Villes'!$B$2:$B$1128,1,FALSE)</f>
        <v>Sainte-Sophie</v>
      </c>
      <c r="Q2081" s="9" t="str">
        <f>IFERROR($P2081,PROPER(VLOOKUP($O2081,'Villes en erreur'!$A$2:$B$72,2,FALSE)))</f>
        <v>Sainte-Sophie</v>
      </c>
      <c r="R2081" s="9" t="s">
        <v>9534</v>
      </c>
      <c r="S2081" s="9" t="str">
        <f>IF(ISBLANK($R2081),"",VLOOKUP($R2081,'Liste des Villes'!$B$2:$H$1128,4,FALSE))</f>
        <v>Laurentides</v>
      </c>
      <c r="T2081" s="2" t="s">
        <v>9814</v>
      </c>
      <c r="U2081" s="2" t="s">
        <v>39</v>
      </c>
      <c r="V2081" s="2" t="s">
        <v>40</v>
      </c>
      <c r="W2081" s="2" t="s">
        <v>9815</v>
      </c>
      <c r="X2081" s="2"/>
      <c r="Y2081" s="2"/>
      <c r="Z2081" s="2"/>
      <c r="AA2081" s="2" t="s">
        <v>9187</v>
      </c>
      <c r="AB2081" s="2" t="s">
        <v>73</v>
      </c>
      <c r="AC2081" s="4" t="s">
        <v>44</v>
      </c>
    </row>
    <row r="2082" spans="1:29" x14ac:dyDescent="0.25">
      <c r="A2082" s="1">
        <v>3605</v>
      </c>
      <c r="B2082" s="17" t="s">
        <v>9816</v>
      </c>
      <c r="C2082" s="2" t="s">
        <v>5997</v>
      </c>
      <c r="D2082" s="15" t="s">
        <v>5998</v>
      </c>
      <c r="E2082" s="9" t="s">
        <v>970</v>
      </c>
      <c r="F2082" s="9" t="s">
        <v>5999</v>
      </c>
      <c r="G2082" s="9" t="s">
        <v>622</v>
      </c>
      <c r="H2082" s="2" t="s">
        <v>60</v>
      </c>
      <c r="I2082" s="3">
        <v>36537</v>
      </c>
      <c r="J2082" s="9" t="str">
        <f t="shared" ca="1" si="34"/>
        <v>23 ans</v>
      </c>
      <c r="K2082" s="2" t="s">
        <v>68</v>
      </c>
      <c r="L2082" s="2" t="str">
        <f>"434"</f>
        <v>434</v>
      </c>
      <c r="M2082" s="2"/>
      <c r="N2082" s="2" t="str">
        <f>"RUE DE LA FILEUSE"</f>
        <v>RUE DE LA FILEUSE</v>
      </c>
      <c r="O2082" s="2" t="s">
        <v>9533</v>
      </c>
      <c r="P2082" s="9" t="str">
        <f>VLOOKUP($O2082,'Liste des Villes'!$B$2:$B$1128,1,FALSE)</f>
        <v>Sainte-Sophie</v>
      </c>
      <c r="Q2082" s="9" t="str">
        <f>IFERROR($P2082,PROPER(VLOOKUP($O2082,'Villes en erreur'!$A$2:$B$72,2,FALSE)))</f>
        <v>Sainte-Sophie</v>
      </c>
      <c r="R2082" s="9" t="s">
        <v>9534</v>
      </c>
      <c r="S2082" s="9" t="str">
        <f>IF(ISBLANK($R2082),"",VLOOKUP($R2082,'Liste des Villes'!$B$2:$H$1128,4,FALSE))</f>
        <v>Laurentides</v>
      </c>
      <c r="T2082" s="2" t="s">
        <v>9817</v>
      </c>
      <c r="U2082" s="2" t="s">
        <v>39</v>
      </c>
      <c r="V2082" s="2" t="s">
        <v>40</v>
      </c>
      <c r="W2082" s="2" t="s">
        <v>9818</v>
      </c>
      <c r="X2082" s="2"/>
      <c r="Y2082" s="2"/>
      <c r="Z2082" s="2"/>
      <c r="AA2082" s="2" t="s">
        <v>515</v>
      </c>
      <c r="AB2082" s="2" t="s">
        <v>73</v>
      </c>
      <c r="AC2082" s="4" t="s">
        <v>44</v>
      </c>
    </row>
    <row r="2083" spans="1:29" x14ac:dyDescent="0.25">
      <c r="A2083" s="1">
        <v>113</v>
      </c>
      <c r="B2083" s="17" t="s">
        <v>9819</v>
      </c>
      <c r="C2083" s="2" t="s">
        <v>9820</v>
      </c>
      <c r="D2083" s="15" t="s">
        <v>9821</v>
      </c>
      <c r="E2083" s="9" t="s">
        <v>5426</v>
      </c>
      <c r="F2083" s="9" t="s">
        <v>9822</v>
      </c>
      <c r="G2083" s="9" t="s">
        <v>1377</v>
      </c>
      <c r="H2083" s="2" t="s">
        <v>60</v>
      </c>
      <c r="I2083" s="3">
        <v>36496</v>
      </c>
      <c r="J2083" s="9" t="str">
        <f t="shared" ca="1" si="34"/>
        <v>23 ans</v>
      </c>
      <c r="K2083" s="2" t="s">
        <v>123</v>
      </c>
      <c r="L2083" s="2" t="str">
        <f>"405"</f>
        <v>405</v>
      </c>
      <c r="M2083" s="2"/>
      <c r="N2083" s="2" t="str">
        <f>"RUE DE LA BRETAGNE"</f>
        <v>RUE DE LA BRETAGNE</v>
      </c>
      <c r="O2083" s="2" t="s">
        <v>9533</v>
      </c>
      <c r="P2083" s="9" t="str">
        <f>VLOOKUP($O2083,'Liste des Villes'!$B$2:$B$1128,1,FALSE)</f>
        <v>Sainte-Sophie</v>
      </c>
      <c r="Q2083" s="9" t="str">
        <f>IFERROR($P2083,PROPER(VLOOKUP($O2083,'Villes en erreur'!$A$2:$B$72,2,FALSE)))</f>
        <v>Sainte-Sophie</v>
      </c>
      <c r="R2083" s="9" t="s">
        <v>9534</v>
      </c>
      <c r="S2083" s="9" t="str">
        <f>IF(ISBLANK($R2083),"",VLOOKUP($R2083,'Liste des Villes'!$B$2:$H$1128,4,FALSE))</f>
        <v>Laurentides</v>
      </c>
      <c r="T2083" s="2" t="s">
        <v>9823</v>
      </c>
      <c r="U2083" s="2" t="s">
        <v>39</v>
      </c>
      <c r="V2083" s="2" t="s">
        <v>40</v>
      </c>
      <c r="W2083" s="2" t="s">
        <v>9824</v>
      </c>
      <c r="X2083" s="2"/>
      <c r="Y2083" s="2"/>
      <c r="Z2083" s="2"/>
      <c r="AA2083" s="2" t="s">
        <v>9187</v>
      </c>
      <c r="AB2083" s="2" t="s">
        <v>73</v>
      </c>
      <c r="AC2083" s="4" t="s">
        <v>44</v>
      </c>
    </row>
    <row r="2084" spans="1:29" x14ac:dyDescent="0.25">
      <c r="A2084" s="1">
        <v>2871</v>
      </c>
      <c r="B2084" s="17" t="s">
        <v>9825</v>
      </c>
      <c r="C2084" s="2" t="s">
        <v>9826</v>
      </c>
      <c r="D2084" s="15" t="s">
        <v>9827</v>
      </c>
      <c r="E2084" s="9" t="s">
        <v>2872</v>
      </c>
      <c r="F2084" s="9" t="s">
        <v>1489</v>
      </c>
      <c r="G2084" s="9" t="s">
        <v>989</v>
      </c>
      <c r="H2084" s="2" t="s">
        <v>60</v>
      </c>
      <c r="I2084" s="3">
        <v>36515</v>
      </c>
      <c r="J2084" s="9" t="str">
        <f t="shared" ca="1" si="34"/>
        <v>23 ans</v>
      </c>
      <c r="K2084" s="2" t="s">
        <v>123</v>
      </c>
      <c r="L2084" s="2" t="str">
        <f>"417"</f>
        <v>417</v>
      </c>
      <c r="M2084" s="2"/>
      <c r="N2084" s="2" t="str">
        <f>"RUE DE LA CHANTIGNOLE"</f>
        <v>RUE DE LA CHANTIGNOLE</v>
      </c>
      <c r="O2084" s="2" t="s">
        <v>9533</v>
      </c>
      <c r="P2084" s="9" t="str">
        <f>VLOOKUP($O2084,'Liste des Villes'!$B$2:$B$1128,1,FALSE)</f>
        <v>Sainte-Sophie</v>
      </c>
      <c r="Q2084" s="9" t="str">
        <f>IFERROR($P2084,PROPER(VLOOKUP($O2084,'Villes en erreur'!$A$2:$B$72,2,FALSE)))</f>
        <v>Sainte-Sophie</v>
      </c>
      <c r="R2084" s="9" t="s">
        <v>9534</v>
      </c>
      <c r="S2084" s="9" t="str">
        <f>IF(ISBLANK($R2084),"",VLOOKUP($R2084,'Liste des Villes'!$B$2:$H$1128,4,FALSE))</f>
        <v>Laurentides</v>
      </c>
      <c r="T2084" s="2" t="s">
        <v>9828</v>
      </c>
      <c r="U2084" s="2" t="s">
        <v>39</v>
      </c>
      <c r="V2084" s="2" t="s">
        <v>40</v>
      </c>
      <c r="W2084" s="2" t="s">
        <v>9829</v>
      </c>
      <c r="X2084" s="2"/>
      <c r="Y2084" s="2"/>
      <c r="Z2084" s="2"/>
      <c r="AA2084" s="2" t="s">
        <v>9187</v>
      </c>
      <c r="AB2084" s="2" t="s">
        <v>73</v>
      </c>
      <c r="AC2084" s="4" t="s">
        <v>44</v>
      </c>
    </row>
    <row r="2085" spans="1:29" x14ac:dyDescent="0.25">
      <c r="A2085" s="1">
        <v>262</v>
      </c>
      <c r="B2085" s="17" t="s">
        <v>9830</v>
      </c>
      <c r="C2085" s="2" t="s">
        <v>4157</v>
      </c>
      <c r="D2085" s="15" t="s">
        <v>788</v>
      </c>
      <c r="E2085" s="9" t="s">
        <v>4158</v>
      </c>
      <c r="F2085" s="9" t="s">
        <v>1466</v>
      </c>
      <c r="G2085" s="9" t="s">
        <v>989</v>
      </c>
      <c r="H2085" s="2" t="s">
        <v>60</v>
      </c>
      <c r="I2085" s="3">
        <v>36512</v>
      </c>
      <c r="J2085" s="9" t="str">
        <f t="shared" ca="1" si="34"/>
        <v>23 ans</v>
      </c>
      <c r="K2085" s="2" t="s">
        <v>123</v>
      </c>
      <c r="L2085" s="2" t="str">
        <f>"415"</f>
        <v>415</v>
      </c>
      <c r="M2085" s="2"/>
      <c r="N2085" s="2" t="str">
        <f>"RUE DE LA CHAMPAGNE"</f>
        <v>RUE DE LA CHAMPAGNE</v>
      </c>
      <c r="O2085" s="2" t="s">
        <v>9533</v>
      </c>
      <c r="P2085" s="9" t="str">
        <f>VLOOKUP($O2085,'Liste des Villes'!$B$2:$B$1128,1,FALSE)</f>
        <v>Sainte-Sophie</v>
      </c>
      <c r="Q2085" s="9" t="str">
        <f>IFERROR($P2085,PROPER(VLOOKUP($O2085,'Villes en erreur'!$A$2:$B$72,2,FALSE)))</f>
        <v>Sainte-Sophie</v>
      </c>
      <c r="R2085" s="9" t="s">
        <v>9534</v>
      </c>
      <c r="S2085" s="9" t="str">
        <f>IF(ISBLANK($R2085),"",VLOOKUP($R2085,'Liste des Villes'!$B$2:$H$1128,4,FALSE))</f>
        <v>Laurentides</v>
      </c>
      <c r="T2085" s="2" t="s">
        <v>9709</v>
      </c>
      <c r="U2085" s="2" t="s">
        <v>39</v>
      </c>
      <c r="V2085" s="2" t="s">
        <v>40</v>
      </c>
      <c r="W2085" s="2" t="s">
        <v>9831</v>
      </c>
      <c r="X2085" s="2"/>
      <c r="Y2085" s="2"/>
      <c r="Z2085" s="2"/>
      <c r="AA2085" s="2" t="s">
        <v>9187</v>
      </c>
      <c r="AB2085" s="2" t="s">
        <v>73</v>
      </c>
      <c r="AC2085" s="4" t="s">
        <v>44</v>
      </c>
    </row>
    <row r="2086" spans="1:29" x14ac:dyDescent="0.25">
      <c r="A2086" s="1">
        <v>4154</v>
      </c>
      <c r="B2086" s="17" t="s">
        <v>9832</v>
      </c>
      <c r="C2086" s="2" t="s">
        <v>9833</v>
      </c>
      <c r="D2086" s="15" t="s">
        <v>510</v>
      </c>
      <c r="E2086" s="9" t="s">
        <v>9251</v>
      </c>
      <c r="F2086" s="9" t="s">
        <v>9834</v>
      </c>
      <c r="G2086" s="9" t="s">
        <v>1377</v>
      </c>
      <c r="H2086" s="2" t="s">
        <v>60</v>
      </c>
      <c r="I2086" s="3">
        <v>36492</v>
      </c>
      <c r="J2086" s="9" t="str">
        <f t="shared" ca="1" si="34"/>
        <v>23 ans</v>
      </c>
      <c r="K2086" s="2" t="s">
        <v>123</v>
      </c>
      <c r="L2086" s="2" t="str">
        <f>"403"</f>
        <v>403</v>
      </c>
      <c r="M2086" s="2"/>
      <c r="N2086" s="2" t="str">
        <f>"RUE DE LA BÉCASSINE"</f>
        <v>RUE DE LA BÉCASSINE</v>
      </c>
      <c r="O2086" s="2" t="s">
        <v>9533</v>
      </c>
      <c r="P2086" s="9" t="str">
        <f>VLOOKUP($O2086,'Liste des Villes'!$B$2:$B$1128,1,FALSE)</f>
        <v>Sainte-Sophie</v>
      </c>
      <c r="Q2086" s="9" t="str">
        <f>IFERROR($P2086,PROPER(VLOOKUP($O2086,'Villes en erreur'!$A$2:$B$72,2,FALSE)))</f>
        <v>Sainte-Sophie</v>
      </c>
      <c r="R2086" s="9" t="s">
        <v>9534</v>
      </c>
      <c r="S2086" s="9" t="str">
        <f>IF(ISBLANK($R2086),"",VLOOKUP($R2086,'Liste des Villes'!$B$2:$H$1128,4,FALSE))</f>
        <v>Laurentides</v>
      </c>
      <c r="T2086" s="2" t="s">
        <v>9835</v>
      </c>
      <c r="U2086" s="2" t="s">
        <v>39</v>
      </c>
      <c r="V2086" s="2" t="s">
        <v>40</v>
      </c>
      <c r="W2086" s="2" t="s">
        <v>9836</v>
      </c>
      <c r="X2086" s="2"/>
      <c r="Y2086" s="2"/>
      <c r="Z2086" s="2"/>
      <c r="AA2086" s="2" t="s">
        <v>9187</v>
      </c>
      <c r="AB2086" s="2" t="s">
        <v>73</v>
      </c>
      <c r="AC2086" s="4" t="s">
        <v>44</v>
      </c>
    </row>
    <row r="2087" spans="1:29" x14ac:dyDescent="0.25">
      <c r="A2087" s="1">
        <v>2423</v>
      </c>
      <c r="B2087" s="17" t="s">
        <v>9837</v>
      </c>
      <c r="C2087" s="2" t="s">
        <v>9838</v>
      </c>
      <c r="D2087" s="15" t="s">
        <v>4353</v>
      </c>
      <c r="E2087" s="9" t="s">
        <v>6298</v>
      </c>
      <c r="F2087" s="9" t="s">
        <v>4351</v>
      </c>
      <c r="G2087" s="9" t="s">
        <v>683</v>
      </c>
      <c r="H2087" s="2" t="s">
        <v>60</v>
      </c>
      <c r="I2087" s="3">
        <v>36543</v>
      </c>
      <c r="J2087" s="9" t="str">
        <f t="shared" ca="1" si="34"/>
        <v>23 ans</v>
      </c>
      <c r="K2087" s="2" t="s">
        <v>68</v>
      </c>
      <c r="L2087" s="2" t="str">
        <f>"437"</f>
        <v>437</v>
      </c>
      <c r="M2087" s="2"/>
      <c r="N2087" s="2" t="str">
        <f>"RUE DE LA LAURENTIE"</f>
        <v>RUE DE LA LAURENTIE</v>
      </c>
      <c r="O2087" s="2" t="s">
        <v>9533</v>
      </c>
      <c r="P2087" s="9" t="str">
        <f>VLOOKUP($O2087,'Liste des Villes'!$B$2:$B$1128,1,FALSE)</f>
        <v>Sainte-Sophie</v>
      </c>
      <c r="Q2087" s="9" t="str">
        <f>IFERROR($P2087,PROPER(VLOOKUP($O2087,'Villes en erreur'!$A$2:$B$72,2,FALSE)))</f>
        <v>Sainte-Sophie</v>
      </c>
      <c r="R2087" s="9" t="s">
        <v>9534</v>
      </c>
      <c r="S2087" s="9" t="str">
        <f>IF(ISBLANK($R2087),"",VLOOKUP($R2087,'Liste des Villes'!$B$2:$H$1128,4,FALSE))</f>
        <v>Laurentides</v>
      </c>
      <c r="T2087" s="2" t="s">
        <v>9839</v>
      </c>
      <c r="U2087" s="2" t="s">
        <v>39</v>
      </c>
      <c r="V2087" s="2" t="s">
        <v>40</v>
      </c>
      <c r="W2087" s="2" t="s">
        <v>9840</v>
      </c>
      <c r="X2087" s="2"/>
      <c r="Y2087" s="2"/>
      <c r="Z2087" s="2"/>
      <c r="AA2087" s="2" t="s">
        <v>515</v>
      </c>
      <c r="AB2087" s="2" t="s">
        <v>73</v>
      </c>
      <c r="AC2087" s="4" t="s">
        <v>44</v>
      </c>
    </row>
    <row r="2088" spans="1:29" x14ac:dyDescent="0.25">
      <c r="A2088" s="1">
        <v>875</v>
      </c>
      <c r="B2088" s="17" t="s">
        <v>9841</v>
      </c>
      <c r="C2088" s="2" t="s">
        <v>9842</v>
      </c>
      <c r="D2088" s="15" t="s">
        <v>9843</v>
      </c>
      <c r="E2088" s="9" t="s">
        <v>107</v>
      </c>
      <c r="F2088" s="9" t="s">
        <v>3122</v>
      </c>
      <c r="G2088" s="9" t="s">
        <v>683</v>
      </c>
      <c r="H2088" s="2" t="s">
        <v>60</v>
      </c>
      <c r="I2088" s="3">
        <v>36544</v>
      </c>
      <c r="J2088" s="9" t="str">
        <f t="shared" ca="1" si="34"/>
        <v>23 ans</v>
      </c>
      <c r="K2088" s="2" t="s">
        <v>68</v>
      </c>
      <c r="L2088" s="2" t="str">
        <f>"438"</f>
        <v>438</v>
      </c>
      <c r="M2088" s="2"/>
      <c r="N2088" s="2" t="str">
        <f>"RUE DE LA MAIRIE"</f>
        <v>RUE DE LA MAIRIE</v>
      </c>
      <c r="O2088" s="2" t="s">
        <v>9533</v>
      </c>
      <c r="P2088" s="9" t="str">
        <f>VLOOKUP($O2088,'Liste des Villes'!$B$2:$B$1128,1,FALSE)</f>
        <v>Sainte-Sophie</v>
      </c>
      <c r="Q2088" s="9" t="str">
        <f>IFERROR($P2088,PROPER(VLOOKUP($O2088,'Villes en erreur'!$A$2:$B$72,2,FALSE)))</f>
        <v>Sainte-Sophie</v>
      </c>
      <c r="R2088" s="9" t="s">
        <v>9534</v>
      </c>
      <c r="S2088" s="9" t="str">
        <f>IF(ISBLANK($R2088),"",VLOOKUP($R2088,'Liste des Villes'!$B$2:$H$1128,4,FALSE))</f>
        <v>Laurentides</v>
      </c>
      <c r="T2088" s="2" t="s">
        <v>9844</v>
      </c>
      <c r="U2088" s="2" t="s">
        <v>39</v>
      </c>
      <c r="V2088" s="2" t="s">
        <v>40</v>
      </c>
      <c r="W2088" s="2" t="s">
        <v>9845</v>
      </c>
      <c r="X2088" s="2"/>
      <c r="Y2088" s="2"/>
      <c r="Z2088" s="2"/>
      <c r="AA2088" s="2" t="s">
        <v>515</v>
      </c>
      <c r="AB2088" s="2" t="s">
        <v>73</v>
      </c>
      <c r="AC2088" s="4" t="s">
        <v>44</v>
      </c>
    </row>
    <row r="2089" spans="1:29" x14ac:dyDescent="0.25">
      <c r="A2089" s="1">
        <v>3842</v>
      </c>
      <c r="B2089" s="17" t="s">
        <v>9846</v>
      </c>
      <c r="C2089" s="2" t="s">
        <v>9847</v>
      </c>
      <c r="D2089" s="15" t="s">
        <v>5435</v>
      </c>
      <c r="E2089" s="9" t="s">
        <v>635</v>
      </c>
      <c r="F2089" s="9" t="s">
        <v>5434</v>
      </c>
      <c r="G2089" s="9" t="s">
        <v>8039</v>
      </c>
      <c r="H2089" s="2" t="s">
        <v>60</v>
      </c>
      <c r="I2089" s="3">
        <v>36483</v>
      </c>
      <c r="J2089" s="9" t="str">
        <f t="shared" ca="1" si="34"/>
        <v>23 ans</v>
      </c>
      <c r="K2089" s="2" t="s">
        <v>123</v>
      </c>
      <c r="L2089" s="2" t="str">
        <f>"396"</f>
        <v>396</v>
      </c>
      <c r="M2089" s="2"/>
      <c r="N2089" s="2" t="str">
        <f>"RUE DE GÊNES"</f>
        <v>RUE DE GÊNES</v>
      </c>
      <c r="O2089" s="2" t="s">
        <v>9533</v>
      </c>
      <c r="P2089" s="9" t="str">
        <f>VLOOKUP($O2089,'Liste des Villes'!$B$2:$B$1128,1,FALSE)</f>
        <v>Sainte-Sophie</v>
      </c>
      <c r="Q2089" s="9" t="str">
        <f>IFERROR($P2089,PROPER(VLOOKUP($O2089,'Villes en erreur'!$A$2:$B$72,2,FALSE)))</f>
        <v>Sainte-Sophie</v>
      </c>
      <c r="R2089" s="9" t="s">
        <v>9534</v>
      </c>
      <c r="S2089" s="9" t="str">
        <f>IF(ISBLANK($R2089),"",VLOOKUP($R2089,'Liste des Villes'!$B$2:$H$1128,4,FALSE))</f>
        <v>Laurentides</v>
      </c>
      <c r="T2089" s="2" t="s">
        <v>9671</v>
      </c>
      <c r="U2089" s="2" t="s">
        <v>39</v>
      </c>
      <c r="V2089" s="2" t="s">
        <v>40</v>
      </c>
      <c r="W2089" s="2" t="s">
        <v>9848</v>
      </c>
      <c r="X2089" s="2"/>
      <c r="Y2089" s="2"/>
      <c r="Z2089" s="2"/>
      <c r="AA2089" s="2" t="s">
        <v>9187</v>
      </c>
      <c r="AB2089" s="2" t="s">
        <v>73</v>
      </c>
      <c r="AC2089" s="4" t="s">
        <v>44</v>
      </c>
    </row>
    <row r="2090" spans="1:29" x14ac:dyDescent="0.25">
      <c r="A2090" s="1">
        <v>1525</v>
      </c>
      <c r="B2090" s="17" t="s">
        <v>9849</v>
      </c>
      <c r="C2090" s="2" t="s">
        <v>9850</v>
      </c>
      <c r="D2090" s="15" t="s">
        <v>9851</v>
      </c>
      <c r="E2090" s="9" t="s">
        <v>1566</v>
      </c>
      <c r="F2090" s="9" t="s">
        <v>9852</v>
      </c>
      <c r="G2090" s="9" t="s">
        <v>9853</v>
      </c>
      <c r="H2090" s="2" t="s">
        <v>60</v>
      </c>
      <c r="I2090" s="3">
        <v>36508</v>
      </c>
      <c r="J2090" s="9" t="str">
        <f t="shared" ca="1" si="34"/>
        <v>23 ans</v>
      </c>
      <c r="K2090" s="2" t="s">
        <v>123</v>
      </c>
      <c r="L2090" s="2" t="str">
        <f>"412"</f>
        <v>412</v>
      </c>
      <c r="M2090" s="2"/>
      <c r="N2090" s="2" t="str">
        <f>"RUE DE LA CANADIENNE"</f>
        <v>RUE DE LA CANADIENNE</v>
      </c>
      <c r="O2090" s="2" t="s">
        <v>9533</v>
      </c>
      <c r="P2090" s="9" t="str">
        <f>VLOOKUP($O2090,'Liste des Villes'!$B$2:$B$1128,1,FALSE)</f>
        <v>Sainte-Sophie</v>
      </c>
      <c r="Q2090" s="9" t="str">
        <f>IFERROR($P2090,PROPER(VLOOKUP($O2090,'Villes en erreur'!$A$2:$B$72,2,FALSE)))</f>
        <v>Sainte-Sophie</v>
      </c>
      <c r="R2090" s="9" t="s">
        <v>9534</v>
      </c>
      <c r="S2090" s="9" t="str">
        <f>IF(ISBLANK($R2090),"",VLOOKUP($R2090,'Liste des Villes'!$B$2:$H$1128,4,FALSE))</f>
        <v>Laurentides</v>
      </c>
      <c r="T2090" s="2" t="s">
        <v>9759</v>
      </c>
      <c r="U2090" s="2" t="s">
        <v>39</v>
      </c>
      <c r="V2090" s="2" t="s">
        <v>40</v>
      </c>
      <c r="W2090" s="2" t="s">
        <v>9854</v>
      </c>
      <c r="X2090" s="2"/>
      <c r="Y2090" s="2"/>
      <c r="Z2090" s="2"/>
      <c r="AA2090" s="2" t="s">
        <v>9187</v>
      </c>
      <c r="AB2090" s="2" t="s">
        <v>73</v>
      </c>
      <c r="AC2090" s="4" t="s">
        <v>44</v>
      </c>
    </row>
    <row r="2091" spans="1:29" x14ac:dyDescent="0.25">
      <c r="A2091" s="1">
        <v>4403</v>
      </c>
      <c r="B2091" s="17" t="s">
        <v>9855</v>
      </c>
      <c r="C2091" s="2" t="s">
        <v>9856</v>
      </c>
      <c r="D2091" s="15" t="s">
        <v>9857</v>
      </c>
      <c r="E2091" s="9" t="s">
        <v>370</v>
      </c>
      <c r="F2091" s="9" t="s">
        <v>354</v>
      </c>
      <c r="G2091" s="9" t="s">
        <v>8075</v>
      </c>
      <c r="H2091" s="2" t="s">
        <v>60</v>
      </c>
      <c r="I2091" s="3">
        <v>36488</v>
      </c>
      <c r="J2091" s="9" t="str">
        <f t="shared" ca="1" si="34"/>
        <v>23 ans</v>
      </c>
      <c r="K2091" s="2" t="s">
        <v>123</v>
      </c>
      <c r="L2091" s="2" t="str">
        <f>"400"</f>
        <v>400</v>
      </c>
      <c r="M2091" s="2"/>
      <c r="N2091" s="2" t="str">
        <f>"RUE DE JOUTEL"</f>
        <v>RUE DE JOUTEL</v>
      </c>
      <c r="O2091" s="2" t="s">
        <v>9533</v>
      </c>
      <c r="P2091" s="9" t="str">
        <f>VLOOKUP($O2091,'Liste des Villes'!$B$2:$B$1128,1,FALSE)</f>
        <v>Sainte-Sophie</v>
      </c>
      <c r="Q2091" s="9" t="str">
        <f>IFERROR($P2091,PROPER(VLOOKUP($O2091,'Villes en erreur'!$A$2:$B$72,2,FALSE)))</f>
        <v>Sainte-Sophie</v>
      </c>
      <c r="R2091" s="9" t="s">
        <v>9534</v>
      </c>
      <c r="S2091" s="9" t="str">
        <f>IF(ISBLANK($R2091),"",VLOOKUP($R2091,'Liste des Villes'!$B$2:$H$1128,4,FALSE))</f>
        <v>Laurentides</v>
      </c>
      <c r="T2091" s="2" t="s">
        <v>9814</v>
      </c>
      <c r="U2091" s="2" t="s">
        <v>39</v>
      </c>
      <c r="V2091" s="2" t="s">
        <v>40</v>
      </c>
      <c r="W2091" s="2" t="s">
        <v>9858</v>
      </c>
      <c r="X2091" s="2"/>
      <c r="Y2091" s="2"/>
      <c r="Z2091" s="2"/>
      <c r="AA2091" s="2" t="s">
        <v>9187</v>
      </c>
      <c r="AB2091" s="2" t="s">
        <v>73</v>
      </c>
      <c r="AC2091" s="4" t="s">
        <v>44</v>
      </c>
    </row>
    <row r="2092" spans="1:29" x14ac:dyDescent="0.25">
      <c r="A2092" s="1">
        <v>2397</v>
      </c>
      <c r="B2092" s="17" t="s">
        <v>9859</v>
      </c>
      <c r="C2092" s="2" t="s">
        <v>163</v>
      </c>
      <c r="D2092" s="15" t="s">
        <v>164</v>
      </c>
      <c r="E2092" s="9" t="s">
        <v>165</v>
      </c>
      <c r="F2092" s="9" t="s">
        <v>3350</v>
      </c>
      <c r="G2092" s="9" t="s">
        <v>137</v>
      </c>
      <c r="H2092" s="2" t="s">
        <v>60</v>
      </c>
      <c r="I2092" s="3">
        <v>36557</v>
      </c>
      <c r="J2092" s="9" t="str">
        <f t="shared" ca="1" si="34"/>
        <v>23 ans</v>
      </c>
      <c r="K2092" s="2" t="s">
        <v>68</v>
      </c>
      <c r="L2092" s="2" t="str">
        <f>"448"</f>
        <v>448</v>
      </c>
      <c r="M2092" s="2"/>
      <c r="N2092" s="2" t="str">
        <f>"RUE DE LA PICARDIE"</f>
        <v>RUE DE LA PICARDIE</v>
      </c>
      <c r="O2092" s="2" t="s">
        <v>9533</v>
      </c>
      <c r="P2092" s="9" t="str">
        <f>VLOOKUP($O2092,'Liste des Villes'!$B$2:$B$1128,1,FALSE)</f>
        <v>Sainte-Sophie</v>
      </c>
      <c r="Q2092" s="9" t="str">
        <f>IFERROR($P2092,PROPER(VLOOKUP($O2092,'Villes en erreur'!$A$2:$B$72,2,FALSE)))</f>
        <v>Sainte-Sophie</v>
      </c>
      <c r="R2092" s="9" t="s">
        <v>9534</v>
      </c>
      <c r="S2092" s="9" t="str">
        <f>IF(ISBLANK($R2092),"",VLOOKUP($R2092,'Liste des Villes'!$B$2:$H$1128,4,FALSE))</f>
        <v>Laurentides</v>
      </c>
      <c r="T2092" s="2" t="s">
        <v>9860</v>
      </c>
      <c r="U2092" s="2" t="s">
        <v>39</v>
      </c>
      <c r="V2092" s="2" t="s">
        <v>40</v>
      </c>
      <c r="W2092" s="2" t="s">
        <v>9861</v>
      </c>
      <c r="X2092" s="2"/>
      <c r="Y2092" s="2"/>
      <c r="Z2092" s="2"/>
      <c r="AA2092" s="2" t="s">
        <v>515</v>
      </c>
      <c r="AB2092" s="2" t="s">
        <v>73</v>
      </c>
      <c r="AC2092" s="4" t="s">
        <v>44</v>
      </c>
    </row>
    <row r="2093" spans="1:29" x14ac:dyDescent="0.25">
      <c r="A2093" s="1">
        <v>2291</v>
      </c>
      <c r="B2093" s="17" t="s">
        <v>9862</v>
      </c>
      <c r="C2093" s="2" t="s">
        <v>2918</v>
      </c>
      <c r="D2093" s="15" t="s">
        <v>2919</v>
      </c>
      <c r="E2093" s="9" t="s">
        <v>2920</v>
      </c>
      <c r="F2093" s="9" t="s">
        <v>9863</v>
      </c>
      <c r="G2093" s="9" t="s">
        <v>3156</v>
      </c>
      <c r="H2093" s="2" t="s">
        <v>35</v>
      </c>
      <c r="I2093" s="3">
        <v>36550</v>
      </c>
      <c r="J2093" s="9" t="str">
        <f t="shared" ca="1" si="34"/>
        <v>23 ans</v>
      </c>
      <c r="K2093" s="2" t="s">
        <v>68</v>
      </c>
      <c r="L2093" s="2" t="str">
        <f>"443"</f>
        <v>443</v>
      </c>
      <c r="M2093" s="2"/>
      <c r="N2093" s="2" t="str">
        <f>"RUE DE LA MOUSSON"</f>
        <v>RUE DE LA MOUSSON</v>
      </c>
      <c r="O2093" s="2" t="s">
        <v>9533</v>
      </c>
      <c r="P2093" s="9" t="str">
        <f>VLOOKUP($O2093,'Liste des Villes'!$B$2:$B$1128,1,FALSE)</f>
        <v>Sainte-Sophie</v>
      </c>
      <c r="Q2093" s="9" t="str">
        <f>IFERROR($P2093,PROPER(VLOOKUP($O2093,'Villes en erreur'!$A$2:$B$72,2,FALSE)))</f>
        <v>Sainte-Sophie</v>
      </c>
      <c r="R2093" s="9" t="s">
        <v>9534</v>
      </c>
      <c r="S2093" s="9" t="str">
        <f>IF(ISBLANK($R2093),"",VLOOKUP($R2093,'Liste des Villes'!$B$2:$H$1128,4,FALSE))</f>
        <v>Laurentides</v>
      </c>
      <c r="T2093" s="2" t="s">
        <v>9864</v>
      </c>
      <c r="U2093" s="2" t="s">
        <v>39</v>
      </c>
      <c r="V2093" s="2" t="s">
        <v>40</v>
      </c>
      <c r="W2093" s="2" t="s">
        <v>9865</v>
      </c>
      <c r="X2093" s="2"/>
      <c r="Y2093" s="2"/>
      <c r="Z2093" s="2"/>
      <c r="AA2093" s="2" t="s">
        <v>515</v>
      </c>
      <c r="AB2093" s="2" t="s">
        <v>73</v>
      </c>
      <c r="AC2093" s="4" t="s">
        <v>44</v>
      </c>
    </row>
    <row r="2094" spans="1:29" x14ac:dyDescent="0.25">
      <c r="A2094" s="1">
        <v>830</v>
      </c>
      <c r="B2094" s="17" t="s">
        <v>9866</v>
      </c>
      <c r="C2094" s="2" t="s">
        <v>9867</v>
      </c>
      <c r="D2094" s="15" t="s">
        <v>2474</v>
      </c>
      <c r="E2094" s="9" t="s">
        <v>9868</v>
      </c>
      <c r="F2094" s="9" t="s">
        <v>9869</v>
      </c>
      <c r="G2094" s="9" t="s">
        <v>4968</v>
      </c>
      <c r="H2094" s="2" t="s">
        <v>60</v>
      </c>
      <c r="I2094" s="3">
        <v>36574</v>
      </c>
      <c r="J2094" s="9" t="str">
        <f t="shared" ca="1" si="34"/>
        <v>23 ans</v>
      </c>
      <c r="K2094" s="2" t="s">
        <v>68</v>
      </c>
      <c r="L2094" s="2" t="str">
        <f>"464"</f>
        <v>464</v>
      </c>
      <c r="M2094" s="2"/>
      <c r="N2094" s="2" t="str">
        <f>"RUE DE LA RANDONNÉE"</f>
        <v>RUE DE LA RANDONNÉE</v>
      </c>
      <c r="O2094" s="2" t="s">
        <v>9533</v>
      </c>
      <c r="P2094" s="9" t="str">
        <f>VLOOKUP($O2094,'Liste des Villes'!$B$2:$B$1128,1,FALSE)</f>
        <v>Sainte-Sophie</v>
      </c>
      <c r="Q2094" s="9" t="str">
        <f>IFERROR($P2094,PROPER(VLOOKUP($O2094,'Villes en erreur'!$A$2:$B$72,2,FALSE)))</f>
        <v>Sainte-Sophie</v>
      </c>
      <c r="R2094" s="9" t="s">
        <v>9534</v>
      </c>
      <c r="S2094" s="9" t="str">
        <f>IF(ISBLANK($R2094),"",VLOOKUP($R2094,'Liste des Villes'!$B$2:$H$1128,4,FALSE))</f>
        <v>Laurentides</v>
      </c>
      <c r="T2094" s="2" t="s">
        <v>9870</v>
      </c>
      <c r="U2094" s="2" t="s">
        <v>39</v>
      </c>
      <c r="V2094" s="2" t="s">
        <v>40</v>
      </c>
      <c r="W2094" s="2" t="s">
        <v>9871</v>
      </c>
      <c r="X2094" s="2"/>
      <c r="Y2094" s="2"/>
      <c r="Z2094" s="2"/>
      <c r="AA2094" s="2" t="s">
        <v>515</v>
      </c>
      <c r="AB2094" s="2" t="s">
        <v>73</v>
      </c>
      <c r="AC2094" s="4" t="s">
        <v>44</v>
      </c>
    </row>
    <row r="2095" spans="1:29" x14ac:dyDescent="0.25">
      <c r="A2095" s="1">
        <v>355</v>
      </c>
      <c r="B2095" s="17" t="s">
        <v>9872</v>
      </c>
      <c r="C2095" s="2" t="s">
        <v>7661</v>
      </c>
      <c r="D2095" s="15" t="s">
        <v>5272</v>
      </c>
      <c r="E2095" s="9" t="s">
        <v>7662</v>
      </c>
      <c r="F2095" s="9" t="s">
        <v>5271</v>
      </c>
      <c r="G2095" s="9" t="s">
        <v>1377</v>
      </c>
      <c r="H2095" s="2" t="s">
        <v>60</v>
      </c>
      <c r="I2095" s="3">
        <v>36498</v>
      </c>
      <c r="J2095" s="9" t="str">
        <f t="shared" ca="1" si="34"/>
        <v>23 ans</v>
      </c>
      <c r="K2095" s="2" t="s">
        <v>123</v>
      </c>
      <c r="L2095" s="2" t="str">
        <f>"407"</f>
        <v>407</v>
      </c>
      <c r="M2095" s="2"/>
      <c r="N2095" s="2" t="str">
        <f>"RUE DE LA BRETAGNE"</f>
        <v>RUE DE LA BRETAGNE</v>
      </c>
      <c r="O2095" s="2" t="s">
        <v>9533</v>
      </c>
      <c r="P2095" s="9" t="str">
        <f>VLOOKUP($O2095,'Liste des Villes'!$B$2:$B$1128,1,FALSE)</f>
        <v>Sainte-Sophie</v>
      </c>
      <c r="Q2095" s="9" t="str">
        <f>IFERROR($P2095,PROPER(VLOOKUP($O2095,'Villes en erreur'!$A$2:$B$72,2,FALSE)))</f>
        <v>Sainte-Sophie</v>
      </c>
      <c r="R2095" s="9" t="s">
        <v>9534</v>
      </c>
      <c r="S2095" s="9" t="str">
        <f>IF(ISBLANK($R2095),"",VLOOKUP($R2095,'Liste des Villes'!$B$2:$H$1128,4,FALSE))</f>
        <v>Laurentides</v>
      </c>
      <c r="T2095" s="2" t="s">
        <v>9873</v>
      </c>
      <c r="U2095" s="2" t="s">
        <v>39</v>
      </c>
      <c r="V2095" s="2" t="s">
        <v>40</v>
      </c>
      <c r="W2095" s="2" t="s">
        <v>9874</v>
      </c>
      <c r="X2095" s="2"/>
      <c r="Y2095" s="2"/>
      <c r="Z2095" s="2"/>
      <c r="AA2095" s="2" t="s">
        <v>9187</v>
      </c>
      <c r="AB2095" s="2" t="s">
        <v>73</v>
      </c>
      <c r="AC2095" s="4" t="s">
        <v>44</v>
      </c>
    </row>
    <row r="2096" spans="1:29" x14ac:dyDescent="0.25">
      <c r="A2096" s="1">
        <v>3472</v>
      </c>
      <c r="B2096" s="17" t="s">
        <v>9875</v>
      </c>
      <c r="C2096" s="2" t="s">
        <v>9876</v>
      </c>
      <c r="D2096" s="15" t="s">
        <v>2070</v>
      </c>
      <c r="E2096" s="9" t="s">
        <v>137</v>
      </c>
      <c r="F2096" s="9" t="s">
        <v>8577</v>
      </c>
      <c r="G2096" s="9" t="s">
        <v>1377</v>
      </c>
      <c r="H2096" s="2" t="s">
        <v>60</v>
      </c>
      <c r="I2096" s="3">
        <v>36498</v>
      </c>
      <c r="J2096" s="9" t="str">
        <f t="shared" ca="1" si="34"/>
        <v>23 ans</v>
      </c>
      <c r="K2096" s="2" t="s">
        <v>123</v>
      </c>
      <c r="L2096" s="2" t="str">
        <f>"406"</f>
        <v>406</v>
      </c>
      <c r="M2096" s="2"/>
      <c r="N2096" s="2" t="str">
        <f>"RUE DE LA BRETAGNE"</f>
        <v>RUE DE LA BRETAGNE</v>
      </c>
      <c r="O2096" s="2" t="s">
        <v>9533</v>
      </c>
      <c r="P2096" s="9" t="str">
        <f>VLOOKUP($O2096,'Liste des Villes'!$B$2:$B$1128,1,FALSE)</f>
        <v>Sainte-Sophie</v>
      </c>
      <c r="Q2096" s="9" t="str">
        <f>IFERROR($P2096,PROPER(VLOOKUP($O2096,'Villes en erreur'!$A$2:$B$72,2,FALSE)))</f>
        <v>Sainte-Sophie</v>
      </c>
      <c r="R2096" s="9" t="s">
        <v>9534</v>
      </c>
      <c r="S2096" s="9" t="str">
        <f>IF(ISBLANK($R2096),"",VLOOKUP($R2096,'Liste des Villes'!$B$2:$H$1128,4,FALSE))</f>
        <v>Laurentides</v>
      </c>
      <c r="T2096" s="2" t="s">
        <v>9877</v>
      </c>
      <c r="U2096" s="2" t="s">
        <v>39</v>
      </c>
      <c r="V2096" s="2" t="s">
        <v>40</v>
      </c>
      <c r="W2096" s="2" t="s">
        <v>9878</v>
      </c>
      <c r="X2096" s="2"/>
      <c r="Y2096" s="2"/>
      <c r="Z2096" s="2"/>
      <c r="AA2096" s="2" t="s">
        <v>9187</v>
      </c>
      <c r="AB2096" s="2" t="s">
        <v>73</v>
      </c>
      <c r="AC2096" s="4" t="s">
        <v>44</v>
      </c>
    </row>
    <row r="2097" spans="1:29" x14ac:dyDescent="0.25">
      <c r="A2097" s="1">
        <v>2774</v>
      </c>
      <c r="B2097" s="17" t="s">
        <v>9879</v>
      </c>
      <c r="C2097" s="2" t="s">
        <v>9880</v>
      </c>
      <c r="D2097" s="15" t="s">
        <v>2321</v>
      </c>
      <c r="E2097" s="9" t="s">
        <v>9881</v>
      </c>
      <c r="F2097" s="9" t="s">
        <v>2322</v>
      </c>
      <c r="G2097" s="9" t="s">
        <v>9853</v>
      </c>
      <c r="H2097" s="2" t="s">
        <v>60</v>
      </c>
      <c r="I2097" s="3">
        <v>36509</v>
      </c>
      <c r="J2097" s="9" t="str">
        <f t="shared" ca="1" si="34"/>
        <v>23 ans</v>
      </c>
      <c r="K2097" s="2" t="s">
        <v>123</v>
      </c>
      <c r="L2097" s="2" t="str">
        <f>"413"</f>
        <v>413</v>
      </c>
      <c r="M2097" s="2"/>
      <c r="N2097" s="2" t="str">
        <f>"RUE DE LA CANARDIÈRE"</f>
        <v>RUE DE LA CANARDIÈRE</v>
      </c>
      <c r="O2097" s="2" t="s">
        <v>9533</v>
      </c>
      <c r="P2097" s="9" t="str">
        <f>VLOOKUP($O2097,'Liste des Villes'!$B$2:$B$1128,1,FALSE)</f>
        <v>Sainte-Sophie</v>
      </c>
      <c r="Q2097" s="9" t="str">
        <f>IFERROR($P2097,PROPER(VLOOKUP($O2097,'Villes en erreur'!$A$2:$B$72,2,FALSE)))</f>
        <v>Sainte-Sophie</v>
      </c>
      <c r="R2097" s="9" t="s">
        <v>9534</v>
      </c>
      <c r="S2097" s="9" t="str">
        <f>IF(ISBLANK($R2097),"",VLOOKUP($R2097,'Liste des Villes'!$B$2:$H$1128,4,FALSE))</f>
        <v>Laurentides</v>
      </c>
      <c r="T2097" s="2" t="s">
        <v>9653</v>
      </c>
      <c r="U2097" s="2" t="s">
        <v>39</v>
      </c>
      <c r="V2097" s="2" t="s">
        <v>40</v>
      </c>
      <c r="W2097" s="2" t="s">
        <v>9882</v>
      </c>
      <c r="X2097" s="2"/>
      <c r="Y2097" s="2"/>
      <c r="Z2097" s="2"/>
      <c r="AA2097" s="2" t="s">
        <v>9187</v>
      </c>
      <c r="AB2097" s="2" t="s">
        <v>73</v>
      </c>
      <c r="AC2097" s="4" t="s">
        <v>44</v>
      </c>
    </row>
    <row r="2098" spans="1:29" x14ac:dyDescent="0.25">
      <c r="A2098" s="1">
        <v>3727</v>
      </c>
      <c r="B2098" s="17" t="s">
        <v>9883</v>
      </c>
      <c r="C2098" s="2" t="s">
        <v>4203</v>
      </c>
      <c r="D2098" s="15" t="s">
        <v>1794</v>
      </c>
      <c r="E2098" s="9" t="s">
        <v>348</v>
      </c>
      <c r="F2098" s="9" t="s">
        <v>349</v>
      </c>
      <c r="G2098" s="9" t="s">
        <v>1377</v>
      </c>
      <c r="H2098" s="2" t="s">
        <v>60</v>
      </c>
      <c r="I2098" s="3">
        <v>36498</v>
      </c>
      <c r="J2098" s="9" t="str">
        <f t="shared" ca="1" si="34"/>
        <v>23 ans</v>
      </c>
      <c r="K2098" s="2" t="s">
        <v>123</v>
      </c>
      <c r="L2098" s="2" t="str">
        <f>"406"</f>
        <v>406</v>
      </c>
      <c r="M2098" s="2"/>
      <c r="N2098" s="2" t="str">
        <f>"RUE DE LA BRETAGNE"</f>
        <v>RUE DE LA BRETAGNE</v>
      </c>
      <c r="O2098" s="2" t="s">
        <v>9533</v>
      </c>
      <c r="P2098" s="9" t="str">
        <f>VLOOKUP($O2098,'Liste des Villes'!$B$2:$B$1128,1,FALSE)</f>
        <v>Sainte-Sophie</v>
      </c>
      <c r="Q2098" s="9" t="str">
        <f>IFERROR($P2098,PROPER(VLOOKUP($O2098,'Villes en erreur'!$A$2:$B$72,2,FALSE)))</f>
        <v>Sainte-Sophie</v>
      </c>
      <c r="R2098" s="9" t="s">
        <v>9534</v>
      </c>
      <c r="S2098" s="9" t="str">
        <f>IF(ISBLANK($R2098),"",VLOOKUP($R2098,'Liste des Villes'!$B$2:$H$1128,4,FALSE))</f>
        <v>Laurentides</v>
      </c>
      <c r="T2098" s="2" t="s">
        <v>9873</v>
      </c>
      <c r="U2098" s="2" t="s">
        <v>39</v>
      </c>
      <c r="V2098" s="2" t="s">
        <v>40</v>
      </c>
      <c r="W2098" s="2" t="s">
        <v>9884</v>
      </c>
      <c r="X2098" s="2"/>
      <c r="Y2098" s="2"/>
      <c r="Z2098" s="2"/>
      <c r="AA2098" s="2" t="s">
        <v>9187</v>
      </c>
      <c r="AB2098" s="2" t="s">
        <v>73</v>
      </c>
      <c r="AC2098" s="4" t="s">
        <v>44</v>
      </c>
    </row>
    <row r="2099" spans="1:29" x14ac:dyDescent="0.25">
      <c r="A2099" s="1">
        <v>1</v>
      </c>
      <c r="B2099" s="17" t="s">
        <v>9885</v>
      </c>
      <c r="C2099" s="2" t="s">
        <v>9886</v>
      </c>
      <c r="D2099" s="15" t="s">
        <v>9887</v>
      </c>
      <c r="E2099" s="9" t="s">
        <v>3942</v>
      </c>
      <c r="F2099" s="9" t="s">
        <v>9888</v>
      </c>
      <c r="G2099" s="9" t="s">
        <v>137</v>
      </c>
      <c r="H2099" s="2" t="s">
        <v>60</v>
      </c>
      <c r="I2099" s="3">
        <v>36565</v>
      </c>
      <c r="J2099" s="9" t="str">
        <f t="shared" ca="1" si="34"/>
        <v>23 ans</v>
      </c>
      <c r="K2099" s="2" t="s">
        <v>68</v>
      </c>
      <c r="L2099" s="2" t="str">
        <f>"457"</f>
        <v>457</v>
      </c>
      <c r="M2099" s="2"/>
      <c r="N2099" s="2" t="str">
        <f>"RUE DE LA PROMENADE"</f>
        <v>RUE DE LA PROMENADE</v>
      </c>
      <c r="O2099" s="2" t="s">
        <v>9533</v>
      </c>
      <c r="P2099" s="9" t="str">
        <f>VLOOKUP($O2099,'Liste des Villes'!$B$2:$B$1128,1,FALSE)</f>
        <v>Sainte-Sophie</v>
      </c>
      <c r="Q2099" s="9" t="str">
        <f>IFERROR($P2099,PROPER(VLOOKUP($O2099,'Villes en erreur'!$A$2:$B$72,2,FALSE)))</f>
        <v>Sainte-Sophie</v>
      </c>
      <c r="R2099" s="9" t="s">
        <v>9534</v>
      </c>
      <c r="S2099" s="9" t="str">
        <f>IF(ISBLANK($R2099),"",VLOOKUP($R2099,'Liste des Villes'!$B$2:$H$1128,4,FALSE))</f>
        <v>Laurentides</v>
      </c>
      <c r="T2099" s="2" t="s">
        <v>9889</v>
      </c>
      <c r="U2099" s="2" t="s">
        <v>39</v>
      </c>
      <c r="V2099" s="2" t="s">
        <v>40</v>
      </c>
      <c r="W2099" s="2" t="s">
        <v>9890</v>
      </c>
      <c r="X2099" s="2"/>
      <c r="Y2099" s="2"/>
      <c r="Z2099" s="2"/>
      <c r="AA2099" s="2" t="s">
        <v>515</v>
      </c>
      <c r="AB2099" s="2" t="s">
        <v>73</v>
      </c>
      <c r="AC2099" s="4" t="s">
        <v>44</v>
      </c>
    </row>
    <row r="2100" spans="1:29" x14ac:dyDescent="0.25">
      <c r="A2100" s="1">
        <v>3979</v>
      </c>
      <c r="B2100" s="17" t="s">
        <v>9891</v>
      </c>
      <c r="C2100" s="2" t="s">
        <v>9892</v>
      </c>
      <c r="D2100" s="15" t="s">
        <v>5050</v>
      </c>
      <c r="E2100" s="9" t="s">
        <v>9893</v>
      </c>
      <c r="F2100" s="9" t="s">
        <v>5049</v>
      </c>
      <c r="G2100" s="9" t="s">
        <v>9894</v>
      </c>
      <c r="H2100" s="2" t="s">
        <v>60</v>
      </c>
      <c r="I2100" s="3">
        <v>36573</v>
      </c>
      <c r="J2100" s="9" t="str">
        <f t="shared" ca="1" si="34"/>
        <v>23 ans</v>
      </c>
      <c r="K2100" s="2" t="s">
        <v>68</v>
      </c>
      <c r="L2100" s="2" t="str">
        <f>"463"</f>
        <v>463</v>
      </c>
      <c r="M2100" s="2"/>
      <c r="N2100" s="2" t="str">
        <f>"RUE DE LA RANDONNÉE"</f>
        <v>RUE DE LA RANDONNÉE</v>
      </c>
      <c r="O2100" s="2" t="s">
        <v>9533</v>
      </c>
      <c r="P2100" s="9" t="str">
        <f>VLOOKUP($O2100,'Liste des Villes'!$B$2:$B$1128,1,FALSE)</f>
        <v>Sainte-Sophie</v>
      </c>
      <c r="Q2100" s="9" t="str">
        <f>IFERROR($P2100,PROPER(VLOOKUP($O2100,'Villes en erreur'!$A$2:$B$72,2,FALSE)))</f>
        <v>Sainte-Sophie</v>
      </c>
      <c r="R2100" s="9" t="s">
        <v>9534</v>
      </c>
      <c r="S2100" s="9" t="str">
        <f>IF(ISBLANK($R2100),"",VLOOKUP($R2100,'Liste des Villes'!$B$2:$H$1128,4,FALSE))</f>
        <v>Laurentides</v>
      </c>
      <c r="T2100" s="2" t="s">
        <v>9895</v>
      </c>
      <c r="U2100" s="2" t="s">
        <v>39</v>
      </c>
      <c r="V2100" s="2" t="s">
        <v>40</v>
      </c>
      <c r="W2100" s="2" t="s">
        <v>9896</v>
      </c>
      <c r="X2100" s="2"/>
      <c r="Y2100" s="2"/>
      <c r="Z2100" s="2"/>
      <c r="AA2100" s="2" t="s">
        <v>515</v>
      </c>
      <c r="AB2100" s="2" t="s">
        <v>73</v>
      </c>
      <c r="AC2100" s="4" t="s">
        <v>44</v>
      </c>
    </row>
    <row r="2101" spans="1:29" x14ac:dyDescent="0.25">
      <c r="A2101" s="1">
        <v>2033</v>
      </c>
      <c r="B2101" s="17" t="s">
        <v>9897</v>
      </c>
      <c r="C2101" s="2" t="s">
        <v>105</v>
      </c>
      <c r="D2101" s="15" t="s">
        <v>106</v>
      </c>
      <c r="E2101" s="9" t="s">
        <v>107</v>
      </c>
      <c r="F2101" s="9" t="s">
        <v>3122</v>
      </c>
      <c r="G2101" s="9" t="s">
        <v>137</v>
      </c>
      <c r="H2101" s="2" t="s">
        <v>60</v>
      </c>
      <c r="I2101" s="3">
        <v>36559</v>
      </c>
      <c r="J2101" s="9" t="str">
        <f t="shared" ca="1" si="34"/>
        <v>23 ans</v>
      </c>
      <c r="K2101" s="2" t="s">
        <v>68</v>
      </c>
      <c r="L2101" s="2" t="str">
        <f>"451"</f>
        <v>451</v>
      </c>
      <c r="M2101" s="2"/>
      <c r="N2101" s="2" t="str">
        <f>"RUE DE LA PLAGE"</f>
        <v>RUE DE LA PLAGE</v>
      </c>
      <c r="O2101" s="2" t="s">
        <v>9533</v>
      </c>
      <c r="P2101" s="9" t="str">
        <f>VLOOKUP($O2101,'Liste des Villes'!$B$2:$B$1128,1,FALSE)</f>
        <v>Sainte-Sophie</v>
      </c>
      <c r="Q2101" s="9" t="str">
        <f>IFERROR($P2101,PROPER(VLOOKUP($O2101,'Villes en erreur'!$A$2:$B$72,2,FALSE)))</f>
        <v>Sainte-Sophie</v>
      </c>
      <c r="R2101" s="9" t="s">
        <v>9534</v>
      </c>
      <c r="S2101" s="9" t="str">
        <f>IF(ISBLANK($R2101),"",VLOOKUP($R2101,'Liste des Villes'!$B$2:$H$1128,4,FALSE))</f>
        <v>Laurentides</v>
      </c>
      <c r="T2101" s="2" t="s">
        <v>9898</v>
      </c>
      <c r="U2101" s="2" t="s">
        <v>39</v>
      </c>
      <c r="V2101" s="2" t="s">
        <v>40</v>
      </c>
      <c r="W2101" s="2" t="s">
        <v>9899</v>
      </c>
      <c r="X2101" s="2"/>
      <c r="Y2101" s="2"/>
      <c r="Z2101" s="2"/>
      <c r="AA2101" s="2" t="s">
        <v>515</v>
      </c>
      <c r="AB2101" s="2" t="s">
        <v>73</v>
      </c>
      <c r="AC2101" s="4" t="s">
        <v>44</v>
      </c>
    </row>
    <row r="2102" spans="1:29" x14ac:dyDescent="0.25">
      <c r="A2102" s="1">
        <v>1151</v>
      </c>
      <c r="B2102" s="17" t="s">
        <v>9900</v>
      </c>
      <c r="C2102" s="2" t="s">
        <v>9901</v>
      </c>
      <c r="D2102" s="15" t="s">
        <v>4066</v>
      </c>
      <c r="E2102" s="9" t="s">
        <v>420</v>
      </c>
      <c r="F2102" s="9" t="s">
        <v>9902</v>
      </c>
      <c r="G2102" s="9" t="s">
        <v>137</v>
      </c>
      <c r="H2102" s="2" t="s">
        <v>60</v>
      </c>
      <c r="I2102" s="3">
        <v>36564</v>
      </c>
      <c r="J2102" s="9" t="str">
        <f t="shared" ca="1" si="34"/>
        <v>23 ans</v>
      </c>
      <c r="K2102" s="2" t="s">
        <v>68</v>
      </c>
      <c r="L2102" s="2" t="str">
        <f>"455"</f>
        <v>455</v>
      </c>
      <c r="M2102" s="2"/>
      <c r="N2102" s="2" t="str">
        <f>"RUE DE LA PLAISANCE"</f>
        <v>RUE DE LA PLAISANCE</v>
      </c>
      <c r="O2102" s="2" t="s">
        <v>9533</v>
      </c>
      <c r="P2102" s="9" t="str">
        <f>VLOOKUP($O2102,'Liste des Villes'!$B$2:$B$1128,1,FALSE)</f>
        <v>Sainte-Sophie</v>
      </c>
      <c r="Q2102" s="9" t="str">
        <f>IFERROR($P2102,PROPER(VLOOKUP($O2102,'Villes en erreur'!$A$2:$B$72,2,FALSE)))</f>
        <v>Sainte-Sophie</v>
      </c>
      <c r="R2102" s="9" t="s">
        <v>9534</v>
      </c>
      <c r="S2102" s="9" t="str">
        <f>IF(ISBLANK($R2102),"",VLOOKUP($R2102,'Liste des Villes'!$B$2:$H$1128,4,FALSE))</f>
        <v>Laurentides</v>
      </c>
      <c r="T2102" s="2" t="s">
        <v>9903</v>
      </c>
      <c r="U2102" s="2" t="s">
        <v>39</v>
      </c>
      <c r="V2102" s="2" t="s">
        <v>40</v>
      </c>
      <c r="W2102" s="2" t="s">
        <v>9904</v>
      </c>
      <c r="X2102" s="2"/>
      <c r="Y2102" s="2"/>
      <c r="Z2102" s="2"/>
      <c r="AA2102" s="2" t="s">
        <v>515</v>
      </c>
      <c r="AB2102" s="2" t="s">
        <v>73</v>
      </c>
      <c r="AC2102" s="4" t="s">
        <v>44</v>
      </c>
    </row>
    <row r="2103" spans="1:29" x14ac:dyDescent="0.25">
      <c r="A2103" s="1">
        <v>1751</v>
      </c>
      <c r="B2103" s="17" t="s">
        <v>9905</v>
      </c>
      <c r="C2103" s="2" t="s">
        <v>9906</v>
      </c>
      <c r="D2103" s="15" t="s">
        <v>4893</v>
      </c>
      <c r="E2103" s="9" t="s">
        <v>1135</v>
      </c>
      <c r="F2103" s="9" t="s">
        <v>1136</v>
      </c>
      <c r="G2103" s="9" t="s">
        <v>922</v>
      </c>
      <c r="H2103" s="2" t="s">
        <v>60</v>
      </c>
      <c r="I2103" s="3">
        <v>36546</v>
      </c>
      <c r="J2103" s="9" t="str">
        <f t="shared" ca="1" si="34"/>
        <v>23 ans</v>
      </c>
      <c r="K2103" s="2" t="s">
        <v>68</v>
      </c>
      <c r="L2103" s="2" t="str">
        <f>"440"</f>
        <v>440</v>
      </c>
      <c r="M2103" s="2"/>
      <c r="N2103" s="2" t="str">
        <f>"RUE DE LA MODISTE"</f>
        <v>RUE DE LA MODISTE</v>
      </c>
      <c r="O2103" s="2" t="s">
        <v>9533</v>
      </c>
      <c r="P2103" s="9" t="str">
        <f>VLOOKUP($O2103,'Liste des Villes'!$B$2:$B$1128,1,FALSE)</f>
        <v>Sainte-Sophie</v>
      </c>
      <c r="Q2103" s="9" t="str">
        <f>IFERROR($P2103,PROPER(VLOOKUP($O2103,'Villes en erreur'!$A$2:$B$72,2,FALSE)))</f>
        <v>Sainte-Sophie</v>
      </c>
      <c r="R2103" s="9" t="s">
        <v>9534</v>
      </c>
      <c r="S2103" s="9" t="str">
        <f>IF(ISBLANK($R2103),"",VLOOKUP($R2103,'Liste des Villes'!$B$2:$H$1128,4,FALSE))</f>
        <v>Laurentides</v>
      </c>
      <c r="T2103" s="2" t="s">
        <v>9907</v>
      </c>
      <c r="U2103" s="2" t="s">
        <v>39</v>
      </c>
      <c r="V2103" s="2" t="s">
        <v>40</v>
      </c>
      <c r="W2103" s="2" t="s">
        <v>9908</v>
      </c>
      <c r="X2103" s="2"/>
      <c r="Y2103" s="2"/>
      <c r="Z2103" s="2"/>
      <c r="AA2103" s="2" t="s">
        <v>515</v>
      </c>
      <c r="AB2103" s="2" t="s">
        <v>73</v>
      </c>
      <c r="AC2103" s="4" t="s">
        <v>44</v>
      </c>
    </row>
    <row r="2104" spans="1:29" x14ac:dyDescent="0.25">
      <c r="A2104" s="1">
        <v>1145</v>
      </c>
      <c r="B2104" s="17" t="s">
        <v>9909</v>
      </c>
      <c r="C2104" s="2" t="s">
        <v>2290</v>
      </c>
      <c r="D2104" s="15" t="s">
        <v>2291</v>
      </c>
      <c r="E2104" s="9" t="s">
        <v>635</v>
      </c>
      <c r="F2104" s="9" t="s">
        <v>9910</v>
      </c>
      <c r="G2104" s="9" t="s">
        <v>989</v>
      </c>
      <c r="H2104" s="2" t="s">
        <v>60</v>
      </c>
      <c r="I2104" s="3">
        <v>36516</v>
      </c>
      <c r="J2104" s="9" t="str">
        <f t="shared" ca="1" si="34"/>
        <v>23 ans</v>
      </c>
      <c r="K2104" s="2" t="s">
        <v>123</v>
      </c>
      <c r="L2104" s="2" t="str">
        <f>"418"</f>
        <v>418</v>
      </c>
      <c r="M2104" s="2"/>
      <c r="N2104" s="2" t="str">
        <f>"RUE DE LA CHARENTE"</f>
        <v>RUE DE LA CHARENTE</v>
      </c>
      <c r="O2104" s="2" t="s">
        <v>9533</v>
      </c>
      <c r="P2104" s="9" t="str">
        <f>VLOOKUP($O2104,'Liste des Villes'!$B$2:$B$1128,1,FALSE)</f>
        <v>Sainte-Sophie</v>
      </c>
      <c r="Q2104" s="9" t="str">
        <f>IFERROR($P2104,PROPER(VLOOKUP($O2104,'Villes en erreur'!$A$2:$B$72,2,FALSE)))</f>
        <v>Sainte-Sophie</v>
      </c>
      <c r="R2104" s="9" t="s">
        <v>9534</v>
      </c>
      <c r="S2104" s="9" t="str">
        <f>IF(ISBLANK($R2104),"",VLOOKUP($R2104,'Liste des Villes'!$B$2:$H$1128,4,FALSE))</f>
        <v>Laurentides</v>
      </c>
      <c r="T2104" s="2" t="s">
        <v>9911</v>
      </c>
      <c r="U2104" s="2" t="s">
        <v>39</v>
      </c>
      <c r="V2104" s="2" t="s">
        <v>40</v>
      </c>
      <c r="W2104" s="2" t="s">
        <v>9912</v>
      </c>
      <c r="X2104" s="2"/>
      <c r="Y2104" s="2"/>
      <c r="Z2104" s="2"/>
      <c r="AA2104" s="2" t="s">
        <v>9187</v>
      </c>
      <c r="AB2104" s="2" t="s">
        <v>73</v>
      </c>
      <c r="AC2104" s="4" t="s">
        <v>44</v>
      </c>
    </row>
    <row r="2105" spans="1:29" x14ac:dyDescent="0.25">
      <c r="A2105" s="1">
        <v>3020</v>
      </c>
      <c r="B2105" s="17" t="s">
        <v>9913</v>
      </c>
      <c r="C2105" s="2" t="s">
        <v>3848</v>
      </c>
      <c r="D2105" s="15" t="s">
        <v>839</v>
      </c>
      <c r="E2105" s="9" t="s">
        <v>3849</v>
      </c>
      <c r="F2105" s="9" t="s">
        <v>1076</v>
      </c>
      <c r="G2105" s="9" t="s">
        <v>1377</v>
      </c>
      <c r="H2105" s="2" t="s">
        <v>60</v>
      </c>
      <c r="I2105" s="3">
        <v>36490</v>
      </c>
      <c r="J2105" s="9" t="str">
        <f t="shared" ca="1" si="34"/>
        <v>23 ans</v>
      </c>
      <c r="K2105" s="2" t="s">
        <v>123</v>
      </c>
      <c r="L2105" s="2" t="str">
        <f>"401"</f>
        <v>401</v>
      </c>
      <c r="M2105" s="2"/>
      <c r="N2105" s="2" t="str">
        <f>"RUE DE L HERITAGE"</f>
        <v>RUE DE L HERITAGE</v>
      </c>
      <c r="O2105" s="2" t="s">
        <v>9533</v>
      </c>
      <c r="P2105" s="9" t="str">
        <f>VLOOKUP($O2105,'Liste des Villes'!$B$2:$B$1128,1,FALSE)</f>
        <v>Sainte-Sophie</v>
      </c>
      <c r="Q2105" s="9" t="str">
        <f>IFERROR($P2105,PROPER(VLOOKUP($O2105,'Villes en erreur'!$A$2:$B$72,2,FALSE)))</f>
        <v>Sainte-Sophie</v>
      </c>
      <c r="R2105" s="9" t="s">
        <v>9534</v>
      </c>
      <c r="S2105" s="9" t="str">
        <f>IF(ISBLANK($R2105),"",VLOOKUP($R2105,'Liste des Villes'!$B$2:$H$1128,4,FALSE))</f>
        <v>Laurentides</v>
      </c>
      <c r="T2105" s="2" t="s">
        <v>9593</v>
      </c>
      <c r="U2105" s="2" t="s">
        <v>39</v>
      </c>
      <c r="V2105" s="2" t="s">
        <v>40</v>
      </c>
      <c r="W2105" s="2" t="s">
        <v>9914</v>
      </c>
      <c r="X2105" s="2"/>
      <c r="Y2105" s="2"/>
      <c r="Z2105" s="2"/>
      <c r="AA2105" s="2" t="s">
        <v>9187</v>
      </c>
      <c r="AB2105" s="2" t="s">
        <v>73</v>
      </c>
      <c r="AC2105" s="4" t="s">
        <v>44</v>
      </c>
    </row>
    <row r="2106" spans="1:29" x14ac:dyDescent="0.25">
      <c r="A2106" s="1">
        <v>4144</v>
      </c>
      <c r="B2106" s="17" t="s">
        <v>9915</v>
      </c>
      <c r="C2106" s="2" t="s">
        <v>9916</v>
      </c>
      <c r="D2106" s="15" t="s">
        <v>2755</v>
      </c>
      <c r="E2106" s="9" t="s">
        <v>616</v>
      </c>
      <c r="F2106" s="9" t="s">
        <v>803</v>
      </c>
      <c r="G2106" s="9" t="s">
        <v>4158</v>
      </c>
      <c r="H2106" s="2" t="s">
        <v>60</v>
      </c>
      <c r="I2106" s="3">
        <v>36504</v>
      </c>
      <c r="J2106" s="9" t="str">
        <f t="shared" ca="1" si="34"/>
        <v>23 ans</v>
      </c>
      <c r="K2106" s="2" t="s">
        <v>123</v>
      </c>
      <c r="L2106" s="2" t="str">
        <f>"410"</f>
        <v>410</v>
      </c>
      <c r="M2106" s="2"/>
      <c r="N2106" s="2" t="str">
        <f>"RUE DE LA BRISE"</f>
        <v>RUE DE LA BRISE</v>
      </c>
      <c r="O2106" s="2" t="s">
        <v>9533</v>
      </c>
      <c r="P2106" s="9" t="str">
        <f>VLOOKUP($O2106,'Liste des Villes'!$B$2:$B$1128,1,FALSE)</f>
        <v>Sainte-Sophie</v>
      </c>
      <c r="Q2106" s="9" t="str">
        <f>IFERROR($P2106,PROPER(VLOOKUP($O2106,'Villes en erreur'!$A$2:$B$72,2,FALSE)))</f>
        <v>Sainte-Sophie</v>
      </c>
      <c r="R2106" s="9" t="s">
        <v>9534</v>
      </c>
      <c r="S2106" s="9" t="str">
        <f>IF(ISBLANK($R2106),"",VLOOKUP($R2106,'Liste des Villes'!$B$2:$H$1128,4,FALSE))</f>
        <v>Laurentides</v>
      </c>
      <c r="T2106" s="2" t="s">
        <v>9759</v>
      </c>
      <c r="U2106" s="2" t="s">
        <v>39</v>
      </c>
      <c r="V2106" s="2" t="s">
        <v>40</v>
      </c>
      <c r="W2106" s="2" t="s">
        <v>9917</v>
      </c>
      <c r="X2106" s="2"/>
      <c r="Y2106" s="2"/>
      <c r="Z2106" s="2"/>
      <c r="AA2106" s="2" t="s">
        <v>9187</v>
      </c>
      <c r="AB2106" s="2" t="s">
        <v>73</v>
      </c>
      <c r="AC2106" s="4" t="s">
        <v>44</v>
      </c>
    </row>
    <row r="2107" spans="1:29" x14ac:dyDescent="0.25">
      <c r="A2107" s="1">
        <v>4056</v>
      </c>
      <c r="B2107" s="17" t="s">
        <v>9918</v>
      </c>
      <c r="C2107" s="2" t="s">
        <v>9919</v>
      </c>
      <c r="D2107" s="15" t="s">
        <v>5100</v>
      </c>
      <c r="E2107" s="9" t="s">
        <v>370</v>
      </c>
      <c r="F2107" s="9" t="s">
        <v>5099</v>
      </c>
      <c r="G2107" s="9" t="s">
        <v>622</v>
      </c>
      <c r="H2107" s="2" t="s">
        <v>60</v>
      </c>
      <c r="I2107" s="3">
        <v>36533</v>
      </c>
      <c r="J2107" s="9" t="str">
        <f t="shared" ca="1" si="34"/>
        <v>23 ans</v>
      </c>
      <c r="K2107" s="2" t="s">
        <v>68</v>
      </c>
      <c r="L2107" s="2" t="str">
        <f>"429"</f>
        <v>429</v>
      </c>
      <c r="M2107" s="2"/>
      <c r="N2107" s="2" t="str">
        <f>"RUE DE LA COURONNE"</f>
        <v>RUE DE LA COURONNE</v>
      </c>
      <c r="O2107" s="2" t="s">
        <v>9533</v>
      </c>
      <c r="P2107" s="9" t="str">
        <f>VLOOKUP($O2107,'Liste des Villes'!$B$2:$B$1128,1,FALSE)</f>
        <v>Sainte-Sophie</v>
      </c>
      <c r="Q2107" s="9" t="str">
        <f>IFERROR($P2107,PROPER(VLOOKUP($O2107,'Villes en erreur'!$A$2:$B$72,2,FALSE)))</f>
        <v>Sainte-Sophie</v>
      </c>
      <c r="R2107" s="9" t="s">
        <v>9534</v>
      </c>
      <c r="S2107" s="9" t="str">
        <f>IF(ISBLANK($R2107),"",VLOOKUP($R2107,'Liste des Villes'!$B$2:$H$1128,4,FALSE))</f>
        <v>Laurentides</v>
      </c>
      <c r="T2107" s="2" t="s">
        <v>9920</v>
      </c>
      <c r="U2107" s="2" t="s">
        <v>39</v>
      </c>
      <c r="V2107" s="2" t="s">
        <v>40</v>
      </c>
      <c r="W2107" s="2" t="s">
        <v>9921</v>
      </c>
      <c r="X2107" s="2"/>
      <c r="Y2107" s="2"/>
      <c r="Z2107" s="2"/>
      <c r="AA2107" s="2" t="s">
        <v>9187</v>
      </c>
      <c r="AB2107" s="2" t="s">
        <v>73</v>
      </c>
      <c r="AC2107" s="4" t="s">
        <v>44</v>
      </c>
    </row>
    <row r="2108" spans="1:29" x14ac:dyDescent="0.25">
      <c r="A2108" s="1">
        <v>1092</v>
      </c>
      <c r="B2108" s="17" t="s">
        <v>9922</v>
      </c>
      <c r="C2108" s="2" t="s">
        <v>6230</v>
      </c>
      <c r="D2108" s="15" t="s">
        <v>1913</v>
      </c>
      <c r="E2108" s="9" t="s">
        <v>622</v>
      </c>
      <c r="F2108" s="9" t="s">
        <v>9923</v>
      </c>
      <c r="G2108" s="9" t="s">
        <v>137</v>
      </c>
      <c r="H2108" s="2" t="s">
        <v>60</v>
      </c>
      <c r="I2108" s="3">
        <v>36553</v>
      </c>
      <c r="J2108" s="9" t="str">
        <f t="shared" ca="1" si="34"/>
        <v>23 ans</v>
      </c>
      <c r="K2108" s="2" t="s">
        <v>68</v>
      </c>
      <c r="L2108" s="2" t="str">
        <f>"445"</f>
        <v>445</v>
      </c>
      <c r="M2108" s="2"/>
      <c r="N2108" s="2" t="str">
        <f>"RUE DE LA PASSION"</f>
        <v>RUE DE LA PASSION</v>
      </c>
      <c r="O2108" s="2" t="s">
        <v>9533</v>
      </c>
      <c r="P2108" s="9" t="str">
        <f>VLOOKUP($O2108,'Liste des Villes'!$B$2:$B$1128,1,FALSE)</f>
        <v>Sainte-Sophie</v>
      </c>
      <c r="Q2108" s="9" t="str">
        <f>IFERROR($P2108,PROPER(VLOOKUP($O2108,'Villes en erreur'!$A$2:$B$72,2,FALSE)))</f>
        <v>Sainte-Sophie</v>
      </c>
      <c r="R2108" s="9" t="s">
        <v>9534</v>
      </c>
      <c r="S2108" s="9" t="str">
        <f>IF(ISBLANK($R2108),"",VLOOKUP($R2108,'Liste des Villes'!$B$2:$H$1128,4,FALSE))</f>
        <v>Laurentides</v>
      </c>
      <c r="T2108" s="2" t="s">
        <v>9924</v>
      </c>
      <c r="U2108" s="2" t="s">
        <v>39</v>
      </c>
      <c r="V2108" s="2" t="s">
        <v>40</v>
      </c>
      <c r="W2108" s="2" t="s">
        <v>9925</v>
      </c>
      <c r="X2108" s="2"/>
      <c r="Y2108" s="2"/>
      <c r="Z2108" s="2"/>
      <c r="AA2108" s="2" t="s">
        <v>515</v>
      </c>
      <c r="AB2108" s="2" t="s">
        <v>73</v>
      </c>
      <c r="AC2108" s="4" t="s">
        <v>44</v>
      </c>
    </row>
    <row r="2109" spans="1:29" x14ac:dyDescent="0.25">
      <c r="A2109" s="1">
        <v>3326</v>
      </c>
      <c r="B2109" s="17" t="s">
        <v>9926</v>
      </c>
      <c r="C2109" s="2" t="s">
        <v>6815</v>
      </c>
      <c r="D2109" s="15" t="s">
        <v>2756</v>
      </c>
      <c r="E2109" s="9" t="s">
        <v>495</v>
      </c>
      <c r="F2109" s="9" t="s">
        <v>2754</v>
      </c>
      <c r="G2109" s="9" t="s">
        <v>3440</v>
      </c>
      <c r="H2109" s="2" t="s">
        <v>35</v>
      </c>
      <c r="I2109" s="3">
        <v>36482</v>
      </c>
      <c r="J2109" s="9" t="str">
        <f t="shared" ca="1" si="34"/>
        <v>23 ans</v>
      </c>
      <c r="K2109" s="2" t="s">
        <v>123</v>
      </c>
      <c r="L2109" s="2" t="str">
        <f>"395"</f>
        <v>395</v>
      </c>
      <c r="M2109" s="2"/>
      <c r="N2109" s="2" t="str">
        <f>"RUE DE FONTENELLE"</f>
        <v>RUE DE FONTENELLE</v>
      </c>
      <c r="O2109" s="2" t="s">
        <v>9533</v>
      </c>
      <c r="P2109" s="9" t="str">
        <f>VLOOKUP($O2109,'Liste des Villes'!$B$2:$B$1128,1,FALSE)</f>
        <v>Sainte-Sophie</v>
      </c>
      <c r="Q2109" s="9" t="str">
        <f>IFERROR($P2109,PROPER(VLOOKUP($O2109,'Villes en erreur'!$A$2:$B$72,2,FALSE)))</f>
        <v>Sainte-Sophie</v>
      </c>
      <c r="R2109" s="9" t="s">
        <v>9534</v>
      </c>
      <c r="S2109" s="9" t="str">
        <f>IF(ISBLANK($R2109),"",VLOOKUP($R2109,'Liste des Villes'!$B$2:$H$1128,4,FALSE))</f>
        <v>Laurentides</v>
      </c>
      <c r="T2109" s="2" t="s">
        <v>9927</v>
      </c>
      <c r="U2109" s="2" t="s">
        <v>39</v>
      </c>
      <c r="V2109" s="2" t="s">
        <v>40</v>
      </c>
      <c r="W2109" s="2" t="s">
        <v>9928</v>
      </c>
      <c r="X2109" s="2"/>
      <c r="Y2109" s="2"/>
      <c r="Z2109" s="2"/>
      <c r="AA2109" s="2" t="s">
        <v>9187</v>
      </c>
      <c r="AB2109" s="2" t="s">
        <v>73</v>
      </c>
      <c r="AC2109" s="4" t="s">
        <v>44</v>
      </c>
    </row>
    <row r="2110" spans="1:29" x14ac:dyDescent="0.25">
      <c r="A2110" s="1">
        <v>642</v>
      </c>
      <c r="B2110" s="17" t="s">
        <v>9929</v>
      </c>
      <c r="C2110" s="2" t="s">
        <v>9930</v>
      </c>
      <c r="D2110" s="15" t="s">
        <v>9931</v>
      </c>
      <c r="E2110" s="9" t="s">
        <v>9932</v>
      </c>
      <c r="F2110" s="9" t="s">
        <v>100</v>
      </c>
      <c r="G2110" s="9" t="s">
        <v>137</v>
      </c>
      <c r="H2110" s="2" t="s">
        <v>60</v>
      </c>
      <c r="I2110" s="3">
        <v>36557</v>
      </c>
      <c r="J2110" s="9" t="str">
        <f t="shared" ca="1" si="34"/>
        <v>23 ans</v>
      </c>
      <c r="K2110" s="2" t="s">
        <v>68</v>
      </c>
      <c r="L2110" s="2" t="str">
        <f>"448"</f>
        <v>448</v>
      </c>
      <c r="M2110" s="2"/>
      <c r="N2110" s="2" t="str">
        <f>"RUE DE LA PICARDIE"</f>
        <v>RUE DE LA PICARDIE</v>
      </c>
      <c r="O2110" s="2" t="s">
        <v>9533</v>
      </c>
      <c r="P2110" s="9" t="str">
        <f>VLOOKUP($O2110,'Liste des Villes'!$B$2:$B$1128,1,FALSE)</f>
        <v>Sainte-Sophie</v>
      </c>
      <c r="Q2110" s="9" t="str">
        <f>IFERROR($P2110,PROPER(VLOOKUP($O2110,'Villes en erreur'!$A$2:$B$72,2,FALSE)))</f>
        <v>Sainte-Sophie</v>
      </c>
      <c r="R2110" s="9" t="s">
        <v>9534</v>
      </c>
      <c r="S2110" s="9" t="str">
        <f>IF(ISBLANK($R2110),"",VLOOKUP($R2110,'Liste des Villes'!$B$2:$H$1128,4,FALSE))</f>
        <v>Laurentides</v>
      </c>
      <c r="T2110" s="2" t="s">
        <v>9933</v>
      </c>
      <c r="U2110" s="2" t="s">
        <v>39</v>
      </c>
      <c r="V2110" s="2" t="s">
        <v>40</v>
      </c>
      <c r="W2110" s="2" t="s">
        <v>9934</v>
      </c>
      <c r="X2110" s="2"/>
      <c r="Y2110" s="2"/>
      <c r="Z2110" s="2"/>
      <c r="AA2110" s="2" t="s">
        <v>515</v>
      </c>
      <c r="AB2110" s="2" t="s">
        <v>73</v>
      </c>
      <c r="AC2110" s="4" t="s">
        <v>44</v>
      </c>
    </row>
    <row r="2111" spans="1:29" x14ac:dyDescent="0.25">
      <c r="A2111" s="1">
        <v>1929</v>
      </c>
      <c r="B2111" s="17" t="s">
        <v>9935</v>
      </c>
      <c r="C2111" s="2" t="s">
        <v>5519</v>
      </c>
      <c r="D2111" s="15" t="s">
        <v>5520</v>
      </c>
      <c r="E2111" s="9" t="s">
        <v>1099</v>
      </c>
      <c r="F2111" s="9" t="s">
        <v>7214</v>
      </c>
      <c r="G2111" s="9" t="s">
        <v>8017</v>
      </c>
      <c r="H2111" s="2" t="s">
        <v>60</v>
      </c>
      <c r="I2111" s="3">
        <v>36481</v>
      </c>
      <c r="J2111" s="9" t="str">
        <f t="shared" ca="1" si="34"/>
        <v>23 ans</v>
      </c>
      <c r="K2111" s="2" t="s">
        <v>123</v>
      </c>
      <c r="L2111" s="2" t="str">
        <f>"394"</f>
        <v>394</v>
      </c>
      <c r="M2111" s="2"/>
      <c r="N2111" s="2" t="str">
        <f>"RUE DE DORVAL"</f>
        <v>RUE DE DORVAL</v>
      </c>
      <c r="O2111" s="2" t="s">
        <v>9533</v>
      </c>
      <c r="P2111" s="9" t="str">
        <f>VLOOKUP($O2111,'Liste des Villes'!$B$2:$B$1128,1,FALSE)</f>
        <v>Sainte-Sophie</v>
      </c>
      <c r="Q2111" s="9" t="str">
        <f>IFERROR($P2111,PROPER(VLOOKUP($O2111,'Villes en erreur'!$A$2:$B$72,2,FALSE)))</f>
        <v>Sainte-Sophie</v>
      </c>
      <c r="R2111" s="9" t="s">
        <v>9534</v>
      </c>
      <c r="S2111" s="9" t="str">
        <f>IF(ISBLANK($R2111),"",VLOOKUP($R2111,'Liste des Villes'!$B$2:$H$1128,4,FALSE))</f>
        <v>Laurentides</v>
      </c>
      <c r="T2111" s="2" t="s">
        <v>9791</v>
      </c>
      <c r="U2111" s="2" t="s">
        <v>39</v>
      </c>
      <c r="V2111" s="2" t="s">
        <v>40</v>
      </c>
      <c r="W2111" s="2" t="s">
        <v>9936</v>
      </c>
      <c r="X2111" s="2"/>
      <c r="Y2111" s="2"/>
      <c r="Z2111" s="2"/>
      <c r="AA2111" s="2" t="s">
        <v>9187</v>
      </c>
      <c r="AB2111" s="2" t="s">
        <v>73</v>
      </c>
      <c r="AC2111" s="4" t="s">
        <v>44</v>
      </c>
    </row>
    <row r="2112" spans="1:29" x14ac:dyDescent="0.25">
      <c r="A2112" s="1">
        <v>3247</v>
      </c>
      <c r="B2112" s="17" t="s">
        <v>9937</v>
      </c>
      <c r="C2112" s="2" t="s">
        <v>5615</v>
      </c>
      <c r="D2112" s="15" t="s">
        <v>1324</v>
      </c>
      <c r="E2112" s="9" t="s">
        <v>1355</v>
      </c>
      <c r="F2112" s="9" t="s">
        <v>6969</v>
      </c>
      <c r="G2112" s="9" t="s">
        <v>622</v>
      </c>
      <c r="H2112" s="2" t="s">
        <v>60</v>
      </c>
      <c r="I2112" s="3">
        <v>36522</v>
      </c>
      <c r="J2112" s="9" t="str">
        <f t="shared" ca="1" si="34"/>
        <v>23 ans</v>
      </c>
      <c r="K2112" s="2" t="s">
        <v>123</v>
      </c>
      <c r="L2112" s="2" t="str">
        <f>"422"</f>
        <v>422</v>
      </c>
      <c r="M2112" s="2"/>
      <c r="N2112" s="2" t="str">
        <f>"RUE DE LA CIGOGNE"</f>
        <v>RUE DE LA CIGOGNE</v>
      </c>
      <c r="O2112" s="2" t="s">
        <v>9533</v>
      </c>
      <c r="P2112" s="9" t="str">
        <f>VLOOKUP($O2112,'Liste des Villes'!$B$2:$B$1128,1,FALSE)</f>
        <v>Sainte-Sophie</v>
      </c>
      <c r="Q2112" s="9" t="str">
        <f>IFERROR($P2112,PROPER(VLOOKUP($O2112,'Villes en erreur'!$A$2:$B$72,2,FALSE)))</f>
        <v>Sainte-Sophie</v>
      </c>
      <c r="R2112" s="9" t="s">
        <v>9534</v>
      </c>
      <c r="S2112" s="9" t="str">
        <f>IF(ISBLANK($R2112),"",VLOOKUP($R2112,'Liste des Villes'!$B$2:$H$1128,4,FALSE))</f>
        <v>Laurentides</v>
      </c>
      <c r="T2112" s="2" t="s">
        <v>9938</v>
      </c>
      <c r="U2112" s="2" t="s">
        <v>39</v>
      </c>
      <c r="V2112" s="2" t="s">
        <v>40</v>
      </c>
      <c r="W2112" s="2" t="s">
        <v>9939</v>
      </c>
      <c r="X2112" s="2"/>
      <c r="Y2112" s="2"/>
      <c r="Z2112" s="2"/>
      <c r="AA2112" s="2" t="s">
        <v>9187</v>
      </c>
      <c r="AB2112" s="2" t="s">
        <v>73</v>
      </c>
      <c r="AC2112" s="4" t="s">
        <v>44</v>
      </c>
    </row>
    <row r="2113" spans="1:29" x14ac:dyDescent="0.25">
      <c r="A2113" s="1">
        <v>1344</v>
      </c>
      <c r="B2113" s="17" t="s">
        <v>9940</v>
      </c>
      <c r="C2113" s="2" t="s">
        <v>6956</v>
      </c>
      <c r="D2113" s="15" t="s">
        <v>6957</v>
      </c>
      <c r="E2113" s="9" t="s">
        <v>6958</v>
      </c>
      <c r="F2113" s="9" t="s">
        <v>9941</v>
      </c>
      <c r="G2113" s="9" t="s">
        <v>4968</v>
      </c>
      <c r="H2113" s="2" t="s">
        <v>60</v>
      </c>
      <c r="I2113" s="3">
        <v>36576</v>
      </c>
      <c r="J2113" s="9" t="str">
        <f t="shared" ca="1" si="34"/>
        <v>23 ans</v>
      </c>
      <c r="K2113" s="2" t="s">
        <v>68</v>
      </c>
      <c r="L2113" s="2" t="str">
        <f>"466"</f>
        <v>466</v>
      </c>
      <c r="M2113" s="2"/>
      <c r="N2113" s="2" t="str">
        <f>"RUE DE LA RENAISSANCE"</f>
        <v>RUE DE LA RENAISSANCE</v>
      </c>
      <c r="O2113" s="2" t="s">
        <v>9533</v>
      </c>
      <c r="P2113" s="9" t="str">
        <f>VLOOKUP($O2113,'Liste des Villes'!$B$2:$B$1128,1,FALSE)</f>
        <v>Sainte-Sophie</v>
      </c>
      <c r="Q2113" s="9" t="str">
        <f>IFERROR($P2113,PROPER(VLOOKUP($O2113,'Villes en erreur'!$A$2:$B$72,2,FALSE)))</f>
        <v>Sainte-Sophie</v>
      </c>
      <c r="R2113" s="9" t="s">
        <v>9534</v>
      </c>
      <c r="S2113" s="9" t="str">
        <f>IF(ISBLANK($R2113),"",VLOOKUP($R2113,'Liste des Villes'!$B$2:$H$1128,4,FALSE))</f>
        <v>Laurentides</v>
      </c>
      <c r="T2113" s="2" t="s">
        <v>9942</v>
      </c>
      <c r="U2113" s="2" t="s">
        <v>39</v>
      </c>
      <c r="V2113" s="2" t="s">
        <v>40</v>
      </c>
      <c r="W2113" s="2" t="s">
        <v>9943</v>
      </c>
      <c r="X2113" s="2"/>
      <c r="Y2113" s="2"/>
      <c r="Z2113" s="2"/>
      <c r="AA2113" s="2" t="s">
        <v>515</v>
      </c>
      <c r="AB2113" s="2" t="s">
        <v>73</v>
      </c>
      <c r="AC2113" s="4" t="s">
        <v>44</v>
      </c>
    </row>
    <row r="2114" spans="1:29" x14ac:dyDescent="0.25">
      <c r="A2114" s="1">
        <v>4414</v>
      </c>
      <c r="B2114" s="17" t="s">
        <v>9944</v>
      </c>
      <c r="C2114" s="2" t="s">
        <v>9945</v>
      </c>
      <c r="D2114" s="15" t="s">
        <v>6314</v>
      </c>
      <c r="E2114" s="9" t="s">
        <v>9946</v>
      </c>
      <c r="F2114" s="9" t="s">
        <v>861</v>
      </c>
      <c r="G2114" s="9" t="s">
        <v>9947</v>
      </c>
      <c r="H2114" s="2" t="s">
        <v>35</v>
      </c>
      <c r="I2114" s="3">
        <v>36549</v>
      </c>
      <c r="J2114" s="9" t="str">
        <f t="shared" ref="J2114:J2177" ca="1" si="35">_xlfn.CONCAT(INT((TODAY()-$I2114)/365.25)," ans")</f>
        <v>23 ans</v>
      </c>
      <c r="K2114" s="2" t="s">
        <v>68</v>
      </c>
      <c r="L2114" s="2" t="str">
        <f>"442"</f>
        <v>442</v>
      </c>
      <c r="M2114" s="2"/>
      <c r="N2114" s="2" t="str">
        <f>"RUE DE LA MONTAGNE"</f>
        <v>RUE DE LA MONTAGNE</v>
      </c>
      <c r="O2114" s="2" t="s">
        <v>9533</v>
      </c>
      <c r="P2114" s="9" t="str">
        <f>VLOOKUP($O2114,'Liste des Villes'!$B$2:$B$1128,1,FALSE)</f>
        <v>Sainte-Sophie</v>
      </c>
      <c r="Q2114" s="9" t="str">
        <f>IFERROR($P2114,PROPER(VLOOKUP($O2114,'Villes en erreur'!$A$2:$B$72,2,FALSE)))</f>
        <v>Sainte-Sophie</v>
      </c>
      <c r="R2114" s="9" t="s">
        <v>9534</v>
      </c>
      <c r="S2114" s="9" t="str">
        <f>IF(ISBLANK($R2114),"",VLOOKUP($R2114,'Liste des Villes'!$B$2:$H$1128,4,FALSE))</f>
        <v>Laurentides</v>
      </c>
      <c r="T2114" s="2" t="s">
        <v>9948</v>
      </c>
      <c r="U2114" s="2" t="s">
        <v>39</v>
      </c>
      <c r="V2114" s="2" t="s">
        <v>40</v>
      </c>
      <c r="W2114" s="2" t="s">
        <v>9949</v>
      </c>
      <c r="X2114" s="2"/>
      <c r="Y2114" s="2"/>
      <c r="Z2114" s="2"/>
      <c r="AA2114" s="2" t="s">
        <v>515</v>
      </c>
      <c r="AB2114" s="2" t="s">
        <v>73</v>
      </c>
      <c r="AC2114" s="4" t="s">
        <v>44</v>
      </c>
    </row>
    <row r="2115" spans="1:29" x14ac:dyDescent="0.25">
      <c r="A2115" s="1">
        <v>3735</v>
      </c>
      <c r="B2115" s="17" t="s">
        <v>9950</v>
      </c>
      <c r="C2115" s="2" t="s">
        <v>4526</v>
      </c>
      <c r="D2115" s="15" t="s">
        <v>1489</v>
      </c>
      <c r="E2115" s="9" t="s">
        <v>332</v>
      </c>
      <c r="F2115" s="9" t="s">
        <v>9827</v>
      </c>
      <c r="G2115" s="9" t="s">
        <v>683</v>
      </c>
      <c r="H2115" s="2" t="s">
        <v>60</v>
      </c>
      <c r="I2115" s="3">
        <v>36545</v>
      </c>
      <c r="J2115" s="9" t="str">
        <f t="shared" ca="1" si="35"/>
        <v>23 ans</v>
      </c>
      <c r="K2115" s="2" t="s">
        <v>68</v>
      </c>
      <c r="L2115" s="2" t="str">
        <f>"440"</f>
        <v>440</v>
      </c>
      <c r="M2115" s="2"/>
      <c r="N2115" s="2" t="str">
        <f>"RUE DE LA MÉSANGE"</f>
        <v>RUE DE LA MÉSANGE</v>
      </c>
      <c r="O2115" s="2" t="s">
        <v>9533</v>
      </c>
      <c r="P2115" s="9" t="str">
        <f>VLOOKUP($O2115,'Liste des Villes'!$B$2:$B$1128,1,FALSE)</f>
        <v>Sainte-Sophie</v>
      </c>
      <c r="Q2115" s="9" t="str">
        <f>IFERROR($P2115,PROPER(VLOOKUP($O2115,'Villes en erreur'!$A$2:$B$72,2,FALSE)))</f>
        <v>Sainte-Sophie</v>
      </c>
      <c r="R2115" s="9" t="s">
        <v>9534</v>
      </c>
      <c r="S2115" s="9" t="str">
        <f>IF(ISBLANK($R2115),"",VLOOKUP($R2115,'Liste des Villes'!$B$2:$H$1128,4,FALSE))</f>
        <v>Laurentides</v>
      </c>
      <c r="T2115" s="2" t="s">
        <v>9951</v>
      </c>
      <c r="U2115" s="2" t="s">
        <v>39</v>
      </c>
      <c r="V2115" s="2" t="s">
        <v>40</v>
      </c>
      <c r="W2115" s="2" t="s">
        <v>9952</v>
      </c>
      <c r="X2115" s="2"/>
      <c r="Y2115" s="2"/>
      <c r="Z2115" s="2"/>
      <c r="AA2115" s="2" t="s">
        <v>515</v>
      </c>
      <c r="AB2115" s="2" t="s">
        <v>73</v>
      </c>
      <c r="AC2115" s="4" t="s">
        <v>44</v>
      </c>
    </row>
    <row r="2116" spans="1:29" x14ac:dyDescent="0.25">
      <c r="A2116" s="1">
        <v>4107</v>
      </c>
      <c r="B2116" s="17" t="s">
        <v>9953</v>
      </c>
      <c r="C2116" s="2" t="s">
        <v>9954</v>
      </c>
      <c r="D2116" s="15" t="s">
        <v>9955</v>
      </c>
      <c r="E2116" s="9" t="s">
        <v>7380</v>
      </c>
      <c r="F2116" s="9" t="s">
        <v>2344</v>
      </c>
      <c r="G2116" s="9" t="s">
        <v>622</v>
      </c>
      <c r="H2116" s="2" t="s">
        <v>60</v>
      </c>
      <c r="I2116" s="3">
        <v>36534</v>
      </c>
      <c r="J2116" s="9" t="str">
        <f t="shared" ca="1" si="35"/>
        <v>23 ans</v>
      </c>
      <c r="K2116" s="2" t="s">
        <v>68</v>
      </c>
      <c r="L2116" s="2" t="str">
        <f>"430"</f>
        <v>430</v>
      </c>
      <c r="M2116" s="2"/>
      <c r="N2116" s="2" t="str">
        <f>"RUE DE LA DAME-NEUVE"</f>
        <v>RUE DE LA DAME-NEUVE</v>
      </c>
      <c r="O2116" s="2" t="s">
        <v>9533</v>
      </c>
      <c r="P2116" s="9" t="str">
        <f>VLOOKUP($O2116,'Liste des Villes'!$B$2:$B$1128,1,FALSE)</f>
        <v>Sainte-Sophie</v>
      </c>
      <c r="Q2116" s="9" t="str">
        <f>IFERROR($P2116,PROPER(VLOOKUP($O2116,'Villes en erreur'!$A$2:$B$72,2,FALSE)))</f>
        <v>Sainte-Sophie</v>
      </c>
      <c r="R2116" s="9" t="s">
        <v>9534</v>
      </c>
      <c r="S2116" s="9" t="str">
        <f>IF(ISBLANK($R2116),"",VLOOKUP($R2116,'Liste des Villes'!$B$2:$H$1128,4,FALSE))</f>
        <v>Laurentides</v>
      </c>
      <c r="T2116" s="2" t="s">
        <v>9956</v>
      </c>
      <c r="U2116" s="2" t="s">
        <v>39</v>
      </c>
      <c r="V2116" s="2" t="s">
        <v>40</v>
      </c>
      <c r="W2116" s="2" t="s">
        <v>9957</v>
      </c>
      <c r="X2116" s="2"/>
      <c r="Y2116" s="2"/>
      <c r="Z2116" s="2"/>
      <c r="AA2116" s="2" t="s">
        <v>515</v>
      </c>
      <c r="AB2116" s="2" t="s">
        <v>73</v>
      </c>
      <c r="AC2116" s="4" t="s">
        <v>44</v>
      </c>
    </row>
    <row r="2117" spans="1:29" x14ac:dyDescent="0.25">
      <c r="A2117" s="1">
        <v>1099</v>
      </c>
      <c r="B2117" s="17" t="s">
        <v>9958</v>
      </c>
      <c r="C2117" s="2" t="s">
        <v>9959</v>
      </c>
      <c r="D2117" s="15" t="s">
        <v>7795</v>
      </c>
      <c r="E2117" s="9" t="s">
        <v>2796</v>
      </c>
      <c r="F2117" s="9" t="s">
        <v>9960</v>
      </c>
      <c r="G2117" s="9" t="s">
        <v>9961</v>
      </c>
      <c r="H2117" s="2" t="s">
        <v>60</v>
      </c>
      <c r="I2117" s="3">
        <v>36539</v>
      </c>
      <c r="J2117" s="9" t="str">
        <f t="shared" ca="1" si="35"/>
        <v>23 ans</v>
      </c>
      <c r="K2117" s="2" t="s">
        <v>68</v>
      </c>
      <c r="L2117" s="2" t="str">
        <f>"434"</f>
        <v>434</v>
      </c>
      <c r="M2117" s="2"/>
      <c r="N2117" s="2" t="str">
        <f>"RUE DE LA GARE"</f>
        <v>RUE DE LA GARE</v>
      </c>
      <c r="O2117" s="2" t="s">
        <v>9533</v>
      </c>
      <c r="P2117" s="9" t="str">
        <f>VLOOKUP($O2117,'Liste des Villes'!$B$2:$B$1128,1,FALSE)</f>
        <v>Sainte-Sophie</v>
      </c>
      <c r="Q2117" s="9" t="str">
        <f>IFERROR($P2117,PROPER(VLOOKUP($O2117,'Villes en erreur'!$A$2:$B$72,2,FALSE)))</f>
        <v>Sainte-Sophie</v>
      </c>
      <c r="R2117" s="9" t="s">
        <v>9534</v>
      </c>
      <c r="S2117" s="9" t="str">
        <f>IF(ISBLANK($R2117),"",VLOOKUP($R2117,'Liste des Villes'!$B$2:$H$1128,4,FALSE))</f>
        <v>Laurentides</v>
      </c>
      <c r="T2117" s="2" t="s">
        <v>9962</v>
      </c>
      <c r="U2117" s="2" t="s">
        <v>39</v>
      </c>
      <c r="V2117" s="2" t="s">
        <v>40</v>
      </c>
      <c r="W2117" s="2" t="s">
        <v>9963</v>
      </c>
      <c r="X2117" s="2"/>
      <c r="Y2117" s="2"/>
      <c r="Z2117" s="2"/>
      <c r="AA2117" s="2" t="s">
        <v>515</v>
      </c>
      <c r="AB2117" s="2" t="s">
        <v>73</v>
      </c>
      <c r="AC2117" s="4" t="s">
        <v>44</v>
      </c>
    </row>
    <row r="2118" spans="1:29" x14ac:dyDescent="0.25">
      <c r="A2118" s="1">
        <v>832</v>
      </c>
      <c r="B2118" s="17" t="s">
        <v>9964</v>
      </c>
      <c r="C2118" s="2" t="s">
        <v>9965</v>
      </c>
      <c r="D2118" s="15" t="s">
        <v>9966</v>
      </c>
      <c r="E2118" s="9" t="s">
        <v>4474</v>
      </c>
      <c r="F2118" s="9" t="s">
        <v>9967</v>
      </c>
      <c r="G2118" s="9" t="s">
        <v>683</v>
      </c>
      <c r="H2118" s="2" t="s">
        <v>60</v>
      </c>
      <c r="I2118" s="3">
        <v>36541</v>
      </c>
      <c r="J2118" s="9" t="str">
        <f t="shared" ca="1" si="35"/>
        <v>23 ans</v>
      </c>
      <c r="K2118" s="2" t="s">
        <v>68</v>
      </c>
      <c r="L2118" s="2" t="str">
        <f>"436"</f>
        <v>436</v>
      </c>
      <c r="M2118" s="2"/>
      <c r="N2118" s="2" t="str">
        <f>"RUE DE LA GRANDE OURSE"</f>
        <v>RUE DE LA GRANDE OURSE</v>
      </c>
      <c r="O2118" s="2" t="s">
        <v>9533</v>
      </c>
      <c r="P2118" s="9" t="str">
        <f>VLOOKUP($O2118,'Liste des Villes'!$B$2:$B$1128,1,FALSE)</f>
        <v>Sainte-Sophie</v>
      </c>
      <c r="Q2118" s="9" t="str">
        <f>IFERROR($P2118,PROPER(VLOOKUP($O2118,'Villes en erreur'!$A$2:$B$72,2,FALSE)))</f>
        <v>Sainte-Sophie</v>
      </c>
      <c r="R2118" s="9" t="s">
        <v>9534</v>
      </c>
      <c r="S2118" s="9" t="str">
        <f>IF(ISBLANK($R2118),"",VLOOKUP($R2118,'Liste des Villes'!$B$2:$H$1128,4,FALSE))</f>
        <v>Laurentides</v>
      </c>
      <c r="T2118" s="2" t="s">
        <v>9968</v>
      </c>
      <c r="U2118" s="2" t="s">
        <v>39</v>
      </c>
      <c r="V2118" s="2" t="s">
        <v>40</v>
      </c>
      <c r="W2118" s="2" t="s">
        <v>9969</v>
      </c>
      <c r="X2118" s="2"/>
      <c r="Y2118" s="2"/>
      <c r="Z2118" s="2"/>
      <c r="AA2118" s="2" t="s">
        <v>515</v>
      </c>
      <c r="AB2118" s="2" t="s">
        <v>73</v>
      </c>
      <c r="AC2118" s="4" t="s">
        <v>44</v>
      </c>
    </row>
    <row r="2119" spans="1:29" x14ac:dyDescent="0.25">
      <c r="A2119" s="1">
        <v>1785</v>
      </c>
      <c r="B2119" s="17" t="s">
        <v>9970</v>
      </c>
      <c r="C2119" s="2" t="s">
        <v>9971</v>
      </c>
      <c r="D2119" s="15" t="s">
        <v>9972</v>
      </c>
      <c r="E2119" s="9" t="s">
        <v>2381</v>
      </c>
      <c r="F2119" s="9" t="s">
        <v>9973</v>
      </c>
      <c r="G2119" s="9" t="s">
        <v>622</v>
      </c>
      <c r="H2119" s="2" t="s">
        <v>60</v>
      </c>
      <c r="I2119" s="3">
        <v>36529</v>
      </c>
      <c r="J2119" s="9" t="str">
        <f t="shared" ca="1" si="35"/>
        <v>23 ans</v>
      </c>
      <c r="K2119" s="2" t="s">
        <v>123</v>
      </c>
      <c r="L2119" s="2" t="str">
        <f>"427"</f>
        <v>427</v>
      </c>
      <c r="M2119" s="2"/>
      <c r="N2119" s="2" t="str">
        <f>"RUE DE LA CONCORDE"</f>
        <v>RUE DE LA CONCORDE</v>
      </c>
      <c r="O2119" s="2" t="s">
        <v>9533</v>
      </c>
      <c r="P2119" s="9" t="str">
        <f>VLOOKUP($O2119,'Liste des Villes'!$B$2:$B$1128,1,FALSE)</f>
        <v>Sainte-Sophie</v>
      </c>
      <c r="Q2119" s="9" t="str">
        <f>IFERROR($P2119,PROPER(VLOOKUP($O2119,'Villes en erreur'!$A$2:$B$72,2,FALSE)))</f>
        <v>Sainte-Sophie</v>
      </c>
      <c r="R2119" s="9" t="s">
        <v>9534</v>
      </c>
      <c r="S2119" s="9" t="str">
        <f>IF(ISBLANK($R2119),"",VLOOKUP($R2119,'Liste des Villes'!$B$2:$H$1128,4,FALSE))</f>
        <v>Laurentides</v>
      </c>
      <c r="T2119" s="2" t="s">
        <v>9974</v>
      </c>
      <c r="U2119" s="2" t="s">
        <v>39</v>
      </c>
      <c r="V2119" s="2" t="s">
        <v>40</v>
      </c>
      <c r="W2119" s="2" t="s">
        <v>9975</v>
      </c>
      <c r="X2119" s="2"/>
      <c r="Y2119" s="2"/>
      <c r="Z2119" s="2"/>
      <c r="AA2119" s="2" t="s">
        <v>9187</v>
      </c>
      <c r="AB2119" s="2" t="s">
        <v>73</v>
      </c>
      <c r="AC2119" s="4" t="s">
        <v>44</v>
      </c>
    </row>
    <row r="2120" spans="1:29" x14ac:dyDescent="0.25">
      <c r="A2120" s="1">
        <v>1567</v>
      </c>
      <c r="B2120" s="17" t="s">
        <v>9976</v>
      </c>
      <c r="C2120" s="2" t="s">
        <v>9977</v>
      </c>
      <c r="D2120" s="15" t="s">
        <v>1117</v>
      </c>
      <c r="E2120" s="9" t="s">
        <v>3336</v>
      </c>
      <c r="F2120" s="9" t="s">
        <v>8603</v>
      </c>
      <c r="G2120" s="9" t="s">
        <v>622</v>
      </c>
      <c r="H2120" s="2" t="s">
        <v>60</v>
      </c>
      <c r="I2120" s="3">
        <v>36528</v>
      </c>
      <c r="J2120" s="9" t="str">
        <f t="shared" ca="1" si="35"/>
        <v>23 ans</v>
      </c>
      <c r="K2120" s="2" t="s">
        <v>123</v>
      </c>
      <c r="L2120" s="2" t="str">
        <f>"426"</f>
        <v>426</v>
      </c>
      <c r="M2120" s="2"/>
      <c r="N2120" s="2" t="str">
        <f>"RUE DE LA CONCORDE"</f>
        <v>RUE DE LA CONCORDE</v>
      </c>
      <c r="O2120" s="2" t="s">
        <v>9533</v>
      </c>
      <c r="P2120" s="9" t="str">
        <f>VLOOKUP($O2120,'Liste des Villes'!$B$2:$B$1128,1,FALSE)</f>
        <v>Sainte-Sophie</v>
      </c>
      <c r="Q2120" s="9" t="str">
        <f>IFERROR($P2120,PROPER(VLOOKUP($O2120,'Villes en erreur'!$A$2:$B$72,2,FALSE)))</f>
        <v>Sainte-Sophie</v>
      </c>
      <c r="R2120" s="9" t="s">
        <v>9534</v>
      </c>
      <c r="S2120" s="9" t="str">
        <f>IF(ISBLANK($R2120),"",VLOOKUP($R2120,'Liste des Villes'!$B$2:$H$1128,4,FALSE))</f>
        <v>Laurentides</v>
      </c>
      <c r="T2120" s="2" t="s">
        <v>9978</v>
      </c>
      <c r="U2120" s="2" t="s">
        <v>39</v>
      </c>
      <c r="V2120" s="2" t="s">
        <v>40</v>
      </c>
      <c r="W2120" s="2" t="s">
        <v>9979</v>
      </c>
      <c r="X2120" s="2"/>
      <c r="Y2120" s="2"/>
      <c r="Z2120" s="2"/>
      <c r="AA2120" s="2" t="s">
        <v>9187</v>
      </c>
      <c r="AB2120" s="2" t="s">
        <v>73</v>
      </c>
      <c r="AC2120" s="4" t="s">
        <v>44</v>
      </c>
    </row>
    <row r="2121" spans="1:29" x14ac:dyDescent="0.25">
      <c r="A2121" s="1">
        <v>3254</v>
      </c>
      <c r="B2121" s="17" t="s">
        <v>9980</v>
      </c>
      <c r="C2121" s="2" t="s">
        <v>9981</v>
      </c>
      <c r="D2121" s="15" t="s">
        <v>4344</v>
      </c>
      <c r="E2121" s="9" t="s">
        <v>1560</v>
      </c>
      <c r="F2121" s="9" t="s">
        <v>867</v>
      </c>
      <c r="G2121" s="9" t="s">
        <v>622</v>
      </c>
      <c r="H2121" s="2" t="s">
        <v>60</v>
      </c>
      <c r="I2121" s="3">
        <v>36525</v>
      </c>
      <c r="J2121" s="9" t="str">
        <f t="shared" ca="1" si="35"/>
        <v>23 ans</v>
      </c>
      <c r="K2121" s="2" t="s">
        <v>123</v>
      </c>
      <c r="L2121" s="2" t="str">
        <f>"425"</f>
        <v>425</v>
      </c>
      <c r="M2121" s="2"/>
      <c r="N2121" s="2" t="str">
        <f>"RUE DE LA COLLINE"</f>
        <v>RUE DE LA COLLINE</v>
      </c>
      <c r="O2121" s="2" t="s">
        <v>9533</v>
      </c>
      <c r="P2121" s="9" t="str">
        <f>VLOOKUP($O2121,'Liste des Villes'!$B$2:$B$1128,1,FALSE)</f>
        <v>Sainte-Sophie</v>
      </c>
      <c r="Q2121" s="9" t="str">
        <f>IFERROR($P2121,PROPER(VLOOKUP($O2121,'Villes en erreur'!$A$2:$B$72,2,FALSE)))</f>
        <v>Sainte-Sophie</v>
      </c>
      <c r="R2121" s="9" t="s">
        <v>9534</v>
      </c>
      <c r="S2121" s="9" t="str">
        <f>IF(ISBLANK($R2121),"",VLOOKUP($R2121,'Liste des Villes'!$B$2:$H$1128,4,FALSE))</f>
        <v>Laurentides</v>
      </c>
      <c r="T2121" s="2" t="s">
        <v>9982</v>
      </c>
      <c r="U2121" s="2" t="s">
        <v>39</v>
      </c>
      <c r="V2121" s="2" t="s">
        <v>40</v>
      </c>
      <c r="W2121" s="2" t="s">
        <v>9983</v>
      </c>
      <c r="X2121" s="2"/>
      <c r="Y2121" s="2"/>
      <c r="Z2121" s="2"/>
      <c r="AA2121" s="2" t="s">
        <v>9187</v>
      </c>
      <c r="AB2121" s="2" t="s">
        <v>73</v>
      </c>
      <c r="AC2121" s="4" t="s">
        <v>44</v>
      </c>
    </row>
    <row r="2122" spans="1:29" x14ac:dyDescent="0.25">
      <c r="A2122" s="1">
        <v>1425</v>
      </c>
      <c r="B2122" s="17" t="s">
        <v>9984</v>
      </c>
      <c r="C2122" s="2" t="s">
        <v>9985</v>
      </c>
      <c r="D2122" s="15" t="s">
        <v>2802</v>
      </c>
      <c r="E2122" s="9" t="s">
        <v>495</v>
      </c>
      <c r="F2122" s="9" t="s">
        <v>2801</v>
      </c>
      <c r="G2122" s="9" t="s">
        <v>9986</v>
      </c>
      <c r="H2122" s="2" t="s">
        <v>60</v>
      </c>
      <c r="I2122" s="3">
        <v>36503</v>
      </c>
      <c r="J2122" s="9" t="str">
        <f t="shared" ca="1" si="35"/>
        <v>23 ans</v>
      </c>
      <c r="K2122" s="2" t="s">
        <v>123</v>
      </c>
      <c r="L2122" s="2" t="str">
        <f>"408"</f>
        <v>408</v>
      </c>
      <c r="M2122" s="2"/>
      <c r="N2122" s="2" t="str">
        <f>"RUE DE LA BRETAGNE"</f>
        <v>RUE DE LA BRETAGNE</v>
      </c>
      <c r="O2122" s="2" t="s">
        <v>9533</v>
      </c>
      <c r="P2122" s="9" t="str">
        <f>VLOOKUP($O2122,'Liste des Villes'!$B$2:$B$1128,1,FALSE)</f>
        <v>Sainte-Sophie</v>
      </c>
      <c r="Q2122" s="9" t="str">
        <f>IFERROR($P2122,PROPER(VLOOKUP($O2122,'Villes en erreur'!$A$2:$B$72,2,FALSE)))</f>
        <v>Sainte-Sophie</v>
      </c>
      <c r="R2122" s="9" t="s">
        <v>9534</v>
      </c>
      <c r="S2122" s="9" t="str">
        <f>IF(ISBLANK($R2122),"",VLOOKUP($R2122,'Liste des Villes'!$B$2:$H$1128,4,FALSE))</f>
        <v>Laurentides</v>
      </c>
      <c r="T2122" s="2" t="s">
        <v>9692</v>
      </c>
      <c r="U2122" s="2" t="s">
        <v>39</v>
      </c>
      <c r="V2122" s="2" t="s">
        <v>40</v>
      </c>
      <c r="W2122" s="2" t="s">
        <v>9987</v>
      </c>
      <c r="X2122" s="2"/>
      <c r="Y2122" s="2"/>
      <c r="Z2122" s="2"/>
      <c r="AA2122" s="2" t="s">
        <v>9187</v>
      </c>
      <c r="AB2122" s="2" t="s">
        <v>73</v>
      </c>
      <c r="AC2122" s="4" t="s">
        <v>44</v>
      </c>
    </row>
    <row r="2123" spans="1:29" x14ac:dyDescent="0.25">
      <c r="A2123" s="1">
        <v>4380</v>
      </c>
      <c r="B2123" s="17" t="s">
        <v>9988</v>
      </c>
      <c r="C2123" s="2" t="s">
        <v>9989</v>
      </c>
      <c r="D2123" s="15" t="s">
        <v>9990</v>
      </c>
      <c r="E2123" s="9" t="s">
        <v>354</v>
      </c>
      <c r="F2123" s="9" t="s">
        <v>9991</v>
      </c>
      <c r="G2123" s="9" t="s">
        <v>989</v>
      </c>
      <c r="H2123" s="2" t="s">
        <v>60</v>
      </c>
      <c r="I2123" s="3">
        <v>36516</v>
      </c>
      <c r="J2123" s="9" t="str">
        <f t="shared" ca="1" si="35"/>
        <v>23 ans</v>
      </c>
      <c r="K2123" s="2" t="s">
        <v>123</v>
      </c>
      <c r="L2123" s="2" t="str">
        <f>"418"</f>
        <v>418</v>
      </c>
      <c r="M2123" s="2"/>
      <c r="N2123" s="2" t="str">
        <f>"RUE DE LA CHARENTE"</f>
        <v>RUE DE LA CHARENTE</v>
      </c>
      <c r="O2123" s="2" t="s">
        <v>9533</v>
      </c>
      <c r="P2123" s="9" t="str">
        <f>VLOOKUP($O2123,'Liste des Villes'!$B$2:$B$1128,1,FALSE)</f>
        <v>Sainte-Sophie</v>
      </c>
      <c r="Q2123" s="9" t="str">
        <f>IFERROR($P2123,PROPER(VLOOKUP($O2123,'Villes en erreur'!$A$2:$B$72,2,FALSE)))</f>
        <v>Sainte-Sophie</v>
      </c>
      <c r="R2123" s="9" t="s">
        <v>9534</v>
      </c>
      <c r="S2123" s="9" t="str">
        <f>IF(ISBLANK($R2123),"",VLOOKUP($R2123,'Liste des Villes'!$B$2:$H$1128,4,FALSE))</f>
        <v>Laurentides</v>
      </c>
      <c r="T2123" s="2" t="s">
        <v>9992</v>
      </c>
      <c r="U2123" s="2" t="s">
        <v>39</v>
      </c>
      <c r="V2123" s="2" t="s">
        <v>40</v>
      </c>
      <c r="W2123" s="2" t="s">
        <v>9993</v>
      </c>
      <c r="X2123" s="2"/>
      <c r="Y2123" s="2"/>
      <c r="Z2123" s="2"/>
      <c r="AA2123" s="2" t="s">
        <v>9187</v>
      </c>
      <c r="AB2123" s="2" t="s">
        <v>73</v>
      </c>
      <c r="AC2123" s="4" t="s">
        <v>44</v>
      </c>
    </row>
    <row r="2124" spans="1:29" x14ac:dyDescent="0.25">
      <c r="A2124" s="1">
        <v>2623</v>
      </c>
      <c r="B2124" s="17" t="s">
        <v>9994</v>
      </c>
      <c r="C2124" s="2" t="s">
        <v>954</v>
      </c>
      <c r="D2124" s="15" t="s">
        <v>955</v>
      </c>
      <c r="E2124" s="9" t="s">
        <v>956</v>
      </c>
      <c r="F2124" s="9" t="s">
        <v>957</v>
      </c>
      <c r="G2124" s="9" t="s">
        <v>622</v>
      </c>
      <c r="H2124" s="2" t="s">
        <v>60</v>
      </c>
      <c r="I2124" s="3">
        <v>36534</v>
      </c>
      <c r="J2124" s="9" t="str">
        <f t="shared" ca="1" si="35"/>
        <v>23 ans</v>
      </c>
      <c r="K2124" s="2" t="s">
        <v>68</v>
      </c>
      <c r="L2124" s="2" t="str">
        <f>"430"</f>
        <v>430</v>
      </c>
      <c r="M2124" s="2"/>
      <c r="N2124" s="2" t="str">
        <f>"RUE DE LA DAME"</f>
        <v>RUE DE LA DAME</v>
      </c>
      <c r="O2124" s="2" t="s">
        <v>9533</v>
      </c>
      <c r="P2124" s="9" t="str">
        <f>VLOOKUP($O2124,'Liste des Villes'!$B$2:$B$1128,1,FALSE)</f>
        <v>Sainte-Sophie</v>
      </c>
      <c r="Q2124" s="9" t="str">
        <f>IFERROR($P2124,PROPER(VLOOKUP($O2124,'Villes en erreur'!$A$2:$B$72,2,FALSE)))</f>
        <v>Sainte-Sophie</v>
      </c>
      <c r="R2124" s="9" t="s">
        <v>9534</v>
      </c>
      <c r="S2124" s="9" t="str">
        <f>IF(ISBLANK($R2124),"",VLOOKUP($R2124,'Liste des Villes'!$B$2:$H$1128,4,FALSE))</f>
        <v>Laurentides</v>
      </c>
      <c r="T2124" s="2" t="s">
        <v>9995</v>
      </c>
      <c r="U2124" s="2" t="s">
        <v>39</v>
      </c>
      <c r="V2124" s="2" t="s">
        <v>40</v>
      </c>
      <c r="W2124" s="2" t="s">
        <v>9996</v>
      </c>
      <c r="X2124" s="2"/>
      <c r="Y2124" s="2"/>
      <c r="Z2124" s="2"/>
      <c r="AA2124" s="2" t="s">
        <v>9187</v>
      </c>
      <c r="AB2124" s="2" t="s">
        <v>73</v>
      </c>
      <c r="AC2124" s="4" t="s">
        <v>44</v>
      </c>
    </row>
    <row r="2125" spans="1:29" x14ac:dyDescent="0.25">
      <c r="A2125" s="1">
        <v>1055</v>
      </c>
      <c r="B2125" s="17" t="s">
        <v>9997</v>
      </c>
      <c r="C2125" s="2" t="s">
        <v>9998</v>
      </c>
      <c r="D2125" s="15" t="s">
        <v>1577</v>
      </c>
      <c r="E2125" s="9" t="s">
        <v>6323</v>
      </c>
      <c r="F2125" s="9" t="s">
        <v>4066</v>
      </c>
      <c r="G2125" s="9" t="s">
        <v>989</v>
      </c>
      <c r="H2125" s="2" t="s">
        <v>60</v>
      </c>
      <c r="I2125" s="3">
        <v>36510</v>
      </c>
      <c r="J2125" s="9" t="str">
        <f t="shared" ca="1" si="35"/>
        <v>23 ans</v>
      </c>
      <c r="K2125" s="2" t="s">
        <v>123</v>
      </c>
      <c r="L2125" s="2" t="str">
        <f>"415"</f>
        <v>415</v>
      </c>
      <c r="M2125" s="2"/>
      <c r="N2125" s="2" t="str">
        <f>"RUE DE LA CÉDRIÈRE"</f>
        <v>RUE DE LA CÉDRIÈRE</v>
      </c>
      <c r="O2125" s="2" t="s">
        <v>9533</v>
      </c>
      <c r="P2125" s="9" t="str">
        <f>VLOOKUP($O2125,'Liste des Villes'!$B$2:$B$1128,1,FALSE)</f>
        <v>Sainte-Sophie</v>
      </c>
      <c r="Q2125" s="9" t="str">
        <f>IFERROR($P2125,PROPER(VLOOKUP($O2125,'Villes en erreur'!$A$2:$B$72,2,FALSE)))</f>
        <v>Sainte-Sophie</v>
      </c>
      <c r="R2125" s="9" t="s">
        <v>9534</v>
      </c>
      <c r="S2125" s="9" t="str">
        <f>IF(ISBLANK($R2125),"",VLOOKUP($R2125,'Liste des Villes'!$B$2:$H$1128,4,FALSE))</f>
        <v>Laurentides</v>
      </c>
      <c r="T2125" s="2" t="s">
        <v>9999</v>
      </c>
      <c r="U2125" s="2" t="s">
        <v>39</v>
      </c>
      <c r="V2125" s="2" t="s">
        <v>40</v>
      </c>
      <c r="W2125" s="2" t="s">
        <v>10000</v>
      </c>
      <c r="X2125" s="2"/>
      <c r="Y2125" s="2"/>
      <c r="Z2125" s="2"/>
      <c r="AA2125" s="2" t="s">
        <v>9187</v>
      </c>
      <c r="AB2125" s="2" t="s">
        <v>73</v>
      </c>
      <c r="AC2125" s="4" t="s">
        <v>44</v>
      </c>
    </row>
    <row r="2126" spans="1:29" x14ac:dyDescent="0.25">
      <c r="A2126" s="1">
        <v>2581</v>
      </c>
      <c r="B2126" s="17" t="s">
        <v>10001</v>
      </c>
      <c r="C2126" s="2" t="s">
        <v>6401</v>
      </c>
      <c r="D2126" s="15" t="s">
        <v>1199</v>
      </c>
      <c r="E2126" s="9" t="s">
        <v>487</v>
      </c>
      <c r="F2126" s="9" t="s">
        <v>10002</v>
      </c>
      <c r="G2126" s="9" t="s">
        <v>1377</v>
      </c>
      <c r="H2126" s="2" t="s">
        <v>60</v>
      </c>
      <c r="I2126" s="3">
        <v>36496</v>
      </c>
      <c r="J2126" s="9" t="str">
        <f t="shared" ca="1" si="35"/>
        <v>23 ans</v>
      </c>
      <c r="K2126" s="2" t="s">
        <v>123</v>
      </c>
      <c r="L2126" s="2" t="str">
        <f>"406"</f>
        <v>406</v>
      </c>
      <c r="M2126" s="2"/>
      <c r="N2126" s="2" t="str">
        <f>"RUE DE LA BRETAGNE"</f>
        <v>RUE DE LA BRETAGNE</v>
      </c>
      <c r="O2126" s="2" t="s">
        <v>9533</v>
      </c>
      <c r="P2126" s="9" t="str">
        <f>VLOOKUP($O2126,'Liste des Villes'!$B$2:$B$1128,1,FALSE)</f>
        <v>Sainte-Sophie</v>
      </c>
      <c r="Q2126" s="9" t="str">
        <f>IFERROR($P2126,PROPER(VLOOKUP($O2126,'Villes en erreur'!$A$2:$B$72,2,FALSE)))</f>
        <v>Sainte-Sophie</v>
      </c>
      <c r="R2126" s="9" t="s">
        <v>9534</v>
      </c>
      <c r="S2126" s="9" t="str">
        <f>IF(ISBLANK($R2126),"",VLOOKUP($R2126,'Liste des Villes'!$B$2:$H$1128,4,FALSE))</f>
        <v>Laurentides</v>
      </c>
      <c r="T2126" s="2" t="s">
        <v>10003</v>
      </c>
      <c r="U2126" s="2" t="s">
        <v>39</v>
      </c>
      <c r="V2126" s="2" t="s">
        <v>40</v>
      </c>
      <c r="W2126" s="2" t="s">
        <v>10004</v>
      </c>
      <c r="X2126" s="2"/>
      <c r="Y2126" s="2"/>
      <c r="Z2126" s="2"/>
      <c r="AA2126" s="2" t="s">
        <v>9187</v>
      </c>
      <c r="AB2126" s="2" t="s">
        <v>73</v>
      </c>
      <c r="AC2126" s="4" t="s">
        <v>44</v>
      </c>
    </row>
    <row r="2127" spans="1:29" x14ac:dyDescent="0.25">
      <c r="A2127" s="1">
        <v>387</v>
      </c>
      <c r="B2127" s="17" t="s">
        <v>10005</v>
      </c>
      <c r="C2127" s="2" t="s">
        <v>10006</v>
      </c>
      <c r="D2127" s="15" t="s">
        <v>1057</v>
      </c>
      <c r="E2127" s="9" t="s">
        <v>10007</v>
      </c>
      <c r="F2127" s="9" t="s">
        <v>1055</v>
      </c>
      <c r="G2127" s="9" t="s">
        <v>137</v>
      </c>
      <c r="H2127" s="2" t="s">
        <v>60</v>
      </c>
      <c r="I2127" s="3">
        <v>36551</v>
      </c>
      <c r="J2127" s="9" t="str">
        <f t="shared" ca="1" si="35"/>
        <v>23 ans</v>
      </c>
      <c r="K2127" s="2" t="s">
        <v>68</v>
      </c>
      <c r="L2127" s="2" t="str">
        <f>"445"</f>
        <v>445</v>
      </c>
      <c r="M2127" s="2"/>
      <c r="N2127" s="2" t="str">
        <f>"RUE DE LA PAIX"</f>
        <v>RUE DE LA PAIX</v>
      </c>
      <c r="O2127" s="2" t="s">
        <v>9533</v>
      </c>
      <c r="P2127" s="9" t="str">
        <f>VLOOKUP($O2127,'Liste des Villes'!$B$2:$B$1128,1,FALSE)</f>
        <v>Sainte-Sophie</v>
      </c>
      <c r="Q2127" s="9" t="str">
        <f>IFERROR($P2127,PROPER(VLOOKUP($O2127,'Villes en erreur'!$A$2:$B$72,2,FALSE)))</f>
        <v>Sainte-Sophie</v>
      </c>
      <c r="R2127" s="9" t="s">
        <v>9534</v>
      </c>
      <c r="S2127" s="9" t="str">
        <f>IF(ISBLANK($R2127),"",VLOOKUP($R2127,'Liste des Villes'!$B$2:$H$1128,4,FALSE))</f>
        <v>Laurentides</v>
      </c>
      <c r="T2127" s="2" t="s">
        <v>9535</v>
      </c>
      <c r="U2127" s="2" t="s">
        <v>39</v>
      </c>
      <c r="V2127" s="2" t="s">
        <v>40</v>
      </c>
      <c r="W2127" s="2" t="s">
        <v>10008</v>
      </c>
      <c r="X2127" s="2"/>
      <c r="Y2127" s="2"/>
      <c r="Z2127" s="2"/>
      <c r="AA2127" s="2" t="s">
        <v>515</v>
      </c>
      <c r="AB2127" s="2" t="s">
        <v>73</v>
      </c>
      <c r="AC2127" s="4" t="s">
        <v>44</v>
      </c>
    </row>
    <row r="2128" spans="1:29" x14ac:dyDescent="0.25">
      <c r="A2128" s="1">
        <v>986</v>
      </c>
      <c r="B2128" s="17" t="s">
        <v>10009</v>
      </c>
      <c r="C2128" s="2" t="s">
        <v>10010</v>
      </c>
      <c r="D2128" s="15" t="s">
        <v>3553</v>
      </c>
      <c r="E2128" s="9" t="s">
        <v>9320</v>
      </c>
      <c r="F2128" s="9" t="s">
        <v>2474</v>
      </c>
      <c r="G2128" s="9" t="s">
        <v>4111</v>
      </c>
      <c r="H2128" s="2" t="s">
        <v>60</v>
      </c>
      <c r="I2128" s="3">
        <v>36482</v>
      </c>
      <c r="J2128" s="9" t="str">
        <f t="shared" ca="1" si="35"/>
        <v>23 ans</v>
      </c>
      <c r="K2128" s="2" t="s">
        <v>123</v>
      </c>
      <c r="L2128" s="2" t="str">
        <f>"394"</f>
        <v>394</v>
      </c>
      <c r="M2128" s="2"/>
      <c r="N2128" s="2" t="str">
        <f>"RUE DE DÜSSELDORF"</f>
        <v>RUE DE DÜSSELDORF</v>
      </c>
      <c r="O2128" s="2" t="s">
        <v>9533</v>
      </c>
      <c r="P2128" s="9" t="str">
        <f>VLOOKUP($O2128,'Liste des Villes'!$B$2:$B$1128,1,FALSE)</f>
        <v>Sainte-Sophie</v>
      </c>
      <c r="Q2128" s="9" t="str">
        <f>IFERROR($P2128,PROPER(VLOOKUP($O2128,'Villes en erreur'!$A$2:$B$72,2,FALSE)))</f>
        <v>Sainte-Sophie</v>
      </c>
      <c r="R2128" s="9" t="s">
        <v>9534</v>
      </c>
      <c r="S2128" s="9" t="str">
        <f>IF(ISBLANK($R2128),"",VLOOKUP($R2128,'Liste des Villes'!$B$2:$H$1128,4,FALSE))</f>
        <v>Laurentides</v>
      </c>
      <c r="T2128" s="2" t="s">
        <v>10011</v>
      </c>
      <c r="U2128" s="2" t="s">
        <v>39</v>
      </c>
      <c r="V2128" s="2" t="s">
        <v>40</v>
      </c>
      <c r="W2128" s="2" t="s">
        <v>10012</v>
      </c>
      <c r="X2128" s="2"/>
      <c r="Y2128" s="2"/>
      <c r="Z2128" s="2"/>
      <c r="AA2128" s="2" t="s">
        <v>9187</v>
      </c>
      <c r="AB2128" s="2" t="s">
        <v>73</v>
      </c>
      <c r="AC2128" s="4" t="s">
        <v>44</v>
      </c>
    </row>
    <row r="2129" spans="1:29" x14ac:dyDescent="0.25">
      <c r="A2129" s="1">
        <v>2183</v>
      </c>
      <c r="B2129" s="17" t="s">
        <v>10013</v>
      </c>
      <c r="C2129" s="2" t="s">
        <v>10014</v>
      </c>
      <c r="D2129" s="15" t="s">
        <v>10015</v>
      </c>
      <c r="E2129" s="9" t="s">
        <v>10016</v>
      </c>
      <c r="F2129" s="9" t="s">
        <v>1773</v>
      </c>
      <c r="G2129" s="9" t="s">
        <v>1377</v>
      </c>
      <c r="H2129" s="2" t="s">
        <v>60</v>
      </c>
      <c r="I2129" s="3">
        <v>36495</v>
      </c>
      <c r="J2129" s="9" t="str">
        <f t="shared" ca="1" si="35"/>
        <v>23 ans</v>
      </c>
      <c r="K2129" s="2" t="s">
        <v>123</v>
      </c>
      <c r="L2129" s="2" t="str">
        <f>"404"</f>
        <v>404</v>
      </c>
      <c r="M2129" s="2"/>
      <c r="N2129" s="2" t="str">
        <f>"RUE DE LA BOURGOGNE"</f>
        <v>RUE DE LA BOURGOGNE</v>
      </c>
      <c r="O2129" s="2" t="s">
        <v>9533</v>
      </c>
      <c r="P2129" s="9" t="str">
        <f>VLOOKUP($O2129,'Liste des Villes'!$B$2:$B$1128,1,FALSE)</f>
        <v>Sainte-Sophie</v>
      </c>
      <c r="Q2129" s="9" t="str">
        <f>IFERROR($P2129,PROPER(VLOOKUP($O2129,'Villes en erreur'!$A$2:$B$72,2,FALSE)))</f>
        <v>Sainte-Sophie</v>
      </c>
      <c r="R2129" s="9" t="s">
        <v>9534</v>
      </c>
      <c r="S2129" s="9" t="str">
        <f>IF(ISBLANK($R2129),"",VLOOKUP($R2129,'Liste des Villes'!$B$2:$H$1128,4,FALSE))</f>
        <v>Laurentides</v>
      </c>
      <c r="T2129" s="2" t="s">
        <v>10017</v>
      </c>
      <c r="U2129" s="2" t="s">
        <v>39</v>
      </c>
      <c r="V2129" s="2" t="s">
        <v>40</v>
      </c>
      <c r="W2129" s="2" t="s">
        <v>10018</v>
      </c>
      <c r="X2129" s="2"/>
      <c r="Y2129" s="2"/>
      <c r="Z2129" s="2"/>
      <c r="AA2129" s="2" t="s">
        <v>9187</v>
      </c>
      <c r="AB2129" s="2" t="s">
        <v>73</v>
      </c>
      <c r="AC2129" s="4" t="s">
        <v>44</v>
      </c>
    </row>
    <row r="2130" spans="1:29" x14ac:dyDescent="0.25">
      <c r="A2130" s="1">
        <v>2116</v>
      </c>
      <c r="B2130" s="17" t="s">
        <v>10019</v>
      </c>
      <c r="C2130" s="2" t="s">
        <v>6141</v>
      </c>
      <c r="D2130" s="15" t="s">
        <v>1800</v>
      </c>
      <c r="E2130" s="9" t="s">
        <v>1192</v>
      </c>
      <c r="F2130" s="9" t="s">
        <v>3963</v>
      </c>
      <c r="G2130" s="9" t="s">
        <v>137</v>
      </c>
      <c r="H2130" s="2" t="s">
        <v>60</v>
      </c>
      <c r="I2130" s="3">
        <v>36564</v>
      </c>
      <c r="J2130" s="9" t="str">
        <f t="shared" ca="1" si="35"/>
        <v>23 ans</v>
      </c>
      <c r="K2130" s="2" t="s">
        <v>68</v>
      </c>
      <c r="L2130" s="2" t="str">
        <f>"455"</f>
        <v>455</v>
      </c>
      <c r="M2130" s="2"/>
      <c r="N2130" s="2" t="str">
        <f>"RUE DE LA PLANTATION"</f>
        <v>RUE DE LA PLANTATION</v>
      </c>
      <c r="O2130" s="2" t="s">
        <v>9533</v>
      </c>
      <c r="P2130" s="9" t="str">
        <f>VLOOKUP($O2130,'Liste des Villes'!$B$2:$B$1128,1,FALSE)</f>
        <v>Sainte-Sophie</v>
      </c>
      <c r="Q2130" s="9" t="str">
        <f>IFERROR($P2130,PROPER(VLOOKUP($O2130,'Villes en erreur'!$A$2:$B$72,2,FALSE)))</f>
        <v>Sainte-Sophie</v>
      </c>
      <c r="R2130" s="9" t="s">
        <v>9534</v>
      </c>
      <c r="S2130" s="9" t="str">
        <f>IF(ISBLANK($R2130),"",VLOOKUP($R2130,'Liste des Villes'!$B$2:$H$1128,4,FALSE))</f>
        <v>Laurentides</v>
      </c>
      <c r="T2130" s="2" t="s">
        <v>10020</v>
      </c>
      <c r="U2130" s="2" t="s">
        <v>39</v>
      </c>
      <c r="V2130" s="2" t="s">
        <v>40</v>
      </c>
      <c r="W2130" s="2" t="s">
        <v>10021</v>
      </c>
      <c r="X2130" s="2"/>
      <c r="Y2130" s="2"/>
      <c r="Z2130" s="2"/>
      <c r="AA2130" s="2" t="s">
        <v>515</v>
      </c>
      <c r="AB2130" s="2" t="s">
        <v>73</v>
      </c>
      <c r="AC2130" s="4" t="s">
        <v>44</v>
      </c>
    </row>
    <row r="2131" spans="1:29" x14ac:dyDescent="0.25">
      <c r="A2131" s="1">
        <v>3454</v>
      </c>
      <c r="B2131" s="17" t="s">
        <v>10022</v>
      </c>
      <c r="C2131" s="2" t="s">
        <v>10023</v>
      </c>
      <c r="D2131" s="15" t="s">
        <v>6117</v>
      </c>
      <c r="E2131" s="9" t="s">
        <v>1330</v>
      </c>
      <c r="F2131" s="9" t="s">
        <v>6116</v>
      </c>
      <c r="G2131" s="9" t="s">
        <v>622</v>
      </c>
      <c r="H2131" s="2" t="s">
        <v>60</v>
      </c>
      <c r="I2131" s="3">
        <v>36524</v>
      </c>
      <c r="J2131" s="9" t="str">
        <f t="shared" ca="1" si="35"/>
        <v>23 ans</v>
      </c>
      <c r="K2131" s="2" t="s">
        <v>123</v>
      </c>
      <c r="L2131" s="2" t="str">
        <f>"424"</f>
        <v>424</v>
      </c>
      <c r="M2131" s="2"/>
      <c r="N2131" s="2" t="str">
        <f>"RUE DE LA CLAIRIÈRE"</f>
        <v>RUE DE LA CLAIRIÈRE</v>
      </c>
      <c r="O2131" s="2" t="s">
        <v>9533</v>
      </c>
      <c r="P2131" s="9" t="str">
        <f>VLOOKUP($O2131,'Liste des Villes'!$B$2:$B$1128,1,FALSE)</f>
        <v>Sainte-Sophie</v>
      </c>
      <c r="Q2131" s="9" t="str">
        <f>IFERROR($P2131,PROPER(VLOOKUP($O2131,'Villes en erreur'!$A$2:$B$72,2,FALSE)))</f>
        <v>Sainte-Sophie</v>
      </c>
      <c r="R2131" s="9" t="s">
        <v>9534</v>
      </c>
      <c r="S2131" s="9" t="str">
        <f>IF(ISBLANK($R2131),"",VLOOKUP($R2131,'Liste des Villes'!$B$2:$H$1128,4,FALSE))</f>
        <v>Laurentides</v>
      </c>
      <c r="T2131" s="2" t="s">
        <v>10024</v>
      </c>
      <c r="U2131" s="2" t="s">
        <v>39</v>
      </c>
      <c r="V2131" s="2" t="s">
        <v>40</v>
      </c>
      <c r="W2131" s="2" t="s">
        <v>10025</v>
      </c>
      <c r="X2131" s="2"/>
      <c r="Y2131" s="2"/>
      <c r="Z2131" s="2"/>
      <c r="AA2131" s="2" t="s">
        <v>9187</v>
      </c>
      <c r="AB2131" s="2" t="s">
        <v>73</v>
      </c>
      <c r="AC2131" s="4" t="s">
        <v>44</v>
      </c>
    </row>
    <row r="2132" spans="1:29" x14ac:dyDescent="0.25">
      <c r="A2132" s="1">
        <v>3070</v>
      </c>
      <c r="B2132" s="17" t="s">
        <v>10026</v>
      </c>
      <c r="C2132" s="2" t="s">
        <v>10027</v>
      </c>
      <c r="D2132" s="15" t="s">
        <v>10028</v>
      </c>
      <c r="E2132" s="9" t="s">
        <v>1416</v>
      </c>
      <c r="F2132" s="9" t="s">
        <v>10029</v>
      </c>
      <c r="G2132" s="9" t="s">
        <v>137</v>
      </c>
      <c r="H2132" s="2" t="s">
        <v>60</v>
      </c>
      <c r="I2132" s="3">
        <v>36566</v>
      </c>
      <c r="J2132" s="9" t="str">
        <f t="shared" ca="1" si="35"/>
        <v>23 ans</v>
      </c>
      <c r="K2132" s="2" t="s">
        <v>68</v>
      </c>
      <c r="L2132" s="2" t="str">
        <f>"458"</f>
        <v>458</v>
      </c>
      <c r="M2132" s="2"/>
      <c r="N2132" s="2" t="str">
        <f>"RUE DE LA PROMENADE"</f>
        <v>RUE DE LA PROMENADE</v>
      </c>
      <c r="O2132" s="2" t="s">
        <v>9533</v>
      </c>
      <c r="P2132" s="9" t="str">
        <f>VLOOKUP($O2132,'Liste des Villes'!$B$2:$B$1128,1,FALSE)</f>
        <v>Sainte-Sophie</v>
      </c>
      <c r="Q2132" s="9" t="str">
        <f>IFERROR($P2132,PROPER(VLOOKUP($O2132,'Villes en erreur'!$A$2:$B$72,2,FALSE)))</f>
        <v>Sainte-Sophie</v>
      </c>
      <c r="R2132" s="9" t="s">
        <v>9534</v>
      </c>
      <c r="S2132" s="9" t="str">
        <f>IF(ISBLANK($R2132),"",VLOOKUP($R2132,'Liste des Villes'!$B$2:$H$1128,4,FALSE))</f>
        <v>Laurentides</v>
      </c>
      <c r="T2132" s="2" t="s">
        <v>10030</v>
      </c>
      <c r="U2132" s="2" t="s">
        <v>39</v>
      </c>
      <c r="V2132" s="2" t="s">
        <v>40</v>
      </c>
      <c r="W2132" s="2" t="s">
        <v>10031</v>
      </c>
      <c r="X2132" s="2"/>
      <c r="Y2132" s="2"/>
      <c r="Z2132" s="2"/>
      <c r="AA2132" s="2" t="s">
        <v>515</v>
      </c>
      <c r="AB2132" s="2" t="s">
        <v>73</v>
      </c>
      <c r="AC2132" s="4" t="s">
        <v>44</v>
      </c>
    </row>
    <row r="2133" spans="1:29" x14ac:dyDescent="0.25">
      <c r="A2133" s="1">
        <v>2482</v>
      </c>
      <c r="B2133" s="17" t="s">
        <v>10032</v>
      </c>
      <c r="C2133" s="2" t="s">
        <v>10033</v>
      </c>
      <c r="D2133" s="15" t="s">
        <v>10034</v>
      </c>
      <c r="E2133" s="9" t="s">
        <v>956</v>
      </c>
      <c r="F2133" s="9" t="s">
        <v>10035</v>
      </c>
      <c r="G2133" s="9" t="s">
        <v>137</v>
      </c>
      <c r="H2133" s="2" t="s">
        <v>60</v>
      </c>
      <c r="I2133" s="3">
        <v>36554</v>
      </c>
      <c r="J2133" s="9" t="str">
        <f t="shared" ca="1" si="35"/>
        <v>23 ans</v>
      </c>
      <c r="K2133" s="2" t="s">
        <v>68</v>
      </c>
      <c r="L2133" s="2" t="str">
        <f>"446"</f>
        <v>446</v>
      </c>
      <c r="M2133" s="2"/>
      <c r="N2133" s="2" t="str">
        <f>"RUE DE LA PERLE"</f>
        <v>RUE DE LA PERLE</v>
      </c>
      <c r="O2133" s="2" t="s">
        <v>9533</v>
      </c>
      <c r="P2133" s="9" t="str">
        <f>VLOOKUP($O2133,'Liste des Villes'!$B$2:$B$1128,1,FALSE)</f>
        <v>Sainte-Sophie</v>
      </c>
      <c r="Q2133" s="9" t="str">
        <f>IFERROR($P2133,PROPER(VLOOKUP($O2133,'Villes en erreur'!$A$2:$B$72,2,FALSE)))</f>
        <v>Sainte-Sophie</v>
      </c>
      <c r="R2133" s="9" t="s">
        <v>9534</v>
      </c>
      <c r="S2133" s="9" t="str">
        <f>IF(ISBLANK($R2133),"",VLOOKUP($R2133,'Liste des Villes'!$B$2:$H$1128,4,FALSE))</f>
        <v>Laurentides</v>
      </c>
      <c r="T2133" s="2" t="s">
        <v>10036</v>
      </c>
      <c r="U2133" s="2" t="s">
        <v>39</v>
      </c>
      <c r="V2133" s="2" t="s">
        <v>40</v>
      </c>
      <c r="W2133" s="2" t="s">
        <v>10037</v>
      </c>
      <c r="X2133" s="2"/>
      <c r="Y2133" s="2"/>
      <c r="Z2133" s="2"/>
      <c r="AA2133" s="2" t="s">
        <v>515</v>
      </c>
      <c r="AB2133" s="2" t="s">
        <v>73</v>
      </c>
      <c r="AC2133" s="4" t="s">
        <v>44</v>
      </c>
    </row>
    <row r="2134" spans="1:29" x14ac:dyDescent="0.25">
      <c r="A2134" s="1">
        <v>4567</v>
      </c>
      <c r="B2134" s="17" t="s">
        <v>10038</v>
      </c>
      <c r="C2134" s="2" t="s">
        <v>7733</v>
      </c>
      <c r="D2134" s="15" t="s">
        <v>3252</v>
      </c>
      <c r="E2134" s="9" t="s">
        <v>2635</v>
      </c>
      <c r="F2134" s="9" t="s">
        <v>4050</v>
      </c>
      <c r="G2134" s="9" t="s">
        <v>137</v>
      </c>
      <c r="H2134" s="2" t="s">
        <v>60</v>
      </c>
      <c r="I2134" s="3">
        <v>36563</v>
      </c>
      <c r="J2134" s="9" t="str">
        <f t="shared" ca="1" si="35"/>
        <v>23 ans</v>
      </c>
      <c r="K2134" s="2" t="s">
        <v>68</v>
      </c>
      <c r="L2134" s="2" t="str">
        <f>"454"</f>
        <v>454</v>
      </c>
      <c r="M2134" s="2"/>
      <c r="N2134" s="2" t="str">
        <f>"RUE DE LA PLAISANCE"</f>
        <v>RUE DE LA PLAISANCE</v>
      </c>
      <c r="O2134" s="2" t="s">
        <v>9534</v>
      </c>
      <c r="P2134" s="9" t="str">
        <f>VLOOKUP($O2134,'Liste des Villes'!$B$2:$B$1128,1,FALSE)</f>
        <v>Sainte-Sophie</v>
      </c>
      <c r="Q2134" s="9" t="str">
        <f>IFERROR($P2134,PROPER(VLOOKUP($O2134,'Villes en erreur'!$A$2:$B$72,2,FALSE)))</f>
        <v>Sainte-Sophie</v>
      </c>
      <c r="R2134" s="9" t="s">
        <v>9534</v>
      </c>
      <c r="S2134" s="9" t="str">
        <f>IF(ISBLANK($R2134),"",VLOOKUP($R2134,'Liste des Villes'!$B$2:$H$1128,4,FALSE))</f>
        <v>Laurentides</v>
      </c>
      <c r="T2134" s="2" t="s">
        <v>10039</v>
      </c>
      <c r="U2134" s="2" t="s">
        <v>39</v>
      </c>
      <c r="V2134" s="2" t="s">
        <v>40</v>
      </c>
      <c r="W2134" s="2" t="s">
        <v>10040</v>
      </c>
      <c r="X2134" s="2"/>
      <c r="Y2134" s="2"/>
      <c r="Z2134" s="2"/>
      <c r="AA2134" s="2" t="s">
        <v>515</v>
      </c>
      <c r="AB2134" s="2" t="s">
        <v>73</v>
      </c>
      <c r="AC2134" s="4" t="s">
        <v>44</v>
      </c>
    </row>
    <row r="2135" spans="1:29" x14ac:dyDescent="0.25">
      <c r="A2135" s="1">
        <v>1118</v>
      </c>
      <c r="B2135" s="17" t="s">
        <v>10041</v>
      </c>
      <c r="C2135" s="2" t="s">
        <v>10042</v>
      </c>
      <c r="D2135" s="15" t="s">
        <v>3707</v>
      </c>
      <c r="E2135" s="9" t="s">
        <v>541</v>
      </c>
      <c r="F2135" s="9" t="s">
        <v>3705</v>
      </c>
      <c r="G2135" s="9" t="s">
        <v>622</v>
      </c>
      <c r="H2135" s="2" t="s">
        <v>60</v>
      </c>
      <c r="I2135" s="3">
        <v>36530</v>
      </c>
      <c r="J2135" s="9" t="str">
        <f t="shared" ca="1" si="35"/>
        <v>23 ans</v>
      </c>
      <c r="K2135" s="2" t="s">
        <v>123</v>
      </c>
      <c r="L2135" s="2" t="str">
        <f>"428"</f>
        <v>428</v>
      </c>
      <c r="M2135" s="2"/>
      <c r="N2135" s="2" t="str">
        <f>"RUE DE LA COULÉE"</f>
        <v>RUE DE LA COULÉE</v>
      </c>
      <c r="O2135" s="2" t="s">
        <v>9533</v>
      </c>
      <c r="P2135" s="9" t="str">
        <f>VLOOKUP($O2135,'Liste des Villes'!$B$2:$B$1128,1,FALSE)</f>
        <v>Sainte-Sophie</v>
      </c>
      <c r="Q2135" s="9" t="str">
        <f>IFERROR($P2135,PROPER(VLOOKUP($O2135,'Villes en erreur'!$A$2:$B$72,2,FALSE)))</f>
        <v>Sainte-Sophie</v>
      </c>
      <c r="R2135" s="9" t="s">
        <v>9534</v>
      </c>
      <c r="S2135" s="9" t="str">
        <f>IF(ISBLANK($R2135),"",VLOOKUP($R2135,'Liste des Villes'!$B$2:$H$1128,4,FALSE))</f>
        <v>Laurentides</v>
      </c>
      <c r="T2135" s="2" t="s">
        <v>10043</v>
      </c>
      <c r="U2135" s="2" t="s">
        <v>39</v>
      </c>
      <c r="V2135" s="2" t="s">
        <v>40</v>
      </c>
      <c r="W2135" s="2" t="s">
        <v>10044</v>
      </c>
      <c r="X2135" s="2"/>
      <c r="Y2135" s="2"/>
      <c r="Z2135" s="2"/>
      <c r="AA2135" s="2" t="s">
        <v>9187</v>
      </c>
      <c r="AB2135" s="2" t="s">
        <v>73</v>
      </c>
      <c r="AC2135" s="4" t="s">
        <v>44</v>
      </c>
    </row>
    <row r="2136" spans="1:29" x14ac:dyDescent="0.25">
      <c r="A2136" s="1">
        <v>712</v>
      </c>
      <c r="B2136" s="17" t="s">
        <v>10045</v>
      </c>
      <c r="C2136" s="2" t="s">
        <v>4701</v>
      </c>
      <c r="D2136" s="15" t="s">
        <v>363</v>
      </c>
      <c r="E2136" s="9" t="s">
        <v>3695</v>
      </c>
      <c r="F2136" s="9" t="s">
        <v>361</v>
      </c>
      <c r="G2136" s="9" t="s">
        <v>10046</v>
      </c>
      <c r="H2136" s="2" t="s">
        <v>35</v>
      </c>
      <c r="I2136" s="3">
        <v>36549</v>
      </c>
      <c r="J2136" s="9" t="str">
        <f t="shared" ca="1" si="35"/>
        <v>23 ans</v>
      </c>
      <c r="K2136" s="2" t="s">
        <v>68</v>
      </c>
      <c r="L2136" s="2" t="str">
        <f>"443"</f>
        <v>443</v>
      </c>
      <c r="M2136" s="2"/>
      <c r="N2136" s="2" t="str">
        <f>"RUE DE LA MOSELLE"</f>
        <v>RUE DE LA MOSELLE</v>
      </c>
      <c r="O2136" s="2" t="s">
        <v>9533</v>
      </c>
      <c r="P2136" s="9" t="str">
        <f>VLOOKUP($O2136,'Liste des Villes'!$B$2:$B$1128,1,FALSE)</f>
        <v>Sainte-Sophie</v>
      </c>
      <c r="Q2136" s="9" t="str">
        <f>IFERROR($P2136,PROPER(VLOOKUP($O2136,'Villes en erreur'!$A$2:$B$72,2,FALSE)))</f>
        <v>Sainte-Sophie</v>
      </c>
      <c r="R2136" s="9" t="s">
        <v>9534</v>
      </c>
      <c r="S2136" s="9" t="str">
        <f>IF(ISBLANK($R2136),"",VLOOKUP($R2136,'Liste des Villes'!$B$2:$H$1128,4,FALSE))</f>
        <v>Laurentides</v>
      </c>
      <c r="T2136" s="2" t="s">
        <v>10047</v>
      </c>
      <c r="U2136" s="2" t="s">
        <v>39</v>
      </c>
      <c r="V2136" s="2" t="s">
        <v>40</v>
      </c>
      <c r="W2136" s="2" t="s">
        <v>10048</v>
      </c>
      <c r="X2136" s="2"/>
      <c r="Y2136" s="2"/>
      <c r="Z2136" s="2"/>
      <c r="AA2136" s="2" t="s">
        <v>515</v>
      </c>
      <c r="AB2136" s="2" t="s">
        <v>73</v>
      </c>
      <c r="AC2136" s="4" t="s">
        <v>44</v>
      </c>
    </row>
    <row r="2137" spans="1:29" x14ac:dyDescent="0.25">
      <c r="A2137" s="1">
        <v>4261</v>
      </c>
      <c r="B2137" s="17" t="s">
        <v>10049</v>
      </c>
      <c r="C2137" s="2" t="s">
        <v>10050</v>
      </c>
      <c r="D2137" s="15" t="s">
        <v>10051</v>
      </c>
      <c r="E2137" s="9" t="s">
        <v>3451</v>
      </c>
      <c r="F2137" s="9" t="s">
        <v>10052</v>
      </c>
      <c r="G2137" s="9" t="s">
        <v>137</v>
      </c>
      <c r="H2137" s="2" t="s">
        <v>60</v>
      </c>
      <c r="I2137" s="3">
        <v>36557</v>
      </c>
      <c r="J2137" s="9" t="str">
        <f t="shared" ca="1" si="35"/>
        <v>23 ans</v>
      </c>
      <c r="K2137" s="2" t="s">
        <v>68</v>
      </c>
      <c r="L2137" s="2" t="str">
        <f>"448"</f>
        <v>448</v>
      </c>
      <c r="M2137" s="2"/>
      <c r="N2137" s="2" t="str">
        <f>"RUE DE LA PERLE"</f>
        <v>RUE DE LA PERLE</v>
      </c>
      <c r="O2137" s="2" t="s">
        <v>9533</v>
      </c>
      <c r="P2137" s="9" t="str">
        <f>VLOOKUP($O2137,'Liste des Villes'!$B$2:$B$1128,1,FALSE)</f>
        <v>Sainte-Sophie</v>
      </c>
      <c r="Q2137" s="9" t="str">
        <f>IFERROR($P2137,PROPER(VLOOKUP($O2137,'Villes en erreur'!$A$2:$B$72,2,FALSE)))</f>
        <v>Sainte-Sophie</v>
      </c>
      <c r="R2137" s="9" t="s">
        <v>9534</v>
      </c>
      <c r="S2137" s="9" t="str">
        <f>IF(ISBLANK($R2137),"",VLOOKUP($R2137,'Liste des Villes'!$B$2:$H$1128,4,FALSE))</f>
        <v>Laurentides</v>
      </c>
      <c r="T2137" s="2" t="s">
        <v>10053</v>
      </c>
      <c r="U2137" s="2" t="s">
        <v>39</v>
      </c>
      <c r="V2137" s="2" t="s">
        <v>40</v>
      </c>
      <c r="W2137" s="2" t="s">
        <v>10054</v>
      </c>
      <c r="X2137" s="2"/>
      <c r="Y2137" s="2"/>
      <c r="Z2137" s="2"/>
      <c r="AA2137" s="2" t="s">
        <v>515</v>
      </c>
      <c r="AB2137" s="2" t="s">
        <v>73</v>
      </c>
      <c r="AC2137" s="4" t="s">
        <v>44</v>
      </c>
    </row>
    <row r="2138" spans="1:29" x14ac:dyDescent="0.25">
      <c r="A2138" s="1">
        <v>2036</v>
      </c>
      <c r="B2138" s="17" t="s">
        <v>10055</v>
      </c>
      <c r="C2138" s="2" t="s">
        <v>2209</v>
      </c>
      <c r="D2138" s="15" t="s">
        <v>782</v>
      </c>
      <c r="E2138" s="9" t="s">
        <v>2210</v>
      </c>
      <c r="F2138" s="9" t="s">
        <v>34</v>
      </c>
      <c r="G2138" s="9" t="s">
        <v>4158</v>
      </c>
      <c r="H2138" s="2" t="s">
        <v>60</v>
      </c>
      <c r="I2138" s="3">
        <v>36504</v>
      </c>
      <c r="J2138" s="9" t="str">
        <f t="shared" ca="1" si="35"/>
        <v>23 ans</v>
      </c>
      <c r="K2138" s="2" t="s">
        <v>123</v>
      </c>
      <c r="L2138" s="2" t="str">
        <f>"410"</f>
        <v>410</v>
      </c>
      <c r="M2138" s="2"/>
      <c r="N2138" s="2" t="str">
        <f>"RUE DE LA BRISE"</f>
        <v>RUE DE LA BRISE</v>
      </c>
      <c r="O2138" s="2" t="s">
        <v>9533</v>
      </c>
      <c r="P2138" s="9" t="str">
        <f>VLOOKUP($O2138,'Liste des Villes'!$B$2:$B$1128,1,FALSE)</f>
        <v>Sainte-Sophie</v>
      </c>
      <c r="Q2138" s="9" t="str">
        <f>IFERROR($P2138,PROPER(VLOOKUP($O2138,'Villes en erreur'!$A$2:$B$72,2,FALSE)))</f>
        <v>Sainte-Sophie</v>
      </c>
      <c r="R2138" s="9" t="s">
        <v>9534</v>
      </c>
      <c r="S2138" s="9" t="str">
        <f>IF(ISBLANK($R2138),"",VLOOKUP($R2138,'Liste des Villes'!$B$2:$H$1128,4,FALSE))</f>
        <v>Laurentides</v>
      </c>
      <c r="T2138" s="2" t="s">
        <v>10056</v>
      </c>
      <c r="U2138" s="2" t="s">
        <v>39</v>
      </c>
      <c r="V2138" s="2" t="s">
        <v>40</v>
      </c>
      <c r="W2138" s="2" t="s">
        <v>10057</v>
      </c>
      <c r="X2138" s="2"/>
      <c r="Y2138" s="2"/>
      <c r="Z2138" s="2"/>
      <c r="AA2138" s="2" t="s">
        <v>9187</v>
      </c>
      <c r="AB2138" s="2" t="s">
        <v>73</v>
      </c>
      <c r="AC2138" s="4" t="s">
        <v>44</v>
      </c>
    </row>
    <row r="2139" spans="1:29" x14ac:dyDescent="0.25">
      <c r="A2139" s="1">
        <v>3236</v>
      </c>
      <c r="B2139" s="17" t="s">
        <v>10058</v>
      </c>
      <c r="C2139" s="2" t="s">
        <v>10059</v>
      </c>
      <c r="D2139" s="15" t="s">
        <v>6831</v>
      </c>
      <c r="E2139" s="9" t="s">
        <v>305</v>
      </c>
      <c r="F2139" s="9" t="s">
        <v>6829</v>
      </c>
      <c r="G2139" s="9" t="s">
        <v>622</v>
      </c>
      <c r="H2139" s="2" t="s">
        <v>60</v>
      </c>
      <c r="I2139" s="3">
        <v>36537</v>
      </c>
      <c r="J2139" s="9" t="str">
        <f t="shared" ca="1" si="35"/>
        <v>23 ans</v>
      </c>
      <c r="K2139" s="2" t="s">
        <v>68</v>
      </c>
      <c r="L2139" s="2" t="str">
        <f>"432"</f>
        <v>432</v>
      </c>
      <c r="M2139" s="2"/>
      <c r="N2139" s="2" t="str">
        <f>"RUE DE LA FÉE-ROUGE"</f>
        <v>RUE DE LA FÉE-ROUGE</v>
      </c>
      <c r="O2139" s="2" t="s">
        <v>9533</v>
      </c>
      <c r="P2139" s="9" t="str">
        <f>VLOOKUP($O2139,'Liste des Villes'!$B$2:$B$1128,1,FALSE)</f>
        <v>Sainte-Sophie</v>
      </c>
      <c r="Q2139" s="9" t="str">
        <f>IFERROR($P2139,PROPER(VLOOKUP($O2139,'Villes en erreur'!$A$2:$B$72,2,FALSE)))</f>
        <v>Sainte-Sophie</v>
      </c>
      <c r="R2139" s="9" t="s">
        <v>9534</v>
      </c>
      <c r="S2139" s="9" t="str">
        <f>IF(ISBLANK($R2139),"",VLOOKUP($R2139,'Liste des Villes'!$B$2:$H$1128,4,FALSE))</f>
        <v>Laurentides</v>
      </c>
      <c r="T2139" s="2" t="s">
        <v>10060</v>
      </c>
      <c r="U2139" s="2" t="s">
        <v>39</v>
      </c>
      <c r="V2139" s="2" t="s">
        <v>40</v>
      </c>
      <c r="W2139" s="2" t="s">
        <v>10061</v>
      </c>
      <c r="X2139" s="2"/>
      <c r="Y2139" s="2"/>
      <c r="Z2139" s="2"/>
      <c r="AA2139" s="2" t="s">
        <v>515</v>
      </c>
      <c r="AB2139" s="2" t="s">
        <v>73</v>
      </c>
      <c r="AC2139" s="4" t="s">
        <v>44</v>
      </c>
    </row>
    <row r="2140" spans="1:29" x14ac:dyDescent="0.25">
      <c r="A2140" s="1">
        <v>1203</v>
      </c>
      <c r="B2140" s="17" t="s">
        <v>10062</v>
      </c>
      <c r="C2140" s="2" t="s">
        <v>10063</v>
      </c>
      <c r="D2140" s="15" t="s">
        <v>8241</v>
      </c>
      <c r="E2140" s="9" t="s">
        <v>495</v>
      </c>
      <c r="F2140" s="9" t="s">
        <v>8240</v>
      </c>
      <c r="G2140" s="9" t="s">
        <v>622</v>
      </c>
      <c r="H2140" s="2" t="s">
        <v>60</v>
      </c>
      <c r="I2140" s="3">
        <v>36537</v>
      </c>
      <c r="J2140" s="9" t="str">
        <f t="shared" ca="1" si="35"/>
        <v>23 ans</v>
      </c>
      <c r="K2140" s="2" t="s">
        <v>68</v>
      </c>
      <c r="L2140" s="2" t="str">
        <f>"432"</f>
        <v>432</v>
      </c>
      <c r="M2140" s="2"/>
      <c r="N2140" s="2" t="str">
        <f>"RUE DE LA FABRIQUE"</f>
        <v>RUE DE LA FABRIQUE</v>
      </c>
      <c r="O2140" s="2" t="s">
        <v>9533</v>
      </c>
      <c r="P2140" s="9" t="str">
        <f>VLOOKUP($O2140,'Liste des Villes'!$B$2:$B$1128,1,FALSE)</f>
        <v>Sainte-Sophie</v>
      </c>
      <c r="Q2140" s="9" t="str">
        <f>IFERROR($P2140,PROPER(VLOOKUP($O2140,'Villes en erreur'!$A$2:$B$72,2,FALSE)))</f>
        <v>Sainte-Sophie</v>
      </c>
      <c r="R2140" s="9" t="s">
        <v>9534</v>
      </c>
      <c r="S2140" s="9" t="str">
        <f>IF(ISBLANK($R2140),"",VLOOKUP($R2140,'Liste des Villes'!$B$2:$H$1128,4,FALSE))</f>
        <v>Laurentides</v>
      </c>
      <c r="T2140" s="2" t="s">
        <v>10064</v>
      </c>
      <c r="U2140" s="2" t="s">
        <v>39</v>
      </c>
      <c r="V2140" s="2" t="s">
        <v>40</v>
      </c>
      <c r="W2140" s="2" t="s">
        <v>10065</v>
      </c>
      <c r="X2140" s="2"/>
      <c r="Y2140" s="2"/>
      <c r="Z2140" s="2"/>
      <c r="AA2140" s="2" t="s">
        <v>515</v>
      </c>
      <c r="AB2140" s="2" t="s">
        <v>73</v>
      </c>
      <c r="AC2140" s="4" t="s">
        <v>44</v>
      </c>
    </row>
    <row r="2141" spans="1:29" x14ac:dyDescent="0.25">
      <c r="A2141" s="1">
        <v>3686</v>
      </c>
      <c r="B2141" s="17" t="s">
        <v>10066</v>
      </c>
      <c r="C2141" s="2" t="s">
        <v>10067</v>
      </c>
      <c r="D2141" s="15" t="s">
        <v>7090</v>
      </c>
      <c r="E2141" s="9" t="s">
        <v>9141</v>
      </c>
      <c r="F2141" s="9" t="s">
        <v>56</v>
      </c>
      <c r="G2141" s="9" t="s">
        <v>1377</v>
      </c>
      <c r="H2141" s="2" t="s">
        <v>60</v>
      </c>
      <c r="I2141" s="3">
        <v>36493</v>
      </c>
      <c r="J2141" s="9" t="str">
        <f t="shared" ca="1" si="35"/>
        <v>23 ans</v>
      </c>
      <c r="K2141" s="2" t="s">
        <v>123</v>
      </c>
      <c r="L2141" s="2" t="str">
        <f>"403"</f>
        <v>403</v>
      </c>
      <c r="M2141" s="2"/>
      <c r="N2141" s="2" t="str">
        <f>"RUE DE LA BOURGOGNE"</f>
        <v>RUE DE LA BOURGOGNE</v>
      </c>
      <c r="O2141" s="2" t="s">
        <v>9533</v>
      </c>
      <c r="P2141" s="9" t="str">
        <f>VLOOKUP($O2141,'Liste des Villes'!$B$2:$B$1128,1,FALSE)</f>
        <v>Sainte-Sophie</v>
      </c>
      <c r="Q2141" s="9" t="str">
        <f>IFERROR($P2141,PROPER(VLOOKUP($O2141,'Villes en erreur'!$A$2:$B$72,2,FALSE)))</f>
        <v>Sainte-Sophie</v>
      </c>
      <c r="R2141" s="9" t="s">
        <v>9534</v>
      </c>
      <c r="S2141" s="9" t="str">
        <f>IF(ISBLANK($R2141),"",VLOOKUP($R2141,'Liste des Villes'!$B$2:$H$1128,4,FALSE))</f>
        <v>Laurentides</v>
      </c>
      <c r="T2141" s="2" t="s">
        <v>10068</v>
      </c>
      <c r="U2141" s="2" t="s">
        <v>39</v>
      </c>
      <c r="V2141" s="2" t="s">
        <v>40</v>
      </c>
      <c r="W2141" s="2" t="s">
        <v>10069</v>
      </c>
      <c r="X2141" s="2"/>
      <c r="Y2141" s="2"/>
      <c r="Z2141" s="2"/>
      <c r="AA2141" s="2" t="s">
        <v>9187</v>
      </c>
      <c r="AB2141" s="2" t="s">
        <v>73</v>
      </c>
      <c r="AC2141" s="4" t="s">
        <v>44</v>
      </c>
    </row>
    <row r="2142" spans="1:29" x14ac:dyDescent="0.25">
      <c r="A2142" s="1">
        <v>3475</v>
      </c>
      <c r="B2142" s="17" t="s">
        <v>10070</v>
      </c>
      <c r="C2142" s="2" t="s">
        <v>10071</v>
      </c>
      <c r="D2142" s="15" t="s">
        <v>6023</v>
      </c>
      <c r="E2142" s="9" t="s">
        <v>5371</v>
      </c>
      <c r="F2142" s="9" t="s">
        <v>6022</v>
      </c>
      <c r="G2142" s="9" t="s">
        <v>683</v>
      </c>
      <c r="H2142" s="2" t="s">
        <v>60</v>
      </c>
      <c r="I2142" s="3">
        <v>36545</v>
      </c>
      <c r="J2142" s="9" t="str">
        <f t="shared" ca="1" si="35"/>
        <v>23 ans</v>
      </c>
      <c r="K2142" s="2" t="s">
        <v>68</v>
      </c>
      <c r="L2142" s="2" t="str">
        <f>"440"</f>
        <v>440</v>
      </c>
      <c r="M2142" s="2"/>
      <c r="N2142" s="2" t="str">
        <f>"RUE DE LA MASSAWIPPI"</f>
        <v>RUE DE LA MASSAWIPPI</v>
      </c>
      <c r="O2142" s="2" t="s">
        <v>9533</v>
      </c>
      <c r="P2142" s="9" t="str">
        <f>VLOOKUP($O2142,'Liste des Villes'!$B$2:$B$1128,1,FALSE)</f>
        <v>Sainte-Sophie</v>
      </c>
      <c r="Q2142" s="9" t="str">
        <f>IFERROR($P2142,PROPER(VLOOKUP($O2142,'Villes en erreur'!$A$2:$B$72,2,FALSE)))</f>
        <v>Sainte-Sophie</v>
      </c>
      <c r="R2142" s="9" t="s">
        <v>9534</v>
      </c>
      <c r="S2142" s="9" t="str">
        <f>IF(ISBLANK($R2142),"",VLOOKUP($R2142,'Liste des Villes'!$B$2:$H$1128,4,FALSE))</f>
        <v>Laurentides</v>
      </c>
      <c r="T2142" s="2" t="s">
        <v>10072</v>
      </c>
      <c r="U2142" s="2" t="s">
        <v>39</v>
      </c>
      <c r="V2142" s="2" t="s">
        <v>40</v>
      </c>
      <c r="W2142" s="2" t="s">
        <v>10073</v>
      </c>
      <c r="X2142" s="2"/>
      <c r="Y2142" s="2"/>
      <c r="Z2142" s="2"/>
      <c r="AA2142" s="2" t="s">
        <v>515</v>
      </c>
      <c r="AB2142" s="2" t="s">
        <v>73</v>
      </c>
      <c r="AC2142" s="4" t="s">
        <v>44</v>
      </c>
    </row>
    <row r="2143" spans="1:29" x14ac:dyDescent="0.25">
      <c r="A2143" s="1">
        <v>2838</v>
      </c>
      <c r="B2143" s="17" t="s">
        <v>10074</v>
      </c>
      <c r="C2143" s="2" t="s">
        <v>10075</v>
      </c>
      <c r="D2143" s="15" t="s">
        <v>969</v>
      </c>
      <c r="E2143" s="9" t="s">
        <v>85</v>
      </c>
      <c r="F2143" s="9" t="s">
        <v>967</v>
      </c>
      <c r="G2143" s="9" t="s">
        <v>622</v>
      </c>
      <c r="H2143" s="2" t="s">
        <v>60</v>
      </c>
      <c r="I2143" s="3">
        <v>36536</v>
      </c>
      <c r="J2143" s="9" t="str">
        <f t="shared" ca="1" si="35"/>
        <v>23 ans</v>
      </c>
      <c r="K2143" s="2" t="s">
        <v>68</v>
      </c>
      <c r="L2143" s="2" t="str">
        <f>"432"</f>
        <v>432</v>
      </c>
      <c r="M2143" s="2"/>
      <c r="N2143" s="2" t="str">
        <f>"RUE DE LA DAUPHINE"</f>
        <v>RUE DE LA DAUPHINE</v>
      </c>
      <c r="O2143" s="2" t="s">
        <v>9533</v>
      </c>
      <c r="P2143" s="9" t="str">
        <f>VLOOKUP($O2143,'Liste des Villes'!$B$2:$B$1128,1,FALSE)</f>
        <v>Sainte-Sophie</v>
      </c>
      <c r="Q2143" s="9" t="str">
        <f>IFERROR($P2143,PROPER(VLOOKUP($O2143,'Villes en erreur'!$A$2:$B$72,2,FALSE)))</f>
        <v>Sainte-Sophie</v>
      </c>
      <c r="R2143" s="9" t="s">
        <v>9534</v>
      </c>
      <c r="S2143" s="9" t="str">
        <f>IF(ISBLANK($R2143),"",VLOOKUP($R2143,'Liste des Villes'!$B$2:$H$1128,4,FALSE))</f>
        <v>Laurentides</v>
      </c>
      <c r="T2143" s="2" t="s">
        <v>10076</v>
      </c>
      <c r="U2143" s="2" t="s">
        <v>39</v>
      </c>
      <c r="V2143" s="2" t="s">
        <v>40</v>
      </c>
      <c r="W2143" s="2" t="s">
        <v>10077</v>
      </c>
      <c r="X2143" s="2"/>
      <c r="Y2143" s="2"/>
      <c r="Z2143" s="2"/>
      <c r="AA2143" s="2" t="s">
        <v>515</v>
      </c>
      <c r="AB2143" s="2" t="s">
        <v>73</v>
      </c>
      <c r="AC2143" s="4" t="s">
        <v>44</v>
      </c>
    </row>
    <row r="2144" spans="1:29" x14ac:dyDescent="0.25">
      <c r="A2144" s="1">
        <v>4121</v>
      </c>
      <c r="B2144" s="17" t="s">
        <v>10078</v>
      </c>
      <c r="C2144" s="2" t="s">
        <v>3065</v>
      </c>
      <c r="D2144" s="15" t="s">
        <v>1477</v>
      </c>
      <c r="E2144" s="9" t="s">
        <v>3066</v>
      </c>
      <c r="F2144" s="9" t="s">
        <v>1479</v>
      </c>
      <c r="G2144" s="9" t="s">
        <v>3156</v>
      </c>
      <c r="H2144" s="2" t="s">
        <v>35</v>
      </c>
      <c r="I2144" s="3">
        <v>36550</v>
      </c>
      <c r="J2144" s="9" t="str">
        <f t="shared" ca="1" si="35"/>
        <v>23 ans</v>
      </c>
      <c r="K2144" s="2" t="s">
        <v>68</v>
      </c>
      <c r="L2144" s="2" t="str">
        <f>"443"</f>
        <v>443</v>
      </c>
      <c r="M2144" s="2"/>
      <c r="N2144" s="2" t="str">
        <f>"RUE DE LA MOUSSON"</f>
        <v>RUE DE LA MOUSSON</v>
      </c>
      <c r="O2144" s="2" t="s">
        <v>9533</v>
      </c>
      <c r="P2144" s="9" t="str">
        <f>VLOOKUP($O2144,'Liste des Villes'!$B$2:$B$1128,1,FALSE)</f>
        <v>Sainte-Sophie</v>
      </c>
      <c r="Q2144" s="9" t="str">
        <f>IFERROR($P2144,PROPER(VLOOKUP($O2144,'Villes en erreur'!$A$2:$B$72,2,FALSE)))</f>
        <v>Sainte-Sophie</v>
      </c>
      <c r="R2144" s="9" t="s">
        <v>9534</v>
      </c>
      <c r="S2144" s="9" t="str">
        <f>IF(ISBLANK($R2144),"",VLOOKUP($R2144,'Liste des Villes'!$B$2:$H$1128,4,FALSE))</f>
        <v>Laurentides</v>
      </c>
      <c r="T2144" s="2" t="s">
        <v>9864</v>
      </c>
      <c r="U2144" s="2" t="s">
        <v>39</v>
      </c>
      <c r="V2144" s="2" t="s">
        <v>40</v>
      </c>
      <c r="W2144" s="2" t="s">
        <v>10079</v>
      </c>
      <c r="X2144" s="2"/>
      <c r="Y2144" s="2"/>
      <c r="Z2144" s="2"/>
      <c r="AA2144" s="2" t="s">
        <v>515</v>
      </c>
      <c r="AB2144" s="2" t="s">
        <v>73</v>
      </c>
      <c r="AC2144" s="4" t="s">
        <v>44</v>
      </c>
    </row>
    <row r="2145" spans="1:29" x14ac:dyDescent="0.25">
      <c r="A2145" s="1">
        <v>2993</v>
      </c>
      <c r="B2145" s="17" t="s">
        <v>10080</v>
      </c>
      <c r="C2145" s="2" t="s">
        <v>10081</v>
      </c>
      <c r="D2145" s="15" t="s">
        <v>510</v>
      </c>
      <c r="E2145" s="9" t="s">
        <v>9234</v>
      </c>
      <c r="F2145" s="9" t="s">
        <v>845</v>
      </c>
      <c r="G2145" s="9" t="s">
        <v>1377</v>
      </c>
      <c r="H2145" s="2" t="s">
        <v>60</v>
      </c>
      <c r="I2145" s="3">
        <v>36496</v>
      </c>
      <c r="J2145" s="9" t="str">
        <f t="shared" ca="1" si="35"/>
        <v>23 ans</v>
      </c>
      <c r="K2145" s="2" t="s">
        <v>123</v>
      </c>
      <c r="L2145" s="2" t="str">
        <f>"404"</f>
        <v>404</v>
      </c>
      <c r="M2145" s="2"/>
      <c r="N2145" s="2" t="str">
        <f>"RUE DE LA BRETAGNE"</f>
        <v>RUE DE LA BRETAGNE</v>
      </c>
      <c r="O2145" s="2" t="s">
        <v>9533</v>
      </c>
      <c r="P2145" s="9" t="str">
        <f>VLOOKUP($O2145,'Liste des Villes'!$B$2:$B$1128,1,FALSE)</f>
        <v>Sainte-Sophie</v>
      </c>
      <c r="Q2145" s="9" t="str">
        <f>IFERROR($P2145,PROPER(VLOOKUP($O2145,'Villes en erreur'!$A$2:$B$72,2,FALSE)))</f>
        <v>Sainte-Sophie</v>
      </c>
      <c r="R2145" s="9" t="s">
        <v>9534</v>
      </c>
      <c r="S2145" s="9" t="str">
        <f>IF(ISBLANK($R2145),"",VLOOKUP($R2145,'Liste des Villes'!$B$2:$H$1128,4,FALSE))</f>
        <v>Laurentides</v>
      </c>
      <c r="T2145" s="2" t="s">
        <v>10082</v>
      </c>
      <c r="U2145" s="2" t="s">
        <v>39</v>
      </c>
      <c r="V2145" s="2" t="s">
        <v>40</v>
      </c>
      <c r="W2145" s="2" t="s">
        <v>10083</v>
      </c>
      <c r="X2145" s="2"/>
      <c r="Y2145" s="2"/>
      <c r="Z2145" s="2"/>
      <c r="AA2145" s="2" t="s">
        <v>9187</v>
      </c>
      <c r="AB2145" s="2" t="s">
        <v>73</v>
      </c>
      <c r="AC2145" s="4" t="s">
        <v>44</v>
      </c>
    </row>
    <row r="2146" spans="1:29" x14ac:dyDescent="0.25">
      <c r="A2146" s="1">
        <v>88</v>
      </c>
      <c r="B2146" s="17" t="s">
        <v>10084</v>
      </c>
      <c r="C2146" s="2" t="s">
        <v>10085</v>
      </c>
      <c r="D2146" s="15" t="s">
        <v>7497</v>
      </c>
      <c r="E2146" s="9" t="s">
        <v>354</v>
      </c>
      <c r="F2146" s="9" t="s">
        <v>7496</v>
      </c>
      <c r="G2146" s="9" t="s">
        <v>922</v>
      </c>
      <c r="H2146" s="2" t="s">
        <v>60</v>
      </c>
      <c r="I2146" s="3">
        <v>36547</v>
      </c>
      <c r="J2146" s="9" t="str">
        <f t="shared" ca="1" si="35"/>
        <v>23 ans</v>
      </c>
      <c r="K2146" s="2" t="s">
        <v>68</v>
      </c>
      <c r="L2146" s="2" t="str">
        <f>"441"</f>
        <v>441</v>
      </c>
      <c r="M2146" s="2"/>
      <c r="N2146" s="2" t="str">
        <f>"RUE DE LA MONTAGNE"</f>
        <v>RUE DE LA MONTAGNE</v>
      </c>
      <c r="O2146" s="2" t="s">
        <v>9533</v>
      </c>
      <c r="P2146" s="9" t="str">
        <f>VLOOKUP($O2146,'Liste des Villes'!$B$2:$B$1128,1,FALSE)</f>
        <v>Sainte-Sophie</v>
      </c>
      <c r="Q2146" s="9" t="str">
        <f>IFERROR($P2146,PROPER(VLOOKUP($O2146,'Villes en erreur'!$A$2:$B$72,2,FALSE)))</f>
        <v>Sainte-Sophie</v>
      </c>
      <c r="R2146" s="9" t="s">
        <v>9534</v>
      </c>
      <c r="S2146" s="9" t="str">
        <f>IF(ISBLANK($R2146),"",VLOOKUP($R2146,'Liste des Villes'!$B$2:$H$1128,4,FALSE))</f>
        <v>Laurentides</v>
      </c>
      <c r="T2146" s="2" t="s">
        <v>10086</v>
      </c>
      <c r="U2146" s="2" t="s">
        <v>39</v>
      </c>
      <c r="V2146" s="2" t="s">
        <v>40</v>
      </c>
      <c r="W2146" s="2" t="s">
        <v>10087</v>
      </c>
      <c r="X2146" s="2"/>
      <c r="Y2146" s="2"/>
      <c r="Z2146" s="2"/>
      <c r="AA2146" s="2" t="s">
        <v>515</v>
      </c>
      <c r="AB2146" s="2" t="s">
        <v>73</v>
      </c>
      <c r="AC2146" s="4" t="s">
        <v>44</v>
      </c>
    </row>
    <row r="2147" spans="1:29" x14ac:dyDescent="0.25">
      <c r="A2147" s="1">
        <v>2091</v>
      </c>
      <c r="B2147" s="17" t="s">
        <v>10088</v>
      </c>
      <c r="C2147" s="2" t="s">
        <v>310</v>
      </c>
      <c r="D2147" s="15" t="s">
        <v>311</v>
      </c>
      <c r="E2147" s="9" t="s">
        <v>99</v>
      </c>
      <c r="F2147" s="9" t="s">
        <v>312</v>
      </c>
      <c r="G2147" s="9" t="s">
        <v>622</v>
      </c>
      <c r="H2147" s="2" t="s">
        <v>60</v>
      </c>
      <c r="I2147" s="3">
        <v>36539</v>
      </c>
      <c r="J2147" s="9" t="str">
        <f t="shared" ca="1" si="35"/>
        <v>23 ans</v>
      </c>
      <c r="K2147" s="2" t="s">
        <v>68</v>
      </c>
      <c r="L2147" s="2" t="str">
        <f>"434"</f>
        <v>434</v>
      </c>
      <c r="M2147" s="2"/>
      <c r="N2147" s="2" t="str">
        <f>"RUE DE LA GARE"</f>
        <v>RUE DE LA GARE</v>
      </c>
      <c r="O2147" s="2" t="s">
        <v>9533</v>
      </c>
      <c r="P2147" s="9" t="str">
        <f>VLOOKUP($O2147,'Liste des Villes'!$B$2:$B$1128,1,FALSE)</f>
        <v>Sainte-Sophie</v>
      </c>
      <c r="Q2147" s="9" t="str">
        <f>IFERROR($P2147,PROPER(VLOOKUP($O2147,'Villes en erreur'!$A$2:$B$72,2,FALSE)))</f>
        <v>Sainte-Sophie</v>
      </c>
      <c r="R2147" s="9" t="s">
        <v>9534</v>
      </c>
      <c r="S2147" s="9" t="str">
        <f>IF(ISBLANK($R2147),"",VLOOKUP($R2147,'Liste des Villes'!$B$2:$H$1128,4,FALSE))</f>
        <v>Laurentides</v>
      </c>
      <c r="T2147" s="2" t="s">
        <v>10089</v>
      </c>
      <c r="U2147" s="2" t="s">
        <v>39</v>
      </c>
      <c r="V2147" s="2" t="s">
        <v>40</v>
      </c>
      <c r="W2147" s="2" t="s">
        <v>10090</v>
      </c>
      <c r="X2147" s="2"/>
      <c r="Y2147" s="2"/>
      <c r="Z2147" s="2"/>
      <c r="AA2147" s="2" t="s">
        <v>515</v>
      </c>
      <c r="AB2147" s="2" t="s">
        <v>73</v>
      </c>
      <c r="AC2147" s="4" t="s">
        <v>44</v>
      </c>
    </row>
    <row r="2148" spans="1:29" x14ac:dyDescent="0.25">
      <c r="A2148" s="1">
        <v>1022</v>
      </c>
      <c r="B2148" s="17" t="s">
        <v>10091</v>
      </c>
      <c r="C2148" s="2" t="s">
        <v>10092</v>
      </c>
      <c r="D2148" s="15" t="s">
        <v>884</v>
      </c>
      <c r="E2148" s="9" t="s">
        <v>6380</v>
      </c>
      <c r="F2148" s="9" t="s">
        <v>882</v>
      </c>
      <c r="G2148" s="9" t="s">
        <v>683</v>
      </c>
      <c r="H2148" s="2" t="s">
        <v>60</v>
      </c>
      <c r="I2148" s="3">
        <v>36543</v>
      </c>
      <c r="J2148" s="9" t="str">
        <f t="shared" ca="1" si="35"/>
        <v>23 ans</v>
      </c>
      <c r="K2148" s="2" t="s">
        <v>68</v>
      </c>
      <c r="L2148" s="2" t="str">
        <f>"437"</f>
        <v>437</v>
      </c>
      <c r="M2148" s="2"/>
      <c r="N2148" s="2" t="str">
        <f>"RUE DE LA JONQUILLE"</f>
        <v>RUE DE LA JONQUILLE</v>
      </c>
      <c r="O2148" s="2" t="s">
        <v>9533</v>
      </c>
      <c r="P2148" s="9" t="str">
        <f>VLOOKUP($O2148,'Liste des Villes'!$B$2:$B$1128,1,FALSE)</f>
        <v>Sainte-Sophie</v>
      </c>
      <c r="Q2148" s="9" t="str">
        <f>IFERROR($P2148,PROPER(VLOOKUP($O2148,'Villes en erreur'!$A$2:$B$72,2,FALSE)))</f>
        <v>Sainte-Sophie</v>
      </c>
      <c r="R2148" s="9" t="s">
        <v>9534</v>
      </c>
      <c r="S2148" s="9" t="str">
        <f>IF(ISBLANK($R2148),"",VLOOKUP($R2148,'Liste des Villes'!$B$2:$H$1128,4,FALSE))</f>
        <v>Laurentides</v>
      </c>
      <c r="T2148" s="2" t="s">
        <v>10093</v>
      </c>
      <c r="U2148" s="2" t="s">
        <v>39</v>
      </c>
      <c r="V2148" s="2" t="s">
        <v>40</v>
      </c>
      <c r="W2148" s="2" t="s">
        <v>10094</v>
      </c>
      <c r="X2148" s="2"/>
      <c r="Y2148" s="2"/>
      <c r="Z2148" s="2"/>
      <c r="AA2148" s="2" t="s">
        <v>515</v>
      </c>
      <c r="AB2148" s="2" t="s">
        <v>73</v>
      </c>
      <c r="AC2148" s="4" t="s">
        <v>44</v>
      </c>
    </row>
    <row r="2149" spans="1:29" x14ac:dyDescent="0.25">
      <c r="A2149" s="1">
        <v>3386</v>
      </c>
      <c r="B2149" s="17" t="s">
        <v>10095</v>
      </c>
      <c r="C2149" s="2" t="s">
        <v>10096</v>
      </c>
      <c r="D2149" s="15" t="s">
        <v>292</v>
      </c>
      <c r="E2149" s="9" t="s">
        <v>3705</v>
      </c>
      <c r="F2149" s="9" t="s">
        <v>4162</v>
      </c>
      <c r="G2149" s="9" t="s">
        <v>1377</v>
      </c>
      <c r="H2149" s="2" t="s">
        <v>60</v>
      </c>
      <c r="I2149" s="3">
        <v>36489</v>
      </c>
      <c r="J2149" s="9" t="str">
        <f t="shared" ca="1" si="35"/>
        <v>23 ans</v>
      </c>
      <c r="K2149" s="2" t="s">
        <v>123</v>
      </c>
      <c r="L2149" s="2" t="str">
        <f>"401"</f>
        <v>401</v>
      </c>
      <c r="M2149" s="2"/>
      <c r="N2149" s="2" t="str">
        <f>"RUE DE L' ÉPÉE"</f>
        <v>RUE DE L' ÉPÉE</v>
      </c>
      <c r="O2149" s="2" t="s">
        <v>9533</v>
      </c>
      <c r="P2149" s="9" t="str">
        <f>VLOOKUP($O2149,'Liste des Villes'!$B$2:$B$1128,1,FALSE)</f>
        <v>Sainte-Sophie</v>
      </c>
      <c r="Q2149" s="9" t="str">
        <f>IFERROR($P2149,PROPER(VLOOKUP($O2149,'Villes en erreur'!$A$2:$B$72,2,FALSE)))</f>
        <v>Sainte-Sophie</v>
      </c>
      <c r="R2149" s="9" t="s">
        <v>9534</v>
      </c>
      <c r="S2149" s="9" t="str">
        <f>IF(ISBLANK($R2149),"",VLOOKUP($R2149,'Liste des Villes'!$B$2:$H$1128,4,FALSE))</f>
        <v>Laurentides</v>
      </c>
      <c r="T2149" s="2" t="s">
        <v>9593</v>
      </c>
      <c r="U2149" s="2" t="s">
        <v>39</v>
      </c>
      <c r="V2149" s="2" t="s">
        <v>40</v>
      </c>
      <c r="W2149" s="2" t="s">
        <v>10097</v>
      </c>
      <c r="X2149" s="2"/>
      <c r="Y2149" s="2"/>
      <c r="Z2149" s="2"/>
      <c r="AA2149" s="2" t="s">
        <v>9187</v>
      </c>
      <c r="AB2149" s="2" t="s">
        <v>73</v>
      </c>
      <c r="AC2149" s="4" t="s">
        <v>44</v>
      </c>
    </row>
    <row r="2150" spans="1:29" x14ac:dyDescent="0.25">
      <c r="A2150" s="1">
        <v>3718</v>
      </c>
      <c r="B2150" s="17" t="s">
        <v>10098</v>
      </c>
      <c r="C2150" s="2" t="s">
        <v>1174</v>
      </c>
      <c r="D2150" s="15" t="s">
        <v>1175</v>
      </c>
      <c r="E2150" s="9" t="s">
        <v>1176</v>
      </c>
      <c r="F2150" s="9" t="s">
        <v>1489</v>
      </c>
      <c r="G2150" s="9" t="s">
        <v>1377</v>
      </c>
      <c r="H2150" s="2" t="s">
        <v>60</v>
      </c>
      <c r="I2150" s="3">
        <v>36498</v>
      </c>
      <c r="J2150" s="9" t="str">
        <f t="shared" ca="1" si="35"/>
        <v>23 ans</v>
      </c>
      <c r="K2150" s="2" t="s">
        <v>123</v>
      </c>
      <c r="L2150" s="2" t="str">
        <f>"406"</f>
        <v>406</v>
      </c>
      <c r="M2150" s="2"/>
      <c r="N2150" s="2" t="str">
        <f>"RUE DE LA BRETAGNE"</f>
        <v>RUE DE LA BRETAGNE</v>
      </c>
      <c r="O2150" s="2" t="s">
        <v>9533</v>
      </c>
      <c r="P2150" s="9" t="str">
        <f>VLOOKUP($O2150,'Liste des Villes'!$B$2:$B$1128,1,FALSE)</f>
        <v>Sainte-Sophie</v>
      </c>
      <c r="Q2150" s="9" t="str">
        <f>IFERROR($P2150,PROPER(VLOOKUP($O2150,'Villes en erreur'!$A$2:$B$72,2,FALSE)))</f>
        <v>Sainte-Sophie</v>
      </c>
      <c r="R2150" s="9" t="s">
        <v>9534</v>
      </c>
      <c r="S2150" s="9" t="str">
        <f>IF(ISBLANK($R2150),"",VLOOKUP($R2150,'Liste des Villes'!$B$2:$H$1128,4,FALSE))</f>
        <v>Laurentides</v>
      </c>
      <c r="T2150" s="2" t="s">
        <v>10099</v>
      </c>
      <c r="U2150" s="2" t="s">
        <v>39</v>
      </c>
      <c r="V2150" s="2" t="s">
        <v>40</v>
      </c>
      <c r="W2150" s="2" t="s">
        <v>10100</v>
      </c>
      <c r="X2150" s="2"/>
      <c r="Y2150" s="2"/>
      <c r="Z2150" s="2"/>
      <c r="AA2150" s="2" t="s">
        <v>9187</v>
      </c>
      <c r="AB2150" s="2" t="s">
        <v>73</v>
      </c>
      <c r="AC2150" s="4" t="s">
        <v>44</v>
      </c>
    </row>
    <row r="2151" spans="1:29" x14ac:dyDescent="0.25">
      <c r="A2151" s="1">
        <v>4531</v>
      </c>
      <c r="B2151" s="17" t="s">
        <v>10101</v>
      </c>
      <c r="C2151" s="2" t="s">
        <v>10102</v>
      </c>
      <c r="D2151" s="15" t="s">
        <v>5596</v>
      </c>
      <c r="E2151" s="9" t="s">
        <v>1782</v>
      </c>
      <c r="F2151" s="9" t="s">
        <v>982</v>
      </c>
      <c r="G2151" s="9" t="s">
        <v>989</v>
      </c>
      <c r="H2151" s="2" t="s">
        <v>60</v>
      </c>
      <c r="I2151" s="3">
        <v>36510</v>
      </c>
      <c r="J2151" s="9" t="str">
        <f t="shared" ca="1" si="35"/>
        <v>23 ans</v>
      </c>
      <c r="K2151" s="2" t="s">
        <v>123</v>
      </c>
      <c r="L2151" s="2" t="str">
        <f>"415"</f>
        <v>415</v>
      </c>
      <c r="M2151" s="2"/>
      <c r="N2151" s="2" t="str">
        <f>"RUE DE LA CANTINIÈRE"</f>
        <v>RUE DE LA CANTINIÈRE</v>
      </c>
      <c r="O2151" s="2" t="s">
        <v>9533</v>
      </c>
      <c r="P2151" s="9" t="str">
        <f>VLOOKUP($O2151,'Liste des Villes'!$B$2:$B$1128,1,FALSE)</f>
        <v>Sainte-Sophie</v>
      </c>
      <c r="Q2151" s="9" t="str">
        <f>IFERROR($P2151,PROPER(VLOOKUP($O2151,'Villes en erreur'!$A$2:$B$72,2,FALSE)))</f>
        <v>Sainte-Sophie</v>
      </c>
      <c r="R2151" s="9" t="s">
        <v>9534</v>
      </c>
      <c r="S2151" s="9" t="str">
        <f>IF(ISBLANK($R2151),"",VLOOKUP($R2151,'Liste des Villes'!$B$2:$H$1128,4,FALSE))</f>
        <v>Laurentides</v>
      </c>
      <c r="T2151" s="2" t="s">
        <v>10103</v>
      </c>
      <c r="U2151" s="2" t="s">
        <v>39</v>
      </c>
      <c r="V2151" s="2" t="s">
        <v>40</v>
      </c>
      <c r="W2151" s="2" t="s">
        <v>10104</v>
      </c>
      <c r="X2151" s="2"/>
      <c r="Y2151" s="2"/>
      <c r="Z2151" s="2"/>
      <c r="AA2151" s="2" t="s">
        <v>9187</v>
      </c>
      <c r="AB2151" s="2" t="s">
        <v>73</v>
      </c>
      <c r="AC2151" s="4" t="s">
        <v>44</v>
      </c>
    </row>
    <row r="2152" spans="1:29" x14ac:dyDescent="0.25">
      <c r="A2152" s="1">
        <v>2028</v>
      </c>
      <c r="B2152" s="17" t="s">
        <v>10105</v>
      </c>
      <c r="C2152" s="2" t="s">
        <v>177</v>
      </c>
      <c r="D2152" s="15" t="s">
        <v>178</v>
      </c>
      <c r="E2152" s="9" t="s">
        <v>179</v>
      </c>
      <c r="F2152" s="9" t="s">
        <v>2369</v>
      </c>
      <c r="G2152" s="9" t="s">
        <v>4158</v>
      </c>
      <c r="H2152" s="2" t="s">
        <v>60</v>
      </c>
      <c r="I2152" s="3">
        <v>36507</v>
      </c>
      <c r="J2152" s="9" t="str">
        <f t="shared" ca="1" si="35"/>
        <v>23 ans</v>
      </c>
      <c r="K2152" s="2" t="s">
        <v>123</v>
      </c>
      <c r="L2152" s="2" t="str">
        <f>"411"</f>
        <v>411</v>
      </c>
      <c r="M2152" s="2"/>
      <c r="N2152" s="2" t="str">
        <f>"RUE DE LA CAMPAGNE"</f>
        <v>RUE DE LA CAMPAGNE</v>
      </c>
      <c r="O2152" s="2" t="s">
        <v>9533</v>
      </c>
      <c r="P2152" s="9" t="str">
        <f>VLOOKUP($O2152,'Liste des Villes'!$B$2:$B$1128,1,FALSE)</f>
        <v>Sainte-Sophie</v>
      </c>
      <c r="Q2152" s="9" t="str">
        <f>IFERROR($P2152,PROPER(VLOOKUP($O2152,'Villes en erreur'!$A$2:$B$72,2,FALSE)))</f>
        <v>Sainte-Sophie</v>
      </c>
      <c r="R2152" s="9" t="s">
        <v>9534</v>
      </c>
      <c r="S2152" s="9" t="str">
        <f>IF(ISBLANK($R2152),"",VLOOKUP($R2152,'Liste des Villes'!$B$2:$H$1128,4,FALSE))</f>
        <v>Laurentides</v>
      </c>
      <c r="T2152" s="2" t="s">
        <v>9759</v>
      </c>
      <c r="U2152" s="2" t="s">
        <v>39</v>
      </c>
      <c r="V2152" s="2" t="s">
        <v>40</v>
      </c>
      <c r="W2152" s="2" t="s">
        <v>10106</v>
      </c>
      <c r="X2152" s="2"/>
      <c r="Y2152" s="2"/>
      <c r="Z2152" s="2"/>
      <c r="AA2152" s="2" t="s">
        <v>9187</v>
      </c>
      <c r="AB2152" s="2" t="s">
        <v>73</v>
      </c>
      <c r="AC2152" s="4" t="s">
        <v>44</v>
      </c>
    </row>
    <row r="2153" spans="1:29" x14ac:dyDescent="0.25">
      <c r="A2153" s="1">
        <v>2697</v>
      </c>
      <c r="B2153" s="17" t="s">
        <v>10107</v>
      </c>
      <c r="C2153" s="2" t="s">
        <v>10108</v>
      </c>
      <c r="D2153" s="15" t="s">
        <v>8568</v>
      </c>
      <c r="E2153" s="9" t="s">
        <v>8434</v>
      </c>
      <c r="F2153" s="9" t="s">
        <v>1959</v>
      </c>
      <c r="G2153" s="9" t="s">
        <v>511</v>
      </c>
      <c r="H2153" s="2" t="s">
        <v>60</v>
      </c>
      <c r="I2153" s="3">
        <v>36581</v>
      </c>
      <c r="J2153" s="9" t="str">
        <f t="shared" ca="1" si="35"/>
        <v>23 ans</v>
      </c>
      <c r="K2153" s="2" t="s">
        <v>68</v>
      </c>
      <c r="L2153" s="2" t="str">
        <f>"473"</f>
        <v>473</v>
      </c>
      <c r="M2153" s="2"/>
      <c r="N2153" s="2" t="str">
        <f>"RUE DE LA SAPINIÈRE"</f>
        <v>RUE DE LA SAPINIÈRE</v>
      </c>
      <c r="O2153" s="2" t="s">
        <v>9533</v>
      </c>
      <c r="P2153" s="9" t="str">
        <f>VLOOKUP($O2153,'Liste des Villes'!$B$2:$B$1128,1,FALSE)</f>
        <v>Sainte-Sophie</v>
      </c>
      <c r="Q2153" s="9" t="str">
        <f>IFERROR($P2153,PROPER(VLOOKUP($O2153,'Villes en erreur'!$A$2:$B$72,2,FALSE)))</f>
        <v>Sainte-Sophie</v>
      </c>
      <c r="R2153" s="9" t="s">
        <v>9534</v>
      </c>
      <c r="S2153" s="9" t="str">
        <f>IF(ISBLANK($R2153),"",VLOOKUP($R2153,'Liste des Villes'!$B$2:$H$1128,4,FALSE))</f>
        <v>Laurentides</v>
      </c>
      <c r="T2153" s="2" t="s">
        <v>10109</v>
      </c>
      <c r="U2153" s="2" t="s">
        <v>39</v>
      </c>
      <c r="V2153" s="2" t="s">
        <v>40</v>
      </c>
      <c r="W2153" s="2" t="s">
        <v>10110</v>
      </c>
      <c r="X2153" s="2"/>
      <c r="Y2153" s="2"/>
      <c r="Z2153" s="2"/>
      <c r="AA2153" s="2" t="s">
        <v>515</v>
      </c>
      <c r="AB2153" s="2" t="s">
        <v>73</v>
      </c>
      <c r="AC2153" s="4" t="s">
        <v>44</v>
      </c>
    </row>
    <row r="2154" spans="1:29" x14ac:dyDescent="0.25">
      <c r="A2154" s="1">
        <v>4006</v>
      </c>
      <c r="B2154" s="17" t="s">
        <v>10111</v>
      </c>
      <c r="C2154" s="2" t="s">
        <v>10112</v>
      </c>
      <c r="D2154" s="15" t="s">
        <v>10113</v>
      </c>
      <c r="E2154" s="9" t="s">
        <v>4866</v>
      </c>
      <c r="F2154" s="9" t="s">
        <v>9263</v>
      </c>
      <c r="G2154" s="9" t="s">
        <v>1377</v>
      </c>
      <c r="H2154" s="2" t="s">
        <v>60</v>
      </c>
      <c r="I2154" s="3">
        <v>36491</v>
      </c>
      <c r="J2154" s="9" t="str">
        <f t="shared" ca="1" si="35"/>
        <v>23 ans</v>
      </c>
      <c r="K2154" s="2" t="s">
        <v>123</v>
      </c>
      <c r="L2154" s="2" t="str">
        <f>"402"</f>
        <v>402</v>
      </c>
      <c r="M2154" s="2"/>
      <c r="N2154" s="2" t="str">
        <f>"RUE DE LA BÉCASSINE"</f>
        <v>RUE DE LA BÉCASSINE</v>
      </c>
      <c r="O2154" s="2" t="s">
        <v>9533</v>
      </c>
      <c r="P2154" s="9" t="str">
        <f>VLOOKUP($O2154,'Liste des Villes'!$B$2:$B$1128,1,FALSE)</f>
        <v>Sainte-Sophie</v>
      </c>
      <c r="Q2154" s="9" t="str">
        <f>IFERROR($P2154,PROPER(VLOOKUP($O2154,'Villes en erreur'!$A$2:$B$72,2,FALSE)))</f>
        <v>Sainte-Sophie</v>
      </c>
      <c r="R2154" s="9" t="s">
        <v>9534</v>
      </c>
      <c r="S2154" s="9" t="str">
        <f>IF(ISBLANK($R2154),"",VLOOKUP($R2154,'Liste des Villes'!$B$2:$H$1128,4,FALSE))</f>
        <v>Laurentides</v>
      </c>
      <c r="T2154" s="2" t="s">
        <v>10114</v>
      </c>
      <c r="U2154" s="2" t="s">
        <v>39</v>
      </c>
      <c r="V2154" s="2" t="s">
        <v>40</v>
      </c>
      <c r="W2154" s="2" t="s">
        <v>10115</v>
      </c>
      <c r="X2154" s="2"/>
      <c r="Y2154" s="2"/>
      <c r="Z2154" s="2"/>
      <c r="AA2154" s="2" t="s">
        <v>9187</v>
      </c>
      <c r="AB2154" s="2" t="s">
        <v>73</v>
      </c>
      <c r="AC2154" s="4" t="s">
        <v>44</v>
      </c>
    </row>
    <row r="2155" spans="1:29" x14ac:dyDescent="0.25">
      <c r="A2155" s="1">
        <v>1986</v>
      </c>
      <c r="B2155" s="17" t="s">
        <v>10116</v>
      </c>
      <c r="C2155" s="2" t="s">
        <v>10117</v>
      </c>
      <c r="D2155" s="15" t="s">
        <v>10118</v>
      </c>
      <c r="E2155" s="9" t="s">
        <v>85</v>
      </c>
      <c r="F2155" s="9" t="s">
        <v>6570</v>
      </c>
      <c r="G2155" s="9" t="s">
        <v>683</v>
      </c>
      <c r="H2155" s="2" t="s">
        <v>60</v>
      </c>
      <c r="I2155" s="3">
        <v>36541</v>
      </c>
      <c r="J2155" s="9" t="str">
        <f t="shared" ca="1" si="35"/>
        <v>23 ans</v>
      </c>
      <c r="K2155" s="2" t="s">
        <v>68</v>
      </c>
      <c r="L2155" s="2" t="str">
        <f>"435"</f>
        <v>435</v>
      </c>
      <c r="M2155" s="2"/>
      <c r="N2155" s="2" t="str">
        <f>"RUE DE LA GRANDE OURSE"</f>
        <v>RUE DE LA GRANDE OURSE</v>
      </c>
      <c r="O2155" s="2" t="s">
        <v>9533</v>
      </c>
      <c r="P2155" s="9" t="str">
        <f>VLOOKUP($O2155,'Liste des Villes'!$B$2:$B$1128,1,FALSE)</f>
        <v>Sainte-Sophie</v>
      </c>
      <c r="Q2155" s="9" t="str">
        <f>IFERROR($P2155,PROPER(VLOOKUP($O2155,'Villes en erreur'!$A$2:$B$72,2,FALSE)))</f>
        <v>Sainte-Sophie</v>
      </c>
      <c r="R2155" s="9" t="s">
        <v>9534</v>
      </c>
      <c r="S2155" s="9" t="str">
        <f>IF(ISBLANK($R2155),"",VLOOKUP($R2155,'Liste des Villes'!$B$2:$H$1128,4,FALSE))</f>
        <v>Laurentides</v>
      </c>
      <c r="T2155" s="2" t="s">
        <v>10119</v>
      </c>
      <c r="U2155" s="2" t="s">
        <v>39</v>
      </c>
      <c r="V2155" s="2" t="s">
        <v>40</v>
      </c>
      <c r="W2155" s="2" t="s">
        <v>10120</v>
      </c>
      <c r="X2155" s="2"/>
      <c r="Y2155" s="2"/>
      <c r="Z2155" s="2"/>
      <c r="AA2155" s="2" t="s">
        <v>515</v>
      </c>
      <c r="AB2155" s="2" t="s">
        <v>73</v>
      </c>
      <c r="AC2155" s="4" t="s">
        <v>44</v>
      </c>
    </row>
    <row r="2156" spans="1:29" x14ac:dyDescent="0.25">
      <c r="A2156" s="1">
        <v>1633</v>
      </c>
      <c r="B2156" s="17" t="s">
        <v>10121</v>
      </c>
      <c r="C2156" s="2" t="s">
        <v>5325</v>
      </c>
      <c r="D2156" s="15" t="s">
        <v>4978</v>
      </c>
      <c r="E2156" s="9" t="s">
        <v>3451</v>
      </c>
      <c r="F2156" s="9" t="s">
        <v>4977</v>
      </c>
      <c r="G2156" s="9" t="s">
        <v>137</v>
      </c>
      <c r="H2156" s="2" t="s">
        <v>60</v>
      </c>
      <c r="I2156" s="3">
        <v>36550</v>
      </c>
      <c r="J2156" s="9" t="str">
        <f t="shared" ca="1" si="35"/>
        <v>23 ans</v>
      </c>
      <c r="K2156" s="2" t="s">
        <v>68</v>
      </c>
      <c r="L2156" s="2" t="str">
        <f>"444"</f>
        <v>444</v>
      </c>
      <c r="M2156" s="2"/>
      <c r="N2156" s="2" t="str">
        <f>"RUE DE LA MOUSSON"</f>
        <v>RUE DE LA MOUSSON</v>
      </c>
      <c r="O2156" s="2" t="s">
        <v>9533</v>
      </c>
      <c r="P2156" s="9" t="str">
        <f>VLOOKUP($O2156,'Liste des Villes'!$B$2:$B$1128,1,FALSE)</f>
        <v>Sainte-Sophie</v>
      </c>
      <c r="Q2156" s="9" t="str">
        <f>IFERROR($P2156,PROPER(VLOOKUP($O2156,'Villes en erreur'!$A$2:$B$72,2,FALSE)))</f>
        <v>Sainte-Sophie</v>
      </c>
      <c r="R2156" s="9" t="s">
        <v>9534</v>
      </c>
      <c r="S2156" s="9" t="str">
        <f>IF(ISBLANK($R2156),"",VLOOKUP($R2156,'Liste des Villes'!$B$2:$H$1128,4,FALSE))</f>
        <v>Laurentides</v>
      </c>
      <c r="T2156" s="2" t="s">
        <v>10122</v>
      </c>
      <c r="U2156" s="2" t="s">
        <v>39</v>
      </c>
      <c r="V2156" s="2" t="s">
        <v>40</v>
      </c>
      <c r="W2156" s="2" t="s">
        <v>10123</v>
      </c>
      <c r="X2156" s="2"/>
      <c r="Y2156" s="2"/>
      <c r="Z2156" s="2"/>
      <c r="AA2156" s="2" t="s">
        <v>515</v>
      </c>
      <c r="AB2156" s="2" t="s">
        <v>73</v>
      </c>
      <c r="AC2156" s="4" t="s">
        <v>44</v>
      </c>
    </row>
    <row r="2157" spans="1:29" x14ac:dyDescent="0.25">
      <c r="A2157" s="1">
        <v>3591</v>
      </c>
      <c r="B2157" s="17" t="s">
        <v>10124</v>
      </c>
      <c r="C2157" s="2" t="s">
        <v>63</v>
      </c>
      <c r="D2157" s="15" t="s">
        <v>64</v>
      </c>
      <c r="E2157" s="9" t="s">
        <v>65</v>
      </c>
      <c r="F2157" s="9" t="s">
        <v>10125</v>
      </c>
      <c r="G2157" s="9" t="s">
        <v>4021</v>
      </c>
      <c r="H2157" s="2" t="s">
        <v>60</v>
      </c>
      <c r="I2157" s="3">
        <v>36489</v>
      </c>
      <c r="J2157" s="9" t="str">
        <f t="shared" ca="1" si="35"/>
        <v>23 ans</v>
      </c>
      <c r="K2157" s="2" t="s">
        <v>123</v>
      </c>
      <c r="L2157" s="2" t="str">
        <f>"400"</f>
        <v>400</v>
      </c>
      <c r="M2157" s="2"/>
      <c r="N2157" s="2" t="str">
        <f>"RUE DE JOUTEL"</f>
        <v>RUE DE JOUTEL</v>
      </c>
      <c r="O2157" s="2" t="s">
        <v>9533</v>
      </c>
      <c r="P2157" s="9" t="str">
        <f>VLOOKUP($O2157,'Liste des Villes'!$B$2:$B$1128,1,FALSE)</f>
        <v>Sainte-Sophie</v>
      </c>
      <c r="Q2157" s="9" t="str">
        <f>IFERROR($P2157,PROPER(VLOOKUP($O2157,'Villes en erreur'!$A$2:$B$72,2,FALSE)))</f>
        <v>Sainte-Sophie</v>
      </c>
      <c r="R2157" s="9" t="s">
        <v>9534</v>
      </c>
      <c r="S2157" s="9" t="str">
        <f>IF(ISBLANK($R2157),"",VLOOKUP($R2157,'Liste des Villes'!$B$2:$H$1128,4,FALSE))</f>
        <v>Laurentides</v>
      </c>
      <c r="T2157" s="2" t="s">
        <v>10126</v>
      </c>
      <c r="U2157" s="2" t="s">
        <v>39</v>
      </c>
      <c r="V2157" s="2" t="s">
        <v>40</v>
      </c>
      <c r="W2157" s="2" t="s">
        <v>10127</v>
      </c>
      <c r="X2157" s="2"/>
      <c r="Y2157" s="2"/>
      <c r="Z2157" s="2"/>
      <c r="AA2157" s="2" t="s">
        <v>9187</v>
      </c>
      <c r="AB2157" s="2" t="s">
        <v>73</v>
      </c>
      <c r="AC2157" s="4" t="s">
        <v>44</v>
      </c>
    </row>
    <row r="2158" spans="1:29" x14ac:dyDescent="0.25">
      <c r="A2158" s="1">
        <v>506</v>
      </c>
      <c r="B2158" s="17" t="s">
        <v>10128</v>
      </c>
      <c r="C2158" s="2" t="s">
        <v>8567</v>
      </c>
      <c r="D2158" s="15" t="s">
        <v>1959</v>
      </c>
      <c r="E2158" s="9" t="s">
        <v>389</v>
      </c>
      <c r="F2158" s="9" t="s">
        <v>7748</v>
      </c>
      <c r="G2158" s="9" t="s">
        <v>4158</v>
      </c>
      <c r="H2158" s="2" t="s">
        <v>60</v>
      </c>
      <c r="I2158" s="3">
        <v>36504</v>
      </c>
      <c r="J2158" s="9" t="str">
        <f t="shared" ca="1" si="35"/>
        <v>23 ans</v>
      </c>
      <c r="K2158" s="2" t="s">
        <v>123</v>
      </c>
      <c r="L2158" s="2" t="str">
        <f>"410"</f>
        <v>410</v>
      </c>
      <c r="M2158" s="2"/>
      <c r="N2158" s="2" t="str">
        <f>"RUE DE LA BRISE"</f>
        <v>RUE DE LA BRISE</v>
      </c>
      <c r="O2158" s="2" t="s">
        <v>9533</v>
      </c>
      <c r="P2158" s="9" t="str">
        <f>VLOOKUP($O2158,'Liste des Villes'!$B$2:$B$1128,1,FALSE)</f>
        <v>Sainte-Sophie</v>
      </c>
      <c r="Q2158" s="9" t="str">
        <f>IFERROR($P2158,PROPER(VLOOKUP($O2158,'Villes en erreur'!$A$2:$B$72,2,FALSE)))</f>
        <v>Sainte-Sophie</v>
      </c>
      <c r="R2158" s="9" t="s">
        <v>9534</v>
      </c>
      <c r="S2158" s="9" t="str">
        <f>IF(ISBLANK($R2158),"",VLOOKUP($R2158,'Liste des Villes'!$B$2:$H$1128,4,FALSE))</f>
        <v>Laurentides</v>
      </c>
      <c r="T2158" s="2" t="s">
        <v>9759</v>
      </c>
      <c r="U2158" s="2" t="s">
        <v>39</v>
      </c>
      <c r="V2158" s="2" t="s">
        <v>40</v>
      </c>
      <c r="W2158" s="2" t="s">
        <v>10129</v>
      </c>
      <c r="X2158" s="2"/>
      <c r="Y2158" s="2"/>
      <c r="Z2158" s="2"/>
      <c r="AA2158" s="2" t="s">
        <v>9187</v>
      </c>
      <c r="AB2158" s="2" t="s">
        <v>73</v>
      </c>
      <c r="AC2158" s="4" t="s">
        <v>44</v>
      </c>
    </row>
    <row r="2159" spans="1:29" x14ac:dyDescent="0.25">
      <c r="A2159" s="1">
        <v>3723</v>
      </c>
      <c r="B2159" s="17" t="s">
        <v>10130</v>
      </c>
      <c r="C2159" s="2" t="s">
        <v>10131</v>
      </c>
      <c r="D2159" s="15" t="s">
        <v>10132</v>
      </c>
      <c r="E2159" s="9" t="s">
        <v>949</v>
      </c>
      <c r="F2159" s="9" t="s">
        <v>10133</v>
      </c>
      <c r="G2159" s="9" t="s">
        <v>10134</v>
      </c>
      <c r="H2159" s="2" t="s">
        <v>60</v>
      </c>
      <c r="I2159" s="3">
        <v>36567</v>
      </c>
      <c r="J2159" s="9" t="str">
        <f t="shared" ca="1" si="35"/>
        <v>23 ans</v>
      </c>
      <c r="K2159" s="2" t="s">
        <v>68</v>
      </c>
      <c r="L2159" s="2" t="str">
        <f>"461"</f>
        <v>461</v>
      </c>
      <c r="M2159" s="2"/>
      <c r="N2159" s="2" t="str">
        <f>"RUE DE LA PRUDENCE"</f>
        <v>RUE DE LA PRUDENCE</v>
      </c>
      <c r="O2159" s="2" t="s">
        <v>9533</v>
      </c>
      <c r="P2159" s="9" t="str">
        <f>VLOOKUP($O2159,'Liste des Villes'!$B$2:$B$1128,1,FALSE)</f>
        <v>Sainte-Sophie</v>
      </c>
      <c r="Q2159" s="9" t="str">
        <f>IFERROR($P2159,PROPER(VLOOKUP($O2159,'Villes en erreur'!$A$2:$B$72,2,FALSE)))</f>
        <v>Sainte-Sophie</v>
      </c>
      <c r="R2159" s="9" t="s">
        <v>9534</v>
      </c>
      <c r="S2159" s="9" t="str">
        <f>IF(ISBLANK($R2159),"",VLOOKUP($R2159,'Liste des Villes'!$B$2:$H$1128,4,FALSE))</f>
        <v>Laurentides</v>
      </c>
      <c r="T2159" s="2" t="s">
        <v>10135</v>
      </c>
      <c r="U2159" s="2" t="s">
        <v>39</v>
      </c>
      <c r="V2159" s="2" t="s">
        <v>40</v>
      </c>
      <c r="W2159" s="2" t="s">
        <v>10136</v>
      </c>
      <c r="X2159" s="2"/>
      <c r="Y2159" s="2"/>
      <c r="Z2159" s="2"/>
      <c r="AA2159" s="2" t="s">
        <v>515</v>
      </c>
      <c r="AB2159" s="2" t="s">
        <v>73</v>
      </c>
      <c r="AC2159" s="4" t="s">
        <v>44</v>
      </c>
    </row>
    <row r="2160" spans="1:29" x14ac:dyDescent="0.25">
      <c r="A2160" s="1">
        <v>3518</v>
      </c>
      <c r="B2160" s="17" t="s">
        <v>10137</v>
      </c>
      <c r="C2160" s="2" t="s">
        <v>10138</v>
      </c>
      <c r="D2160" s="15" t="s">
        <v>4447</v>
      </c>
      <c r="E2160" s="9" t="s">
        <v>10139</v>
      </c>
      <c r="F2160" s="9" t="s">
        <v>3341</v>
      </c>
      <c r="G2160" s="9" t="s">
        <v>4968</v>
      </c>
      <c r="H2160" s="2" t="s">
        <v>60</v>
      </c>
      <c r="I2160" s="3">
        <v>36575</v>
      </c>
      <c r="J2160" s="9" t="str">
        <f t="shared" ca="1" si="35"/>
        <v>23 ans</v>
      </c>
      <c r="K2160" s="2" t="s">
        <v>68</v>
      </c>
      <c r="L2160" s="2" t="str">
        <f>"465"</f>
        <v>465</v>
      </c>
      <c r="M2160" s="2"/>
      <c r="N2160" s="2" t="str">
        <f>"RUE DE LA RENAISSANCE"</f>
        <v>RUE DE LA RENAISSANCE</v>
      </c>
      <c r="O2160" s="2" t="s">
        <v>9533</v>
      </c>
      <c r="P2160" s="9" t="str">
        <f>VLOOKUP($O2160,'Liste des Villes'!$B$2:$B$1128,1,FALSE)</f>
        <v>Sainte-Sophie</v>
      </c>
      <c r="Q2160" s="9" t="str">
        <f>IFERROR($P2160,PROPER(VLOOKUP($O2160,'Villes en erreur'!$A$2:$B$72,2,FALSE)))</f>
        <v>Sainte-Sophie</v>
      </c>
      <c r="R2160" s="9" t="s">
        <v>9534</v>
      </c>
      <c r="S2160" s="9" t="str">
        <f>IF(ISBLANK($R2160),"",VLOOKUP($R2160,'Liste des Villes'!$B$2:$H$1128,4,FALSE))</f>
        <v>Laurentides</v>
      </c>
      <c r="T2160" s="2" t="s">
        <v>10140</v>
      </c>
      <c r="U2160" s="2" t="s">
        <v>39</v>
      </c>
      <c r="V2160" s="2" t="s">
        <v>40</v>
      </c>
      <c r="W2160" s="2" t="s">
        <v>10141</v>
      </c>
      <c r="X2160" s="2"/>
      <c r="Y2160" s="2"/>
      <c r="Z2160" s="2"/>
      <c r="AA2160" s="2" t="s">
        <v>515</v>
      </c>
      <c r="AB2160" s="2" t="s">
        <v>73</v>
      </c>
      <c r="AC2160" s="4" t="s">
        <v>44</v>
      </c>
    </row>
    <row r="2161" spans="1:29" x14ac:dyDescent="0.25">
      <c r="A2161" s="1">
        <v>1668</v>
      </c>
      <c r="B2161" s="17" t="s">
        <v>10142</v>
      </c>
      <c r="C2161" s="2" t="s">
        <v>7545</v>
      </c>
      <c r="D2161" s="15" t="s">
        <v>726</v>
      </c>
      <c r="E2161" s="9" t="s">
        <v>7546</v>
      </c>
      <c r="F2161" s="9" t="s">
        <v>10143</v>
      </c>
      <c r="G2161" s="9" t="s">
        <v>137</v>
      </c>
      <c r="H2161" s="2" t="s">
        <v>60</v>
      </c>
      <c r="I2161" s="3">
        <v>36566</v>
      </c>
      <c r="J2161" s="9" t="str">
        <f t="shared" ca="1" si="35"/>
        <v>23 ans</v>
      </c>
      <c r="K2161" s="2" t="s">
        <v>68</v>
      </c>
      <c r="L2161" s="2" t="str">
        <f>"460"</f>
        <v>460</v>
      </c>
      <c r="M2161" s="2"/>
      <c r="N2161" s="2" t="str">
        <f>"RUE DE LA PROMENADE"</f>
        <v>RUE DE LA PROMENADE</v>
      </c>
      <c r="O2161" s="2" t="s">
        <v>9533</v>
      </c>
      <c r="P2161" s="9" t="str">
        <f>VLOOKUP($O2161,'Liste des Villes'!$B$2:$B$1128,1,FALSE)</f>
        <v>Sainte-Sophie</v>
      </c>
      <c r="Q2161" s="9" t="str">
        <f>IFERROR($P2161,PROPER(VLOOKUP($O2161,'Villes en erreur'!$A$2:$B$72,2,FALSE)))</f>
        <v>Sainte-Sophie</v>
      </c>
      <c r="R2161" s="9" t="s">
        <v>9534</v>
      </c>
      <c r="S2161" s="9" t="str">
        <f>IF(ISBLANK($R2161),"",VLOOKUP($R2161,'Liste des Villes'!$B$2:$H$1128,4,FALSE))</f>
        <v>Laurentides</v>
      </c>
      <c r="T2161" s="2" t="s">
        <v>10144</v>
      </c>
      <c r="U2161" s="2" t="s">
        <v>39</v>
      </c>
      <c r="V2161" s="2" t="s">
        <v>40</v>
      </c>
      <c r="W2161" s="2" t="s">
        <v>10145</v>
      </c>
      <c r="X2161" s="2"/>
      <c r="Y2161" s="2"/>
      <c r="Z2161" s="2"/>
      <c r="AA2161" s="2" t="s">
        <v>515</v>
      </c>
      <c r="AB2161" s="2" t="s">
        <v>73</v>
      </c>
      <c r="AC2161" s="4" t="s">
        <v>44</v>
      </c>
    </row>
    <row r="2162" spans="1:29" x14ac:dyDescent="0.25">
      <c r="A2162" s="1">
        <v>1304</v>
      </c>
      <c r="B2162" s="17" t="s">
        <v>10146</v>
      </c>
      <c r="C2162" s="2" t="s">
        <v>10147</v>
      </c>
      <c r="D2162" s="15" t="s">
        <v>6653</v>
      </c>
      <c r="E2162" s="9" t="s">
        <v>685</v>
      </c>
      <c r="F2162" s="9" t="s">
        <v>6652</v>
      </c>
      <c r="G2162" s="9" t="s">
        <v>622</v>
      </c>
      <c r="H2162" s="2" t="s">
        <v>60</v>
      </c>
      <c r="I2162" s="3">
        <v>36527</v>
      </c>
      <c r="J2162" s="9" t="str">
        <f t="shared" ca="1" si="35"/>
        <v>23 ans</v>
      </c>
      <c r="K2162" s="2" t="s">
        <v>123</v>
      </c>
      <c r="L2162" s="2" t="str">
        <f>"426"</f>
        <v>426</v>
      </c>
      <c r="M2162" s="2"/>
      <c r="N2162" s="2" t="str">
        <f>"RUE DE LA CONCORDE"</f>
        <v>RUE DE LA CONCORDE</v>
      </c>
      <c r="O2162" s="2" t="s">
        <v>9533</v>
      </c>
      <c r="P2162" s="9" t="str">
        <f>VLOOKUP($O2162,'Liste des Villes'!$B$2:$B$1128,1,FALSE)</f>
        <v>Sainte-Sophie</v>
      </c>
      <c r="Q2162" s="9" t="str">
        <f>IFERROR($P2162,PROPER(VLOOKUP($O2162,'Villes en erreur'!$A$2:$B$72,2,FALSE)))</f>
        <v>Sainte-Sophie</v>
      </c>
      <c r="R2162" s="9" t="s">
        <v>9534</v>
      </c>
      <c r="S2162" s="9" t="str">
        <f>IF(ISBLANK($R2162),"",VLOOKUP($R2162,'Liste des Villes'!$B$2:$H$1128,4,FALSE))</f>
        <v>Laurentides</v>
      </c>
      <c r="T2162" s="2" t="s">
        <v>10148</v>
      </c>
      <c r="U2162" s="2" t="s">
        <v>39</v>
      </c>
      <c r="V2162" s="2" t="s">
        <v>40</v>
      </c>
      <c r="W2162" s="2" t="s">
        <v>10149</v>
      </c>
      <c r="X2162" s="2"/>
      <c r="Y2162" s="2"/>
      <c r="Z2162" s="2"/>
      <c r="AA2162" s="2" t="s">
        <v>9187</v>
      </c>
      <c r="AB2162" s="2" t="s">
        <v>73</v>
      </c>
      <c r="AC2162" s="4" t="s">
        <v>44</v>
      </c>
    </row>
    <row r="2163" spans="1:29" x14ac:dyDescent="0.25">
      <c r="A2163" s="1">
        <v>4503</v>
      </c>
      <c r="B2163" s="17" t="s">
        <v>10150</v>
      </c>
      <c r="C2163" s="2" t="s">
        <v>10151</v>
      </c>
      <c r="D2163" s="15" t="s">
        <v>7677</v>
      </c>
      <c r="E2163" s="9" t="s">
        <v>1410</v>
      </c>
      <c r="F2163" s="9" t="s">
        <v>4421</v>
      </c>
      <c r="G2163" s="9" t="s">
        <v>137</v>
      </c>
      <c r="H2163" s="2" t="s">
        <v>60</v>
      </c>
      <c r="I2163" s="3">
        <v>36555</v>
      </c>
      <c r="J2163" s="9" t="str">
        <f t="shared" ca="1" si="35"/>
        <v>23 ans</v>
      </c>
      <c r="K2163" s="2" t="s">
        <v>68</v>
      </c>
      <c r="L2163" s="2" t="str">
        <f>"446"</f>
        <v>446</v>
      </c>
      <c r="M2163" s="2"/>
      <c r="N2163" s="2" t="str">
        <f>"RUE DE LA PERLE"</f>
        <v>RUE DE LA PERLE</v>
      </c>
      <c r="O2163" s="2" t="s">
        <v>9533</v>
      </c>
      <c r="P2163" s="9" t="str">
        <f>VLOOKUP($O2163,'Liste des Villes'!$B$2:$B$1128,1,FALSE)</f>
        <v>Sainte-Sophie</v>
      </c>
      <c r="Q2163" s="9" t="str">
        <f>IFERROR($P2163,PROPER(VLOOKUP($O2163,'Villes en erreur'!$A$2:$B$72,2,FALSE)))</f>
        <v>Sainte-Sophie</v>
      </c>
      <c r="R2163" s="9" t="s">
        <v>9534</v>
      </c>
      <c r="S2163" s="9" t="str">
        <f>IF(ISBLANK($R2163),"",VLOOKUP($R2163,'Liste des Villes'!$B$2:$H$1128,4,FALSE))</f>
        <v>Laurentides</v>
      </c>
      <c r="T2163" s="2" t="s">
        <v>10152</v>
      </c>
      <c r="U2163" s="2" t="s">
        <v>39</v>
      </c>
      <c r="V2163" s="2" t="s">
        <v>40</v>
      </c>
      <c r="W2163" s="2" t="s">
        <v>10153</v>
      </c>
      <c r="X2163" s="2"/>
      <c r="Y2163" s="2"/>
      <c r="Z2163" s="2"/>
      <c r="AA2163" s="2" t="s">
        <v>515</v>
      </c>
      <c r="AB2163" s="2" t="s">
        <v>73</v>
      </c>
      <c r="AC2163" s="4" t="s">
        <v>44</v>
      </c>
    </row>
    <row r="2164" spans="1:29" x14ac:dyDescent="0.25">
      <c r="A2164" s="1">
        <v>2709</v>
      </c>
      <c r="B2164" s="17" t="s">
        <v>10154</v>
      </c>
      <c r="C2164" s="2" t="s">
        <v>530</v>
      </c>
      <c r="D2164" s="15" t="s">
        <v>531</v>
      </c>
      <c r="E2164" s="9" t="s">
        <v>532</v>
      </c>
      <c r="F2164" s="9" t="s">
        <v>533</v>
      </c>
      <c r="G2164" s="9" t="s">
        <v>683</v>
      </c>
      <c r="H2164" s="2" t="s">
        <v>60</v>
      </c>
      <c r="I2164" s="3">
        <v>36540</v>
      </c>
      <c r="J2164" s="9" t="str">
        <f t="shared" ca="1" si="35"/>
        <v>23 ans</v>
      </c>
      <c r="K2164" s="2" t="s">
        <v>68</v>
      </c>
      <c r="L2164" s="2" t="str">
        <f>"435"</f>
        <v>435</v>
      </c>
      <c r="M2164" s="2"/>
      <c r="N2164" s="2" t="str">
        <f>"RUE DE LA GARE"</f>
        <v>RUE DE LA GARE</v>
      </c>
      <c r="O2164" s="2" t="s">
        <v>9533</v>
      </c>
      <c r="P2164" s="9" t="str">
        <f>VLOOKUP($O2164,'Liste des Villes'!$B$2:$B$1128,1,FALSE)</f>
        <v>Sainte-Sophie</v>
      </c>
      <c r="Q2164" s="9" t="str">
        <f>IFERROR($P2164,PROPER(VLOOKUP($O2164,'Villes en erreur'!$A$2:$B$72,2,FALSE)))</f>
        <v>Sainte-Sophie</v>
      </c>
      <c r="R2164" s="9" t="s">
        <v>9534</v>
      </c>
      <c r="S2164" s="9" t="str">
        <f>IF(ISBLANK($R2164),"",VLOOKUP($R2164,'Liste des Villes'!$B$2:$H$1128,4,FALSE))</f>
        <v>Laurentides</v>
      </c>
      <c r="T2164" s="2" t="s">
        <v>10155</v>
      </c>
      <c r="U2164" s="2" t="s">
        <v>39</v>
      </c>
      <c r="V2164" s="2" t="s">
        <v>40</v>
      </c>
      <c r="W2164" s="2" t="s">
        <v>10156</v>
      </c>
      <c r="X2164" s="2"/>
      <c r="Y2164" s="2"/>
      <c r="Z2164" s="2"/>
      <c r="AA2164" s="2" t="s">
        <v>515</v>
      </c>
      <c r="AB2164" s="2" t="s">
        <v>73</v>
      </c>
      <c r="AC2164" s="4" t="s">
        <v>44</v>
      </c>
    </row>
    <row r="2165" spans="1:29" x14ac:dyDescent="0.25">
      <c r="A2165" s="1">
        <v>1658</v>
      </c>
      <c r="B2165" s="17" t="s">
        <v>10157</v>
      </c>
      <c r="C2165" s="2" t="s">
        <v>10158</v>
      </c>
      <c r="D2165" s="15" t="s">
        <v>10159</v>
      </c>
      <c r="E2165" s="9" t="s">
        <v>186</v>
      </c>
      <c r="F2165" s="9" t="s">
        <v>1104</v>
      </c>
      <c r="G2165" s="9" t="s">
        <v>4968</v>
      </c>
      <c r="H2165" s="2" t="s">
        <v>60</v>
      </c>
      <c r="I2165" s="3">
        <v>36577</v>
      </c>
      <c r="J2165" s="9" t="str">
        <f t="shared" ca="1" si="35"/>
        <v>23 ans</v>
      </c>
      <c r="K2165" s="2" t="s">
        <v>68</v>
      </c>
      <c r="L2165" s="2" t="str">
        <f>"466"</f>
        <v>466</v>
      </c>
      <c r="M2165" s="2"/>
      <c r="N2165" s="2" t="str">
        <f>"RUE DE LA RENAISSANCE"</f>
        <v>RUE DE LA RENAISSANCE</v>
      </c>
      <c r="O2165" s="2" t="s">
        <v>9534</v>
      </c>
      <c r="P2165" s="9" t="str">
        <f>VLOOKUP($O2165,'Liste des Villes'!$B$2:$B$1128,1,FALSE)</f>
        <v>Sainte-Sophie</v>
      </c>
      <c r="Q2165" s="9" t="str">
        <f>IFERROR($P2165,PROPER(VLOOKUP($O2165,'Villes en erreur'!$A$2:$B$72,2,FALSE)))</f>
        <v>Sainte-Sophie</v>
      </c>
      <c r="R2165" s="9" t="s">
        <v>9534</v>
      </c>
      <c r="S2165" s="9" t="str">
        <f>IF(ISBLANK($R2165),"",VLOOKUP($R2165,'Liste des Villes'!$B$2:$H$1128,4,FALSE))</f>
        <v>Laurentides</v>
      </c>
      <c r="T2165" s="2" t="s">
        <v>10160</v>
      </c>
      <c r="U2165" s="2" t="s">
        <v>39</v>
      </c>
      <c r="V2165" s="2" t="s">
        <v>40</v>
      </c>
      <c r="W2165" s="2" t="s">
        <v>10161</v>
      </c>
      <c r="X2165" s="2"/>
      <c r="Y2165" s="2"/>
      <c r="Z2165" s="2"/>
      <c r="AA2165" s="2" t="s">
        <v>515</v>
      </c>
      <c r="AB2165" s="2" t="s">
        <v>73</v>
      </c>
      <c r="AC2165" s="4" t="s">
        <v>44</v>
      </c>
    </row>
    <row r="2166" spans="1:29" x14ac:dyDescent="0.25">
      <c r="A2166" s="1">
        <v>2112</v>
      </c>
      <c r="B2166" s="17" t="s">
        <v>10162</v>
      </c>
      <c r="C2166" s="2" t="s">
        <v>10163</v>
      </c>
      <c r="D2166" s="15" t="s">
        <v>10164</v>
      </c>
      <c r="E2166" s="9" t="s">
        <v>610</v>
      </c>
      <c r="F2166" s="9" t="s">
        <v>10165</v>
      </c>
      <c r="G2166" s="9" t="s">
        <v>4968</v>
      </c>
      <c r="H2166" s="2" t="s">
        <v>60</v>
      </c>
      <c r="I2166" s="3">
        <v>36578</v>
      </c>
      <c r="J2166" s="9" t="str">
        <f t="shared" ca="1" si="35"/>
        <v>23 ans</v>
      </c>
      <c r="K2166" s="2" t="s">
        <v>68</v>
      </c>
      <c r="L2166" s="2" t="str">
        <f>"468"</f>
        <v>468</v>
      </c>
      <c r="M2166" s="2"/>
      <c r="N2166" s="2" t="str">
        <f>"RUE DE LA RIVIÈRE"</f>
        <v>RUE DE LA RIVIÈRE</v>
      </c>
      <c r="O2166" s="2" t="s">
        <v>9533</v>
      </c>
      <c r="P2166" s="9" t="str">
        <f>VLOOKUP($O2166,'Liste des Villes'!$B$2:$B$1128,1,FALSE)</f>
        <v>Sainte-Sophie</v>
      </c>
      <c r="Q2166" s="9" t="str">
        <f>IFERROR($P2166,PROPER(VLOOKUP($O2166,'Villes en erreur'!$A$2:$B$72,2,FALSE)))</f>
        <v>Sainte-Sophie</v>
      </c>
      <c r="R2166" s="9" t="s">
        <v>9534</v>
      </c>
      <c r="S2166" s="9" t="str">
        <f>IF(ISBLANK($R2166),"",VLOOKUP($R2166,'Liste des Villes'!$B$2:$H$1128,4,FALSE))</f>
        <v>Laurentides</v>
      </c>
      <c r="T2166" s="2" t="s">
        <v>10166</v>
      </c>
      <c r="U2166" s="2" t="s">
        <v>39</v>
      </c>
      <c r="V2166" s="2" t="s">
        <v>40</v>
      </c>
      <c r="W2166" s="2" t="s">
        <v>10167</v>
      </c>
      <c r="X2166" s="2"/>
      <c r="Y2166" s="2"/>
      <c r="Z2166" s="2"/>
      <c r="AA2166" s="2" t="s">
        <v>515</v>
      </c>
      <c r="AB2166" s="2" t="s">
        <v>73</v>
      </c>
      <c r="AC2166" s="4" t="s">
        <v>44</v>
      </c>
    </row>
    <row r="2167" spans="1:29" x14ac:dyDescent="0.25">
      <c r="A2167" s="1">
        <v>1052</v>
      </c>
      <c r="B2167" s="17" t="s">
        <v>10168</v>
      </c>
      <c r="C2167" s="2" t="s">
        <v>10169</v>
      </c>
      <c r="D2167" s="15" t="s">
        <v>5394</v>
      </c>
      <c r="E2167" s="9" t="s">
        <v>10170</v>
      </c>
      <c r="F2167" s="9" t="s">
        <v>2698</v>
      </c>
      <c r="G2167" s="9" t="s">
        <v>817</v>
      </c>
      <c r="H2167" s="2" t="s">
        <v>60</v>
      </c>
      <c r="I2167" s="3">
        <v>36516</v>
      </c>
      <c r="J2167" s="9" t="str">
        <f t="shared" ca="1" si="35"/>
        <v>23 ans</v>
      </c>
      <c r="K2167" s="2" t="s">
        <v>123</v>
      </c>
      <c r="L2167" s="2" t="str">
        <f>"419"</f>
        <v>419</v>
      </c>
      <c r="M2167" s="2"/>
      <c r="N2167" s="2" t="str">
        <f>"RUE DE LA CHARENTE"</f>
        <v>RUE DE LA CHARENTE</v>
      </c>
      <c r="O2167" s="2" t="s">
        <v>9533</v>
      </c>
      <c r="P2167" s="9" t="str">
        <f>VLOOKUP($O2167,'Liste des Villes'!$B$2:$B$1128,1,FALSE)</f>
        <v>Sainte-Sophie</v>
      </c>
      <c r="Q2167" s="9" t="str">
        <f>IFERROR($P2167,PROPER(VLOOKUP($O2167,'Villes en erreur'!$A$2:$B$72,2,FALSE)))</f>
        <v>Sainte-Sophie</v>
      </c>
      <c r="R2167" s="9" t="s">
        <v>9534</v>
      </c>
      <c r="S2167" s="9" t="str">
        <f>IF(ISBLANK($R2167),"",VLOOKUP($R2167,'Liste des Villes'!$B$2:$H$1128,4,FALSE))</f>
        <v>Laurentides</v>
      </c>
      <c r="T2167" s="2" t="s">
        <v>9680</v>
      </c>
      <c r="U2167" s="2" t="s">
        <v>39</v>
      </c>
      <c r="V2167" s="2" t="s">
        <v>40</v>
      </c>
      <c r="W2167" s="2" t="s">
        <v>10171</v>
      </c>
      <c r="X2167" s="2"/>
      <c r="Y2167" s="2"/>
      <c r="Z2167" s="2"/>
      <c r="AA2167" s="2" t="s">
        <v>9187</v>
      </c>
      <c r="AB2167" s="2" t="s">
        <v>73</v>
      </c>
      <c r="AC2167" s="4" t="s">
        <v>44</v>
      </c>
    </row>
    <row r="2168" spans="1:29" x14ac:dyDescent="0.25">
      <c r="A2168" s="1">
        <v>2446</v>
      </c>
      <c r="B2168" s="17" t="s">
        <v>10172</v>
      </c>
      <c r="C2168" s="2" t="s">
        <v>10173</v>
      </c>
      <c r="D2168" s="15" t="s">
        <v>2211</v>
      </c>
      <c r="E2168" s="9" t="s">
        <v>781</v>
      </c>
      <c r="F2168" s="9" t="s">
        <v>782</v>
      </c>
      <c r="G2168" s="9" t="s">
        <v>137</v>
      </c>
      <c r="H2168" s="2" t="s">
        <v>60</v>
      </c>
      <c r="I2168" s="3">
        <v>36563</v>
      </c>
      <c r="J2168" s="9" t="str">
        <f t="shared" ca="1" si="35"/>
        <v>23 ans</v>
      </c>
      <c r="K2168" s="2" t="s">
        <v>68</v>
      </c>
      <c r="L2168" s="2" t="str">
        <f>"454"</f>
        <v>454</v>
      </c>
      <c r="M2168" s="2"/>
      <c r="N2168" s="2" t="str">
        <f>"RUE DE LA PLAISANCE"</f>
        <v>RUE DE LA PLAISANCE</v>
      </c>
      <c r="O2168" s="2" t="s">
        <v>9533</v>
      </c>
      <c r="P2168" s="9" t="str">
        <f>VLOOKUP($O2168,'Liste des Villes'!$B$2:$B$1128,1,FALSE)</f>
        <v>Sainte-Sophie</v>
      </c>
      <c r="Q2168" s="9" t="str">
        <f>IFERROR($P2168,PROPER(VLOOKUP($O2168,'Villes en erreur'!$A$2:$B$72,2,FALSE)))</f>
        <v>Sainte-Sophie</v>
      </c>
      <c r="R2168" s="9" t="s">
        <v>9534</v>
      </c>
      <c r="S2168" s="9" t="str">
        <f>IF(ISBLANK($R2168),"",VLOOKUP($R2168,'Liste des Villes'!$B$2:$H$1128,4,FALSE))</f>
        <v>Laurentides</v>
      </c>
      <c r="T2168" s="2" t="s">
        <v>10174</v>
      </c>
      <c r="U2168" s="2" t="s">
        <v>39</v>
      </c>
      <c r="V2168" s="2" t="s">
        <v>40</v>
      </c>
      <c r="W2168" s="2" t="s">
        <v>10175</v>
      </c>
      <c r="X2168" s="2"/>
      <c r="Y2168" s="2"/>
      <c r="Z2168" s="2"/>
      <c r="AA2168" s="2" t="s">
        <v>515</v>
      </c>
      <c r="AB2168" s="2" t="s">
        <v>73</v>
      </c>
      <c r="AC2168" s="4" t="s">
        <v>44</v>
      </c>
    </row>
    <row r="2169" spans="1:29" x14ac:dyDescent="0.25">
      <c r="A2169" s="1">
        <v>3754</v>
      </c>
      <c r="B2169" s="17" t="s">
        <v>10176</v>
      </c>
      <c r="C2169" s="2" t="s">
        <v>947</v>
      </c>
      <c r="D2169" s="15" t="s">
        <v>948</v>
      </c>
      <c r="E2169" s="9" t="s">
        <v>949</v>
      </c>
      <c r="F2169" s="9" t="s">
        <v>10177</v>
      </c>
      <c r="G2169" s="9" t="s">
        <v>137</v>
      </c>
      <c r="H2169" s="2" t="s">
        <v>60</v>
      </c>
      <c r="I2169" s="3">
        <v>36561</v>
      </c>
      <c r="J2169" s="9" t="str">
        <f t="shared" ca="1" si="35"/>
        <v>23 ans</v>
      </c>
      <c r="K2169" s="2" t="s">
        <v>68</v>
      </c>
      <c r="L2169" s="2" t="str">
        <f>"451"</f>
        <v>451</v>
      </c>
      <c r="M2169" s="2"/>
      <c r="N2169" s="2" t="str">
        <f>"RUE DE LA PLAGE"</f>
        <v>RUE DE LA PLAGE</v>
      </c>
      <c r="O2169" s="2" t="s">
        <v>9533</v>
      </c>
      <c r="P2169" s="9" t="str">
        <f>VLOOKUP($O2169,'Liste des Villes'!$B$2:$B$1128,1,FALSE)</f>
        <v>Sainte-Sophie</v>
      </c>
      <c r="Q2169" s="9" t="str">
        <f>IFERROR($P2169,PROPER(VLOOKUP($O2169,'Villes en erreur'!$A$2:$B$72,2,FALSE)))</f>
        <v>Sainte-Sophie</v>
      </c>
      <c r="R2169" s="9" t="s">
        <v>9534</v>
      </c>
      <c r="S2169" s="9" t="str">
        <f>IF(ISBLANK($R2169),"",VLOOKUP($R2169,'Liste des Villes'!$B$2:$H$1128,4,FALSE))</f>
        <v>Laurentides</v>
      </c>
      <c r="T2169" s="2" t="s">
        <v>10178</v>
      </c>
      <c r="U2169" s="2" t="s">
        <v>39</v>
      </c>
      <c r="V2169" s="2" t="s">
        <v>40</v>
      </c>
      <c r="W2169" s="2" t="s">
        <v>10179</v>
      </c>
      <c r="X2169" s="2"/>
      <c r="Y2169" s="2"/>
      <c r="Z2169" s="2"/>
      <c r="AA2169" s="2" t="s">
        <v>515</v>
      </c>
      <c r="AB2169" s="2" t="s">
        <v>73</v>
      </c>
      <c r="AC2169" s="4" t="s">
        <v>44</v>
      </c>
    </row>
    <row r="2170" spans="1:29" x14ac:dyDescent="0.25">
      <c r="A2170" s="1">
        <v>3054</v>
      </c>
      <c r="B2170" s="17" t="s">
        <v>10180</v>
      </c>
      <c r="C2170" s="2" t="s">
        <v>10181</v>
      </c>
      <c r="D2170" s="15" t="s">
        <v>7884</v>
      </c>
      <c r="E2170" s="9" t="s">
        <v>6323</v>
      </c>
      <c r="F2170" s="9" t="s">
        <v>7381</v>
      </c>
      <c r="G2170" s="9" t="s">
        <v>683</v>
      </c>
      <c r="H2170" s="2" t="s">
        <v>60</v>
      </c>
      <c r="I2170" s="3">
        <v>36542</v>
      </c>
      <c r="J2170" s="9" t="str">
        <f t="shared" ca="1" si="35"/>
        <v>23 ans</v>
      </c>
      <c r="K2170" s="2" t="s">
        <v>68</v>
      </c>
      <c r="L2170" s="2" t="str">
        <f>"436"</f>
        <v>436</v>
      </c>
      <c r="M2170" s="2"/>
      <c r="N2170" s="2" t="str">
        <f>"RUE DE LA GRANDE-CÔTE"</f>
        <v>RUE DE LA GRANDE-CÔTE</v>
      </c>
      <c r="O2170" s="2" t="s">
        <v>9533</v>
      </c>
      <c r="P2170" s="9" t="str">
        <f>VLOOKUP($O2170,'Liste des Villes'!$B$2:$B$1128,1,FALSE)</f>
        <v>Sainte-Sophie</v>
      </c>
      <c r="Q2170" s="9" t="str">
        <f>IFERROR($P2170,PROPER(VLOOKUP($O2170,'Villes en erreur'!$A$2:$B$72,2,FALSE)))</f>
        <v>Sainte-Sophie</v>
      </c>
      <c r="R2170" s="9" t="s">
        <v>9534</v>
      </c>
      <c r="S2170" s="9" t="str">
        <f>IF(ISBLANK($R2170),"",VLOOKUP($R2170,'Liste des Villes'!$B$2:$H$1128,4,FALSE))</f>
        <v>Laurentides</v>
      </c>
      <c r="T2170" s="2" t="s">
        <v>10182</v>
      </c>
      <c r="U2170" s="2" t="s">
        <v>39</v>
      </c>
      <c r="V2170" s="2" t="s">
        <v>40</v>
      </c>
      <c r="W2170" s="2" t="s">
        <v>10183</v>
      </c>
      <c r="X2170" s="2"/>
      <c r="Y2170" s="2"/>
      <c r="Z2170" s="2"/>
      <c r="AA2170" s="2" t="s">
        <v>515</v>
      </c>
      <c r="AB2170" s="2" t="s">
        <v>73</v>
      </c>
      <c r="AC2170" s="4" t="s">
        <v>44</v>
      </c>
    </row>
    <row r="2171" spans="1:29" x14ac:dyDescent="0.25">
      <c r="A2171" s="1">
        <v>3301</v>
      </c>
      <c r="B2171" s="17" t="s">
        <v>10184</v>
      </c>
      <c r="C2171" s="2" t="s">
        <v>10185</v>
      </c>
      <c r="D2171" s="15" t="s">
        <v>6714</v>
      </c>
      <c r="E2171" s="9" t="s">
        <v>2381</v>
      </c>
      <c r="F2171" s="9" t="s">
        <v>1807</v>
      </c>
      <c r="G2171" s="9" t="s">
        <v>137</v>
      </c>
      <c r="H2171" s="2" t="s">
        <v>60</v>
      </c>
      <c r="I2171" s="3">
        <v>36566</v>
      </c>
      <c r="J2171" s="9" t="str">
        <f t="shared" ca="1" si="35"/>
        <v>23 ans</v>
      </c>
      <c r="K2171" s="2" t="s">
        <v>68</v>
      </c>
      <c r="L2171" s="2" t="str">
        <f>"460"</f>
        <v>460</v>
      </c>
      <c r="M2171" s="2"/>
      <c r="N2171" s="2" t="str">
        <f>"RUE DE LA PROMENADE"</f>
        <v>RUE DE LA PROMENADE</v>
      </c>
      <c r="O2171" s="2" t="s">
        <v>9533</v>
      </c>
      <c r="P2171" s="9" t="str">
        <f>VLOOKUP($O2171,'Liste des Villes'!$B$2:$B$1128,1,FALSE)</f>
        <v>Sainte-Sophie</v>
      </c>
      <c r="Q2171" s="9" t="str">
        <f>IFERROR($P2171,PROPER(VLOOKUP($O2171,'Villes en erreur'!$A$2:$B$72,2,FALSE)))</f>
        <v>Sainte-Sophie</v>
      </c>
      <c r="R2171" s="9" t="s">
        <v>9534</v>
      </c>
      <c r="S2171" s="9" t="str">
        <f>IF(ISBLANK($R2171),"",VLOOKUP($R2171,'Liste des Villes'!$B$2:$H$1128,4,FALSE))</f>
        <v>Laurentides</v>
      </c>
      <c r="T2171" s="2" t="s">
        <v>10030</v>
      </c>
      <c r="U2171" s="2" t="s">
        <v>39</v>
      </c>
      <c r="V2171" s="2" t="s">
        <v>40</v>
      </c>
      <c r="W2171" s="2" t="s">
        <v>10186</v>
      </c>
      <c r="X2171" s="2"/>
      <c r="Y2171" s="2"/>
      <c r="Z2171" s="2"/>
      <c r="AA2171" s="2" t="s">
        <v>515</v>
      </c>
      <c r="AB2171" s="2" t="s">
        <v>73</v>
      </c>
      <c r="AC2171" s="4" t="s">
        <v>44</v>
      </c>
    </row>
    <row r="2172" spans="1:29" x14ac:dyDescent="0.25">
      <c r="A2172" s="1">
        <v>1195</v>
      </c>
      <c r="B2172" s="17" t="s">
        <v>10187</v>
      </c>
      <c r="C2172" s="2" t="s">
        <v>10188</v>
      </c>
      <c r="D2172" s="15" t="s">
        <v>294</v>
      </c>
      <c r="E2172" s="9" t="s">
        <v>9212</v>
      </c>
      <c r="F2172" s="9" t="s">
        <v>292</v>
      </c>
      <c r="G2172" s="9" t="s">
        <v>10189</v>
      </c>
      <c r="H2172" s="2" t="s">
        <v>60</v>
      </c>
      <c r="I2172" s="3">
        <v>36484</v>
      </c>
      <c r="J2172" s="9" t="str">
        <f t="shared" ca="1" si="35"/>
        <v>23 ans</v>
      </c>
      <c r="K2172" s="2" t="s">
        <v>123</v>
      </c>
      <c r="L2172" s="2" t="str">
        <f>"399"</f>
        <v>399</v>
      </c>
      <c r="M2172" s="2"/>
      <c r="N2172" s="2" t="str">
        <f>"RUE DE GUYENNE"</f>
        <v>RUE DE GUYENNE</v>
      </c>
      <c r="O2172" s="2" t="s">
        <v>9533</v>
      </c>
      <c r="P2172" s="9" t="str">
        <f>VLOOKUP($O2172,'Liste des Villes'!$B$2:$B$1128,1,FALSE)</f>
        <v>Sainte-Sophie</v>
      </c>
      <c r="Q2172" s="9" t="str">
        <f>IFERROR($P2172,PROPER(VLOOKUP($O2172,'Villes en erreur'!$A$2:$B$72,2,FALSE)))</f>
        <v>Sainte-Sophie</v>
      </c>
      <c r="R2172" s="9" t="s">
        <v>9534</v>
      </c>
      <c r="S2172" s="9" t="str">
        <f>IF(ISBLANK($R2172),"",VLOOKUP($R2172,'Liste des Villes'!$B$2:$H$1128,4,FALSE))</f>
        <v>Laurentides</v>
      </c>
      <c r="T2172" s="2" t="s">
        <v>10190</v>
      </c>
      <c r="U2172" s="2" t="s">
        <v>39</v>
      </c>
      <c r="V2172" s="2" t="s">
        <v>40</v>
      </c>
      <c r="W2172" s="2" t="s">
        <v>10191</v>
      </c>
      <c r="X2172" s="2"/>
      <c r="Y2172" s="2"/>
      <c r="Z2172" s="2"/>
      <c r="AA2172" s="2" t="s">
        <v>9187</v>
      </c>
      <c r="AB2172" s="2" t="s">
        <v>73</v>
      </c>
      <c r="AC2172" s="4" t="s">
        <v>44</v>
      </c>
    </row>
    <row r="2173" spans="1:29" x14ac:dyDescent="0.25">
      <c r="A2173" s="1">
        <v>2453</v>
      </c>
      <c r="B2173" s="17" t="s">
        <v>10192</v>
      </c>
      <c r="C2173" s="2" t="s">
        <v>1922</v>
      </c>
      <c r="D2173" s="15" t="s">
        <v>1923</v>
      </c>
      <c r="E2173" s="9" t="s">
        <v>1924</v>
      </c>
      <c r="F2173" s="9" t="s">
        <v>1489</v>
      </c>
      <c r="G2173" s="9" t="s">
        <v>3079</v>
      </c>
      <c r="H2173" s="2" t="s">
        <v>35</v>
      </c>
      <c r="I2173" s="3">
        <v>36567</v>
      </c>
      <c r="J2173" s="9" t="str">
        <f t="shared" ca="1" si="35"/>
        <v>23 ans</v>
      </c>
      <c r="K2173" s="2" t="s">
        <v>68</v>
      </c>
      <c r="L2173" s="2" t="str">
        <f>"461"</f>
        <v>461</v>
      </c>
      <c r="M2173" s="2"/>
      <c r="N2173" s="2" t="str">
        <f>"RUE DE LA PULPERIE"</f>
        <v>RUE DE LA PULPERIE</v>
      </c>
      <c r="O2173" s="2" t="s">
        <v>9533</v>
      </c>
      <c r="P2173" s="9" t="str">
        <f>VLOOKUP($O2173,'Liste des Villes'!$B$2:$B$1128,1,FALSE)</f>
        <v>Sainte-Sophie</v>
      </c>
      <c r="Q2173" s="9" t="str">
        <f>IFERROR($P2173,PROPER(VLOOKUP($O2173,'Villes en erreur'!$A$2:$B$72,2,FALSE)))</f>
        <v>Sainte-Sophie</v>
      </c>
      <c r="R2173" s="9" t="s">
        <v>9534</v>
      </c>
      <c r="S2173" s="9" t="str">
        <f>IF(ISBLANK($R2173),"",VLOOKUP($R2173,'Liste des Villes'!$B$2:$H$1128,4,FALSE))</f>
        <v>Laurentides</v>
      </c>
      <c r="T2173" s="2" t="s">
        <v>10193</v>
      </c>
      <c r="U2173" s="2" t="s">
        <v>39</v>
      </c>
      <c r="V2173" s="2" t="s">
        <v>40</v>
      </c>
      <c r="W2173" s="2" t="s">
        <v>10194</v>
      </c>
      <c r="X2173" s="2"/>
      <c r="Y2173" s="2"/>
      <c r="Z2173" s="2"/>
      <c r="AA2173" s="2" t="s">
        <v>515</v>
      </c>
      <c r="AB2173" s="2" t="s">
        <v>73</v>
      </c>
      <c r="AC2173" s="4" t="s">
        <v>44</v>
      </c>
    </row>
    <row r="2174" spans="1:29" x14ac:dyDescent="0.25">
      <c r="A2174" s="1">
        <v>2335</v>
      </c>
      <c r="B2174" s="17" t="s">
        <v>10195</v>
      </c>
      <c r="C2174" s="2" t="s">
        <v>10196</v>
      </c>
      <c r="D2174" s="15" t="s">
        <v>3669</v>
      </c>
      <c r="E2174" s="9" t="s">
        <v>2198</v>
      </c>
      <c r="F2174" s="9" t="s">
        <v>3809</v>
      </c>
      <c r="G2174" s="9" t="s">
        <v>922</v>
      </c>
      <c r="H2174" s="2" t="s">
        <v>60</v>
      </c>
      <c r="I2174" s="3">
        <v>36548</v>
      </c>
      <c r="J2174" s="9" t="str">
        <f t="shared" ca="1" si="35"/>
        <v>23 ans</v>
      </c>
      <c r="K2174" s="2" t="s">
        <v>68</v>
      </c>
      <c r="L2174" s="2" t="str">
        <f>"441"</f>
        <v>441</v>
      </c>
      <c r="M2174" s="2"/>
      <c r="N2174" s="2" t="str">
        <f>"RUE DE LA MONTAGNE"</f>
        <v>RUE DE LA MONTAGNE</v>
      </c>
      <c r="O2174" s="2" t="s">
        <v>9533</v>
      </c>
      <c r="P2174" s="9" t="str">
        <f>VLOOKUP($O2174,'Liste des Villes'!$B$2:$B$1128,1,FALSE)</f>
        <v>Sainte-Sophie</v>
      </c>
      <c r="Q2174" s="9" t="str">
        <f>IFERROR($P2174,PROPER(VLOOKUP($O2174,'Villes en erreur'!$A$2:$B$72,2,FALSE)))</f>
        <v>Sainte-Sophie</v>
      </c>
      <c r="R2174" s="9" t="s">
        <v>9534</v>
      </c>
      <c r="S2174" s="9" t="str">
        <f>IF(ISBLANK($R2174),"",VLOOKUP($R2174,'Liste des Villes'!$B$2:$H$1128,4,FALSE))</f>
        <v>Laurentides</v>
      </c>
      <c r="T2174" s="2" t="s">
        <v>9948</v>
      </c>
      <c r="U2174" s="2" t="s">
        <v>39</v>
      </c>
      <c r="V2174" s="2" t="s">
        <v>40</v>
      </c>
      <c r="W2174" s="2" t="s">
        <v>10197</v>
      </c>
      <c r="X2174" s="2"/>
      <c r="Y2174" s="2"/>
      <c r="Z2174" s="2"/>
      <c r="AA2174" s="2" t="s">
        <v>515</v>
      </c>
      <c r="AB2174" s="2" t="s">
        <v>73</v>
      </c>
      <c r="AC2174" s="4" t="s">
        <v>44</v>
      </c>
    </row>
    <row r="2175" spans="1:29" x14ac:dyDescent="0.25">
      <c r="A2175" s="1">
        <v>208</v>
      </c>
      <c r="B2175" s="17" t="s">
        <v>10198</v>
      </c>
      <c r="C2175" s="2" t="s">
        <v>10199</v>
      </c>
      <c r="D2175" s="15" t="s">
        <v>1939</v>
      </c>
      <c r="E2175" s="9" t="s">
        <v>6880</v>
      </c>
      <c r="F2175" s="9" t="s">
        <v>1938</v>
      </c>
      <c r="G2175" s="9" t="s">
        <v>622</v>
      </c>
      <c r="H2175" s="2" t="s">
        <v>60</v>
      </c>
      <c r="I2175" s="3">
        <v>36525</v>
      </c>
      <c r="J2175" s="9" t="str">
        <f t="shared" ca="1" si="35"/>
        <v>23 ans</v>
      </c>
      <c r="K2175" s="2" t="s">
        <v>123</v>
      </c>
      <c r="L2175" s="2" t="str">
        <f>"425"</f>
        <v>425</v>
      </c>
      <c r="M2175" s="2"/>
      <c r="N2175" s="2" t="str">
        <f>"RUE DE LA CLOSERIE"</f>
        <v>RUE DE LA CLOSERIE</v>
      </c>
      <c r="O2175" s="2" t="s">
        <v>9533</v>
      </c>
      <c r="P2175" s="9" t="str">
        <f>VLOOKUP($O2175,'Liste des Villes'!$B$2:$B$1128,1,FALSE)</f>
        <v>Sainte-Sophie</v>
      </c>
      <c r="Q2175" s="9" t="str">
        <f>IFERROR($P2175,PROPER(VLOOKUP($O2175,'Villes en erreur'!$A$2:$B$72,2,FALSE)))</f>
        <v>Sainte-Sophie</v>
      </c>
      <c r="R2175" s="9" t="s">
        <v>9534</v>
      </c>
      <c r="S2175" s="9" t="str">
        <f>IF(ISBLANK($R2175),"",VLOOKUP($R2175,'Liste des Villes'!$B$2:$H$1128,4,FALSE))</f>
        <v>Laurentides</v>
      </c>
      <c r="T2175" s="2" t="s">
        <v>10200</v>
      </c>
      <c r="U2175" s="2" t="s">
        <v>39</v>
      </c>
      <c r="V2175" s="2" t="s">
        <v>40</v>
      </c>
      <c r="W2175" s="2" t="s">
        <v>10201</v>
      </c>
      <c r="X2175" s="2"/>
      <c r="Y2175" s="2"/>
      <c r="Z2175" s="2"/>
      <c r="AA2175" s="2" t="s">
        <v>9187</v>
      </c>
      <c r="AB2175" s="2" t="s">
        <v>73</v>
      </c>
      <c r="AC2175" s="4" t="s">
        <v>44</v>
      </c>
    </row>
    <row r="2176" spans="1:29" x14ac:dyDescent="0.25">
      <c r="A2176" s="1">
        <v>2026</v>
      </c>
      <c r="B2176" s="17" t="s">
        <v>10202</v>
      </c>
      <c r="C2176" s="2" t="s">
        <v>10203</v>
      </c>
      <c r="D2176" s="15" t="s">
        <v>1105</v>
      </c>
      <c r="E2176" s="9" t="s">
        <v>186</v>
      </c>
      <c r="F2176" s="9" t="s">
        <v>1104</v>
      </c>
      <c r="G2176" s="9" t="s">
        <v>6197</v>
      </c>
      <c r="H2176" s="2" t="s">
        <v>60</v>
      </c>
      <c r="I2176" s="3">
        <v>36489</v>
      </c>
      <c r="J2176" s="9" t="str">
        <f t="shared" ca="1" si="35"/>
        <v>23 ans</v>
      </c>
      <c r="K2176" s="2" t="s">
        <v>123</v>
      </c>
      <c r="L2176" s="2" t="str">
        <f>"400"</f>
        <v>400</v>
      </c>
      <c r="M2176" s="2"/>
      <c r="N2176" s="2" t="str">
        <f>"RUE DE JOUTEL"</f>
        <v>RUE DE JOUTEL</v>
      </c>
      <c r="O2176" s="2" t="s">
        <v>9533</v>
      </c>
      <c r="P2176" s="9" t="str">
        <f>VLOOKUP($O2176,'Liste des Villes'!$B$2:$B$1128,1,FALSE)</f>
        <v>Sainte-Sophie</v>
      </c>
      <c r="Q2176" s="9" t="str">
        <f>IFERROR($P2176,PROPER(VLOOKUP($O2176,'Villes en erreur'!$A$2:$B$72,2,FALSE)))</f>
        <v>Sainte-Sophie</v>
      </c>
      <c r="R2176" s="9" t="s">
        <v>9534</v>
      </c>
      <c r="S2176" s="9" t="str">
        <f>IF(ISBLANK($R2176),"",VLOOKUP($R2176,'Liste des Villes'!$B$2:$H$1128,4,FALSE))</f>
        <v>Laurentides</v>
      </c>
      <c r="T2176" s="2" t="s">
        <v>10204</v>
      </c>
      <c r="U2176" s="2" t="s">
        <v>39</v>
      </c>
      <c r="V2176" s="2" t="s">
        <v>40</v>
      </c>
      <c r="W2176" s="2" t="s">
        <v>10205</v>
      </c>
      <c r="X2176" s="2"/>
      <c r="Y2176" s="2"/>
      <c r="Z2176" s="2"/>
      <c r="AA2176" s="2" t="s">
        <v>9187</v>
      </c>
      <c r="AB2176" s="2" t="s">
        <v>73</v>
      </c>
      <c r="AC2176" s="4" t="s">
        <v>44</v>
      </c>
    </row>
    <row r="2177" spans="1:29" x14ac:dyDescent="0.25">
      <c r="A2177" s="1">
        <v>2942</v>
      </c>
      <c r="B2177" s="17" t="s">
        <v>10206</v>
      </c>
      <c r="C2177" s="2" t="s">
        <v>10207</v>
      </c>
      <c r="D2177" s="15" t="s">
        <v>2252</v>
      </c>
      <c r="E2177" s="9" t="s">
        <v>8542</v>
      </c>
      <c r="F2177" s="9" t="s">
        <v>2251</v>
      </c>
      <c r="G2177" s="9" t="s">
        <v>137</v>
      </c>
      <c r="H2177" s="2" t="s">
        <v>60</v>
      </c>
      <c r="I2177" s="3">
        <v>36555</v>
      </c>
      <c r="J2177" s="9" t="str">
        <f t="shared" ca="1" si="35"/>
        <v>23 ans</v>
      </c>
      <c r="K2177" s="2" t="s">
        <v>68</v>
      </c>
      <c r="L2177" s="2" t="str">
        <f>"446"</f>
        <v>446</v>
      </c>
      <c r="M2177" s="2"/>
      <c r="N2177" s="2" t="str">
        <f>"RUE DE LA PERLE"</f>
        <v>RUE DE LA PERLE</v>
      </c>
      <c r="O2177" s="2" t="s">
        <v>9533</v>
      </c>
      <c r="P2177" s="9" t="str">
        <f>VLOOKUP($O2177,'Liste des Villes'!$B$2:$B$1128,1,FALSE)</f>
        <v>Sainte-Sophie</v>
      </c>
      <c r="Q2177" s="9" t="str">
        <f>IFERROR($P2177,PROPER(VLOOKUP($O2177,'Villes en erreur'!$A$2:$B$72,2,FALSE)))</f>
        <v>Sainte-Sophie</v>
      </c>
      <c r="R2177" s="9" t="s">
        <v>9534</v>
      </c>
      <c r="S2177" s="9" t="str">
        <f>IF(ISBLANK($R2177),"",VLOOKUP($R2177,'Liste des Villes'!$B$2:$H$1128,4,FALSE))</f>
        <v>Laurentides</v>
      </c>
      <c r="T2177" s="2" t="s">
        <v>10208</v>
      </c>
      <c r="U2177" s="2" t="s">
        <v>39</v>
      </c>
      <c r="V2177" s="2" t="s">
        <v>40</v>
      </c>
      <c r="W2177" s="2" t="s">
        <v>10209</v>
      </c>
      <c r="X2177" s="2"/>
      <c r="Y2177" s="2"/>
      <c r="Z2177" s="2"/>
      <c r="AA2177" s="2" t="s">
        <v>515</v>
      </c>
      <c r="AB2177" s="2" t="s">
        <v>73</v>
      </c>
      <c r="AC2177" s="4" t="s">
        <v>44</v>
      </c>
    </row>
    <row r="2178" spans="1:29" x14ac:dyDescent="0.25">
      <c r="A2178" s="1">
        <v>3491</v>
      </c>
      <c r="B2178" s="17" t="s">
        <v>10210</v>
      </c>
      <c r="C2178" s="2" t="s">
        <v>10211</v>
      </c>
      <c r="D2178" s="15" t="s">
        <v>9910</v>
      </c>
      <c r="E2178" s="9" t="s">
        <v>85</v>
      </c>
      <c r="F2178" s="9" t="s">
        <v>2291</v>
      </c>
      <c r="G2178" s="9" t="s">
        <v>137</v>
      </c>
      <c r="H2178" s="2" t="s">
        <v>60</v>
      </c>
      <c r="I2178" s="3">
        <v>36554</v>
      </c>
      <c r="J2178" s="9" t="str">
        <f t="shared" ref="J2178:J2241" ca="1" si="36">_xlfn.CONCAT(INT((TODAY()-$I2178)/365.25)," ans")</f>
        <v>23 ans</v>
      </c>
      <c r="K2178" s="2" t="s">
        <v>68</v>
      </c>
      <c r="L2178" s="2" t="str">
        <f>"446"</f>
        <v>446</v>
      </c>
      <c r="M2178" s="2"/>
      <c r="N2178" s="2" t="str">
        <f>"RUE DE LA PASSION"</f>
        <v>RUE DE LA PASSION</v>
      </c>
      <c r="O2178" s="2" t="s">
        <v>9533</v>
      </c>
      <c r="P2178" s="9" t="str">
        <f>VLOOKUP($O2178,'Liste des Villes'!$B$2:$B$1128,1,FALSE)</f>
        <v>Sainte-Sophie</v>
      </c>
      <c r="Q2178" s="9" t="str">
        <f>IFERROR($P2178,PROPER(VLOOKUP($O2178,'Villes en erreur'!$A$2:$B$72,2,FALSE)))</f>
        <v>Sainte-Sophie</v>
      </c>
      <c r="R2178" s="9" t="s">
        <v>9534</v>
      </c>
      <c r="S2178" s="9" t="str">
        <f>IF(ISBLANK($R2178),"",VLOOKUP($R2178,'Liste des Villes'!$B$2:$H$1128,4,FALSE))</f>
        <v>Laurentides</v>
      </c>
      <c r="T2178" s="2" t="s">
        <v>10036</v>
      </c>
      <c r="U2178" s="2" t="s">
        <v>39</v>
      </c>
      <c r="V2178" s="2" t="s">
        <v>40</v>
      </c>
      <c r="W2178" s="2" t="s">
        <v>10212</v>
      </c>
      <c r="X2178" s="2"/>
      <c r="Y2178" s="2"/>
      <c r="Z2178" s="2"/>
      <c r="AA2178" s="2" t="s">
        <v>515</v>
      </c>
      <c r="AB2178" s="2" t="s">
        <v>73</v>
      </c>
      <c r="AC2178" s="4" t="s">
        <v>44</v>
      </c>
    </row>
    <row r="2179" spans="1:29" x14ac:dyDescent="0.25">
      <c r="A2179" s="1">
        <v>1967</v>
      </c>
      <c r="B2179" s="17" t="s">
        <v>10213</v>
      </c>
      <c r="C2179" s="2" t="s">
        <v>8751</v>
      </c>
      <c r="D2179" s="15" t="s">
        <v>34</v>
      </c>
      <c r="E2179" s="9" t="s">
        <v>8752</v>
      </c>
      <c r="F2179" s="9" t="s">
        <v>10214</v>
      </c>
      <c r="G2179" s="9" t="s">
        <v>4594</v>
      </c>
      <c r="H2179" s="2" t="s">
        <v>60</v>
      </c>
      <c r="I2179" s="3">
        <v>36501</v>
      </c>
      <c r="J2179" s="9" t="str">
        <f t="shared" ca="1" si="36"/>
        <v>23 ans</v>
      </c>
      <c r="K2179" s="2" t="s">
        <v>123</v>
      </c>
      <c r="L2179" s="2" t="str">
        <f>"407"</f>
        <v>407</v>
      </c>
      <c r="M2179" s="2"/>
      <c r="N2179" s="2" t="str">
        <f>"RUE DE LA BRETAGNE"</f>
        <v>RUE DE LA BRETAGNE</v>
      </c>
      <c r="O2179" s="2" t="s">
        <v>9533</v>
      </c>
      <c r="P2179" s="9" t="str">
        <f>VLOOKUP($O2179,'Liste des Villes'!$B$2:$B$1128,1,FALSE)</f>
        <v>Sainte-Sophie</v>
      </c>
      <c r="Q2179" s="9" t="str">
        <f>IFERROR($P2179,PROPER(VLOOKUP($O2179,'Villes en erreur'!$A$2:$B$72,2,FALSE)))</f>
        <v>Sainte-Sophie</v>
      </c>
      <c r="R2179" s="9" t="s">
        <v>9534</v>
      </c>
      <c r="S2179" s="9" t="str">
        <f>IF(ISBLANK($R2179),"",VLOOKUP($R2179,'Liste des Villes'!$B$2:$H$1128,4,FALSE))</f>
        <v>Laurentides</v>
      </c>
      <c r="T2179" s="2" t="s">
        <v>9588</v>
      </c>
      <c r="U2179" s="2" t="s">
        <v>39</v>
      </c>
      <c r="V2179" s="2" t="s">
        <v>40</v>
      </c>
      <c r="W2179" s="2" t="s">
        <v>10215</v>
      </c>
      <c r="X2179" s="2"/>
      <c r="Y2179" s="2"/>
      <c r="Z2179" s="2"/>
      <c r="AA2179" s="2" t="s">
        <v>9187</v>
      </c>
      <c r="AB2179" s="2" t="s">
        <v>73</v>
      </c>
      <c r="AC2179" s="4" t="s">
        <v>44</v>
      </c>
    </row>
    <row r="2180" spans="1:29" x14ac:dyDescent="0.25">
      <c r="A2180" s="1">
        <v>3423</v>
      </c>
      <c r="B2180" s="17" t="s">
        <v>10216</v>
      </c>
      <c r="C2180" s="2" t="s">
        <v>2485</v>
      </c>
      <c r="D2180" s="15" t="s">
        <v>2486</v>
      </c>
      <c r="E2180" s="9" t="s">
        <v>541</v>
      </c>
      <c r="F2180" s="9" t="s">
        <v>173</v>
      </c>
      <c r="G2180" s="9" t="s">
        <v>8039</v>
      </c>
      <c r="H2180" s="2" t="s">
        <v>60</v>
      </c>
      <c r="I2180" s="3">
        <v>36484</v>
      </c>
      <c r="J2180" s="9" t="str">
        <f t="shared" ca="1" si="36"/>
        <v>23 ans</v>
      </c>
      <c r="K2180" s="2" t="s">
        <v>123</v>
      </c>
      <c r="L2180" s="2" t="str">
        <f>"396"</f>
        <v>396</v>
      </c>
      <c r="M2180" s="2"/>
      <c r="N2180" s="2" t="str">
        <f>"RUE DE GRUYÈRES"</f>
        <v>RUE DE GRUYÈRES</v>
      </c>
      <c r="O2180" s="2" t="s">
        <v>9533</v>
      </c>
      <c r="P2180" s="9" t="str">
        <f>VLOOKUP($O2180,'Liste des Villes'!$B$2:$B$1128,1,FALSE)</f>
        <v>Sainte-Sophie</v>
      </c>
      <c r="Q2180" s="9" t="str">
        <f>IFERROR($P2180,PROPER(VLOOKUP($O2180,'Villes en erreur'!$A$2:$B$72,2,FALSE)))</f>
        <v>Sainte-Sophie</v>
      </c>
      <c r="R2180" s="9" t="s">
        <v>9534</v>
      </c>
      <c r="S2180" s="9" t="str">
        <f>IF(ISBLANK($R2180),"",VLOOKUP($R2180,'Liste des Villes'!$B$2:$H$1128,4,FALSE))</f>
        <v>Laurentides</v>
      </c>
      <c r="T2180" s="2" t="s">
        <v>9810</v>
      </c>
      <c r="U2180" s="2" t="s">
        <v>39</v>
      </c>
      <c r="V2180" s="2" t="s">
        <v>40</v>
      </c>
      <c r="W2180" s="2" t="s">
        <v>10217</v>
      </c>
      <c r="X2180" s="2"/>
      <c r="Y2180" s="2"/>
      <c r="Z2180" s="2"/>
      <c r="AA2180" s="2" t="s">
        <v>9187</v>
      </c>
      <c r="AB2180" s="2" t="s">
        <v>73</v>
      </c>
      <c r="AC2180" s="4" t="s">
        <v>44</v>
      </c>
    </row>
    <row r="2181" spans="1:29" x14ac:dyDescent="0.25">
      <c r="A2181" s="1">
        <v>188</v>
      </c>
      <c r="B2181" s="17" t="s">
        <v>10218</v>
      </c>
      <c r="C2181" s="2" t="s">
        <v>10219</v>
      </c>
      <c r="D2181" s="15" t="s">
        <v>10220</v>
      </c>
      <c r="E2181" s="9" t="s">
        <v>6074</v>
      </c>
      <c r="F2181" s="9" t="s">
        <v>225</v>
      </c>
      <c r="G2181" s="9" t="s">
        <v>137</v>
      </c>
      <c r="H2181" s="2" t="s">
        <v>60</v>
      </c>
      <c r="I2181" s="3">
        <v>36558</v>
      </c>
      <c r="J2181" s="9" t="str">
        <f t="shared" ca="1" si="36"/>
        <v>23 ans</v>
      </c>
      <c r="K2181" s="2" t="s">
        <v>68</v>
      </c>
      <c r="L2181" s="2" t="str">
        <f>"450"</f>
        <v>450</v>
      </c>
      <c r="M2181" s="2"/>
      <c r="N2181" s="2" t="str">
        <f>"RUE DE LA PIERRE-DE-LUNE"</f>
        <v>RUE DE LA PIERRE-DE-LUNE</v>
      </c>
      <c r="O2181" s="2" t="s">
        <v>9533</v>
      </c>
      <c r="P2181" s="9" t="str">
        <f>VLOOKUP($O2181,'Liste des Villes'!$B$2:$B$1128,1,FALSE)</f>
        <v>Sainte-Sophie</v>
      </c>
      <c r="Q2181" s="9" t="str">
        <f>IFERROR($P2181,PROPER(VLOOKUP($O2181,'Villes en erreur'!$A$2:$B$72,2,FALSE)))</f>
        <v>Sainte-Sophie</v>
      </c>
      <c r="R2181" s="9" t="s">
        <v>9534</v>
      </c>
      <c r="S2181" s="9" t="str">
        <f>IF(ISBLANK($R2181),"",VLOOKUP($R2181,'Liste des Villes'!$B$2:$H$1128,4,FALSE))</f>
        <v>Laurentides</v>
      </c>
      <c r="T2181" s="2" t="s">
        <v>10221</v>
      </c>
      <c r="U2181" s="2" t="s">
        <v>39</v>
      </c>
      <c r="V2181" s="2" t="s">
        <v>40</v>
      </c>
      <c r="W2181" s="2" t="s">
        <v>10222</v>
      </c>
      <c r="X2181" s="2"/>
      <c r="Y2181" s="2"/>
      <c r="Z2181" s="2"/>
      <c r="AA2181" s="2" t="s">
        <v>515</v>
      </c>
      <c r="AB2181" s="2" t="s">
        <v>73</v>
      </c>
      <c r="AC2181" s="4" t="s">
        <v>44</v>
      </c>
    </row>
    <row r="2182" spans="1:29" x14ac:dyDescent="0.25">
      <c r="A2182" s="1">
        <v>2485</v>
      </c>
      <c r="B2182" s="17" t="s">
        <v>10223</v>
      </c>
      <c r="C2182" s="2" t="s">
        <v>10224</v>
      </c>
      <c r="D2182" s="15" t="s">
        <v>1262</v>
      </c>
      <c r="E2182" s="9" t="s">
        <v>10225</v>
      </c>
      <c r="F2182" s="9" t="s">
        <v>1264</v>
      </c>
      <c r="G2182" s="9" t="s">
        <v>137</v>
      </c>
      <c r="H2182" s="2" t="s">
        <v>60</v>
      </c>
      <c r="I2182" s="3">
        <v>36558</v>
      </c>
      <c r="J2182" s="9" t="str">
        <f t="shared" ca="1" si="36"/>
        <v>23 ans</v>
      </c>
      <c r="K2182" s="2" t="s">
        <v>68</v>
      </c>
      <c r="L2182" s="2" t="str">
        <f>"450"</f>
        <v>450</v>
      </c>
      <c r="M2182" s="2"/>
      <c r="N2182" s="2" t="str">
        <f>"RUE DE LA PICARDIE"</f>
        <v>RUE DE LA PICARDIE</v>
      </c>
      <c r="O2182" s="2" t="s">
        <v>9533</v>
      </c>
      <c r="P2182" s="9" t="str">
        <f>VLOOKUP($O2182,'Liste des Villes'!$B$2:$B$1128,1,FALSE)</f>
        <v>Sainte-Sophie</v>
      </c>
      <c r="Q2182" s="9" t="str">
        <f>IFERROR($P2182,PROPER(VLOOKUP($O2182,'Villes en erreur'!$A$2:$B$72,2,FALSE)))</f>
        <v>Sainte-Sophie</v>
      </c>
      <c r="R2182" s="9" t="s">
        <v>9534</v>
      </c>
      <c r="S2182" s="9" t="str">
        <f>IF(ISBLANK($R2182),"",VLOOKUP($R2182,'Liste des Villes'!$B$2:$H$1128,4,FALSE))</f>
        <v>Laurentides</v>
      </c>
      <c r="T2182" s="2" t="s">
        <v>10226</v>
      </c>
      <c r="U2182" s="2" t="s">
        <v>39</v>
      </c>
      <c r="V2182" s="2" t="s">
        <v>40</v>
      </c>
      <c r="W2182" s="2" t="s">
        <v>10227</v>
      </c>
      <c r="X2182" s="2"/>
      <c r="Y2182" s="2"/>
      <c r="Z2182" s="2"/>
      <c r="AA2182" s="2" t="s">
        <v>515</v>
      </c>
      <c r="AB2182" s="2" t="s">
        <v>73</v>
      </c>
      <c r="AC2182" s="4" t="s">
        <v>44</v>
      </c>
    </row>
    <row r="2183" spans="1:29" x14ac:dyDescent="0.25">
      <c r="A2183" s="1">
        <v>2764</v>
      </c>
      <c r="B2183" s="17" t="s">
        <v>10228</v>
      </c>
      <c r="C2183" s="2" t="s">
        <v>7803</v>
      </c>
      <c r="D2183" s="15" t="s">
        <v>2474</v>
      </c>
      <c r="E2183" s="9" t="s">
        <v>7804</v>
      </c>
      <c r="F2183" s="9" t="s">
        <v>3161</v>
      </c>
      <c r="G2183" s="9" t="s">
        <v>4968</v>
      </c>
      <c r="H2183" s="2" t="s">
        <v>60</v>
      </c>
      <c r="I2183" s="3">
        <v>36575</v>
      </c>
      <c r="J2183" s="9" t="str">
        <f t="shared" ca="1" si="36"/>
        <v>23 ans</v>
      </c>
      <c r="K2183" s="2" t="s">
        <v>68</v>
      </c>
      <c r="L2183" s="2" t="str">
        <f>"465"</f>
        <v>465</v>
      </c>
      <c r="M2183" s="2"/>
      <c r="N2183" s="2" t="str">
        <f>"RUE DE LA RENAISSANCE"</f>
        <v>RUE DE LA RENAISSANCE</v>
      </c>
      <c r="O2183" s="2" t="s">
        <v>9533</v>
      </c>
      <c r="P2183" s="9" t="str">
        <f>VLOOKUP($O2183,'Liste des Villes'!$B$2:$B$1128,1,FALSE)</f>
        <v>Sainte-Sophie</v>
      </c>
      <c r="Q2183" s="9" t="str">
        <f>IFERROR($P2183,PROPER(VLOOKUP($O2183,'Villes en erreur'!$A$2:$B$72,2,FALSE)))</f>
        <v>Sainte-Sophie</v>
      </c>
      <c r="R2183" s="9" t="s">
        <v>9534</v>
      </c>
      <c r="S2183" s="9" t="str">
        <f>IF(ISBLANK($R2183),"",VLOOKUP($R2183,'Liste des Villes'!$B$2:$H$1128,4,FALSE))</f>
        <v>Laurentides</v>
      </c>
      <c r="T2183" s="2" t="s">
        <v>10229</v>
      </c>
      <c r="U2183" s="2" t="s">
        <v>39</v>
      </c>
      <c r="V2183" s="2" t="s">
        <v>40</v>
      </c>
      <c r="W2183" s="2" t="s">
        <v>10230</v>
      </c>
      <c r="X2183" s="2"/>
      <c r="Y2183" s="2"/>
      <c r="Z2183" s="2"/>
      <c r="AA2183" s="2" t="s">
        <v>515</v>
      </c>
      <c r="AB2183" s="2" t="s">
        <v>73</v>
      </c>
      <c r="AC2183" s="4" t="s">
        <v>44</v>
      </c>
    </row>
    <row r="2184" spans="1:29" x14ac:dyDescent="0.25">
      <c r="A2184" s="1">
        <v>3888</v>
      </c>
      <c r="B2184" s="17" t="s">
        <v>10231</v>
      </c>
      <c r="C2184" s="2" t="s">
        <v>10232</v>
      </c>
      <c r="D2184" s="15" t="s">
        <v>867</v>
      </c>
      <c r="E2184" s="9" t="s">
        <v>10233</v>
      </c>
      <c r="F2184" s="9" t="s">
        <v>2263</v>
      </c>
      <c r="G2184" s="9" t="s">
        <v>137</v>
      </c>
      <c r="H2184" s="2" t="s">
        <v>60</v>
      </c>
      <c r="I2184" s="3">
        <v>36551</v>
      </c>
      <c r="J2184" s="9" t="str">
        <f t="shared" ca="1" si="36"/>
        <v>23 ans</v>
      </c>
      <c r="K2184" s="2" t="s">
        <v>68</v>
      </c>
      <c r="L2184" s="2" t="str">
        <f>"444"</f>
        <v>444</v>
      </c>
      <c r="M2184" s="2"/>
      <c r="N2184" s="2" t="str">
        <f>"RUE DE LA MOUSSON"</f>
        <v>RUE DE LA MOUSSON</v>
      </c>
      <c r="O2184" s="2" t="s">
        <v>9533</v>
      </c>
      <c r="P2184" s="9" t="str">
        <f>VLOOKUP($O2184,'Liste des Villes'!$B$2:$B$1128,1,FALSE)</f>
        <v>Sainte-Sophie</v>
      </c>
      <c r="Q2184" s="9" t="str">
        <f>IFERROR($P2184,PROPER(VLOOKUP($O2184,'Villes en erreur'!$A$2:$B$72,2,FALSE)))</f>
        <v>Sainte-Sophie</v>
      </c>
      <c r="R2184" s="9" t="s">
        <v>9534</v>
      </c>
      <c r="S2184" s="9" t="str">
        <f>IF(ISBLANK($R2184),"",VLOOKUP($R2184,'Liste des Villes'!$B$2:$H$1128,4,FALSE))</f>
        <v>Laurentides</v>
      </c>
      <c r="T2184" s="2" t="s">
        <v>10234</v>
      </c>
      <c r="U2184" s="2" t="s">
        <v>39</v>
      </c>
      <c r="V2184" s="2" t="s">
        <v>40</v>
      </c>
      <c r="W2184" s="2" t="s">
        <v>10235</v>
      </c>
      <c r="X2184" s="2"/>
      <c r="Y2184" s="2"/>
      <c r="Z2184" s="2"/>
      <c r="AA2184" s="2" t="s">
        <v>515</v>
      </c>
      <c r="AB2184" s="2" t="s">
        <v>73</v>
      </c>
      <c r="AC2184" s="4" t="s">
        <v>44</v>
      </c>
    </row>
    <row r="2185" spans="1:29" x14ac:dyDescent="0.25">
      <c r="A2185" s="1">
        <v>2185</v>
      </c>
      <c r="B2185" s="17" t="s">
        <v>10236</v>
      </c>
      <c r="C2185" s="2" t="s">
        <v>8353</v>
      </c>
      <c r="D2185" s="15" t="s">
        <v>6635</v>
      </c>
      <c r="E2185" s="9" t="s">
        <v>2086</v>
      </c>
      <c r="F2185" s="9" t="s">
        <v>6634</v>
      </c>
      <c r="G2185" s="9" t="s">
        <v>622</v>
      </c>
      <c r="H2185" s="2" t="s">
        <v>60</v>
      </c>
      <c r="I2185" s="3">
        <v>36519</v>
      </c>
      <c r="J2185" s="9" t="str">
        <f t="shared" ca="1" si="36"/>
        <v>23 ans</v>
      </c>
      <c r="K2185" s="2" t="s">
        <v>123</v>
      </c>
      <c r="L2185" s="2" t="str">
        <f>"420"</f>
        <v>420</v>
      </c>
      <c r="M2185" s="2"/>
      <c r="N2185" s="2" t="str">
        <f>"RUE DE LA CHARENTE"</f>
        <v>RUE DE LA CHARENTE</v>
      </c>
      <c r="O2185" s="2" t="s">
        <v>9533</v>
      </c>
      <c r="P2185" s="9" t="str">
        <f>VLOOKUP($O2185,'Liste des Villes'!$B$2:$B$1128,1,FALSE)</f>
        <v>Sainte-Sophie</v>
      </c>
      <c r="Q2185" s="9" t="str">
        <f>IFERROR($P2185,PROPER(VLOOKUP($O2185,'Villes en erreur'!$A$2:$B$72,2,FALSE)))</f>
        <v>Sainte-Sophie</v>
      </c>
      <c r="R2185" s="9" t="s">
        <v>9534</v>
      </c>
      <c r="S2185" s="9" t="str">
        <f>IF(ISBLANK($R2185),"",VLOOKUP($R2185,'Liste des Villes'!$B$2:$H$1128,4,FALSE))</f>
        <v>Laurentides</v>
      </c>
      <c r="T2185" s="2" t="s">
        <v>10237</v>
      </c>
      <c r="U2185" s="2" t="s">
        <v>39</v>
      </c>
      <c r="V2185" s="2" t="s">
        <v>40</v>
      </c>
      <c r="W2185" s="2" t="s">
        <v>10238</v>
      </c>
      <c r="X2185" s="2"/>
      <c r="Y2185" s="2"/>
      <c r="Z2185" s="2"/>
      <c r="AA2185" s="2" t="s">
        <v>9187</v>
      </c>
      <c r="AB2185" s="2" t="s">
        <v>73</v>
      </c>
      <c r="AC2185" s="4" t="s">
        <v>44</v>
      </c>
    </row>
    <row r="2186" spans="1:29" x14ac:dyDescent="0.25">
      <c r="A2186" s="1">
        <v>1705</v>
      </c>
      <c r="B2186" s="17" t="s">
        <v>10239</v>
      </c>
      <c r="C2186" s="2" t="s">
        <v>5346</v>
      </c>
      <c r="D2186" s="15" t="s">
        <v>982</v>
      </c>
      <c r="E2186" s="9" t="s">
        <v>370</v>
      </c>
      <c r="F2186" s="9" t="s">
        <v>5596</v>
      </c>
      <c r="G2186" s="9" t="s">
        <v>137</v>
      </c>
      <c r="H2186" s="2" t="s">
        <v>60</v>
      </c>
      <c r="I2186" s="3">
        <v>36567</v>
      </c>
      <c r="J2186" s="9" t="str">
        <f t="shared" ca="1" si="36"/>
        <v>23 ans</v>
      </c>
      <c r="K2186" s="2" t="s">
        <v>68</v>
      </c>
      <c r="L2186" s="2" t="str">
        <f>"460"</f>
        <v>460</v>
      </c>
      <c r="M2186" s="2"/>
      <c r="N2186" s="2" t="str">
        <f>"RUE DE LA PROMENADE"</f>
        <v>RUE DE LA PROMENADE</v>
      </c>
      <c r="O2186" s="2" t="s">
        <v>9533</v>
      </c>
      <c r="P2186" s="9" t="str">
        <f>VLOOKUP($O2186,'Liste des Villes'!$B$2:$B$1128,1,FALSE)</f>
        <v>Sainte-Sophie</v>
      </c>
      <c r="Q2186" s="9" t="str">
        <f>IFERROR($P2186,PROPER(VLOOKUP($O2186,'Villes en erreur'!$A$2:$B$72,2,FALSE)))</f>
        <v>Sainte-Sophie</v>
      </c>
      <c r="R2186" s="9" t="s">
        <v>9534</v>
      </c>
      <c r="S2186" s="9" t="str">
        <f>IF(ISBLANK($R2186),"",VLOOKUP($R2186,'Liste des Villes'!$B$2:$H$1128,4,FALSE))</f>
        <v>Laurentides</v>
      </c>
      <c r="T2186" s="2" t="s">
        <v>10240</v>
      </c>
      <c r="U2186" s="2" t="s">
        <v>39</v>
      </c>
      <c r="V2186" s="2" t="s">
        <v>40</v>
      </c>
      <c r="W2186" s="2" t="s">
        <v>10241</v>
      </c>
      <c r="X2186" s="2"/>
      <c r="Y2186" s="2"/>
      <c r="Z2186" s="2"/>
      <c r="AA2186" s="2" t="s">
        <v>515</v>
      </c>
      <c r="AB2186" s="2" t="s">
        <v>73</v>
      </c>
      <c r="AC2186" s="4" t="s">
        <v>44</v>
      </c>
    </row>
    <row r="2187" spans="1:29" x14ac:dyDescent="0.25">
      <c r="A2187" s="1">
        <v>28</v>
      </c>
      <c r="B2187" s="17" t="s">
        <v>10242</v>
      </c>
      <c r="C2187" s="2" t="s">
        <v>10243</v>
      </c>
      <c r="D2187" s="15" t="s">
        <v>1145</v>
      </c>
      <c r="E2187" s="9" t="s">
        <v>7833</v>
      </c>
      <c r="F2187" s="9" t="s">
        <v>2560</v>
      </c>
      <c r="G2187" s="9" t="s">
        <v>4158</v>
      </c>
      <c r="H2187" s="2" t="s">
        <v>60</v>
      </c>
      <c r="I2187" s="3">
        <v>36507</v>
      </c>
      <c r="J2187" s="9" t="str">
        <f t="shared" ca="1" si="36"/>
        <v>23 ans</v>
      </c>
      <c r="K2187" s="2" t="s">
        <v>123</v>
      </c>
      <c r="L2187" s="2" t="str">
        <f>"410"</f>
        <v>410</v>
      </c>
      <c r="M2187" s="2"/>
      <c r="N2187" s="2" t="str">
        <f>"RUE DE LA BRISE"</f>
        <v>RUE DE LA BRISE</v>
      </c>
      <c r="O2187" s="2" t="s">
        <v>9533</v>
      </c>
      <c r="P2187" s="9" t="str">
        <f>VLOOKUP($O2187,'Liste des Villes'!$B$2:$B$1128,1,FALSE)</f>
        <v>Sainte-Sophie</v>
      </c>
      <c r="Q2187" s="9" t="str">
        <f>IFERROR($P2187,PROPER(VLOOKUP($O2187,'Villes en erreur'!$A$2:$B$72,2,FALSE)))</f>
        <v>Sainte-Sophie</v>
      </c>
      <c r="R2187" s="9" t="s">
        <v>9534</v>
      </c>
      <c r="S2187" s="9" t="str">
        <f>IF(ISBLANK($R2187),"",VLOOKUP($R2187,'Liste des Villes'!$B$2:$H$1128,4,FALSE))</f>
        <v>Laurentides</v>
      </c>
      <c r="T2187" s="2" t="s">
        <v>9759</v>
      </c>
      <c r="U2187" s="2" t="s">
        <v>39</v>
      </c>
      <c r="V2187" s="2" t="s">
        <v>40</v>
      </c>
      <c r="W2187" s="2" t="s">
        <v>10244</v>
      </c>
      <c r="X2187" s="2"/>
      <c r="Y2187" s="2"/>
      <c r="Z2187" s="2"/>
      <c r="AA2187" s="2" t="s">
        <v>9187</v>
      </c>
      <c r="AB2187" s="2" t="s">
        <v>73</v>
      </c>
      <c r="AC2187" s="4" t="s">
        <v>44</v>
      </c>
    </row>
    <row r="2188" spans="1:29" x14ac:dyDescent="0.25">
      <c r="A2188" s="1">
        <v>162</v>
      </c>
      <c r="B2188" s="17" t="s">
        <v>10245</v>
      </c>
      <c r="C2188" s="2" t="s">
        <v>10246</v>
      </c>
      <c r="D2188" s="15" t="s">
        <v>8079</v>
      </c>
      <c r="E2188" s="9" t="s">
        <v>989</v>
      </c>
      <c r="F2188" s="9" t="s">
        <v>818</v>
      </c>
      <c r="G2188" s="9" t="s">
        <v>989</v>
      </c>
      <c r="H2188" s="2" t="s">
        <v>60</v>
      </c>
      <c r="I2188" s="3">
        <v>36515</v>
      </c>
      <c r="J2188" s="9" t="str">
        <f t="shared" ca="1" si="36"/>
        <v>23 ans</v>
      </c>
      <c r="K2188" s="2" t="s">
        <v>123</v>
      </c>
      <c r="L2188" s="2" t="str">
        <f>"417"</f>
        <v>417</v>
      </c>
      <c r="M2188" s="2"/>
      <c r="N2188" s="2" t="str">
        <f>"RUE DE LA CHARENTE"</f>
        <v>RUE DE LA CHARENTE</v>
      </c>
      <c r="O2188" s="2" t="s">
        <v>9533</v>
      </c>
      <c r="P2188" s="9" t="str">
        <f>VLOOKUP($O2188,'Liste des Villes'!$B$2:$B$1128,1,FALSE)</f>
        <v>Sainte-Sophie</v>
      </c>
      <c r="Q2188" s="9" t="str">
        <f>IFERROR($P2188,PROPER(VLOOKUP($O2188,'Villes en erreur'!$A$2:$B$72,2,FALSE)))</f>
        <v>Sainte-Sophie</v>
      </c>
      <c r="R2188" s="9" t="s">
        <v>9534</v>
      </c>
      <c r="S2188" s="9" t="str">
        <f>IF(ISBLANK($R2188),"",VLOOKUP($R2188,'Liste des Villes'!$B$2:$H$1128,4,FALSE))</f>
        <v>Laurentides</v>
      </c>
      <c r="T2188" s="2" t="s">
        <v>9992</v>
      </c>
      <c r="U2188" s="2" t="s">
        <v>39</v>
      </c>
      <c r="V2188" s="2" t="s">
        <v>40</v>
      </c>
      <c r="W2188" s="2" t="s">
        <v>10247</v>
      </c>
      <c r="X2188" s="2"/>
      <c r="Y2188" s="2"/>
      <c r="Z2188" s="2"/>
      <c r="AA2188" s="2" t="s">
        <v>9187</v>
      </c>
      <c r="AB2188" s="2" t="s">
        <v>73</v>
      </c>
      <c r="AC2188" s="4" t="s">
        <v>44</v>
      </c>
    </row>
    <row r="2189" spans="1:29" x14ac:dyDescent="0.25">
      <c r="A2189" s="1">
        <v>4105</v>
      </c>
      <c r="B2189" s="17" t="s">
        <v>10248</v>
      </c>
      <c r="C2189" s="2" t="s">
        <v>10249</v>
      </c>
      <c r="D2189" s="15" t="s">
        <v>6187</v>
      </c>
      <c r="E2189" s="9" t="s">
        <v>495</v>
      </c>
      <c r="F2189" s="9" t="s">
        <v>4081</v>
      </c>
      <c r="G2189" s="9" t="s">
        <v>622</v>
      </c>
      <c r="H2189" s="2" t="s">
        <v>60</v>
      </c>
      <c r="I2189" s="3">
        <v>36537</v>
      </c>
      <c r="J2189" s="9" t="str">
        <f t="shared" ca="1" si="36"/>
        <v>23 ans</v>
      </c>
      <c r="K2189" s="2" t="s">
        <v>68</v>
      </c>
      <c r="L2189" s="2" t="str">
        <f>"434"</f>
        <v>434</v>
      </c>
      <c r="M2189" s="2"/>
      <c r="N2189" s="2" t="str">
        <f>"RUE DE LA FLANDRE"</f>
        <v>RUE DE LA FLANDRE</v>
      </c>
      <c r="O2189" s="2" t="s">
        <v>9533</v>
      </c>
      <c r="P2189" s="9" t="str">
        <f>VLOOKUP($O2189,'Liste des Villes'!$B$2:$B$1128,1,FALSE)</f>
        <v>Sainte-Sophie</v>
      </c>
      <c r="Q2189" s="9" t="str">
        <f>IFERROR($P2189,PROPER(VLOOKUP($O2189,'Villes en erreur'!$A$2:$B$72,2,FALSE)))</f>
        <v>Sainte-Sophie</v>
      </c>
      <c r="R2189" s="9" t="s">
        <v>9534</v>
      </c>
      <c r="S2189" s="9" t="str">
        <f>IF(ISBLANK($R2189),"",VLOOKUP($R2189,'Liste des Villes'!$B$2:$H$1128,4,FALSE))</f>
        <v>Laurentides</v>
      </c>
      <c r="T2189" s="2" t="s">
        <v>10250</v>
      </c>
      <c r="U2189" s="2" t="s">
        <v>39</v>
      </c>
      <c r="V2189" s="2" t="s">
        <v>40</v>
      </c>
      <c r="W2189" s="2" t="s">
        <v>10251</v>
      </c>
      <c r="X2189" s="2"/>
      <c r="Y2189" s="2"/>
      <c r="Z2189" s="2"/>
      <c r="AA2189" s="2" t="s">
        <v>515</v>
      </c>
      <c r="AB2189" s="2" t="s">
        <v>73</v>
      </c>
      <c r="AC2189" s="4" t="s">
        <v>44</v>
      </c>
    </row>
    <row r="2190" spans="1:29" x14ac:dyDescent="0.25">
      <c r="A2190" s="1">
        <v>4541</v>
      </c>
      <c r="B2190" s="17" t="s">
        <v>10252</v>
      </c>
      <c r="C2190" s="2" t="s">
        <v>7486</v>
      </c>
      <c r="D2190" s="15" t="s">
        <v>5635</v>
      </c>
      <c r="E2190" s="9" t="s">
        <v>325</v>
      </c>
      <c r="F2190" s="9" t="s">
        <v>10253</v>
      </c>
      <c r="G2190" s="9" t="s">
        <v>4968</v>
      </c>
      <c r="H2190" s="2" t="s">
        <v>60</v>
      </c>
      <c r="I2190" s="3">
        <v>36577</v>
      </c>
      <c r="J2190" s="9" t="str">
        <f t="shared" ca="1" si="36"/>
        <v>23 ans</v>
      </c>
      <c r="K2190" s="2" t="s">
        <v>68</v>
      </c>
      <c r="L2190" s="2" t="str">
        <f>"466"</f>
        <v>466</v>
      </c>
      <c r="M2190" s="2"/>
      <c r="N2190" s="2" t="str">
        <f>"RUE DE LA RIVE"</f>
        <v>RUE DE LA RIVE</v>
      </c>
      <c r="O2190" s="2" t="s">
        <v>9533</v>
      </c>
      <c r="P2190" s="9" t="str">
        <f>VLOOKUP($O2190,'Liste des Villes'!$B$2:$B$1128,1,FALSE)</f>
        <v>Sainte-Sophie</v>
      </c>
      <c r="Q2190" s="9" t="str">
        <f>IFERROR($P2190,PROPER(VLOOKUP($O2190,'Villes en erreur'!$A$2:$B$72,2,FALSE)))</f>
        <v>Sainte-Sophie</v>
      </c>
      <c r="R2190" s="9" t="s">
        <v>9534</v>
      </c>
      <c r="S2190" s="9" t="str">
        <f>IF(ISBLANK($R2190),"",VLOOKUP($R2190,'Liste des Villes'!$B$2:$H$1128,4,FALSE))</f>
        <v>Laurentides</v>
      </c>
      <c r="T2190" s="2" t="s">
        <v>10254</v>
      </c>
      <c r="U2190" s="2" t="s">
        <v>39</v>
      </c>
      <c r="V2190" s="2" t="s">
        <v>40</v>
      </c>
      <c r="W2190" s="2" t="s">
        <v>10255</v>
      </c>
      <c r="X2190" s="2"/>
      <c r="Y2190" s="2"/>
      <c r="Z2190" s="2"/>
      <c r="AA2190" s="2" t="s">
        <v>515</v>
      </c>
      <c r="AB2190" s="2" t="s">
        <v>73</v>
      </c>
      <c r="AC2190" s="4" t="s">
        <v>44</v>
      </c>
    </row>
    <row r="2191" spans="1:29" x14ac:dyDescent="0.25">
      <c r="A2191" s="1">
        <v>1822</v>
      </c>
      <c r="B2191" s="17" t="s">
        <v>10256</v>
      </c>
      <c r="C2191" s="2" t="s">
        <v>10257</v>
      </c>
      <c r="D2191" s="15" t="s">
        <v>10258</v>
      </c>
      <c r="E2191" s="9" t="s">
        <v>2779</v>
      </c>
      <c r="F2191" s="9" t="s">
        <v>2093</v>
      </c>
      <c r="G2191" s="9" t="s">
        <v>137</v>
      </c>
      <c r="H2191" s="2" t="s">
        <v>60</v>
      </c>
      <c r="I2191" s="3">
        <v>36559</v>
      </c>
      <c r="J2191" s="9" t="str">
        <f t="shared" ca="1" si="36"/>
        <v>23 ans</v>
      </c>
      <c r="K2191" s="2" t="s">
        <v>68</v>
      </c>
      <c r="L2191" s="2" t="str">
        <f>"451"</f>
        <v>451</v>
      </c>
      <c r="M2191" s="2"/>
      <c r="N2191" s="2" t="str">
        <f>"RUE DE LA PISCICULTURE"</f>
        <v>RUE DE LA PISCICULTURE</v>
      </c>
      <c r="O2191" s="2" t="s">
        <v>9533</v>
      </c>
      <c r="P2191" s="9" t="str">
        <f>VLOOKUP($O2191,'Liste des Villes'!$B$2:$B$1128,1,FALSE)</f>
        <v>Sainte-Sophie</v>
      </c>
      <c r="Q2191" s="9" t="str">
        <f>IFERROR($P2191,PROPER(VLOOKUP($O2191,'Villes en erreur'!$A$2:$B$72,2,FALSE)))</f>
        <v>Sainte-Sophie</v>
      </c>
      <c r="R2191" s="9" t="s">
        <v>9534</v>
      </c>
      <c r="S2191" s="9" t="str">
        <f>IF(ISBLANK($R2191),"",VLOOKUP($R2191,'Liste des Villes'!$B$2:$H$1128,4,FALSE))</f>
        <v>Laurentides</v>
      </c>
      <c r="T2191" s="2" t="s">
        <v>10259</v>
      </c>
      <c r="U2191" s="2" t="s">
        <v>39</v>
      </c>
      <c r="V2191" s="2" t="s">
        <v>40</v>
      </c>
      <c r="W2191" s="2" t="s">
        <v>10260</v>
      </c>
      <c r="X2191" s="2"/>
      <c r="Y2191" s="2"/>
      <c r="Z2191" s="2"/>
      <c r="AA2191" s="2" t="s">
        <v>515</v>
      </c>
      <c r="AB2191" s="2" t="s">
        <v>73</v>
      </c>
      <c r="AC2191" s="4" t="s">
        <v>44</v>
      </c>
    </row>
    <row r="2192" spans="1:29" x14ac:dyDescent="0.25">
      <c r="A2192" s="1">
        <v>3616</v>
      </c>
      <c r="B2192" s="17" t="s">
        <v>10261</v>
      </c>
      <c r="C2192" s="2" t="s">
        <v>207</v>
      </c>
      <c r="D2192" s="15" t="s">
        <v>208</v>
      </c>
      <c r="E2192" s="9" t="s">
        <v>209</v>
      </c>
      <c r="F2192" s="9" t="s">
        <v>5439</v>
      </c>
      <c r="G2192" s="9" t="s">
        <v>5680</v>
      </c>
      <c r="H2192" s="2" t="s">
        <v>60</v>
      </c>
      <c r="I2192" s="3">
        <v>36581</v>
      </c>
      <c r="J2192" s="9" t="str">
        <f t="shared" ca="1" si="36"/>
        <v>23 ans</v>
      </c>
      <c r="K2192" s="2" t="s">
        <v>68</v>
      </c>
      <c r="L2192" s="2" t="str">
        <f>"476"</f>
        <v>476</v>
      </c>
      <c r="M2192" s="2"/>
      <c r="N2192" s="2" t="str">
        <f>"RUE DE LA SEIGNEURIE"</f>
        <v>RUE DE LA SEIGNEURIE</v>
      </c>
      <c r="O2192" s="2" t="s">
        <v>10262</v>
      </c>
      <c r="P2192" s="9" t="str">
        <f>VLOOKUP($O2192,'Liste des Villes'!$B$2:$B$1128,1,FALSE)</f>
        <v>Sainte-Mélanie</v>
      </c>
      <c r="Q2192" s="9" t="str">
        <f>IFERROR($P2192,PROPER(VLOOKUP($O2192,'Villes en erreur'!$A$2:$B$72,2,FALSE)))</f>
        <v>Sainte-Mélanie</v>
      </c>
      <c r="R2192" s="9" t="s">
        <v>10263</v>
      </c>
      <c r="S2192" s="9" t="str">
        <f>IF(ISBLANK($R2192),"",VLOOKUP($R2192,'Liste des Villes'!$B$2:$H$1128,4,FALSE))</f>
        <v>Lanaudière</v>
      </c>
      <c r="T2192" s="2" t="s">
        <v>10264</v>
      </c>
      <c r="U2192" s="2" t="s">
        <v>39</v>
      </c>
      <c r="V2192" s="2" t="s">
        <v>40</v>
      </c>
      <c r="W2192" s="2" t="s">
        <v>10265</v>
      </c>
      <c r="X2192" s="2"/>
      <c r="Y2192" s="2"/>
      <c r="Z2192" s="2"/>
      <c r="AA2192" s="2" t="s">
        <v>515</v>
      </c>
      <c r="AB2192" s="2" t="s">
        <v>73</v>
      </c>
      <c r="AC2192" s="4" t="s">
        <v>44</v>
      </c>
    </row>
    <row r="2193" spans="1:29" x14ac:dyDescent="0.25">
      <c r="A2193" s="1">
        <v>3405</v>
      </c>
      <c r="B2193" s="17" t="s">
        <v>10266</v>
      </c>
      <c r="C2193" s="2" t="s">
        <v>5158</v>
      </c>
      <c r="D2193" s="15" t="s">
        <v>699</v>
      </c>
      <c r="E2193" s="9" t="s">
        <v>3274</v>
      </c>
      <c r="F2193" s="9" t="s">
        <v>697</v>
      </c>
      <c r="G2193" s="9" t="s">
        <v>271</v>
      </c>
      <c r="H2193" s="2" t="s">
        <v>60</v>
      </c>
      <c r="I2193" s="3">
        <v>36598</v>
      </c>
      <c r="J2193" s="9" t="str">
        <f t="shared" ca="1" si="36"/>
        <v>23 ans</v>
      </c>
      <c r="K2193" s="2" t="s">
        <v>68</v>
      </c>
      <c r="L2193" s="2" t="str">
        <f>"487"</f>
        <v>487</v>
      </c>
      <c r="M2193" s="2"/>
      <c r="N2193" s="2" t="str">
        <f>"RUE DE L'ACAJOU"</f>
        <v>RUE DE L'ACAJOU</v>
      </c>
      <c r="O2193" s="2" t="s">
        <v>10267</v>
      </c>
      <c r="P2193" s="9" t="str">
        <f>VLOOKUP($O2193,'Liste des Villes'!$B$2:$B$1128,1,FALSE)</f>
        <v>Sainte-Marthe-sur-le-Lac</v>
      </c>
      <c r="Q2193" s="9" t="str">
        <f>IFERROR($P2193,PROPER(VLOOKUP($O2193,'Villes en erreur'!$A$2:$B$72,2,FALSE)))</f>
        <v>Sainte-Marthe-sur-le-Lac</v>
      </c>
      <c r="R2193" s="9" t="s">
        <v>10268</v>
      </c>
      <c r="S2193" s="9" t="str">
        <f>IF(ISBLANK($R2193),"",VLOOKUP($R2193,'Liste des Villes'!$B$2:$H$1128,4,FALSE))</f>
        <v>Laurentides</v>
      </c>
      <c r="T2193" s="2" t="s">
        <v>10269</v>
      </c>
      <c r="U2193" s="2" t="s">
        <v>39</v>
      </c>
      <c r="V2193" s="2" t="s">
        <v>40</v>
      </c>
      <c r="W2193" s="2" t="s">
        <v>10270</v>
      </c>
      <c r="X2193" s="2"/>
      <c r="Y2193" s="2"/>
      <c r="Z2193" s="2"/>
      <c r="AA2193" s="2" t="s">
        <v>72</v>
      </c>
      <c r="AB2193" s="2" t="s">
        <v>73</v>
      </c>
      <c r="AC2193" s="4" t="s">
        <v>44</v>
      </c>
    </row>
    <row r="2194" spans="1:29" x14ac:dyDescent="0.25">
      <c r="A2194" s="1">
        <v>1849</v>
      </c>
      <c r="B2194" s="17" t="s">
        <v>10271</v>
      </c>
      <c r="C2194" s="2" t="s">
        <v>10272</v>
      </c>
      <c r="D2194" s="15" t="s">
        <v>6538</v>
      </c>
      <c r="E2194" s="9" t="s">
        <v>989</v>
      </c>
      <c r="F2194" s="9" t="s">
        <v>818</v>
      </c>
      <c r="G2194" s="9" t="s">
        <v>271</v>
      </c>
      <c r="H2194" s="2" t="s">
        <v>60</v>
      </c>
      <c r="I2194" s="3">
        <v>36602</v>
      </c>
      <c r="J2194" s="9" t="str">
        <f t="shared" ca="1" si="36"/>
        <v>23 ans</v>
      </c>
      <c r="K2194" s="2" t="s">
        <v>68</v>
      </c>
      <c r="L2194" s="2" t="str">
        <f>"491"</f>
        <v>491</v>
      </c>
      <c r="M2194" s="2"/>
      <c r="N2194" s="2" t="str">
        <f>"RUE DE L'ADRET"</f>
        <v>RUE DE L'ADRET</v>
      </c>
      <c r="O2194" s="2" t="s">
        <v>10267</v>
      </c>
      <c r="P2194" s="9" t="str">
        <f>VLOOKUP($O2194,'Liste des Villes'!$B$2:$B$1128,1,FALSE)</f>
        <v>Sainte-Marthe-sur-le-Lac</v>
      </c>
      <c r="Q2194" s="9" t="str">
        <f>IFERROR($P2194,PROPER(VLOOKUP($O2194,'Villes en erreur'!$A$2:$B$72,2,FALSE)))</f>
        <v>Sainte-Marthe-sur-le-Lac</v>
      </c>
      <c r="R2194" s="9" t="s">
        <v>10268</v>
      </c>
      <c r="S2194" s="9" t="str">
        <f>IF(ISBLANK($R2194),"",VLOOKUP($R2194,'Liste des Villes'!$B$2:$H$1128,4,FALSE))</f>
        <v>Laurentides</v>
      </c>
      <c r="T2194" s="2" t="s">
        <v>10273</v>
      </c>
      <c r="U2194" s="2" t="s">
        <v>39</v>
      </c>
      <c r="V2194" s="2" t="s">
        <v>40</v>
      </c>
      <c r="W2194" s="2" t="s">
        <v>10274</v>
      </c>
      <c r="X2194" s="2"/>
      <c r="Y2194" s="2"/>
      <c r="Z2194" s="2"/>
      <c r="AA2194" s="2" t="s">
        <v>72</v>
      </c>
      <c r="AB2194" s="2" t="s">
        <v>73</v>
      </c>
      <c r="AC2194" s="4" t="s">
        <v>44</v>
      </c>
    </row>
    <row r="2195" spans="1:29" x14ac:dyDescent="0.25">
      <c r="A2195" s="1">
        <v>2511</v>
      </c>
      <c r="B2195" s="17" t="s">
        <v>10275</v>
      </c>
      <c r="C2195" s="2" t="s">
        <v>9722</v>
      </c>
      <c r="D2195" s="15" t="s">
        <v>1466</v>
      </c>
      <c r="E2195" s="9" t="s">
        <v>751</v>
      </c>
      <c r="F2195" s="9" t="s">
        <v>788</v>
      </c>
      <c r="G2195" s="9" t="s">
        <v>7254</v>
      </c>
      <c r="H2195" s="2" t="s">
        <v>60</v>
      </c>
      <c r="I2195" s="3">
        <v>36594</v>
      </c>
      <c r="J2195" s="9" t="str">
        <f t="shared" ca="1" si="36"/>
        <v>23 ans</v>
      </c>
      <c r="K2195" s="2" t="s">
        <v>68</v>
      </c>
      <c r="L2195" s="2" t="str">
        <f>"484"</f>
        <v>484</v>
      </c>
      <c r="M2195" s="2"/>
      <c r="N2195" s="2" t="str">
        <f>"RUE DE LA TOURMALINE"</f>
        <v>RUE DE LA TOURMALINE</v>
      </c>
      <c r="O2195" s="2" t="s">
        <v>10267</v>
      </c>
      <c r="P2195" s="9" t="str">
        <f>VLOOKUP($O2195,'Liste des Villes'!$B$2:$B$1128,1,FALSE)</f>
        <v>Sainte-Marthe-sur-le-Lac</v>
      </c>
      <c r="Q2195" s="9" t="str">
        <f>IFERROR($P2195,PROPER(VLOOKUP($O2195,'Villes en erreur'!$A$2:$B$72,2,FALSE)))</f>
        <v>Sainte-Marthe-sur-le-Lac</v>
      </c>
      <c r="R2195" s="9" t="s">
        <v>10268</v>
      </c>
      <c r="S2195" s="9" t="str">
        <f>IF(ISBLANK($R2195),"",VLOOKUP($R2195,'Liste des Villes'!$B$2:$H$1128,4,FALSE))</f>
        <v>Laurentides</v>
      </c>
      <c r="T2195" s="2" t="s">
        <v>10276</v>
      </c>
      <c r="U2195" s="2" t="s">
        <v>39</v>
      </c>
      <c r="V2195" s="2" t="s">
        <v>40</v>
      </c>
      <c r="W2195" s="2" t="s">
        <v>10277</v>
      </c>
      <c r="X2195" s="2"/>
      <c r="Y2195" s="2"/>
      <c r="Z2195" s="2"/>
      <c r="AA2195" s="2" t="s">
        <v>72</v>
      </c>
      <c r="AB2195" s="2" t="s">
        <v>73</v>
      </c>
      <c r="AC2195" s="4" t="s">
        <v>44</v>
      </c>
    </row>
    <row r="2196" spans="1:29" x14ac:dyDescent="0.25">
      <c r="A2196" s="1">
        <v>2739</v>
      </c>
      <c r="B2196" s="17" t="s">
        <v>10278</v>
      </c>
      <c r="C2196" s="2" t="s">
        <v>10279</v>
      </c>
      <c r="D2196" s="15" t="s">
        <v>10280</v>
      </c>
      <c r="E2196" s="9" t="s">
        <v>10281</v>
      </c>
      <c r="F2196" s="9" t="s">
        <v>1145</v>
      </c>
      <c r="G2196" s="9" t="s">
        <v>271</v>
      </c>
      <c r="H2196" s="2" t="s">
        <v>60</v>
      </c>
      <c r="I2196" s="3">
        <v>36597</v>
      </c>
      <c r="J2196" s="9" t="str">
        <f t="shared" ca="1" si="36"/>
        <v>23 ans</v>
      </c>
      <c r="K2196" s="2" t="s">
        <v>68</v>
      </c>
      <c r="L2196" s="2" t="str">
        <f>"487"</f>
        <v>487</v>
      </c>
      <c r="M2196" s="2"/>
      <c r="N2196" s="2" t="str">
        <f>"RUE DE L'ACAJOU"</f>
        <v>RUE DE L'ACAJOU</v>
      </c>
      <c r="O2196" s="2" t="s">
        <v>10267</v>
      </c>
      <c r="P2196" s="9" t="str">
        <f>VLOOKUP($O2196,'Liste des Villes'!$B$2:$B$1128,1,FALSE)</f>
        <v>Sainte-Marthe-sur-le-Lac</v>
      </c>
      <c r="Q2196" s="9" t="str">
        <f>IFERROR($P2196,PROPER(VLOOKUP($O2196,'Villes en erreur'!$A$2:$B$72,2,FALSE)))</f>
        <v>Sainte-Marthe-sur-le-Lac</v>
      </c>
      <c r="R2196" s="9" t="s">
        <v>10268</v>
      </c>
      <c r="S2196" s="9" t="str">
        <f>IF(ISBLANK($R2196),"",VLOOKUP($R2196,'Liste des Villes'!$B$2:$H$1128,4,FALSE))</f>
        <v>Laurentides</v>
      </c>
      <c r="T2196" s="2" t="s">
        <v>10282</v>
      </c>
      <c r="U2196" s="2" t="s">
        <v>39</v>
      </c>
      <c r="V2196" s="2" t="s">
        <v>40</v>
      </c>
      <c r="W2196" s="2" t="s">
        <v>10283</v>
      </c>
      <c r="X2196" s="2"/>
      <c r="Y2196" s="2"/>
      <c r="Z2196" s="2"/>
      <c r="AA2196" s="2" t="s">
        <v>72</v>
      </c>
      <c r="AB2196" s="2" t="s">
        <v>73</v>
      </c>
      <c r="AC2196" s="4" t="s">
        <v>44</v>
      </c>
    </row>
    <row r="2197" spans="1:29" x14ac:dyDescent="0.25">
      <c r="A2197" s="1">
        <v>4288</v>
      </c>
      <c r="B2197" s="17" t="s">
        <v>10284</v>
      </c>
      <c r="C2197" s="2" t="s">
        <v>10285</v>
      </c>
      <c r="D2197" s="15" t="s">
        <v>5553</v>
      </c>
      <c r="E2197" s="9" t="s">
        <v>5612</v>
      </c>
      <c r="F2197" s="9" t="s">
        <v>2898</v>
      </c>
      <c r="G2197" s="9" t="s">
        <v>271</v>
      </c>
      <c r="H2197" s="2" t="s">
        <v>60</v>
      </c>
      <c r="I2197" s="3">
        <v>36602</v>
      </c>
      <c r="J2197" s="9" t="str">
        <f t="shared" ca="1" si="36"/>
        <v>23 ans</v>
      </c>
      <c r="K2197" s="2" t="s">
        <v>68</v>
      </c>
      <c r="L2197" s="2" t="str">
        <f>"491"</f>
        <v>491</v>
      </c>
      <c r="M2197" s="2"/>
      <c r="N2197" s="2" t="str">
        <f>"RUE DE L'AGATE"</f>
        <v>RUE DE L'AGATE</v>
      </c>
      <c r="O2197" s="2" t="s">
        <v>10267</v>
      </c>
      <c r="P2197" s="9" t="str">
        <f>VLOOKUP($O2197,'Liste des Villes'!$B$2:$B$1128,1,FALSE)</f>
        <v>Sainte-Marthe-sur-le-Lac</v>
      </c>
      <c r="Q2197" s="9" t="str">
        <f>IFERROR($P2197,PROPER(VLOOKUP($O2197,'Villes en erreur'!$A$2:$B$72,2,FALSE)))</f>
        <v>Sainte-Marthe-sur-le-Lac</v>
      </c>
      <c r="R2197" s="9" t="s">
        <v>10268</v>
      </c>
      <c r="S2197" s="9" t="str">
        <f>IF(ISBLANK($R2197),"",VLOOKUP($R2197,'Liste des Villes'!$B$2:$H$1128,4,FALSE))</f>
        <v>Laurentides</v>
      </c>
      <c r="T2197" s="2" t="s">
        <v>10286</v>
      </c>
      <c r="U2197" s="2" t="s">
        <v>39</v>
      </c>
      <c r="V2197" s="2" t="s">
        <v>40</v>
      </c>
      <c r="W2197" s="2" t="s">
        <v>10287</v>
      </c>
      <c r="X2197" s="2"/>
      <c r="Y2197" s="2"/>
      <c r="Z2197" s="2"/>
      <c r="AA2197" s="2" t="s">
        <v>72</v>
      </c>
      <c r="AB2197" s="2" t="s">
        <v>73</v>
      </c>
      <c r="AC2197" s="4" t="s">
        <v>44</v>
      </c>
    </row>
    <row r="2198" spans="1:29" x14ac:dyDescent="0.25">
      <c r="A2198" s="1">
        <v>4429</v>
      </c>
      <c r="B2198" s="17" t="s">
        <v>10288</v>
      </c>
      <c r="C2198" s="2" t="s">
        <v>10289</v>
      </c>
      <c r="D2198" s="15" t="s">
        <v>10290</v>
      </c>
      <c r="E2198" s="9" t="s">
        <v>610</v>
      </c>
      <c r="F2198" s="9" t="s">
        <v>611</v>
      </c>
      <c r="G2198" s="9" t="s">
        <v>4503</v>
      </c>
      <c r="H2198" s="2" t="s">
        <v>60</v>
      </c>
      <c r="I2198" s="3">
        <v>36595</v>
      </c>
      <c r="J2198" s="9" t="str">
        <f t="shared" ca="1" si="36"/>
        <v>23 ans</v>
      </c>
      <c r="K2198" s="2" t="s">
        <v>68</v>
      </c>
      <c r="L2198" s="2" t="str">
        <f>"485"</f>
        <v>485</v>
      </c>
      <c r="M2198" s="2"/>
      <c r="N2198" s="2" t="str">
        <f>"RUE DE LA TURQUOISE"</f>
        <v>RUE DE LA TURQUOISE</v>
      </c>
      <c r="O2198" s="2" t="s">
        <v>10267</v>
      </c>
      <c r="P2198" s="9" t="str">
        <f>VLOOKUP($O2198,'Liste des Villes'!$B$2:$B$1128,1,FALSE)</f>
        <v>Sainte-Marthe-sur-le-Lac</v>
      </c>
      <c r="Q2198" s="9" t="str">
        <f>IFERROR($P2198,PROPER(VLOOKUP($O2198,'Villes en erreur'!$A$2:$B$72,2,FALSE)))</f>
        <v>Sainte-Marthe-sur-le-Lac</v>
      </c>
      <c r="R2198" s="9" t="s">
        <v>10268</v>
      </c>
      <c r="S2198" s="9" t="str">
        <f>IF(ISBLANK($R2198),"",VLOOKUP($R2198,'Liste des Villes'!$B$2:$H$1128,4,FALSE))</f>
        <v>Laurentides</v>
      </c>
      <c r="T2198" s="2" t="s">
        <v>10291</v>
      </c>
      <c r="U2198" s="2" t="s">
        <v>39</v>
      </c>
      <c r="V2198" s="2" t="s">
        <v>40</v>
      </c>
      <c r="W2198" s="2" t="s">
        <v>10292</v>
      </c>
      <c r="X2198" s="2"/>
      <c r="Y2198" s="2"/>
      <c r="Z2198" s="2"/>
      <c r="AA2198" s="2" t="s">
        <v>72</v>
      </c>
      <c r="AB2198" s="2" t="s">
        <v>73</v>
      </c>
      <c r="AC2198" s="4" t="s">
        <v>44</v>
      </c>
    </row>
    <row r="2199" spans="1:29" x14ac:dyDescent="0.25">
      <c r="A2199" s="1">
        <v>1484</v>
      </c>
      <c r="B2199" s="17" t="s">
        <v>10293</v>
      </c>
      <c r="C2199" s="2" t="s">
        <v>10294</v>
      </c>
      <c r="D2199" s="15" t="s">
        <v>5457</v>
      </c>
      <c r="E2199" s="9" t="s">
        <v>10295</v>
      </c>
      <c r="F2199" s="9" t="s">
        <v>5456</v>
      </c>
      <c r="G2199" s="9" t="s">
        <v>4503</v>
      </c>
      <c r="H2199" s="2" t="s">
        <v>60</v>
      </c>
      <c r="I2199" s="3">
        <v>36595</v>
      </c>
      <c r="J2199" s="9" t="str">
        <f t="shared" ca="1" si="36"/>
        <v>23 ans</v>
      </c>
      <c r="K2199" s="2" t="s">
        <v>68</v>
      </c>
      <c r="L2199" s="2" t="str">
        <f>"485"</f>
        <v>485</v>
      </c>
      <c r="M2199" s="2"/>
      <c r="N2199" s="2" t="str">
        <f>"RUE DE LA TRAVERSE"</f>
        <v>RUE DE LA TRAVERSE</v>
      </c>
      <c r="O2199" s="2" t="s">
        <v>10267</v>
      </c>
      <c r="P2199" s="9" t="str">
        <f>VLOOKUP($O2199,'Liste des Villes'!$B$2:$B$1128,1,FALSE)</f>
        <v>Sainte-Marthe-sur-le-Lac</v>
      </c>
      <c r="Q2199" s="9" t="str">
        <f>IFERROR($P2199,PROPER(VLOOKUP($O2199,'Villes en erreur'!$A$2:$B$72,2,FALSE)))</f>
        <v>Sainte-Marthe-sur-le-Lac</v>
      </c>
      <c r="R2199" s="9" t="s">
        <v>10268</v>
      </c>
      <c r="S2199" s="9" t="str">
        <f>IF(ISBLANK($R2199),"",VLOOKUP($R2199,'Liste des Villes'!$B$2:$H$1128,4,FALSE))</f>
        <v>Laurentides</v>
      </c>
      <c r="T2199" s="2" t="s">
        <v>10296</v>
      </c>
      <c r="U2199" s="2" t="s">
        <v>39</v>
      </c>
      <c r="V2199" s="2" t="s">
        <v>40</v>
      </c>
      <c r="W2199" s="2" t="s">
        <v>10297</v>
      </c>
      <c r="X2199" s="2"/>
      <c r="Y2199" s="2"/>
      <c r="Z2199" s="2"/>
      <c r="AA2199" s="2" t="s">
        <v>72</v>
      </c>
      <c r="AB2199" s="2" t="s">
        <v>73</v>
      </c>
      <c r="AC2199" s="4" t="s">
        <v>44</v>
      </c>
    </row>
    <row r="2200" spans="1:29" x14ac:dyDescent="0.25">
      <c r="A2200" s="1">
        <v>4270</v>
      </c>
      <c r="B2200" s="17" t="s">
        <v>10298</v>
      </c>
      <c r="C2200" s="2" t="s">
        <v>10299</v>
      </c>
      <c r="D2200" s="15" t="s">
        <v>3212</v>
      </c>
      <c r="E2200" s="9" t="s">
        <v>137</v>
      </c>
      <c r="F2200" s="9" t="s">
        <v>3210</v>
      </c>
      <c r="G2200" s="9" t="s">
        <v>8810</v>
      </c>
      <c r="H2200" s="2" t="s">
        <v>60</v>
      </c>
      <c r="I2200" s="3">
        <v>36583</v>
      </c>
      <c r="J2200" s="9" t="str">
        <f t="shared" ca="1" si="36"/>
        <v>23 ans</v>
      </c>
      <c r="K2200" s="2" t="s">
        <v>68</v>
      </c>
      <c r="L2200" s="2" t="str">
        <f>"478"</f>
        <v>478</v>
      </c>
      <c r="M2200" s="2"/>
      <c r="N2200" s="2" t="str">
        <f>"RUE DE LA SOUVENANCE"</f>
        <v>RUE DE LA SOUVENANCE</v>
      </c>
      <c r="O2200" s="2" t="s">
        <v>10267</v>
      </c>
      <c r="P2200" s="9" t="str">
        <f>VLOOKUP($O2200,'Liste des Villes'!$B$2:$B$1128,1,FALSE)</f>
        <v>Sainte-Marthe-sur-le-Lac</v>
      </c>
      <c r="Q2200" s="9" t="str">
        <f>IFERROR($P2200,PROPER(VLOOKUP($O2200,'Villes en erreur'!$A$2:$B$72,2,FALSE)))</f>
        <v>Sainte-Marthe-sur-le-Lac</v>
      </c>
      <c r="R2200" s="9" t="s">
        <v>10268</v>
      </c>
      <c r="S2200" s="9" t="str">
        <f>IF(ISBLANK($R2200),"",VLOOKUP($R2200,'Liste des Villes'!$B$2:$H$1128,4,FALSE))</f>
        <v>Laurentides</v>
      </c>
      <c r="T2200" s="2" t="s">
        <v>10300</v>
      </c>
      <c r="U2200" s="2" t="s">
        <v>39</v>
      </c>
      <c r="V2200" s="2" t="s">
        <v>40</v>
      </c>
      <c r="W2200" s="2" t="s">
        <v>10301</v>
      </c>
      <c r="X2200" s="2"/>
      <c r="Y2200" s="2"/>
      <c r="Z2200" s="2"/>
      <c r="AA2200" s="2" t="s">
        <v>515</v>
      </c>
      <c r="AB2200" s="2" t="s">
        <v>73</v>
      </c>
      <c r="AC2200" s="4" t="s">
        <v>44</v>
      </c>
    </row>
    <row r="2201" spans="1:29" x14ac:dyDescent="0.25">
      <c r="A2201" s="1">
        <v>4015</v>
      </c>
      <c r="B2201" s="17" t="s">
        <v>10302</v>
      </c>
      <c r="C2201" s="2" t="s">
        <v>10303</v>
      </c>
      <c r="D2201" s="15" t="s">
        <v>8231</v>
      </c>
      <c r="E2201" s="9" t="s">
        <v>3196</v>
      </c>
      <c r="F2201" s="9" t="s">
        <v>8230</v>
      </c>
      <c r="G2201" s="9" t="s">
        <v>271</v>
      </c>
      <c r="H2201" s="2" t="s">
        <v>60</v>
      </c>
      <c r="I2201" s="3">
        <v>36596</v>
      </c>
      <c r="J2201" s="9" t="str">
        <f t="shared" ca="1" si="36"/>
        <v>23 ans</v>
      </c>
      <c r="K2201" s="2" t="s">
        <v>68</v>
      </c>
      <c r="L2201" s="2" t="str">
        <f>"485"</f>
        <v>485</v>
      </c>
      <c r="M2201" s="2"/>
      <c r="N2201" s="2" t="str">
        <f>"RUE DE LA VOLIÈRE"</f>
        <v>RUE DE LA VOLIÈRE</v>
      </c>
      <c r="O2201" s="2" t="s">
        <v>10267</v>
      </c>
      <c r="P2201" s="9" t="str">
        <f>VLOOKUP($O2201,'Liste des Villes'!$B$2:$B$1128,1,FALSE)</f>
        <v>Sainte-Marthe-sur-le-Lac</v>
      </c>
      <c r="Q2201" s="9" t="str">
        <f>IFERROR($P2201,PROPER(VLOOKUP($O2201,'Villes en erreur'!$A$2:$B$72,2,FALSE)))</f>
        <v>Sainte-Marthe-sur-le-Lac</v>
      </c>
      <c r="R2201" s="9" t="s">
        <v>10268</v>
      </c>
      <c r="S2201" s="9" t="str">
        <f>IF(ISBLANK($R2201),"",VLOOKUP($R2201,'Liste des Villes'!$B$2:$H$1128,4,FALSE))</f>
        <v>Laurentides</v>
      </c>
      <c r="T2201" s="2" t="s">
        <v>10304</v>
      </c>
      <c r="U2201" s="2" t="s">
        <v>39</v>
      </c>
      <c r="V2201" s="2" t="s">
        <v>40</v>
      </c>
      <c r="W2201" s="2" t="s">
        <v>10305</v>
      </c>
      <c r="X2201" s="2"/>
      <c r="Y2201" s="2"/>
      <c r="Z2201" s="2"/>
      <c r="AA2201" s="2" t="s">
        <v>72</v>
      </c>
      <c r="AB2201" s="2" t="s">
        <v>73</v>
      </c>
      <c r="AC2201" s="4" t="s">
        <v>44</v>
      </c>
    </row>
    <row r="2202" spans="1:29" x14ac:dyDescent="0.25">
      <c r="A2202" s="1">
        <v>2150</v>
      </c>
      <c r="B2202" s="17" t="s">
        <v>10306</v>
      </c>
      <c r="C2202" s="2" t="s">
        <v>10307</v>
      </c>
      <c r="D2202" s="15" t="s">
        <v>10308</v>
      </c>
      <c r="E2202" s="9" t="s">
        <v>10309</v>
      </c>
      <c r="F2202" s="9" t="s">
        <v>10310</v>
      </c>
      <c r="G2202" s="9" t="s">
        <v>271</v>
      </c>
      <c r="H2202" s="2" t="s">
        <v>60</v>
      </c>
      <c r="I2202" s="3">
        <v>36602</v>
      </c>
      <c r="J2202" s="9" t="str">
        <f t="shared" ca="1" si="36"/>
        <v>23 ans</v>
      </c>
      <c r="K2202" s="2" t="s">
        <v>68</v>
      </c>
      <c r="L2202" s="2" t="str">
        <f>"491"</f>
        <v>491</v>
      </c>
      <c r="M2202" s="2"/>
      <c r="N2202" s="2" t="str">
        <f>"RUE DE L'AIGUE-MARINE"</f>
        <v>RUE DE L'AIGUE-MARINE</v>
      </c>
      <c r="O2202" s="2" t="s">
        <v>10267</v>
      </c>
      <c r="P2202" s="9" t="str">
        <f>VLOOKUP($O2202,'Liste des Villes'!$B$2:$B$1128,1,FALSE)</f>
        <v>Sainte-Marthe-sur-le-Lac</v>
      </c>
      <c r="Q2202" s="9" t="str">
        <f>IFERROR($P2202,PROPER(VLOOKUP($O2202,'Villes en erreur'!$A$2:$B$72,2,FALSE)))</f>
        <v>Sainte-Marthe-sur-le-Lac</v>
      </c>
      <c r="R2202" s="9" t="s">
        <v>10268</v>
      </c>
      <c r="S2202" s="9" t="str">
        <f>IF(ISBLANK($R2202),"",VLOOKUP($R2202,'Liste des Villes'!$B$2:$H$1128,4,FALSE))</f>
        <v>Laurentides</v>
      </c>
      <c r="T2202" s="2" t="s">
        <v>10311</v>
      </c>
      <c r="U2202" s="2" t="s">
        <v>39</v>
      </c>
      <c r="V2202" s="2" t="s">
        <v>40</v>
      </c>
      <c r="W2202" s="2" t="s">
        <v>10312</v>
      </c>
      <c r="X2202" s="2"/>
      <c r="Y2202" s="2"/>
      <c r="Z2202" s="2"/>
      <c r="AA2202" s="2" t="s">
        <v>72</v>
      </c>
      <c r="AB2202" s="2" t="s">
        <v>73</v>
      </c>
      <c r="AC2202" s="4" t="s">
        <v>44</v>
      </c>
    </row>
    <row r="2203" spans="1:29" x14ac:dyDescent="0.25">
      <c r="A2203" s="1">
        <v>796</v>
      </c>
      <c r="B2203" s="17" t="s">
        <v>10313</v>
      </c>
      <c r="C2203" s="2" t="s">
        <v>10314</v>
      </c>
      <c r="D2203" s="15" t="s">
        <v>10315</v>
      </c>
      <c r="E2203" s="9" t="s">
        <v>9748</v>
      </c>
      <c r="F2203" s="9" t="s">
        <v>3080</v>
      </c>
      <c r="G2203" s="9" t="s">
        <v>271</v>
      </c>
      <c r="H2203" s="2" t="s">
        <v>60</v>
      </c>
      <c r="I2203" s="3">
        <v>36602</v>
      </c>
      <c r="J2203" s="9" t="str">
        <f t="shared" ca="1" si="36"/>
        <v>23 ans</v>
      </c>
      <c r="K2203" s="2" t="s">
        <v>68</v>
      </c>
      <c r="L2203" s="2" t="str">
        <f>"491"</f>
        <v>491</v>
      </c>
      <c r="M2203" s="2"/>
      <c r="N2203" s="2" t="str">
        <f>"RUE DE L'AGATE"</f>
        <v>RUE DE L'AGATE</v>
      </c>
      <c r="O2203" s="2" t="s">
        <v>10267</v>
      </c>
      <c r="P2203" s="9" t="str">
        <f>VLOOKUP($O2203,'Liste des Villes'!$B$2:$B$1128,1,FALSE)</f>
        <v>Sainte-Marthe-sur-le-Lac</v>
      </c>
      <c r="Q2203" s="9" t="str">
        <f>IFERROR($P2203,PROPER(VLOOKUP($O2203,'Villes en erreur'!$A$2:$B$72,2,FALSE)))</f>
        <v>Sainte-Marthe-sur-le-Lac</v>
      </c>
      <c r="R2203" s="9" t="s">
        <v>10268</v>
      </c>
      <c r="S2203" s="9" t="str">
        <f>IF(ISBLANK($R2203),"",VLOOKUP($R2203,'Liste des Villes'!$B$2:$H$1128,4,FALSE))</f>
        <v>Laurentides</v>
      </c>
      <c r="T2203" s="2" t="s">
        <v>10316</v>
      </c>
      <c r="U2203" s="2" t="s">
        <v>39</v>
      </c>
      <c r="V2203" s="2" t="s">
        <v>40</v>
      </c>
      <c r="W2203" s="2" t="s">
        <v>10317</v>
      </c>
      <c r="X2203" s="2"/>
      <c r="Y2203" s="2"/>
      <c r="Z2203" s="2"/>
      <c r="AA2203" s="2" t="s">
        <v>72</v>
      </c>
      <c r="AB2203" s="2" t="s">
        <v>73</v>
      </c>
      <c r="AC2203" s="4" t="s">
        <v>44</v>
      </c>
    </row>
    <row r="2204" spans="1:29" x14ac:dyDescent="0.25">
      <c r="A2204" s="1">
        <v>3253</v>
      </c>
      <c r="B2204" s="17" t="s">
        <v>10318</v>
      </c>
      <c r="C2204" s="2" t="s">
        <v>10319</v>
      </c>
      <c r="D2204" s="15" t="s">
        <v>7210</v>
      </c>
      <c r="E2204" s="9" t="s">
        <v>271</v>
      </c>
      <c r="F2204" s="9" t="s">
        <v>272</v>
      </c>
      <c r="G2204" s="9" t="s">
        <v>6156</v>
      </c>
      <c r="H2204" s="2" t="s">
        <v>60</v>
      </c>
      <c r="I2204" s="3">
        <v>36588</v>
      </c>
      <c r="J2204" s="9" t="str">
        <f t="shared" ca="1" si="36"/>
        <v>23 ans</v>
      </c>
      <c r="K2204" s="2" t="s">
        <v>68</v>
      </c>
      <c r="L2204" s="2" t="str">
        <f>"480"</f>
        <v>480</v>
      </c>
      <c r="M2204" s="2"/>
      <c r="N2204" s="2" t="str">
        <f>"RUE DE LA TAUPINÉE"</f>
        <v>RUE DE LA TAUPINÉE</v>
      </c>
      <c r="O2204" s="2" t="s">
        <v>10267</v>
      </c>
      <c r="P2204" s="9" t="str">
        <f>VLOOKUP($O2204,'Liste des Villes'!$B$2:$B$1128,1,FALSE)</f>
        <v>Sainte-Marthe-sur-le-Lac</v>
      </c>
      <c r="Q2204" s="9" t="str">
        <f>IFERROR($P2204,PROPER(VLOOKUP($O2204,'Villes en erreur'!$A$2:$B$72,2,FALSE)))</f>
        <v>Sainte-Marthe-sur-le-Lac</v>
      </c>
      <c r="R2204" s="9" t="s">
        <v>10268</v>
      </c>
      <c r="S2204" s="9" t="str">
        <f>IF(ISBLANK($R2204),"",VLOOKUP($R2204,'Liste des Villes'!$B$2:$H$1128,4,FALSE))</f>
        <v>Laurentides</v>
      </c>
      <c r="T2204" s="2" t="s">
        <v>10320</v>
      </c>
      <c r="U2204" s="2" t="s">
        <v>39</v>
      </c>
      <c r="V2204" s="2" t="s">
        <v>40</v>
      </c>
      <c r="W2204" s="2" t="s">
        <v>10321</v>
      </c>
      <c r="X2204" s="2"/>
      <c r="Y2204" s="2"/>
      <c r="Z2204" s="2"/>
      <c r="AA2204" s="2" t="s">
        <v>515</v>
      </c>
      <c r="AB2204" s="2" t="s">
        <v>73</v>
      </c>
      <c r="AC2204" s="4" t="s">
        <v>44</v>
      </c>
    </row>
    <row r="2205" spans="1:29" x14ac:dyDescent="0.25">
      <c r="A2205" s="1">
        <v>2553</v>
      </c>
      <c r="B2205" s="17" t="s">
        <v>10322</v>
      </c>
      <c r="C2205" s="2" t="s">
        <v>2092</v>
      </c>
      <c r="D2205" s="15" t="s">
        <v>2093</v>
      </c>
      <c r="E2205" s="9" t="s">
        <v>172</v>
      </c>
      <c r="F2205" s="9" t="s">
        <v>5370</v>
      </c>
      <c r="G2205" s="9" t="s">
        <v>7692</v>
      </c>
      <c r="H2205" s="2" t="s">
        <v>60</v>
      </c>
      <c r="I2205" s="3">
        <v>36587</v>
      </c>
      <c r="J2205" s="9" t="str">
        <f t="shared" ca="1" si="36"/>
        <v>23 ans</v>
      </c>
      <c r="K2205" s="2" t="s">
        <v>68</v>
      </c>
      <c r="L2205" s="2" t="str">
        <f>"479"</f>
        <v>479</v>
      </c>
      <c r="M2205" s="2"/>
      <c r="N2205" s="2" t="str">
        <f>"RUE DE LA STATION"</f>
        <v>RUE DE LA STATION</v>
      </c>
      <c r="O2205" s="2" t="s">
        <v>10267</v>
      </c>
      <c r="P2205" s="9" t="str">
        <f>VLOOKUP($O2205,'Liste des Villes'!$B$2:$B$1128,1,FALSE)</f>
        <v>Sainte-Marthe-sur-le-Lac</v>
      </c>
      <c r="Q2205" s="9" t="str">
        <f>IFERROR($P2205,PROPER(VLOOKUP($O2205,'Villes en erreur'!$A$2:$B$72,2,FALSE)))</f>
        <v>Sainte-Marthe-sur-le-Lac</v>
      </c>
      <c r="R2205" s="9" t="s">
        <v>10268</v>
      </c>
      <c r="S2205" s="9" t="str">
        <f>IF(ISBLANK($R2205),"",VLOOKUP($R2205,'Liste des Villes'!$B$2:$H$1128,4,FALSE))</f>
        <v>Laurentides</v>
      </c>
      <c r="T2205" s="2" t="s">
        <v>10323</v>
      </c>
      <c r="U2205" s="2" t="s">
        <v>39</v>
      </c>
      <c r="V2205" s="2" t="s">
        <v>40</v>
      </c>
      <c r="W2205" s="2" t="s">
        <v>10324</v>
      </c>
      <c r="X2205" s="2"/>
      <c r="Y2205" s="2"/>
      <c r="Z2205" s="2"/>
      <c r="AA2205" s="2" t="s">
        <v>515</v>
      </c>
      <c r="AB2205" s="2" t="s">
        <v>73</v>
      </c>
      <c r="AC2205" s="4" t="s">
        <v>44</v>
      </c>
    </row>
    <row r="2206" spans="1:29" x14ac:dyDescent="0.25">
      <c r="A2206" s="1">
        <v>2025</v>
      </c>
      <c r="B2206" s="17" t="s">
        <v>10325</v>
      </c>
      <c r="C2206" s="2" t="s">
        <v>10326</v>
      </c>
      <c r="D2206" s="15" t="s">
        <v>10327</v>
      </c>
      <c r="E2206" s="9" t="s">
        <v>343</v>
      </c>
      <c r="F2206" s="9" t="s">
        <v>8413</v>
      </c>
      <c r="G2206" s="9" t="s">
        <v>7602</v>
      </c>
      <c r="H2206" s="2" t="s">
        <v>60</v>
      </c>
      <c r="I2206" s="3">
        <v>36594</v>
      </c>
      <c r="J2206" s="9" t="str">
        <f t="shared" ca="1" si="36"/>
        <v>23 ans</v>
      </c>
      <c r="K2206" s="2" t="s">
        <v>68</v>
      </c>
      <c r="L2206" s="2" t="str">
        <f>"484"</f>
        <v>484</v>
      </c>
      <c r="M2206" s="2"/>
      <c r="N2206" s="2" t="str">
        <f>"RUE DE LA TOURMENTE"</f>
        <v>RUE DE LA TOURMENTE</v>
      </c>
      <c r="O2206" s="2" t="s">
        <v>10267</v>
      </c>
      <c r="P2206" s="9" t="str">
        <f>VLOOKUP($O2206,'Liste des Villes'!$B$2:$B$1128,1,FALSE)</f>
        <v>Sainte-Marthe-sur-le-Lac</v>
      </c>
      <c r="Q2206" s="9" t="str">
        <f>IFERROR($P2206,PROPER(VLOOKUP($O2206,'Villes en erreur'!$A$2:$B$72,2,FALSE)))</f>
        <v>Sainte-Marthe-sur-le-Lac</v>
      </c>
      <c r="R2206" s="9" t="s">
        <v>10268</v>
      </c>
      <c r="S2206" s="9" t="str">
        <f>IF(ISBLANK($R2206),"",VLOOKUP($R2206,'Liste des Villes'!$B$2:$H$1128,4,FALSE))</f>
        <v>Laurentides</v>
      </c>
      <c r="T2206" s="2" t="s">
        <v>10328</v>
      </c>
      <c r="U2206" s="2" t="s">
        <v>39</v>
      </c>
      <c r="V2206" s="2" t="s">
        <v>40</v>
      </c>
      <c r="W2206" s="2" t="s">
        <v>10329</v>
      </c>
      <c r="X2206" s="2"/>
      <c r="Y2206" s="2"/>
      <c r="Z2206" s="2"/>
      <c r="AA2206" s="2" t="s">
        <v>72</v>
      </c>
      <c r="AB2206" s="2" t="s">
        <v>73</v>
      </c>
      <c r="AC2206" s="4" t="s">
        <v>44</v>
      </c>
    </row>
    <row r="2207" spans="1:29" x14ac:dyDescent="0.25">
      <c r="A2207" s="1">
        <v>812</v>
      </c>
      <c r="B2207" s="17" t="s">
        <v>10330</v>
      </c>
      <c r="C2207" s="2" t="s">
        <v>2840</v>
      </c>
      <c r="D2207" s="15" t="s">
        <v>2841</v>
      </c>
      <c r="E2207" s="9" t="s">
        <v>2842</v>
      </c>
      <c r="F2207" s="9" t="s">
        <v>7085</v>
      </c>
      <c r="G2207" s="9" t="s">
        <v>8487</v>
      </c>
      <c r="H2207" s="2" t="s">
        <v>60</v>
      </c>
      <c r="I2207" s="3">
        <v>36595</v>
      </c>
      <c r="J2207" s="9" t="str">
        <f t="shared" ca="1" si="36"/>
        <v>23 ans</v>
      </c>
      <c r="K2207" s="2" t="s">
        <v>68</v>
      </c>
      <c r="L2207" s="2" t="str">
        <f>"485"</f>
        <v>485</v>
      </c>
      <c r="M2207" s="2"/>
      <c r="N2207" s="2" t="str">
        <f>"RUE DE LA TOURMENTE"</f>
        <v>RUE DE LA TOURMENTE</v>
      </c>
      <c r="O2207" s="2" t="s">
        <v>10267</v>
      </c>
      <c r="P2207" s="9" t="str">
        <f>VLOOKUP($O2207,'Liste des Villes'!$B$2:$B$1128,1,FALSE)</f>
        <v>Sainte-Marthe-sur-le-Lac</v>
      </c>
      <c r="Q2207" s="9" t="str">
        <f>IFERROR($P2207,PROPER(VLOOKUP($O2207,'Villes en erreur'!$A$2:$B$72,2,FALSE)))</f>
        <v>Sainte-Marthe-sur-le-Lac</v>
      </c>
      <c r="R2207" s="9" t="s">
        <v>10268</v>
      </c>
      <c r="S2207" s="9" t="str">
        <f>IF(ISBLANK($R2207),"",VLOOKUP($R2207,'Liste des Villes'!$B$2:$H$1128,4,FALSE))</f>
        <v>Laurentides</v>
      </c>
      <c r="T2207" s="2" t="s">
        <v>10331</v>
      </c>
      <c r="U2207" s="2" t="s">
        <v>39</v>
      </c>
      <c r="V2207" s="2" t="s">
        <v>40</v>
      </c>
      <c r="W2207" s="2" t="s">
        <v>10332</v>
      </c>
      <c r="X2207" s="2"/>
      <c r="Y2207" s="2"/>
      <c r="Z2207" s="2"/>
      <c r="AA2207" s="2" t="s">
        <v>72</v>
      </c>
      <c r="AB2207" s="2" t="s">
        <v>73</v>
      </c>
      <c r="AC2207" s="4" t="s">
        <v>44</v>
      </c>
    </row>
    <row r="2208" spans="1:29" x14ac:dyDescent="0.25">
      <c r="A2208" s="1">
        <v>2815</v>
      </c>
      <c r="B2208" s="17" t="s">
        <v>10333</v>
      </c>
      <c r="C2208" s="2" t="s">
        <v>981</v>
      </c>
      <c r="D2208" s="15" t="s">
        <v>982</v>
      </c>
      <c r="E2208" s="9" t="s">
        <v>983</v>
      </c>
      <c r="F2208" s="9" t="s">
        <v>7241</v>
      </c>
      <c r="G2208" s="9" t="s">
        <v>4073</v>
      </c>
      <c r="H2208" s="2" t="s">
        <v>60</v>
      </c>
      <c r="I2208" s="3">
        <v>36592</v>
      </c>
      <c r="J2208" s="9" t="str">
        <f t="shared" ca="1" si="36"/>
        <v>23 ans</v>
      </c>
      <c r="K2208" s="2" t="s">
        <v>68</v>
      </c>
      <c r="L2208" s="2" t="str">
        <f>"483"</f>
        <v>483</v>
      </c>
      <c r="M2208" s="2"/>
      <c r="N2208" s="2" t="str">
        <f>"RUE DE LA TOPAZE"</f>
        <v>RUE DE LA TOPAZE</v>
      </c>
      <c r="O2208" s="2" t="s">
        <v>10267</v>
      </c>
      <c r="P2208" s="9" t="str">
        <f>VLOOKUP($O2208,'Liste des Villes'!$B$2:$B$1128,1,FALSE)</f>
        <v>Sainte-Marthe-sur-le-Lac</v>
      </c>
      <c r="Q2208" s="9" t="str">
        <f>IFERROR($P2208,PROPER(VLOOKUP($O2208,'Villes en erreur'!$A$2:$B$72,2,FALSE)))</f>
        <v>Sainte-Marthe-sur-le-Lac</v>
      </c>
      <c r="R2208" s="9" t="s">
        <v>10268</v>
      </c>
      <c r="S2208" s="9" t="str">
        <f>IF(ISBLANK($R2208),"",VLOOKUP($R2208,'Liste des Villes'!$B$2:$H$1128,4,FALSE))</f>
        <v>Laurentides</v>
      </c>
      <c r="T2208" s="2" t="s">
        <v>10334</v>
      </c>
      <c r="U2208" s="2" t="s">
        <v>39</v>
      </c>
      <c r="V2208" s="2" t="s">
        <v>40</v>
      </c>
      <c r="W2208" s="2" t="s">
        <v>10335</v>
      </c>
      <c r="X2208" s="2"/>
      <c r="Y2208" s="2"/>
      <c r="Z2208" s="2"/>
      <c r="AA2208" s="2" t="s">
        <v>515</v>
      </c>
      <c r="AB2208" s="2" t="s">
        <v>73</v>
      </c>
      <c r="AC2208" s="4" t="s">
        <v>44</v>
      </c>
    </row>
    <row r="2209" spans="1:29" x14ac:dyDescent="0.25">
      <c r="A2209" s="1">
        <v>2039</v>
      </c>
      <c r="B2209" s="17" t="s">
        <v>10336</v>
      </c>
      <c r="C2209" s="2" t="s">
        <v>9541</v>
      </c>
      <c r="D2209" s="15" t="s">
        <v>2910</v>
      </c>
      <c r="E2209" s="9" t="s">
        <v>929</v>
      </c>
      <c r="F2209" s="9" t="s">
        <v>3754</v>
      </c>
      <c r="G2209" s="9" t="s">
        <v>1323</v>
      </c>
      <c r="H2209" s="2" t="s">
        <v>60</v>
      </c>
      <c r="I2209" s="3">
        <v>36593</v>
      </c>
      <c r="J2209" s="9" t="str">
        <f t="shared" ca="1" si="36"/>
        <v>23 ans</v>
      </c>
      <c r="K2209" s="2" t="s">
        <v>68</v>
      </c>
      <c r="L2209" s="2" t="str">
        <f>"484"</f>
        <v>484</v>
      </c>
      <c r="M2209" s="2"/>
      <c r="N2209" s="2" t="str">
        <f>"RUE DE LA TOPAZE"</f>
        <v>RUE DE LA TOPAZE</v>
      </c>
      <c r="O2209" s="2" t="s">
        <v>10267</v>
      </c>
      <c r="P2209" s="9" t="str">
        <f>VLOOKUP($O2209,'Liste des Villes'!$B$2:$B$1128,1,FALSE)</f>
        <v>Sainte-Marthe-sur-le-Lac</v>
      </c>
      <c r="Q2209" s="9" t="str">
        <f>IFERROR($P2209,PROPER(VLOOKUP($O2209,'Villes en erreur'!$A$2:$B$72,2,FALSE)))</f>
        <v>Sainte-Marthe-sur-le-Lac</v>
      </c>
      <c r="R2209" s="9" t="s">
        <v>10268</v>
      </c>
      <c r="S2209" s="9" t="str">
        <f>IF(ISBLANK($R2209),"",VLOOKUP($R2209,'Liste des Villes'!$B$2:$H$1128,4,FALSE))</f>
        <v>Laurentides</v>
      </c>
      <c r="T2209" s="2" t="s">
        <v>10337</v>
      </c>
      <c r="U2209" s="2" t="s">
        <v>39</v>
      </c>
      <c r="V2209" s="2" t="s">
        <v>40</v>
      </c>
      <c r="W2209" s="2" t="s">
        <v>10338</v>
      </c>
      <c r="X2209" s="2"/>
      <c r="Y2209" s="2"/>
      <c r="Z2209" s="2"/>
      <c r="AA2209" s="2" t="s">
        <v>72</v>
      </c>
      <c r="AB2209" s="2" t="s">
        <v>73</v>
      </c>
      <c r="AC2209" s="4" t="s">
        <v>44</v>
      </c>
    </row>
    <row r="2210" spans="1:29" x14ac:dyDescent="0.25">
      <c r="A2210" s="1">
        <v>1105</v>
      </c>
      <c r="B2210" s="17" t="s">
        <v>10339</v>
      </c>
      <c r="C2210" s="2" t="s">
        <v>9324</v>
      </c>
      <c r="D2210" s="15" t="s">
        <v>2706</v>
      </c>
      <c r="E2210" s="9" t="s">
        <v>3218</v>
      </c>
      <c r="F2210" s="9" t="s">
        <v>2705</v>
      </c>
      <c r="G2210" s="9" t="s">
        <v>1801</v>
      </c>
      <c r="H2210" s="2" t="s">
        <v>60</v>
      </c>
      <c r="I2210" s="3">
        <v>36581</v>
      </c>
      <c r="J2210" s="9" t="str">
        <f t="shared" ca="1" si="36"/>
        <v>23 ans</v>
      </c>
      <c r="K2210" s="2" t="s">
        <v>68</v>
      </c>
      <c r="L2210" s="2" t="str">
        <f>"476"</f>
        <v>476</v>
      </c>
      <c r="M2210" s="2"/>
      <c r="N2210" s="2" t="str">
        <f>"RUE DE LA SENTINELLE"</f>
        <v>RUE DE LA SENTINELLE</v>
      </c>
      <c r="O2210" s="2" t="s">
        <v>10267</v>
      </c>
      <c r="P2210" s="9" t="str">
        <f>VLOOKUP($O2210,'Liste des Villes'!$B$2:$B$1128,1,FALSE)</f>
        <v>Sainte-Marthe-sur-le-Lac</v>
      </c>
      <c r="Q2210" s="9" t="str">
        <f>IFERROR($P2210,PROPER(VLOOKUP($O2210,'Villes en erreur'!$A$2:$B$72,2,FALSE)))</f>
        <v>Sainte-Marthe-sur-le-Lac</v>
      </c>
      <c r="R2210" s="9" t="s">
        <v>10268</v>
      </c>
      <c r="S2210" s="9" t="str">
        <f>IF(ISBLANK($R2210),"",VLOOKUP($R2210,'Liste des Villes'!$B$2:$H$1128,4,FALSE))</f>
        <v>Laurentides</v>
      </c>
      <c r="T2210" s="2" t="s">
        <v>10340</v>
      </c>
      <c r="U2210" s="2" t="s">
        <v>39</v>
      </c>
      <c r="V2210" s="2" t="s">
        <v>40</v>
      </c>
      <c r="W2210" s="2" t="s">
        <v>10341</v>
      </c>
      <c r="X2210" s="2"/>
      <c r="Y2210" s="2"/>
      <c r="Z2210" s="2"/>
      <c r="AA2210" s="2" t="s">
        <v>515</v>
      </c>
      <c r="AB2210" s="2" t="s">
        <v>73</v>
      </c>
      <c r="AC2210" s="4" t="s">
        <v>44</v>
      </c>
    </row>
    <row r="2211" spans="1:29" x14ac:dyDescent="0.25">
      <c r="A2211" s="1">
        <v>2060</v>
      </c>
      <c r="B2211" s="17" t="s">
        <v>10342</v>
      </c>
      <c r="C2211" s="2" t="s">
        <v>10343</v>
      </c>
      <c r="D2211" s="15" t="s">
        <v>10344</v>
      </c>
      <c r="E2211" s="9" t="s">
        <v>6907</v>
      </c>
      <c r="F2211" s="9" t="s">
        <v>3431</v>
      </c>
      <c r="G2211" s="9" t="s">
        <v>7692</v>
      </c>
      <c r="H2211" s="2" t="s">
        <v>60</v>
      </c>
      <c r="I2211" s="3">
        <v>36587</v>
      </c>
      <c r="J2211" s="9" t="str">
        <f t="shared" ca="1" si="36"/>
        <v>23 ans</v>
      </c>
      <c r="K2211" s="2" t="s">
        <v>68</v>
      </c>
      <c r="L2211" s="2" t="str">
        <f>"478"</f>
        <v>478</v>
      </c>
      <c r="M2211" s="2"/>
      <c r="N2211" s="2" t="str">
        <f>"RUE DE LA STATION"</f>
        <v>RUE DE LA STATION</v>
      </c>
      <c r="O2211" s="2" t="s">
        <v>10267</v>
      </c>
      <c r="P2211" s="9" t="str">
        <f>VLOOKUP($O2211,'Liste des Villes'!$B$2:$B$1128,1,FALSE)</f>
        <v>Sainte-Marthe-sur-le-Lac</v>
      </c>
      <c r="Q2211" s="9" t="str">
        <f>IFERROR($P2211,PROPER(VLOOKUP($O2211,'Villes en erreur'!$A$2:$B$72,2,FALSE)))</f>
        <v>Sainte-Marthe-sur-le-Lac</v>
      </c>
      <c r="R2211" s="9" t="s">
        <v>10268</v>
      </c>
      <c r="S2211" s="9" t="str">
        <f>IF(ISBLANK($R2211),"",VLOOKUP($R2211,'Liste des Villes'!$B$2:$H$1128,4,FALSE))</f>
        <v>Laurentides</v>
      </c>
      <c r="T2211" s="2" t="s">
        <v>10345</v>
      </c>
      <c r="U2211" s="2" t="s">
        <v>39</v>
      </c>
      <c r="V2211" s="2" t="s">
        <v>40</v>
      </c>
      <c r="W2211" s="2" t="s">
        <v>10346</v>
      </c>
      <c r="X2211" s="2"/>
      <c r="Y2211" s="2"/>
      <c r="Z2211" s="2"/>
      <c r="AA2211" s="2" t="s">
        <v>515</v>
      </c>
      <c r="AB2211" s="2" t="s">
        <v>73</v>
      </c>
      <c r="AC2211" s="4" t="s">
        <v>44</v>
      </c>
    </row>
    <row r="2212" spans="1:29" x14ac:dyDescent="0.25">
      <c r="A2212" s="1">
        <v>2827</v>
      </c>
      <c r="B2212" s="17" t="s">
        <v>10347</v>
      </c>
      <c r="C2212" s="2" t="s">
        <v>5115</v>
      </c>
      <c r="D2212" s="15" t="s">
        <v>1617</v>
      </c>
      <c r="E2212" s="9" t="s">
        <v>5116</v>
      </c>
      <c r="F2212" s="9" t="s">
        <v>246</v>
      </c>
      <c r="G2212" s="9" t="s">
        <v>1205</v>
      </c>
      <c r="H2212" s="2" t="s">
        <v>60</v>
      </c>
      <c r="I2212" s="3">
        <v>36590</v>
      </c>
      <c r="J2212" s="9" t="str">
        <f t="shared" ca="1" si="36"/>
        <v>23 ans</v>
      </c>
      <c r="K2212" s="2" t="s">
        <v>68</v>
      </c>
      <c r="L2212" s="2" t="str">
        <f>"482"</f>
        <v>482</v>
      </c>
      <c r="M2212" s="2"/>
      <c r="N2212" s="2" t="str">
        <f>"RUE DE LA TOPAZE"</f>
        <v>RUE DE LA TOPAZE</v>
      </c>
      <c r="O2212" s="2" t="s">
        <v>10267</v>
      </c>
      <c r="P2212" s="9" t="str">
        <f>VLOOKUP($O2212,'Liste des Villes'!$B$2:$B$1128,1,FALSE)</f>
        <v>Sainte-Marthe-sur-le-Lac</v>
      </c>
      <c r="Q2212" s="9" t="str">
        <f>IFERROR($P2212,PROPER(VLOOKUP($O2212,'Villes en erreur'!$A$2:$B$72,2,FALSE)))</f>
        <v>Sainte-Marthe-sur-le-Lac</v>
      </c>
      <c r="R2212" s="9" t="s">
        <v>10268</v>
      </c>
      <c r="S2212" s="9" t="str">
        <f>IF(ISBLANK($R2212),"",VLOOKUP($R2212,'Liste des Villes'!$B$2:$H$1128,4,FALSE))</f>
        <v>Laurentides</v>
      </c>
      <c r="T2212" s="2" t="s">
        <v>10348</v>
      </c>
      <c r="U2212" s="2" t="s">
        <v>39</v>
      </c>
      <c r="V2212" s="2" t="s">
        <v>40</v>
      </c>
      <c r="W2212" s="2" t="s">
        <v>10349</v>
      </c>
      <c r="X2212" s="2"/>
      <c r="Y2212" s="2"/>
      <c r="Z2212" s="2"/>
      <c r="AA2212" s="2" t="s">
        <v>515</v>
      </c>
      <c r="AB2212" s="2" t="s">
        <v>73</v>
      </c>
      <c r="AC2212" s="4" t="s">
        <v>44</v>
      </c>
    </row>
    <row r="2213" spans="1:29" x14ac:dyDescent="0.25">
      <c r="A2213" s="1">
        <v>1492</v>
      </c>
      <c r="B2213" s="17" t="s">
        <v>10350</v>
      </c>
      <c r="C2213" s="2" t="s">
        <v>10351</v>
      </c>
      <c r="D2213" s="15" t="s">
        <v>1098</v>
      </c>
      <c r="E2213" s="9" t="s">
        <v>10352</v>
      </c>
      <c r="F2213" s="9" t="s">
        <v>1800</v>
      </c>
      <c r="G2213" s="9" t="s">
        <v>271</v>
      </c>
      <c r="H2213" s="2" t="s">
        <v>60</v>
      </c>
      <c r="I2213" s="3">
        <v>36601</v>
      </c>
      <c r="J2213" s="9" t="str">
        <f t="shared" ca="1" si="36"/>
        <v>23 ans</v>
      </c>
      <c r="K2213" s="2" t="s">
        <v>68</v>
      </c>
      <c r="L2213" s="2" t="str">
        <f>"490"</f>
        <v>490</v>
      </c>
      <c r="M2213" s="2"/>
      <c r="N2213" s="2" t="str">
        <f>"RUE DE L'ADAMAS"</f>
        <v>RUE DE L'ADAMAS</v>
      </c>
      <c r="O2213" s="2" t="s">
        <v>10267</v>
      </c>
      <c r="P2213" s="9" t="str">
        <f>VLOOKUP($O2213,'Liste des Villes'!$B$2:$B$1128,1,FALSE)</f>
        <v>Sainte-Marthe-sur-le-Lac</v>
      </c>
      <c r="Q2213" s="9" t="str">
        <f>IFERROR($P2213,PROPER(VLOOKUP($O2213,'Villes en erreur'!$A$2:$B$72,2,FALSE)))</f>
        <v>Sainte-Marthe-sur-le-Lac</v>
      </c>
      <c r="R2213" s="9" t="s">
        <v>10268</v>
      </c>
      <c r="S2213" s="9" t="str">
        <f>IF(ISBLANK($R2213),"",VLOOKUP($R2213,'Liste des Villes'!$B$2:$H$1128,4,FALSE))</f>
        <v>Laurentides</v>
      </c>
      <c r="T2213" s="2" t="s">
        <v>10353</v>
      </c>
      <c r="U2213" s="2" t="s">
        <v>39</v>
      </c>
      <c r="V2213" s="2" t="s">
        <v>40</v>
      </c>
      <c r="W2213" s="2" t="s">
        <v>10354</v>
      </c>
      <c r="X2213" s="2"/>
      <c r="Y2213" s="2"/>
      <c r="Z2213" s="2"/>
      <c r="AA2213" s="2" t="s">
        <v>72</v>
      </c>
      <c r="AB2213" s="2" t="s">
        <v>73</v>
      </c>
      <c r="AC2213" s="4" t="s">
        <v>44</v>
      </c>
    </row>
    <row r="2214" spans="1:29" x14ac:dyDescent="0.25">
      <c r="A2214" s="1">
        <v>1573</v>
      </c>
      <c r="B2214" s="17" t="s">
        <v>10355</v>
      </c>
      <c r="C2214" s="2" t="s">
        <v>10356</v>
      </c>
      <c r="D2214" s="15" t="s">
        <v>8111</v>
      </c>
      <c r="E2214" s="9" t="s">
        <v>532</v>
      </c>
      <c r="F2214" s="9" t="s">
        <v>8110</v>
      </c>
      <c r="G2214" s="9" t="s">
        <v>271</v>
      </c>
      <c r="H2214" s="2" t="s">
        <v>60</v>
      </c>
      <c r="I2214" s="3">
        <v>36601</v>
      </c>
      <c r="J2214" s="9" t="str">
        <f t="shared" ca="1" si="36"/>
        <v>23 ans</v>
      </c>
      <c r="K2214" s="2" t="s">
        <v>68</v>
      </c>
      <c r="L2214" s="2" t="str">
        <f>"490"</f>
        <v>490</v>
      </c>
      <c r="M2214" s="2"/>
      <c r="N2214" s="2" t="str">
        <f>"RUE DE L'ADRET"</f>
        <v>RUE DE L'ADRET</v>
      </c>
      <c r="O2214" s="2" t="s">
        <v>10267</v>
      </c>
      <c r="P2214" s="9" t="str">
        <f>VLOOKUP($O2214,'Liste des Villes'!$B$2:$B$1128,1,FALSE)</f>
        <v>Sainte-Marthe-sur-le-Lac</v>
      </c>
      <c r="Q2214" s="9" t="str">
        <f>IFERROR($P2214,PROPER(VLOOKUP($O2214,'Villes en erreur'!$A$2:$B$72,2,FALSE)))</f>
        <v>Sainte-Marthe-sur-le-Lac</v>
      </c>
      <c r="R2214" s="9" t="s">
        <v>10268</v>
      </c>
      <c r="S2214" s="9" t="str">
        <f>IF(ISBLANK($R2214),"",VLOOKUP($R2214,'Liste des Villes'!$B$2:$H$1128,4,FALSE))</f>
        <v>Laurentides</v>
      </c>
      <c r="T2214" s="2" t="s">
        <v>10353</v>
      </c>
      <c r="U2214" s="2" t="s">
        <v>39</v>
      </c>
      <c r="V2214" s="2" t="s">
        <v>40</v>
      </c>
      <c r="W2214" s="2" t="s">
        <v>10357</v>
      </c>
      <c r="X2214" s="2"/>
      <c r="Y2214" s="2"/>
      <c r="Z2214" s="2"/>
      <c r="AA2214" s="2" t="s">
        <v>72</v>
      </c>
      <c r="AB2214" s="2" t="s">
        <v>73</v>
      </c>
      <c r="AC2214" s="4" t="s">
        <v>44</v>
      </c>
    </row>
    <row r="2215" spans="1:29" x14ac:dyDescent="0.25">
      <c r="A2215" s="1">
        <v>2593</v>
      </c>
      <c r="B2215" s="17" t="s">
        <v>10358</v>
      </c>
      <c r="C2215" s="2" t="s">
        <v>10359</v>
      </c>
      <c r="D2215" s="15" t="s">
        <v>10360</v>
      </c>
      <c r="E2215" s="9" t="s">
        <v>2822</v>
      </c>
      <c r="F2215" s="9" t="s">
        <v>10361</v>
      </c>
      <c r="G2215" s="9" t="s">
        <v>6970</v>
      </c>
      <c r="H2215" s="2" t="s">
        <v>60</v>
      </c>
      <c r="I2215" s="3">
        <v>36593</v>
      </c>
      <c r="J2215" s="9" t="str">
        <f t="shared" ca="1" si="36"/>
        <v>23 ans</v>
      </c>
      <c r="K2215" s="2" t="s">
        <v>68</v>
      </c>
      <c r="L2215" s="2" t="str">
        <f>"484"</f>
        <v>484</v>
      </c>
      <c r="M2215" s="2"/>
      <c r="N2215" s="2" t="str">
        <f>"RUE DE LA TOURMALINE"</f>
        <v>RUE DE LA TOURMALINE</v>
      </c>
      <c r="O2215" s="2" t="s">
        <v>10267</v>
      </c>
      <c r="P2215" s="9" t="str">
        <f>VLOOKUP($O2215,'Liste des Villes'!$B$2:$B$1128,1,FALSE)</f>
        <v>Sainte-Marthe-sur-le-Lac</v>
      </c>
      <c r="Q2215" s="9" t="str">
        <f>IFERROR($P2215,PROPER(VLOOKUP($O2215,'Villes en erreur'!$A$2:$B$72,2,FALSE)))</f>
        <v>Sainte-Marthe-sur-le-Lac</v>
      </c>
      <c r="R2215" s="9" t="s">
        <v>10268</v>
      </c>
      <c r="S2215" s="9" t="str">
        <f>IF(ISBLANK($R2215),"",VLOOKUP($R2215,'Liste des Villes'!$B$2:$H$1128,4,FALSE))</f>
        <v>Laurentides</v>
      </c>
      <c r="T2215" s="2" t="s">
        <v>10362</v>
      </c>
      <c r="U2215" s="2" t="s">
        <v>39</v>
      </c>
      <c r="V2215" s="2" t="s">
        <v>40</v>
      </c>
      <c r="W2215" s="2" t="s">
        <v>10363</v>
      </c>
      <c r="X2215" s="2"/>
      <c r="Y2215" s="2"/>
      <c r="Z2215" s="2"/>
      <c r="AA2215" s="2" t="s">
        <v>72</v>
      </c>
      <c r="AB2215" s="2" t="s">
        <v>73</v>
      </c>
      <c r="AC2215" s="4" t="s">
        <v>44</v>
      </c>
    </row>
    <row r="2216" spans="1:29" x14ac:dyDescent="0.25">
      <c r="A2216" s="1">
        <v>1961</v>
      </c>
      <c r="B2216" s="17" t="s">
        <v>10364</v>
      </c>
      <c r="C2216" s="2" t="s">
        <v>10365</v>
      </c>
      <c r="D2216" s="15" t="s">
        <v>6571</v>
      </c>
      <c r="E2216" s="9" t="s">
        <v>85</v>
      </c>
      <c r="F2216" s="9" t="s">
        <v>6570</v>
      </c>
      <c r="G2216" s="9" t="s">
        <v>271</v>
      </c>
      <c r="H2216" s="2" t="s">
        <v>60</v>
      </c>
      <c r="I2216" s="3">
        <v>36596</v>
      </c>
      <c r="J2216" s="9" t="str">
        <f t="shared" ca="1" si="36"/>
        <v>23 ans</v>
      </c>
      <c r="K2216" s="2" t="s">
        <v>68</v>
      </c>
      <c r="L2216" s="2" t="str">
        <f>"487"</f>
        <v>487</v>
      </c>
      <c r="M2216" s="2"/>
      <c r="N2216" s="2" t="str">
        <f>"RUE DE L'ACADÉMIE"</f>
        <v>RUE DE L'ACADÉMIE</v>
      </c>
      <c r="O2216" s="2" t="s">
        <v>10267</v>
      </c>
      <c r="P2216" s="9" t="str">
        <f>VLOOKUP($O2216,'Liste des Villes'!$B$2:$B$1128,1,FALSE)</f>
        <v>Sainte-Marthe-sur-le-Lac</v>
      </c>
      <c r="Q2216" s="9" t="str">
        <f>IFERROR($P2216,PROPER(VLOOKUP($O2216,'Villes en erreur'!$A$2:$B$72,2,FALSE)))</f>
        <v>Sainte-Marthe-sur-le-Lac</v>
      </c>
      <c r="R2216" s="9" t="s">
        <v>10268</v>
      </c>
      <c r="S2216" s="9" t="str">
        <f>IF(ISBLANK($R2216),"",VLOOKUP($R2216,'Liste des Villes'!$B$2:$H$1128,4,FALSE))</f>
        <v>Laurentides</v>
      </c>
      <c r="T2216" s="2" t="s">
        <v>10366</v>
      </c>
      <c r="U2216" s="2" t="s">
        <v>39</v>
      </c>
      <c r="V2216" s="2" t="s">
        <v>40</v>
      </c>
      <c r="W2216" s="2" t="s">
        <v>10367</v>
      </c>
      <c r="X2216" s="2"/>
      <c r="Y2216" s="2"/>
      <c r="Z2216" s="2"/>
      <c r="AA2216" s="2" t="s">
        <v>72</v>
      </c>
      <c r="AB2216" s="2" t="s">
        <v>73</v>
      </c>
      <c r="AC2216" s="4" t="s">
        <v>44</v>
      </c>
    </row>
    <row r="2217" spans="1:29" x14ac:dyDescent="0.25">
      <c r="A2217" s="1">
        <v>652</v>
      </c>
      <c r="B2217" s="17" t="s">
        <v>10368</v>
      </c>
      <c r="C2217" s="2" t="s">
        <v>152</v>
      </c>
      <c r="D2217" s="15" t="s">
        <v>153</v>
      </c>
      <c r="E2217" s="9" t="s">
        <v>154</v>
      </c>
      <c r="F2217" s="9" t="s">
        <v>2806</v>
      </c>
      <c r="G2217" s="9" t="s">
        <v>7692</v>
      </c>
      <c r="H2217" s="2" t="s">
        <v>60</v>
      </c>
      <c r="I2217" s="3">
        <v>36587</v>
      </c>
      <c r="J2217" s="9" t="str">
        <f t="shared" ca="1" si="36"/>
        <v>23 ans</v>
      </c>
      <c r="K2217" s="2" t="s">
        <v>68</v>
      </c>
      <c r="L2217" s="2" t="str">
        <f>"479"</f>
        <v>479</v>
      </c>
      <c r="M2217" s="2"/>
      <c r="N2217" s="2" t="str">
        <f>"RUE DE LA STATION"</f>
        <v>RUE DE LA STATION</v>
      </c>
      <c r="O2217" s="2" t="s">
        <v>10267</v>
      </c>
      <c r="P2217" s="9" t="str">
        <f>VLOOKUP($O2217,'Liste des Villes'!$B$2:$B$1128,1,FALSE)</f>
        <v>Sainte-Marthe-sur-le-Lac</v>
      </c>
      <c r="Q2217" s="9" t="str">
        <f>IFERROR($P2217,PROPER(VLOOKUP($O2217,'Villes en erreur'!$A$2:$B$72,2,FALSE)))</f>
        <v>Sainte-Marthe-sur-le-Lac</v>
      </c>
      <c r="R2217" s="9" t="s">
        <v>10268</v>
      </c>
      <c r="S2217" s="9" t="str">
        <f>IF(ISBLANK($R2217),"",VLOOKUP($R2217,'Liste des Villes'!$B$2:$H$1128,4,FALSE))</f>
        <v>Laurentides</v>
      </c>
      <c r="T2217" s="2" t="s">
        <v>10369</v>
      </c>
      <c r="U2217" s="2" t="s">
        <v>39</v>
      </c>
      <c r="V2217" s="2" t="s">
        <v>40</v>
      </c>
      <c r="W2217" s="2" t="s">
        <v>10370</v>
      </c>
      <c r="X2217" s="2"/>
      <c r="Y2217" s="2"/>
      <c r="Z2217" s="2"/>
      <c r="AA2217" s="2" t="s">
        <v>515</v>
      </c>
      <c r="AB2217" s="2" t="s">
        <v>73</v>
      </c>
      <c r="AC2217" s="4" t="s">
        <v>44</v>
      </c>
    </row>
    <row r="2218" spans="1:29" x14ac:dyDescent="0.25">
      <c r="A2218" s="1">
        <v>2775</v>
      </c>
      <c r="B2218" s="17" t="s">
        <v>10371</v>
      </c>
      <c r="C2218" s="2" t="s">
        <v>10372</v>
      </c>
      <c r="D2218" s="15" t="s">
        <v>4717</v>
      </c>
      <c r="E2218" s="9" t="s">
        <v>10373</v>
      </c>
      <c r="F2218" s="9" t="s">
        <v>76</v>
      </c>
      <c r="G2218" s="9" t="s">
        <v>271</v>
      </c>
      <c r="H2218" s="2" t="s">
        <v>60</v>
      </c>
      <c r="I2218" s="3">
        <v>36596</v>
      </c>
      <c r="J2218" s="9" t="str">
        <f t="shared" ca="1" si="36"/>
        <v>23 ans</v>
      </c>
      <c r="K2218" s="2" t="s">
        <v>68</v>
      </c>
      <c r="L2218" s="2" t="str">
        <f>"485"</f>
        <v>485</v>
      </c>
      <c r="M2218" s="2"/>
      <c r="N2218" s="2" t="str">
        <f>"RUE DE LA VOLIÈRE"</f>
        <v>RUE DE LA VOLIÈRE</v>
      </c>
      <c r="O2218" s="2" t="s">
        <v>10267</v>
      </c>
      <c r="P2218" s="9" t="str">
        <f>VLOOKUP($O2218,'Liste des Villes'!$B$2:$B$1128,1,FALSE)</f>
        <v>Sainte-Marthe-sur-le-Lac</v>
      </c>
      <c r="Q2218" s="9" t="str">
        <f>IFERROR($P2218,PROPER(VLOOKUP($O2218,'Villes en erreur'!$A$2:$B$72,2,FALSE)))</f>
        <v>Sainte-Marthe-sur-le-Lac</v>
      </c>
      <c r="R2218" s="9" t="s">
        <v>10268</v>
      </c>
      <c r="S2218" s="9" t="str">
        <f>IF(ISBLANK($R2218),"",VLOOKUP($R2218,'Liste des Villes'!$B$2:$H$1128,4,FALSE))</f>
        <v>Laurentides</v>
      </c>
      <c r="T2218" s="2" t="s">
        <v>10374</v>
      </c>
      <c r="U2218" s="2" t="s">
        <v>39</v>
      </c>
      <c r="V2218" s="2" t="s">
        <v>40</v>
      </c>
      <c r="W2218" s="2" t="s">
        <v>10375</v>
      </c>
      <c r="X2218" s="2"/>
      <c r="Y2218" s="2"/>
      <c r="Z2218" s="2"/>
      <c r="AA2218" s="2" t="s">
        <v>72</v>
      </c>
      <c r="AB2218" s="2" t="s">
        <v>73</v>
      </c>
      <c r="AC2218" s="4" t="s">
        <v>44</v>
      </c>
    </row>
    <row r="2219" spans="1:29" x14ac:dyDescent="0.25">
      <c r="A2219" s="1">
        <v>3834</v>
      </c>
      <c r="B2219" s="17" t="s">
        <v>10376</v>
      </c>
      <c r="C2219" s="2" t="s">
        <v>10377</v>
      </c>
      <c r="D2219" s="15" t="s">
        <v>8928</v>
      </c>
      <c r="E2219" s="9" t="s">
        <v>3731</v>
      </c>
      <c r="F2219" s="9" t="s">
        <v>8927</v>
      </c>
      <c r="G2219" s="9" t="s">
        <v>271</v>
      </c>
      <c r="H2219" s="2" t="s">
        <v>60</v>
      </c>
      <c r="I2219" s="3">
        <v>36596</v>
      </c>
      <c r="J2219" s="9" t="str">
        <f t="shared" ca="1" si="36"/>
        <v>23 ans</v>
      </c>
      <c r="K2219" s="2" t="s">
        <v>68</v>
      </c>
      <c r="L2219" s="2" t="str">
        <f>"486"</f>
        <v>486</v>
      </c>
      <c r="M2219" s="2"/>
      <c r="N2219" s="2" t="str">
        <f>"RUE DE LA VOLIÈRE"</f>
        <v>RUE DE LA VOLIÈRE</v>
      </c>
      <c r="O2219" s="2" t="s">
        <v>10267</v>
      </c>
      <c r="P2219" s="9" t="str">
        <f>VLOOKUP($O2219,'Liste des Villes'!$B$2:$B$1128,1,FALSE)</f>
        <v>Sainte-Marthe-sur-le-Lac</v>
      </c>
      <c r="Q2219" s="9" t="str">
        <f>IFERROR($P2219,PROPER(VLOOKUP($O2219,'Villes en erreur'!$A$2:$B$72,2,FALSE)))</f>
        <v>Sainte-Marthe-sur-le-Lac</v>
      </c>
      <c r="R2219" s="9" t="s">
        <v>10268</v>
      </c>
      <c r="S2219" s="9" t="str">
        <f>IF(ISBLANK($R2219),"",VLOOKUP($R2219,'Liste des Villes'!$B$2:$H$1128,4,FALSE))</f>
        <v>Laurentides</v>
      </c>
      <c r="T2219" s="2" t="s">
        <v>10378</v>
      </c>
      <c r="U2219" s="2" t="s">
        <v>39</v>
      </c>
      <c r="V2219" s="2" t="s">
        <v>40</v>
      </c>
      <c r="W2219" s="2" t="s">
        <v>10379</v>
      </c>
      <c r="X2219" s="2"/>
      <c r="Y2219" s="2"/>
      <c r="Z2219" s="2"/>
      <c r="AA2219" s="2" t="s">
        <v>72</v>
      </c>
      <c r="AB2219" s="2" t="s">
        <v>73</v>
      </c>
      <c r="AC2219" s="4" t="s">
        <v>44</v>
      </c>
    </row>
    <row r="2220" spans="1:29" x14ac:dyDescent="0.25">
      <c r="A2220" s="1">
        <v>1282</v>
      </c>
      <c r="B2220" s="17" t="s">
        <v>10380</v>
      </c>
      <c r="C2220" s="2" t="s">
        <v>1359</v>
      </c>
      <c r="D2220" s="15" t="s">
        <v>1360</v>
      </c>
      <c r="E2220" s="9" t="s">
        <v>1361</v>
      </c>
      <c r="F2220" s="9" t="s">
        <v>1362</v>
      </c>
      <c r="G2220" s="9" t="s">
        <v>271</v>
      </c>
      <c r="H2220" s="2" t="s">
        <v>60</v>
      </c>
      <c r="I2220" s="3">
        <v>36600</v>
      </c>
      <c r="J2220" s="9" t="str">
        <f t="shared" ca="1" si="36"/>
        <v>23 ans</v>
      </c>
      <c r="K2220" s="2" t="s">
        <v>68</v>
      </c>
      <c r="L2220" s="2" t="str">
        <f>"488"</f>
        <v>488</v>
      </c>
      <c r="M2220" s="2"/>
      <c r="N2220" s="2" t="str">
        <f>"RUE DE L'ACAJOU"</f>
        <v>RUE DE L'ACAJOU</v>
      </c>
      <c r="O2220" s="2" t="s">
        <v>10267</v>
      </c>
      <c r="P2220" s="9" t="str">
        <f>VLOOKUP($O2220,'Liste des Villes'!$B$2:$B$1128,1,FALSE)</f>
        <v>Sainte-Marthe-sur-le-Lac</v>
      </c>
      <c r="Q2220" s="9" t="str">
        <f>IFERROR($P2220,PROPER(VLOOKUP($O2220,'Villes en erreur'!$A$2:$B$72,2,FALSE)))</f>
        <v>Sainte-Marthe-sur-le-Lac</v>
      </c>
      <c r="R2220" s="9" t="s">
        <v>10268</v>
      </c>
      <c r="S2220" s="9" t="str">
        <f>IF(ISBLANK($R2220),"",VLOOKUP($R2220,'Liste des Villes'!$B$2:$H$1128,4,FALSE))</f>
        <v>Laurentides</v>
      </c>
      <c r="T2220" s="2" t="s">
        <v>10381</v>
      </c>
      <c r="U2220" s="2" t="s">
        <v>39</v>
      </c>
      <c r="V2220" s="2" t="s">
        <v>40</v>
      </c>
      <c r="W2220" s="2" t="s">
        <v>10382</v>
      </c>
      <c r="X2220" s="2"/>
      <c r="Y2220" s="2"/>
      <c r="Z2220" s="2"/>
      <c r="AA2220" s="2" t="s">
        <v>72</v>
      </c>
      <c r="AB2220" s="2" t="s">
        <v>73</v>
      </c>
      <c r="AC2220" s="4" t="s">
        <v>44</v>
      </c>
    </row>
    <row r="2221" spans="1:29" x14ac:dyDescent="0.25">
      <c r="A2221" s="1">
        <v>1336</v>
      </c>
      <c r="B2221" s="17" t="s">
        <v>10383</v>
      </c>
      <c r="C2221" s="2" t="s">
        <v>10384</v>
      </c>
      <c r="D2221" s="15" t="s">
        <v>6513</v>
      </c>
      <c r="E2221" s="9" t="s">
        <v>3682</v>
      </c>
      <c r="F2221" s="9" t="s">
        <v>1349</v>
      </c>
      <c r="G2221" s="9" t="s">
        <v>4073</v>
      </c>
      <c r="H2221" s="2" t="s">
        <v>60</v>
      </c>
      <c r="I2221" s="3">
        <v>36590</v>
      </c>
      <c r="J2221" s="9" t="str">
        <f t="shared" ca="1" si="36"/>
        <v>23 ans</v>
      </c>
      <c r="K2221" s="2" t="s">
        <v>68</v>
      </c>
      <c r="L2221" s="2" t="str">
        <f>"483"</f>
        <v>483</v>
      </c>
      <c r="M2221" s="2"/>
      <c r="N2221" s="2" t="str">
        <f>"RUE DE LA TOPAZE"</f>
        <v>RUE DE LA TOPAZE</v>
      </c>
      <c r="O2221" s="2" t="s">
        <v>10267</v>
      </c>
      <c r="P2221" s="9" t="str">
        <f>VLOOKUP($O2221,'Liste des Villes'!$B$2:$B$1128,1,FALSE)</f>
        <v>Sainte-Marthe-sur-le-Lac</v>
      </c>
      <c r="Q2221" s="9" t="str">
        <f>IFERROR($P2221,PROPER(VLOOKUP($O2221,'Villes en erreur'!$A$2:$B$72,2,FALSE)))</f>
        <v>Sainte-Marthe-sur-le-Lac</v>
      </c>
      <c r="R2221" s="9" t="s">
        <v>10268</v>
      </c>
      <c r="S2221" s="9" t="str">
        <f>IF(ISBLANK($R2221),"",VLOOKUP($R2221,'Liste des Villes'!$B$2:$H$1128,4,FALSE))</f>
        <v>Laurentides</v>
      </c>
      <c r="T2221" s="2" t="s">
        <v>10385</v>
      </c>
      <c r="U2221" s="2" t="s">
        <v>39</v>
      </c>
      <c r="V2221" s="2" t="s">
        <v>40</v>
      </c>
      <c r="W2221" s="2" t="s">
        <v>10386</v>
      </c>
      <c r="X2221" s="2"/>
      <c r="Y2221" s="2"/>
      <c r="Z2221" s="2"/>
      <c r="AA2221" s="2" t="s">
        <v>515</v>
      </c>
      <c r="AB2221" s="2" t="s">
        <v>73</v>
      </c>
      <c r="AC2221" s="4" t="s">
        <v>44</v>
      </c>
    </row>
    <row r="2222" spans="1:29" x14ac:dyDescent="0.25">
      <c r="A2222" s="1">
        <v>4249</v>
      </c>
      <c r="B2222" s="17" t="s">
        <v>10387</v>
      </c>
      <c r="C2222" s="2" t="s">
        <v>10388</v>
      </c>
      <c r="D2222" s="15" t="s">
        <v>3142</v>
      </c>
      <c r="E2222" s="9" t="s">
        <v>5276</v>
      </c>
      <c r="F2222" s="9" t="s">
        <v>10389</v>
      </c>
      <c r="G2222" s="9" t="s">
        <v>1323</v>
      </c>
      <c r="H2222" s="2" t="s">
        <v>60</v>
      </c>
      <c r="I2222" s="3">
        <v>36593</v>
      </c>
      <c r="J2222" s="9" t="str">
        <f t="shared" ca="1" si="36"/>
        <v>23 ans</v>
      </c>
      <c r="K2222" s="2" t="s">
        <v>68</v>
      </c>
      <c r="L2222" s="2" t="str">
        <f>"484"</f>
        <v>484</v>
      </c>
      <c r="M2222" s="2"/>
      <c r="N2222" s="2" t="str">
        <f>"RUE DE LA TOPAZE"</f>
        <v>RUE DE LA TOPAZE</v>
      </c>
      <c r="O2222" s="2" t="s">
        <v>10267</v>
      </c>
      <c r="P2222" s="9" t="str">
        <f>VLOOKUP($O2222,'Liste des Villes'!$B$2:$B$1128,1,FALSE)</f>
        <v>Sainte-Marthe-sur-le-Lac</v>
      </c>
      <c r="Q2222" s="9" t="str">
        <f>IFERROR($P2222,PROPER(VLOOKUP($O2222,'Villes en erreur'!$A$2:$B$72,2,FALSE)))</f>
        <v>Sainte-Marthe-sur-le-Lac</v>
      </c>
      <c r="R2222" s="9" t="s">
        <v>10268</v>
      </c>
      <c r="S2222" s="9" t="str">
        <f>IF(ISBLANK($R2222),"",VLOOKUP($R2222,'Liste des Villes'!$B$2:$H$1128,4,FALSE))</f>
        <v>Laurentides</v>
      </c>
      <c r="T2222" s="2" t="s">
        <v>10390</v>
      </c>
      <c r="U2222" s="2" t="s">
        <v>39</v>
      </c>
      <c r="V2222" s="2" t="s">
        <v>40</v>
      </c>
      <c r="W2222" s="2" t="s">
        <v>10391</v>
      </c>
      <c r="X2222" s="2"/>
      <c r="Y2222" s="2"/>
      <c r="Z2222" s="2"/>
      <c r="AA2222" s="2" t="s">
        <v>515</v>
      </c>
      <c r="AB2222" s="2" t="s">
        <v>73</v>
      </c>
      <c r="AC2222" s="4" t="s">
        <v>44</v>
      </c>
    </row>
    <row r="2223" spans="1:29" x14ac:dyDescent="0.25">
      <c r="A2223" s="1">
        <v>4435</v>
      </c>
      <c r="B2223" s="17" t="s">
        <v>10392</v>
      </c>
      <c r="C2223" s="2" t="s">
        <v>10393</v>
      </c>
      <c r="D2223" s="15" t="s">
        <v>3026</v>
      </c>
      <c r="E2223" s="9" t="s">
        <v>370</v>
      </c>
      <c r="F2223" s="9" t="s">
        <v>3025</v>
      </c>
      <c r="G2223" s="9" t="s">
        <v>271</v>
      </c>
      <c r="H2223" s="2" t="s">
        <v>60</v>
      </c>
      <c r="I2223" s="3">
        <v>36598</v>
      </c>
      <c r="J2223" s="9" t="str">
        <f t="shared" ca="1" si="36"/>
        <v>23 ans</v>
      </c>
      <c r="K2223" s="2" t="s">
        <v>68</v>
      </c>
      <c r="L2223" s="2" t="str">
        <f>"487"</f>
        <v>487</v>
      </c>
      <c r="M2223" s="2"/>
      <c r="N2223" s="2" t="str">
        <f>"RUE DE L'ACAJOU"</f>
        <v>RUE DE L'ACAJOU</v>
      </c>
      <c r="O2223" s="2" t="s">
        <v>10267</v>
      </c>
      <c r="P2223" s="9" t="str">
        <f>VLOOKUP($O2223,'Liste des Villes'!$B$2:$B$1128,1,FALSE)</f>
        <v>Sainte-Marthe-sur-le-Lac</v>
      </c>
      <c r="Q2223" s="9" t="str">
        <f>IFERROR($P2223,PROPER(VLOOKUP($O2223,'Villes en erreur'!$A$2:$B$72,2,FALSE)))</f>
        <v>Sainte-Marthe-sur-le-Lac</v>
      </c>
      <c r="R2223" s="9" t="s">
        <v>10268</v>
      </c>
      <c r="S2223" s="9" t="str">
        <f>IF(ISBLANK($R2223),"",VLOOKUP($R2223,'Liste des Villes'!$B$2:$H$1128,4,FALSE))</f>
        <v>Laurentides</v>
      </c>
      <c r="T2223" s="2" t="s">
        <v>10394</v>
      </c>
      <c r="U2223" s="2" t="s">
        <v>39</v>
      </c>
      <c r="V2223" s="2" t="s">
        <v>40</v>
      </c>
      <c r="W2223" s="2" t="s">
        <v>10395</v>
      </c>
      <c r="X2223" s="2"/>
      <c r="Y2223" s="2"/>
      <c r="Z2223" s="2"/>
      <c r="AA2223" s="2" t="s">
        <v>72</v>
      </c>
      <c r="AB2223" s="2" t="s">
        <v>73</v>
      </c>
      <c r="AC2223" s="4" t="s">
        <v>44</v>
      </c>
    </row>
    <row r="2224" spans="1:29" x14ac:dyDescent="0.25">
      <c r="A2224" s="1">
        <v>4058</v>
      </c>
      <c r="B2224" s="17" t="s">
        <v>10396</v>
      </c>
      <c r="C2224" s="2" t="s">
        <v>10397</v>
      </c>
      <c r="D2224" s="15" t="s">
        <v>2018</v>
      </c>
      <c r="E2224" s="9" t="s">
        <v>10398</v>
      </c>
      <c r="F2224" s="9" t="s">
        <v>2422</v>
      </c>
      <c r="G2224" s="9" t="s">
        <v>4073</v>
      </c>
      <c r="H2224" s="2" t="s">
        <v>60</v>
      </c>
      <c r="I2224" s="3">
        <v>36591</v>
      </c>
      <c r="J2224" s="9" t="str">
        <f t="shared" ca="1" si="36"/>
        <v>23 ans</v>
      </c>
      <c r="K2224" s="2" t="s">
        <v>68</v>
      </c>
      <c r="L2224" s="2" t="str">
        <f>"483"</f>
        <v>483</v>
      </c>
      <c r="M2224" s="2"/>
      <c r="N2224" s="2" t="str">
        <f>"RUE DE LA TOPAZE"</f>
        <v>RUE DE LA TOPAZE</v>
      </c>
      <c r="O2224" s="2" t="s">
        <v>10267</v>
      </c>
      <c r="P2224" s="9" t="str">
        <f>VLOOKUP($O2224,'Liste des Villes'!$B$2:$B$1128,1,FALSE)</f>
        <v>Sainte-Marthe-sur-le-Lac</v>
      </c>
      <c r="Q2224" s="9" t="str">
        <f>IFERROR($P2224,PROPER(VLOOKUP($O2224,'Villes en erreur'!$A$2:$B$72,2,FALSE)))</f>
        <v>Sainte-Marthe-sur-le-Lac</v>
      </c>
      <c r="R2224" s="9" t="s">
        <v>10268</v>
      </c>
      <c r="S2224" s="9" t="str">
        <f>IF(ISBLANK($R2224),"",VLOOKUP($R2224,'Liste des Villes'!$B$2:$H$1128,4,FALSE))</f>
        <v>Laurentides</v>
      </c>
      <c r="T2224" s="2" t="s">
        <v>10399</v>
      </c>
      <c r="U2224" s="2" t="s">
        <v>39</v>
      </c>
      <c r="V2224" s="2" t="s">
        <v>40</v>
      </c>
      <c r="W2224" s="2" t="s">
        <v>10400</v>
      </c>
      <c r="X2224" s="2"/>
      <c r="Y2224" s="2"/>
      <c r="Z2224" s="2"/>
      <c r="AA2224" s="2" t="s">
        <v>515</v>
      </c>
      <c r="AB2224" s="2" t="s">
        <v>73</v>
      </c>
      <c r="AC2224" s="4" t="s">
        <v>44</v>
      </c>
    </row>
    <row r="2225" spans="1:29" x14ac:dyDescent="0.25">
      <c r="A2225" s="1">
        <v>627</v>
      </c>
      <c r="B2225" s="17" t="s">
        <v>10401</v>
      </c>
      <c r="C2225" s="2" t="s">
        <v>2914</v>
      </c>
      <c r="D2225" s="15" t="s">
        <v>164</v>
      </c>
      <c r="E2225" s="9" t="s">
        <v>602</v>
      </c>
      <c r="F2225" s="9" t="s">
        <v>10402</v>
      </c>
      <c r="G2225" s="9" t="s">
        <v>2468</v>
      </c>
      <c r="H2225" s="2" t="s">
        <v>60</v>
      </c>
      <c r="I2225" s="3">
        <v>36595</v>
      </c>
      <c r="J2225" s="9" t="str">
        <f t="shared" ca="1" si="36"/>
        <v>23 ans</v>
      </c>
      <c r="K2225" s="2" t="s">
        <v>68</v>
      </c>
      <c r="L2225" s="2" t="str">
        <f>"485"</f>
        <v>485</v>
      </c>
      <c r="M2225" s="2"/>
      <c r="N2225" s="2" t="str">
        <f>"RUE DE LA VILLA"</f>
        <v>RUE DE LA VILLA</v>
      </c>
      <c r="O2225" s="2" t="s">
        <v>10267</v>
      </c>
      <c r="P2225" s="9" t="str">
        <f>VLOOKUP($O2225,'Liste des Villes'!$B$2:$B$1128,1,FALSE)</f>
        <v>Sainte-Marthe-sur-le-Lac</v>
      </c>
      <c r="Q2225" s="9" t="str">
        <f>IFERROR($P2225,PROPER(VLOOKUP($O2225,'Villes en erreur'!$A$2:$B$72,2,FALSE)))</f>
        <v>Sainte-Marthe-sur-le-Lac</v>
      </c>
      <c r="R2225" s="9" t="s">
        <v>10268</v>
      </c>
      <c r="S2225" s="9" t="str">
        <f>IF(ISBLANK($R2225),"",VLOOKUP($R2225,'Liste des Villes'!$B$2:$H$1128,4,FALSE))</f>
        <v>Laurentides</v>
      </c>
      <c r="T2225" s="2" t="s">
        <v>10403</v>
      </c>
      <c r="U2225" s="2" t="s">
        <v>39</v>
      </c>
      <c r="V2225" s="2" t="s">
        <v>40</v>
      </c>
      <c r="W2225" s="2" t="s">
        <v>10404</v>
      </c>
      <c r="X2225" s="2"/>
      <c r="Y2225" s="2"/>
      <c r="Z2225" s="2"/>
      <c r="AA2225" s="2" t="s">
        <v>72</v>
      </c>
      <c r="AB2225" s="2" t="s">
        <v>73</v>
      </c>
      <c r="AC2225" s="4" t="s">
        <v>44</v>
      </c>
    </row>
    <row r="2226" spans="1:29" x14ac:dyDescent="0.25">
      <c r="A2226" s="1">
        <v>4263</v>
      </c>
      <c r="B2226" s="17" t="s">
        <v>10405</v>
      </c>
      <c r="C2226" s="2" t="s">
        <v>4624</v>
      </c>
      <c r="D2226" s="15" t="s">
        <v>1070</v>
      </c>
      <c r="E2226" s="9" t="s">
        <v>1236</v>
      </c>
      <c r="F2226" s="9" t="s">
        <v>2698</v>
      </c>
      <c r="G2226" s="9" t="s">
        <v>7692</v>
      </c>
      <c r="H2226" s="2" t="s">
        <v>60</v>
      </c>
      <c r="I2226" s="3">
        <v>36583</v>
      </c>
      <c r="J2226" s="9" t="str">
        <f t="shared" ca="1" si="36"/>
        <v>23 ans</v>
      </c>
      <c r="K2226" s="2" t="s">
        <v>68</v>
      </c>
      <c r="L2226" s="2" t="str">
        <f>"478"</f>
        <v>478</v>
      </c>
      <c r="M2226" s="2"/>
      <c r="N2226" s="2" t="str">
        <f>"RUE DE LA STATION"</f>
        <v>RUE DE LA STATION</v>
      </c>
      <c r="O2226" s="2" t="s">
        <v>10267</v>
      </c>
      <c r="P2226" s="9" t="str">
        <f>VLOOKUP($O2226,'Liste des Villes'!$B$2:$B$1128,1,FALSE)</f>
        <v>Sainte-Marthe-sur-le-Lac</v>
      </c>
      <c r="Q2226" s="9" t="str">
        <f>IFERROR($P2226,PROPER(VLOOKUP($O2226,'Villes en erreur'!$A$2:$B$72,2,FALSE)))</f>
        <v>Sainte-Marthe-sur-le-Lac</v>
      </c>
      <c r="R2226" s="9" t="s">
        <v>10268</v>
      </c>
      <c r="S2226" s="9" t="str">
        <f>IF(ISBLANK($R2226),"",VLOOKUP($R2226,'Liste des Villes'!$B$2:$H$1128,4,FALSE))</f>
        <v>Laurentides</v>
      </c>
      <c r="T2226" s="2" t="s">
        <v>10406</v>
      </c>
      <c r="U2226" s="2" t="s">
        <v>39</v>
      </c>
      <c r="V2226" s="2" t="s">
        <v>40</v>
      </c>
      <c r="W2226" s="2" t="s">
        <v>10407</v>
      </c>
      <c r="X2226" s="2"/>
      <c r="Y2226" s="2"/>
      <c r="Z2226" s="2"/>
      <c r="AA2226" s="2" t="s">
        <v>515</v>
      </c>
      <c r="AB2226" s="2" t="s">
        <v>73</v>
      </c>
      <c r="AC2226" s="4" t="s">
        <v>44</v>
      </c>
    </row>
    <row r="2227" spans="1:29" x14ac:dyDescent="0.25">
      <c r="A2227" s="1">
        <v>1142</v>
      </c>
      <c r="B2227" s="17" t="s">
        <v>10408</v>
      </c>
      <c r="C2227" s="2" t="s">
        <v>9683</v>
      </c>
      <c r="D2227" s="15" t="s">
        <v>3617</v>
      </c>
      <c r="E2227" s="9" t="s">
        <v>3235</v>
      </c>
      <c r="F2227" s="9" t="s">
        <v>363</v>
      </c>
      <c r="G2227" s="9" t="s">
        <v>10409</v>
      </c>
      <c r="H2227" s="2" t="s">
        <v>60</v>
      </c>
      <c r="I2227" s="3">
        <v>36590</v>
      </c>
      <c r="J2227" s="9" t="str">
        <f t="shared" ca="1" si="36"/>
        <v>23 ans</v>
      </c>
      <c r="K2227" s="2" t="s">
        <v>68</v>
      </c>
      <c r="L2227" s="2" t="str">
        <f>"482"</f>
        <v>482</v>
      </c>
      <c r="M2227" s="2"/>
      <c r="N2227" s="2" t="str">
        <f>"RUE DE LA TERRASSE-FRANÇOIS"</f>
        <v>RUE DE LA TERRASSE-FRANÇOIS</v>
      </c>
      <c r="O2227" s="2" t="s">
        <v>10267</v>
      </c>
      <c r="P2227" s="9" t="str">
        <f>VLOOKUP($O2227,'Liste des Villes'!$B$2:$B$1128,1,FALSE)</f>
        <v>Sainte-Marthe-sur-le-Lac</v>
      </c>
      <c r="Q2227" s="9" t="str">
        <f>IFERROR($P2227,PROPER(VLOOKUP($O2227,'Villes en erreur'!$A$2:$B$72,2,FALSE)))</f>
        <v>Sainte-Marthe-sur-le-Lac</v>
      </c>
      <c r="R2227" s="9" t="s">
        <v>10268</v>
      </c>
      <c r="S2227" s="9" t="str">
        <f>IF(ISBLANK($R2227),"",VLOOKUP($R2227,'Liste des Villes'!$B$2:$H$1128,4,FALSE))</f>
        <v>Laurentides</v>
      </c>
      <c r="T2227" s="2" t="s">
        <v>10410</v>
      </c>
      <c r="U2227" s="2" t="s">
        <v>39</v>
      </c>
      <c r="V2227" s="2" t="s">
        <v>40</v>
      </c>
      <c r="W2227" s="2" t="s">
        <v>10411</v>
      </c>
      <c r="X2227" s="2"/>
      <c r="Y2227" s="2"/>
      <c r="Z2227" s="2"/>
      <c r="AA2227" s="2" t="s">
        <v>515</v>
      </c>
      <c r="AB2227" s="2" t="s">
        <v>73</v>
      </c>
      <c r="AC2227" s="4" t="s">
        <v>44</v>
      </c>
    </row>
    <row r="2228" spans="1:29" x14ac:dyDescent="0.25">
      <c r="A2228" s="1">
        <v>762</v>
      </c>
      <c r="B2228" s="17" t="s">
        <v>10412</v>
      </c>
      <c r="C2228" s="2" t="s">
        <v>10413</v>
      </c>
      <c r="D2228" s="15" t="s">
        <v>10414</v>
      </c>
      <c r="E2228" s="9" t="s">
        <v>704</v>
      </c>
      <c r="F2228" s="9" t="s">
        <v>10415</v>
      </c>
      <c r="G2228" s="9" t="s">
        <v>6970</v>
      </c>
      <c r="H2228" s="2" t="s">
        <v>60</v>
      </c>
      <c r="I2228" s="3">
        <v>36593</v>
      </c>
      <c r="J2228" s="9" t="str">
        <f t="shared" ca="1" si="36"/>
        <v>23 ans</v>
      </c>
      <c r="K2228" s="2" t="s">
        <v>68</v>
      </c>
      <c r="L2228" s="2" t="str">
        <f>"484"</f>
        <v>484</v>
      </c>
      <c r="M2228" s="2"/>
      <c r="N2228" s="2" t="str">
        <f>"RUE DE LA TOURMALINE"</f>
        <v>RUE DE LA TOURMALINE</v>
      </c>
      <c r="O2228" s="2" t="s">
        <v>10267</v>
      </c>
      <c r="P2228" s="9" t="str">
        <f>VLOOKUP($O2228,'Liste des Villes'!$B$2:$B$1128,1,FALSE)</f>
        <v>Sainte-Marthe-sur-le-Lac</v>
      </c>
      <c r="Q2228" s="9" t="str">
        <f>IFERROR($P2228,PROPER(VLOOKUP($O2228,'Villes en erreur'!$A$2:$B$72,2,FALSE)))</f>
        <v>Sainte-Marthe-sur-le-Lac</v>
      </c>
      <c r="R2228" s="9" t="s">
        <v>10268</v>
      </c>
      <c r="S2228" s="9" t="str">
        <f>IF(ISBLANK($R2228),"",VLOOKUP($R2228,'Liste des Villes'!$B$2:$H$1128,4,FALSE))</f>
        <v>Laurentides</v>
      </c>
      <c r="T2228" s="2" t="s">
        <v>10416</v>
      </c>
      <c r="U2228" s="2" t="s">
        <v>39</v>
      </c>
      <c r="V2228" s="2" t="s">
        <v>40</v>
      </c>
      <c r="W2228" s="2" t="s">
        <v>10417</v>
      </c>
      <c r="X2228" s="2"/>
      <c r="Y2228" s="2"/>
      <c r="Z2228" s="2"/>
      <c r="AA2228" s="2" t="s">
        <v>72</v>
      </c>
      <c r="AB2228" s="2" t="s">
        <v>73</v>
      </c>
      <c r="AC2228" s="4" t="s">
        <v>44</v>
      </c>
    </row>
    <row r="2229" spans="1:29" x14ac:dyDescent="0.25">
      <c r="A2229" s="1">
        <v>4610</v>
      </c>
      <c r="B2229" s="17" t="s">
        <v>10418</v>
      </c>
      <c r="C2229" s="2" t="s">
        <v>10419</v>
      </c>
      <c r="D2229" s="15" t="s">
        <v>1672</v>
      </c>
      <c r="E2229" s="9" t="s">
        <v>4243</v>
      </c>
      <c r="F2229" s="9" t="s">
        <v>1061</v>
      </c>
      <c r="G2229" s="9" t="s">
        <v>6345</v>
      </c>
      <c r="H2229" s="2" t="s">
        <v>60</v>
      </c>
      <c r="I2229" s="3">
        <v>36581</v>
      </c>
      <c r="J2229" s="9" t="str">
        <f t="shared" ca="1" si="36"/>
        <v>23 ans</v>
      </c>
      <c r="K2229" s="2" t="s">
        <v>68</v>
      </c>
      <c r="L2229" s="2" t="str">
        <f>"478"</f>
        <v>478</v>
      </c>
      <c r="M2229" s="2"/>
      <c r="N2229" s="2" t="str">
        <f>"RUE DE LA SÈVE"</f>
        <v>RUE DE LA SÈVE</v>
      </c>
      <c r="O2229" s="2" t="s">
        <v>10267</v>
      </c>
      <c r="P2229" s="9" t="str">
        <f>VLOOKUP($O2229,'Liste des Villes'!$B$2:$B$1128,1,FALSE)</f>
        <v>Sainte-Marthe-sur-le-Lac</v>
      </c>
      <c r="Q2229" s="9" t="str">
        <f>IFERROR($P2229,PROPER(VLOOKUP($O2229,'Villes en erreur'!$A$2:$B$72,2,FALSE)))</f>
        <v>Sainte-Marthe-sur-le-Lac</v>
      </c>
      <c r="R2229" s="9" t="s">
        <v>10268</v>
      </c>
      <c r="S2229" s="9" t="str">
        <f>IF(ISBLANK($R2229),"",VLOOKUP($R2229,'Liste des Villes'!$B$2:$H$1128,4,FALSE))</f>
        <v>Laurentides</v>
      </c>
      <c r="T2229" s="2" t="s">
        <v>10420</v>
      </c>
      <c r="U2229" s="2" t="s">
        <v>39</v>
      </c>
      <c r="V2229" s="2" t="s">
        <v>40</v>
      </c>
      <c r="W2229" s="2" t="s">
        <v>10421</v>
      </c>
      <c r="X2229" s="2"/>
      <c r="Y2229" s="2"/>
      <c r="Z2229" s="2"/>
      <c r="AA2229" s="2" t="s">
        <v>515</v>
      </c>
      <c r="AB2229" s="2" t="s">
        <v>73</v>
      </c>
      <c r="AC2229" s="4" t="s">
        <v>44</v>
      </c>
    </row>
    <row r="2230" spans="1:29" x14ac:dyDescent="0.25">
      <c r="A2230" s="1">
        <v>1660</v>
      </c>
      <c r="B2230" s="17" t="s">
        <v>10422</v>
      </c>
      <c r="C2230" s="2" t="s">
        <v>10423</v>
      </c>
      <c r="D2230" s="15" t="s">
        <v>7114</v>
      </c>
      <c r="E2230" s="9" t="s">
        <v>2217</v>
      </c>
      <c r="F2230" s="9" t="s">
        <v>7113</v>
      </c>
      <c r="G2230" s="9" t="s">
        <v>2468</v>
      </c>
      <c r="H2230" s="2" t="s">
        <v>60</v>
      </c>
      <c r="I2230" s="3">
        <v>36595</v>
      </c>
      <c r="J2230" s="9" t="str">
        <f t="shared" ca="1" si="36"/>
        <v>23 ans</v>
      </c>
      <c r="K2230" s="2" t="s">
        <v>68</v>
      </c>
      <c r="L2230" s="2" t="str">
        <f>"485"</f>
        <v>485</v>
      </c>
      <c r="M2230" s="2"/>
      <c r="N2230" s="2" t="str">
        <f>"RUE DE LA VICTOIRE"</f>
        <v>RUE DE LA VICTOIRE</v>
      </c>
      <c r="O2230" s="2" t="s">
        <v>10267</v>
      </c>
      <c r="P2230" s="9" t="str">
        <f>VLOOKUP($O2230,'Liste des Villes'!$B$2:$B$1128,1,FALSE)</f>
        <v>Sainte-Marthe-sur-le-Lac</v>
      </c>
      <c r="Q2230" s="9" t="str">
        <f>IFERROR($P2230,PROPER(VLOOKUP($O2230,'Villes en erreur'!$A$2:$B$72,2,FALSE)))</f>
        <v>Sainte-Marthe-sur-le-Lac</v>
      </c>
      <c r="R2230" s="9" t="s">
        <v>10268</v>
      </c>
      <c r="S2230" s="9" t="str">
        <f>IF(ISBLANK($R2230),"",VLOOKUP($R2230,'Liste des Villes'!$B$2:$H$1128,4,FALSE))</f>
        <v>Laurentides</v>
      </c>
      <c r="T2230" s="2" t="s">
        <v>10424</v>
      </c>
      <c r="U2230" s="2" t="s">
        <v>39</v>
      </c>
      <c r="V2230" s="2" t="s">
        <v>40</v>
      </c>
      <c r="W2230" s="2" t="s">
        <v>10425</v>
      </c>
      <c r="X2230" s="2"/>
      <c r="Y2230" s="2"/>
      <c r="Z2230" s="2"/>
      <c r="AA2230" s="2" t="s">
        <v>72</v>
      </c>
      <c r="AB2230" s="2" t="s">
        <v>73</v>
      </c>
      <c r="AC2230" s="4" t="s">
        <v>44</v>
      </c>
    </row>
    <row r="2231" spans="1:29" x14ac:dyDescent="0.25">
      <c r="A2231" s="1">
        <v>3342</v>
      </c>
      <c r="B2231" s="17" t="s">
        <v>10426</v>
      </c>
      <c r="C2231" s="2" t="s">
        <v>10427</v>
      </c>
      <c r="D2231" s="15" t="s">
        <v>9069</v>
      </c>
      <c r="E2231" s="9" t="s">
        <v>1246</v>
      </c>
      <c r="F2231" s="9" t="s">
        <v>2434</v>
      </c>
      <c r="G2231" s="9" t="s">
        <v>271</v>
      </c>
      <c r="H2231" s="2" t="s">
        <v>60</v>
      </c>
      <c r="I2231" s="3">
        <v>36598</v>
      </c>
      <c r="J2231" s="9" t="str">
        <f t="shared" ca="1" si="36"/>
        <v>23 ans</v>
      </c>
      <c r="K2231" s="2" t="s">
        <v>68</v>
      </c>
      <c r="L2231" s="2" t="str">
        <f>"487"</f>
        <v>487</v>
      </c>
      <c r="M2231" s="2"/>
      <c r="N2231" s="2" t="str">
        <f>"RUE DE L'ACAJOU"</f>
        <v>RUE DE L'ACAJOU</v>
      </c>
      <c r="O2231" s="2" t="s">
        <v>10267</v>
      </c>
      <c r="P2231" s="9" t="str">
        <f>VLOOKUP($O2231,'Liste des Villes'!$B$2:$B$1128,1,FALSE)</f>
        <v>Sainte-Marthe-sur-le-Lac</v>
      </c>
      <c r="Q2231" s="9" t="str">
        <f>IFERROR($P2231,PROPER(VLOOKUP($O2231,'Villes en erreur'!$A$2:$B$72,2,FALSE)))</f>
        <v>Sainte-Marthe-sur-le-Lac</v>
      </c>
      <c r="R2231" s="9" t="s">
        <v>10268</v>
      </c>
      <c r="S2231" s="9" t="str">
        <f>IF(ISBLANK($R2231),"",VLOOKUP($R2231,'Liste des Villes'!$B$2:$H$1128,4,FALSE))</f>
        <v>Laurentides</v>
      </c>
      <c r="T2231" s="2" t="s">
        <v>10428</v>
      </c>
      <c r="U2231" s="2" t="s">
        <v>39</v>
      </c>
      <c r="V2231" s="2" t="s">
        <v>40</v>
      </c>
      <c r="W2231" s="2" t="s">
        <v>10429</v>
      </c>
      <c r="X2231" s="2"/>
      <c r="Y2231" s="2"/>
      <c r="Z2231" s="2"/>
      <c r="AA2231" s="2" t="s">
        <v>72</v>
      </c>
      <c r="AB2231" s="2" t="s">
        <v>73</v>
      </c>
      <c r="AC2231" s="4" t="s">
        <v>44</v>
      </c>
    </row>
    <row r="2232" spans="1:29" x14ac:dyDescent="0.25">
      <c r="A2232" s="1">
        <v>798</v>
      </c>
      <c r="B2232" s="17" t="s">
        <v>10430</v>
      </c>
      <c r="C2232" s="2" t="s">
        <v>4516</v>
      </c>
      <c r="D2232" s="15" t="s">
        <v>582</v>
      </c>
      <c r="E2232" s="9" t="s">
        <v>4517</v>
      </c>
      <c r="F2232" s="9" t="s">
        <v>10431</v>
      </c>
      <c r="G2232" s="9" t="s">
        <v>692</v>
      </c>
      <c r="H2232" s="2" t="s">
        <v>60</v>
      </c>
      <c r="I2232" s="3">
        <v>36588</v>
      </c>
      <c r="J2232" s="9" t="str">
        <f t="shared" ca="1" si="36"/>
        <v>23 ans</v>
      </c>
      <c r="K2232" s="2" t="s">
        <v>68</v>
      </c>
      <c r="L2232" s="2" t="str">
        <f>"480"</f>
        <v>480</v>
      </c>
      <c r="M2232" s="2"/>
      <c r="N2232" s="2" t="str">
        <f>"RUE DE LA STATION"</f>
        <v>RUE DE LA STATION</v>
      </c>
      <c r="O2232" s="2" t="s">
        <v>10267</v>
      </c>
      <c r="P2232" s="9" t="str">
        <f>VLOOKUP($O2232,'Liste des Villes'!$B$2:$B$1128,1,FALSE)</f>
        <v>Sainte-Marthe-sur-le-Lac</v>
      </c>
      <c r="Q2232" s="9" t="str">
        <f>IFERROR($P2232,PROPER(VLOOKUP($O2232,'Villes en erreur'!$A$2:$B$72,2,FALSE)))</f>
        <v>Sainte-Marthe-sur-le-Lac</v>
      </c>
      <c r="R2232" s="9" t="s">
        <v>10268</v>
      </c>
      <c r="S2232" s="9" t="str">
        <f>IF(ISBLANK($R2232),"",VLOOKUP($R2232,'Liste des Villes'!$B$2:$H$1128,4,FALSE))</f>
        <v>Laurentides</v>
      </c>
      <c r="T2232" s="2" t="s">
        <v>10320</v>
      </c>
      <c r="U2232" s="2" t="s">
        <v>39</v>
      </c>
      <c r="V2232" s="2" t="s">
        <v>40</v>
      </c>
      <c r="W2232" s="2" t="s">
        <v>10321</v>
      </c>
      <c r="X2232" s="2"/>
      <c r="Y2232" s="2"/>
      <c r="Z2232" s="2"/>
      <c r="AA2232" s="2" t="s">
        <v>515</v>
      </c>
      <c r="AB2232" s="2" t="s">
        <v>73</v>
      </c>
      <c r="AC2232" s="4" t="s">
        <v>44</v>
      </c>
    </row>
    <row r="2233" spans="1:29" x14ac:dyDescent="0.25">
      <c r="A2233" s="1">
        <v>2551</v>
      </c>
      <c r="B2233" s="17" t="s">
        <v>10432</v>
      </c>
      <c r="C2233" s="2" t="s">
        <v>346</v>
      </c>
      <c r="D2233" s="15" t="s">
        <v>347</v>
      </c>
      <c r="E2233" s="9" t="s">
        <v>348</v>
      </c>
      <c r="F2233" s="9" t="s">
        <v>349</v>
      </c>
      <c r="G2233" s="9" t="s">
        <v>10433</v>
      </c>
      <c r="H2233" s="2" t="s">
        <v>35</v>
      </c>
      <c r="I2233" s="3">
        <v>36588</v>
      </c>
      <c r="J2233" s="9" t="str">
        <f t="shared" ca="1" si="36"/>
        <v>23 ans</v>
      </c>
      <c r="K2233" s="2" t="s">
        <v>68</v>
      </c>
      <c r="L2233" s="2" t="str">
        <f>"481"</f>
        <v>481</v>
      </c>
      <c r="M2233" s="2"/>
      <c r="N2233" s="2" t="str">
        <f>"RUE DE LA TERRASSE"</f>
        <v>RUE DE LA TERRASSE</v>
      </c>
      <c r="O2233" s="2" t="s">
        <v>10267</v>
      </c>
      <c r="P2233" s="9" t="str">
        <f>VLOOKUP($O2233,'Liste des Villes'!$B$2:$B$1128,1,FALSE)</f>
        <v>Sainte-Marthe-sur-le-Lac</v>
      </c>
      <c r="Q2233" s="9" t="str">
        <f>IFERROR($P2233,PROPER(VLOOKUP($O2233,'Villes en erreur'!$A$2:$B$72,2,FALSE)))</f>
        <v>Sainte-Marthe-sur-le-Lac</v>
      </c>
      <c r="R2233" s="9" t="s">
        <v>10268</v>
      </c>
      <c r="S2233" s="9" t="str">
        <f>IF(ISBLANK($R2233),"",VLOOKUP($R2233,'Liste des Villes'!$B$2:$H$1128,4,FALSE))</f>
        <v>Laurentides</v>
      </c>
      <c r="T2233" s="2" t="s">
        <v>10434</v>
      </c>
      <c r="U2233" s="2" t="s">
        <v>39</v>
      </c>
      <c r="V2233" s="2" t="s">
        <v>40</v>
      </c>
      <c r="W2233" s="2" t="s">
        <v>10435</v>
      </c>
      <c r="X2233" s="2"/>
      <c r="Y2233" s="2"/>
      <c r="Z2233" s="2"/>
      <c r="AA2233" s="2" t="s">
        <v>515</v>
      </c>
      <c r="AB2233" s="2" t="s">
        <v>73</v>
      </c>
      <c r="AC2233" s="4" t="s">
        <v>44</v>
      </c>
    </row>
    <row r="2234" spans="1:29" x14ac:dyDescent="0.25">
      <c r="A2234" s="1">
        <v>3487</v>
      </c>
      <c r="B2234" s="17" t="s">
        <v>10436</v>
      </c>
      <c r="C2234" s="2" t="s">
        <v>10437</v>
      </c>
      <c r="D2234" s="15" t="s">
        <v>803</v>
      </c>
      <c r="E2234" s="9" t="s">
        <v>10438</v>
      </c>
      <c r="F2234" s="9" t="s">
        <v>802</v>
      </c>
      <c r="G2234" s="9" t="s">
        <v>271</v>
      </c>
      <c r="H2234" s="2" t="s">
        <v>60</v>
      </c>
      <c r="I2234" s="3">
        <v>36602</v>
      </c>
      <c r="J2234" s="9" t="str">
        <f t="shared" ca="1" si="36"/>
        <v>23 ans</v>
      </c>
      <c r="K2234" s="2" t="s">
        <v>68</v>
      </c>
      <c r="L2234" s="2" t="str">
        <f>"491"</f>
        <v>491</v>
      </c>
      <c r="M2234" s="2"/>
      <c r="N2234" s="2" t="str">
        <f>"RUE DE L'AIGUE-MARINE"</f>
        <v>RUE DE L'AIGUE-MARINE</v>
      </c>
      <c r="O2234" s="2" t="s">
        <v>10439</v>
      </c>
      <c r="P2234" s="9" t="str">
        <f>VLOOKUP($O2234,'Liste des Villes'!$B$2:$B$1128,1,FALSE)</f>
        <v>Sainte-Marthe</v>
      </c>
      <c r="Q2234" s="9" t="str">
        <f>IFERROR($P2234,PROPER(VLOOKUP($O2234,'Villes en erreur'!$A$2:$B$72,2,FALSE)))</f>
        <v>Sainte-Marthe</v>
      </c>
      <c r="R2234" s="9" t="s">
        <v>10440</v>
      </c>
      <c r="S2234" s="9" t="str">
        <f>IF(ISBLANK($R2234),"",VLOOKUP($R2234,'Liste des Villes'!$B$2:$H$1128,4,FALSE))</f>
        <v>Montérégie</v>
      </c>
      <c r="T2234" s="2" t="s">
        <v>10441</v>
      </c>
      <c r="U2234" s="2" t="s">
        <v>39</v>
      </c>
      <c r="V2234" s="2" t="s">
        <v>40</v>
      </c>
      <c r="W2234" s="2" t="s">
        <v>10442</v>
      </c>
      <c r="X2234" s="2"/>
      <c r="Y2234" s="2"/>
      <c r="Z2234" s="2"/>
      <c r="AA2234" s="2" t="s">
        <v>72</v>
      </c>
      <c r="AB2234" s="2" t="s">
        <v>73</v>
      </c>
      <c r="AC2234" s="4" t="s">
        <v>44</v>
      </c>
    </row>
    <row r="2235" spans="1:29" x14ac:dyDescent="0.25">
      <c r="A2235" s="1">
        <v>735</v>
      </c>
      <c r="B2235" s="17" t="s">
        <v>10443</v>
      </c>
      <c r="C2235" s="2" t="s">
        <v>8250</v>
      </c>
      <c r="D2235" s="15" t="s">
        <v>3122</v>
      </c>
      <c r="E2235" s="9" t="s">
        <v>956</v>
      </c>
      <c r="F2235" s="9" t="s">
        <v>106</v>
      </c>
      <c r="G2235" s="9" t="s">
        <v>10444</v>
      </c>
      <c r="H2235" s="2" t="s">
        <v>60</v>
      </c>
      <c r="I2235" s="3">
        <v>36605</v>
      </c>
      <c r="J2235" s="9" t="str">
        <f t="shared" ca="1" si="36"/>
        <v>23 ans</v>
      </c>
      <c r="K2235" s="2" t="s">
        <v>68</v>
      </c>
      <c r="L2235" s="2" t="str">
        <f>"491"</f>
        <v>491</v>
      </c>
      <c r="M2235" s="2"/>
      <c r="N2235" s="2" t="str">
        <f>"RUE DE L'ALIZÉ"</f>
        <v>RUE DE L'ALIZÉ</v>
      </c>
      <c r="O2235" s="2" t="s">
        <v>10445</v>
      </c>
      <c r="P2235" s="9" t="str">
        <f>VLOOKUP($O2235,'Liste des Villes'!$B$2:$B$1128,1,FALSE)</f>
        <v>Sainte-Marguerite-du-Lac-Masson</v>
      </c>
      <c r="Q2235" s="9" t="str">
        <f>IFERROR($P2235,PROPER(VLOOKUP($O2235,'Villes en erreur'!$A$2:$B$72,2,FALSE)))</f>
        <v>Sainte-Marguerite-du-Lac-Masson</v>
      </c>
      <c r="R2235" s="9" t="s">
        <v>10446</v>
      </c>
      <c r="S2235" s="9" t="str">
        <f>IF(ISBLANK($R2235),"",VLOOKUP($R2235,'Liste des Villes'!$B$2:$H$1128,4,FALSE))</f>
        <v>Laurentides</v>
      </c>
      <c r="T2235" s="2" t="s">
        <v>10447</v>
      </c>
      <c r="U2235" s="2" t="s">
        <v>39</v>
      </c>
      <c r="V2235" s="2" t="s">
        <v>40</v>
      </c>
      <c r="W2235" s="2" t="s">
        <v>10448</v>
      </c>
      <c r="X2235" s="2"/>
      <c r="Y2235" s="2"/>
      <c r="Z2235" s="2"/>
      <c r="AA2235" s="2" t="s">
        <v>72</v>
      </c>
      <c r="AB2235" s="2" t="s">
        <v>73</v>
      </c>
      <c r="AC2235" s="4" t="s">
        <v>44</v>
      </c>
    </row>
    <row r="2236" spans="1:29" x14ac:dyDescent="0.25">
      <c r="A2236" s="1">
        <v>445</v>
      </c>
      <c r="B2236" s="17" t="s">
        <v>10449</v>
      </c>
      <c r="C2236" s="2" t="s">
        <v>10450</v>
      </c>
      <c r="D2236" s="15" t="s">
        <v>2698</v>
      </c>
      <c r="E2236" s="9" t="s">
        <v>9093</v>
      </c>
      <c r="F2236" s="9" t="s">
        <v>2837</v>
      </c>
      <c r="G2236" s="9" t="s">
        <v>2029</v>
      </c>
      <c r="H2236" s="2" t="s">
        <v>60</v>
      </c>
      <c r="I2236" s="3">
        <v>36606</v>
      </c>
      <c r="J2236" s="9" t="str">
        <f t="shared" ca="1" si="36"/>
        <v>23 ans</v>
      </c>
      <c r="K2236" s="2" t="s">
        <v>68</v>
      </c>
      <c r="L2236" s="2" t="str">
        <f>"492"</f>
        <v>492</v>
      </c>
      <c r="M2236" s="2"/>
      <c r="N2236" s="2" t="str">
        <f>"RUE DE L'ALIZÉ"</f>
        <v>RUE DE L'ALIZÉ</v>
      </c>
      <c r="O2236" s="2" t="s">
        <v>10445</v>
      </c>
      <c r="P2236" s="9" t="str">
        <f>VLOOKUP($O2236,'Liste des Villes'!$B$2:$B$1128,1,FALSE)</f>
        <v>Sainte-Marguerite-du-Lac-Masson</v>
      </c>
      <c r="Q2236" s="9" t="str">
        <f>IFERROR($P2236,PROPER(VLOOKUP($O2236,'Villes en erreur'!$A$2:$B$72,2,FALSE)))</f>
        <v>Sainte-Marguerite-du-Lac-Masson</v>
      </c>
      <c r="R2236" s="9" t="s">
        <v>10446</v>
      </c>
      <c r="S2236" s="9" t="str">
        <f>IF(ISBLANK($R2236),"",VLOOKUP($R2236,'Liste des Villes'!$B$2:$H$1128,4,FALSE))</f>
        <v>Laurentides</v>
      </c>
      <c r="T2236" s="2" t="s">
        <v>10451</v>
      </c>
      <c r="U2236" s="2" t="s">
        <v>39</v>
      </c>
      <c r="V2236" s="2" t="s">
        <v>40</v>
      </c>
      <c r="W2236" s="2" t="s">
        <v>10452</v>
      </c>
      <c r="X2236" s="2"/>
      <c r="Y2236" s="2"/>
      <c r="Z2236" s="2"/>
      <c r="AA2236" s="2" t="s">
        <v>72</v>
      </c>
      <c r="AB2236" s="2" t="s">
        <v>73</v>
      </c>
      <c r="AC2236" s="4" t="s">
        <v>44</v>
      </c>
    </row>
    <row r="2237" spans="1:29" x14ac:dyDescent="0.25">
      <c r="A2237" s="1">
        <v>10</v>
      </c>
      <c r="B2237" s="17" t="s">
        <v>10453</v>
      </c>
      <c r="C2237" s="2" t="s">
        <v>10454</v>
      </c>
      <c r="D2237" s="15" t="s">
        <v>10455</v>
      </c>
      <c r="E2237" s="9" t="s">
        <v>172</v>
      </c>
      <c r="F2237" s="9" t="s">
        <v>10456</v>
      </c>
      <c r="G2237" s="9" t="s">
        <v>271</v>
      </c>
      <c r="H2237" s="2" t="s">
        <v>60</v>
      </c>
      <c r="I2237" s="3">
        <v>36604</v>
      </c>
      <c r="J2237" s="9" t="str">
        <f t="shared" ca="1" si="36"/>
        <v>23 ans</v>
      </c>
      <c r="K2237" s="2" t="s">
        <v>68</v>
      </c>
      <c r="L2237" s="2" t="str">
        <f>"491"</f>
        <v>491</v>
      </c>
      <c r="M2237" s="2"/>
      <c r="N2237" s="2" t="str">
        <f>"RUE DE L'ALIZE"</f>
        <v>RUE DE L'ALIZE</v>
      </c>
      <c r="O2237" s="2" t="s">
        <v>10445</v>
      </c>
      <c r="P2237" s="9" t="str">
        <f>VLOOKUP($O2237,'Liste des Villes'!$B$2:$B$1128,1,FALSE)</f>
        <v>Sainte-Marguerite-du-Lac-Masson</v>
      </c>
      <c r="Q2237" s="9" t="str">
        <f>IFERROR($P2237,PROPER(VLOOKUP($O2237,'Villes en erreur'!$A$2:$B$72,2,FALSE)))</f>
        <v>Sainte-Marguerite-du-Lac-Masson</v>
      </c>
      <c r="R2237" s="9" t="s">
        <v>10446</v>
      </c>
      <c r="S2237" s="9" t="str">
        <f>IF(ISBLANK($R2237),"",VLOOKUP($R2237,'Liste des Villes'!$B$2:$H$1128,4,FALSE))</f>
        <v>Laurentides</v>
      </c>
      <c r="T2237" s="2" t="s">
        <v>10457</v>
      </c>
      <c r="U2237" s="2" t="s">
        <v>39</v>
      </c>
      <c r="V2237" s="2" t="s">
        <v>40</v>
      </c>
      <c r="W2237" s="2" t="s">
        <v>10458</v>
      </c>
      <c r="X2237" s="2"/>
      <c r="Y2237" s="2"/>
      <c r="Z2237" s="2"/>
      <c r="AA2237" s="2" t="s">
        <v>72</v>
      </c>
      <c r="AB2237" s="2" t="s">
        <v>73</v>
      </c>
      <c r="AC2237" s="4" t="s">
        <v>44</v>
      </c>
    </row>
    <row r="2238" spans="1:29" x14ac:dyDescent="0.25">
      <c r="A2238" s="1">
        <v>3558</v>
      </c>
      <c r="B2238" s="17" t="s">
        <v>10459</v>
      </c>
      <c r="C2238" s="2" t="s">
        <v>2689</v>
      </c>
      <c r="D2238" s="15" t="s">
        <v>1548</v>
      </c>
      <c r="E2238" s="9" t="s">
        <v>1673</v>
      </c>
      <c r="F2238" s="9" t="s">
        <v>9383</v>
      </c>
      <c r="G2238" s="9" t="s">
        <v>271</v>
      </c>
      <c r="H2238" s="2" t="s">
        <v>60</v>
      </c>
      <c r="I2238" s="3">
        <v>36604</v>
      </c>
      <c r="J2238" s="9" t="str">
        <f t="shared" ca="1" si="36"/>
        <v>23 ans</v>
      </c>
      <c r="K2238" s="2" t="s">
        <v>68</v>
      </c>
      <c r="L2238" s="2" t="str">
        <f>"491"</f>
        <v>491</v>
      </c>
      <c r="M2238" s="2"/>
      <c r="N2238" s="2" t="str">
        <f>"RUE DE L'ALIZÉ"</f>
        <v>RUE DE L'ALIZÉ</v>
      </c>
      <c r="O2238" s="2" t="s">
        <v>10445</v>
      </c>
      <c r="P2238" s="9" t="str">
        <f>VLOOKUP($O2238,'Liste des Villes'!$B$2:$B$1128,1,FALSE)</f>
        <v>Sainte-Marguerite-du-Lac-Masson</v>
      </c>
      <c r="Q2238" s="9" t="str">
        <f>IFERROR($P2238,PROPER(VLOOKUP($O2238,'Villes en erreur'!$A$2:$B$72,2,FALSE)))</f>
        <v>Sainte-Marguerite-du-Lac-Masson</v>
      </c>
      <c r="R2238" s="9" t="s">
        <v>10446</v>
      </c>
      <c r="S2238" s="9" t="str">
        <f>IF(ISBLANK($R2238),"",VLOOKUP($R2238,'Liste des Villes'!$B$2:$H$1128,4,FALSE))</f>
        <v>Laurentides</v>
      </c>
      <c r="T2238" s="2" t="s">
        <v>10460</v>
      </c>
      <c r="U2238" s="2" t="s">
        <v>39</v>
      </c>
      <c r="V2238" s="2" t="s">
        <v>40</v>
      </c>
      <c r="W2238" s="2" t="s">
        <v>10461</v>
      </c>
      <c r="X2238" s="2"/>
      <c r="Y2238" s="2"/>
      <c r="Z2238" s="2"/>
      <c r="AA2238" s="2" t="s">
        <v>72</v>
      </c>
      <c r="AB2238" s="2" t="s">
        <v>73</v>
      </c>
      <c r="AC2238" s="4" t="s">
        <v>44</v>
      </c>
    </row>
    <row r="2239" spans="1:29" x14ac:dyDescent="0.25">
      <c r="A2239" s="1">
        <v>444</v>
      </c>
      <c r="B2239" s="17" t="s">
        <v>10462</v>
      </c>
      <c r="C2239" s="2" t="s">
        <v>10463</v>
      </c>
      <c r="D2239" s="15" t="s">
        <v>9627</v>
      </c>
      <c r="E2239" s="9" t="s">
        <v>137</v>
      </c>
      <c r="F2239" s="9" t="s">
        <v>9625</v>
      </c>
      <c r="G2239" s="9" t="s">
        <v>3008</v>
      </c>
      <c r="H2239" s="2" t="s">
        <v>60</v>
      </c>
      <c r="I2239" s="3">
        <v>36605</v>
      </c>
      <c r="J2239" s="9" t="str">
        <f t="shared" ca="1" si="36"/>
        <v>23 ans</v>
      </c>
      <c r="K2239" s="2" t="s">
        <v>68</v>
      </c>
      <c r="L2239" s="2" t="str">
        <f>"492"</f>
        <v>492</v>
      </c>
      <c r="M2239" s="2"/>
      <c r="N2239" s="2" t="str">
        <f>"RUE DE L'ALIZÉ"</f>
        <v>RUE DE L'ALIZÉ</v>
      </c>
      <c r="O2239" s="2" t="s">
        <v>10445</v>
      </c>
      <c r="P2239" s="9" t="str">
        <f>VLOOKUP($O2239,'Liste des Villes'!$B$2:$B$1128,1,FALSE)</f>
        <v>Sainte-Marguerite-du-Lac-Masson</v>
      </c>
      <c r="Q2239" s="9" t="str">
        <f>IFERROR($P2239,PROPER(VLOOKUP($O2239,'Villes en erreur'!$A$2:$B$72,2,FALSE)))</f>
        <v>Sainte-Marguerite-du-Lac-Masson</v>
      </c>
      <c r="R2239" s="9" t="s">
        <v>10446</v>
      </c>
      <c r="S2239" s="9" t="str">
        <f>IF(ISBLANK($R2239),"",VLOOKUP($R2239,'Liste des Villes'!$B$2:$H$1128,4,FALSE))</f>
        <v>Laurentides</v>
      </c>
      <c r="T2239" s="2" t="s">
        <v>10464</v>
      </c>
      <c r="U2239" s="2" t="s">
        <v>39</v>
      </c>
      <c r="V2239" s="2" t="s">
        <v>40</v>
      </c>
      <c r="W2239" s="2" t="s">
        <v>10465</v>
      </c>
      <c r="X2239" s="2"/>
      <c r="Y2239" s="2"/>
      <c r="Z2239" s="2"/>
      <c r="AA2239" s="2" t="s">
        <v>72</v>
      </c>
      <c r="AB2239" s="2" t="s">
        <v>73</v>
      </c>
      <c r="AC2239" s="4" t="s">
        <v>44</v>
      </c>
    </row>
    <row r="2240" spans="1:29" x14ac:dyDescent="0.25">
      <c r="A2240" s="1">
        <v>270</v>
      </c>
      <c r="B2240" s="17" t="s">
        <v>10466</v>
      </c>
      <c r="C2240" s="2" t="s">
        <v>10467</v>
      </c>
      <c r="D2240" s="15" t="s">
        <v>10468</v>
      </c>
      <c r="E2240" s="9" t="s">
        <v>59</v>
      </c>
      <c r="F2240" s="9" t="s">
        <v>657</v>
      </c>
      <c r="G2240" s="9" t="s">
        <v>271</v>
      </c>
      <c r="H2240" s="2" t="s">
        <v>60</v>
      </c>
      <c r="I2240" s="3">
        <v>36603</v>
      </c>
      <c r="J2240" s="9" t="str">
        <f t="shared" ca="1" si="36"/>
        <v>23 ans</v>
      </c>
      <c r="K2240" s="2" t="s">
        <v>68</v>
      </c>
      <c r="L2240" s="2" t="str">
        <f>"491"</f>
        <v>491</v>
      </c>
      <c r="M2240" s="2"/>
      <c r="N2240" s="2" t="str">
        <f>"RUE DE L'ALIZE"</f>
        <v>RUE DE L'ALIZE</v>
      </c>
      <c r="O2240" s="2" t="s">
        <v>10445</v>
      </c>
      <c r="P2240" s="9" t="str">
        <f>VLOOKUP($O2240,'Liste des Villes'!$B$2:$B$1128,1,FALSE)</f>
        <v>Sainte-Marguerite-du-Lac-Masson</v>
      </c>
      <c r="Q2240" s="9" t="str">
        <f>IFERROR($P2240,PROPER(VLOOKUP($O2240,'Villes en erreur'!$A$2:$B$72,2,FALSE)))</f>
        <v>Sainte-Marguerite-du-Lac-Masson</v>
      </c>
      <c r="R2240" s="9" t="s">
        <v>10446</v>
      </c>
      <c r="S2240" s="9" t="str">
        <f>IF(ISBLANK($R2240),"",VLOOKUP($R2240,'Liste des Villes'!$B$2:$H$1128,4,FALSE))</f>
        <v>Laurentides</v>
      </c>
      <c r="T2240" s="2" t="s">
        <v>10469</v>
      </c>
      <c r="U2240" s="2" t="s">
        <v>39</v>
      </c>
      <c r="V2240" s="2" t="s">
        <v>40</v>
      </c>
      <c r="W2240" s="2" t="s">
        <v>10470</v>
      </c>
      <c r="X2240" s="2"/>
      <c r="Y2240" s="2"/>
      <c r="Z2240" s="2"/>
      <c r="AA2240" s="2" t="s">
        <v>72</v>
      </c>
      <c r="AB2240" s="2" t="s">
        <v>73</v>
      </c>
      <c r="AC2240" s="4" t="s">
        <v>44</v>
      </c>
    </row>
    <row r="2241" spans="1:29" x14ac:dyDescent="0.25">
      <c r="A2241" s="1">
        <v>1651</v>
      </c>
      <c r="B2241" s="17" t="s">
        <v>10471</v>
      </c>
      <c r="C2241" s="2" t="s">
        <v>1648</v>
      </c>
      <c r="D2241" s="15" t="s">
        <v>1649</v>
      </c>
      <c r="E2241" s="9" t="s">
        <v>1650</v>
      </c>
      <c r="F2241" s="9" t="s">
        <v>10472</v>
      </c>
      <c r="G2241" s="9" t="s">
        <v>826</v>
      </c>
      <c r="H2241" s="2" t="s">
        <v>35</v>
      </c>
      <c r="I2241" s="3">
        <v>36607</v>
      </c>
      <c r="J2241" s="9" t="str">
        <f t="shared" ca="1" si="36"/>
        <v>23 ans</v>
      </c>
      <c r="K2241" s="2" t="s">
        <v>68</v>
      </c>
      <c r="L2241" s="2" t="str">
        <f>"493"</f>
        <v>493</v>
      </c>
      <c r="M2241" s="2"/>
      <c r="N2241" s="2" t="str">
        <f>"RUE DE L'ANDALOU"</f>
        <v>RUE DE L'ANDALOU</v>
      </c>
      <c r="O2241" s="2" t="s">
        <v>10473</v>
      </c>
      <c r="P2241" s="9" t="str">
        <f>VLOOKUP($O2241,'Liste des Villes'!$B$2:$B$1128,1,FALSE)</f>
        <v>Sainte-Lucie-des-Laurentides</v>
      </c>
      <c r="Q2241" s="9" t="str">
        <f>IFERROR($P2241,PROPER(VLOOKUP($O2241,'Villes en erreur'!$A$2:$B$72,2,FALSE)))</f>
        <v>Sainte-Lucie-des-Laurentides</v>
      </c>
      <c r="R2241" s="9" t="s">
        <v>10474</v>
      </c>
      <c r="S2241" s="9" t="str">
        <f>IF(ISBLANK($R2241),"",VLOOKUP($R2241,'Liste des Villes'!$B$2:$H$1128,4,FALSE))</f>
        <v>Laurentides</v>
      </c>
      <c r="T2241" s="2" t="s">
        <v>10475</v>
      </c>
      <c r="U2241" s="2" t="s">
        <v>39</v>
      </c>
      <c r="V2241" s="2" t="s">
        <v>40</v>
      </c>
      <c r="W2241" s="2" t="s">
        <v>10476</v>
      </c>
      <c r="X2241" s="2"/>
      <c r="Y2241" s="2"/>
      <c r="Z2241" s="2"/>
      <c r="AA2241" s="2" t="s">
        <v>72</v>
      </c>
      <c r="AB2241" s="2" t="s">
        <v>401</v>
      </c>
      <c r="AC2241" s="4" t="s">
        <v>44</v>
      </c>
    </row>
    <row r="2242" spans="1:29" x14ac:dyDescent="0.25">
      <c r="A2242" s="1">
        <v>3276</v>
      </c>
      <c r="B2242" s="17" t="s">
        <v>10477</v>
      </c>
      <c r="C2242" s="2" t="s">
        <v>5137</v>
      </c>
      <c r="D2242" s="15" t="s">
        <v>861</v>
      </c>
      <c r="E2242" s="9" t="s">
        <v>332</v>
      </c>
      <c r="F2242" s="9" t="s">
        <v>6314</v>
      </c>
      <c r="G2242" s="9" t="s">
        <v>826</v>
      </c>
      <c r="H2242" s="2" t="s">
        <v>35</v>
      </c>
      <c r="I2242" s="3">
        <v>36607</v>
      </c>
      <c r="J2242" s="9" t="str">
        <f t="shared" ref="J2242:J2305" ca="1" si="37">_xlfn.CONCAT(INT((TODAY()-$I2242)/365.25)," ans")</f>
        <v>23 ans</v>
      </c>
      <c r="K2242" s="2" t="s">
        <v>68</v>
      </c>
      <c r="L2242" s="2" t="str">
        <f>"493"</f>
        <v>493</v>
      </c>
      <c r="M2242" s="2"/>
      <c r="N2242" s="2" t="str">
        <f>"RUE DE L'AMBRE"</f>
        <v>RUE DE L'AMBRE</v>
      </c>
      <c r="O2242" s="2" t="s">
        <v>10473</v>
      </c>
      <c r="P2242" s="9" t="str">
        <f>VLOOKUP($O2242,'Liste des Villes'!$B$2:$B$1128,1,FALSE)</f>
        <v>Sainte-Lucie-des-Laurentides</v>
      </c>
      <c r="Q2242" s="9" t="str">
        <f>IFERROR($P2242,PROPER(VLOOKUP($O2242,'Villes en erreur'!$A$2:$B$72,2,FALSE)))</f>
        <v>Sainte-Lucie-des-Laurentides</v>
      </c>
      <c r="R2242" s="9" t="s">
        <v>10474</v>
      </c>
      <c r="S2242" s="9" t="str">
        <f>IF(ISBLANK($R2242),"",VLOOKUP($R2242,'Liste des Villes'!$B$2:$H$1128,4,FALSE))</f>
        <v>Laurentides</v>
      </c>
      <c r="T2242" s="2" t="s">
        <v>10478</v>
      </c>
      <c r="U2242" s="2" t="s">
        <v>39</v>
      </c>
      <c r="V2242" s="2" t="s">
        <v>40</v>
      </c>
      <c r="W2242" s="2" t="s">
        <v>10479</v>
      </c>
      <c r="X2242" s="2"/>
      <c r="Y2242" s="2"/>
      <c r="Z2242" s="2"/>
      <c r="AA2242" s="2" t="s">
        <v>72</v>
      </c>
      <c r="AB2242" s="2" t="s">
        <v>401</v>
      </c>
      <c r="AC2242" s="4" t="s">
        <v>44</v>
      </c>
    </row>
    <row r="2243" spans="1:29" x14ac:dyDescent="0.25">
      <c r="A2243" s="1">
        <v>1178</v>
      </c>
      <c r="B2243" s="17" t="s">
        <v>10480</v>
      </c>
      <c r="C2243" s="2" t="s">
        <v>1949</v>
      </c>
      <c r="D2243" s="15" t="s">
        <v>1950</v>
      </c>
      <c r="E2243" s="9" t="s">
        <v>277</v>
      </c>
      <c r="F2243" s="9" t="s">
        <v>1951</v>
      </c>
      <c r="G2243" s="9" t="s">
        <v>826</v>
      </c>
      <c r="H2243" s="2" t="s">
        <v>35</v>
      </c>
      <c r="I2243" s="3">
        <v>36608</v>
      </c>
      <c r="J2243" s="9" t="str">
        <f t="shared" ca="1" si="37"/>
        <v>23 ans</v>
      </c>
      <c r="K2243" s="2" t="s">
        <v>68</v>
      </c>
      <c r="L2243" s="2" t="str">
        <f>"495"</f>
        <v>495</v>
      </c>
      <c r="M2243" s="2"/>
      <c r="N2243" s="2" t="str">
        <f>"RUE DE LANORAIE"</f>
        <v>RUE DE LANORAIE</v>
      </c>
      <c r="O2243" s="2" t="s">
        <v>10473</v>
      </c>
      <c r="P2243" s="9" t="str">
        <f>VLOOKUP($O2243,'Liste des Villes'!$B$2:$B$1128,1,FALSE)</f>
        <v>Sainte-Lucie-des-Laurentides</v>
      </c>
      <c r="Q2243" s="9" t="str">
        <f>IFERROR($P2243,PROPER(VLOOKUP($O2243,'Villes en erreur'!$A$2:$B$72,2,FALSE)))</f>
        <v>Sainte-Lucie-des-Laurentides</v>
      </c>
      <c r="R2243" s="9" t="s">
        <v>10474</v>
      </c>
      <c r="S2243" s="9" t="str">
        <f>IF(ISBLANK($R2243),"",VLOOKUP($R2243,'Liste des Villes'!$B$2:$H$1128,4,FALSE))</f>
        <v>Laurentides</v>
      </c>
      <c r="T2243" s="2" t="s">
        <v>10481</v>
      </c>
      <c r="U2243" s="2" t="s">
        <v>39</v>
      </c>
      <c r="V2243" s="2" t="s">
        <v>40</v>
      </c>
      <c r="W2243" s="2" t="s">
        <v>10482</v>
      </c>
      <c r="X2243" s="2"/>
      <c r="Y2243" s="2"/>
      <c r="Z2243" s="2"/>
      <c r="AA2243" s="2" t="s">
        <v>72</v>
      </c>
      <c r="AB2243" s="2" t="s">
        <v>401</v>
      </c>
      <c r="AC2243" s="4" t="s">
        <v>44</v>
      </c>
    </row>
    <row r="2244" spans="1:29" x14ac:dyDescent="0.25">
      <c r="A2244" s="1">
        <v>2906</v>
      </c>
      <c r="B2244" s="17" t="s">
        <v>10483</v>
      </c>
      <c r="C2244" s="2" t="s">
        <v>10484</v>
      </c>
      <c r="D2244" s="15" t="s">
        <v>10485</v>
      </c>
      <c r="E2244" s="9" t="s">
        <v>989</v>
      </c>
      <c r="F2244" s="9" t="s">
        <v>750</v>
      </c>
      <c r="G2244" s="9" t="s">
        <v>2529</v>
      </c>
      <c r="H2244" s="2" t="s">
        <v>60</v>
      </c>
      <c r="I2244" s="3">
        <v>36607</v>
      </c>
      <c r="J2244" s="9" t="str">
        <f t="shared" ca="1" si="37"/>
        <v>23 ans</v>
      </c>
      <c r="K2244" s="2" t="s">
        <v>68</v>
      </c>
      <c r="L2244" s="2" t="str">
        <f>"493"</f>
        <v>493</v>
      </c>
      <c r="M2244" s="2"/>
      <c r="N2244" s="2" t="str">
        <f>"RUE DE L'ALSACE"</f>
        <v>RUE DE L'ALSACE</v>
      </c>
      <c r="O2244" s="2" t="s">
        <v>10473</v>
      </c>
      <c r="P2244" s="9" t="str">
        <f>VLOOKUP($O2244,'Liste des Villes'!$B$2:$B$1128,1,FALSE)</f>
        <v>Sainte-Lucie-des-Laurentides</v>
      </c>
      <c r="Q2244" s="9" t="str">
        <f>IFERROR($P2244,PROPER(VLOOKUP($O2244,'Villes en erreur'!$A$2:$B$72,2,FALSE)))</f>
        <v>Sainte-Lucie-des-Laurentides</v>
      </c>
      <c r="R2244" s="9" t="s">
        <v>10474</v>
      </c>
      <c r="S2244" s="9" t="str">
        <f>IF(ISBLANK($R2244),"",VLOOKUP($R2244,'Liste des Villes'!$B$2:$H$1128,4,FALSE))</f>
        <v>Laurentides</v>
      </c>
      <c r="T2244" s="2" t="s">
        <v>10486</v>
      </c>
      <c r="U2244" s="2" t="s">
        <v>39</v>
      </c>
      <c r="V2244" s="2" t="s">
        <v>40</v>
      </c>
      <c r="W2244" s="2" t="s">
        <v>10487</v>
      </c>
      <c r="X2244" s="2"/>
      <c r="Y2244" s="2"/>
      <c r="Z2244" s="2"/>
      <c r="AA2244" s="2" t="s">
        <v>72</v>
      </c>
      <c r="AB2244" s="2" t="s">
        <v>73</v>
      </c>
      <c r="AC2244" s="4" t="s">
        <v>44</v>
      </c>
    </row>
    <row r="2245" spans="1:29" x14ac:dyDescent="0.25">
      <c r="A2245" s="1">
        <v>4472</v>
      </c>
      <c r="B2245" s="17" t="s">
        <v>10488</v>
      </c>
      <c r="C2245" s="2" t="s">
        <v>10489</v>
      </c>
      <c r="D2245" s="15" t="s">
        <v>8251</v>
      </c>
      <c r="E2245" s="9" t="s">
        <v>107</v>
      </c>
      <c r="F2245" s="9" t="s">
        <v>3122</v>
      </c>
      <c r="G2245" s="9" t="s">
        <v>826</v>
      </c>
      <c r="H2245" s="2" t="s">
        <v>35</v>
      </c>
      <c r="I2245" s="3">
        <v>36608</v>
      </c>
      <c r="J2245" s="9" t="str">
        <f t="shared" ca="1" si="37"/>
        <v>23 ans</v>
      </c>
      <c r="K2245" s="2" t="s">
        <v>68</v>
      </c>
      <c r="L2245" s="2" t="str">
        <f>"495"</f>
        <v>495</v>
      </c>
      <c r="M2245" s="2"/>
      <c r="N2245" s="2" t="str">
        <f>"RUE DE L'AQUILON"</f>
        <v>RUE DE L'AQUILON</v>
      </c>
      <c r="O2245" s="2" t="s">
        <v>10473</v>
      </c>
      <c r="P2245" s="9" t="str">
        <f>VLOOKUP($O2245,'Liste des Villes'!$B$2:$B$1128,1,FALSE)</f>
        <v>Sainte-Lucie-des-Laurentides</v>
      </c>
      <c r="Q2245" s="9" t="str">
        <f>IFERROR($P2245,PROPER(VLOOKUP($O2245,'Villes en erreur'!$A$2:$B$72,2,FALSE)))</f>
        <v>Sainte-Lucie-des-Laurentides</v>
      </c>
      <c r="R2245" s="9" t="s">
        <v>10474</v>
      </c>
      <c r="S2245" s="9" t="str">
        <f>IF(ISBLANK($R2245),"",VLOOKUP($R2245,'Liste des Villes'!$B$2:$H$1128,4,FALSE))</f>
        <v>Laurentides</v>
      </c>
      <c r="T2245" s="2" t="s">
        <v>10490</v>
      </c>
      <c r="U2245" s="2" t="s">
        <v>39</v>
      </c>
      <c r="V2245" s="2" t="s">
        <v>40</v>
      </c>
      <c r="W2245" s="2" t="s">
        <v>10491</v>
      </c>
      <c r="X2245" s="2"/>
      <c r="Y2245" s="2"/>
      <c r="Z2245" s="2"/>
      <c r="AA2245" s="2" t="s">
        <v>72</v>
      </c>
      <c r="AB2245" s="2" t="s">
        <v>401</v>
      </c>
      <c r="AC2245" s="4" t="s">
        <v>44</v>
      </c>
    </row>
    <row r="2246" spans="1:29" x14ac:dyDescent="0.25">
      <c r="A2246" s="1">
        <v>2202</v>
      </c>
      <c r="B2246" s="17" t="s">
        <v>10492</v>
      </c>
      <c r="C2246" s="2" t="s">
        <v>4394</v>
      </c>
      <c r="D2246" s="15" t="s">
        <v>617</v>
      </c>
      <c r="E2246" s="9" t="s">
        <v>2404</v>
      </c>
      <c r="F2246" s="9" t="s">
        <v>4529</v>
      </c>
      <c r="G2246" s="9" t="s">
        <v>826</v>
      </c>
      <c r="H2246" s="2" t="s">
        <v>35</v>
      </c>
      <c r="I2246" s="3">
        <v>36608</v>
      </c>
      <c r="J2246" s="9" t="str">
        <f t="shared" ca="1" si="37"/>
        <v>23 ans</v>
      </c>
      <c r="K2246" s="2" t="s">
        <v>68</v>
      </c>
      <c r="L2246" s="2" t="str">
        <f>"495"</f>
        <v>495</v>
      </c>
      <c r="M2246" s="2"/>
      <c r="N2246" s="2" t="str">
        <f>"RUE DE L'AQUILON"</f>
        <v>RUE DE L'AQUILON</v>
      </c>
      <c r="O2246" s="2" t="s">
        <v>10493</v>
      </c>
      <c r="P2246" s="9" t="str">
        <f>VLOOKUP($O2246,'Liste des Villes'!$B$2:$B$1128,1,FALSE)</f>
        <v>Sainte-Julienne</v>
      </c>
      <c r="Q2246" s="9" t="str">
        <f>IFERROR($P2246,PROPER(VLOOKUP($O2246,'Villes en erreur'!$A$2:$B$72,2,FALSE)))</f>
        <v>Sainte-Julienne</v>
      </c>
      <c r="R2246" s="9" t="s">
        <v>10494</v>
      </c>
      <c r="S2246" s="9" t="str">
        <f>IF(ISBLANK($R2246),"",VLOOKUP($R2246,'Liste des Villes'!$B$2:$H$1128,4,FALSE))</f>
        <v>Lanaudière</v>
      </c>
      <c r="T2246" s="2" t="s">
        <v>10495</v>
      </c>
      <c r="U2246" s="2" t="s">
        <v>39</v>
      </c>
      <c r="V2246" s="2" t="s">
        <v>40</v>
      </c>
      <c r="W2246" s="2" t="s">
        <v>10496</v>
      </c>
      <c r="X2246" s="2"/>
      <c r="Y2246" s="2"/>
      <c r="Z2246" s="2"/>
      <c r="AA2246" s="2" t="s">
        <v>72</v>
      </c>
      <c r="AB2246" s="2" t="s">
        <v>401</v>
      </c>
      <c r="AC2246" s="4" t="s">
        <v>44</v>
      </c>
    </row>
    <row r="2247" spans="1:29" x14ac:dyDescent="0.25">
      <c r="A2247" s="1">
        <v>1507</v>
      </c>
      <c r="B2247" s="17" t="s">
        <v>10497</v>
      </c>
      <c r="C2247" s="2" t="s">
        <v>8459</v>
      </c>
      <c r="D2247" s="15" t="s">
        <v>1845</v>
      </c>
      <c r="E2247" s="9" t="s">
        <v>2062</v>
      </c>
      <c r="F2247" s="9" t="s">
        <v>7481</v>
      </c>
      <c r="G2247" s="9" t="s">
        <v>10498</v>
      </c>
      <c r="H2247" s="2" t="s">
        <v>35</v>
      </c>
      <c r="I2247" s="3">
        <v>36612</v>
      </c>
      <c r="J2247" s="9" t="str">
        <f t="shared" ca="1" si="37"/>
        <v>23 ans</v>
      </c>
      <c r="K2247" s="2" t="s">
        <v>68</v>
      </c>
      <c r="L2247" s="2" t="str">
        <f>"499"</f>
        <v>499</v>
      </c>
      <c r="M2247" s="2"/>
      <c r="N2247" s="2" t="str">
        <f>"RUE DE L'ARTOIS"</f>
        <v>RUE DE L'ARTOIS</v>
      </c>
      <c r="O2247" s="2" t="s">
        <v>10493</v>
      </c>
      <c r="P2247" s="9" t="str">
        <f>VLOOKUP($O2247,'Liste des Villes'!$B$2:$B$1128,1,FALSE)</f>
        <v>Sainte-Julienne</v>
      </c>
      <c r="Q2247" s="9" t="str">
        <f>IFERROR($P2247,PROPER(VLOOKUP($O2247,'Villes en erreur'!$A$2:$B$72,2,FALSE)))</f>
        <v>Sainte-Julienne</v>
      </c>
      <c r="R2247" s="9" t="s">
        <v>10494</v>
      </c>
      <c r="S2247" s="9" t="str">
        <f>IF(ISBLANK($R2247),"",VLOOKUP($R2247,'Liste des Villes'!$B$2:$H$1128,4,FALSE))</f>
        <v>Lanaudière</v>
      </c>
      <c r="T2247" s="2" t="s">
        <v>10499</v>
      </c>
      <c r="U2247" s="2" t="s">
        <v>39</v>
      </c>
      <c r="V2247" s="2" t="s">
        <v>40</v>
      </c>
      <c r="W2247" s="2" t="s">
        <v>10500</v>
      </c>
      <c r="X2247" s="2"/>
      <c r="Y2247" s="2"/>
      <c r="Z2247" s="2"/>
      <c r="AA2247" s="2" t="s">
        <v>72</v>
      </c>
      <c r="AB2247" s="2" t="s">
        <v>401</v>
      </c>
      <c r="AC2247" s="4" t="s">
        <v>44</v>
      </c>
    </row>
    <row r="2248" spans="1:29" x14ac:dyDescent="0.25">
      <c r="A2248" s="1">
        <v>966</v>
      </c>
      <c r="B2248" s="17" t="s">
        <v>10501</v>
      </c>
      <c r="C2248" s="2" t="s">
        <v>1365</v>
      </c>
      <c r="D2248" s="15" t="s">
        <v>1366</v>
      </c>
      <c r="E2248" s="9" t="s">
        <v>277</v>
      </c>
      <c r="F2248" s="9" t="s">
        <v>2685</v>
      </c>
      <c r="G2248" s="9" t="s">
        <v>826</v>
      </c>
      <c r="H2248" s="2" t="s">
        <v>35</v>
      </c>
      <c r="I2248" s="3">
        <v>36612</v>
      </c>
      <c r="J2248" s="9" t="str">
        <f t="shared" ca="1" si="37"/>
        <v>23 ans</v>
      </c>
      <c r="K2248" s="2" t="s">
        <v>68</v>
      </c>
      <c r="L2248" s="2" t="str">
        <f>"499"</f>
        <v>499</v>
      </c>
      <c r="M2248" s="2"/>
      <c r="N2248" s="2" t="str">
        <f>"RUE DE L'ARTISAN"</f>
        <v>RUE DE L'ARTISAN</v>
      </c>
      <c r="O2248" s="2" t="s">
        <v>10494</v>
      </c>
      <c r="P2248" s="9" t="str">
        <f>VLOOKUP($O2248,'Liste des Villes'!$B$2:$B$1128,1,FALSE)</f>
        <v>Sainte-Julienne</v>
      </c>
      <c r="Q2248" s="9" t="str">
        <f>IFERROR($P2248,PROPER(VLOOKUP($O2248,'Villes en erreur'!$A$2:$B$72,2,FALSE)))</f>
        <v>Sainte-Julienne</v>
      </c>
      <c r="R2248" s="9" t="s">
        <v>10494</v>
      </c>
      <c r="S2248" s="9" t="str">
        <f>IF(ISBLANK($R2248),"",VLOOKUP($R2248,'Liste des Villes'!$B$2:$H$1128,4,FALSE))</f>
        <v>Lanaudière</v>
      </c>
      <c r="T2248" s="2" t="s">
        <v>10502</v>
      </c>
      <c r="U2248" s="2" t="s">
        <v>39</v>
      </c>
      <c r="V2248" s="2" t="s">
        <v>40</v>
      </c>
      <c r="W2248" s="2" t="s">
        <v>10503</v>
      </c>
      <c r="X2248" s="2"/>
      <c r="Y2248" s="2"/>
      <c r="Z2248" s="2"/>
      <c r="AA2248" s="2" t="s">
        <v>72</v>
      </c>
      <c r="AB2248" s="2" t="s">
        <v>401</v>
      </c>
      <c r="AC2248" s="4" t="s">
        <v>44</v>
      </c>
    </row>
    <row r="2249" spans="1:29" x14ac:dyDescent="0.25">
      <c r="A2249" s="1">
        <v>3980</v>
      </c>
      <c r="B2249" s="17" t="s">
        <v>10504</v>
      </c>
      <c r="C2249" s="2" t="s">
        <v>1922</v>
      </c>
      <c r="D2249" s="15" t="s">
        <v>1923</v>
      </c>
      <c r="E2249" s="9" t="s">
        <v>1924</v>
      </c>
      <c r="F2249" s="9" t="s">
        <v>1925</v>
      </c>
      <c r="G2249" s="9" t="s">
        <v>10505</v>
      </c>
      <c r="H2249" s="2" t="s">
        <v>35</v>
      </c>
      <c r="I2249" s="3">
        <v>36614</v>
      </c>
      <c r="J2249" s="9" t="str">
        <f t="shared" ca="1" si="37"/>
        <v>23 ans</v>
      </c>
      <c r="K2249" s="2" t="s">
        <v>68</v>
      </c>
      <c r="L2249" s="2" t="str">
        <f>"500"</f>
        <v>500</v>
      </c>
      <c r="M2249" s="2"/>
      <c r="N2249" s="2" t="str">
        <f>"RUE DE L'AUVERGNE"</f>
        <v>RUE DE L'AUVERGNE</v>
      </c>
      <c r="O2249" s="2" t="s">
        <v>10493</v>
      </c>
      <c r="P2249" s="9" t="str">
        <f>VLOOKUP($O2249,'Liste des Villes'!$B$2:$B$1128,1,FALSE)</f>
        <v>Sainte-Julienne</v>
      </c>
      <c r="Q2249" s="9" t="str">
        <f>IFERROR($P2249,PROPER(VLOOKUP($O2249,'Villes en erreur'!$A$2:$B$72,2,FALSE)))</f>
        <v>Sainte-Julienne</v>
      </c>
      <c r="R2249" s="9" t="s">
        <v>10494</v>
      </c>
      <c r="S2249" s="9" t="str">
        <f>IF(ISBLANK($R2249),"",VLOOKUP($R2249,'Liste des Villes'!$B$2:$H$1128,4,FALSE))</f>
        <v>Lanaudière</v>
      </c>
      <c r="T2249" s="2" t="s">
        <v>10506</v>
      </c>
      <c r="U2249" s="2" t="s">
        <v>39</v>
      </c>
      <c r="V2249" s="2" t="s">
        <v>40</v>
      </c>
      <c r="W2249" s="2" t="s">
        <v>10507</v>
      </c>
      <c r="X2249" s="2"/>
      <c r="Y2249" s="2"/>
      <c r="Z2249" s="2"/>
      <c r="AA2249" s="2" t="s">
        <v>72</v>
      </c>
      <c r="AB2249" s="2" t="s">
        <v>401</v>
      </c>
      <c r="AC2249" s="4" t="s">
        <v>44</v>
      </c>
    </row>
    <row r="2250" spans="1:29" x14ac:dyDescent="0.25">
      <c r="A2250" s="1">
        <v>3701</v>
      </c>
      <c r="B2250" s="17" t="s">
        <v>10508</v>
      </c>
      <c r="C2250" s="2" t="s">
        <v>10509</v>
      </c>
      <c r="D2250" s="15" t="s">
        <v>738</v>
      </c>
      <c r="E2250" s="9" t="s">
        <v>5143</v>
      </c>
      <c r="F2250" s="9" t="s">
        <v>8819</v>
      </c>
      <c r="G2250" s="9" t="s">
        <v>10139</v>
      </c>
      <c r="H2250" s="2" t="s">
        <v>60</v>
      </c>
      <c r="I2250" s="3">
        <v>36614</v>
      </c>
      <c r="J2250" s="9" t="str">
        <f t="shared" ca="1" si="37"/>
        <v>23 ans</v>
      </c>
      <c r="K2250" s="2" t="s">
        <v>68</v>
      </c>
      <c r="L2250" s="2" t="str">
        <f>"500"</f>
        <v>500</v>
      </c>
      <c r="M2250" s="2"/>
      <c r="N2250" s="2" t="str">
        <f>"RUE DE L'AUTAN"</f>
        <v>RUE DE L'AUTAN</v>
      </c>
      <c r="O2250" s="2" t="s">
        <v>10493</v>
      </c>
      <c r="P2250" s="9" t="str">
        <f>VLOOKUP($O2250,'Liste des Villes'!$B$2:$B$1128,1,FALSE)</f>
        <v>Sainte-Julienne</v>
      </c>
      <c r="Q2250" s="9" t="str">
        <f>IFERROR($P2250,PROPER(VLOOKUP($O2250,'Villes en erreur'!$A$2:$B$72,2,FALSE)))</f>
        <v>Sainte-Julienne</v>
      </c>
      <c r="R2250" s="9" t="s">
        <v>10494</v>
      </c>
      <c r="S2250" s="9" t="str">
        <f>IF(ISBLANK($R2250),"",VLOOKUP($R2250,'Liste des Villes'!$B$2:$H$1128,4,FALSE))</f>
        <v>Lanaudière</v>
      </c>
      <c r="T2250" s="2" t="s">
        <v>10510</v>
      </c>
      <c r="U2250" s="2" t="s">
        <v>39</v>
      </c>
      <c r="V2250" s="2" t="s">
        <v>40</v>
      </c>
      <c r="W2250" s="2" t="s">
        <v>10511</v>
      </c>
      <c r="X2250" s="2"/>
      <c r="Y2250" s="2"/>
      <c r="Z2250" s="2"/>
      <c r="AA2250" s="2" t="s">
        <v>72</v>
      </c>
      <c r="AB2250" s="2" t="s">
        <v>401</v>
      </c>
      <c r="AC2250" s="4" t="s">
        <v>44</v>
      </c>
    </row>
    <row r="2251" spans="1:29" x14ac:dyDescent="0.25">
      <c r="A2251" s="1">
        <v>1233</v>
      </c>
      <c r="B2251" s="17" t="s">
        <v>10512</v>
      </c>
      <c r="C2251" s="2" t="s">
        <v>10513</v>
      </c>
      <c r="D2251" s="15" t="s">
        <v>719</v>
      </c>
      <c r="E2251" s="9" t="s">
        <v>10514</v>
      </c>
      <c r="F2251" s="9" t="s">
        <v>7818</v>
      </c>
      <c r="G2251" s="9" t="s">
        <v>10515</v>
      </c>
      <c r="H2251" s="2" t="s">
        <v>35</v>
      </c>
      <c r="I2251" s="3">
        <v>36613</v>
      </c>
      <c r="J2251" s="9" t="str">
        <f t="shared" ca="1" si="37"/>
        <v>23 ans</v>
      </c>
      <c r="K2251" s="2" t="s">
        <v>68</v>
      </c>
      <c r="L2251" s="2" t="str">
        <f>"499"</f>
        <v>499</v>
      </c>
      <c r="M2251" s="2"/>
      <c r="N2251" s="2" t="str">
        <f>"RUE DE L'AUTAN"</f>
        <v>RUE DE L'AUTAN</v>
      </c>
      <c r="O2251" s="2" t="s">
        <v>10493</v>
      </c>
      <c r="P2251" s="9" t="str">
        <f>VLOOKUP($O2251,'Liste des Villes'!$B$2:$B$1128,1,FALSE)</f>
        <v>Sainte-Julienne</v>
      </c>
      <c r="Q2251" s="9" t="str">
        <f>IFERROR($P2251,PROPER(VLOOKUP($O2251,'Villes en erreur'!$A$2:$B$72,2,FALSE)))</f>
        <v>Sainte-Julienne</v>
      </c>
      <c r="R2251" s="9" t="s">
        <v>10494</v>
      </c>
      <c r="S2251" s="9" t="str">
        <f>IF(ISBLANK($R2251),"",VLOOKUP($R2251,'Liste des Villes'!$B$2:$H$1128,4,FALSE))</f>
        <v>Lanaudière</v>
      </c>
      <c r="T2251" s="2" t="s">
        <v>10516</v>
      </c>
      <c r="U2251" s="2" t="s">
        <v>39</v>
      </c>
      <c r="V2251" s="2" t="s">
        <v>40</v>
      </c>
      <c r="W2251" s="2" t="s">
        <v>10517</v>
      </c>
      <c r="X2251" s="2"/>
      <c r="Y2251" s="2"/>
      <c r="Z2251" s="2"/>
      <c r="AA2251" s="2" t="s">
        <v>72</v>
      </c>
      <c r="AB2251" s="2" t="s">
        <v>401</v>
      </c>
      <c r="AC2251" s="4" t="s">
        <v>44</v>
      </c>
    </row>
    <row r="2252" spans="1:29" x14ac:dyDescent="0.25">
      <c r="A2252" s="1">
        <v>901</v>
      </c>
      <c r="B2252" s="17" t="s">
        <v>10518</v>
      </c>
      <c r="C2252" s="2" t="s">
        <v>10519</v>
      </c>
      <c r="D2252" s="15" t="s">
        <v>1502</v>
      </c>
      <c r="E2252" s="9" t="s">
        <v>9237</v>
      </c>
      <c r="F2252" s="9" t="s">
        <v>292</v>
      </c>
      <c r="G2252" s="9" t="s">
        <v>826</v>
      </c>
      <c r="H2252" s="2" t="s">
        <v>35</v>
      </c>
      <c r="I2252" s="3">
        <v>36609</v>
      </c>
      <c r="J2252" s="9" t="str">
        <f t="shared" ca="1" si="37"/>
        <v>23 ans</v>
      </c>
      <c r="K2252" s="2" t="s">
        <v>68</v>
      </c>
      <c r="L2252" s="2" t="str">
        <f>"495"</f>
        <v>495</v>
      </c>
      <c r="M2252" s="2"/>
      <c r="N2252" s="2" t="str">
        <f>"RUE DE L'ARC-EN-CIEL"</f>
        <v>RUE DE L'ARC-EN-CIEL</v>
      </c>
      <c r="O2252" s="2" t="s">
        <v>10493</v>
      </c>
      <c r="P2252" s="9" t="str">
        <f>VLOOKUP($O2252,'Liste des Villes'!$B$2:$B$1128,1,FALSE)</f>
        <v>Sainte-Julienne</v>
      </c>
      <c r="Q2252" s="9" t="str">
        <f>IFERROR($P2252,PROPER(VLOOKUP($O2252,'Villes en erreur'!$A$2:$B$72,2,FALSE)))</f>
        <v>Sainte-Julienne</v>
      </c>
      <c r="R2252" s="9" t="s">
        <v>10494</v>
      </c>
      <c r="S2252" s="9" t="str">
        <f>IF(ISBLANK($R2252),"",VLOOKUP($R2252,'Liste des Villes'!$B$2:$H$1128,4,FALSE))</f>
        <v>Lanaudière</v>
      </c>
      <c r="T2252" s="2" t="s">
        <v>10520</v>
      </c>
      <c r="U2252" s="2" t="s">
        <v>39</v>
      </c>
      <c r="V2252" s="2" t="s">
        <v>40</v>
      </c>
      <c r="W2252" s="2" t="s">
        <v>10521</v>
      </c>
      <c r="X2252" s="2"/>
      <c r="Y2252" s="2"/>
      <c r="Z2252" s="2"/>
      <c r="AA2252" s="2" t="s">
        <v>72</v>
      </c>
      <c r="AB2252" s="2" t="s">
        <v>401</v>
      </c>
      <c r="AC2252" s="4" t="s">
        <v>44</v>
      </c>
    </row>
    <row r="2253" spans="1:29" x14ac:dyDescent="0.25">
      <c r="A2253" s="1">
        <v>369</v>
      </c>
      <c r="B2253" s="17" t="s">
        <v>10522</v>
      </c>
      <c r="C2253" s="2" t="s">
        <v>9722</v>
      </c>
      <c r="D2253" s="15" t="s">
        <v>1466</v>
      </c>
      <c r="E2253" s="9" t="s">
        <v>751</v>
      </c>
      <c r="F2253" s="9" t="s">
        <v>788</v>
      </c>
      <c r="G2253" s="9" t="s">
        <v>826</v>
      </c>
      <c r="H2253" s="2" t="s">
        <v>35</v>
      </c>
      <c r="I2253" s="3">
        <v>36612</v>
      </c>
      <c r="J2253" s="9" t="str">
        <f t="shared" ca="1" si="37"/>
        <v>23 ans</v>
      </c>
      <c r="K2253" s="2" t="s">
        <v>68</v>
      </c>
      <c r="L2253" s="2" t="str">
        <f>"497"</f>
        <v>497</v>
      </c>
      <c r="M2253" s="2"/>
      <c r="N2253" s="2" t="str">
        <f>"RUE DE L'ARTISAN"</f>
        <v>RUE DE L'ARTISAN</v>
      </c>
      <c r="O2253" s="2" t="s">
        <v>10493</v>
      </c>
      <c r="P2253" s="9" t="str">
        <f>VLOOKUP($O2253,'Liste des Villes'!$B$2:$B$1128,1,FALSE)</f>
        <v>Sainte-Julienne</v>
      </c>
      <c r="Q2253" s="9" t="str">
        <f>IFERROR($P2253,PROPER(VLOOKUP($O2253,'Villes en erreur'!$A$2:$B$72,2,FALSE)))</f>
        <v>Sainte-Julienne</v>
      </c>
      <c r="R2253" s="9" t="s">
        <v>10494</v>
      </c>
      <c r="S2253" s="9" t="str">
        <f>IF(ISBLANK($R2253),"",VLOOKUP($R2253,'Liste des Villes'!$B$2:$H$1128,4,FALSE))</f>
        <v>Lanaudière</v>
      </c>
      <c r="T2253" s="2" t="s">
        <v>10523</v>
      </c>
      <c r="U2253" s="2" t="s">
        <v>39</v>
      </c>
      <c r="V2253" s="2" t="s">
        <v>40</v>
      </c>
      <c r="W2253" s="2" t="s">
        <v>10524</v>
      </c>
      <c r="X2253" s="2"/>
      <c r="Y2253" s="2"/>
      <c r="Z2253" s="2"/>
      <c r="AA2253" s="2" t="s">
        <v>72</v>
      </c>
      <c r="AB2253" s="2" t="s">
        <v>401</v>
      </c>
      <c r="AC2253" s="4" t="s">
        <v>44</v>
      </c>
    </row>
    <row r="2254" spans="1:29" x14ac:dyDescent="0.25">
      <c r="A2254" s="1">
        <v>4230</v>
      </c>
      <c r="B2254" s="17" t="s">
        <v>10525</v>
      </c>
      <c r="C2254" s="2" t="s">
        <v>7545</v>
      </c>
      <c r="D2254" s="15" t="s">
        <v>726</v>
      </c>
      <c r="E2254" s="9" t="s">
        <v>7546</v>
      </c>
      <c r="F2254" s="9" t="s">
        <v>8781</v>
      </c>
      <c r="G2254" s="9" t="s">
        <v>826</v>
      </c>
      <c r="H2254" s="2" t="s">
        <v>35</v>
      </c>
      <c r="I2254" s="3">
        <v>36611</v>
      </c>
      <c r="J2254" s="9" t="str">
        <f t="shared" ca="1" si="37"/>
        <v>23 ans</v>
      </c>
      <c r="K2254" s="2" t="s">
        <v>68</v>
      </c>
      <c r="L2254" s="2" t="str">
        <f>"497"</f>
        <v>497</v>
      </c>
      <c r="M2254" s="2"/>
      <c r="N2254" s="2" t="str">
        <f>"RUE DE L'ARDOISE"</f>
        <v>RUE DE L'ARDOISE</v>
      </c>
      <c r="O2254" s="2" t="s">
        <v>10493</v>
      </c>
      <c r="P2254" s="9" t="str">
        <f>VLOOKUP($O2254,'Liste des Villes'!$B$2:$B$1128,1,FALSE)</f>
        <v>Sainte-Julienne</v>
      </c>
      <c r="Q2254" s="9" t="str">
        <f>IFERROR($P2254,PROPER(VLOOKUP($O2254,'Villes en erreur'!$A$2:$B$72,2,FALSE)))</f>
        <v>Sainte-Julienne</v>
      </c>
      <c r="R2254" s="9" t="s">
        <v>10494</v>
      </c>
      <c r="S2254" s="9" t="str">
        <f>IF(ISBLANK($R2254),"",VLOOKUP($R2254,'Liste des Villes'!$B$2:$H$1128,4,FALSE))</f>
        <v>Lanaudière</v>
      </c>
      <c r="T2254" s="2" t="s">
        <v>10526</v>
      </c>
      <c r="U2254" s="2" t="s">
        <v>39</v>
      </c>
      <c r="V2254" s="2" t="s">
        <v>40</v>
      </c>
      <c r="W2254" s="2" t="s">
        <v>10527</v>
      </c>
      <c r="X2254" s="2"/>
      <c r="Y2254" s="2"/>
      <c r="Z2254" s="2"/>
      <c r="AA2254" s="2" t="s">
        <v>72</v>
      </c>
      <c r="AB2254" s="2" t="s">
        <v>401</v>
      </c>
      <c r="AC2254" s="4" t="s">
        <v>44</v>
      </c>
    </row>
    <row r="2255" spans="1:29" x14ac:dyDescent="0.25">
      <c r="A2255" s="1">
        <v>4243</v>
      </c>
      <c r="B2255" s="17" t="s">
        <v>10528</v>
      </c>
      <c r="C2255" s="2" t="s">
        <v>10529</v>
      </c>
      <c r="D2255" s="15" t="s">
        <v>6544</v>
      </c>
      <c r="E2255" s="9" t="s">
        <v>6772</v>
      </c>
      <c r="F2255" s="9" t="s">
        <v>1617</v>
      </c>
      <c r="G2255" s="9" t="s">
        <v>826</v>
      </c>
      <c r="H2255" s="2" t="s">
        <v>35</v>
      </c>
      <c r="I2255" s="3">
        <v>36611</v>
      </c>
      <c r="J2255" s="9" t="str">
        <f t="shared" ca="1" si="37"/>
        <v>23 ans</v>
      </c>
      <c r="K2255" s="2" t="s">
        <v>68</v>
      </c>
      <c r="L2255" s="2" t="str">
        <f>"496"</f>
        <v>496</v>
      </c>
      <c r="M2255" s="2"/>
      <c r="N2255" s="2" t="str">
        <f>"RUE DE L'ARDOISE"</f>
        <v>RUE DE L'ARDOISE</v>
      </c>
      <c r="O2255" s="2" t="s">
        <v>10493</v>
      </c>
      <c r="P2255" s="9" t="str">
        <f>VLOOKUP($O2255,'Liste des Villes'!$B$2:$B$1128,1,FALSE)</f>
        <v>Sainte-Julienne</v>
      </c>
      <c r="Q2255" s="9" t="str">
        <f>IFERROR($P2255,PROPER(VLOOKUP($O2255,'Villes en erreur'!$A$2:$B$72,2,FALSE)))</f>
        <v>Sainte-Julienne</v>
      </c>
      <c r="R2255" s="9" t="s">
        <v>10494</v>
      </c>
      <c r="S2255" s="9" t="str">
        <f>IF(ISBLANK($R2255),"",VLOOKUP($R2255,'Liste des Villes'!$B$2:$H$1128,4,FALSE))</f>
        <v>Lanaudière</v>
      </c>
      <c r="T2255" s="2" t="s">
        <v>10530</v>
      </c>
      <c r="U2255" s="2" t="s">
        <v>39</v>
      </c>
      <c r="V2255" s="2" t="s">
        <v>40</v>
      </c>
      <c r="W2255" s="2" t="s">
        <v>10531</v>
      </c>
      <c r="X2255" s="2"/>
      <c r="Y2255" s="2"/>
      <c r="Z2255" s="2"/>
      <c r="AA2255" s="2" t="s">
        <v>72</v>
      </c>
      <c r="AB2255" s="2" t="s">
        <v>401</v>
      </c>
      <c r="AC2255" s="4" t="s">
        <v>44</v>
      </c>
    </row>
    <row r="2256" spans="1:29" x14ac:dyDescent="0.25">
      <c r="A2256" s="1">
        <v>4454</v>
      </c>
      <c r="B2256" s="17" t="s">
        <v>10532</v>
      </c>
      <c r="C2256" s="2" t="s">
        <v>177</v>
      </c>
      <c r="D2256" s="15" t="s">
        <v>178</v>
      </c>
      <c r="E2256" s="9" t="s">
        <v>179</v>
      </c>
      <c r="F2256" s="9" t="s">
        <v>180</v>
      </c>
      <c r="G2256" s="9" t="s">
        <v>4448</v>
      </c>
      <c r="H2256" s="2" t="s">
        <v>60</v>
      </c>
      <c r="I2256" s="3">
        <v>36615</v>
      </c>
      <c r="J2256" s="9" t="str">
        <f t="shared" ca="1" si="37"/>
        <v>23 ans</v>
      </c>
      <c r="K2256" s="2" t="s">
        <v>68</v>
      </c>
      <c r="L2256" s="2" t="str">
        <f>"500"</f>
        <v>500</v>
      </c>
      <c r="M2256" s="2"/>
      <c r="N2256" s="2" t="str">
        <f>"RUE DE L'AZALÉE"</f>
        <v>RUE DE L'AZALÉE</v>
      </c>
      <c r="O2256" s="2" t="s">
        <v>10493</v>
      </c>
      <c r="P2256" s="9" t="str">
        <f>VLOOKUP($O2256,'Liste des Villes'!$B$2:$B$1128,1,FALSE)</f>
        <v>Sainte-Julienne</v>
      </c>
      <c r="Q2256" s="9" t="str">
        <f>IFERROR($P2256,PROPER(VLOOKUP($O2256,'Villes en erreur'!$A$2:$B$72,2,FALSE)))</f>
        <v>Sainte-Julienne</v>
      </c>
      <c r="R2256" s="9" t="s">
        <v>10494</v>
      </c>
      <c r="S2256" s="9" t="str">
        <f>IF(ISBLANK($R2256),"",VLOOKUP($R2256,'Liste des Villes'!$B$2:$H$1128,4,FALSE))</f>
        <v>Lanaudière</v>
      </c>
      <c r="T2256" s="2" t="s">
        <v>10533</v>
      </c>
      <c r="U2256" s="2" t="s">
        <v>39</v>
      </c>
      <c r="V2256" s="2" t="s">
        <v>40</v>
      </c>
      <c r="W2256" s="2" t="s">
        <v>10534</v>
      </c>
      <c r="X2256" s="2"/>
      <c r="Y2256" s="2"/>
      <c r="Z2256" s="2"/>
      <c r="AA2256" s="2" t="s">
        <v>72</v>
      </c>
      <c r="AB2256" s="2" t="s">
        <v>401</v>
      </c>
      <c r="AC2256" s="4" t="s">
        <v>44</v>
      </c>
    </row>
    <row r="2257" spans="1:29" x14ac:dyDescent="0.25">
      <c r="A2257" s="1">
        <v>2321</v>
      </c>
      <c r="B2257" s="17" t="s">
        <v>10535</v>
      </c>
      <c r="C2257" s="2" t="s">
        <v>10536</v>
      </c>
      <c r="D2257" s="15" t="s">
        <v>10537</v>
      </c>
      <c r="E2257" s="9" t="s">
        <v>862</v>
      </c>
      <c r="F2257" s="9" t="s">
        <v>218</v>
      </c>
      <c r="G2257" s="9" t="s">
        <v>10538</v>
      </c>
      <c r="H2257" s="2" t="s">
        <v>60</v>
      </c>
      <c r="I2257" s="3">
        <v>36615</v>
      </c>
      <c r="J2257" s="9" t="str">
        <f t="shared" ca="1" si="37"/>
        <v>23 ans</v>
      </c>
      <c r="K2257" s="2" t="s">
        <v>68</v>
      </c>
      <c r="L2257" s="2" t="str">
        <f>"500"</f>
        <v>500</v>
      </c>
      <c r="M2257" s="2"/>
      <c r="N2257" s="2" t="str">
        <f>"RUE DE L'AVIATEUR"</f>
        <v>RUE DE L'AVIATEUR</v>
      </c>
      <c r="O2257" s="2" t="s">
        <v>10493</v>
      </c>
      <c r="P2257" s="9" t="str">
        <f>VLOOKUP($O2257,'Liste des Villes'!$B$2:$B$1128,1,FALSE)</f>
        <v>Sainte-Julienne</v>
      </c>
      <c r="Q2257" s="9" t="str">
        <f>IFERROR($P2257,PROPER(VLOOKUP($O2257,'Villes en erreur'!$A$2:$B$72,2,FALSE)))</f>
        <v>Sainte-Julienne</v>
      </c>
      <c r="R2257" s="9" t="s">
        <v>10494</v>
      </c>
      <c r="S2257" s="9" t="str">
        <f>IF(ISBLANK($R2257),"",VLOOKUP($R2257,'Liste des Villes'!$B$2:$H$1128,4,FALSE))</f>
        <v>Lanaudière</v>
      </c>
      <c r="T2257" s="2" t="s">
        <v>10533</v>
      </c>
      <c r="U2257" s="2" t="s">
        <v>39</v>
      </c>
      <c r="V2257" s="2" t="s">
        <v>40</v>
      </c>
      <c r="W2257" s="2" t="s">
        <v>10539</v>
      </c>
      <c r="X2257" s="2"/>
      <c r="Y2257" s="2"/>
      <c r="Z2257" s="2"/>
      <c r="AA2257" s="2" t="s">
        <v>72</v>
      </c>
      <c r="AB2257" s="2" t="s">
        <v>401</v>
      </c>
      <c r="AC2257" s="4" t="s">
        <v>44</v>
      </c>
    </row>
    <row r="2258" spans="1:29" x14ac:dyDescent="0.25">
      <c r="A2258" s="1">
        <v>109</v>
      </c>
      <c r="B2258" s="17" t="s">
        <v>10540</v>
      </c>
      <c r="C2258" s="2" t="s">
        <v>10541</v>
      </c>
      <c r="D2258" s="15" t="s">
        <v>6578</v>
      </c>
      <c r="E2258" s="9" t="s">
        <v>10542</v>
      </c>
      <c r="F2258" s="9" t="s">
        <v>6577</v>
      </c>
      <c r="G2258" s="9" t="s">
        <v>826</v>
      </c>
      <c r="H2258" s="2" t="s">
        <v>35</v>
      </c>
      <c r="I2258" s="3">
        <v>36611</v>
      </c>
      <c r="J2258" s="9" t="str">
        <f t="shared" ca="1" si="37"/>
        <v>23 ans</v>
      </c>
      <c r="K2258" s="2" t="s">
        <v>68</v>
      </c>
      <c r="L2258" s="2" t="str">
        <f>"496"</f>
        <v>496</v>
      </c>
      <c r="M2258" s="2"/>
      <c r="N2258" s="2" t="str">
        <f>"RUE DE L'ARDOISE"</f>
        <v>RUE DE L'ARDOISE</v>
      </c>
      <c r="O2258" s="2" t="s">
        <v>10493</v>
      </c>
      <c r="P2258" s="9" t="str">
        <f>VLOOKUP($O2258,'Liste des Villes'!$B$2:$B$1128,1,FALSE)</f>
        <v>Sainte-Julienne</v>
      </c>
      <c r="Q2258" s="9" t="str">
        <f>IFERROR($P2258,PROPER(VLOOKUP($O2258,'Villes en erreur'!$A$2:$B$72,2,FALSE)))</f>
        <v>Sainte-Julienne</v>
      </c>
      <c r="R2258" s="9" t="s">
        <v>10494</v>
      </c>
      <c r="S2258" s="9" t="str">
        <f>IF(ISBLANK($R2258),"",VLOOKUP($R2258,'Liste des Villes'!$B$2:$H$1128,4,FALSE))</f>
        <v>Lanaudière</v>
      </c>
      <c r="T2258" s="2" t="s">
        <v>10543</v>
      </c>
      <c r="U2258" s="2" t="s">
        <v>39</v>
      </c>
      <c r="V2258" s="2" t="s">
        <v>40</v>
      </c>
      <c r="W2258" s="2" t="s">
        <v>10544</v>
      </c>
      <c r="X2258" s="2"/>
      <c r="Y2258" s="2"/>
      <c r="Z2258" s="2"/>
      <c r="AA2258" s="2" t="s">
        <v>72</v>
      </c>
      <c r="AB2258" s="2" t="s">
        <v>401</v>
      </c>
      <c r="AC2258" s="4" t="s">
        <v>44</v>
      </c>
    </row>
    <row r="2259" spans="1:29" x14ac:dyDescent="0.25">
      <c r="A2259" s="1">
        <v>2037</v>
      </c>
      <c r="B2259" s="17" t="s">
        <v>10545</v>
      </c>
      <c r="C2259" s="2" t="s">
        <v>10546</v>
      </c>
      <c r="D2259" s="15" t="s">
        <v>5590</v>
      </c>
      <c r="E2259" s="9" t="s">
        <v>10547</v>
      </c>
      <c r="F2259" s="9" t="s">
        <v>5589</v>
      </c>
      <c r="G2259" s="9" t="s">
        <v>397</v>
      </c>
      <c r="H2259" s="2" t="s">
        <v>60</v>
      </c>
      <c r="I2259" s="3">
        <v>36616</v>
      </c>
      <c r="J2259" s="9" t="str">
        <f t="shared" ca="1" si="37"/>
        <v>23 ans</v>
      </c>
      <c r="K2259" s="2" t="s">
        <v>68</v>
      </c>
      <c r="L2259" s="2" t="str">
        <f>"500"</f>
        <v>500</v>
      </c>
      <c r="M2259" s="2"/>
      <c r="N2259" s="2" t="str">
        <f>"RUE DE L'EAU-VIVE"</f>
        <v>RUE DE L'EAU-VIVE</v>
      </c>
      <c r="O2259" s="2" t="s">
        <v>10493</v>
      </c>
      <c r="P2259" s="9" t="str">
        <f>VLOOKUP($O2259,'Liste des Villes'!$B$2:$B$1128,1,FALSE)</f>
        <v>Sainte-Julienne</v>
      </c>
      <c r="Q2259" s="9" t="str">
        <f>IFERROR($P2259,PROPER(VLOOKUP($O2259,'Villes en erreur'!$A$2:$B$72,2,FALSE)))</f>
        <v>Sainte-Julienne</v>
      </c>
      <c r="R2259" s="9" t="s">
        <v>10494</v>
      </c>
      <c r="S2259" s="9" t="str">
        <f>IF(ISBLANK($R2259),"",VLOOKUP($R2259,'Liste des Villes'!$B$2:$H$1128,4,FALSE))</f>
        <v>Lanaudière</v>
      </c>
      <c r="T2259" s="2" t="s">
        <v>10533</v>
      </c>
      <c r="U2259" s="2" t="s">
        <v>39</v>
      </c>
      <c r="V2259" s="2" t="s">
        <v>40</v>
      </c>
      <c r="W2259" s="2" t="s">
        <v>10548</v>
      </c>
      <c r="X2259" s="2"/>
      <c r="Y2259" s="2"/>
      <c r="Z2259" s="2"/>
      <c r="AA2259" s="2" t="s">
        <v>72</v>
      </c>
      <c r="AB2259" s="2" t="s">
        <v>401</v>
      </c>
      <c r="AC2259" s="4" t="s">
        <v>44</v>
      </c>
    </row>
    <row r="2260" spans="1:29" x14ac:dyDescent="0.25">
      <c r="A2260" s="1">
        <v>1167</v>
      </c>
      <c r="B2260" s="17" t="s">
        <v>10549</v>
      </c>
      <c r="C2260" s="2" t="s">
        <v>3501</v>
      </c>
      <c r="D2260" s="15" t="s">
        <v>3502</v>
      </c>
      <c r="E2260" s="9" t="s">
        <v>3503</v>
      </c>
      <c r="F2260" s="9" t="s">
        <v>47</v>
      </c>
      <c r="G2260" s="9" t="s">
        <v>10550</v>
      </c>
      <c r="H2260" s="2" t="s">
        <v>35</v>
      </c>
      <c r="I2260" s="3">
        <v>36613</v>
      </c>
      <c r="J2260" s="9" t="str">
        <f t="shared" ca="1" si="37"/>
        <v>23 ans</v>
      </c>
      <c r="K2260" s="2" t="s">
        <v>68</v>
      </c>
      <c r="L2260" s="2" t="str">
        <f>"499"</f>
        <v>499</v>
      </c>
      <c r="M2260" s="2"/>
      <c r="N2260" s="2" t="str">
        <f>"RUE DE L'AUTAN"</f>
        <v>RUE DE L'AUTAN</v>
      </c>
      <c r="O2260" s="2" t="s">
        <v>10493</v>
      </c>
      <c r="P2260" s="9" t="str">
        <f>VLOOKUP($O2260,'Liste des Villes'!$B$2:$B$1128,1,FALSE)</f>
        <v>Sainte-Julienne</v>
      </c>
      <c r="Q2260" s="9" t="str">
        <f>IFERROR($P2260,PROPER(VLOOKUP($O2260,'Villes en erreur'!$A$2:$B$72,2,FALSE)))</f>
        <v>Sainte-Julienne</v>
      </c>
      <c r="R2260" s="9" t="s">
        <v>10494</v>
      </c>
      <c r="S2260" s="9" t="str">
        <f>IF(ISBLANK($R2260),"",VLOOKUP($R2260,'Liste des Villes'!$B$2:$H$1128,4,FALSE))</f>
        <v>Lanaudière</v>
      </c>
      <c r="T2260" s="2" t="s">
        <v>10551</v>
      </c>
      <c r="U2260" s="2" t="s">
        <v>39</v>
      </c>
      <c r="V2260" s="2" t="s">
        <v>40</v>
      </c>
      <c r="W2260" s="2" t="s">
        <v>10552</v>
      </c>
      <c r="X2260" s="2"/>
      <c r="Y2260" s="2"/>
      <c r="Z2260" s="2"/>
      <c r="AA2260" s="2" t="s">
        <v>72</v>
      </c>
      <c r="AB2260" s="2" t="s">
        <v>401</v>
      </c>
      <c r="AC2260" s="4" t="s">
        <v>44</v>
      </c>
    </row>
    <row r="2261" spans="1:29" x14ac:dyDescent="0.25">
      <c r="A2261" s="1">
        <v>4067</v>
      </c>
      <c r="B2261" s="17" t="s">
        <v>10553</v>
      </c>
      <c r="C2261" s="2" t="s">
        <v>2795</v>
      </c>
      <c r="D2261" s="15" t="s">
        <v>1592</v>
      </c>
      <c r="E2261" s="9" t="s">
        <v>2796</v>
      </c>
      <c r="F2261" s="9" t="s">
        <v>1590</v>
      </c>
      <c r="G2261" s="9" t="s">
        <v>826</v>
      </c>
      <c r="H2261" s="2" t="s">
        <v>35</v>
      </c>
      <c r="I2261" s="3">
        <v>36612</v>
      </c>
      <c r="J2261" s="9" t="str">
        <f t="shared" ca="1" si="37"/>
        <v>23 ans</v>
      </c>
      <c r="K2261" s="2" t="s">
        <v>68</v>
      </c>
      <c r="L2261" s="2" t="str">
        <f>"499"</f>
        <v>499</v>
      </c>
      <c r="M2261" s="2"/>
      <c r="N2261" s="2" t="str">
        <f>"RUE DE L'ARTISAN"</f>
        <v>RUE DE L'ARTISAN</v>
      </c>
      <c r="O2261" s="2" t="s">
        <v>10493</v>
      </c>
      <c r="P2261" s="9" t="str">
        <f>VLOOKUP($O2261,'Liste des Villes'!$B$2:$B$1128,1,FALSE)</f>
        <v>Sainte-Julienne</v>
      </c>
      <c r="Q2261" s="9" t="str">
        <f>IFERROR($P2261,PROPER(VLOOKUP($O2261,'Villes en erreur'!$A$2:$B$72,2,FALSE)))</f>
        <v>Sainte-Julienne</v>
      </c>
      <c r="R2261" s="9" t="s">
        <v>10494</v>
      </c>
      <c r="S2261" s="9" t="str">
        <f>IF(ISBLANK($R2261),"",VLOOKUP($R2261,'Liste des Villes'!$B$2:$H$1128,4,FALSE))</f>
        <v>Lanaudière</v>
      </c>
      <c r="T2261" s="2" t="s">
        <v>10502</v>
      </c>
      <c r="U2261" s="2" t="s">
        <v>39</v>
      </c>
      <c r="V2261" s="2" t="s">
        <v>40</v>
      </c>
      <c r="W2261" s="2" t="s">
        <v>10554</v>
      </c>
      <c r="X2261" s="2"/>
      <c r="Y2261" s="2"/>
      <c r="Z2261" s="2"/>
      <c r="AA2261" s="2" t="s">
        <v>72</v>
      </c>
      <c r="AB2261" s="2" t="s">
        <v>401</v>
      </c>
      <c r="AC2261" s="4" t="s">
        <v>44</v>
      </c>
    </row>
    <row r="2262" spans="1:29" x14ac:dyDescent="0.25">
      <c r="A2262" s="1">
        <v>4357</v>
      </c>
      <c r="B2262" s="17" t="s">
        <v>10555</v>
      </c>
      <c r="C2262" s="2" t="s">
        <v>10556</v>
      </c>
      <c r="D2262" s="15" t="s">
        <v>10557</v>
      </c>
      <c r="E2262" s="9" t="s">
        <v>610</v>
      </c>
      <c r="F2262" s="9" t="s">
        <v>10558</v>
      </c>
      <c r="G2262" s="9" t="s">
        <v>3503</v>
      </c>
      <c r="H2262" s="2" t="s">
        <v>60</v>
      </c>
      <c r="I2262" s="3">
        <v>36654</v>
      </c>
      <c r="J2262" s="9" t="str">
        <f t="shared" ca="1" si="37"/>
        <v>23 ans</v>
      </c>
      <c r="K2262" s="2" t="s">
        <v>68</v>
      </c>
      <c r="L2262" s="2" t="str">
        <f>"537"</f>
        <v>537</v>
      </c>
      <c r="M2262" s="2"/>
      <c r="N2262" s="2" t="str">
        <f>"RUE DE MARTIGNY OUEST"</f>
        <v>RUE DE MARTIGNY OUEST</v>
      </c>
      <c r="O2262" s="2" t="s">
        <v>10559</v>
      </c>
      <c r="P2262" s="9" t="str">
        <f>VLOOKUP($O2262,'Liste des Villes'!$B$2:$B$1128,1,FALSE)</f>
        <v>Sainte-Anne-des-Plaines</v>
      </c>
      <c r="Q2262" s="9" t="str">
        <f>IFERROR($P2262,PROPER(VLOOKUP($O2262,'Villes en erreur'!$A$2:$B$72,2,FALSE)))</f>
        <v>Sainte-Anne-des-Plaines</v>
      </c>
      <c r="R2262" s="9" t="s">
        <v>10560</v>
      </c>
      <c r="S2262" s="9" t="str">
        <f>IF(ISBLANK($R2262),"",VLOOKUP($R2262,'Liste des Villes'!$B$2:$H$1128,4,FALSE))</f>
        <v>Laurentides</v>
      </c>
      <c r="T2262" s="2" t="s">
        <v>10561</v>
      </c>
      <c r="U2262" s="2" t="s">
        <v>39</v>
      </c>
      <c r="V2262" s="2" t="s">
        <v>40</v>
      </c>
      <c r="W2262" s="2" t="s">
        <v>10562</v>
      </c>
      <c r="X2262" s="2"/>
      <c r="Y2262" s="2"/>
      <c r="Z2262" s="2"/>
      <c r="AA2262" s="2" t="s">
        <v>72</v>
      </c>
      <c r="AB2262" s="2" t="s">
        <v>545</v>
      </c>
      <c r="AC2262" s="4" t="s">
        <v>44</v>
      </c>
    </row>
    <row r="2263" spans="1:29" x14ac:dyDescent="0.25">
      <c r="A2263" s="1">
        <v>2432</v>
      </c>
      <c r="B2263" s="17" t="s">
        <v>10563</v>
      </c>
      <c r="C2263" s="2" t="s">
        <v>10564</v>
      </c>
      <c r="D2263" s="15" t="s">
        <v>10565</v>
      </c>
      <c r="E2263" s="9" t="s">
        <v>775</v>
      </c>
      <c r="F2263" s="9" t="s">
        <v>2085</v>
      </c>
      <c r="G2263" s="9" t="s">
        <v>10566</v>
      </c>
      <c r="H2263" s="2" t="s">
        <v>60</v>
      </c>
      <c r="I2263" s="3">
        <v>36630</v>
      </c>
      <c r="J2263" s="9" t="str">
        <f t="shared" ca="1" si="37"/>
        <v>23 ans</v>
      </c>
      <c r="K2263" s="2" t="s">
        <v>68</v>
      </c>
      <c r="L2263" s="2" t="str">
        <f>"514"</f>
        <v>514</v>
      </c>
      <c r="M2263" s="2"/>
      <c r="N2263" s="2" t="str">
        <f>"RUE DE L'ESTRAN"</f>
        <v>RUE DE L'ESTRAN</v>
      </c>
      <c r="O2263" s="2" t="s">
        <v>10559</v>
      </c>
      <c r="P2263" s="9" t="str">
        <f>VLOOKUP($O2263,'Liste des Villes'!$B$2:$B$1128,1,FALSE)</f>
        <v>Sainte-Anne-des-Plaines</v>
      </c>
      <c r="Q2263" s="9" t="str">
        <f>IFERROR($P2263,PROPER(VLOOKUP($O2263,'Villes en erreur'!$A$2:$B$72,2,FALSE)))</f>
        <v>Sainte-Anne-des-Plaines</v>
      </c>
      <c r="R2263" s="9" t="s">
        <v>10560</v>
      </c>
      <c r="S2263" s="9" t="str">
        <f>IF(ISBLANK($R2263),"",VLOOKUP($R2263,'Liste des Villes'!$B$2:$H$1128,4,FALSE))</f>
        <v>Laurentides</v>
      </c>
      <c r="T2263" s="2" t="s">
        <v>10567</v>
      </c>
      <c r="U2263" s="2" t="s">
        <v>39</v>
      </c>
      <c r="V2263" s="2" t="s">
        <v>40</v>
      </c>
      <c r="W2263" s="2" t="s">
        <v>10568</v>
      </c>
      <c r="X2263" s="2"/>
      <c r="Y2263" s="2"/>
      <c r="Z2263" s="2"/>
      <c r="AA2263" s="2" t="s">
        <v>72</v>
      </c>
      <c r="AB2263" s="2" t="s">
        <v>545</v>
      </c>
      <c r="AC2263" s="4" t="s">
        <v>44</v>
      </c>
    </row>
    <row r="2264" spans="1:29" x14ac:dyDescent="0.25">
      <c r="A2264" s="1">
        <v>1352</v>
      </c>
      <c r="B2264" s="17" t="s">
        <v>10569</v>
      </c>
      <c r="C2264" s="2" t="s">
        <v>10570</v>
      </c>
      <c r="D2264" s="15" t="s">
        <v>3648</v>
      </c>
      <c r="E2264" s="9" t="s">
        <v>10571</v>
      </c>
      <c r="F2264" s="9" t="s">
        <v>3646</v>
      </c>
      <c r="G2264" s="9" t="s">
        <v>3503</v>
      </c>
      <c r="H2264" s="2" t="s">
        <v>60</v>
      </c>
      <c r="I2264" s="3">
        <v>36656</v>
      </c>
      <c r="J2264" s="9" t="str">
        <f t="shared" ca="1" si="37"/>
        <v>23 ans</v>
      </c>
      <c r="K2264" s="2" t="s">
        <v>68</v>
      </c>
      <c r="L2264" s="2" t="str">
        <f>"538"</f>
        <v>538</v>
      </c>
      <c r="M2264" s="2"/>
      <c r="N2264" s="2" t="str">
        <f>"RUE DE MILAN"</f>
        <v>RUE DE MILAN</v>
      </c>
      <c r="O2264" s="2" t="s">
        <v>10559</v>
      </c>
      <c r="P2264" s="9" t="str">
        <f>VLOOKUP($O2264,'Liste des Villes'!$B$2:$B$1128,1,FALSE)</f>
        <v>Sainte-Anne-des-Plaines</v>
      </c>
      <c r="Q2264" s="9" t="str">
        <f>IFERROR($P2264,PROPER(VLOOKUP($O2264,'Villes en erreur'!$A$2:$B$72,2,FALSE)))</f>
        <v>Sainte-Anne-des-Plaines</v>
      </c>
      <c r="R2264" s="9" t="s">
        <v>10560</v>
      </c>
      <c r="S2264" s="9" t="str">
        <f>IF(ISBLANK($R2264),"",VLOOKUP($R2264,'Liste des Villes'!$B$2:$H$1128,4,FALSE))</f>
        <v>Laurentides</v>
      </c>
      <c r="T2264" s="2" t="s">
        <v>10572</v>
      </c>
      <c r="U2264" s="2" t="s">
        <v>39</v>
      </c>
      <c r="V2264" s="2" t="s">
        <v>40</v>
      </c>
      <c r="W2264" s="2" t="s">
        <v>10573</v>
      </c>
      <c r="X2264" s="2"/>
      <c r="Y2264" s="2"/>
      <c r="Z2264" s="2"/>
      <c r="AA2264" s="2" t="s">
        <v>72</v>
      </c>
      <c r="AB2264" s="2" t="s">
        <v>545</v>
      </c>
      <c r="AC2264" s="4" t="s">
        <v>44</v>
      </c>
    </row>
    <row r="2265" spans="1:29" x14ac:dyDescent="0.25">
      <c r="A2265" s="1">
        <v>4611</v>
      </c>
      <c r="B2265" s="17" t="s">
        <v>10574</v>
      </c>
      <c r="C2265" s="2" t="s">
        <v>3290</v>
      </c>
      <c r="D2265" s="15" t="s">
        <v>312</v>
      </c>
      <c r="E2265" s="9" t="s">
        <v>122</v>
      </c>
      <c r="F2265" s="9" t="s">
        <v>835</v>
      </c>
      <c r="G2265" s="9" t="s">
        <v>10575</v>
      </c>
      <c r="H2265" s="2" t="s">
        <v>60</v>
      </c>
      <c r="I2265" s="3">
        <v>36632</v>
      </c>
      <c r="J2265" s="9" t="str">
        <f t="shared" ca="1" si="37"/>
        <v>23 ans</v>
      </c>
      <c r="K2265" s="2" t="s">
        <v>68</v>
      </c>
      <c r="L2265" s="2" t="str">
        <f>"515"</f>
        <v>515</v>
      </c>
      <c r="M2265" s="2"/>
      <c r="N2265" s="2" t="str">
        <f>"RUE DE L'ÉTANG"</f>
        <v>RUE DE L'ÉTANG</v>
      </c>
      <c r="O2265" s="2" t="s">
        <v>10559</v>
      </c>
      <c r="P2265" s="9" t="str">
        <f>VLOOKUP($O2265,'Liste des Villes'!$B$2:$B$1128,1,FALSE)</f>
        <v>Sainte-Anne-des-Plaines</v>
      </c>
      <c r="Q2265" s="9" t="str">
        <f>IFERROR($P2265,PROPER(VLOOKUP($O2265,'Villes en erreur'!$A$2:$B$72,2,FALSE)))</f>
        <v>Sainte-Anne-des-Plaines</v>
      </c>
      <c r="R2265" s="9" t="s">
        <v>10560</v>
      </c>
      <c r="S2265" s="9" t="str">
        <f>IF(ISBLANK($R2265),"",VLOOKUP($R2265,'Liste des Villes'!$B$2:$H$1128,4,FALSE))</f>
        <v>Laurentides</v>
      </c>
      <c r="T2265" s="2" t="s">
        <v>10576</v>
      </c>
      <c r="U2265" s="2" t="s">
        <v>39</v>
      </c>
      <c r="V2265" s="2" t="s">
        <v>40</v>
      </c>
      <c r="W2265" s="2" t="s">
        <v>10577</v>
      </c>
      <c r="X2265" s="2"/>
      <c r="Y2265" s="2"/>
      <c r="Z2265" s="2"/>
      <c r="AA2265" s="2" t="s">
        <v>72</v>
      </c>
      <c r="AB2265" s="2" t="s">
        <v>545</v>
      </c>
      <c r="AC2265" s="4" t="s">
        <v>44</v>
      </c>
    </row>
    <row r="2266" spans="1:29" x14ac:dyDescent="0.25">
      <c r="A2266" s="1">
        <v>2249</v>
      </c>
      <c r="B2266" s="17" t="s">
        <v>10578</v>
      </c>
      <c r="C2266" s="2" t="s">
        <v>10579</v>
      </c>
      <c r="D2266" s="15" t="s">
        <v>8350</v>
      </c>
      <c r="E2266" s="9" t="s">
        <v>120</v>
      </c>
      <c r="F2266" s="9" t="s">
        <v>8349</v>
      </c>
      <c r="G2266" s="9" t="s">
        <v>1315</v>
      </c>
      <c r="H2266" s="2" t="s">
        <v>60</v>
      </c>
      <c r="I2266" s="3">
        <v>36641</v>
      </c>
      <c r="J2266" s="9" t="str">
        <f t="shared" ca="1" si="37"/>
        <v>23 ans</v>
      </c>
      <c r="K2266" s="2" t="s">
        <v>68</v>
      </c>
      <c r="L2266" s="2" t="str">
        <f>"525"</f>
        <v>525</v>
      </c>
      <c r="M2266" s="2"/>
      <c r="N2266" s="2" t="str">
        <f>"RUE DE L'OPALE"</f>
        <v>RUE DE L'OPALE</v>
      </c>
      <c r="O2266" s="2" t="s">
        <v>10559</v>
      </c>
      <c r="P2266" s="9" t="str">
        <f>VLOOKUP($O2266,'Liste des Villes'!$B$2:$B$1128,1,FALSE)</f>
        <v>Sainte-Anne-des-Plaines</v>
      </c>
      <c r="Q2266" s="9" t="str">
        <f>IFERROR($P2266,PROPER(VLOOKUP($O2266,'Villes en erreur'!$A$2:$B$72,2,FALSE)))</f>
        <v>Sainte-Anne-des-Plaines</v>
      </c>
      <c r="R2266" s="9" t="s">
        <v>10560</v>
      </c>
      <c r="S2266" s="9" t="str">
        <f>IF(ISBLANK($R2266),"",VLOOKUP($R2266,'Liste des Villes'!$B$2:$H$1128,4,FALSE))</f>
        <v>Laurentides</v>
      </c>
      <c r="T2266" s="2" t="s">
        <v>10580</v>
      </c>
      <c r="U2266" s="2" t="s">
        <v>39</v>
      </c>
      <c r="V2266" s="2" t="s">
        <v>40</v>
      </c>
      <c r="W2266" s="2" t="s">
        <v>10581</v>
      </c>
      <c r="X2266" s="2"/>
      <c r="Y2266" s="2"/>
      <c r="Z2266" s="2"/>
      <c r="AA2266" s="2" t="s">
        <v>72</v>
      </c>
      <c r="AB2266" s="2" t="s">
        <v>545</v>
      </c>
      <c r="AC2266" s="4" t="s">
        <v>44</v>
      </c>
    </row>
    <row r="2267" spans="1:29" x14ac:dyDescent="0.25">
      <c r="A2267" s="1">
        <v>2614</v>
      </c>
      <c r="B2267" s="17" t="s">
        <v>10582</v>
      </c>
      <c r="C2267" s="2" t="s">
        <v>10583</v>
      </c>
      <c r="D2267" s="15" t="s">
        <v>10584</v>
      </c>
      <c r="E2267" s="9" t="s">
        <v>1283</v>
      </c>
      <c r="F2267" s="9" t="s">
        <v>4050</v>
      </c>
      <c r="G2267" s="9" t="s">
        <v>10585</v>
      </c>
      <c r="H2267" s="2" t="s">
        <v>60</v>
      </c>
      <c r="I2267" s="3">
        <v>36657</v>
      </c>
      <c r="J2267" s="9" t="str">
        <f t="shared" ca="1" si="37"/>
        <v>23 ans</v>
      </c>
      <c r="K2267" s="2" t="s">
        <v>68</v>
      </c>
      <c r="L2267" s="2" t="str">
        <f>"539"</f>
        <v>539</v>
      </c>
      <c r="M2267" s="2"/>
      <c r="N2267" s="2" t="str">
        <f>"RUE DE MONTAUBAN"</f>
        <v>RUE DE MONTAUBAN</v>
      </c>
      <c r="O2267" s="2" t="s">
        <v>10559</v>
      </c>
      <c r="P2267" s="9" t="str">
        <f>VLOOKUP($O2267,'Liste des Villes'!$B$2:$B$1128,1,FALSE)</f>
        <v>Sainte-Anne-des-Plaines</v>
      </c>
      <c r="Q2267" s="9" t="str">
        <f>IFERROR($P2267,PROPER(VLOOKUP($O2267,'Villes en erreur'!$A$2:$B$72,2,FALSE)))</f>
        <v>Sainte-Anne-des-Plaines</v>
      </c>
      <c r="R2267" s="9" t="s">
        <v>10560</v>
      </c>
      <c r="S2267" s="9" t="str">
        <f>IF(ISBLANK($R2267),"",VLOOKUP($R2267,'Liste des Villes'!$B$2:$H$1128,4,FALSE))</f>
        <v>Laurentides</v>
      </c>
      <c r="T2267" s="2" t="s">
        <v>10586</v>
      </c>
      <c r="U2267" s="2" t="s">
        <v>39</v>
      </c>
      <c r="V2267" s="2" t="s">
        <v>40</v>
      </c>
      <c r="W2267" s="2" t="s">
        <v>10587</v>
      </c>
      <c r="X2267" s="2"/>
      <c r="Y2267" s="2"/>
      <c r="Z2267" s="2"/>
      <c r="AA2267" s="2" t="s">
        <v>72</v>
      </c>
      <c r="AB2267" s="2" t="s">
        <v>545</v>
      </c>
      <c r="AC2267" s="4" t="s">
        <v>44</v>
      </c>
    </row>
    <row r="2268" spans="1:29" x14ac:dyDescent="0.25">
      <c r="A2268" s="1">
        <v>740</v>
      </c>
      <c r="B2268" s="17" t="s">
        <v>10588</v>
      </c>
      <c r="C2268" s="2" t="s">
        <v>10589</v>
      </c>
      <c r="D2268" s="15" t="s">
        <v>10590</v>
      </c>
      <c r="E2268" s="9" t="s">
        <v>683</v>
      </c>
      <c r="F2268" s="9" t="s">
        <v>10591</v>
      </c>
      <c r="G2268" s="9" t="s">
        <v>1337</v>
      </c>
      <c r="H2268" s="2" t="s">
        <v>60</v>
      </c>
      <c r="I2268" s="3">
        <v>36623</v>
      </c>
      <c r="J2268" s="9" t="str">
        <f t="shared" ca="1" si="37"/>
        <v>23 ans</v>
      </c>
      <c r="K2268" s="2" t="s">
        <v>68</v>
      </c>
      <c r="L2268" s="2" t="str">
        <f>"508"</f>
        <v>508</v>
      </c>
      <c r="M2268" s="2"/>
      <c r="N2268" s="2" t="str">
        <f>"RUE DE L'ERMITAGE"</f>
        <v>RUE DE L'ERMITAGE</v>
      </c>
      <c r="O2268" s="2" t="s">
        <v>10559</v>
      </c>
      <c r="P2268" s="9" t="str">
        <f>VLOOKUP($O2268,'Liste des Villes'!$B$2:$B$1128,1,FALSE)</f>
        <v>Sainte-Anne-des-Plaines</v>
      </c>
      <c r="Q2268" s="9" t="str">
        <f>IFERROR($P2268,PROPER(VLOOKUP($O2268,'Villes en erreur'!$A$2:$B$72,2,FALSE)))</f>
        <v>Sainte-Anne-des-Plaines</v>
      </c>
      <c r="R2268" s="9" t="s">
        <v>10560</v>
      </c>
      <c r="S2268" s="9" t="str">
        <f>IF(ISBLANK($R2268),"",VLOOKUP($R2268,'Liste des Villes'!$B$2:$H$1128,4,FALSE))</f>
        <v>Laurentides</v>
      </c>
      <c r="T2268" s="2" t="s">
        <v>10592</v>
      </c>
      <c r="U2268" s="2" t="s">
        <v>39</v>
      </c>
      <c r="V2268" s="2" t="s">
        <v>40</v>
      </c>
      <c r="W2268" s="2" t="s">
        <v>10593</v>
      </c>
      <c r="X2268" s="2"/>
      <c r="Y2268" s="2"/>
      <c r="Z2268" s="2"/>
      <c r="AA2268" s="2" t="s">
        <v>72</v>
      </c>
      <c r="AB2268" s="2" t="s">
        <v>401</v>
      </c>
      <c r="AC2268" s="4" t="s">
        <v>44</v>
      </c>
    </row>
    <row r="2269" spans="1:29" x14ac:dyDescent="0.25">
      <c r="A2269" s="1">
        <v>1744</v>
      </c>
      <c r="B2269" s="17" t="s">
        <v>10594</v>
      </c>
      <c r="C2269" s="2" t="s">
        <v>163</v>
      </c>
      <c r="D2269" s="15" t="s">
        <v>164</v>
      </c>
      <c r="E2269" s="9" t="s">
        <v>165</v>
      </c>
      <c r="F2269" s="9" t="s">
        <v>166</v>
      </c>
      <c r="G2269" s="9" t="s">
        <v>131</v>
      </c>
      <c r="H2269" s="2" t="s">
        <v>60</v>
      </c>
      <c r="I2269" s="3">
        <v>36658</v>
      </c>
      <c r="J2269" s="9" t="str">
        <f t="shared" ca="1" si="37"/>
        <v>23 ans</v>
      </c>
      <c r="K2269" s="2" t="s">
        <v>68</v>
      </c>
      <c r="L2269" s="2" t="str">
        <f>"540"</f>
        <v>540</v>
      </c>
      <c r="M2269" s="2"/>
      <c r="N2269" s="2" t="str">
        <f>"RUE DE MONTIGNY"</f>
        <v>RUE DE MONTIGNY</v>
      </c>
      <c r="O2269" s="2" t="s">
        <v>10559</v>
      </c>
      <c r="P2269" s="9" t="str">
        <f>VLOOKUP($O2269,'Liste des Villes'!$B$2:$B$1128,1,FALSE)</f>
        <v>Sainte-Anne-des-Plaines</v>
      </c>
      <c r="Q2269" s="9" t="str">
        <f>IFERROR($P2269,PROPER(VLOOKUP($O2269,'Villes en erreur'!$A$2:$B$72,2,FALSE)))</f>
        <v>Sainte-Anne-des-Plaines</v>
      </c>
      <c r="R2269" s="9" t="s">
        <v>10560</v>
      </c>
      <c r="S2269" s="9" t="str">
        <f>IF(ISBLANK($R2269),"",VLOOKUP($R2269,'Liste des Villes'!$B$2:$H$1128,4,FALSE))</f>
        <v>Laurentides</v>
      </c>
      <c r="T2269" s="2" t="s">
        <v>10595</v>
      </c>
      <c r="U2269" s="2" t="s">
        <v>39</v>
      </c>
      <c r="V2269" s="2" t="s">
        <v>40</v>
      </c>
      <c r="W2269" s="2" t="s">
        <v>10596</v>
      </c>
      <c r="X2269" s="2"/>
      <c r="Y2269" s="2"/>
      <c r="Z2269" s="2"/>
      <c r="AA2269" s="2" t="s">
        <v>72</v>
      </c>
      <c r="AB2269" s="2" t="s">
        <v>545</v>
      </c>
      <c r="AC2269" s="4" t="s">
        <v>44</v>
      </c>
    </row>
    <row r="2270" spans="1:29" x14ac:dyDescent="0.25">
      <c r="A2270" s="1">
        <v>2434</v>
      </c>
      <c r="B2270" s="17" t="s">
        <v>10597</v>
      </c>
      <c r="C2270" s="2" t="s">
        <v>10598</v>
      </c>
      <c r="D2270" s="15" t="s">
        <v>827</v>
      </c>
      <c r="E2270" s="9" t="s">
        <v>5652</v>
      </c>
      <c r="F2270" s="9" t="s">
        <v>825</v>
      </c>
      <c r="G2270" s="9" t="s">
        <v>1315</v>
      </c>
      <c r="H2270" s="2" t="s">
        <v>60</v>
      </c>
      <c r="I2270" s="3">
        <v>36637</v>
      </c>
      <c r="J2270" s="9" t="str">
        <f t="shared" ca="1" si="37"/>
        <v>23 ans</v>
      </c>
      <c r="K2270" s="2" t="s">
        <v>68</v>
      </c>
      <c r="L2270" s="2" t="str">
        <f>"522"</f>
        <v>522</v>
      </c>
      <c r="M2270" s="2"/>
      <c r="N2270" s="2" t="str">
        <f>"RUE DE L'IRIS"</f>
        <v>RUE DE L'IRIS</v>
      </c>
      <c r="O2270" s="2" t="s">
        <v>10559</v>
      </c>
      <c r="P2270" s="9" t="str">
        <f>VLOOKUP($O2270,'Liste des Villes'!$B$2:$B$1128,1,FALSE)</f>
        <v>Sainte-Anne-des-Plaines</v>
      </c>
      <c r="Q2270" s="9" t="str">
        <f>IFERROR($P2270,PROPER(VLOOKUP($O2270,'Villes en erreur'!$A$2:$B$72,2,FALSE)))</f>
        <v>Sainte-Anne-des-Plaines</v>
      </c>
      <c r="R2270" s="9" t="s">
        <v>10560</v>
      </c>
      <c r="S2270" s="9" t="str">
        <f>IF(ISBLANK($R2270),"",VLOOKUP($R2270,'Liste des Villes'!$B$2:$H$1128,4,FALSE))</f>
        <v>Laurentides</v>
      </c>
      <c r="T2270" s="2" t="s">
        <v>10599</v>
      </c>
      <c r="U2270" s="2" t="s">
        <v>39</v>
      </c>
      <c r="V2270" s="2" t="s">
        <v>40</v>
      </c>
      <c r="W2270" s="2" t="s">
        <v>10600</v>
      </c>
      <c r="X2270" s="2"/>
      <c r="Y2270" s="2"/>
      <c r="Z2270" s="2"/>
      <c r="AA2270" s="2" t="s">
        <v>72</v>
      </c>
      <c r="AB2270" s="2" t="s">
        <v>545</v>
      </c>
      <c r="AC2270" s="4" t="s">
        <v>44</v>
      </c>
    </row>
    <row r="2271" spans="1:29" x14ac:dyDescent="0.25">
      <c r="A2271" s="1">
        <v>1159</v>
      </c>
      <c r="B2271" s="17" t="s">
        <v>10601</v>
      </c>
      <c r="C2271" s="2" t="s">
        <v>4237</v>
      </c>
      <c r="D2271" s="15" t="s">
        <v>100</v>
      </c>
      <c r="E2271" s="9" t="s">
        <v>4238</v>
      </c>
      <c r="F2271" s="9" t="s">
        <v>1436</v>
      </c>
      <c r="G2271" s="9" t="s">
        <v>3503</v>
      </c>
      <c r="H2271" s="2" t="s">
        <v>60</v>
      </c>
      <c r="I2271" s="3">
        <v>36653</v>
      </c>
      <c r="J2271" s="9" t="str">
        <f t="shared" ca="1" si="37"/>
        <v>23 ans</v>
      </c>
      <c r="K2271" s="2" t="s">
        <v>68</v>
      </c>
      <c r="L2271" s="2" t="str">
        <f>"536"</f>
        <v>536</v>
      </c>
      <c r="M2271" s="2"/>
      <c r="N2271" s="2" t="str">
        <f>"RUE DE MARTIGNY O"</f>
        <v>RUE DE MARTIGNY O</v>
      </c>
      <c r="O2271" s="2" t="s">
        <v>10559</v>
      </c>
      <c r="P2271" s="9" t="str">
        <f>VLOOKUP($O2271,'Liste des Villes'!$B$2:$B$1128,1,FALSE)</f>
        <v>Sainte-Anne-des-Plaines</v>
      </c>
      <c r="Q2271" s="9" t="str">
        <f>IFERROR($P2271,PROPER(VLOOKUP($O2271,'Villes en erreur'!$A$2:$B$72,2,FALSE)))</f>
        <v>Sainte-Anne-des-Plaines</v>
      </c>
      <c r="R2271" s="9" t="s">
        <v>10560</v>
      </c>
      <c r="S2271" s="9" t="str">
        <f>IF(ISBLANK($R2271),"",VLOOKUP($R2271,'Liste des Villes'!$B$2:$H$1128,4,FALSE))</f>
        <v>Laurentides</v>
      </c>
      <c r="T2271" s="2" t="s">
        <v>10602</v>
      </c>
      <c r="U2271" s="2" t="s">
        <v>39</v>
      </c>
      <c r="V2271" s="2" t="s">
        <v>40</v>
      </c>
      <c r="W2271" s="2" t="s">
        <v>10603</v>
      </c>
      <c r="X2271" s="2"/>
      <c r="Y2271" s="2"/>
      <c r="Z2271" s="2"/>
      <c r="AA2271" s="2" t="s">
        <v>72</v>
      </c>
      <c r="AB2271" s="2" t="s">
        <v>545</v>
      </c>
      <c r="AC2271" s="4" t="s">
        <v>44</v>
      </c>
    </row>
    <row r="2272" spans="1:29" x14ac:dyDescent="0.25">
      <c r="A2272" s="1">
        <v>2957</v>
      </c>
      <c r="B2272" s="17" t="s">
        <v>10604</v>
      </c>
      <c r="C2272" s="2" t="s">
        <v>10605</v>
      </c>
      <c r="D2272" s="15" t="s">
        <v>10606</v>
      </c>
      <c r="E2272" s="9" t="s">
        <v>899</v>
      </c>
      <c r="F2272" s="9" t="s">
        <v>10607</v>
      </c>
      <c r="G2272" s="9" t="s">
        <v>10608</v>
      </c>
      <c r="H2272" s="2" t="s">
        <v>60</v>
      </c>
      <c r="I2272" s="3">
        <v>36630</v>
      </c>
      <c r="J2272" s="9" t="str">
        <f t="shared" ca="1" si="37"/>
        <v>23 ans</v>
      </c>
      <c r="K2272" s="2" t="s">
        <v>68</v>
      </c>
      <c r="L2272" s="2" t="str">
        <f>"515"</f>
        <v>515</v>
      </c>
      <c r="M2272" s="2"/>
      <c r="N2272" s="2" t="str">
        <f>"RUE DE L'ESTRAN"</f>
        <v>RUE DE L'ESTRAN</v>
      </c>
      <c r="O2272" s="2" t="s">
        <v>10559</v>
      </c>
      <c r="P2272" s="9" t="str">
        <f>VLOOKUP($O2272,'Liste des Villes'!$B$2:$B$1128,1,FALSE)</f>
        <v>Sainte-Anne-des-Plaines</v>
      </c>
      <c r="Q2272" s="9" t="str">
        <f>IFERROR($P2272,PROPER(VLOOKUP($O2272,'Villes en erreur'!$A$2:$B$72,2,FALSE)))</f>
        <v>Sainte-Anne-des-Plaines</v>
      </c>
      <c r="R2272" s="9" t="s">
        <v>10560</v>
      </c>
      <c r="S2272" s="9" t="str">
        <f>IF(ISBLANK($R2272),"",VLOOKUP($R2272,'Liste des Villes'!$B$2:$H$1128,4,FALSE))</f>
        <v>Laurentides</v>
      </c>
      <c r="T2272" s="2" t="s">
        <v>10609</v>
      </c>
      <c r="U2272" s="2" t="s">
        <v>39</v>
      </c>
      <c r="V2272" s="2" t="s">
        <v>40</v>
      </c>
      <c r="W2272" s="2" t="s">
        <v>10610</v>
      </c>
      <c r="X2272" s="2"/>
      <c r="Y2272" s="2"/>
      <c r="Z2272" s="2"/>
      <c r="AA2272" s="2" t="s">
        <v>72</v>
      </c>
      <c r="AB2272" s="2" t="s">
        <v>545</v>
      </c>
      <c r="AC2272" s="4" t="s">
        <v>44</v>
      </c>
    </row>
    <row r="2273" spans="1:29" x14ac:dyDescent="0.25">
      <c r="A2273" s="1">
        <v>3849</v>
      </c>
      <c r="B2273" s="17" t="s">
        <v>10611</v>
      </c>
      <c r="C2273" s="2" t="s">
        <v>988</v>
      </c>
      <c r="D2273" s="15" t="s">
        <v>121</v>
      </c>
      <c r="E2273" s="9" t="s">
        <v>989</v>
      </c>
      <c r="F2273" s="9" t="s">
        <v>119</v>
      </c>
      <c r="G2273" s="9" t="s">
        <v>3730</v>
      </c>
      <c r="H2273" s="2" t="s">
        <v>60</v>
      </c>
      <c r="I2273" s="3">
        <v>36644</v>
      </c>
      <c r="J2273" s="9" t="str">
        <f t="shared" ca="1" si="37"/>
        <v>23 ans</v>
      </c>
      <c r="K2273" s="2" t="s">
        <v>68</v>
      </c>
      <c r="L2273" s="2" t="str">
        <f>"530"</f>
        <v>530</v>
      </c>
      <c r="M2273" s="2"/>
      <c r="N2273" s="2" t="str">
        <f>"RUE DE L'ORÉE-DES-BOIS"</f>
        <v>RUE DE L'ORÉE-DES-BOIS</v>
      </c>
      <c r="O2273" s="2" t="s">
        <v>10559</v>
      </c>
      <c r="P2273" s="9" t="str">
        <f>VLOOKUP($O2273,'Liste des Villes'!$B$2:$B$1128,1,FALSE)</f>
        <v>Sainte-Anne-des-Plaines</v>
      </c>
      <c r="Q2273" s="9" t="str">
        <f>IFERROR($P2273,PROPER(VLOOKUP($O2273,'Villes en erreur'!$A$2:$B$72,2,FALSE)))</f>
        <v>Sainte-Anne-des-Plaines</v>
      </c>
      <c r="R2273" s="9" t="s">
        <v>10560</v>
      </c>
      <c r="S2273" s="9" t="str">
        <f>IF(ISBLANK($R2273),"",VLOOKUP($R2273,'Liste des Villes'!$B$2:$H$1128,4,FALSE))</f>
        <v>Laurentides</v>
      </c>
      <c r="T2273" s="2" t="s">
        <v>10612</v>
      </c>
      <c r="U2273" s="2" t="s">
        <v>39</v>
      </c>
      <c r="V2273" s="2" t="s">
        <v>40</v>
      </c>
      <c r="W2273" s="2" t="s">
        <v>10613</v>
      </c>
      <c r="X2273" s="2"/>
      <c r="Y2273" s="2"/>
      <c r="Z2273" s="2"/>
      <c r="AA2273" s="2" t="s">
        <v>72</v>
      </c>
      <c r="AB2273" s="2" t="s">
        <v>545</v>
      </c>
      <c r="AC2273" s="4" t="s">
        <v>44</v>
      </c>
    </row>
    <row r="2274" spans="1:29" x14ac:dyDescent="0.25">
      <c r="A2274" s="1">
        <v>500</v>
      </c>
      <c r="B2274" s="17" t="s">
        <v>10614</v>
      </c>
      <c r="C2274" s="2" t="s">
        <v>10615</v>
      </c>
      <c r="D2274" s="15" t="s">
        <v>10616</v>
      </c>
      <c r="E2274" s="9" t="s">
        <v>541</v>
      </c>
      <c r="F2274" s="9" t="s">
        <v>10617</v>
      </c>
      <c r="G2274" s="9" t="s">
        <v>10618</v>
      </c>
      <c r="H2274" s="2" t="s">
        <v>60</v>
      </c>
      <c r="I2274" s="3">
        <v>36636</v>
      </c>
      <c r="J2274" s="9" t="str">
        <f t="shared" ca="1" si="37"/>
        <v>23 ans</v>
      </c>
      <c r="K2274" s="2" t="s">
        <v>68</v>
      </c>
      <c r="L2274" s="2" t="str">
        <f>"522"</f>
        <v>522</v>
      </c>
      <c r="M2274" s="2"/>
      <c r="N2274" s="2" t="str">
        <f>"RUE DE LIMOGES"</f>
        <v>RUE DE LIMOGES</v>
      </c>
      <c r="O2274" s="2" t="s">
        <v>10559</v>
      </c>
      <c r="P2274" s="9" t="str">
        <f>VLOOKUP($O2274,'Liste des Villes'!$B$2:$B$1128,1,FALSE)</f>
        <v>Sainte-Anne-des-Plaines</v>
      </c>
      <c r="Q2274" s="9" t="str">
        <f>IFERROR($P2274,PROPER(VLOOKUP($O2274,'Villes en erreur'!$A$2:$B$72,2,FALSE)))</f>
        <v>Sainte-Anne-des-Plaines</v>
      </c>
      <c r="R2274" s="9" t="s">
        <v>10560</v>
      </c>
      <c r="S2274" s="9" t="str">
        <f>IF(ISBLANK($R2274),"",VLOOKUP($R2274,'Liste des Villes'!$B$2:$H$1128,4,FALSE))</f>
        <v>Laurentides</v>
      </c>
      <c r="T2274" s="2" t="s">
        <v>10619</v>
      </c>
      <c r="U2274" s="2" t="s">
        <v>39</v>
      </c>
      <c r="V2274" s="2" t="s">
        <v>40</v>
      </c>
      <c r="W2274" s="2" t="s">
        <v>10620</v>
      </c>
      <c r="X2274" s="2"/>
      <c r="Y2274" s="2"/>
      <c r="Z2274" s="2"/>
      <c r="AA2274" s="2" t="s">
        <v>72</v>
      </c>
      <c r="AB2274" s="2" t="s">
        <v>545</v>
      </c>
      <c r="AC2274" s="4" t="s">
        <v>44</v>
      </c>
    </row>
    <row r="2275" spans="1:29" x14ac:dyDescent="0.25">
      <c r="A2275" s="1">
        <v>3230</v>
      </c>
      <c r="B2275" s="17" t="s">
        <v>10621</v>
      </c>
      <c r="C2275" s="2" t="s">
        <v>10622</v>
      </c>
      <c r="D2275" s="15" t="s">
        <v>4256</v>
      </c>
      <c r="E2275" s="9" t="s">
        <v>10623</v>
      </c>
      <c r="F2275" s="9" t="s">
        <v>5732</v>
      </c>
      <c r="G2275" s="9" t="s">
        <v>1315</v>
      </c>
      <c r="H2275" s="2" t="s">
        <v>60</v>
      </c>
      <c r="I2275" s="3">
        <v>36641</v>
      </c>
      <c r="J2275" s="9" t="str">
        <f t="shared" ca="1" si="37"/>
        <v>23 ans</v>
      </c>
      <c r="K2275" s="2" t="s">
        <v>68</v>
      </c>
      <c r="L2275" s="2" t="str">
        <f>"525"</f>
        <v>525</v>
      </c>
      <c r="M2275" s="2"/>
      <c r="N2275" s="2" t="str">
        <f>"RUE DE L'OPALE"</f>
        <v>RUE DE L'OPALE</v>
      </c>
      <c r="O2275" s="2" t="s">
        <v>10559</v>
      </c>
      <c r="P2275" s="9" t="str">
        <f>VLOOKUP($O2275,'Liste des Villes'!$B$2:$B$1128,1,FALSE)</f>
        <v>Sainte-Anne-des-Plaines</v>
      </c>
      <c r="Q2275" s="9" t="str">
        <f>IFERROR($P2275,PROPER(VLOOKUP($O2275,'Villes en erreur'!$A$2:$B$72,2,FALSE)))</f>
        <v>Sainte-Anne-des-Plaines</v>
      </c>
      <c r="R2275" s="9" t="s">
        <v>10560</v>
      </c>
      <c r="S2275" s="9" t="str">
        <f>IF(ISBLANK($R2275),"",VLOOKUP($R2275,'Liste des Villes'!$B$2:$H$1128,4,FALSE))</f>
        <v>Laurentides</v>
      </c>
      <c r="T2275" s="2" t="s">
        <v>10624</v>
      </c>
      <c r="U2275" s="2" t="s">
        <v>39</v>
      </c>
      <c r="V2275" s="2" t="s">
        <v>40</v>
      </c>
      <c r="W2275" s="2" t="s">
        <v>10625</v>
      </c>
      <c r="X2275" s="2"/>
      <c r="Y2275" s="2"/>
      <c r="Z2275" s="2"/>
      <c r="AA2275" s="2" t="s">
        <v>72</v>
      </c>
      <c r="AB2275" s="2" t="s">
        <v>545</v>
      </c>
      <c r="AC2275" s="4" t="s">
        <v>44</v>
      </c>
    </row>
    <row r="2276" spans="1:29" x14ac:dyDescent="0.25">
      <c r="A2276" s="1">
        <v>1513</v>
      </c>
      <c r="B2276" s="17" t="s">
        <v>10626</v>
      </c>
      <c r="C2276" s="2" t="s">
        <v>10627</v>
      </c>
      <c r="D2276" s="15" t="s">
        <v>562</v>
      </c>
      <c r="E2276" s="9" t="s">
        <v>10628</v>
      </c>
      <c r="F2276" s="9" t="s">
        <v>599</v>
      </c>
      <c r="G2276" s="9" t="s">
        <v>10629</v>
      </c>
      <c r="H2276" s="2" t="s">
        <v>60</v>
      </c>
      <c r="I2276" s="3">
        <v>36635</v>
      </c>
      <c r="J2276" s="9" t="str">
        <f t="shared" ca="1" si="37"/>
        <v>23 ans</v>
      </c>
      <c r="K2276" s="2" t="s">
        <v>68</v>
      </c>
      <c r="L2276" s="2" t="str">
        <f>"520"</f>
        <v>520</v>
      </c>
      <c r="M2276" s="2"/>
      <c r="N2276" s="2" t="str">
        <f>"RUE DE L'HARMONIE"</f>
        <v>RUE DE L'HARMONIE</v>
      </c>
      <c r="O2276" s="2" t="s">
        <v>10559</v>
      </c>
      <c r="P2276" s="9" t="str">
        <f>VLOOKUP($O2276,'Liste des Villes'!$B$2:$B$1128,1,FALSE)</f>
        <v>Sainte-Anne-des-Plaines</v>
      </c>
      <c r="Q2276" s="9" t="str">
        <f>IFERROR($P2276,PROPER(VLOOKUP($O2276,'Villes en erreur'!$A$2:$B$72,2,FALSE)))</f>
        <v>Sainte-Anne-des-Plaines</v>
      </c>
      <c r="R2276" s="9" t="s">
        <v>10560</v>
      </c>
      <c r="S2276" s="9" t="str">
        <f>IF(ISBLANK($R2276),"",VLOOKUP($R2276,'Liste des Villes'!$B$2:$H$1128,4,FALSE))</f>
        <v>Laurentides</v>
      </c>
      <c r="T2276" s="2" t="s">
        <v>10630</v>
      </c>
      <c r="U2276" s="2" t="s">
        <v>39</v>
      </c>
      <c r="V2276" s="2" t="s">
        <v>40</v>
      </c>
      <c r="W2276" s="2" t="s">
        <v>10631</v>
      </c>
      <c r="X2276" s="2"/>
      <c r="Y2276" s="2"/>
      <c r="Z2276" s="2"/>
      <c r="AA2276" s="2" t="s">
        <v>72</v>
      </c>
      <c r="AB2276" s="2" t="s">
        <v>545</v>
      </c>
      <c r="AC2276" s="4" t="s">
        <v>44</v>
      </c>
    </row>
    <row r="2277" spans="1:29" x14ac:dyDescent="0.25">
      <c r="A2277" s="1">
        <v>2215</v>
      </c>
      <c r="B2277" s="17" t="s">
        <v>10632</v>
      </c>
      <c r="C2277" s="2" t="s">
        <v>10633</v>
      </c>
      <c r="D2277" s="15" t="s">
        <v>7632</v>
      </c>
      <c r="E2277" s="9" t="s">
        <v>6310</v>
      </c>
      <c r="F2277" s="9" t="s">
        <v>7631</v>
      </c>
      <c r="G2277" s="9" t="s">
        <v>5444</v>
      </c>
      <c r="H2277" s="2" t="s">
        <v>60</v>
      </c>
      <c r="I2277" s="3">
        <v>36634</v>
      </c>
      <c r="J2277" s="9" t="str">
        <f t="shared" ca="1" si="37"/>
        <v>23 ans</v>
      </c>
      <c r="K2277" s="2" t="s">
        <v>68</v>
      </c>
      <c r="L2277" s="2" t="str">
        <f>"517"</f>
        <v>517</v>
      </c>
      <c r="M2277" s="2"/>
      <c r="N2277" s="2" t="str">
        <f>"RUE DE L'ÉVÊQUE"</f>
        <v>RUE DE L'ÉVÊQUE</v>
      </c>
      <c r="O2277" s="2" t="s">
        <v>10559</v>
      </c>
      <c r="P2277" s="9" t="str">
        <f>VLOOKUP($O2277,'Liste des Villes'!$B$2:$B$1128,1,FALSE)</f>
        <v>Sainte-Anne-des-Plaines</v>
      </c>
      <c r="Q2277" s="9" t="str">
        <f>IFERROR($P2277,PROPER(VLOOKUP($O2277,'Villes en erreur'!$A$2:$B$72,2,FALSE)))</f>
        <v>Sainte-Anne-des-Plaines</v>
      </c>
      <c r="R2277" s="9" t="s">
        <v>10560</v>
      </c>
      <c r="S2277" s="9" t="str">
        <f>IF(ISBLANK($R2277),"",VLOOKUP($R2277,'Liste des Villes'!$B$2:$H$1128,4,FALSE))</f>
        <v>Laurentides</v>
      </c>
      <c r="T2277" s="2" t="s">
        <v>10634</v>
      </c>
      <c r="U2277" s="2" t="s">
        <v>39</v>
      </c>
      <c r="V2277" s="2" t="s">
        <v>40</v>
      </c>
      <c r="W2277" s="2" t="s">
        <v>10635</v>
      </c>
      <c r="X2277" s="2"/>
      <c r="Y2277" s="2"/>
      <c r="Z2277" s="2"/>
      <c r="AA2277" s="2" t="s">
        <v>72</v>
      </c>
      <c r="AB2277" s="2" t="s">
        <v>545</v>
      </c>
      <c r="AC2277" s="4" t="s">
        <v>44</v>
      </c>
    </row>
    <row r="2278" spans="1:29" x14ac:dyDescent="0.25">
      <c r="A2278" s="1">
        <v>3397</v>
      </c>
      <c r="B2278" s="17" t="s">
        <v>10636</v>
      </c>
      <c r="C2278" s="2" t="s">
        <v>3771</v>
      </c>
      <c r="D2278" s="15" t="s">
        <v>3772</v>
      </c>
      <c r="E2278" s="9" t="s">
        <v>1037</v>
      </c>
      <c r="F2278" s="9" t="s">
        <v>4291</v>
      </c>
      <c r="G2278" s="9" t="s">
        <v>3730</v>
      </c>
      <c r="H2278" s="2" t="s">
        <v>60</v>
      </c>
      <c r="I2278" s="3">
        <v>36644</v>
      </c>
      <c r="J2278" s="9" t="str">
        <f t="shared" ca="1" si="37"/>
        <v>23 ans</v>
      </c>
      <c r="K2278" s="2" t="s">
        <v>68</v>
      </c>
      <c r="L2278" s="2" t="str">
        <f>"530"</f>
        <v>530</v>
      </c>
      <c r="M2278" s="2"/>
      <c r="N2278" s="2" t="str">
        <f>"RUE DE L'ORÉE-DES-BOIS"</f>
        <v>RUE DE L'ORÉE-DES-BOIS</v>
      </c>
      <c r="O2278" s="2" t="s">
        <v>10559</v>
      </c>
      <c r="P2278" s="9" t="str">
        <f>VLOOKUP($O2278,'Liste des Villes'!$B$2:$B$1128,1,FALSE)</f>
        <v>Sainte-Anne-des-Plaines</v>
      </c>
      <c r="Q2278" s="9" t="str">
        <f>IFERROR($P2278,PROPER(VLOOKUP($O2278,'Villes en erreur'!$A$2:$B$72,2,FALSE)))</f>
        <v>Sainte-Anne-des-Plaines</v>
      </c>
      <c r="R2278" s="9" t="s">
        <v>10560</v>
      </c>
      <c r="S2278" s="9" t="str">
        <f>IF(ISBLANK($R2278),"",VLOOKUP($R2278,'Liste des Villes'!$B$2:$H$1128,4,FALSE))</f>
        <v>Laurentides</v>
      </c>
      <c r="T2278" s="2" t="s">
        <v>10612</v>
      </c>
      <c r="U2278" s="2" t="s">
        <v>39</v>
      </c>
      <c r="V2278" s="2" t="s">
        <v>40</v>
      </c>
      <c r="W2278" s="2" t="s">
        <v>10637</v>
      </c>
      <c r="X2278" s="2"/>
      <c r="Y2278" s="2"/>
      <c r="Z2278" s="2"/>
      <c r="AA2278" s="2" t="s">
        <v>72</v>
      </c>
      <c r="AB2278" s="2" t="s">
        <v>545</v>
      </c>
      <c r="AC2278" s="4" t="s">
        <v>44</v>
      </c>
    </row>
    <row r="2279" spans="1:29" x14ac:dyDescent="0.25">
      <c r="A2279" s="1">
        <v>4233</v>
      </c>
      <c r="B2279" s="17" t="s">
        <v>10638</v>
      </c>
      <c r="C2279" s="2" t="s">
        <v>5020</v>
      </c>
      <c r="D2279" s="15" t="s">
        <v>5021</v>
      </c>
      <c r="E2279" s="9" t="s">
        <v>196</v>
      </c>
      <c r="F2279" s="9" t="s">
        <v>197</v>
      </c>
      <c r="G2279" s="9" t="s">
        <v>3503</v>
      </c>
      <c r="H2279" s="2" t="s">
        <v>60</v>
      </c>
      <c r="I2279" s="3">
        <v>36657</v>
      </c>
      <c r="J2279" s="9" t="str">
        <f t="shared" ca="1" si="37"/>
        <v>23 ans</v>
      </c>
      <c r="K2279" s="2" t="s">
        <v>68</v>
      </c>
      <c r="L2279" s="2" t="str">
        <f>"538"</f>
        <v>538</v>
      </c>
      <c r="M2279" s="2"/>
      <c r="N2279" s="2" t="str">
        <f>"RUE DE MILAN"</f>
        <v>RUE DE MILAN</v>
      </c>
      <c r="O2279" s="2" t="s">
        <v>10559</v>
      </c>
      <c r="P2279" s="9" t="str">
        <f>VLOOKUP($O2279,'Liste des Villes'!$B$2:$B$1128,1,FALSE)</f>
        <v>Sainte-Anne-des-Plaines</v>
      </c>
      <c r="Q2279" s="9" t="str">
        <f>IFERROR($P2279,PROPER(VLOOKUP($O2279,'Villes en erreur'!$A$2:$B$72,2,FALSE)))</f>
        <v>Sainte-Anne-des-Plaines</v>
      </c>
      <c r="R2279" s="9" t="s">
        <v>10560</v>
      </c>
      <c r="S2279" s="9" t="str">
        <f>IF(ISBLANK($R2279),"",VLOOKUP($R2279,'Liste des Villes'!$B$2:$H$1128,4,FALSE))</f>
        <v>Laurentides</v>
      </c>
      <c r="T2279" s="2" t="s">
        <v>10639</v>
      </c>
      <c r="U2279" s="2" t="s">
        <v>39</v>
      </c>
      <c r="V2279" s="2" t="s">
        <v>40</v>
      </c>
      <c r="W2279" s="2" t="s">
        <v>10640</v>
      </c>
      <c r="X2279" s="2"/>
      <c r="Y2279" s="2"/>
      <c r="Z2279" s="2"/>
      <c r="AA2279" s="2" t="s">
        <v>72</v>
      </c>
      <c r="AB2279" s="2" t="s">
        <v>545</v>
      </c>
      <c r="AC2279" s="4" t="s">
        <v>44</v>
      </c>
    </row>
    <row r="2280" spans="1:29" x14ac:dyDescent="0.25">
      <c r="A2280" s="1">
        <v>1079</v>
      </c>
      <c r="B2280" s="17" t="s">
        <v>10641</v>
      </c>
      <c r="C2280" s="2" t="s">
        <v>10642</v>
      </c>
      <c r="D2280" s="15" t="s">
        <v>10643</v>
      </c>
      <c r="E2280" s="9" t="s">
        <v>10644</v>
      </c>
      <c r="F2280" s="9" t="s">
        <v>10645</v>
      </c>
      <c r="G2280" s="9" t="s">
        <v>1337</v>
      </c>
      <c r="H2280" s="2" t="s">
        <v>60</v>
      </c>
      <c r="I2280" s="3">
        <v>36624</v>
      </c>
      <c r="J2280" s="9" t="str">
        <f t="shared" ca="1" si="37"/>
        <v>23 ans</v>
      </c>
      <c r="K2280" s="2" t="s">
        <v>68</v>
      </c>
      <c r="L2280" s="2" t="str">
        <f>"509"</f>
        <v>509</v>
      </c>
      <c r="M2280" s="2"/>
      <c r="N2280" s="2" t="str">
        <f>"RUE DE L'ERMITAGE"</f>
        <v>RUE DE L'ERMITAGE</v>
      </c>
      <c r="O2280" s="2" t="s">
        <v>10559</v>
      </c>
      <c r="P2280" s="9" t="str">
        <f>VLOOKUP($O2280,'Liste des Villes'!$B$2:$B$1128,1,FALSE)</f>
        <v>Sainte-Anne-des-Plaines</v>
      </c>
      <c r="Q2280" s="9" t="str">
        <f>IFERROR($P2280,PROPER(VLOOKUP($O2280,'Villes en erreur'!$A$2:$B$72,2,FALSE)))</f>
        <v>Sainte-Anne-des-Plaines</v>
      </c>
      <c r="R2280" s="9" t="s">
        <v>10560</v>
      </c>
      <c r="S2280" s="9" t="str">
        <f>IF(ISBLANK($R2280),"",VLOOKUP($R2280,'Liste des Villes'!$B$2:$H$1128,4,FALSE))</f>
        <v>Laurentides</v>
      </c>
      <c r="T2280" s="2" t="s">
        <v>10646</v>
      </c>
      <c r="U2280" s="2" t="s">
        <v>39</v>
      </c>
      <c r="V2280" s="2" t="s">
        <v>40</v>
      </c>
      <c r="W2280" s="2" t="s">
        <v>10647</v>
      </c>
      <c r="X2280" s="2"/>
      <c r="Y2280" s="2"/>
      <c r="Z2280" s="2"/>
      <c r="AA2280" s="2" t="s">
        <v>72</v>
      </c>
      <c r="AB2280" s="2" t="s">
        <v>401</v>
      </c>
      <c r="AC2280" s="4" t="s">
        <v>44</v>
      </c>
    </row>
    <row r="2281" spans="1:29" x14ac:dyDescent="0.25">
      <c r="A2281" s="1">
        <v>1120</v>
      </c>
      <c r="B2281" s="17" t="s">
        <v>10648</v>
      </c>
      <c r="C2281" s="2" t="s">
        <v>10649</v>
      </c>
      <c r="D2281" s="15" t="s">
        <v>2233</v>
      </c>
      <c r="E2281" s="9" t="s">
        <v>9947</v>
      </c>
      <c r="F2281" s="9" t="s">
        <v>7051</v>
      </c>
      <c r="G2281" s="9" t="s">
        <v>10650</v>
      </c>
      <c r="H2281" s="2" t="s">
        <v>60</v>
      </c>
      <c r="I2281" s="3">
        <v>36634</v>
      </c>
      <c r="J2281" s="9" t="str">
        <f t="shared" ca="1" si="37"/>
        <v>23 ans</v>
      </c>
      <c r="K2281" s="2" t="s">
        <v>68</v>
      </c>
      <c r="L2281" s="2" t="str">
        <f>"519"</f>
        <v>519</v>
      </c>
      <c r="M2281" s="2"/>
      <c r="N2281" s="2" t="str">
        <f>"RUE DE L'ÉVÊQUE"</f>
        <v>RUE DE L'ÉVÊQUE</v>
      </c>
      <c r="O2281" s="2" t="s">
        <v>10559</v>
      </c>
      <c r="P2281" s="9" t="str">
        <f>VLOOKUP($O2281,'Liste des Villes'!$B$2:$B$1128,1,FALSE)</f>
        <v>Sainte-Anne-des-Plaines</v>
      </c>
      <c r="Q2281" s="9" t="str">
        <f>IFERROR($P2281,PROPER(VLOOKUP($O2281,'Villes en erreur'!$A$2:$B$72,2,FALSE)))</f>
        <v>Sainte-Anne-des-Plaines</v>
      </c>
      <c r="R2281" s="9" t="s">
        <v>10560</v>
      </c>
      <c r="S2281" s="9" t="str">
        <f>IF(ISBLANK($R2281),"",VLOOKUP($R2281,'Liste des Villes'!$B$2:$H$1128,4,FALSE))</f>
        <v>Laurentides</v>
      </c>
      <c r="T2281" s="2" t="s">
        <v>10651</v>
      </c>
      <c r="U2281" s="2" t="s">
        <v>39</v>
      </c>
      <c r="V2281" s="2" t="s">
        <v>40</v>
      </c>
      <c r="W2281" s="2" t="s">
        <v>10652</v>
      </c>
      <c r="X2281" s="2"/>
      <c r="Y2281" s="2"/>
      <c r="Z2281" s="2"/>
      <c r="AA2281" s="2" t="s">
        <v>72</v>
      </c>
      <c r="AB2281" s="2" t="s">
        <v>545</v>
      </c>
      <c r="AC2281" s="4" t="s">
        <v>44</v>
      </c>
    </row>
    <row r="2282" spans="1:29" x14ac:dyDescent="0.25">
      <c r="A2282" s="1">
        <v>4612</v>
      </c>
      <c r="B2282" s="17" t="s">
        <v>10653</v>
      </c>
      <c r="C2282" s="2" t="s">
        <v>10654</v>
      </c>
      <c r="D2282" s="15" t="s">
        <v>6784</v>
      </c>
      <c r="E2282" s="9" t="s">
        <v>1037</v>
      </c>
      <c r="F2282" s="9" t="s">
        <v>898</v>
      </c>
      <c r="G2282" s="9" t="s">
        <v>3503</v>
      </c>
      <c r="H2282" s="2" t="s">
        <v>60</v>
      </c>
      <c r="I2282" s="3">
        <v>36656</v>
      </c>
      <c r="J2282" s="9" t="str">
        <f t="shared" ca="1" si="37"/>
        <v>23 ans</v>
      </c>
      <c r="K2282" s="2" t="s">
        <v>68</v>
      </c>
      <c r="L2282" s="2" t="str">
        <f>"537"</f>
        <v>537</v>
      </c>
      <c r="M2282" s="2"/>
      <c r="N2282" s="2" t="str">
        <f>"RUE DE MESY"</f>
        <v>RUE DE MESY</v>
      </c>
      <c r="O2282" s="2" t="s">
        <v>10559</v>
      </c>
      <c r="P2282" s="9" t="str">
        <f>VLOOKUP($O2282,'Liste des Villes'!$B$2:$B$1128,1,FALSE)</f>
        <v>Sainte-Anne-des-Plaines</v>
      </c>
      <c r="Q2282" s="9" t="str">
        <f>IFERROR($P2282,PROPER(VLOOKUP($O2282,'Villes en erreur'!$A$2:$B$72,2,FALSE)))</f>
        <v>Sainte-Anne-des-Plaines</v>
      </c>
      <c r="R2282" s="9" t="s">
        <v>10560</v>
      </c>
      <c r="S2282" s="9" t="str">
        <f>IF(ISBLANK($R2282),"",VLOOKUP($R2282,'Liste des Villes'!$B$2:$H$1128,4,FALSE))</f>
        <v>Laurentides</v>
      </c>
      <c r="T2282" s="2" t="s">
        <v>10655</v>
      </c>
      <c r="U2282" s="2" t="s">
        <v>39</v>
      </c>
      <c r="V2282" s="2" t="s">
        <v>40</v>
      </c>
      <c r="W2282" s="2" t="s">
        <v>10656</v>
      </c>
      <c r="X2282" s="2"/>
      <c r="Y2282" s="2"/>
      <c r="Z2282" s="2"/>
      <c r="AA2282" s="2" t="s">
        <v>72</v>
      </c>
      <c r="AB2282" s="2" t="s">
        <v>545</v>
      </c>
      <c r="AC2282" s="4" t="s">
        <v>44</v>
      </c>
    </row>
    <row r="2283" spans="1:29" x14ac:dyDescent="0.25">
      <c r="A2283" s="1">
        <v>831</v>
      </c>
      <c r="B2283" s="17" t="s">
        <v>10657</v>
      </c>
      <c r="C2283" s="2" t="s">
        <v>10658</v>
      </c>
      <c r="D2283" s="15" t="s">
        <v>10659</v>
      </c>
      <c r="E2283" s="9" t="s">
        <v>495</v>
      </c>
      <c r="F2283" s="9" t="s">
        <v>531</v>
      </c>
      <c r="G2283" s="9" t="s">
        <v>7698</v>
      </c>
      <c r="H2283" s="2" t="s">
        <v>60</v>
      </c>
      <c r="I2283" s="3">
        <v>36630</v>
      </c>
      <c r="J2283" s="9" t="str">
        <f t="shared" ca="1" si="37"/>
        <v>23 ans</v>
      </c>
      <c r="K2283" s="2" t="s">
        <v>68</v>
      </c>
      <c r="L2283" s="2" t="str">
        <f>"513"</f>
        <v>513</v>
      </c>
      <c r="M2283" s="2"/>
      <c r="N2283" s="2" t="str">
        <f>"RUE DE L'ESTRAN"</f>
        <v>RUE DE L'ESTRAN</v>
      </c>
      <c r="O2283" s="2" t="s">
        <v>10559</v>
      </c>
      <c r="P2283" s="9" t="str">
        <f>VLOOKUP($O2283,'Liste des Villes'!$B$2:$B$1128,1,FALSE)</f>
        <v>Sainte-Anne-des-Plaines</v>
      </c>
      <c r="Q2283" s="9" t="str">
        <f>IFERROR($P2283,PROPER(VLOOKUP($O2283,'Villes en erreur'!$A$2:$B$72,2,FALSE)))</f>
        <v>Sainte-Anne-des-Plaines</v>
      </c>
      <c r="R2283" s="9" t="s">
        <v>10560</v>
      </c>
      <c r="S2283" s="9" t="str">
        <f>IF(ISBLANK($R2283),"",VLOOKUP($R2283,'Liste des Villes'!$B$2:$H$1128,4,FALSE))</f>
        <v>Laurentides</v>
      </c>
      <c r="T2283" s="2" t="s">
        <v>10660</v>
      </c>
      <c r="U2283" s="2" t="s">
        <v>39</v>
      </c>
      <c r="V2283" s="2" t="s">
        <v>40</v>
      </c>
      <c r="W2283" s="2" t="s">
        <v>10661</v>
      </c>
      <c r="X2283" s="2"/>
      <c r="Y2283" s="2"/>
      <c r="Z2283" s="2"/>
      <c r="AA2283" s="2" t="s">
        <v>72</v>
      </c>
      <c r="AB2283" s="2" t="s">
        <v>545</v>
      </c>
      <c r="AC2283" s="4" t="s">
        <v>44</v>
      </c>
    </row>
    <row r="2284" spans="1:29" x14ac:dyDescent="0.25">
      <c r="A2284" s="1">
        <v>390</v>
      </c>
      <c r="B2284" s="17" t="s">
        <v>10662</v>
      </c>
      <c r="C2284" s="2" t="s">
        <v>9596</v>
      </c>
      <c r="D2284" s="15" t="s">
        <v>6205</v>
      </c>
      <c r="E2284" s="9" t="s">
        <v>1410</v>
      </c>
      <c r="F2284" s="9" t="s">
        <v>1523</v>
      </c>
      <c r="G2284" s="9" t="s">
        <v>1315</v>
      </c>
      <c r="H2284" s="2" t="s">
        <v>60</v>
      </c>
      <c r="I2284" s="3">
        <v>36638</v>
      </c>
      <c r="J2284" s="9" t="str">
        <f t="shared" ca="1" si="37"/>
        <v>23 ans</v>
      </c>
      <c r="K2284" s="2" t="s">
        <v>68</v>
      </c>
      <c r="L2284" s="2" t="str">
        <f>"523"</f>
        <v>523</v>
      </c>
      <c r="M2284" s="2"/>
      <c r="N2284" s="2" t="str">
        <f>"RUE DE L'OISELET"</f>
        <v>RUE DE L'OISELET</v>
      </c>
      <c r="O2284" s="2" t="s">
        <v>10559</v>
      </c>
      <c r="P2284" s="9" t="str">
        <f>VLOOKUP($O2284,'Liste des Villes'!$B$2:$B$1128,1,FALSE)</f>
        <v>Sainte-Anne-des-Plaines</v>
      </c>
      <c r="Q2284" s="9" t="str">
        <f>IFERROR($P2284,PROPER(VLOOKUP($O2284,'Villes en erreur'!$A$2:$B$72,2,FALSE)))</f>
        <v>Sainte-Anne-des-Plaines</v>
      </c>
      <c r="R2284" s="9" t="s">
        <v>10560</v>
      </c>
      <c r="S2284" s="9" t="str">
        <f>IF(ISBLANK($R2284),"",VLOOKUP($R2284,'Liste des Villes'!$B$2:$H$1128,4,FALSE))</f>
        <v>Laurentides</v>
      </c>
      <c r="T2284" s="2" t="s">
        <v>10663</v>
      </c>
      <c r="U2284" s="2" t="s">
        <v>39</v>
      </c>
      <c r="V2284" s="2" t="s">
        <v>40</v>
      </c>
      <c r="W2284" s="2" t="s">
        <v>10664</v>
      </c>
      <c r="X2284" s="2"/>
      <c r="Y2284" s="2"/>
      <c r="Z2284" s="2"/>
      <c r="AA2284" s="2" t="s">
        <v>72</v>
      </c>
      <c r="AB2284" s="2" t="s">
        <v>545</v>
      </c>
      <c r="AC2284" s="4" t="s">
        <v>44</v>
      </c>
    </row>
    <row r="2285" spans="1:29" x14ac:dyDescent="0.25">
      <c r="A2285" s="1">
        <v>4206</v>
      </c>
      <c r="B2285" s="17" t="s">
        <v>10665</v>
      </c>
      <c r="C2285" s="2" t="s">
        <v>10666</v>
      </c>
      <c r="D2285" s="15" t="s">
        <v>10667</v>
      </c>
      <c r="E2285" s="9" t="s">
        <v>341</v>
      </c>
      <c r="F2285" s="9" t="s">
        <v>6612</v>
      </c>
      <c r="G2285" s="9" t="s">
        <v>2779</v>
      </c>
      <c r="H2285" s="2" t="s">
        <v>60</v>
      </c>
      <c r="I2285" s="3">
        <v>36620</v>
      </c>
      <c r="J2285" s="9" t="str">
        <f t="shared" ca="1" si="37"/>
        <v>23 ans</v>
      </c>
      <c r="K2285" s="2" t="s">
        <v>68</v>
      </c>
      <c r="L2285" s="2" t="str">
        <f>"504"</f>
        <v>504</v>
      </c>
      <c r="M2285" s="2"/>
      <c r="N2285" s="2" t="str">
        <f>"RUE DE L'EPÉE"</f>
        <v>RUE DE L'EPÉE</v>
      </c>
      <c r="O2285" s="2" t="s">
        <v>10559</v>
      </c>
      <c r="P2285" s="9" t="str">
        <f>VLOOKUP($O2285,'Liste des Villes'!$B$2:$B$1128,1,FALSE)</f>
        <v>Sainte-Anne-des-Plaines</v>
      </c>
      <c r="Q2285" s="9" t="str">
        <f>IFERROR($P2285,PROPER(VLOOKUP($O2285,'Villes en erreur'!$A$2:$B$72,2,FALSE)))</f>
        <v>Sainte-Anne-des-Plaines</v>
      </c>
      <c r="R2285" s="9" t="s">
        <v>10560</v>
      </c>
      <c r="S2285" s="9" t="str">
        <f>IF(ISBLANK($R2285),"",VLOOKUP($R2285,'Liste des Villes'!$B$2:$H$1128,4,FALSE))</f>
        <v>Laurentides</v>
      </c>
      <c r="T2285" s="2" t="s">
        <v>10668</v>
      </c>
      <c r="U2285" s="2" t="s">
        <v>39</v>
      </c>
      <c r="V2285" s="2" t="s">
        <v>40</v>
      </c>
      <c r="W2285" s="2" t="s">
        <v>10669</v>
      </c>
      <c r="X2285" s="2"/>
      <c r="Y2285" s="2"/>
      <c r="Z2285" s="2"/>
      <c r="AA2285" s="2" t="s">
        <v>72</v>
      </c>
      <c r="AB2285" s="2" t="s">
        <v>401</v>
      </c>
      <c r="AC2285" s="4" t="s">
        <v>44</v>
      </c>
    </row>
    <row r="2286" spans="1:29" x14ac:dyDescent="0.25">
      <c r="A2286" s="1">
        <v>2498</v>
      </c>
      <c r="B2286" s="17" t="s">
        <v>10670</v>
      </c>
      <c r="C2286" s="2" t="s">
        <v>1733</v>
      </c>
      <c r="D2286" s="15" t="s">
        <v>100</v>
      </c>
      <c r="E2286" s="9" t="s">
        <v>122</v>
      </c>
      <c r="F2286" s="9" t="s">
        <v>9931</v>
      </c>
      <c r="G2286" s="9" t="s">
        <v>2779</v>
      </c>
      <c r="H2286" s="2" t="s">
        <v>60</v>
      </c>
      <c r="I2286" s="3">
        <v>36620</v>
      </c>
      <c r="J2286" s="9" t="str">
        <f t="shared" ca="1" si="37"/>
        <v>23 ans</v>
      </c>
      <c r="K2286" s="2" t="s">
        <v>68</v>
      </c>
      <c r="L2286" s="2" t="str">
        <f>"505"</f>
        <v>505</v>
      </c>
      <c r="M2286" s="2"/>
      <c r="N2286" s="2" t="str">
        <f>"RUE DE L'ÉPERVIER"</f>
        <v>RUE DE L'ÉPERVIER</v>
      </c>
      <c r="O2286" s="2" t="s">
        <v>10559</v>
      </c>
      <c r="P2286" s="9" t="str">
        <f>VLOOKUP($O2286,'Liste des Villes'!$B$2:$B$1128,1,FALSE)</f>
        <v>Sainte-Anne-des-Plaines</v>
      </c>
      <c r="Q2286" s="9" t="str">
        <f>IFERROR($P2286,PROPER(VLOOKUP($O2286,'Villes en erreur'!$A$2:$B$72,2,FALSE)))</f>
        <v>Sainte-Anne-des-Plaines</v>
      </c>
      <c r="R2286" s="9" t="s">
        <v>10560</v>
      </c>
      <c r="S2286" s="9" t="str">
        <f>IF(ISBLANK($R2286),"",VLOOKUP($R2286,'Liste des Villes'!$B$2:$H$1128,4,FALSE))</f>
        <v>Laurentides</v>
      </c>
      <c r="T2286" s="2" t="s">
        <v>10671</v>
      </c>
      <c r="U2286" s="2" t="s">
        <v>39</v>
      </c>
      <c r="V2286" s="2" t="s">
        <v>40</v>
      </c>
      <c r="W2286" s="2" t="s">
        <v>10672</v>
      </c>
      <c r="X2286" s="2"/>
      <c r="Y2286" s="2"/>
      <c r="Z2286" s="2"/>
      <c r="AA2286" s="2" t="s">
        <v>72</v>
      </c>
      <c r="AB2286" s="2" t="s">
        <v>401</v>
      </c>
      <c r="AC2286" s="4" t="s">
        <v>44</v>
      </c>
    </row>
    <row r="2287" spans="1:29" x14ac:dyDescent="0.25">
      <c r="A2287" s="1">
        <v>3546</v>
      </c>
      <c r="B2287" s="17" t="s">
        <v>10673</v>
      </c>
      <c r="C2287" s="2" t="s">
        <v>10674</v>
      </c>
      <c r="D2287" s="15" t="s">
        <v>867</v>
      </c>
      <c r="E2287" s="9" t="s">
        <v>10675</v>
      </c>
      <c r="F2287" s="9" t="s">
        <v>10676</v>
      </c>
      <c r="G2287" s="9" t="s">
        <v>397</v>
      </c>
      <c r="H2287" s="2" t="s">
        <v>60</v>
      </c>
      <c r="I2287" s="3">
        <v>36619</v>
      </c>
      <c r="J2287" s="9" t="str">
        <f t="shared" ca="1" si="37"/>
        <v>23 ans</v>
      </c>
      <c r="K2287" s="2" t="s">
        <v>68</v>
      </c>
      <c r="L2287" s="2" t="str">
        <f>"502"</f>
        <v>502</v>
      </c>
      <c r="M2287" s="2"/>
      <c r="N2287" s="2" t="str">
        <f>"RUE DE L'ÉGLISE"</f>
        <v>RUE DE L'ÉGLISE</v>
      </c>
      <c r="O2287" s="2" t="s">
        <v>10559</v>
      </c>
      <c r="P2287" s="9" t="str">
        <f>VLOOKUP($O2287,'Liste des Villes'!$B$2:$B$1128,1,FALSE)</f>
        <v>Sainte-Anne-des-Plaines</v>
      </c>
      <c r="Q2287" s="9" t="str">
        <f>IFERROR($P2287,PROPER(VLOOKUP($O2287,'Villes en erreur'!$A$2:$B$72,2,FALSE)))</f>
        <v>Sainte-Anne-des-Plaines</v>
      </c>
      <c r="R2287" s="9" t="s">
        <v>10560</v>
      </c>
      <c r="S2287" s="9" t="str">
        <f>IF(ISBLANK($R2287),"",VLOOKUP($R2287,'Liste des Villes'!$B$2:$H$1128,4,FALSE))</f>
        <v>Laurentides</v>
      </c>
      <c r="T2287" s="2" t="s">
        <v>10677</v>
      </c>
      <c r="U2287" s="2" t="s">
        <v>39</v>
      </c>
      <c r="V2287" s="2" t="s">
        <v>40</v>
      </c>
      <c r="W2287" s="2" t="s">
        <v>10678</v>
      </c>
      <c r="X2287" s="2"/>
      <c r="Y2287" s="2"/>
      <c r="Z2287" s="2"/>
      <c r="AA2287" s="2" t="s">
        <v>72</v>
      </c>
      <c r="AB2287" s="2" t="s">
        <v>401</v>
      </c>
      <c r="AC2287" s="4" t="s">
        <v>44</v>
      </c>
    </row>
    <row r="2288" spans="1:29" x14ac:dyDescent="0.25">
      <c r="A2288" s="1">
        <v>2086</v>
      </c>
      <c r="B2288" s="17" t="s">
        <v>10679</v>
      </c>
      <c r="C2288" s="2" t="s">
        <v>10680</v>
      </c>
      <c r="D2288" s="15" t="s">
        <v>2455</v>
      </c>
      <c r="E2288" s="9" t="s">
        <v>186</v>
      </c>
      <c r="F2288" s="9" t="s">
        <v>1104</v>
      </c>
      <c r="G2288" s="9" t="s">
        <v>1315</v>
      </c>
      <c r="H2288" s="2" t="s">
        <v>60</v>
      </c>
      <c r="I2288" s="3">
        <v>36643</v>
      </c>
      <c r="J2288" s="9" t="str">
        <f t="shared" ca="1" si="37"/>
        <v>23 ans</v>
      </c>
      <c r="K2288" s="2" t="s">
        <v>68</v>
      </c>
      <c r="L2288" s="2" t="str">
        <f>"529"</f>
        <v>529</v>
      </c>
      <c r="M2288" s="2"/>
      <c r="N2288" s="2" t="str">
        <f>"RUE DE L'ORÉE DES BOIS"</f>
        <v>RUE DE L'ORÉE DES BOIS</v>
      </c>
      <c r="O2288" s="2" t="s">
        <v>10559</v>
      </c>
      <c r="P2288" s="9" t="str">
        <f>VLOOKUP($O2288,'Liste des Villes'!$B$2:$B$1128,1,FALSE)</f>
        <v>Sainte-Anne-des-Plaines</v>
      </c>
      <c r="Q2288" s="9" t="str">
        <f>IFERROR($P2288,PROPER(VLOOKUP($O2288,'Villes en erreur'!$A$2:$B$72,2,FALSE)))</f>
        <v>Sainte-Anne-des-Plaines</v>
      </c>
      <c r="R2288" s="9" t="s">
        <v>10560</v>
      </c>
      <c r="S2288" s="9" t="str">
        <f>IF(ISBLANK($R2288),"",VLOOKUP($R2288,'Liste des Villes'!$B$2:$H$1128,4,FALSE))</f>
        <v>Laurentides</v>
      </c>
      <c r="T2288" s="2" t="s">
        <v>10681</v>
      </c>
      <c r="U2288" s="2" t="s">
        <v>39</v>
      </c>
      <c r="V2288" s="2" t="s">
        <v>40</v>
      </c>
      <c r="W2288" s="2" t="s">
        <v>10682</v>
      </c>
      <c r="X2288" s="2"/>
      <c r="Y2288" s="2"/>
      <c r="Z2288" s="2"/>
      <c r="AA2288" s="2" t="s">
        <v>72</v>
      </c>
      <c r="AB2288" s="2" t="s">
        <v>545</v>
      </c>
      <c r="AC2288" s="4" t="s">
        <v>44</v>
      </c>
    </row>
    <row r="2289" spans="1:29" x14ac:dyDescent="0.25">
      <c r="A2289" s="1">
        <v>3627</v>
      </c>
      <c r="B2289" s="17" t="s">
        <v>10683</v>
      </c>
      <c r="C2289" s="2" t="s">
        <v>10684</v>
      </c>
      <c r="D2289" s="15" t="s">
        <v>56</v>
      </c>
      <c r="E2289" s="9" t="s">
        <v>1425</v>
      </c>
      <c r="F2289" s="9" t="s">
        <v>9747</v>
      </c>
      <c r="G2289" s="9" t="s">
        <v>3503</v>
      </c>
      <c r="H2289" s="2" t="s">
        <v>60</v>
      </c>
      <c r="I2289" s="3">
        <v>36656</v>
      </c>
      <c r="J2289" s="9" t="str">
        <f t="shared" ca="1" si="37"/>
        <v>23 ans</v>
      </c>
      <c r="K2289" s="2" t="s">
        <v>68</v>
      </c>
      <c r="L2289" s="2" t="str">
        <f>"537"</f>
        <v>537</v>
      </c>
      <c r="M2289" s="2"/>
      <c r="N2289" s="2" t="str">
        <f>"RUE DE MARTIGNY OUEST"</f>
        <v>RUE DE MARTIGNY OUEST</v>
      </c>
      <c r="O2289" s="2" t="s">
        <v>10559</v>
      </c>
      <c r="P2289" s="9" t="str">
        <f>VLOOKUP($O2289,'Liste des Villes'!$B$2:$B$1128,1,FALSE)</f>
        <v>Sainte-Anne-des-Plaines</v>
      </c>
      <c r="Q2289" s="9" t="str">
        <f>IFERROR($P2289,PROPER(VLOOKUP($O2289,'Villes en erreur'!$A$2:$B$72,2,FALSE)))</f>
        <v>Sainte-Anne-des-Plaines</v>
      </c>
      <c r="R2289" s="9" t="s">
        <v>10560</v>
      </c>
      <c r="S2289" s="9" t="str">
        <f>IF(ISBLANK($R2289),"",VLOOKUP($R2289,'Liste des Villes'!$B$2:$H$1128,4,FALSE))</f>
        <v>Laurentides</v>
      </c>
      <c r="T2289" s="2" t="s">
        <v>10685</v>
      </c>
      <c r="U2289" s="2" t="s">
        <v>39</v>
      </c>
      <c r="V2289" s="2" t="s">
        <v>40</v>
      </c>
      <c r="W2289" s="2" t="s">
        <v>10686</v>
      </c>
      <c r="X2289" s="2"/>
      <c r="Y2289" s="2"/>
      <c r="Z2289" s="2"/>
      <c r="AA2289" s="2" t="s">
        <v>72</v>
      </c>
      <c r="AB2289" s="2" t="s">
        <v>545</v>
      </c>
      <c r="AC2289" s="4" t="s">
        <v>44</v>
      </c>
    </row>
    <row r="2290" spans="1:29" x14ac:dyDescent="0.25">
      <c r="A2290" s="1">
        <v>4163</v>
      </c>
      <c r="B2290" s="17" t="s">
        <v>10687</v>
      </c>
      <c r="C2290" s="2" t="s">
        <v>10688</v>
      </c>
      <c r="D2290" s="15" t="s">
        <v>10689</v>
      </c>
      <c r="E2290" s="9" t="s">
        <v>341</v>
      </c>
      <c r="F2290" s="9" t="s">
        <v>10690</v>
      </c>
      <c r="G2290" s="9" t="s">
        <v>397</v>
      </c>
      <c r="H2290" s="2" t="s">
        <v>60</v>
      </c>
      <c r="I2290" s="3">
        <v>36618</v>
      </c>
      <c r="J2290" s="9" t="str">
        <f t="shared" ca="1" si="37"/>
        <v>23 ans</v>
      </c>
      <c r="K2290" s="2" t="s">
        <v>68</v>
      </c>
      <c r="L2290" s="2" t="str">
        <f>"501"</f>
        <v>501</v>
      </c>
      <c r="M2290" s="2"/>
      <c r="N2290" s="2" t="str">
        <f>"RUE DE L'ÉGLISE"</f>
        <v>RUE DE L'ÉGLISE</v>
      </c>
      <c r="O2290" s="2" t="s">
        <v>10559</v>
      </c>
      <c r="P2290" s="9" t="str">
        <f>VLOOKUP($O2290,'Liste des Villes'!$B$2:$B$1128,1,FALSE)</f>
        <v>Sainte-Anne-des-Plaines</v>
      </c>
      <c r="Q2290" s="9" t="str">
        <f>IFERROR($P2290,PROPER(VLOOKUP($O2290,'Villes en erreur'!$A$2:$B$72,2,FALSE)))</f>
        <v>Sainte-Anne-des-Plaines</v>
      </c>
      <c r="R2290" s="9" t="s">
        <v>10560</v>
      </c>
      <c r="S2290" s="9" t="str">
        <f>IF(ISBLANK($R2290),"",VLOOKUP($R2290,'Liste des Villes'!$B$2:$H$1128,4,FALSE))</f>
        <v>Laurentides</v>
      </c>
      <c r="T2290" s="2" t="s">
        <v>10691</v>
      </c>
      <c r="U2290" s="2" t="s">
        <v>39</v>
      </c>
      <c r="V2290" s="2" t="s">
        <v>40</v>
      </c>
      <c r="W2290" s="2" t="s">
        <v>10692</v>
      </c>
      <c r="X2290" s="2"/>
      <c r="Y2290" s="2"/>
      <c r="Z2290" s="2"/>
      <c r="AA2290" s="2" t="s">
        <v>72</v>
      </c>
      <c r="AB2290" s="2" t="s">
        <v>401</v>
      </c>
      <c r="AC2290" s="4" t="s">
        <v>44</v>
      </c>
    </row>
    <row r="2291" spans="1:29" x14ac:dyDescent="0.25">
      <c r="A2291" s="1">
        <v>702</v>
      </c>
      <c r="B2291" s="17" t="s">
        <v>10693</v>
      </c>
      <c r="C2291" s="2" t="s">
        <v>485</v>
      </c>
      <c r="D2291" s="15" t="s">
        <v>486</v>
      </c>
      <c r="E2291" s="9" t="s">
        <v>487</v>
      </c>
      <c r="F2291" s="9" t="s">
        <v>488</v>
      </c>
      <c r="G2291" s="9" t="s">
        <v>4793</v>
      </c>
      <c r="H2291" s="2" t="s">
        <v>60</v>
      </c>
      <c r="I2291" s="3">
        <v>36653</v>
      </c>
      <c r="J2291" s="9" t="str">
        <f t="shared" ca="1" si="37"/>
        <v>23 ans</v>
      </c>
      <c r="K2291" s="2" t="s">
        <v>68</v>
      </c>
      <c r="L2291" s="2" t="str">
        <f>"536"</f>
        <v>536</v>
      </c>
      <c r="M2291" s="2"/>
      <c r="N2291" s="2" t="str">
        <f>"RUE DE MARTIGNY E"</f>
        <v>RUE DE MARTIGNY E</v>
      </c>
      <c r="O2291" s="2" t="s">
        <v>10559</v>
      </c>
      <c r="P2291" s="9" t="str">
        <f>VLOOKUP($O2291,'Liste des Villes'!$B$2:$B$1128,1,FALSE)</f>
        <v>Sainte-Anne-des-Plaines</v>
      </c>
      <c r="Q2291" s="9" t="str">
        <f>IFERROR($P2291,PROPER(VLOOKUP($O2291,'Villes en erreur'!$A$2:$B$72,2,FALSE)))</f>
        <v>Sainte-Anne-des-Plaines</v>
      </c>
      <c r="R2291" s="9" t="s">
        <v>10560</v>
      </c>
      <c r="S2291" s="9" t="str">
        <f>IF(ISBLANK($R2291),"",VLOOKUP($R2291,'Liste des Villes'!$B$2:$H$1128,4,FALSE))</f>
        <v>Laurentides</v>
      </c>
      <c r="T2291" s="2" t="s">
        <v>10694</v>
      </c>
      <c r="U2291" s="2" t="s">
        <v>39</v>
      </c>
      <c r="V2291" s="2" t="s">
        <v>40</v>
      </c>
      <c r="W2291" s="2" t="s">
        <v>10695</v>
      </c>
      <c r="X2291" s="2"/>
      <c r="Y2291" s="2"/>
      <c r="Z2291" s="2"/>
      <c r="AA2291" s="2" t="s">
        <v>72</v>
      </c>
      <c r="AB2291" s="2" t="s">
        <v>545</v>
      </c>
      <c r="AC2291" s="4" t="s">
        <v>44</v>
      </c>
    </row>
    <row r="2292" spans="1:29" x14ac:dyDescent="0.25">
      <c r="A2292" s="1">
        <v>2766</v>
      </c>
      <c r="B2292" s="17" t="s">
        <v>10696</v>
      </c>
      <c r="C2292" s="2" t="s">
        <v>10697</v>
      </c>
      <c r="D2292" s="15" t="s">
        <v>2862</v>
      </c>
      <c r="E2292" s="9" t="s">
        <v>85</v>
      </c>
      <c r="F2292" s="9" t="s">
        <v>2861</v>
      </c>
      <c r="G2292" s="9" t="s">
        <v>397</v>
      </c>
      <c r="H2292" s="2" t="s">
        <v>60</v>
      </c>
      <c r="I2292" s="3">
        <v>36618</v>
      </c>
      <c r="J2292" s="9" t="str">
        <f t="shared" ca="1" si="37"/>
        <v>23 ans</v>
      </c>
      <c r="K2292" s="2" t="s">
        <v>68</v>
      </c>
      <c r="L2292" s="2" t="str">
        <f>"501"</f>
        <v>501</v>
      </c>
      <c r="M2292" s="2"/>
      <c r="N2292" s="2" t="str">
        <f>"RUE DE L'ÉGLISE"</f>
        <v>RUE DE L'ÉGLISE</v>
      </c>
      <c r="O2292" s="2" t="s">
        <v>10559</v>
      </c>
      <c r="P2292" s="9" t="str">
        <f>VLOOKUP($O2292,'Liste des Villes'!$B$2:$B$1128,1,FALSE)</f>
        <v>Sainte-Anne-des-Plaines</v>
      </c>
      <c r="Q2292" s="9" t="str">
        <f>IFERROR($P2292,PROPER(VLOOKUP($O2292,'Villes en erreur'!$A$2:$B$72,2,FALSE)))</f>
        <v>Sainte-Anne-des-Plaines</v>
      </c>
      <c r="R2292" s="9" t="s">
        <v>10560</v>
      </c>
      <c r="S2292" s="9" t="str">
        <f>IF(ISBLANK($R2292),"",VLOOKUP($R2292,'Liste des Villes'!$B$2:$H$1128,4,FALSE))</f>
        <v>Laurentides</v>
      </c>
      <c r="T2292" s="2" t="s">
        <v>10698</v>
      </c>
      <c r="U2292" s="2" t="s">
        <v>39</v>
      </c>
      <c r="V2292" s="2" t="s">
        <v>40</v>
      </c>
      <c r="W2292" s="2" t="s">
        <v>10699</v>
      </c>
      <c r="X2292" s="2"/>
      <c r="Y2292" s="2"/>
      <c r="Z2292" s="2"/>
      <c r="AA2292" s="2" t="s">
        <v>72</v>
      </c>
      <c r="AB2292" s="2" t="s">
        <v>401</v>
      </c>
      <c r="AC2292" s="4" t="s">
        <v>44</v>
      </c>
    </row>
    <row r="2293" spans="1:29" x14ac:dyDescent="0.25">
      <c r="A2293" s="1">
        <v>494</v>
      </c>
      <c r="B2293" s="17" t="s">
        <v>10700</v>
      </c>
      <c r="C2293" s="2" t="s">
        <v>10701</v>
      </c>
      <c r="D2293" s="15" t="s">
        <v>2580</v>
      </c>
      <c r="E2293" s="9" t="s">
        <v>396</v>
      </c>
      <c r="F2293" s="9" t="s">
        <v>34</v>
      </c>
      <c r="G2293" s="9" t="s">
        <v>5793</v>
      </c>
      <c r="H2293" s="2" t="s">
        <v>60</v>
      </c>
      <c r="I2293" s="3">
        <v>36647</v>
      </c>
      <c r="J2293" s="9" t="str">
        <f t="shared" ca="1" si="37"/>
        <v>23 ans</v>
      </c>
      <c r="K2293" s="2" t="s">
        <v>68</v>
      </c>
      <c r="L2293" s="2" t="str">
        <f>"534"</f>
        <v>534</v>
      </c>
      <c r="M2293" s="2"/>
      <c r="N2293" s="2" t="str">
        <f>"RUE DE LUBLIN"</f>
        <v>RUE DE LUBLIN</v>
      </c>
      <c r="O2293" s="2" t="s">
        <v>10559</v>
      </c>
      <c r="P2293" s="9" t="str">
        <f>VLOOKUP($O2293,'Liste des Villes'!$B$2:$B$1128,1,FALSE)</f>
        <v>Sainte-Anne-des-Plaines</v>
      </c>
      <c r="Q2293" s="9" t="str">
        <f>IFERROR($P2293,PROPER(VLOOKUP($O2293,'Villes en erreur'!$A$2:$B$72,2,FALSE)))</f>
        <v>Sainte-Anne-des-Plaines</v>
      </c>
      <c r="R2293" s="9" t="s">
        <v>10560</v>
      </c>
      <c r="S2293" s="9" t="str">
        <f>IF(ISBLANK($R2293),"",VLOOKUP($R2293,'Liste des Villes'!$B$2:$H$1128,4,FALSE))</f>
        <v>Laurentides</v>
      </c>
      <c r="T2293" s="2" t="s">
        <v>10702</v>
      </c>
      <c r="U2293" s="2" t="s">
        <v>39</v>
      </c>
      <c r="V2293" s="2" t="s">
        <v>40</v>
      </c>
      <c r="W2293" s="2" t="s">
        <v>10703</v>
      </c>
      <c r="X2293" s="2"/>
      <c r="Y2293" s="2"/>
      <c r="Z2293" s="2"/>
      <c r="AA2293" s="2" t="s">
        <v>72</v>
      </c>
      <c r="AB2293" s="2" t="s">
        <v>545</v>
      </c>
      <c r="AC2293" s="4" t="s">
        <v>44</v>
      </c>
    </row>
    <row r="2294" spans="1:29" x14ac:dyDescent="0.25">
      <c r="A2294" s="1">
        <v>4182</v>
      </c>
      <c r="B2294" s="17" t="s">
        <v>10704</v>
      </c>
      <c r="C2294" s="2" t="s">
        <v>10705</v>
      </c>
      <c r="D2294" s="15" t="s">
        <v>10706</v>
      </c>
      <c r="E2294" s="9" t="s">
        <v>503</v>
      </c>
      <c r="F2294" s="9" t="s">
        <v>504</v>
      </c>
      <c r="G2294" s="9" t="s">
        <v>10707</v>
      </c>
      <c r="H2294" s="2" t="s">
        <v>60</v>
      </c>
      <c r="I2294" s="3">
        <v>36632</v>
      </c>
      <c r="J2294" s="9" t="str">
        <f t="shared" ca="1" si="37"/>
        <v>23 ans</v>
      </c>
      <c r="K2294" s="2" t="s">
        <v>68</v>
      </c>
      <c r="L2294" s="2" t="str">
        <f>"516"</f>
        <v>516</v>
      </c>
      <c r="M2294" s="2"/>
      <c r="N2294" s="2" t="str">
        <f>"RUE DE L'ÉTOILE"</f>
        <v>RUE DE L'ÉTOILE</v>
      </c>
      <c r="O2294" s="2" t="s">
        <v>10559</v>
      </c>
      <c r="P2294" s="9" t="str">
        <f>VLOOKUP($O2294,'Liste des Villes'!$B$2:$B$1128,1,FALSE)</f>
        <v>Sainte-Anne-des-Plaines</v>
      </c>
      <c r="Q2294" s="9" t="str">
        <f>IFERROR($P2294,PROPER(VLOOKUP($O2294,'Villes en erreur'!$A$2:$B$72,2,FALSE)))</f>
        <v>Sainte-Anne-des-Plaines</v>
      </c>
      <c r="R2294" s="9" t="s">
        <v>10560</v>
      </c>
      <c r="S2294" s="9" t="str">
        <f>IF(ISBLANK($R2294),"",VLOOKUP($R2294,'Liste des Villes'!$B$2:$H$1128,4,FALSE))</f>
        <v>Laurentides</v>
      </c>
      <c r="T2294" s="2" t="s">
        <v>10708</v>
      </c>
      <c r="U2294" s="2" t="s">
        <v>39</v>
      </c>
      <c r="V2294" s="2" t="s">
        <v>40</v>
      </c>
      <c r="W2294" s="2" t="s">
        <v>10709</v>
      </c>
      <c r="X2294" s="2"/>
      <c r="Y2294" s="2"/>
      <c r="Z2294" s="2"/>
      <c r="AA2294" s="2" t="s">
        <v>72</v>
      </c>
      <c r="AB2294" s="2" t="s">
        <v>545</v>
      </c>
      <c r="AC2294" s="4" t="s">
        <v>44</v>
      </c>
    </row>
    <row r="2295" spans="1:29" x14ac:dyDescent="0.25">
      <c r="A2295" s="1">
        <v>3490</v>
      </c>
      <c r="B2295" s="17" t="s">
        <v>10710</v>
      </c>
      <c r="C2295" s="2" t="s">
        <v>10711</v>
      </c>
      <c r="D2295" s="15" t="s">
        <v>5425</v>
      </c>
      <c r="E2295" s="9" t="s">
        <v>10712</v>
      </c>
      <c r="F2295" s="9" t="s">
        <v>5424</v>
      </c>
      <c r="G2295" s="9" t="s">
        <v>10713</v>
      </c>
      <c r="H2295" s="2" t="s">
        <v>60</v>
      </c>
      <c r="I2295" s="3">
        <v>36651</v>
      </c>
      <c r="J2295" s="9" t="str">
        <f t="shared" ca="1" si="37"/>
        <v>23 ans</v>
      </c>
      <c r="K2295" s="2" t="s">
        <v>68</v>
      </c>
      <c r="L2295" s="2" t="str">
        <f>"535"</f>
        <v>535</v>
      </c>
      <c r="M2295" s="2"/>
      <c r="N2295" s="2" t="str">
        <f>"RUE DE MARSEILLE"</f>
        <v>RUE DE MARSEILLE</v>
      </c>
      <c r="O2295" s="2" t="s">
        <v>10559</v>
      </c>
      <c r="P2295" s="9" t="str">
        <f>VLOOKUP($O2295,'Liste des Villes'!$B$2:$B$1128,1,FALSE)</f>
        <v>Sainte-Anne-des-Plaines</v>
      </c>
      <c r="Q2295" s="9" t="str">
        <f>IFERROR($P2295,PROPER(VLOOKUP($O2295,'Villes en erreur'!$A$2:$B$72,2,FALSE)))</f>
        <v>Sainte-Anne-des-Plaines</v>
      </c>
      <c r="R2295" s="9" t="s">
        <v>10560</v>
      </c>
      <c r="S2295" s="9" t="str">
        <f>IF(ISBLANK($R2295),"",VLOOKUP($R2295,'Liste des Villes'!$B$2:$H$1128,4,FALSE))</f>
        <v>Laurentides</v>
      </c>
      <c r="T2295" s="2" t="s">
        <v>10714</v>
      </c>
      <c r="U2295" s="2" t="s">
        <v>39</v>
      </c>
      <c r="V2295" s="2" t="s">
        <v>40</v>
      </c>
      <c r="W2295" s="2" t="s">
        <v>10715</v>
      </c>
      <c r="X2295" s="2"/>
      <c r="Y2295" s="2"/>
      <c r="Z2295" s="2"/>
      <c r="AA2295" s="2" t="s">
        <v>72</v>
      </c>
      <c r="AB2295" s="2" t="s">
        <v>545</v>
      </c>
      <c r="AC2295" s="4" t="s">
        <v>44</v>
      </c>
    </row>
    <row r="2296" spans="1:29" x14ac:dyDescent="0.25">
      <c r="A2296" s="1">
        <v>3227</v>
      </c>
      <c r="B2296" s="17" t="s">
        <v>10716</v>
      </c>
      <c r="C2296" s="2" t="s">
        <v>8815</v>
      </c>
      <c r="D2296" s="15" t="s">
        <v>3424</v>
      </c>
      <c r="E2296" s="9" t="s">
        <v>4968</v>
      </c>
      <c r="F2296" s="9" t="s">
        <v>1098</v>
      </c>
      <c r="G2296" s="9" t="s">
        <v>5920</v>
      </c>
      <c r="H2296" s="2" t="s">
        <v>60</v>
      </c>
      <c r="I2296" s="3">
        <v>36650</v>
      </c>
      <c r="J2296" s="9" t="str">
        <f t="shared" ca="1" si="37"/>
        <v>23 ans</v>
      </c>
      <c r="K2296" s="2" t="s">
        <v>68</v>
      </c>
      <c r="L2296" s="2" t="str">
        <f>"535"</f>
        <v>535</v>
      </c>
      <c r="M2296" s="2"/>
      <c r="N2296" s="2" t="str">
        <f>"RUE DE MARICOURT"</f>
        <v>RUE DE MARICOURT</v>
      </c>
      <c r="O2296" s="2" t="s">
        <v>10559</v>
      </c>
      <c r="P2296" s="9" t="str">
        <f>VLOOKUP($O2296,'Liste des Villes'!$B$2:$B$1128,1,FALSE)</f>
        <v>Sainte-Anne-des-Plaines</v>
      </c>
      <c r="Q2296" s="9" t="str">
        <f>IFERROR($P2296,PROPER(VLOOKUP($O2296,'Villes en erreur'!$A$2:$B$72,2,FALSE)))</f>
        <v>Sainte-Anne-des-Plaines</v>
      </c>
      <c r="R2296" s="9" t="s">
        <v>10560</v>
      </c>
      <c r="S2296" s="9" t="str">
        <f>IF(ISBLANK($R2296),"",VLOOKUP($R2296,'Liste des Villes'!$B$2:$H$1128,4,FALSE))</f>
        <v>Laurentides</v>
      </c>
      <c r="T2296" s="2" t="s">
        <v>10717</v>
      </c>
      <c r="U2296" s="2" t="s">
        <v>39</v>
      </c>
      <c r="V2296" s="2" t="s">
        <v>40</v>
      </c>
      <c r="W2296" s="2" t="s">
        <v>10718</v>
      </c>
      <c r="X2296" s="2"/>
      <c r="Y2296" s="2"/>
      <c r="Z2296" s="2"/>
      <c r="AA2296" s="2" t="s">
        <v>72</v>
      </c>
      <c r="AB2296" s="2" t="s">
        <v>545</v>
      </c>
      <c r="AC2296" s="4" t="s">
        <v>44</v>
      </c>
    </row>
    <row r="2297" spans="1:29" x14ac:dyDescent="0.25">
      <c r="A2297" s="1">
        <v>3501</v>
      </c>
      <c r="B2297" s="17" t="s">
        <v>10719</v>
      </c>
      <c r="C2297" s="2" t="s">
        <v>10720</v>
      </c>
      <c r="D2297" s="15" t="s">
        <v>86</v>
      </c>
      <c r="E2297" s="9" t="s">
        <v>6059</v>
      </c>
      <c r="F2297" s="9" t="s">
        <v>5773</v>
      </c>
      <c r="G2297" s="9" t="s">
        <v>10721</v>
      </c>
      <c r="H2297" s="2" t="s">
        <v>60</v>
      </c>
      <c r="I2297" s="3">
        <v>36643</v>
      </c>
      <c r="J2297" s="9" t="str">
        <f t="shared" ca="1" si="37"/>
        <v>23 ans</v>
      </c>
      <c r="K2297" s="2" t="s">
        <v>68</v>
      </c>
      <c r="L2297" s="2" t="str">
        <f>"529"</f>
        <v>529</v>
      </c>
      <c r="M2297" s="2"/>
      <c r="N2297" s="2" t="str">
        <f>"RUE DE L'ORÉE DES BOIS"</f>
        <v>RUE DE L'ORÉE DES BOIS</v>
      </c>
      <c r="O2297" s="2" t="s">
        <v>10559</v>
      </c>
      <c r="P2297" s="9" t="str">
        <f>VLOOKUP($O2297,'Liste des Villes'!$B$2:$B$1128,1,FALSE)</f>
        <v>Sainte-Anne-des-Plaines</v>
      </c>
      <c r="Q2297" s="9" t="str">
        <f>IFERROR($P2297,PROPER(VLOOKUP($O2297,'Villes en erreur'!$A$2:$B$72,2,FALSE)))</f>
        <v>Sainte-Anne-des-Plaines</v>
      </c>
      <c r="R2297" s="9" t="s">
        <v>10560</v>
      </c>
      <c r="S2297" s="9" t="str">
        <f>IF(ISBLANK($R2297),"",VLOOKUP($R2297,'Liste des Villes'!$B$2:$H$1128,4,FALSE))</f>
        <v>Laurentides</v>
      </c>
      <c r="T2297" s="2" t="s">
        <v>10722</v>
      </c>
      <c r="U2297" s="2" t="s">
        <v>39</v>
      </c>
      <c r="V2297" s="2" t="s">
        <v>40</v>
      </c>
      <c r="W2297" s="2" t="s">
        <v>10723</v>
      </c>
      <c r="X2297" s="2"/>
      <c r="Y2297" s="2"/>
      <c r="Z2297" s="2"/>
      <c r="AA2297" s="2" t="s">
        <v>72</v>
      </c>
      <c r="AB2297" s="2" t="s">
        <v>545</v>
      </c>
      <c r="AC2297" s="4" t="s">
        <v>44</v>
      </c>
    </row>
    <row r="2298" spans="1:29" x14ac:dyDescent="0.25">
      <c r="A2298" s="1">
        <v>1392</v>
      </c>
      <c r="B2298" s="17" t="s">
        <v>10724</v>
      </c>
      <c r="C2298" s="2" t="s">
        <v>10725</v>
      </c>
      <c r="D2298" s="15" t="s">
        <v>1362</v>
      </c>
      <c r="E2298" s="9" t="s">
        <v>181</v>
      </c>
      <c r="F2298" s="9" t="s">
        <v>1360</v>
      </c>
      <c r="G2298" s="9" t="s">
        <v>10726</v>
      </c>
      <c r="H2298" s="2" t="s">
        <v>60</v>
      </c>
      <c r="I2298" s="3">
        <v>36652</v>
      </c>
      <c r="J2298" s="9" t="str">
        <f t="shared" ca="1" si="37"/>
        <v>23 ans</v>
      </c>
      <c r="K2298" s="2" t="s">
        <v>68</v>
      </c>
      <c r="L2298" s="2" t="str">
        <f>"536"</f>
        <v>536</v>
      </c>
      <c r="M2298" s="2"/>
      <c r="N2298" s="2" t="str">
        <f>"RUE DE MARSEILLE"</f>
        <v>RUE DE MARSEILLE</v>
      </c>
      <c r="O2298" s="2" t="s">
        <v>10559</v>
      </c>
      <c r="P2298" s="9" t="str">
        <f>VLOOKUP($O2298,'Liste des Villes'!$B$2:$B$1128,1,FALSE)</f>
        <v>Sainte-Anne-des-Plaines</v>
      </c>
      <c r="Q2298" s="9" t="str">
        <f>IFERROR($P2298,PROPER(VLOOKUP($O2298,'Villes en erreur'!$A$2:$B$72,2,FALSE)))</f>
        <v>Sainte-Anne-des-Plaines</v>
      </c>
      <c r="R2298" s="9" t="s">
        <v>10560</v>
      </c>
      <c r="S2298" s="9" t="str">
        <f>IF(ISBLANK($R2298),"",VLOOKUP($R2298,'Liste des Villes'!$B$2:$H$1128,4,FALSE))</f>
        <v>Laurentides</v>
      </c>
      <c r="T2298" s="2" t="s">
        <v>10727</v>
      </c>
      <c r="U2298" s="2" t="s">
        <v>39</v>
      </c>
      <c r="V2298" s="2" t="s">
        <v>40</v>
      </c>
      <c r="W2298" s="2" t="s">
        <v>10728</v>
      </c>
      <c r="X2298" s="2"/>
      <c r="Y2298" s="2"/>
      <c r="Z2298" s="2"/>
      <c r="AA2298" s="2" t="s">
        <v>72</v>
      </c>
      <c r="AB2298" s="2" t="s">
        <v>545</v>
      </c>
      <c r="AC2298" s="4" t="s">
        <v>44</v>
      </c>
    </row>
    <row r="2299" spans="1:29" x14ac:dyDescent="0.25">
      <c r="A2299" s="1">
        <v>4486</v>
      </c>
      <c r="B2299" s="17" t="s">
        <v>10729</v>
      </c>
      <c r="C2299" s="2" t="s">
        <v>1387</v>
      </c>
      <c r="D2299" s="15" t="s">
        <v>898</v>
      </c>
      <c r="E2299" s="9" t="s">
        <v>1388</v>
      </c>
      <c r="F2299" s="9" t="s">
        <v>3536</v>
      </c>
      <c r="G2299" s="9" t="s">
        <v>10730</v>
      </c>
      <c r="H2299" s="2" t="s">
        <v>60</v>
      </c>
      <c r="I2299" s="3">
        <v>36635</v>
      </c>
      <c r="J2299" s="9" t="str">
        <f t="shared" ca="1" si="37"/>
        <v>23 ans</v>
      </c>
      <c r="K2299" s="2" t="s">
        <v>68</v>
      </c>
      <c r="L2299" s="2" t="str">
        <f>"519"</f>
        <v>519</v>
      </c>
      <c r="M2299" s="2"/>
      <c r="N2299" s="2" t="str">
        <f>"RUE DE L'ÉVÊQUE"</f>
        <v>RUE DE L'ÉVÊQUE</v>
      </c>
      <c r="O2299" s="2" t="s">
        <v>10559</v>
      </c>
      <c r="P2299" s="9" t="str">
        <f>VLOOKUP($O2299,'Liste des Villes'!$B$2:$B$1128,1,FALSE)</f>
        <v>Sainte-Anne-des-Plaines</v>
      </c>
      <c r="Q2299" s="9" t="str">
        <f>IFERROR($P2299,PROPER(VLOOKUP($O2299,'Villes en erreur'!$A$2:$B$72,2,FALSE)))</f>
        <v>Sainte-Anne-des-Plaines</v>
      </c>
      <c r="R2299" s="9" t="s">
        <v>10560</v>
      </c>
      <c r="S2299" s="9" t="str">
        <f>IF(ISBLANK($R2299),"",VLOOKUP($R2299,'Liste des Villes'!$B$2:$H$1128,4,FALSE))</f>
        <v>Laurentides</v>
      </c>
      <c r="T2299" s="2" t="s">
        <v>10731</v>
      </c>
      <c r="U2299" s="2" t="s">
        <v>39</v>
      </c>
      <c r="V2299" s="2" t="s">
        <v>40</v>
      </c>
      <c r="W2299" s="2" t="s">
        <v>10732</v>
      </c>
      <c r="X2299" s="2"/>
      <c r="Y2299" s="2"/>
      <c r="Z2299" s="2"/>
      <c r="AA2299" s="2" t="s">
        <v>72</v>
      </c>
      <c r="AB2299" s="2" t="s">
        <v>545</v>
      </c>
      <c r="AC2299" s="4" t="s">
        <v>44</v>
      </c>
    </row>
    <row r="2300" spans="1:29" x14ac:dyDescent="0.25">
      <c r="A2300" s="1">
        <v>1039</v>
      </c>
      <c r="B2300" s="17" t="s">
        <v>10733</v>
      </c>
      <c r="C2300" s="2" t="s">
        <v>10734</v>
      </c>
      <c r="D2300" s="15" t="s">
        <v>10735</v>
      </c>
      <c r="E2300" s="9" t="s">
        <v>1289</v>
      </c>
      <c r="F2300" s="9" t="s">
        <v>599</v>
      </c>
      <c r="G2300" s="9" t="s">
        <v>1337</v>
      </c>
      <c r="H2300" s="2" t="s">
        <v>60</v>
      </c>
      <c r="I2300" s="3">
        <v>36628</v>
      </c>
      <c r="J2300" s="9" t="str">
        <f t="shared" ca="1" si="37"/>
        <v>23 ans</v>
      </c>
      <c r="K2300" s="2" t="s">
        <v>68</v>
      </c>
      <c r="L2300" s="2" t="str">
        <f>"512"</f>
        <v>512</v>
      </c>
      <c r="M2300" s="2"/>
      <c r="N2300" s="2" t="str">
        <f>"RUE DE L'ESPLANADE"</f>
        <v>RUE DE L'ESPLANADE</v>
      </c>
      <c r="O2300" s="2" t="s">
        <v>10559</v>
      </c>
      <c r="P2300" s="9" t="str">
        <f>VLOOKUP($O2300,'Liste des Villes'!$B$2:$B$1128,1,FALSE)</f>
        <v>Sainte-Anne-des-Plaines</v>
      </c>
      <c r="Q2300" s="9" t="str">
        <f>IFERROR($P2300,PROPER(VLOOKUP($O2300,'Villes en erreur'!$A$2:$B$72,2,FALSE)))</f>
        <v>Sainte-Anne-des-Plaines</v>
      </c>
      <c r="R2300" s="9" t="s">
        <v>10560</v>
      </c>
      <c r="S2300" s="9" t="str">
        <f>IF(ISBLANK($R2300),"",VLOOKUP($R2300,'Liste des Villes'!$B$2:$H$1128,4,FALSE))</f>
        <v>Laurentides</v>
      </c>
      <c r="T2300" s="2" t="s">
        <v>10736</v>
      </c>
      <c r="U2300" s="2" t="s">
        <v>39</v>
      </c>
      <c r="V2300" s="2" t="s">
        <v>40</v>
      </c>
      <c r="W2300" s="2" t="s">
        <v>10737</v>
      </c>
      <c r="X2300" s="2"/>
      <c r="Y2300" s="2"/>
      <c r="Z2300" s="2"/>
      <c r="AA2300" s="2" t="s">
        <v>72</v>
      </c>
      <c r="AB2300" s="2" t="s">
        <v>401</v>
      </c>
      <c r="AC2300" s="4" t="s">
        <v>44</v>
      </c>
    </row>
    <row r="2301" spans="1:29" x14ac:dyDescent="0.25">
      <c r="A2301" s="1">
        <v>653</v>
      </c>
      <c r="B2301" s="17" t="s">
        <v>10738</v>
      </c>
      <c r="C2301" s="2" t="s">
        <v>10739</v>
      </c>
      <c r="D2301" s="15" t="s">
        <v>719</v>
      </c>
      <c r="E2301" s="9" t="s">
        <v>853</v>
      </c>
      <c r="F2301" s="9" t="s">
        <v>718</v>
      </c>
      <c r="G2301" s="9" t="s">
        <v>5793</v>
      </c>
      <c r="H2301" s="2" t="s">
        <v>60</v>
      </c>
      <c r="I2301" s="3">
        <v>36645</v>
      </c>
      <c r="J2301" s="9" t="str">
        <f t="shared" ca="1" si="37"/>
        <v>23 ans</v>
      </c>
      <c r="K2301" s="2" t="s">
        <v>68</v>
      </c>
      <c r="L2301" s="2" t="str">
        <f>"530"</f>
        <v>530</v>
      </c>
      <c r="M2301" s="2"/>
      <c r="N2301" s="2" t="str">
        <f>"RUE DE LOURDES"</f>
        <v>RUE DE LOURDES</v>
      </c>
      <c r="O2301" s="2" t="s">
        <v>10559</v>
      </c>
      <c r="P2301" s="9" t="str">
        <f>VLOOKUP($O2301,'Liste des Villes'!$B$2:$B$1128,1,FALSE)</f>
        <v>Sainte-Anne-des-Plaines</v>
      </c>
      <c r="Q2301" s="9" t="str">
        <f>IFERROR($P2301,PROPER(VLOOKUP($O2301,'Villes en erreur'!$A$2:$B$72,2,FALSE)))</f>
        <v>Sainte-Anne-des-Plaines</v>
      </c>
      <c r="R2301" s="9" t="s">
        <v>10560</v>
      </c>
      <c r="S2301" s="9" t="str">
        <f>IF(ISBLANK($R2301),"",VLOOKUP($R2301,'Liste des Villes'!$B$2:$H$1128,4,FALSE))</f>
        <v>Laurentides</v>
      </c>
      <c r="T2301" s="2" t="s">
        <v>10740</v>
      </c>
      <c r="U2301" s="2" t="s">
        <v>39</v>
      </c>
      <c r="V2301" s="2" t="s">
        <v>40</v>
      </c>
      <c r="W2301" s="2" t="s">
        <v>10741</v>
      </c>
      <c r="X2301" s="2"/>
      <c r="Y2301" s="2"/>
      <c r="Z2301" s="2"/>
      <c r="AA2301" s="2" t="s">
        <v>72</v>
      </c>
      <c r="AB2301" s="2" t="s">
        <v>545</v>
      </c>
      <c r="AC2301" s="4" t="s">
        <v>44</v>
      </c>
    </row>
    <row r="2302" spans="1:29" x14ac:dyDescent="0.25">
      <c r="A2302" s="1">
        <v>768</v>
      </c>
      <c r="B2302" s="17" t="s">
        <v>10742</v>
      </c>
      <c r="C2302" s="2" t="s">
        <v>5791</v>
      </c>
      <c r="D2302" s="15" t="s">
        <v>5792</v>
      </c>
      <c r="E2302" s="9" t="s">
        <v>5793</v>
      </c>
      <c r="F2302" s="9" t="s">
        <v>47</v>
      </c>
      <c r="G2302" s="9" t="s">
        <v>1315</v>
      </c>
      <c r="H2302" s="2" t="s">
        <v>60</v>
      </c>
      <c r="I2302" s="3">
        <v>36642</v>
      </c>
      <c r="J2302" s="9" t="str">
        <f t="shared" ca="1" si="37"/>
        <v>23 ans</v>
      </c>
      <c r="K2302" s="2" t="s">
        <v>68</v>
      </c>
      <c r="L2302" s="2" t="str">
        <f>"529"</f>
        <v>529</v>
      </c>
      <c r="M2302" s="2"/>
      <c r="N2302" s="2" t="str">
        <f>"RUE DE L'OPALE"</f>
        <v>RUE DE L'OPALE</v>
      </c>
      <c r="O2302" s="2" t="s">
        <v>10559</v>
      </c>
      <c r="P2302" s="9" t="str">
        <f>VLOOKUP($O2302,'Liste des Villes'!$B$2:$B$1128,1,FALSE)</f>
        <v>Sainte-Anne-des-Plaines</v>
      </c>
      <c r="Q2302" s="9" t="str">
        <f>IFERROR($P2302,PROPER(VLOOKUP($O2302,'Villes en erreur'!$A$2:$B$72,2,FALSE)))</f>
        <v>Sainte-Anne-des-Plaines</v>
      </c>
      <c r="R2302" s="9" t="s">
        <v>10560</v>
      </c>
      <c r="S2302" s="9" t="str">
        <f>IF(ISBLANK($R2302),"",VLOOKUP($R2302,'Liste des Villes'!$B$2:$H$1128,4,FALSE))</f>
        <v>Laurentides</v>
      </c>
      <c r="T2302" s="2" t="s">
        <v>10743</v>
      </c>
      <c r="U2302" s="2" t="s">
        <v>39</v>
      </c>
      <c r="V2302" s="2" t="s">
        <v>40</v>
      </c>
      <c r="W2302" s="2" t="s">
        <v>10744</v>
      </c>
      <c r="X2302" s="2"/>
      <c r="Y2302" s="2"/>
      <c r="Z2302" s="2"/>
      <c r="AA2302" s="2" t="s">
        <v>72</v>
      </c>
      <c r="AB2302" s="2" t="s">
        <v>545</v>
      </c>
      <c r="AC2302" s="4" t="s">
        <v>44</v>
      </c>
    </row>
    <row r="2303" spans="1:29" x14ac:dyDescent="0.25">
      <c r="A2303" s="1">
        <v>4373</v>
      </c>
      <c r="B2303" s="17" t="s">
        <v>10745</v>
      </c>
      <c r="C2303" s="2" t="s">
        <v>10746</v>
      </c>
      <c r="D2303" s="15" t="s">
        <v>7587</v>
      </c>
      <c r="E2303" s="9" t="s">
        <v>137</v>
      </c>
      <c r="F2303" s="9" t="s">
        <v>3177</v>
      </c>
      <c r="G2303" s="9" t="s">
        <v>1315</v>
      </c>
      <c r="H2303" s="2" t="s">
        <v>60</v>
      </c>
      <c r="I2303" s="3">
        <v>36637</v>
      </c>
      <c r="J2303" s="9" t="str">
        <f t="shared" ca="1" si="37"/>
        <v>23 ans</v>
      </c>
      <c r="K2303" s="2" t="s">
        <v>68</v>
      </c>
      <c r="L2303" s="2" t="str">
        <f>"522"</f>
        <v>522</v>
      </c>
      <c r="M2303" s="2"/>
      <c r="N2303" s="2" t="str">
        <f>"RUE DE LIVERPOOL"</f>
        <v>RUE DE LIVERPOOL</v>
      </c>
      <c r="O2303" s="2" t="s">
        <v>10559</v>
      </c>
      <c r="P2303" s="9" t="str">
        <f>VLOOKUP($O2303,'Liste des Villes'!$B$2:$B$1128,1,FALSE)</f>
        <v>Sainte-Anne-des-Plaines</v>
      </c>
      <c r="Q2303" s="9" t="str">
        <f>IFERROR($P2303,PROPER(VLOOKUP($O2303,'Villes en erreur'!$A$2:$B$72,2,FALSE)))</f>
        <v>Sainte-Anne-des-Plaines</v>
      </c>
      <c r="R2303" s="9" t="s">
        <v>10560</v>
      </c>
      <c r="S2303" s="9" t="str">
        <f>IF(ISBLANK($R2303),"",VLOOKUP($R2303,'Liste des Villes'!$B$2:$H$1128,4,FALSE))</f>
        <v>Laurentides</v>
      </c>
      <c r="T2303" s="2" t="s">
        <v>10747</v>
      </c>
      <c r="U2303" s="2" t="s">
        <v>39</v>
      </c>
      <c r="V2303" s="2" t="s">
        <v>40</v>
      </c>
      <c r="W2303" s="2" t="s">
        <v>10748</v>
      </c>
      <c r="X2303" s="2"/>
      <c r="Y2303" s="2"/>
      <c r="Z2303" s="2"/>
      <c r="AA2303" s="2" t="s">
        <v>72</v>
      </c>
      <c r="AB2303" s="2" t="s">
        <v>545</v>
      </c>
      <c r="AC2303" s="4" t="s">
        <v>44</v>
      </c>
    </row>
    <row r="2304" spans="1:29" x14ac:dyDescent="0.25">
      <c r="A2304" s="1">
        <v>1771</v>
      </c>
      <c r="B2304" s="17" t="s">
        <v>10749</v>
      </c>
      <c r="C2304" s="2" t="s">
        <v>10750</v>
      </c>
      <c r="D2304" s="15" t="s">
        <v>10751</v>
      </c>
      <c r="E2304" s="9" t="s">
        <v>2339</v>
      </c>
      <c r="F2304" s="9" t="s">
        <v>875</v>
      </c>
      <c r="G2304" s="9" t="s">
        <v>5793</v>
      </c>
      <c r="H2304" s="2" t="s">
        <v>60</v>
      </c>
      <c r="I2304" s="3">
        <v>36646</v>
      </c>
      <c r="J2304" s="9" t="str">
        <f t="shared" ca="1" si="37"/>
        <v>23 ans</v>
      </c>
      <c r="K2304" s="2" t="s">
        <v>68</v>
      </c>
      <c r="L2304" s="2" t="str">
        <f>"532"</f>
        <v>532</v>
      </c>
      <c r="M2304" s="2"/>
      <c r="N2304" s="2" t="str">
        <f>"RUE DE LOUVIERS"</f>
        <v>RUE DE LOUVIERS</v>
      </c>
      <c r="O2304" s="2" t="s">
        <v>10559</v>
      </c>
      <c r="P2304" s="9" t="str">
        <f>VLOOKUP($O2304,'Liste des Villes'!$B$2:$B$1128,1,FALSE)</f>
        <v>Sainte-Anne-des-Plaines</v>
      </c>
      <c r="Q2304" s="9" t="str">
        <f>IFERROR($P2304,PROPER(VLOOKUP($O2304,'Villes en erreur'!$A$2:$B$72,2,FALSE)))</f>
        <v>Sainte-Anne-des-Plaines</v>
      </c>
      <c r="R2304" s="9" t="s">
        <v>10560</v>
      </c>
      <c r="S2304" s="9" t="str">
        <f>IF(ISBLANK($R2304),"",VLOOKUP($R2304,'Liste des Villes'!$B$2:$H$1128,4,FALSE))</f>
        <v>Laurentides</v>
      </c>
      <c r="T2304" s="2" t="s">
        <v>10752</v>
      </c>
      <c r="U2304" s="2" t="s">
        <v>39</v>
      </c>
      <c r="V2304" s="2" t="s">
        <v>40</v>
      </c>
      <c r="W2304" s="2" t="s">
        <v>10753</v>
      </c>
      <c r="X2304" s="2"/>
      <c r="Y2304" s="2"/>
      <c r="Z2304" s="2"/>
      <c r="AA2304" s="2" t="s">
        <v>72</v>
      </c>
      <c r="AB2304" s="2" t="s">
        <v>545</v>
      </c>
      <c r="AC2304" s="4" t="s">
        <v>44</v>
      </c>
    </row>
    <row r="2305" spans="1:29" x14ac:dyDescent="0.25">
      <c r="A2305" s="1">
        <v>1440</v>
      </c>
      <c r="B2305" s="17" t="s">
        <v>10754</v>
      </c>
      <c r="C2305" s="2" t="s">
        <v>10755</v>
      </c>
      <c r="D2305" s="15" t="s">
        <v>718</v>
      </c>
      <c r="E2305" s="9" t="s">
        <v>3027</v>
      </c>
      <c r="F2305" s="9" t="s">
        <v>6402</v>
      </c>
      <c r="G2305" s="9" t="s">
        <v>10756</v>
      </c>
      <c r="H2305" s="2" t="s">
        <v>60</v>
      </c>
      <c r="I2305" s="3">
        <v>36631</v>
      </c>
      <c r="J2305" s="9" t="str">
        <f t="shared" ca="1" si="37"/>
        <v>23 ans</v>
      </c>
      <c r="K2305" s="2" t="s">
        <v>68</v>
      </c>
      <c r="L2305" s="2" t="str">
        <f>"515"</f>
        <v>515</v>
      </c>
      <c r="M2305" s="2"/>
      <c r="N2305" s="2" t="str">
        <f>"RUE DE L'ESTRAN"</f>
        <v>RUE DE L'ESTRAN</v>
      </c>
      <c r="O2305" s="2" t="s">
        <v>10559</v>
      </c>
      <c r="P2305" s="9" t="str">
        <f>VLOOKUP($O2305,'Liste des Villes'!$B$2:$B$1128,1,FALSE)</f>
        <v>Sainte-Anne-des-Plaines</v>
      </c>
      <c r="Q2305" s="9" t="str">
        <f>IFERROR($P2305,PROPER(VLOOKUP($O2305,'Villes en erreur'!$A$2:$B$72,2,FALSE)))</f>
        <v>Sainte-Anne-des-Plaines</v>
      </c>
      <c r="R2305" s="9" t="s">
        <v>10560</v>
      </c>
      <c r="S2305" s="9" t="str">
        <f>IF(ISBLANK($R2305),"",VLOOKUP($R2305,'Liste des Villes'!$B$2:$H$1128,4,FALSE))</f>
        <v>Laurentides</v>
      </c>
      <c r="T2305" s="2" t="s">
        <v>10757</v>
      </c>
      <c r="U2305" s="2" t="s">
        <v>39</v>
      </c>
      <c r="V2305" s="2" t="s">
        <v>40</v>
      </c>
      <c r="W2305" s="2" t="s">
        <v>10758</v>
      </c>
      <c r="X2305" s="2"/>
      <c r="Y2305" s="2"/>
      <c r="Z2305" s="2"/>
      <c r="AA2305" s="2" t="s">
        <v>72</v>
      </c>
      <c r="AB2305" s="2" t="s">
        <v>545</v>
      </c>
      <c r="AC2305" s="4" t="s">
        <v>44</v>
      </c>
    </row>
    <row r="2306" spans="1:29" x14ac:dyDescent="0.25">
      <c r="A2306" s="1">
        <v>4488</v>
      </c>
      <c r="B2306" s="17" t="s">
        <v>10759</v>
      </c>
      <c r="C2306" s="2" t="s">
        <v>1922</v>
      </c>
      <c r="D2306" s="15" t="s">
        <v>1923</v>
      </c>
      <c r="E2306" s="9" t="s">
        <v>1924</v>
      </c>
      <c r="F2306" s="9" t="s">
        <v>9233</v>
      </c>
      <c r="G2306" s="9" t="s">
        <v>10760</v>
      </c>
      <c r="H2306" s="2" t="s">
        <v>60</v>
      </c>
      <c r="I2306" s="3">
        <v>36657</v>
      </c>
      <c r="J2306" s="9" t="str">
        <f t="shared" ref="J2306:J2369" ca="1" si="38">_xlfn.CONCAT(INT((TODAY()-$I2306)/365.25)," ans")</f>
        <v>23 ans</v>
      </c>
      <c r="K2306" s="2" t="s">
        <v>68</v>
      </c>
      <c r="L2306" s="2" t="str">
        <f>"538"</f>
        <v>538</v>
      </c>
      <c r="M2306" s="2"/>
      <c r="N2306" s="2" t="str">
        <f>"RUE DE MONACO"</f>
        <v>RUE DE MONACO</v>
      </c>
      <c r="O2306" s="2" t="s">
        <v>10559</v>
      </c>
      <c r="P2306" s="9" t="str">
        <f>VLOOKUP($O2306,'Liste des Villes'!$B$2:$B$1128,1,FALSE)</f>
        <v>Sainte-Anne-des-Plaines</v>
      </c>
      <c r="Q2306" s="9" t="str">
        <f>IFERROR($P2306,PROPER(VLOOKUP($O2306,'Villes en erreur'!$A$2:$B$72,2,FALSE)))</f>
        <v>Sainte-Anne-des-Plaines</v>
      </c>
      <c r="R2306" s="9" t="s">
        <v>10560</v>
      </c>
      <c r="S2306" s="9" t="str">
        <f>IF(ISBLANK($R2306),"",VLOOKUP($R2306,'Liste des Villes'!$B$2:$H$1128,4,FALSE))</f>
        <v>Laurentides</v>
      </c>
      <c r="T2306" s="2" t="s">
        <v>10761</v>
      </c>
      <c r="U2306" s="2" t="s">
        <v>39</v>
      </c>
      <c r="V2306" s="2" t="s">
        <v>40</v>
      </c>
      <c r="W2306" s="2" t="s">
        <v>10762</v>
      </c>
      <c r="X2306" s="2"/>
      <c r="Y2306" s="2"/>
      <c r="Z2306" s="2"/>
      <c r="AA2306" s="2" t="s">
        <v>72</v>
      </c>
      <c r="AB2306" s="2" t="s">
        <v>545</v>
      </c>
      <c r="AC2306" s="4" t="s">
        <v>44</v>
      </c>
    </row>
    <row r="2307" spans="1:29" x14ac:dyDescent="0.25">
      <c r="A2307" s="1">
        <v>937</v>
      </c>
      <c r="B2307" s="17" t="s">
        <v>10763</v>
      </c>
      <c r="C2307" s="2" t="s">
        <v>3368</v>
      </c>
      <c r="D2307" s="15" t="s">
        <v>3042</v>
      </c>
      <c r="E2307" s="9" t="s">
        <v>3274</v>
      </c>
      <c r="F2307" s="9" t="s">
        <v>7119</v>
      </c>
      <c r="G2307" s="9" t="s">
        <v>10764</v>
      </c>
      <c r="H2307" s="2" t="s">
        <v>60</v>
      </c>
      <c r="I2307" s="3">
        <v>36636</v>
      </c>
      <c r="J2307" s="9" t="str">
        <f t="shared" ca="1" si="38"/>
        <v>23 ans</v>
      </c>
      <c r="K2307" s="2" t="s">
        <v>68</v>
      </c>
      <c r="L2307" s="2" t="str">
        <f>"521"</f>
        <v>521</v>
      </c>
      <c r="M2307" s="2"/>
      <c r="N2307" s="2" t="str">
        <f>"RUE DE L'ÎLE-MORRIS"</f>
        <v>RUE DE L'ÎLE-MORRIS</v>
      </c>
      <c r="O2307" s="2" t="s">
        <v>10559</v>
      </c>
      <c r="P2307" s="9" t="str">
        <f>VLOOKUP($O2307,'Liste des Villes'!$B$2:$B$1128,1,FALSE)</f>
        <v>Sainte-Anne-des-Plaines</v>
      </c>
      <c r="Q2307" s="9" t="str">
        <f>IFERROR($P2307,PROPER(VLOOKUP($O2307,'Villes en erreur'!$A$2:$B$72,2,FALSE)))</f>
        <v>Sainte-Anne-des-Plaines</v>
      </c>
      <c r="R2307" s="9" t="s">
        <v>10560</v>
      </c>
      <c r="S2307" s="9" t="str">
        <f>IF(ISBLANK($R2307),"",VLOOKUP($R2307,'Liste des Villes'!$B$2:$H$1128,4,FALSE))</f>
        <v>Laurentides</v>
      </c>
      <c r="T2307" s="2" t="s">
        <v>10630</v>
      </c>
      <c r="U2307" s="2" t="s">
        <v>39</v>
      </c>
      <c r="V2307" s="2" t="s">
        <v>40</v>
      </c>
      <c r="W2307" s="2" t="s">
        <v>10765</v>
      </c>
      <c r="X2307" s="2"/>
      <c r="Y2307" s="2"/>
      <c r="Z2307" s="2"/>
      <c r="AA2307" s="2" t="s">
        <v>72</v>
      </c>
      <c r="AB2307" s="2" t="s">
        <v>545</v>
      </c>
      <c r="AC2307" s="4" t="s">
        <v>44</v>
      </c>
    </row>
    <row r="2308" spans="1:29" x14ac:dyDescent="0.25">
      <c r="A2308" s="1">
        <v>164</v>
      </c>
      <c r="B2308" s="17" t="s">
        <v>10766</v>
      </c>
      <c r="C2308" s="2" t="s">
        <v>1370</v>
      </c>
      <c r="D2308" s="15" t="s">
        <v>1092</v>
      </c>
      <c r="E2308" s="9" t="s">
        <v>92</v>
      </c>
      <c r="F2308" s="9" t="s">
        <v>1371</v>
      </c>
      <c r="G2308" s="9" t="s">
        <v>9651</v>
      </c>
      <c r="H2308" s="2" t="s">
        <v>60</v>
      </c>
      <c r="I2308" s="3">
        <v>36629</v>
      </c>
      <c r="J2308" s="9" t="str">
        <f t="shared" ca="1" si="38"/>
        <v>23 ans</v>
      </c>
      <c r="K2308" s="2" t="s">
        <v>68</v>
      </c>
      <c r="L2308" s="2" t="str">
        <f>"512"</f>
        <v>512</v>
      </c>
      <c r="M2308" s="2"/>
      <c r="N2308" s="2" t="str">
        <f>"RUE DE L'ESPLANADE"</f>
        <v>RUE DE L'ESPLANADE</v>
      </c>
      <c r="O2308" s="2" t="s">
        <v>10559</v>
      </c>
      <c r="P2308" s="9" t="str">
        <f>VLOOKUP($O2308,'Liste des Villes'!$B$2:$B$1128,1,FALSE)</f>
        <v>Sainte-Anne-des-Plaines</v>
      </c>
      <c r="Q2308" s="9" t="str">
        <f>IFERROR($P2308,PROPER(VLOOKUP($O2308,'Villes en erreur'!$A$2:$B$72,2,FALSE)))</f>
        <v>Sainte-Anne-des-Plaines</v>
      </c>
      <c r="R2308" s="9" t="s">
        <v>10560</v>
      </c>
      <c r="S2308" s="9" t="str">
        <f>IF(ISBLANK($R2308),"",VLOOKUP($R2308,'Liste des Villes'!$B$2:$H$1128,4,FALSE))</f>
        <v>Laurentides</v>
      </c>
      <c r="T2308" s="2" t="s">
        <v>10767</v>
      </c>
      <c r="U2308" s="2" t="s">
        <v>39</v>
      </c>
      <c r="V2308" s="2" t="s">
        <v>40</v>
      </c>
      <c r="W2308" s="2" t="s">
        <v>10768</v>
      </c>
      <c r="X2308" s="2"/>
      <c r="Y2308" s="2"/>
      <c r="Z2308" s="2"/>
      <c r="AA2308" s="2" t="s">
        <v>72</v>
      </c>
      <c r="AB2308" s="2" t="s">
        <v>545</v>
      </c>
      <c r="AC2308" s="4" t="s">
        <v>44</v>
      </c>
    </row>
    <row r="2309" spans="1:29" x14ac:dyDescent="0.25">
      <c r="A2309" s="1">
        <v>1511</v>
      </c>
      <c r="B2309" s="17" t="s">
        <v>10769</v>
      </c>
      <c r="C2309" s="2" t="s">
        <v>10770</v>
      </c>
      <c r="D2309" s="15" t="s">
        <v>10771</v>
      </c>
      <c r="E2309" s="9" t="s">
        <v>10772</v>
      </c>
      <c r="F2309" s="9" t="s">
        <v>4123</v>
      </c>
      <c r="G2309" s="9" t="s">
        <v>2779</v>
      </c>
      <c r="H2309" s="2" t="s">
        <v>60</v>
      </c>
      <c r="I2309" s="3">
        <v>36622</v>
      </c>
      <c r="J2309" s="9" t="str">
        <f t="shared" ca="1" si="38"/>
        <v>23 ans</v>
      </c>
      <c r="K2309" s="2" t="s">
        <v>68</v>
      </c>
      <c r="L2309" s="2" t="str">
        <f>"506"</f>
        <v>506</v>
      </c>
      <c r="M2309" s="2"/>
      <c r="N2309" s="2" t="str">
        <f>"RUE DE L'ÉRABLIÈRE"</f>
        <v>RUE DE L'ÉRABLIÈRE</v>
      </c>
      <c r="O2309" s="2" t="s">
        <v>10559</v>
      </c>
      <c r="P2309" s="9" t="str">
        <f>VLOOKUP($O2309,'Liste des Villes'!$B$2:$B$1128,1,FALSE)</f>
        <v>Sainte-Anne-des-Plaines</v>
      </c>
      <c r="Q2309" s="9" t="str">
        <f>IFERROR($P2309,PROPER(VLOOKUP($O2309,'Villes en erreur'!$A$2:$B$72,2,FALSE)))</f>
        <v>Sainte-Anne-des-Plaines</v>
      </c>
      <c r="R2309" s="9" t="s">
        <v>10560</v>
      </c>
      <c r="S2309" s="9" t="str">
        <f>IF(ISBLANK($R2309),"",VLOOKUP($R2309,'Liste des Villes'!$B$2:$H$1128,4,FALSE))</f>
        <v>Laurentides</v>
      </c>
      <c r="T2309" s="2" t="s">
        <v>10773</v>
      </c>
      <c r="U2309" s="2" t="s">
        <v>39</v>
      </c>
      <c r="V2309" s="2" t="s">
        <v>40</v>
      </c>
      <c r="W2309" s="2" t="s">
        <v>10774</v>
      </c>
      <c r="X2309" s="2"/>
      <c r="Y2309" s="2"/>
      <c r="Z2309" s="2"/>
      <c r="AA2309" s="2" t="s">
        <v>72</v>
      </c>
      <c r="AB2309" s="2" t="s">
        <v>401</v>
      </c>
      <c r="AC2309" s="4" t="s">
        <v>44</v>
      </c>
    </row>
    <row r="2310" spans="1:29" x14ac:dyDescent="0.25">
      <c r="A2310" s="1">
        <v>697</v>
      </c>
      <c r="B2310" s="17" t="s">
        <v>10775</v>
      </c>
      <c r="C2310" s="2" t="s">
        <v>10776</v>
      </c>
      <c r="D2310" s="15" t="s">
        <v>2063</v>
      </c>
      <c r="E2310" s="9" t="s">
        <v>851</v>
      </c>
      <c r="F2310" s="9" t="s">
        <v>2061</v>
      </c>
      <c r="G2310" s="9" t="s">
        <v>2779</v>
      </c>
      <c r="H2310" s="2" t="s">
        <v>60</v>
      </c>
      <c r="I2310" s="3">
        <v>36622</v>
      </c>
      <c r="J2310" s="9" t="str">
        <f t="shared" ca="1" si="38"/>
        <v>23 ans</v>
      </c>
      <c r="K2310" s="2" t="s">
        <v>68</v>
      </c>
      <c r="L2310" s="2" t="str">
        <f>"506"</f>
        <v>506</v>
      </c>
      <c r="M2310" s="2"/>
      <c r="N2310" s="2" t="str">
        <f>"RUE DE L'ÉRABLIÈRE"</f>
        <v>RUE DE L'ÉRABLIÈRE</v>
      </c>
      <c r="O2310" s="2" t="s">
        <v>10559</v>
      </c>
      <c r="P2310" s="9" t="str">
        <f>VLOOKUP($O2310,'Liste des Villes'!$B$2:$B$1128,1,FALSE)</f>
        <v>Sainte-Anne-des-Plaines</v>
      </c>
      <c r="Q2310" s="9" t="str">
        <f>IFERROR($P2310,PROPER(VLOOKUP($O2310,'Villes en erreur'!$A$2:$B$72,2,FALSE)))</f>
        <v>Sainte-Anne-des-Plaines</v>
      </c>
      <c r="R2310" s="9" t="s">
        <v>10560</v>
      </c>
      <c r="S2310" s="9" t="str">
        <f>IF(ISBLANK($R2310),"",VLOOKUP($R2310,'Liste des Villes'!$B$2:$H$1128,4,FALSE))</f>
        <v>Laurentides</v>
      </c>
      <c r="T2310" s="2" t="s">
        <v>10777</v>
      </c>
      <c r="U2310" s="2" t="s">
        <v>39</v>
      </c>
      <c r="V2310" s="2" t="s">
        <v>40</v>
      </c>
      <c r="W2310" s="2" t="s">
        <v>10778</v>
      </c>
      <c r="X2310" s="2"/>
      <c r="Y2310" s="2"/>
      <c r="Z2310" s="2"/>
      <c r="AA2310" s="2" t="s">
        <v>72</v>
      </c>
      <c r="AB2310" s="2" t="s">
        <v>401</v>
      </c>
      <c r="AC2310" s="4" t="s">
        <v>44</v>
      </c>
    </row>
    <row r="2311" spans="1:29" x14ac:dyDescent="0.25">
      <c r="A2311" s="1">
        <v>1764</v>
      </c>
      <c r="B2311" s="17" t="s">
        <v>10779</v>
      </c>
      <c r="C2311" s="2" t="s">
        <v>10780</v>
      </c>
      <c r="D2311" s="15" t="s">
        <v>6161</v>
      </c>
      <c r="E2311" s="9" t="s">
        <v>10781</v>
      </c>
      <c r="F2311" s="9" t="s">
        <v>6160</v>
      </c>
      <c r="G2311" s="9" t="s">
        <v>10782</v>
      </c>
      <c r="H2311" s="2" t="s">
        <v>60</v>
      </c>
      <c r="I2311" s="3">
        <v>36631</v>
      </c>
      <c r="J2311" s="9" t="str">
        <f t="shared" ca="1" si="38"/>
        <v>23 ans</v>
      </c>
      <c r="K2311" s="2" t="s">
        <v>68</v>
      </c>
      <c r="L2311" s="2" t="str">
        <f>"515"</f>
        <v>515</v>
      </c>
      <c r="M2311" s="2"/>
      <c r="N2311" s="2" t="str">
        <f>"RUE DE L'ÉTANG"</f>
        <v>RUE DE L'ÉTANG</v>
      </c>
      <c r="O2311" s="2" t="s">
        <v>10559</v>
      </c>
      <c r="P2311" s="9" t="str">
        <f>VLOOKUP($O2311,'Liste des Villes'!$B$2:$B$1128,1,FALSE)</f>
        <v>Sainte-Anne-des-Plaines</v>
      </c>
      <c r="Q2311" s="9" t="str">
        <f>IFERROR($P2311,PROPER(VLOOKUP($O2311,'Villes en erreur'!$A$2:$B$72,2,FALSE)))</f>
        <v>Sainte-Anne-des-Plaines</v>
      </c>
      <c r="R2311" s="9" t="s">
        <v>10560</v>
      </c>
      <c r="S2311" s="9" t="str">
        <f>IF(ISBLANK($R2311),"",VLOOKUP($R2311,'Liste des Villes'!$B$2:$H$1128,4,FALSE))</f>
        <v>Laurentides</v>
      </c>
      <c r="T2311" s="2" t="s">
        <v>10783</v>
      </c>
      <c r="U2311" s="2" t="s">
        <v>39</v>
      </c>
      <c r="V2311" s="2" t="s">
        <v>40</v>
      </c>
      <c r="W2311" s="2" t="s">
        <v>10784</v>
      </c>
      <c r="X2311" s="2"/>
      <c r="Y2311" s="2"/>
      <c r="Z2311" s="2"/>
      <c r="AA2311" s="2" t="s">
        <v>72</v>
      </c>
      <c r="AB2311" s="2" t="s">
        <v>545</v>
      </c>
      <c r="AC2311" s="4" t="s">
        <v>44</v>
      </c>
    </row>
    <row r="2312" spans="1:29" x14ac:dyDescent="0.25">
      <c r="A2312" s="1">
        <v>4492</v>
      </c>
      <c r="B2312" s="17" t="s">
        <v>10785</v>
      </c>
      <c r="C2312" s="2" t="s">
        <v>6159</v>
      </c>
      <c r="D2312" s="15" t="s">
        <v>6160</v>
      </c>
      <c r="E2312" s="9" t="s">
        <v>1673</v>
      </c>
      <c r="F2312" s="9" t="s">
        <v>10786</v>
      </c>
      <c r="G2312" s="9" t="s">
        <v>2779</v>
      </c>
      <c r="H2312" s="2" t="s">
        <v>60</v>
      </c>
      <c r="I2312" s="3">
        <v>36621</v>
      </c>
      <c r="J2312" s="9" t="str">
        <f t="shared" ca="1" si="38"/>
        <v>23 ans</v>
      </c>
      <c r="K2312" s="2" t="s">
        <v>68</v>
      </c>
      <c r="L2312" s="2" t="str">
        <f>"505"</f>
        <v>505</v>
      </c>
      <c r="M2312" s="2"/>
      <c r="N2312" s="2" t="str">
        <f>"RUE DE L'ÉRABLIÈRE"</f>
        <v>RUE DE L'ÉRABLIÈRE</v>
      </c>
      <c r="O2312" s="2" t="s">
        <v>10559</v>
      </c>
      <c r="P2312" s="9" t="str">
        <f>VLOOKUP($O2312,'Liste des Villes'!$B$2:$B$1128,1,FALSE)</f>
        <v>Sainte-Anne-des-Plaines</v>
      </c>
      <c r="Q2312" s="9" t="str">
        <f>IFERROR($P2312,PROPER(VLOOKUP($O2312,'Villes en erreur'!$A$2:$B$72,2,FALSE)))</f>
        <v>Sainte-Anne-des-Plaines</v>
      </c>
      <c r="R2312" s="9" t="s">
        <v>10560</v>
      </c>
      <c r="S2312" s="9" t="str">
        <f>IF(ISBLANK($R2312),"",VLOOKUP($R2312,'Liste des Villes'!$B$2:$H$1128,4,FALSE))</f>
        <v>Laurentides</v>
      </c>
      <c r="T2312" s="2" t="s">
        <v>10671</v>
      </c>
      <c r="U2312" s="2" t="s">
        <v>39</v>
      </c>
      <c r="V2312" s="2" t="s">
        <v>40</v>
      </c>
      <c r="W2312" s="2" t="s">
        <v>10787</v>
      </c>
      <c r="X2312" s="2"/>
      <c r="Y2312" s="2"/>
      <c r="Z2312" s="2"/>
      <c r="AA2312" s="2" t="s">
        <v>72</v>
      </c>
      <c r="AB2312" s="2" t="s">
        <v>401</v>
      </c>
      <c r="AC2312" s="4" t="s">
        <v>44</v>
      </c>
    </row>
    <row r="2313" spans="1:29" x14ac:dyDescent="0.25">
      <c r="A2313" s="1">
        <v>613</v>
      </c>
      <c r="B2313" s="17" t="s">
        <v>10788</v>
      </c>
      <c r="C2313" s="2" t="s">
        <v>10789</v>
      </c>
      <c r="D2313" s="15" t="s">
        <v>10790</v>
      </c>
      <c r="E2313" s="9" t="s">
        <v>3171</v>
      </c>
      <c r="F2313" s="9" t="s">
        <v>8670</v>
      </c>
      <c r="G2313" s="9" t="s">
        <v>10791</v>
      </c>
      <c r="H2313" s="2" t="s">
        <v>60</v>
      </c>
      <c r="I2313" s="3">
        <v>36623</v>
      </c>
      <c r="J2313" s="9" t="str">
        <f t="shared" ca="1" si="38"/>
        <v>23 ans</v>
      </c>
      <c r="K2313" s="2" t="s">
        <v>68</v>
      </c>
      <c r="L2313" s="2" t="str">
        <f>"507"</f>
        <v>507</v>
      </c>
      <c r="M2313" s="2"/>
      <c r="N2313" s="2" t="str">
        <f>"RUE DE L'ÉRABLIÈRE EST"</f>
        <v>RUE DE L'ÉRABLIÈRE EST</v>
      </c>
      <c r="O2313" s="2" t="s">
        <v>10559</v>
      </c>
      <c r="P2313" s="9" t="str">
        <f>VLOOKUP($O2313,'Liste des Villes'!$B$2:$B$1128,1,FALSE)</f>
        <v>Sainte-Anne-des-Plaines</v>
      </c>
      <c r="Q2313" s="9" t="str">
        <f>IFERROR($P2313,PROPER(VLOOKUP($O2313,'Villes en erreur'!$A$2:$B$72,2,FALSE)))</f>
        <v>Sainte-Anne-des-Plaines</v>
      </c>
      <c r="R2313" s="9" t="s">
        <v>10560</v>
      </c>
      <c r="S2313" s="9" t="str">
        <f>IF(ISBLANK($R2313),"",VLOOKUP($R2313,'Liste des Villes'!$B$2:$H$1128,4,FALSE))</f>
        <v>Laurentides</v>
      </c>
      <c r="T2313" s="2" t="s">
        <v>10792</v>
      </c>
      <c r="U2313" s="2" t="s">
        <v>39</v>
      </c>
      <c r="V2313" s="2" t="s">
        <v>40</v>
      </c>
      <c r="W2313" s="2" t="s">
        <v>10793</v>
      </c>
      <c r="X2313" s="2"/>
      <c r="Y2313" s="2"/>
      <c r="Z2313" s="2"/>
      <c r="AA2313" s="2" t="s">
        <v>72</v>
      </c>
      <c r="AB2313" s="2" t="s">
        <v>401</v>
      </c>
      <c r="AC2313" s="4" t="s">
        <v>44</v>
      </c>
    </row>
    <row r="2314" spans="1:29" x14ac:dyDescent="0.25">
      <c r="A2314" s="1">
        <v>4141</v>
      </c>
      <c r="B2314" s="17" t="s">
        <v>10794</v>
      </c>
      <c r="C2314" s="2" t="s">
        <v>10795</v>
      </c>
      <c r="D2314" s="15" t="s">
        <v>10796</v>
      </c>
      <c r="E2314" s="9" t="s">
        <v>8215</v>
      </c>
      <c r="F2314" s="9" t="s">
        <v>2434</v>
      </c>
      <c r="G2314" s="9" t="s">
        <v>7180</v>
      </c>
      <c r="H2314" s="2" t="s">
        <v>60</v>
      </c>
      <c r="I2314" s="3">
        <v>36637</v>
      </c>
      <c r="J2314" s="9" t="str">
        <f t="shared" ca="1" si="38"/>
        <v>23 ans</v>
      </c>
      <c r="K2314" s="2" t="s">
        <v>68</v>
      </c>
      <c r="L2314" s="2" t="str">
        <f>"522"</f>
        <v>522</v>
      </c>
      <c r="M2314" s="2"/>
      <c r="N2314" s="2" t="str">
        <f>"RUE DE LINDOSO"</f>
        <v>RUE DE LINDOSO</v>
      </c>
      <c r="O2314" s="2" t="s">
        <v>10559</v>
      </c>
      <c r="P2314" s="9" t="str">
        <f>VLOOKUP($O2314,'Liste des Villes'!$B$2:$B$1128,1,FALSE)</f>
        <v>Sainte-Anne-des-Plaines</v>
      </c>
      <c r="Q2314" s="9" t="str">
        <f>IFERROR($P2314,PROPER(VLOOKUP($O2314,'Villes en erreur'!$A$2:$B$72,2,FALSE)))</f>
        <v>Sainte-Anne-des-Plaines</v>
      </c>
      <c r="R2314" s="9" t="s">
        <v>10560</v>
      </c>
      <c r="S2314" s="9" t="str">
        <f>IF(ISBLANK($R2314),"",VLOOKUP($R2314,'Liste des Villes'!$B$2:$H$1128,4,FALSE))</f>
        <v>Laurentides</v>
      </c>
      <c r="T2314" s="2" t="s">
        <v>10599</v>
      </c>
      <c r="U2314" s="2" t="s">
        <v>39</v>
      </c>
      <c r="V2314" s="2" t="s">
        <v>40</v>
      </c>
      <c r="W2314" s="2" t="s">
        <v>10797</v>
      </c>
      <c r="X2314" s="2"/>
      <c r="Y2314" s="2"/>
      <c r="Z2314" s="2"/>
      <c r="AA2314" s="2" t="s">
        <v>72</v>
      </c>
      <c r="AB2314" s="2" t="s">
        <v>545</v>
      </c>
      <c r="AC2314" s="4" t="s">
        <v>44</v>
      </c>
    </row>
    <row r="2315" spans="1:29" x14ac:dyDescent="0.25">
      <c r="A2315" s="1">
        <v>60</v>
      </c>
      <c r="B2315" s="17" t="s">
        <v>10798</v>
      </c>
      <c r="C2315" s="2" t="s">
        <v>10799</v>
      </c>
      <c r="D2315" s="15" t="s">
        <v>10800</v>
      </c>
      <c r="E2315" s="9" t="s">
        <v>10801</v>
      </c>
      <c r="F2315" s="9" t="s">
        <v>1746</v>
      </c>
      <c r="G2315" s="9" t="s">
        <v>2779</v>
      </c>
      <c r="H2315" s="2" t="s">
        <v>60</v>
      </c>
      <c r="I2315" s="3">
        <v>36620</v>
      </c>
      <c r="J2315" s="9" t="str">
        <f t="shared" ca="1" si="38"/>
        <v>23 ans</v>
      </c>
      <c r="K2315" s="2" t="s">
        <v>68</v>
      </c>
      <c r="L2315" s="2" t="str">
        <f>"505"</f>
        <v>505</v>
      </c>
      <c r="M2315" s="2"/>
      <c r="N2315" s="2" t="str">
        <f>"RUE DE L'ÉPERVIER"</f>
        <v>RUE DE L'ÉPERVIER</v>
      </c>
      <c r="O2315" s="2" t="s">
        <v>10559</v>
      </c>
      <c r="P2315" s="9" t="str">
        <f>VLOOKUP($O2315,'Liste des Villes'!$B$2:$B$1128,1,FALSE)</f>
        <v>Sainte-Anne-des-Plaines</v>
      </c>
      <c r="Q2315" s="9" t="str">
        <f>IFERROR($P2315,PROPER(VLOOKUP($O2315,'Villes en erreur'!$A$2:$B$72,2,FALSE)))</f>
        <v>Sainte-Anne-des-Plaines</v>
      </c>
      <c r="R2315" s="9" t="s">
        <v>10560</v>
      </c>
      <c r="S2315" s="9" t="str">
        <f>IF(ISBLANK($R2315),"",VLOOKUP($R2315,'Liste des Villes'!$B$2:$H$1128,4,FALSE))</f>
        <v>Laurentides</v>
      </c>
      <c r="T2315" s="2" t="s">
        <v>10802</v>
      </c>
      <c r="U2315" s="2" t="s">
        <v>39</v>
      </c>
      <c r="V2315" s="2" t="s">
        <v>40</v>
      </c>
      <c r="W2315" s="2" t="s">
        <v>10803</v>
      </c>
      <c r="X2315" s="2"/>
      <c r="Y2315" s="2"/>
      <c r="Z2315" s="2"/>
      <c r="AA2315" s="2" t="s">
        <v>72</v>
      </c>
      <c r="AB2315" s="2" t="s">
        <v>401</v>
      </c>
      <c r="AC2315" s="4" t="s">
        <v>44</v>
      </c>
    </row>
    <row r="2316" spans="1:29" x14ac:dyDescent="0.25">
      <c r="A2316" s="1">
        <v>2893</v>
      </c>
      <c r="B2316" s="17" t="s">
        <v>10804</v>
      </c>
      <c r="C2316" s="2" t="s">
        <v>10805</v>
      </c>
      <c r="D2316" s="15" t="s">
        <v>10617</v>
      </c>
      <c r="E2316" s="9" t="s">
        <v>10575</v>
      </c>
      <c r="F2316" s="9" t="s">
        <v>10616</v>
      </c>
      <c r="G2316" s="9" t="s">
        <v>5793</v>
      </c>
      <c r="H2316" s="2" t="s">
        <v>60</v>
      </c>
      <c r="I2316" s="3">
        <v>36649</v>
      </c>
      <c r="J2316" s="9" t="str">
        <f t="shared" ca="1" si="38"/>
        <v>23 ans</v>
      </c>
      <c r="K2316" s="2" t="s">
        <v>68</v>
      </c>
      <c r="L2316" s="2" t="str">
        <f>"535"</f>
        <v>535</v>
      </c>
      <c r="M2316" s="2"/>
      <c r="N2316" s="2" t="str">
        <f>"RUE DE MAGELLAN"</f>
        <v>RUE DE MAGELLAN</v>
      </c>
      <c r="O2316" s="2" t="s">
        <v>10559</v>
      </c>
      <c r="P2316" s="9" t="str">
        <f>VLOOKUP($O2316,'Liste des Villes'!$B$2:$B$1128,1,FALSE)</f>
        <v>Sainte-Anne-des-Plaines</v>
      </c>
      <c r="Q2316" s="9" t="str">
        <f>IFERROR($P2316,PROPER(VLOOKUP($O2316,'Villes en erreur'!$A$2:$B$72,2,FALSE)))</f>
        <v>Sainte-Anne-des-Plaines</v>
      </c>
      <c r="R2316" s="9" t="s">
        <v>10560</v>
      </c>
      <c r="S2316" s="9" t="str">
        <f>IF(ISBLANK($R2316),"",VLOOKUP($R2316,'Liste des Villes'!$B$2:$H$1128,4,FALSE))</f>
        <v>Laurentides</v>
      </c>
      <c r="T2316" s="2" t="s">
        <v>10806</v>
      </c>
      <c r="U2316" s="2" t="s">
        <v>39</v>
      </c>
      <c r="V2316" s="2" t="s">
        <v>40</v>
      </c>
      <c r="W2316" s="2" t="s">
        <v>10807</v>
      </c>
      <c r="X2316" s="2"/>
      <c r="Y2316" s="2"/>
      <c r="Z2316" s="2"/>
      <c r="AA2316" s="2" t="s">
        <v>72</v>
      </c>
      <c r="AB2316" s="2" t="s">
        <v>545</v>
      </c>
      <c r="AC2316" s="4" t="s">
        <v>44</v>
      </c>
    </row>
    <row r="2317" spans="1:29" x14ac:dyDescent="0.25">
      <c r="A2317" s="1">
        <v>3034</v>
      </c>
      <c r="B2317" s="17" t="s">
        <v>10808</v>
      </c>
      <c r="C2317" s="2" t="s">
        <v>10809</v>
      </c>
      <c r="D2317" s="15" t="s">
        <v>10810</v>
      </c>
      <c r="E2317" s="9" t="s">
        <v>10811</v>
      </c>
      <c r="F2317" s="9" t="s">
        <v>1076</v>
      </c>
      <c r="G2317" s="9" t="s">
        <v>397</v>
      </c>
      <c r="H2317" s="2" t="s">
        <v>60</v>
      </c>
      <c r="I2317" s="3">
        <v>36619</v>
      </c>
      <c r="J2317" s="9" t="str">
        <f t="shared" ca="1" si="38"/>
        <v>23 ans</v>
      </c>
      <c r="K2317" s="2" t="s">
        <v>68</v>
      </c>
      <c r="L2317" s="2" t="str">
        <f>"504"</f>
        <v>504</v>
      </c>
      <c r="M2317" s="2"/>
      <c r="N2317" s="2" t="str">
        <f>"RUE DE L'ÉMÉRILLON"</f>
        <v>RUE DE L'ÉMÉRILLON</v>
      </c>
      <c r="O2317" s="2" t="s">
        <v>10559</v>
      </c>
      <c r="P2317" s="9" t="str">
        <f>VLOOKUP($O2317,'Liste des Villes'!$B$2:$B$1128,1,FALSE)</f>
        <v>Sainte-Anne-des-Plaines</v>
      </c>
      <c r="Q2317" s="9" t="str">
        <f>IFERROR($P2317,PROPER(VLOOKUP($O2317,'Villes en erreur'!$A$2:$B$72,2,FALSE)))</f>
        <v>Sainte-Anne-des-Plaines</v>
      </c>
      <c r="R2317" s="9" t="s">
        <v>10560</v>
      </c>
      <c r="S2317" s="9" t="str">
        <f>IF(ISBLANK($R2317),"",VLOOKUP($R2317,'Liste des Villes'!$B$2:$H$1128,4,FALSE))</f>
        <v>Laurentides</v>
      </c>
      <c r="T2317" s="2" t="s">
        <v>10668</v>
      </c>
      <c r="U2317" s="2" t="s">
        <v>39</v>
      </c>
      <c r="V2317" s="2" t="s">
        <v>40</v>
      </c>
      <c r="W2317" s="2" t="s">
        <v>10812</v>
      </c>
      <c r="X2317" s="2"/>
      <c r="Y2317" s="2"/>
      <c r="Z2317" s="2"/>
      <c r="AA2317" s="2" t="s">
        <v>72</v>
      </c>
      <c r="AB2317" s="2" t="s">
        <v>401</v>
      </c>
      <c r="AC2317" s="4" t="s">
        <v>44</v>
      </c>
    </row>
    <row r="2318" spans="1:29" x14ac:dyDescent="0.25">
      <c r="A2318" s="1">
        <v>800</v>
      </c>
      <c r="B2318" s="17" t="s">
        <v>10813</v>
      </c>
      <c r="C2318" s="2" t="s">
        <v>10814</v>
      </c>
      <c r="D2318" s="15" t="s">
        <v>10815</v>
      </c>
      <c r="E2318" s="9" t="s">
        <v>59</v>
      </c>
      <c r="F2318" s="9" t="s">
        <v>657</v>
      </c>
      <c r="G2318" s="9" t="s">
        <v>1315</v>
      </c>
      <c r="H2318" s="2" t="s">
        <v>60</v>
      </c>
      <c r="I2318" s="3">
        <v>36640</v>
      </c>
      <c r="J2318" s="9" t="str">
        <f t="shared" ca="1" si="38"/>
        <v>23 ans</v>
      </c>
      <c r="K2318" s="2" t="s">
        <v>68</v>
      </c>
      <c r="L2318" s="2" t="str">
        <f>"523"</f>
        <v>523</v>
      </c>
      <c r="M2318" s="2"/>
      <c r="N2318" s="2" t="str">
        <f>"RUE DE L'ONYX"</f>
        <v>RUE DE L'ONYX</v>
      </c>
      <c r="O2318" s="2" t="s">
        <v>10559</v>
      </c>
      <c r="P2318" s="9" t="str">
        <f>VLOOKUP($O2318,'Liste des Villes'!$B$2:$B$1128,1,FALSE)</f>
        <v>Sainte-Anne-des-Plaines</v>
      </c>
      <c r="Q2318" s="9" t="str">
        <f>IFERROR($P2318,PROPER(VLOOKUP($O2318,'Villes en erreur'!$A$2:$B$72,2,FALSE)))</f>
        <v>Sainte-Anne-des-Plaines</v>
      </c>
      <c r="R2318" s="9" t="s">
        <v>10560</v>
      </c>
      <c r="S2318" s="9" t="str">
        <f>IF(ISBLANK($R2318),"",VLOOKUP($R2318,'Liste des Villes'!$B$2:$H$1128,4,FALSE))</f>
        <v>Laurentides</v>
      </c>
      <c r="T2318" s="2" t="s">
        <v>10816</v>
      </c>
      <c r="U2318" s="2" t="s">
        <v>39</v>
      </c>
      <c r="V2318" s="2" t="s">
        <v>40</v>
      </c>
      <c r="W2318" s="2" t="s">
        <v>10817</v>
      </c>
      <c r="X2318" s="2"/>
      <c r="Y2318" s="2"/>
      <c r="Z2318" s="2"/>
      <c r="AA2318" s="2" t="s">
        <v>72</v>
      </c>
      <c r="AB2318" s="2" t="s">
        <v>545</v>
      </c>
      <c r="AC2318" s="4" t="s">
        <v>44</v>
      </c>
    </row>
    <row r="2319" spans="1:29" x14ac:dyDescent="0.25">
      <c r="A2319" s="1">
        <v>2664</v>
      </c>
      <c r="B2319" s="17" t="s">
        <v>10818</v>
      </c>
      <c r="C2319" s="2" t="s">
        <v>10819</v>
      </c>
      <c r="D2319" s="15" t="s">
        <v>4232</v>
      </c>
      <c r="E2319" s="9" t="s">
        <v>956</v>
      </c>
      <c r="F2319" s="9" t="s">
        <v>957</v>
      </c>
      <c r="G2319" s="9" t="s">
        <v>397</v>
      </c>
      <c r="H2319" s="2" t="s">
        <v>60</v>
      </c>
      <c r="I2319" s="3">
        <v>36619</v>
      </c>
      <c r="J2319" s="9" t="str">
        <f t="shared" ca="1" si="38"/>
        <v>23 ans</v>
      </c>
      <c r="K2319" s="2" t="s">
        <v>68</v>
      </c>
      <c r="L2319" s="2" t="str">
        <f>"502"</f>
        <v>502</v>
      </c>
      <c r="M2319" s="2"/>
      <c r="N2319" s="2" t="str">
        <f>"RUE DE L'ÉMERAUDE"</f>
        <v>RUE DE L'ÉMERAUDE</v>
      </c>
      <c r="O2319" s="2" t="s">
        <v>10559</v>
      </c>
      <c r="P2319" s="9" t="str">
        <f>VLOOKUP($O2319,'Liste des Villes'!$B$2:$B$1128,1,FALSE)</f>
        <v>Sainte-Anne-des-Plaines</v>
      </c>
      <c r="Q2319" s="9" t="str">
        <f>IFERROR($P2319,PROPER(VLOOKUP($O2319,'Villes en erreur'!$A$2:$B$72,2,FALSE)))</f>
        <v>Sainte-Anne-des-Plaines</v>
      </c>
      <c r="R2319" s="9" t="s">
        <v>10560</v>
      </c>
      <c r="S2319" s="9" t="str">
        <f>IF(ISBLANK($R2319),"",VLOOKUP($R2319,'Liste des Villes'!$B$2:$H$1128,4,FALSE))</f>
        <v>Laurentides</v>
      </c>
      <c r="T2319" s="2" t="s">
        <v>10820</v>
      </c>
      <c r="U2319" s="2" t="s">
        <v>39</v>
      </c>
      <c r="V2319" s="2" t="s">
        <v>40</v>
      </c>
      <c r="W2319" s="2" t="s">
        <v>10821</v>
      </c>
      <c r="X2319" s="2"/>
      <c r="Y2319" s="2"/>
      <c r="Z2319" s="2"/>
      <c r="AA2319" s="2" t="s">
        <v>72</v>
      </c>
      <c r="AB2319" s="2" t="s">
        <v>401</v>
      </c>
      <c r="AC2319" s="4" t="s">
        <v>44</v>
      </c>
    </row>
    <row r="2320" spans="1:29" x14ac:dyDescent="0.25">
      <c r="A2320" s="1">
        <v>2008</v>
      </c>
      <c r="B2320" s="17" t="s">
        <v>10822</v>
      </c>
      <c r="C2320" s="2" t="s">
        <v>2231</v>
      </c>
      <c r="D2320" s="15" t="s">
        <v>2232</v>
      </c>
      <c r="E2320" s="9" t="s">
        <v>348</v>
      </c>
      <c r="F2320" s="9" t="s">
        <v>2233</v>
      </c>
      <c r="G2320" s="9" t="s">
        <v>3503</v>
      </c>
      <c r="H2320" s="2" t="s">
        <v>60</v>
      </c>
      <c r="I2320" s="3">
        <v>36654</v>
      </c>
      <c r="J2320" s="9" t="str">
        <f t="shared" ca="1" si="38"/>
        <v>23 ans</v>
      </c>
      <c r="K2320" s="2" t="s">
        <v>68</v>
      </c>
      <c r="L2320" s="2" t="str">
        <f>"536"</f>
        <v>536</v>
      </c>
      <c r="M2320" s="2"/>
      <c r="N2320" s="2" t="str">
        <f>"RUE DE MARTIGNY O"</f>
        <v>RUE DE MARTIGNY O</v>
      </c>
      <c r="O2320" s="2" t="s">
        <v>10559</v>
      </c>
      <c r="P2320" s="9" t="str">
        <f>VLOOKUP($O2320,'Liste des Villes'!$B$2:$B$1128,1,FALSE)</f>
        <v>Sainte-Anne-des-Plaines</v>
      </c>
      <c r="Q2320" s="9" t="str">
        <f>IFERROR($P2320,PROPER(VLOOKUP($O2320,'Villes en erreur'!$A$2:$B$72,2,FALSE)))</f>
        <v>Sainte-Anne-des-Plaines</v>
      </c>
      <c r="R2320" s="9" t="s">
        <v>10560</v>
      </c>
      <c r="S2320" s="9" t="str">
        <f>IF(ISBLANK($R2320),"",VLOOKUP($R2320,'Liste des Villes'!$B$2:$H$1128,4,FALSE))</f>
        <v>Laurentides</v>
      </c>
      <c r="T2320" s="2" t="s">
        <v>10561</v>
      </c>
      <c r="U2320" s="2" t="s">
        <v>39</v>
      </c>
      <c r="V2320" s="2" t="s">
        <v>40</v>
      </c>
      <c r="W2320" s="2" t="s">
        <v>10823</v>
      </c>
      <c r="X2320" s="2"/>
      <c r="Y2320" s="2"/>
      <c r="Z2320" s="2"/>
      <c r="AA2320" s="2" t="s">
        <v>72</v>
      </c>
      <c r="AB2320" s="2" t="s">
        <v>545</v>
      </c>
      <c r="AC2320" s="4" t="s">
        <v>44</v>
      </c>
    </row>
    <row r="2321" spans="1:29" x14ac:dyDescent="0.25">
      <c r="A2321" s="1">
        <v>4368</v>
      </c>
      <c r="B2321" s="17" t="s">
        <v>10824</v>
      </c>
      <c r="C2321" s="2" t="s">
        <v>10825</v>
      </c>
      <c r="D2321" s="15" t="s">
        <v>10826</v>
      </c>
      <c r="E2321" s="9" t="s">
        <v>5865</v>
      </c>
      <c r="F2321" s="9" t="s">
        <v>10827</v>
      </c>
      <c r="G2321" s="9" t="s">
        <v>1315</v>
      </c>
      <c r="H2321" s="2" t="s">
        <v>60</v>
      </c>
      <c r="I2321" s="3">
        <v>36640</v>
      </c>
      <c r="J2321" s="9" t="str">
        <f t="shared" ca="1" si="38"/>
        <v>23 ans</v>
      </c>
      <c r="K2321" s="2" t="s">
        <v>68</v>
      </c>
      <c r="L2321" s="2" t="str">
        <f>"525"</f>
        <v>525</v>
      </c>
      <c r="M2321" s="2"/>
      <c r="N2321" s="2" t="str">
        <f>"RUE DE L'ONYX"</f>
        <v>RUE DE L'ONYX</v>
      </c>
      <c r="O2321" s="2" t="s">
        <v>10559</v>
      </c>
      <c r="P2321" s="9" t="str">
        <f>VLOOKUP($O2321,'Liste des Villes'!$B$2:$B$1128,1,FALSE)</f>
        <v>Sainte-Anne-des-Plaines</v>
      </c>
      <c r="Q2321" s="9" t="str">
        <f>IFERROR($P2321,PROPER(VLOOKUP($O2321,'Villes en erreur'!$A$2:$B$72,2,FALSE)))</f>
        <v>Sainte-Anne-des-Plaines</v>
      </c>
      <c r="R2321" s="9" t="s">
        <v>10560</v>
      </c>
      <c r="S2321" s="9" t="str">
        <f>IF(ISBLANK($R2321),"",VLOOKUP($R2321,'Liste des Villes'!$B$2:$H$1128,4,FALSE))</f>
        <v>Laurentides</v>
      </c>
      <c r="T2321" s="2" t="s">
        <v>10816</v>
      </c>
      <c r="U2321" s="2" t="s">
        <v>39</v>
      </c>
      <c r="V2321" s="2" t="s">
        <v>40</v>
      </c>
      <c r="W2321" s="2" t="s">
        <v>10828</v>
      </c>
      <c r="X2321" s="2"/>
      <c r="Y2321" s="2"/>
      <c r="Z2321" s="2"/>
      <c r="AA2321" s="2" t="s">
        <v>72</v>
      </c>
      <c r="AB2321" s="2" t="s">
        <v>545</v>
      </c>
      <c r="AC2321" s="4" t="s">
        <v>44</v>
      </c>
    </row>
    <row r="2322" spans="1:29" x14ac:dyDescent="0.25">
      <c r="A2322" s="1">
        <v>298</v>
      </c>
      <c r="B2322" s="17" t="s">
        <v>10829</v>
      </c>
      <c r="C2322" s="2" t="s">
        <v>3422</v>
      </c>
      <c r="D2322" s="15" t="s">
        <v>1098</v>
      </c>
      <c r="E2322" s="9" t="s">
        <v>3423</v>
      </c>
      <c r="F2322" s="9" t="s">
        <v>3424</v>
      </c>
      <c r="G2322" s="9" t="s">
        <v>10830</v>
      </c>
      <c r="H2322" s="2" t="s">
        <v>35</v>
      </c>
      <c r="I2322" s="3">
        <v>36658</v>
      </c>
      <c r="J2322" s="9" t="str">
        <f t="shared" ca="1" si="38"/>
        <v>23 ans</v>
      </c>
      <c r="K2322" s="2" t="s">
        <v>68</v>
      </c>
      <c r="L2322" s="2" t="str">
        <f>"540"</f>
        <v>540</v>
      </c>
      <c r="M2322" s="2"/>
      <c r="N2322" s="2" t="str">
        <f>"RUE DE MONTCALM"</f>
        <v>RUE DE MONTCALM</v>
      </c>
      <c r="O2322" s="2" t="s">
        <v>10559</v>
      </c>
      <c r="P2322" s="9" t="str">
        <f>VLOOKUP($O2322,'Liste des Villes'!$B$2:$B$1128,1,FALSE)</f>
        <v>Sainte-Anne-des-Plaines</v>
      </c>
      <c r="Q2322" s="9" t="str">
        <f>IFERROR($P2322,PROPER(VLOOKUP($O2322,'Villes en erreur'!$A$2:$B$72,2,FALSE)))</f>
        <v>Sainte-Anne-des-Plaines</v>
      </c>
      <c r="R2322" s="9" t="s">
        <v>10560</v>
      </c>
      <c r="S2322" s="9" t="str">
        <f>IF(ISBLANK($R2322),"",VLOOKUP($R2322,'Liste des Villes'!$B$2:$H$1128,4,FALSE))</f>
        <v>Laurentides</v>
      </c>
      <c r="T2322" s="2" t="s">
        <v>10831</v>
      </c>
      <c r="U2322" s="2" t="s">
        <v>39</v>
      </c>
      <c r="V2322" s="2" t="s">
        <v>40</v>
      </c>
      <c r="W2322" s="2" t="s">
        <v>10832</v>
      </c>
      <c r="X2322" s="2"/>
      <c r="Y2322" s="2"/>
      <c r="Z2322" s="2"/>
      <c r="AA2322" s="2" t="s">
        <v>72</v>
      </c>
      <c r="AB2322" s="2" t="s">
        <v>545</v>
      </c>
      <c r="AC2322" s="4" t="s">
        <v>44</v>
      </c>
    </row>
    <row r="2323" spans="1:29" x14ac:dyDescent="0.25">
      <c r="A2323" s="1">
        <v>439</v>
      </c>
      <c r="B2323" s="17" t="s">
        <v>10833</v>
      </c>
      <c r="C2323" s="2" t="s">
        <v>1733</v>
      </c>
      <c r="D2323" s="15" t="s">
        <v>100</v>
      </c>
      <c r="E2323" s="9" t="s">
        <v>122</v>
      </c>
      <c r="F2323" s="9" t="s">
        <v>98</v>
      </c>
      <c r="G2323" s="9" t="s">
        <v>5793</v>
      </c>
      <c r="H2323" s="2" t="s">
        <v>60</v>
      </c>
      <c r="I2323" s="3">
        <v>36650</v>
      </c>
      <c r="J2323" s="9" t="str">
        <f t="shared" ca="1" si="38"/>
        <v>23 ans</v>
      </c>
      <c r="K2323" s="2" t="s">
        <v>68</v>
      </c>
      <c r="L2323" s="2" t="str">
        <f>"535"</f>
        <v>535</v>
      </c>
      <c r="M2323" s="2"/>
      <c r="N2323" s="2" t="str">
        <f>"RUE DE MAGOG"</f>
        <v>RUE DE MAGOG</v>
      </c>
      <c r="O2323" s="2" t="s">
        <v>10559</v>
      </c>
      <c r="P2323" s="9" t="str">
        <f>VLOOKUP($O2323,'Liste des Villes'!$B$2:$B$1128,1,FALSE)</f>
        <v>Sainte-Anne-des-Plaines</v>
      </c>
      <c r="Q2323" s="9" t="str">
        <f>IFERROR($P2323,PROPER(VLOOKUP($O2323,'Villes en erreur'!$A$2:$B$72,2,FALSE)))</f>
        <v>Sainte-Anne-des-Plaines</v>
      </c>
      <c r="R2323" s="9" t="s">
        <v>10560</v>
      </c>
      <c r="S2323" s="9" t="str">
        <f>IF(ISBLANK($R2323),"",VLOOKUP($R2323,'Liste des Villes'!$B$2:$H$1128,4,FALSE))</f>
        <v>Laurentides</v>
      </c>
      <c r="T2323" s="2" t="s">
        <v>10806</v>
      </c>
      <c r="U2323" s="2" t="s">
        <v>39</v>
      </c>
      <c r="V2323" s="2" t="s">
        <v>40</v>
      </c>
      <c r="W2323" s="2" t="s">
        <v>10834</v>
      </c>
      <c r="X2323" s="2"/>
      <c r="Y2323" s="2"/>
      <c r="Z2323" s="2"/>
      <c r="AA2323" s="2" t="s">
        <v>72</v>
      </c>
      <c r="AB2323" s="2" t="s">
        <v>545</v>
      </c>
      <c r="AC2323" s="4" t="s">
        <v>44</v>
      </c>
    </row>
    <row r="2324" spans="1:29" x14ac:dyDescent="0.25">
      <c r="A2324" s="1">
        <v>3061</v>
      </c>
      <c r="B2324" s="17" t="s">
        <v>10835</v>
      </c>
      <c r="C2324" s="2" t="s">
        <v>10836</v>
      </c>
      <c r="D2324" s="15" t="s">
        <v>4835</v>
      </c>
      <c r="E2324" s="9" t="s">
        <v>3595</v>
      </c>
      <c r="F2324" s="9" t="s">
        <v>10837</v>
      </c>
      <c r="G2324" s="9" t="s">
        <v>10838</v>
      </c>
      <c r="H2324" s="2" t="s">
        <v>60</v>
      </c>
      <c r="I2324" s="3">
        <v>36635</v>
      </c>
      <c r="J2324" s="9" t="str">
        <f t="shared" ca="1" si="38"/>
        <v>23 ans</v>
      </c>
      <c r="K2324" s="2" t="s">
        <v>68</v>
      </c>
      <c r="L2324" s="2" t="str">
        <f>"520"</f>
        <v>520</v>
      </c>
      <c r="M2324" s="2"/>
      <c r="N2324" s="2" t="str">
        <f>"RUE DE L'HÔTEL-DE-VILLE"</f>
        <v>RUE DE L'HÔTEL-DE-VILLE</v>
      </c>
      <c r="O2324" s="2" t="s">
        <v>10559</v>
      </c>
      <c r="P2324" s="9" t="str">
        <f>VLOOKUP($O2324,'Liste des Villes'!$B$2:$B$1128,1,FALSE)</f>
        <v>Sainte-Anne-des-Plaines</v>
      </c>
      <c r="Q2324" s="9" t="str">
        <f>IFERROR($P2324,PROPER(VLOOKUP($O2324,'Villes en erreur'!$A$2:$B$72,2,FALSE)))</f>
        <v>Sainte-Anne-des-Plaines</v>
      </c>
      <c r="R2324" s="9" t="s">
        <v>10560</v>
      </c>
      <c r="S2324" s="9" t="str">
        <f>IF(ISBLANK($R2324),"",VLOOKUP($R2324,'Liste des Villes'!$B$2:$H$1128,4,FALSE))</f>
        <v>Laurentides</v>
      </c>
      <c r="T2324" s="2" t="s">
        <v>10630</v>
      </c>
      <c r="U2324" s="2" t="s">
        <v>39</v>
      </c>
      <c r="V2324" s="2" t="s">
        <v>40</v>
      </c>
      <c r="W2324" s="2" t="s">
        <v>10839</v>
      </c>
      <c r="X2324" s="2"/>
      <c r="Y2324" s="2"/>
      <c r="Z2324" s="2"/>
      <c r="AA2324" s="2" t="s">
        <v>72</v>
      </c>
      <c r="AB2324" s="2" t="s">
        <v>545</v>
      </c>
      <c r="AC2324" s="4" t="s">
        <v>44</v>
      </c>
    </row>
    <row r="2325" spans="1:29" x14ac:dyDescent="0.25">
      <c r="A2325" s="1">
        <v>3768</v>
      </c>
      <c r="B2325" s="17" t="s">
        <v>10840</v>
      </c>
      <c r="C2325" s="2" t="s">
        <v>10841</v>
      </c>
      <c r="D2325" s="15" t="s">
        <v>10842</v>
      </c>
      <c r="E2325" s="9" t="s">
        <v>1423</v>
      </c>
      <c r="F2325" s="9" t="s">
        <v>7931</v>
      </c>
      <c r="G2325" s="9" t="s">
        <v>1315</v>
      </c>
      <c r="H2325" s="2" t="s">
        <v>60</v>
      </c>
      <c r="I2325" s="3">
        <v>36638</v>
      </c>
      <c r="J2325" s="9" t="str">
        <f t="shared" ca="1" si="38"/>
        <v>23 ans</v>
      </c>
      <c r="K2325" s="2" t="s">
        <v>68</v>
      </c>
      <c r="L2325" s="2" t="str">
        <f>"523"</f>
        <v>523</v>
      </c>
      <c r="M2325" s="2"/>
      <c r="N2325" s="2" t="str">
        <f>"RUE DE LONGUEUIL"</f>
        <v>RUE DE LONGUEUIL</v>
      </c>
      <c r="O2325" s="2" t="s">
        <v>10559</v>
      </c>
      <c r="P2325" s="9" t="str">
        <f>VLOOKUP($O2325,'Liste des Villes'!$B$2:$B$1128,1,FALSE)</f>
        <v>Sainte-Anne-des-Plaines</v>
      </c>
      <c r="Q2325" s="9" t="str">
        <f>IFERROR($P2325,PROPER(VLOOKUP($O2325,'Villes en erreur'!$A$2:$B$72,2,FALSE)))</f>
        <v>Sainte-Anne-des-Plaines</v>
      </c>
      <c r="R2325" s="9" t="s">
        <v>10560</v>
      </c>
      <c r="S2325" s="9" t="str">
        <f>IF(ISBLANK($R2325),"",VLOOKUP($R2325,'Liste des Villes'!$B$2:$H$1128,4,FALSE))</f>
        <v>Laurentides</v>
      </c>
      <c r="T2325" s="2" t="s">
        <v>10663</v>
      </c>
      <c r="U2325" s="2" t="s">
        <v>39</v>
      </c>
      <c r="V2325" s="2" t="s">
        <v>40</v>
      </c>
      <c r="W2325" s="2" t="s">
        <v>10843</v>
      </c>
      <c r="X2325" s="2"/>
      <c r="Y2325" s="2"/>
      <c r="Z2325" s="2"/>
      <c r="AA2325" s="2" t="s">
        <v>72</v>
      </c>
      <c r="AB2325" s="2" t="s">
        <v>545</v>
      </c>
      <c r="AC2325" s="4" t="s">
        <v>44</v>
      </c>
    </row>
    <row r="2326" spans="1:29" x14ac:dyDescent="0.25">
      <c r="A2326" s="1">
        <v>2084</v>
      </c>
      <c r="B2326" s="17" t="s">
        <v>10844</v>
      </c>
      <c r="C2326" s="2" t="s">
        <v>10845</v>
      </c>
      <c r="D2326" s="15" t="s">
        <v>8705</v>
      </c>
      <c r="E2326" s="9" t="s">
        <v>9482</v>
      </c>
      <c r="F2326" s="9" t="s">
        <v>8704</v>
      </c>
      <c r="G2326" s="9" t="s">
        <v>5793</v>
      </c>
      <c r="H2326" s="2" t="s">
        <v>60</v>
      </c>
      <c r="I2326" s="3">
        <v>36647</v>
      </c>
      <c r="J2326" s="9" t="str">
        <f t="shared" ca="1" si="38"/>
        <v>23 ans</v>
      </c>
      <c r="K2326" s="2" t="s">
        <v>68</v>
      </c>
      <c r="L2326" s="2" t="str">
        <f>"533"</f>
        <v>533</v>
      </c>
      <c r="M2326" s="2"/>
      <c r="N2326" s="2" t="str">
        <f>"RUE DE LOUVIERS"</f>
        <v>RUE DE LOUVIERS</v>
      </c>
      <c r="O2326" s="2" t="s">
        <v>10559</v>
      </c>
      <c r="P2326" s="9" t="str">
        <f>VLOOKUP($O2326,'Liste des Villes'!$B$2:$B$1128,1,FALSE)</f>
        <v>Sainte-Anne-des-Plaines</v>
      </c>
      <c r="Q2326" s="9" t="str">
        <f>IFERROR($P2326,PROPER(VLOOKUP($O2326,'Villes en erreur'!$A$2:$B$72,2,FALSE)))</f>
        <v>Sainte-Anne-des-Plaines</v>
      </c>
      <c r="R2326" s="9" t="s">
        <v>10560</v>
      </c>
      <c r="S2326" s="9" t="str">
        <f>IF(ISBLANK($R2326),"",VLOOKUP($R2326,'Liste des Villes'!$B$2:$H$1128,4,FALSE))</f>
        <v>Laurentides</v>
      </c>
      <c r="T2326" s="2" t="s">
        <v>10846</v>
      </c>
      <c r="U2326" s="2" t="s">
        <v>39</v>
      </c>
      <c r="V2326" s="2" t="s">
        <v>40</v>
      </c>
      <c r="W2326" s="2" t="s">
        <v>10847</v>
      </c>
      <c r="X2326" s="2"/>
      <c r="Y2326" s="2"/>
      <c r="Z2326" s="2"/>
      <c r="AA2326" s="2" t="s">
        <v>72</v>
      </c>
      <c r="AB2326" s="2" t="s">
        <v>545</v>
      </c>
      <c r="AC2326" s="4" t="s">
        <v>44</v>
      </c>
    </row>
    <row r="2327" spans="1:29" x14ac:dyDescent="0.25">
      <c r="A2327" s="1">
        <v>3409</v>
      </c>
      <c r="B2327" s="17" t="s">
        <v>10848</v>
      </c>
      <c r="C2327" s="2" t="s">
        <v>10849</v>
      </c>
      <c r="D2327" s="15" t="s">
        <v>9465</v>
      </c>
      <c r="E2327" s="9" t="s">
        <v>5660</v>
      </c>
      <c r="F2327" s="9" t="s">
        <v>8666</v>
      </c>
      <c r="G2327" s="9" t="s">
        <v>10629</v>
      </c>
      <c r="H2327" s="2" t="s">
        <v>60</v>
      </c>
      <c r="I2327" s="3">
        <v>36635</v>
      </c>
      <c r="J2327" s="9" t="str">
        <f t="shared" ca="1" si="38"/>
        <v>23 ans</v>
      </c>
      <c r="K2327" s="2" t="s">
        <v>68</v>
      </c>
      <c r="L2327" s="2" t="str">
        <f>"520"</f>
        <v>520</v>
      </c>
      <c r="M2327" s="2"/>
      <c r="N2327" s="2" t="str">
        <f>"RUE DE L'EXPO"</f>
        <v>RUE DE L'EXPO</v>
      </c>
      <c r="O2327" s="2" t="s">
        <v>10559</v>
      </c>
      <c r="P2327" s="9" t="str">
        <f>VLOOKUP($O2327,'Liste des Villes'!$B$2:$B$1128,1,FALSE)</f>
        <v>Sainte-Anne-des-Plaines</v>
      </c>
      <c r="Q2327" s="9" t="str">
        <f>IFERROR($P2327,PROPER(VLOOKUP($O2327,'Villes en erreur'!$A$2:$B$72,2,FALSE)))</f>
        <v>Sainte-Anne-des-Plaines</v>
      </c>
      <c r="R2327" s="9" t="s">
        <v>10560</v>
      </c>
      <c r="S2327" s="9" t="str">
        <f>IF(ISBLANK($R2327),"",VLOOKUP($R2327,'Liste des Villes'!$B$2:$H$1128,4,FALSE))</f>
        <v>Laurentides</v>
      </c>
      <c r="T2327" s="2" t="s">
        <v>10850</v>
      </c>
      <c r="U2327" s="2" t="s">
        <v>39</v>
      </c>
      <c r="V2327" s="2" t="s">
        <v>40</v>
      </c>
      <c r="W2327" s="2" t="s">
        <v>10851</v>
      </c>
      <c r="X2327" s="2"/>
      <c r="Y2327" s="2"/>
      <c r="Z2327" s="2"/>
      <c r="AA2327" s="2" t="s">
        <v>72</v>
      </c>
      <c r="AB2327" s="2" t="s">
        <v>545</v>
      </c>
      <c r="AC2327" s="4" t="s">
        <v>44</v>
      </c>
    </row>
    <row r="2328" spans="1:29" x14ac:dyDescent="0.25">
      <c r="A2328" s="1">
        <v>4231</v>
      </c>
      <c r="B2328" s="17" t="s">
        <v>10852</v>
      </c>
      <c r="C2328" s="2" t="s">
        <v>10853</v>
      </c>
      <c r="D2328" s="15" t="s">
        <v>10854</v>
      </c>
      <c r="E2328" s="9" t="s">
        <v>2107</v>
      </c>
      <c r="F2328" s="9" t="s">
        <v>4330</v>
      </c>
      <c r="G2328" s="9" t="s">
        <v>1337</v>
      </c>
      <c r="H2328" s="2" t="s">
        <v>60</v>
      </c>
      <c r="I2328" s="3">
        <v>36624</v>
      </c>
      <c r="J2328" s="9" t="str">
        <f t="shared" ca="1" si="38"/>
        <v>23 ans</v>
      </c>
      <c r="K2328" s="2" t="s">
        <v>68</v>
      </c>
      <c r="L2328" s="2" t="str">
        <f>"510"</f>
        <v>510</v>
      </c>
      <c r="M2328" s="2"/>
      <c r="N2328" s="2" t="str">
        <f>"RUE DE L'ESCRIME"</f>
        <v>RUE DE L'ESCRIME</v>
      </c>
      <c r="O2328" s="2" t="s">
        <v>10559</v>
      </c>
      <c r="P2328" s="9" t="str">
        <f>VLOOKUP($O2328,'Liste des Villes'!$B$2:$B$1128,1,FALSE)</f>
        <v>Sainte-Anne-des-Plaines</v>
      </c>
      <c r="Q2328" s="9" t="str">
        <f>IFERROR($P2328,PROPER(VLOOKUP($O2328,'Villes en erreur'!$A$2:$B$72,2,FALSE)))</f>
        <v>Sainte-Anne-des-Plaines</v>
      </c>
      <c r="R2328" s="9" t="s">
        <v>10560</v>
      </c>
      <c r="S2328" s="9" t="str">
        <f>IF(ISBLANK($R2328),"",VLOOKUP($R2328,'Liste des Villes'!$B$2:$H$1128,4,FALSE))</f>
        <v>Laurentides</v>
      </c>
      <c r="T2328" s="2" t="s">
        <v>10855</v>
      </c>
      <c r="U2328" s="2" t="s">
        <v>39</v>
      </c>
      <c r="V2328" s="2" t="s">
        <v>40</v>
      </c>
      <c r="W2328" s="2" t="s">
        <v>10856</v>
      </c>
      <c r="X2328" s="2"/>
      <c r="Y2328" s="2"/>
      <c r="Z2328" s="2"/>
      <c r="AA2328" s="2" t="s">
        <v>72</v>
      </c>
      <c r="AB2328" s="2" t="s">
        <v>401</v>
      </c>
      <c r="AC2328" s="4" t="s">
        <v>44</v>
      </c>
    </row>
    <row r="2329" spans="1:29" x14ac:dyDescent="0.25">
      <c r="A2329" s="1">
        <v>1294</v>
      </c>
      <c r="B2329" s="17" t="s">
        <v>10857</v>
      </c>
      <c r="C2329" s="2" t="s">
        <v>10858</v>
      </c>
      <c r="D2329" s="15" t="s">
        <v>1258</v>
      </c>
      <c r="E2329" s="9" t="s">
        <v>9259</v>
      </c>
      <c r="F2329" s="9" t="s">
        <v>4722</v>
      </c>
      <c r="G2329" s="9" t="s">
        <v>1337</v>
      </c>
      <c r="H2329" s="2" t="s">
        <v>60</v>
      </c>
      <c r="I2329" s="3">
        <v>36625</v>
      </c>
      <c r="J2329" s="9" t="str">
        <f t="shared" ca="1" si="38"/>
        <v>23 ans</v>
      </c>
      <c r="K2329" s="2" t="s">
        <v>68</v>
      </c>
      <c r="L2329" s="2" t="str">
        <f>"511"</f>
        <v>511</v>
      </c>
      <c r="M2329" s="2"/>
      <c r="N2329" s="2" t="str">
        <f>"RUE DE L'ESCRIME"</f>
        <v>RUE DE L'ESCRIME</v>
      </c>
      <c r="O2329" s="2" t="s">
        <v>10559</v>
      </c>
      <c r="P2329" s="9" t="str">
        <f>VLOOKUP($O2329,'Liste des Villes'!$B$2:$B$1128,1,FALSE)</f>
        <v>Sainte-Anne-des-Plaines</v>
      </c>
      <c r="Q2329" s="9" t="str">
        <f>IFERROR($P2329,PROPER(VLOOKUP($O2329,'Villes en erreur'!$A$2:$B$72,2,FALSE)))</f>
        <v>Sainte-Anne-des-Plaines</v>
      </c>
      <c r="R2329" s="9" t="s">
        <v>10560</v>
      </c>
      <c r="S2329" s="9" t="str">
        <f>IF(ISBLANK($R2329),"",VLOOKUP($R2329,'Liste des Villes'!$B$2:$H$1128,4,FALSE))</f>
        <v>Laurentides</v>
      </c>
      <c r="T2329" s="2" t="s">
        <v>10855</v>
      </c>
      <c r="U2329" s="2" t="s">
        <v>39</v>
      </c>
      <c r="V2329" s="2" t="s">
        <v>40</v>
      </c>
      <c r="W2329" s="2" t="s">
        <v>10859</v>
      </c>
      <c r="X2329" s="2"/>
      <c r="Y2329" s="2"/>
      <c r="Z2329" s="2"/>
      <c r="AA2329" s="2" t="s">
        <v>72</v>
      </c>
      <c r="AB2329" s="2" t="s">
        <v>401</v>
      </c>
      <c r="AC2329" s="4" t="s">
        <v>44</v>
      </c>
    </row>
    <row r="2330" spans="1:29" x14ac:dyDescent="0.25">
      <c r="A2330" s="1">
        <v>152</v>
      </c>
      <c r="B2330" s="17" t="s">
        <v>10860</v>
      </c>
      <c r="C2330" s="2" t="s">
        <v>10861</v>
      </c>
      <c r="D2330" s="15" t="s">
        <v>6064</v>
      </c>
      <c r="E2330" s="9" t="s">
        <v>209</v>
      </c>
      <c r="F2330" s="9" t="s">
        <v>6063</v>
      </c>
      <c r="G2330" s="9" t="s">
        <v>2779</v>
      </c>
      <c r="H2330" s="2" t="s">
        <v>60</v>
      </c>
      <c r="I2330" s="3">
        <v>36623</v>
      </c>
      <c r="J2330" s="9" t="str">
        <f t="shared" ca="1" si="38"/>
        <v>23 ans</v>
      </c>
      <c r="K2330" s="2" t="s">
        <v>68</v>
      </c>
      <c r="L2330" s="2" t="str">
        <f>"507"</f>
        <v>507</v>
      </c>
      <c r="M2330" s="2"/>
      <c r="N2330" s="2" t="str">
        <f>"RUE DE L'ÉRABLIÈRE E"</f>
        <v>RUE DE L'ÉRABLIÈRE E</v>
      </c>
      <c r="O2330" s="2" t="s">
        <v>10559</v>
      </c>
      <c r="P2330" s="9" t="str">
        <f>VLOOKUP($O2330,'Liste des Villes'!$B$2:$B$1128,1,FALSE)</f>
        <v>Sainte-Anne-des-Plaines</v>
      </c>
      <c r="Q2330" s="9" t="str">
        <f>IFERROR($P2330,PROPER(VLOOKUP($O2330,'Villes en erreur'!$A$2:$B$72,2,FALSE)))</f>
        <v>Sainte-Anne-des-Plaines</v>
      </c>
      <c r="R2330" s="9" t="s">
        <v>10560</v>
      </c>
      <c r="S2330" s="9" t="str">
        <f>IF(ISBLANK($R2330),"",VLOOKUP($R2330,'Liste des Villes'!$B$2:$H$1128,4,FALSE))</f>
        <v>Laurentides</v>
      </c>
      <c r="T2330" s="2" t="s">
        <v>10773</v>
      </c>
      <c r="U2330" s="2" t="s">
        <v>39</v>
      </c>
      <c r="V2330" s="2" t="s">
        <v>40</v>
      </c>
      <c r="W2330" s="2" t="s">
        <v>10862</v>
      </c>
      <c r="X2330" s="2"/>
      <c r="Y2330" s="2"/>
      <c r="Z2330" s="2"/>
      <c r="AA2330" s="2" t="s">
        <v>72</v>
      </c>
      <c r="AB2330" s="2" t="s">
        <v>401</v>
      </c>
      <c r="AC2330" s="4" t="s">
        <v>44</v>
      </c>
    </row>
    <row r="2331" spans="1:29" x14ac:dyDescent="0.25">
      <c r="A2331" s="1">
        <v>3444</v>
      </c>
      <c r="B2331" s="17" t="s">
        <v>10863</v>
      </c>
      <c r="C2331" s="2" t="s">
        <v>10864</v>
      </c>
      <c r="D2331" s="15" t="s">
        <v>5125</v>
      </c>
      <c r="E2331" s="9" t="s">
        <v>503</v>
      </c>
      <c r="F2331" s="9" t="s">
        <v>504</v>
      </c>
      <c r="G2331" s="9" t="s">
        <v>1315</v>
      </c>
      <c r="H2331" s="2" t="s">
        <v>60</v>
      </c>
      <c r="I2331" s="3">
        <v>36640</v>
      </c>
      <c r="J2331" s="9" t="str">
        <f t="shared" ca="1" si="38"/>
        <v>23 ans</v>
      </c>
      <c r="K2331" s="2" t="s">
        <v>68</v>
      </c>
      <c r="L2331" s="2" t="str">
        <f>"525"</f>
        <v>525</v>
      </c>
      <c r="M2331" s="2"/>
      <c r="N2331" s="2" t="str">
        <f>"RUE DE L'ONYX"</f>
        <v>RUE DE L'ONYX</v>
      </c>
      <c r="O2331" s="2" t="s">
        <v>10559</v>
      </c>
      <c r="P2331" s="9" t="str">
        <f>VLOOKUP($O2331,'Liste des Villes'!$B$2:$B$1128,1,FALSE)</f>
        <v>Sainte-Anne-des-Plaines</v>
      </c>
      <c r="Q2331" s="9" t="str">
        <f>IFERROR($P2331,PROPER(VLOOKUP($O2331,'Villes en erreur'!$A$2:$B$72,2,FALSE)))</f>
        <v>Sainte-Anne-des-Plaines</v>
      </c>
      <c r="R2331" s="9" t="s">
        <v>10560</v>
      </c>
      <c r="S2331" s="9" t="str">
        <f>IF(ISBLANK($R2331),"",VLOOKUP($R2331,'Liste des Villes'!$B$2:$H$1128,4,FALSE))</f>
        <v>Laurentides</v>
      </c>
      <c r="T2331" s="2" t="s">
        <v>10865</v>
      </c>
      <c r="U2331" s="2" t="s">
        <v>39</v>
      </c>
      <c r="V2331" s="2" t="s">
        <v>40</v>
      </c>
      <c r="W2331" s="2" t="s">
        <v>10866</v>
      </c>
      <c r="X2331" s="2"/>
      <c r="Y2331" s="2"/>
      <c r="Z2331" s="2"/>
      <c r="AA2331" s="2" t="s">
        <v>72</v>
      </c>
      <c r="AB2331" s="2" t="s">
        <v>545</v>
      </c>
      <c r="AC2331" s="4" t="s">
        <v>44</v>
      </c>
    </row>
    <row r="2332" spans="1:29" x14ac:dyDescent="0.25">
      <c r="A2332" s="1">
        <v>1702</v>
      </c>
      <c r="B2332" s="17" t="s">
        <v>10867</v>
      </c>
      <c r="C2332" s="2" t="s">
        <v>10868</v>
      </c>
      <c r="D2332" s="15" t="s">
        <v>4328</v>
      </c>
      <c r="E2332" s="9" t="s">
        <v>8604</v>
      </c>
      <c r="F2332" s="9" t="s">
        <v>4330</v>
      </c>
      <c r="G2332" s="9" t="s">
        <v>5793</v>
      </c>
      <c r="H2332" s="2" t="s">
        <v>60</v>
      </c>
      <c r="I2332" s="3">
        <v>36645</v>
      </c>
      <c r="J2332" s="9" t="str">
        <f t="shared" ca="1" si="38"/>
        <v>23 ans</v>
      </c>
      <c r="K2332" s="2" t="s">
        <v>68</v>
      </c>
      <c r="L2332" s="2" t="str">
        <f>"530"</f>
        <v>530</v>
      </c>
      <c r="M2332" s="2"/>
      <c r="N2332" s="2" t="str">
        <f>"RUE DE LOURDES"</f>
        <v>RUE DE LOURDES</v>
      </c>
      <c r="O2332" s="2" t="s">
        <v>10559</v>
      </c>
      <c r="P2332" s="9" t="str">
        <f>VLOOKUP($O2332,'Liste des Villes'!$B$2:$B$1128,1,FALSE)</f>
        <v>Sainte-Anne-des-Plaines</v>
      </c>
      <c r="Q2332" s="9" t="str">
        <f>IFERROR($P2332,PROPER(VLOOKUP($O2332,'Villes en erreur'!$A$2:$B$72,2,FALSE)))</f>
        <v>Sainte-Anne-des-Plaines</v>
      </c>
      <c r="R2332" s="9" t="s">
        <v>10560</v>
      </c>
      <c r="S2332" s="9" t="str">
        <f>IF(ISBLANK($R2332),"",VLOOKUP($R2332,'Liste des Villes'!$B$2:$H$1128,4,FALSE))</f>
        <v>Laurentides</v>
      </c>
      <c r="T2332" s="2" t="s">
        <v>10752</v>
      </c>
      <c r="U2332" s="2" t="s">
        <v>39</v>
      </c>
      <c r="V2332" s="2" t="s">
        <v>40</v>
      </c>
      <c r="W2332" s="2" t="s">
        <v>10869</v>
      </c>
      <c r="X2332" s="2"/>
      <c r="Y2332" s="2"/>
      <c r="Z2332" s="2"/>
      <c r="AA2332" s="2" t="s">
        <v>72</v>
      </c>
      <c r="AB2332" s="2" t="s">
        <v>545</v>
      </c>
      <c r="AC2332" s="4" t="s">
        <v>44</v>
      </c>
    </row>
    <row r="2333" spans="1:29" x14ac:dyDescent="0.25">
      <c r="A2333" s="1">
        <v>3106</v>
      </c>
      <c r="B2333" s="17" t="s">
        <v>10870</v>
      </c>
      <c r="C2333" s="2" t="s">
        <v>1370</v>
      </c>
      <c r="D2333" s="15" t="s">
        <v>1092</v>
      </c>
      <c r="E2333" s="9" t="s">
        <v>92</v>
      </c>
      <c r="F2333" s="9" t="s">
        <v>10871</v>
      </c>
      <c r="G2333" s="9" t="s">
        <v>1315</v>
      </c>
      <c r="H2333" s="2" t="s">
        <v>60</v>
      </c>
      <c r="I2333" s="3">
        <v>36637</v>
      </c>
      <c r="J2333" s="9" t="str">
        <f t="shared" ca="1" si="38"/>
        <v>23 ans</v>
      </c>
      <c r="K2333" s="2" t="s">
        <v>68</v>
      </c>
      <c r="L2333" s="2" t="str">
        <f>"523"</f>
        <v>523</v>
      </c>
      <c r="M2333" s="2"/>
      <c r="N2333" s="2" t="str">
        <f>"RUE DE L'OISELET"</f>
        <v>RUE DE L'OISELET</v>
      </c>
      <c r="O2333" s="2" t="s">
        <v>10559</v>
      </c>
      <c r="P2333" s="9" t="str">
        <f>VLOOKUP($O2333,'Liste des Villes'!$B$2:$B$1128,1,FALSE)</f>
        <v>Sainte-Anne-des-Plaines</v>
      </c>
      <c r="Q2333" s="9" t="str">
        <f>IFERROR($P2333,PROPER(VLOOKUP($O2333,'Villes en erreur'!$A$2:$B$72,2,FALSE)))</f>
        <v>Sainte-Anne-des-Plaines</v>
      </c>
      <c r="R2333" s="9" t="s">
        <v>10560</v>
      </c>
      <c r="S2333" s="9" t="str">
        <f>IF(ISBLANK($R2333),"",VLOOKUP($R2333,'Liste des Villes'!$B$2:$H$1128,4,FALSE))</f>
        <v>Laurentides</v>
      </c>
      <c r="T2333" s="2" t="s">
        <v>10872</v>
      </c>
      <c r="U2333" s="2" t="s">
        <v>39</v>
      </c>
      <c r="V2333" s="2" t="s">
        <v>40</v>
      </c>
      <c r="W2333" s="2" t="s">
        <v>10873</v>
      </c>
      <c r="X2333" s="2"/>
      <c r="Y2333" s="2"/>
      <c r="Z2333" s="2"/>
      <c r="AA2333" s="2" t="s">
        <v>72</v>
      </c>
      <c r="AB2333" s="2" t="s">
        <v>545</v>
      </c>
      <c r="AC2333" s="4" t="s">
        <v>44</v>
      </c>
    </row>
    <row r="2334" spans="1:29" x14ac:dyDescent="0.25">
      <c r="A2334" s="1">
        <v>4237</v>
      </c>
      <c r="B2334" s="17" t="s">
        <v>10874</v>
      </c>
      <c r="C2334" s="2" t="s">
        <v>786</v>
      </c>
      <c r="D2334" s="15" t="s">
        <v>750</v>
      </c>
      <c r="E2334" s="9" t="s">
        <v>787</v>
      </c>
      <c r="F2334" s="9" t="s">
        <v>1141</v>
      </c>
      <c r="G2334" s="9" t="s">
        <v>10875</v>
      </c>
      <c r="H2334" s="2" t="s">
        <v>60</v>
      </c>
      <c r="I2334" s="3">
        <v>36645</v>
      </c>
      <c r="J2334" s="9" t="str">
        <f t="shared" ca="1" si="38"/>
        <v>23 ans</v>
      </c>
      <c r="K2334" s="2" t="s">
        <v>68</v>
      </c>
      <c r="L2334" s="2" t="str">
        <f>"530"</f>
        <v>530</v>
      </c>
      <c r="M2334" s="2"/>
      <c r="N2334" s="2" t="str">
        <f>"RUE DE L'ORÉE-DU-BOIS"</f>
        <v>RUE DE L'ORÉE-DU-BOIS</v>
      </c>
      <c r="O2334" s="2" t="s">
        <v>10559</v>
      </c>
      <c r="P2334" s="9" t="str">
        <f>VLOOKUP($O2334,'Liste des Villes'!$B$2:$B$1128,1,FALSE)</f>
        <v>Sainte-Anne-des-Plaines</v>
      </c>
      <c r="Q2334" s="9" t="str">
        <f>IFERROR($P2334,PROPER(VLOOKUP($O2334,'Villes en erreur'!$A$2:$B$72,2,FALSE)))</f>
        <v>Sainte-Anne-des-Plaines</v>
      </c>
      <c r="R2334" s="9" t="s">
        <v>10560</v>
      </c>
      <c r="S2334" s="9" t="str">
        <f>IF(ISBLANK($R2334),"",VLOOKUP($R2334,'Liste des Villes'!$B$2:$H$1128,4,FALSE))</f>
        <v>Laurentides</v>
      </c>
      <c r="T2334" s="2" t="s">
        <v>10876</v>
      </c>
      <c r="U2334" s="2" t="s">
        <v>39</v>
      </c>
      <c r="V2334" s="2" t="s">
        <v>40</v>
      </c>
      <c r="W2334" s="2" t="s">
        <v>10877</v>
      </c>
      <c r="X2334" s="2"/>
      <c r="Y2334" s="2"/>
      <c r="Z2334" s="2"/>
      <c r="AA2334" s="2" t="s">
        <v>72</v>
      </c>
      <c r="AB2334" s="2" t="s">
        <v>545</v>
      </c>
      <c r="AC2334" s="4" t="s">
        <v>44</v>
      </c>
    </row>
    <row r="2335" spans="1:29" x14ac:dyDescent="0.25">
      <c r="A2335" s="1">
        <v>3416</v>
      </c>
      <c r="B2335" s="17" t="s">
        <v>10878</v>
      </c>
      <c r="C2335" s="2" t="s">
        <v>10879</v>
      </c>
      <c r="D2335" s="15" t="s">
        <v>10052</v>
      </c>
      <c r="E2335" s="9" t="s">
        <v>219</v>
      </c>
      <c r="F2335" s="9" t="s">
        <v>10051</v>
      </c>
      <c r="G2335" s="9" t="s">
        <v>1337</v>
      </c>
      <c r="H2335" s="2" t="s">
        <v>60</v>
      </c>
      <c r="I2335" s="3">
        <v>36623</v>
      </c>
      <c r="J2335" s="9" t="str">
        <f t="shared" ca="1" si="38"/>
        <v>23 ans</v>
      </c>
      <c r="K2335" s="2" t="s">
        <v>68</v>
      </c>
      <c r="L2335" s="2" t="str">
        <f>"507"</f>
        <v>507</v>
      </c>
      <c r="M2335" s="2"/>
      <c r="N2335" s="2" t="str">
        <f>"rue De l'Érablière Est"</f>
        <v>rue De l'Érablière Est</v>
      </c>
      <c r="O2335" s="2" t="s">
        <v>10559</v>
      </c>
      <c r="P2335" s="9" t="str">
        <f>VLOOKUP($O2335,'Liste des Villes'!$B$2:$B$1128,1,FALSE)</f>
        <v>Sainte-Anne-des-Plaines</v>
      </c>
      <c r="Q2335" s="9" t="str">
        <f>IFERROR($P2335,PROPER(VLOOKUP($O2335,'Villes en erreur'!$A$2:$B$72,2,FALSE)))</f>
        <v>Sainte-Anne-des-Plaines</v>
      </c>
      <c r="R2335" s="9" t="s">
        <v>10560</v>
      </c>
      <c r="S2335" s="9" t="str">
        <f>IF(ISBLANK($R2335),"",VLOOKUP($R2335,'Liste des Villes'!$B$2:$H$1128,4,FALSE))</f>
        <v>Laurentides</v>
      </c>
      <c r="T2335" s="2" t="s">
        <v>10880</v>
      </c>
      <c r="U2335" s="2" t="s">
        <v>39</v>
      </c>
      <c r="V2335" s="2" t="s">
        <v>40</v>
      </c>
      <c r="W2335" s="2" t="s">
        <v>10881</v>
      </c>
      <c r="X2335" s="2"/>
      <c r="Y2335" s="2"/>
      <c r="Z2335" s="2"/>
      <c r="AA2335" s="2" t="s">
        <v>72</v>
      </c>
      <c r="AB2335" s="2" t="s">
        <v>401</v>
      </c>
      <c r="AC2335" s="4" t="s">
        <v>44</v>
      </c>
    </row>
    <row r="2336" spans="1:29" x14ac:dyDescent="0.25">
      <c r="A2336" s="1">
        <v>4040</v>
      </c>
      <c r="B2336" s="17" t="s">
        <v>10882</v>
      </c>
      <c r="C2336" s="2" t="s">
        <v>6537</v>
      </c>
      <c r="D2336" s="15" t="s">
        <v>818</v>
      </c>
      <c r="E2336" s="9" t="s">
        <v>120</v>
      </c>
      <c r="F2336" s="9" t="s">
        <v>4543</v>
      </c>
      <c r="G2336" s="9" t="s">
        <v>1337</v>
      </c>
      <c r="H2336" s="2" t="s">
        <v>60</v>
      </c>
      <c r="I2336" s="3">
        <v>36625</v>
      </c>
      <c r="J2336" s="9" t="str">
        <f t="shared" ca="1" si="38"/>
        <v>23 ans</v>
      </c>
      <c r="K2336" s="2" t="s">
        <v>68</v>
      </c>
      <c r="L2336" s="2" t="str">
        <f>"511"</f>
        <v>511</v>
      </c>
      <c r="M2336" s="2"/>
      <c r="N2336" s="2" t="str">
        <f>"RUE DE L'ESPLANADE"</f>
        <v>RUE DE L'ESPLANADE</v>
      </c>
      <c r="O2336" s="2" t="s">
        <v>10559</v>
      </c>
      <c r="P2336" s="9" t="str">
        <f>VLOOKUP($O2336,'Liste des Villes'!$B$2:$B$1128,1,FALSE)</f>
        <v>Sainte-Anne-des-Plaines</v>
      </c>
      <c r="Q2336" s="9" t="str">
        <f>IFERROR($P2336,PROPER(VLOOKUP($O2336,'Villes en erreur'!$A$2:$B$72,2,FALSE)))</f>
        <v>Sainte-Anne-des-Plaines</v>
      </c>
      <c r="R2336" s="9" t="s">
        <v>10560</v>
      </c>
      <c r="S2336" s="9" t="str">
        <f>IF(ISBLANK($R2336),"",VLOOKUP($R2336,'Liste des Villes'!$B$2:$H$1128,4,FALSE))</f>
        <v>Laurentides</v>
      </c>
      <c r="T2336" s="2" t="s">
        <v>10883</v>
      </c>
      <c r="U2336" s="2" t="s">
        <v>39</v>
      </c>
      <c r="V2336" s="2" t="s">
        <v>40</v>
      </c>
      <c r="W2336" s="2" t="s">
        <v>10884</v>
      </c>
      <c r="X2336" s="2"/>
      <c r="Y2336" s="2"/>
      <c r="Z2336" s="2"/>
      <c r="AA2336" s="2" t="s">
        <v>72</v>
      </c>
      <c r="AB2336" s="2" t="s">
        <v>401</v>
      </c>
      <c r="AC2336" s="4" t="s">
        <v>44</v>
      </c>
    </row>
    <row r="2337" spans="1:29" x14ac:dyDescent="0.25">
      <c r="A2337" s="1">
        <v>3721</v>
      </c>
      <c r="B2337" s="17" t="s">
        <v>10885</v>
      </c>
      <c r="C2337" s="2" t="s">
        <v>10886</v>
      </c>
      <c r="D2337" s="15" t="s">
        <v>10887</v>
      </c>
      <c r="E2337" s="9" t="s">
        <v>5276</v>
      </c>
      <c r="F2337" s="9" t="s">
        <v>4066</v>
      </c>
      <c r="G2337" s="9" t="s">
        <v>3706</v>
      </c>
      <c r="H2337" s="2" t="s">
        <v>60</v>
      </c>
      <c r="I2337" s="3">
        <v>36635</v>
      </c>
      <c r="J2337" s="9" t="str">
        <f t="shared" ca="1" si="38"/>
        <v>23 ans</v>
      </c>
      <c r="K2337" s="2" t="s">
        <v>68</v>
      </c>
      <c r="L2337" s="2" t="str">
        <f>"520"</f>
        <v>520</v>
      </c>
      <c r="M2337" s="2"/>
      <c r="N2337" s="2" t="str">
        <f>"RUE DE L'HÔTEL-DE-VILLE"</f>
        <v>RUE DE L'HÔTEL-DE-VILLE</v>
      </c>
      <c r="O2337" s="2" t="s">
        <v>10559</v>
      </c>
      <c r="P2337" s="9" t="str">
        <f>VLOOKUP($O2337,'Liste des Villes'!$B$2:$B$1128,1,FALSE)</f>
        <v>Sainte-Anne-des-Plaines</v>
      </c>
      <c r="Q2337" s="9" t="str">
        <f>IFERROR($P2337,PROPER(VLOOKUP($O2337,'Villes en erreur'!$A$2:$B$72,2,FALSE)))</f>
        <v>Sainte-Anne-des-Plaines</v>
      </c>
      <c r="R2337" s="9" t="s">
        <v>10560</v>
      </c>
      <c r="S2337" s="9" t="str">
        <f>IF(ISBLANK($R2337),"",VLOOKUP($R2337,'Liste des Villes'!$B$2:$H$1128,4,FALSE))</f>
        <v>Laurentides</v>
      </c>
      <c r="T2337" s="2" t="s">
        <v>10630</v>
      </c>
      <c r="U2337" s="2" t="s">
        <v>39</v>
      </c>
      <c r="V2337" s="2" t="s">
        <v>40</v>
      </c>
      <c r="W2337" s="2" t="s">
        <v>10888</v>
      </c>
      <c r="X2337" s="2"/>
      <c r="Y2337" s="2"/>
      <c r="Z2337" s="2"/>
      <c r="AA2337" s="2" t="s">
        <v>72</v>
      </c>
      <c r="AB2337" s="2" t="s">
        <v>545</v>
      </c>
      <c r="AC2337" s="4" t="s">
        <v>44</v>
      </c>
    </row>
    <row r="2338" spans="1:29" x14ac:dyDescent="0.25">
      <c r="A2338" s="1">
        <v>3569</v>
      </c>
      <c r="B2338" s="17" t="s">
        <v>10889</v>
      </c>
      <c r="C2338" s="2" t="s">
        <v>10890</v>
      </c>
      <c r="D2338" s="15" t="s">
        <v>562</v>
      </c>
      <c r="E2338" s="9" t="s">
        <v>10891</v>
      </c>
      <c r="F2338" s="9" t="s">
        <v>599</v>
      </c>
      <c r="G2338" s="9" t="s">
        <v>10892</v>
      </c>
      <c r="H2338" s="2" t="s">
        <v>60</v>
      </c>
      <c r="I2338" s="3">
        <v>36630</v>
      </c>
      <c r="J2338" s="9" t="str">
        <f t="shared" ca="1" si="38"/>
        <v>23 ans</v>
      </c>
      <c r="K2338" s="2" t="s">
        <v>68</v>
      </c>
      <c r="L2338" s="2" t="str">
        <f>"513"</f>
        <v>513</v>
      </c>
      <c r="M2338" s="2"/>
      <c r="N2338" s="2" t="str">
        <f>"RUE DE L'ESTRAN"</f>
        <v>RUE DE L'ESTRAN</v>
      </c>
      <c r="O2338" s="2" t="s">
        <v>10559</v>
      </c>
      <c r="P2338" s="9" t="str">
        <f>VLOOKUP($O2338,'Liste des Villes'!$B$2:$B$1128,1,FALSE)</f>
        <v>Sainte-Anne-des-Plaines</v>
      </c>
      <c r="Q2338" s="9" t="str">
        <f>IFERROR($P2338,PROPER(VLOOKUP($O2338,'Villes en erreur'!$A$2:$B$72,2,FALSE)))</f>
        <v>Sainte-Anne-des-Plaines</v>
      </c>
      <c r="R2338" s="9" t="s">
        <v>10560</v>
      </c>
      <c r="S2338" s="9" t="str">
        <f>IF(ISBLANK($R2338),"",VLOOKUP($R2338,'Liste des Villes'!$B$2:$H$1128,4,FALSE))</f>
        <v>Laurentides</v>
      </c>
      <c r="T2338" s="2" t="s">
        <v>10893</v>
      </c>
      <c r="U2338" s="2" t="s">
        <v>39</v>
      </c>
      <c r="V2338" s="2" t="s">
        <v>40</v>
      </c>
      <c r="W2338" s="2" t="s">
        <v>10894</v>
      </c>
      <c r="X2338" s="2"/>
      <c r="Y2338" s="2"/>
      <c r="Z2338" s="2"/>
      <c r="AA2338" s="2" t="s">
        <v>72</v>
      </c>
      <c r="AB2338" s="2" t="s">
        <v>545</v>
      </c>
      <c r="AC2338" s="4" t="s">
        <v>44</v>
      </c>
    </row>
    <row r="2339" spans="1:29" x14ac:dyDescent="0.25">
      <c r="A2339" s="1">
        <v>1147</v>
      </c>
      <c r="B2339" s="17" t="s">
        <v>10895</v>
      </c>
      <c r="C2339" s="2" t="s">
        <v>10896</v>
      </c>
      <c r="D2339" s="15" t="s">
        <v>10897</v>
      </c>
      <c r="E2339" s="9" t="s">
        <v>891</v>
      </c>
      <c r="F2339" s="9" t="s">
        <v>10898</v>
      </c>
      <c r="G2339" s="9" t="s">
        <v>10899</v>
      </c>
      <c r="H2339" s="2" t="s">
        <v>60</v>
      </c>
      <c r="I2339" s="3">
        <v>36629</v>
      </c>
      <c r="J2339" s="9" t="str">
        <f t="shared" ca="1" si="38"/>
        <v>23 ans</v>
      </c>
      <c r="K2339" s="2" t="s">
        <v>68</v>
      </c>
      <c r="L2339" s="2" t="str">
        <f>"513"</f>
        <v>513</v>
      </c>
      <c r="M2339" s="2"/>
      <c r="N2339" s="2" t="str">
        <f>"RUE DE L'ESPLANADE"</f>
        <v>RUE DE L'ESPLANADE</v>
      </c>
      <c r="O2339" s="2" t="s">
        <v>10559</v>
      </c>
      <c r="P2339" s="9" t="str">
        <f>VLOOKUP($O2339,'Liste des Villes'!$B$2:$B$1128,1,FALSE)</f>
        <v>Sainte-Anne-des-Plaines</v>
      </c>
      <c r="Q2339" s="9" t="str">
        <f>IFERROR($P2339,PROPER(VLOOKUP($O2339,'Villes en erreur'!$A$2:$B$72,2,FALSE)))</f>
        <v>Sainte-Anne-des-Plaines</v>
      </c>
      <c r="R2339" s="9" t="s">
        <v>10560</v>
      </c>
      <c r="S2339" s="9" t="str">
        <f>IF(ISBLANK($R2339),"",VLOOKUP($R2339,'Liste des Villes'!$B$2:$H$1128,4,FALSE))</f>
        <v>Laurentides</v>
      </c>
      <c r="T2339" s="2" t="s">
        <v>10660</v>
      </c>
      <c r="U2339" s="2" t="s">
        <v>39</v>
      </c>
      <c r="V2339" s="2" t="s">
        <v>40</v>
      </c>
      <c r="W2339" s="2" t="s">
        <v>10900</v>
      </c>
      <c r="X2339" s="2"/>
      <c r="Y2339" s="2"/>
      <c r="Z2339" s="2"/>
      <c r="AA2339" s="2" t="s">
        <v>72</v>
      </c>
      <c r="AB2339" s="2" t="s">
        <v>545</v>
      </c>
      <c r="AC2339" s="4" t="s">
        <v>44</v>
      </c>
    </row>
    <row r="2340" spans="1:29" x14ac:dyDescent="0.25">
      <c r="A2340" s="1">
        <v>3014</v>
      </c>
      <c r="B2340" s="17" t="s">
        <v>10901</v>
      </c>
      <c r="C2340" s="2" t="s">
        <v>10902</v>
      </c>
      <c r="D2340" s="15" t="s">
        <v>3588</v>
      </c>
      <c r="E2340" s="9" t="s">
        <v>3595</v>
      </c>
      <c r="F2340" s="9" t="s">
        <v>3586</v>
      </c>
      <c r="G2340" s="9" t="s">
        <v>9223</v>
      </c>
      <c r="H2340" s="2" t="s">
        <v>60</v>
      </c>
      <c r="I2340" s="3">
        <v>36668</v>
      </c>
      <c r="J2340" s="9" t="str">
        <f t="shared" ca="1" si="38"/>
        <v>23 ans</v>
      </c>
      <c r="K2340" s="2" t="s">
        <v>68</v>
      </c>
      <c r="L2340" s="2" t="str">
        <f>"554"</f>
        <v>554</v>
      </c>
      <c r="M2340" s="2"/>
      <c r="N2340" s="2" t="str">
        <f>"RUE DE SAINT-AUGUSTIN"</f>
        <v>RUE DE SAINT-AUGUSTIN</v>
      </c>
      <c r="O2340" s="2" t="s">
        <v>10903</v>
      </c>
      <c r="P2340" s="9" t="str">
        <f>VLOOKUP($O2340,'Liste des Villes'!$B$2:$B$1128,1,FALSE)</f>
        <v>Sainte-Anne-des-Lacs</v>
      </c>
      <c r="Q2340" s="9" t="str">
        <f>IFERROR($P2340,PROPER(VLOOKUP($O2340,'Villes en erreur'!$A$2:$B$72,2,FALSE)))</f>
        <v>Sainte-Anne-des-Lacs</v>
      </c>
      <c r="R2340" s="9" t="s">
        <v>10904</v>
      </c>
      <c r="S2340" s="9" t="str">
        <f>IF(ISBLANK($R2340),"",VLOOKUP($R2340,'Liste des Villes'!$B$2:$H$1128,4,FALSE))</f>
        <v>Laurentides</v>
      </c>
      <c r="T2340" s="2" t="s">
        <v>10905</v>
      </c>
      <c r="U2340" s="2" t="s">
        <v>39</v>
      </c>
      <c r="V2340" s="2" t="s">
        <v>40</v>
      </c>
      <c r="W2340" s="2" t="s">
        <v>10906</v>
      </c>
      <c r="X2340" s="2"/>
      <c r="Y2340" s="2"/>
      <c r="Z2340" s="2"/>
      <c r="AA2340" s="2" t="s">
        <v>72</v>
      </c>
      <c r="AB2340" s="2" t="s">
        <v>545</v>
      </c>
      <c r="AC2340" s="4" t="s">
        <v>44</v>
      </c>
    </row>
    <row r="2341" spans="1:29" x14ac:dyDescent="0.25">
      <c r="A2341" s="1">
        <v>3499</v>
      </c>
      <c r="B2341" s="17" t="s">
        <v>10907</v>
      </c>
      <c r="C2341" s="2" t="s">
        <v>3368</v>
      </c>
      <c r="D2341" s="15" t="s">
        <v>3042</v>
      </c>
      <c r="E2341" s="9" t="s">
        <v>3274</v>
      </c>
      <c r="F2341" s="9" t="s">
        <v>4132</v>
      </c>
      <c r="G2341" s="9" t="s">
        <v>10908</v>
      </c>
      <c r="H2341" s="2" t="s">
        <v>60</v>
      </c>
      <c r="I2341" s="3">
        <v>36669</v>
      </c>
      <c r="J2341" s="9" t="str">
        <f t="shared" ca="1" si="38"/>
        <v>23 ans</v>
      </c>
      <c r="K2341" s="2" t="s">
        <v>68</v>
      </c>
      <c r="L2341" s="2" t="str">
        <f>"555"</f>
        <v>555</v>
      </c>
      <c r="M2341" s="2"/>
      <c r="N2341" s="2" t="str">
        <f>"RUE DE SAINTE-LUCIE"</f>
        <v>RUE DE SAINTE-LUCIE</v>
      </c>
      <c r="O2341" s="2" t="s">
        <v>10903</v>
      </c>
      <c r="P2341" s="9" t="str">
        <f>VLOOKUP($O2341,'Liste des Villes'!$B$2:$B$1128,1,FALSE)</f>
        <v>Sainte-Anne-des-Lacs</v>
      </c>
      <c r="Q2341" s="9" t="str">
        <f>IFERROR($P2341,PROPER(VLOOKUP($O2341,'Villes en erreur'!$A$2:$B$72,2,FALSE)))</f>
        <v>Sainte-Anne-des-Lacs</v>
      </c>
      <c r="R2341" s="9" t="s">
        <v>10904</v>
      </c>
      <c r="S2341" s="9" t="str">
        <f>IF(ISBLANK($R2341),"",VLOOKUP($R2341,'Liste des Villes'!$B$2:$H$1128,4,FALSE))</f>
        <v>Laurentides</v>
      </c>
      <c r="T2341" s="2" t="s">
        <v>10909</v>
      </c>
      <c r="U2341" s="2" t="s">
        <v>39</v>
      </c>
      <c r="V2341" s="2" t="s">
        <v>40</v>
      </c>
      <c r="W2341" s="2" t="s">
        <v>10910</v>
      </c>
      <c r="X2341" s="2"/>
      <c r="Y2341" s="2"/>
      <c r="Z2341" s="2"/>
      <c r="AA2341" s="2" t="s">
        <v>72</v>
      </c>
      <c r="AB2341" s="2" t="s">
        <v>545</v>
      </c>
      <c r="AC2341" s="4" t="s">
        <v>44</v>
      </c>
    </row>
    <row r="2342" spans="1:29" x14ac:dyDescent="0.25">
      <c r="A2342" s="1">
        <v>1748</v>
      </c>
      <c r="B2342" s="17" t="s">
        <v>10911</v>
      </c>
      <c r="C2342" s="2" t="s">
        <v>3615</v>
      </c>
      <c r="D2342" s="15" t="s">
        <v>363</v>
      </c>
      <c r="E2342" s="9" t="s">
        <v>3616</v>
      </c>
      <c r="F2342" s="9" t="s">
        <v>3617</v>
      </c>
      <c r="G2342" s="9" t="s">
        <v>7309</v>
      </c>
      <c r="H2342" s="2" t="s">
        <v>35</v>
      </c>
      <c r="I2342" s="3">
        <v>36665</v>
      </c>
      <c r="J2342" s="9" t="str">
        <f t="shared" ca="1" si="38"/>
        <v>23 ans</v>
      </c>
      <c r="K2342" s="2" t="s">
        <v>68</v>
      </c>
      <c r="L2342" s="2" t="str">
        <f>"549"</f>
        <v>549</v>
      </c>
      <c r="M2342" s="2"/>
      <c r="N2342" s="2" t="str">
        <f>"RUE DE ROBERVAL"</f>
        <v>RUE DE ROBERVAL</v>
      </c>
      <c r="O2342" s="2" t="s">
        <v>10903</v>
      </c>
      <c r="P2342" s="9" t="str">
        <f>VLOOKUP($O2342,'Liste des Villes'!$B$2:$B$1128,1,FALSE)</f>
        <v>Sainte-Anne-des-Lacs</v>
      </c>
      <c r="Q2342" s="9" t="str">
        <f>IFERROR($P2342,PROPER(VLOOKUP($O2342,'Villes en erreur'!$A$2:$B$72,2,FALSE)))</f>
        <v>Sainte-Anne-des-Lacs</v>
      </c>
      <c r="R2342" s="9" t="s">
        <v>10904</v>
      </c>
      <c r="S2342" s="9" t="str">
        <f>IF(ISBLANK($R2342),"",VLOOKUP($R2342,'Liste des Villes'!$B$2:$H$1128,4,FALSE))</f>
        <v>Laurentides</v>
      </c>
      <c r="T2342" s="2" t="s">
        <v>10912</v>
      </c>
      <c r="U2342" s="2" t="s">
        <v>39</v>
      </c>
      <c r="V2342" s="2" t="s">
        <v>40</v>
      </c>
      <c r="W2342" s="2" t="s">
        <v>10913</v>
      </c>
      <c r="X2342" s="2"/>
      <c r="Y2342" s="2"/>
      <c r="Z2342" s="2"/>
      <c r="AA2342" s="2" t="s">
        <v>72</v>
      </c>
      <c r="AB2342" s="2" t="s">
        <v>545</v>
      </c>
      <c r="AC2342" s="4" t="s">
        <v>44</v>
      </c>
    </row>
    <row r="2343" spans="1:29" x14ac:dyDescent="0.25">
      <c r="A2343" s="1">
        <v>1537</v>
      </c>
      <c r="B2343" s="17" t="s">
        <v>10914</v>
      </c>
      <c r="C2343" s="2" t="s">
        <v>10915</v>
      </c>
      <c r="D2343" s="15" t="s">
        <v>10916</v>
      </c>
      <c r="E2343" s="9" t="s">
        <v>610</v>
      </c>
      <c r="F2343" s="9" t="s">
        <v>3073</v>
      </c>
      <c r="G2343" s="9" t="s">
        <v>685</v>
      </c>
      <c r="H2343" s="2" t="s">
        <v>60</v>
      </c>
      <c r="I2343" s="3">
        <v>36670</v>
      </c>
      <c r="J2343" s="9" t="str">
        <f t="shared" ca="1" si="38"/>
        <v>23 ans</v>
      </c>
      <c r="K2343" s="2" t="s">
        <v>68</v>
      </c>
      <c r="L2343" s="2" t="str">
        <f>"555"</f>
        <v>555</v>
      </c>
      <c r="M2343" s="2"/>
      <c r="N2343" s="2" t="str">
        <f>"RUE DE SAINTE-MARGUERITE"</f>
        <v>RUE DE SAINTE-MARGUERITE</v>
      </c>
      <c r="O2343" s="2" t="s">
        <v>10903</v>
      </c>
      <c r="P2343" s="9" t="str">
        <f>VLOOKUP($O2343,'Liste des Villes'!$B$2:$B$1128,1,FALSE)</f>
        <v>Sainte-Anne-des-Lacs</v>
      </c>
      <c r="Q2343" s="9" t="str">
        <f>IFERROR($P2343,PROPER(VLOOKUP($O2343,'Villes en erreur'!$A$2:$B$72,2,FALSE)))</f>
        <v>Sainte-Anne-des-Lacs</v>
      </c>
      <c r="R2343" s="9" t="s">
        <v>10904</v>
      </c>
      <c r="S2343" s="9" t="str">
        <f>IF(ISBLANK($R2343),"",VLOOKUP($R2343,'Liste des Villes'!$B$2:$H$1128,4,FALSE))</f>
        <v>Laurentides</v>
      </c>
      <c r="T2343" s="2" t="s">
        <v>10917</v>
      </c>
      <c r="U2343" s="2" t="s">
        <v>39</v>
      </c>
      <c r="V2343" s="2" t="s">
        <v>40</v>
      </c>
      <c r="W2343" s="2" t="s">
        <v>10918</v>
      </c>
      <c r="X2343" s="2"/>
      <c r="Y2343" s="2"/>
      <c r="Z2343" s="2"/>
      <c r="AA2343" s="2" t="s">
        <v>72</v>
      </c>
      <c r="AB2343" s="2" t="s">
        <v>545</v>
      </c>
      <c r="AC2343" s="4" t="s">
        <v>44</v>
      </c>
    </row>
    <row r="2344" spans="1:29" x14ac:dyDescent="0.25">
      <c r="A2344" s="1">
        <v>490</v>
      </c>
      <c r="B2344" s="17" t="s">
        <v>10919</v>
      </c>
      <c r="C2344" s="2" t="s">
        <v>10920</v>
      </c>
      <c r="D2344" s="15" t="s">
        <v>803</v>
      </c>
      <c r="E2344" s="9" t="s">
        <v>10921</v>
      </c>
      <c r="F2344" s="9" t="s">
        <v>4907</v>
      </c>
      <c r="G2344" s="9" t="s">
        <v>131</v>
      </c>
      <c r="H2344" s="2" t="s">
        <v>60</v>
      </c>
      <c r="I2344" s="3">
        <v>36661</v>
      </c>
      <c r="J2344" s="9" t="str">
        <f t="shared" ca="1" si="38"/>
        <v>23 ans</v>
      </c>
      <c r="K2344" s="2" t="s">
        <v>68</v>
      </c>
      <c r="L2344" s="2" t="str">
        <f>"544"</f>
        <v>544</v>
      </c>
      <c r="M2344" s="2"/>
      <c r="N2344" s="2" t="str">
        <f>"RUE DE POITIERS"</f>
        <v>RUE DE POITIERS</v>
      </c>
      <c r="O2344" s="2" t="s">
        <v>10903</v>
      </c>
      <c r="P2344" s="9" t="str">
        <f>VLOOKUP($O2344,'Liste des Villes'!$B$2:$B$1128,1,FALSE)</f>
        <v>Sainte-Anne-des-Lacs</v>
      </c>
      <c r="Q2344" s="9" t="str">
        <f>IFERROR($P2344,PROPER(VLOOKUP($O2344,'Villes en erreur'!$A$2:$B$72,2,FALSE)))</f>
        <v>Sainte-Anne-des-Lacs</v>
      </c>
      <c r="R2344" s="9" t="s">
        <v>10904</v>
      </c>
      <c r="S2344" s="9" t="str">
        <f>IF(ISBLANK($R2344),"",VLOOKUP($R2344,'Liste des Villes'!$B$2:$H$1128,4,FALSE))</f>
        <v>Laurentides</v>
      </c>
      <c r="T2344" s="2" t="s">
        <v>10922</v>
      </c>
      <c r="U2344" s="2" t="s">
        <v>39</v>
      </c>
      <c r="V2344" s="2" t="s">
        <v>40</v>
      </c>
      <c r="W2344" s="2" t="s">
        <v>10923</v>
      </c>
      <c r="X2344" s="2"/>
      <c r="Y2344" s="2"/>
      <c r="Z2344" s="2"/>
      <c r="AA2344" s="2" t="s">
        <v>72</v>
      </c>
      <c r="AB2344" s="2" t="s">
        <v>545</v>
      </c>
      <c r="AC2344" s="4" t="s">
        <v>44</v>
      </c>
    </row>
    <row r="2345" spans="1:29" x14ac:dyDescent="0.25">
      <c r="A2345" s="1">
        <v>2374</v>
      </c>
      <c r="B2345" s="17" t="s">
        <v>10924</v>
      </c>
      <c r="C2345" s="2" t="s">
        <v>10925</v>
      </c>
      <c r="D2345" s="15" t="s">
        <v>3035</v>
      </c>
      <c r="E2345" s="9" t="s">
        <v>313</v>
      </c>
      <c r="F2345" s="9" t="s">
        <v>657</v>
      </c>
      <c r="G2345" s="9" t="s">
        <v>685</v>
      </c>
      <c r="H2345" s="2" t="s">
        <v>60</v>
      </c>
      <c r="I2345" s="3">
        <v>36672</v>
      </c>
      <c r="J2345" s="9" t="str">
        <f t="shared" ca="1" si="38"/>
        <v>23 ans</v>
      </c>
      <c r="K2345" s="2" t="s">
        <v>68</v>
      </c>
      <c r="L2345" s="2" t="str">
        <f>"559"</f>
        <v>559</v>
      </c>
      <c r="M2345" s="2"/>
      <c r="N2345" s="2" t="str">
        <f>"RUE DE SAINTE-PAULE"</f>
        <v>RUE DE SAINTE-PAULE</v>
      </c>
      <c r="O2345" s="2" t="s">
        <v>10903</v>
      </c>
      <c r="P2345" s="9" t="str">
        <f>VLOOKUP($O2345,'Liste des Villes'!$B$2:$B$1128,1,FALSE)</f>
        <v>Sainte-Anne-des-Lacs</v>
      </c>
      <c r="Q2345" s="9" t="str">
        <f>IFERROR($P2345,PROPER(VLOOKUP($O2345,'Villes en erreur'!$A$2:$B$72,2,FALSE)))</f>
        <v>Sainte-Anne-des-Lacs</v>
      </c>
      <c r="R2345" s="9" t="s">
        <v>10904</v>
      </c>
      <c r="S2345" s="9" t="str">
        <f>IF(ISBLANK($R2345),"",VLOOKUP($R2345,'Liste des Villes'!$B$2:$H$1128,4,FALSE))</f>
        <v>Laurentides</v>
      </c>
      <c r="T2345" s="2" t="s">
        <v>10926</v>
      </c>
      <c r="U2345" s="2" t="s">
        <v>39</v>
      </c>
      <c r="V2345" s="2" t="s">
        <v>40</v>
      </c>
      <c r="W2345" s="2" t="s">
        <v>10927</v>
      </c>
      <c r="X2345" s="2"/>
      <c r="Y2345" s="2"/>
      <c r="Z2345" s="2"/>
      <c r="AA2345" s="2" t="s">
        <v>72</v>
      </c>
      <c r="AB2345" s="2" t="s">
        <v>545</v>
      </c>
      <c r="AC2345" s="4" t="s">
        <v>44</v>
      </c>
    </row>
    <row r="2346" spans="1:29" x14ac:dyDescent="0.25">
      <c r="A2346" s="1">
        <v>158</v>
      </c>
      <c r="B2346" s="17" t="s">
        <v>10928</v>
      </c>
      <c r="C2346" s="2" t="s">
        <v>10929</v>
      </c>
      <c r="D2346" s="15" t="s">
        <v>6023</v>
      </c>
      <c r="E2346" s="9" t="s">
        <v>635</v>
      </c>
      <c r="F2346" s="9" t="s">
        <v>6022</v>
      </c>
      <c r="G2346" s="9" t="s">
        <v>9447</v>
      </c>
      <c r="H2346" s="2" t="s">
        <v>60</v>
      </c>
      <c r="I2346" s="3">
        <v>36666</v>
      </c>
      <c r="J2346" s="9" t="str">
        <f t="shared" ca="1" si="38"/>
        <v>23 ans</v>
      </c>
      <c r="K2346" s="2" t="s">
        <v>68</v>
      </c>
      <c r="L2346" s="2" t="str">
        <f>"550"</f>
        <v>550</v>
      </c>
      <c r="M2346" s="2"/>
      <c r="N2346" s="2" t="str">
        <f>"RUE DE ROCHEFORT"</f>
        <v>RUE DE ROCHEFORT</v>
      </c>
      <c r="O2346" s="2" t="s">
        <v>10903</v>
      </c>
      <c r="P2346" s="9" t="str">
        <f>VLOOKUP($O2346,'Liste des Villes'!$B$2:$B$1128,1,FALSE)</f>
        <v>Sainte-Anne-des-Lacs</v>
      </c>
      <c r="Q2346" s="9" t="str">
        <f>IFERROR($P2346,PROPER(VLOOKUP($O2346,'Villes en erreur'!$A$2:$B$72,2,FALSE)))</f>
        <v>Sainte-Anne-des-Lacs</v>
      </c>
      <c r="R2346" s="9" t="s">
        <v>10904</v>
      </c>
      <c r="S2346" s="9" t="str">
        <f>IF(ISBLANK($R2346),"",VLOOKUP($R2346,'Liste des Villes'!$B$2:$H$1128,4,FALSE))</f>
        <v>Laurentides</v>
      </c>
      <c r="T2346" s="2" t="s">
        <v>10930</v>
      </c>
      <c r="U2346" s="2" t="s">
        <v>39</v>
      </c>
      <c r="V2346" s="2" t="s">
        <v>40</v>
      </c>
      <c r="W2346" s="2" t="s">
        <v>10931</v>
      </c>
      <c r="X2346" s="2"/>
      <c r="Y2346" s="2"/>
      <c r="Z2346" s="2"/>
      <c r="AA2346" s="2" t="s">
        <v>72</v>
      </c>
      <c r="AB2346" s="2" t="s">
        <v>545</v>
      </c>
      <c r="AC2346" s="4" t="s">
        <v>44</v>
      </c>
    </row>
    <row r="2347" spans="1:29" x14ac:dyDescent="0.25">
      <c r="A2347" s="1">
        <v>4351</v>
      </c>
      <c r="B2347" s="17" t="s">
        <v>10932</v>
      </c>
      <c r="C2347" s="2" t="s">
        <v>8250</v>
      </c>
      <c r="D2347" s="15" t="s">
        <v>3122</v>
      </c>
      <c r="E2347" s="9" t="s">
        <v>956</v>
      </c>
      <c r="F2347" s="9" t="s">
        <v>9843</v>
      </c>
      <c r="G2347" s="9" t="s">
        <v>10933</v>
      </c>
      <c r="H2347" s="2" t="s">
        <v>60</v>
      </c>
      <c r="I2347" s="3">
        <v>36666</v>
      </c>
      <c r="J2347" s="9" t="str">
        <f t="shared" ca="1" si="38"/>
        <v>23 ans</v>
      </c>
      <c r="K2347" s="2" t="s">
        <v>68</v>
      </c>
      <c r="L2347" s="2" t="str">
        <f>"550"</f>
        <v>550</v>
      </c>
      <c r="M2347" s="2"/>
      <c r="N2347" s="2" t="str">
        <f>"RUE DE SAINT AUGUSTIN"</f>
        <v>RUE DE SAINT AUGUSTIN</v>
      </c>
      <c r="O2347" s="2" t="s">
        <v>10903</v>
      </c>
      <c r="P2347" s="9" t="str">
        <f>VLOOKUP($O2347,'Liste des Villes'!$B$2:$B$1128,1,FALSE)</f>
        <v>Sainte-Anne-des-Lacs</v>
      </c>
      <c r="Q2347" s="9" t="str">
        <f>IFERROR($P2347,PROPER(VLOOKUP($O2347,'Villes en erreur'!$A$2:$B$72,2,FALSE)))</f>
        <v>Sainte-Anne-des-Lacs</v>
      </c>
      <c r="R2347" s="9" t="s">
        <v>10904</v>
      </c>
      <c r="S2347" s="9" t="str">
        <f>IF(ISBLANK($R2347),"",VLOOKUP($R2347,'Liste des Villes'!$B$2:$H$1128,4,FALSE))</f>
        <v>Laurentides</v>
      </c>
      <c r="T2347" s="2" t="s">
        <v>10934</v>
      </c>
      <c r="U2347" s="2" t="s">
        <v>39</v>
      </c>
      <c r="V2347" s="2" t="s">
        <v>40</v>
      </c>
      <c r="W2347" s="2" t="s">
        <v>10935</v>
      </c>
      <c r="X2347" s="2"/>
      <c r="Y2347" s="2"/>
      <c r="Z2347" s="2"/>
      <c r="AA2347" s="2" t="s">
        <v>72</v>
      </c>
      <c r="AB2347" s="2" t="s">
        <v>545</v>
      </c>
      <c r="AC2347" s="4" t="s">
        <v>44</v>
      </c>
    </row>
    <row r="2348" spans="1:29" x14ac:dyDescent="0.25">
      <c r="A2348" s="1">
        <v>571</v>
      </c>
      <c r="B2348" s="17" t="s">
        <v>10936</v>
      </c>
      <c r="C2348" s="2" t="s">
        <v>6590</v>
      </c>
      <c r="D2348" s="15" t="s">
        <v>6417</v>
      </c>
      <c r="E2348" s="9" t="s">
        <v>635</v>
      </c>
      <c r="F2348" s="9" t="s">
        <v>411</v>
      </c>
      <c r="G2348" s="9" t="s">
        <v>131</v>
      </c>
      <c r="H2348" s="2" t="s">
        <v>60</v>
      </c>
      <c r="I2348" s="3">
        <v>36661</v>
      </c>
      <c r="J2348" s="9" t="str">
        <f t="shared" ca="1" si="38"/>
        <v>23 ans</v>
      </c>
      <c r="K2348" s="2" t="s">
        <v>68</v>
      </c>
      <c r="L2348" s="2" t="str">
        <f>"542"</f>
        <v>542</v>
      </c>
      <c r="M2348" s="2"/>
      <c r="N2348" s="2" t="str">
        <f>"RUE DE NEW GLASGOW"</f>
        <v>RUE DE NEW GLASGOW</v>
      </c>
      <c r="O2348" s="2" t="s">
        <v>10903</v>
      </c>
      <c r="P2348" s="9" t="str">
        <f>VLOOKUP($O2348,'Liste des Villes'!$B$2:$B$1128,1,FALSE)</f>
        <v>Sainte-Anne-des-Lacs</v>
      </c>
      <c r="Q2348" s="9" t="str">
        <f>IFERROR($P2348,PROPER(VLOOKUP($O2348,'Villes en erreur'!$A$2:$B$72,2,FALSE)))</f>
        <v>Sainte-Anne-des-Lacs</v>
      </c>
      <c r="R2348" s="9" t="s">
        <v>10904</v>
      </c>
      <c r="S2348" s="9" t="str">
        <f>IF(ISBLANK($R2348),"",VLOOKUP($R2348,'Liste des Villes'!$B$2:$H$1128,4,FALSE))</f>
        <v>Laurentides</v>
      </c>
      <c r="T2348" s="2" t="s">
        <v>10937</v>
      </c>
      <c r="U2348" s="2" t="s">
        <v>39</v>
      </c>
      <c r="V2348" s="2" t="s">
        <v>40</v>
      </c>
      <c r="W2348" s="2" t="s">
        <v>10938</v>
      </c>
      <c r="X2348" s="2"/>
      <c r="Y2348" s="2"/>
      <c r="Z2348" s="2"/>
      <c r="AA2348" s="2" t="s">
        <v>72</v>
      </c>
      <c r="AB2348" s="2" t="s">
        <v>545</v>
      </c>
      <c r="AC2348" s="4" t="s">
        <v>44</v>
      </c>
    </row>
    <row r="2349" spans="1:29" x14ac:dyDescent="0.25">
      <c r="A2349" s="1">
        <v>2860</v>
      </c>
      <c r="B2349" s="17" t="s">
        <v>10939</v>
      </c>
      <c r="C2349" s="2" t="s">
        <v>10940</v>
      </c>
      <c r="D2349" s="15" t="s">
        <v>4529</v>
      </c>
      <c r="E2349" s="9" t="s">
        <v>2534</v>
      </c>
      <c r="F2349" s="9" t="s">
        <v>617</v>
      </c>
      <c r="G2349" s="9" t="s">
        <v>685</v>
      </c>
      <c r="H2349" s="2" t="s">
        <v>60</v>
      </c>
      <c r="I2349" s="3">
        <v>36671</v>
      </c>
      <c r="J2349" s="9" t="str">
        <f t="shared" ca="1" si="38"/>
        <v>23 ans</v>
      </c>
      <c r="K2349" s="2" t="s">
        <v>68</v>
      </c>
      <c r="L2349" s="2" t="str">
        <f>"559"</f>
        <v>559</v>
      </c>
      <c r="M2349" s="2"/>
      <c r="N2349" s="2" t="str">
        <f>"RUE DE SAINT-ÉMILION"</f>
        <v>RUE DE SAINT-ÉMILION</v>
      </c>
      <c r="O2349" s="2" t="s">
        <v>10903</v>
      </c>
      <c r="P2349" s="9" t="str">
        <f>VLOOKUP($O2349,'Liste des Villes'!$B$2:$B$1128,1,FALSE)</f>
        <v>Sainte-Anne-des-Lacs</v>
      </c>
      <c r="Q2349" s="9" t="str">
        <f>IFERROR($P2349,PROPER(VLOOKUP($O2349,'Villes en erreur'!$A$2:$B$72,2,FALSE)))</f>
        <v>Sainte-Anne-des-Lacs</v>
      </c>
      <c r="R2349" s="9" t="s">
        <v>10904</v>
      </c>
      <c r="S2349" s="9" t="str">
        <f>IF(ISBLANK($R2349),"",VLOOKUP($R2349,'Liste des Villes'!$B$2:$H$1128,4,FALSE))</f>
        <v>Laurentides</v>
      </c>
      <c r="T2349" s="2" t="s">
        <v>10941</v>
      </c>
      <c r="U2349" s="2" t="s">
        <v>39</v>
      </c>
      <c r="V2349" s="2" t="s">
        <v>40</v>
      </c>
      <c r="W2349" s="2" t="s">
        <v>10942</v>
      </c>
      <c r="X2349" s="2"/>
      <c r="Y2349" s="2"/>
      <c r="Z2349" s="2"/>
      <c r="AA2349" s="2" t="s">
        <v>72</v>
      </c>
      <c r="AB2349" s="2" t="s">
        <v>545</v>
      </c>
      <c r="AC2349" s="4" t="s">
        <v>44</v>
      </c>
    </row>
    <row r="2350" spans="1:29" x14ac:dyDescent="0.25">
      <c r="A2350" s="1">
        <v>669</v>
      </c>
      <c r="B2350" s="17" t="s">
        <v>10943</v>
      </c>
      <c r="C2350" s="2" t="s">
        <v>10944</v>
      </c>
      <c r="D2350" s="15" t="s">
        <v>6258</v>
      </c>
      <c r="E2350" s="9" t="s">
        <v>381</v>
      </c>
      <c r="F2350" s="9" t="s">
        <v>719</v>
      </c>
      <c r="G2350" s="9" t="s">
        <v>10933</v>
      </c>
      <c r="H2350" s="2" t="s">
        <v>60</v>
      </c>
      <c r="I2350" s="3">
        <v>36666</v>
      </c>
      <c r="J2350" s="9" t="str">
        <f t="shared" ca="1" si="38"/>
        <v>23 ans</v>
      </c>
      <c r="K2350" s="2" t="s">
        <v>68</v>
      </c>
      <c r="L2350" s="2" t="str">
        <f>"550"</f>
        <v>550</v>
      </c>
      <c r="M2350" s="2"/>
      <c r="N2350" s="2" t="str">
        <f>"RUE DE SAINT-AUGUSTIN"</f>
        <v>RUE DE SAINT-AUGUSTIN</v>
      </c>
      <c r="O2350" s="2" t="s">
        <v>10903</v>
      </c>
      <c r="P2350" s="9" t="str">
        <f>VLOOKUP($O2350,'Liste des Villes'!$B$2:$B$1128,1,FALSE)</f>
        <v>Sainte-Anne-des-Lacs</v>
      </c>
      <c r="Q2350" s="9" t="str">
        <f>IFERROR($P2350,PROPER(VLOOKUP($O2350,'Villes en erreur'!$A$2:$B$72,2,FALSE)))</f>
        <v>Sainte-Anne-des-Lacs</v>
      </c>
      <c r="R2350" s="9" t="s">
        <v>10904</v>
      </c>
      <c r="S2350" s="9" t="str">
        <f>IF(ISBLANK($R2350),"",VLOOKUP($R2350,'Liste des Villes'!$B$2:$H$1128,4,FALSE))</f>
        <v>Laurentides</v>
      </c>
      <c r="T2350" s="2" t="s">
        <v>10945</v>
      </c>
      <c r="U2350" s="2" t="s">
        <v>39</v>
      </c>
      <c r="V2350" s="2" t="s">
        <v>40</v>
      </c>
      <c r="W2350" s="2" t="s">
        <v>10946</v>
      </c>
      <c r="X2350" s="2"/>
      <c r="Y2350" s="2"/>
      <c r="Z2350" s="2"/>
      <c r="AA2350" s="2" t="s">
        <v>72</v>
      </c>
      <c r="AB2350" s="2" t="s">
        <v>545</v>
      </c>
      <c r="AC2350" s="4" t="s">
        <v>44</v>
      </c>
    </row>
    <row r="2351" spans="1:29" x14ac:dyDescent="0.25">
      <c r="A2351" s="1">
        <v>1614</v>
      </c>
      <c r="B2351" s="17" t="s">
        <v>10947</v>
      </c>
      <c r="C2351" s="2" t="s">
        <v>10948</v>
      </c>
      <c r="D2351" s="15" t="s">
        <v>10949</v>
      </c>
      <c r="E2351" s="9" t="s">
        <v>2049</v>
      </c>
      <c r="F2351" s="9" t="s">
        <v>5727</v>
      </c>
      <c r="G2351" s="9" t="s">
        <v>10950</v>
      </c>
      <c r="H2351" s="2" t="s">
        <v>60</v>
      </c>
      <c r="I2351" s="3">
        <v>36666</v>
      </c>
      <c r="J2351" s="9" t="str">
        <f t="shared" ca="1" si="38"/>
        <v>23 ans</v>
      </c>
      <c r="K2351" s="2" t="s">
        <v>68</v>
      </c>
      <c r="L2351" s="2" t="str">
        <f>"551"</f>
        <v>551</v>
      </c>
      <c r="M2351" s="2"/>
      <c r="N2351" s="2" t="str">
        <f>"RUE DE SAINT-AUGUSTIN"</f>
        <v>RUE DE SAINT-AUGUSTIN</v>
      </c>
      <c r="O2351" s="2" t="s">
        <v>10903</v>
      </c>
      <c r="P2351" s="9" t="str">
        <f>VLOOKUP($O2351,'Liste des Villes'!$B$2:$B$1128,1,FALSE)</f>
        <v>Sainte-Anne-des-Lacs</v>
      </c>
      <c r="Q2351" s="9" t="str">
        <f>IFERROR($P2351,PROPER(VLOOKUP($O2351,'Villes en erreur'!$A$2:$B$72,2,FALSE)))</f>
        <v>Sainte-Anne-des-Lacs</v>
      </c>
      <c r="R2351" s="9" t="s">
        <v>10904</v>
      </c>
      <c r="S2351" s="9" t="str">
        <f>IF(ISBLANK($R2351),"",VLOOKUP($R2351,'Liste des Villes'!$B$2:$H$1128,4,FALSE))</f>
        <v>Laurentides</v>
      </c>
      <c r="T2351" s="2" t="s">
        <v>10905</v>
      </c>
      <c r="U2351" s="2" t="s">
        <v>39</v>
      </c>
      <c r="V2351" s="2" t="s">
        <v>40</v>
      </c>
      <c r="W2351" s="2" t="s">
        <v>10951</v>
      </c>
      <c r="X2351" s="2"/>
      <c r="Y2351" s="2"/>
      <c r="Z2351" s="2"/>
      <c r="AA2351" s="2" t="s">
        <v>72</v>
      </c>
      <c r="AB2351" s="2" t="s">
        <v>545</v>
      </c>
      <c r="AC2351" s="4" t="s">
        <v>44</v>
      </c>
    </row>
    <row r="2352" spans="1:29" x14ac:dyDescent="0.25">
      <c r="A2352" s="1">
        <v>4116</v>
      </c>
      <c r="B2352" s="17" t="s">
        <v>10952</v>
      </c>
      <c r="C2352" s="2" t="s">
        <v>10953</v>
      </c>
      <c r="D2352" s="15" t="s">
        <v>449</v>
      </c>
      <c r="E2352" s="9" t="s">
        <v>10954</v>
      </c>
      <c r="F2352" s="9" t="s">
        <v>6669</v>
      </c>
      <c r="G2352" s="9" t="s">
        <v>1709</v>
      </c>
      <c r="H2352" s="2" t="s">
        <v>60</v>
      </c>
      <c r="I2352" s="3">
        <v>36665</v>
      </c>
      <c r="J2352" s="9" t="str">
        <f t="shared" ca="1" si="38"/>
        <v>23 ans</v>
      </c>
      <c r="K2352" s="2" t="s">
        <v>68</v>
      </c>
      <c r="L2352" s="2" t="str">
        <f>"548"</f>
        <v>548</v>
      </c>
      <c r="M2352" s="2"/>
      <c r="N2352" s="2" t="str">
        <f>"RUE DE RICHELIEU"</f>
        <v>RUE DE RICHELIEU</v>
      </c>
      <c r="O2352" s="2" t="s">
        <v>10903</v>
      </c>
      <c r="P2352" s="9" t="str">
        <f>VLOOKUP($O2352,'Liste des Villes'!$B$2:$B$1128,1,FALSE)</f>
        <v>Sainte-Anne-des-Lacs</v>
      </c>
      <c r="Q2352" s="9" t="str">
        <f>IFERROR($P2352,PROPER(VLOOKUP($O2352,'Villes en erreur'!$A$2:$B$72,2,FALSE)))</f>
        <v>Sainte-Anne-des-Lacs</v>
      </c>
      <c r="R2352" s="9" t="s">
        <v>10904</v>
      </c>
      <c r="S2352" s="9" t="str">
        <f>IF(ISBLANK($R2352),"",VLOOKUP($R2352,'Liste des Villes'!$B$2:$H$1128,4,FALSE))</f>
        <v>Laurentides</v>
      </c>
      <c r="T2352" s="2" t="s">
        <v>10955</v>
      </c>
      <c r="U2352" s="2" t="s">
        <v>39</v>
      </c>
      <c r="V2352" s="2" t="s">
        <v>40</v>
      </c>
      <c r="W2352" s="2" t="s">
        <v>10956</v>
      </c>
      <c r="X2352" s="2"/>
      <c r="Y2352" s="2"/>
      <c r="Z2352" s="2"/>
      <c r="AA2352" s="2" t="s">
        <v>72</v>
      </c>
      <c r="AB2352" s="2" t="s">
        <v>545</v>
      </c>
      <c r="AC2352" s="4" t="s">
        <v>44</v>
      </c>
    </row>
    <row r="2353" spans="1:29" x14ac:dyDescent="0.25">
      <c r="A2353" s="1">
        <v>2518</v>
      </c>
      <c r="B2353" s="17" t="s">
        <v>10957</v>
      </c>
      <c r="C2353" s="2" t="s">
        <v>10958</v>
      </c>
      <c r="D2353" s="15" t="s">
        <v>2139</v>
      </c>
      <c r="E2353" s="9" t="s">
        <v>10959</v>
      </c>
      <c r="F2353" s="9" t="s">
        <v>10960</v>
      </c>
      <c r="G2353" s="9" t="s">
        <v>685</v>
      </c>
      <c r="H2353" s="2" t="s">
        <v>60</v>
      </c>
      <c r="I2353" s="3">
        <v>36670</v>
      </c>
      <c r="J2353" s="9" t="str">
        <f t="shared" ca="1" si="38"/>
        <v>23 ans</v>
      </c>
      <c r="K2353" s="2" t="s">
        <v>68</v>
      </c>
      <c r="L2353" s="2" t="str">
        <f>"555"</f>
        <v>555</v>
      </c>
      <c r="M2353" s="2"/>
      <c r="N2353" s="2" t="str">
        <f>"RUE DE SAINTE-MARGUERITE"</f>
        <v>RUE DE SAINTE-MARGUERITE</v>
      </c>
      <c r="O2353" s="2" t="s">
        <v>10903</v>
      </c>
      <c r="P2353" s="9" t="str">
        <f>VLOOKUP($O2353,'Liste des Villes'!$B$2:$B$1128,1,FALSE)</f>
        <v>Sainte-Anne-des-Lacs</v>
      </c>
      <c r="Q2353" s="9" t="str">
        <f>IFERROR($P2353,PROPER(VLOOKUP($O2353,'Villes en erreur'!$A$2:$B$72,2,FALSE)))</f>
        <v>Sainte-Anne-des-Lacs</v>
      </c>
      <c r="R2353" s="9" t="s">
        <v>10904</v>
      </c>
      <c r="S2353" s="9" t="str">
        <f>IF(ISBLANK($R2353),"",VLOOKUP($R2353,'Liste des Villes'!$B$2:$H$1128,4,FALSE))</f>
        <v>Laurentides</v>
      </c>
      <c r="T2353" s="2" t="s">
        <v>10961</v>
      </c>
      <c r="U2353" s="2" t="s">
        <v>39</v>
      </c>
      <c r="V2353" s="2" t="s">
        <v>40</v>
      </c>
      <c r="W2353" s="2" t="s">
        <v>10962</v>
      </c>
      <c r="X2353" s="2"/>
      <c r="Y2353" s="2"/>
      <c r="Z2353" s="2"/>
      <c r="AA2353" s="2" t="s">
        <v>72</v>
      </c>
      <c r="AB2353" s="2" t="s">
        <v>545</v>
      </c>
      <c r="AC2353" s="4" t="s">
        <v>44</v>
      </c>
    </row>
    <row r="2354" spans="1:29" x14ac:dyDescent="0.25">
      <c r="A2354" s="1">
        <v>3539</v>
      </c>
      <c r="B2354" s="17" t="s">
        <v>10963</v>
      </c>
      <c r="C2354" s="2" t="s">
        <v>10964</v>
      </c>
      <c r="D2354" s="15" t="s">
        <v>1479</v>
      </c>
      <c r="E2354" s="9" t="s">
        <v>9529</v>
      </c>
      <c r="F2354" s="9" t="s">
        <v>1477</v>
      </c>
      <c r="G2354" s="9" t="s">
        <v>131</v>
      </c>
      <c r="H2354" s="2" t="s">
        <v>60</v>
      </c>
      <c r="I2354" s="3">
        <v>36660</v>
      </c>
      <c r="J2354" s="9" t="str">
        <f t="shared" ca="1" si="38"/>
        <v>23 ans</v>
      </c>
      <c r="K2354" s="2" t="s">
        <v>68</v>
      </c>
      <c r="L2354" s="2" t="str">
        <f>"541"</f>
        <v>541</v>
      </c>
      <c r="M2354" s="2"/>
      <c r="N2354" s="2" t="str">
        <f>"RUE DE NEUVILLE-EN-FERRAIN"</f>
        <v>RUE DE NEUVILLE-EN-FERRAIN</v>
      </c>
      <c r="O2354" s="2" t="s">
        <v>10903</v>
      </c>
      <c r="P2354" s="9" t="str">
        <f>VLOOKUP($O2354,'Liste des Villes'!$B$2:$B$1128,1,FALSE)</f>
        <v>Sainte-Anne-des-Lacs</v>
      </c>
      <c r="Q2354" s="9" t="str">
        <f>IFERROR($P2354,PROPER(VLOOKUP($O2354,'Villes en erreur'!$A$2:$B$72,2,FALSE)))</f>
        <v>Sainte-Anne-des-Lacs</v>
      </c>
      <c r="R2354" s="9" t="s">
        <v>10904</v>
      </c>
      <c r="S2354" s="9" t="str">
        <f>IF(ISBLANK($R2354),"",VLOOKUP($R2354,'Liste des Villes'!$B$2:$H$1128,4,FALSE))</f>
        <v>Laurentides</v>
      </c>
      <c r="T2354" s="2" t="s">
        <v>10965</v>
      </c>
      <c r="U2354" s="2" t="s">
        <v>39</v>
      </c>
      <c r="V2354" s="2" t="s">
        <v>40</v>
      </c>
      <c r="W2354" s="2" t="s">
        <v>10966</v>
      </c>
      <c r="X2354" s="2"/>
      <c r="Y2354" s="2"/>
      <c r="Z2354" s="2"/>
      <c r="AA2354" s="2" t="s">
        <v>72</v>
      </c>
      <c r="AB2354" s="2" t="s">
        <v>545</v>
      </c>
      <c r="AC2354" s="4" t="s">
        <v>44</v>
      </c>
    </row>
    <row r="2355" spans="1:29" x14ac:dyDescent="0.25">
      <c r="A2355" s="1">
        <v>363</v>
      </c>
      <c r="B2355" s="17" t="s">
        <v>10967</v>
      </c>
      <c r="C2355" s="2" t="s">
        <v>10968</v>
      </c>
      <c r="D2355" s="15" t="s">
        <v>10969</v>
      </c>
      <c r="E2355" s="9" t="s">
        <v>10970</v>
      </c>
      <c r="F2355" s="9" t="s">
        <v>2115</v>
      </c>
      <c r="G2355" s="9" t="s">
        <v>685</v>
      </c>
      <c r="H2355" s="2" t="s">
        <v>60</v>
      </c>
      <c r="I2355" s="3">
        <v>36671</v>
      </c>
      <c r="J2355" s="9" t="str">
        <f t="shared" ca="1" si="38"/>
        <v>23 ans</v>
      </c>
      <c r="K2355" s="2" t="s">
        <v>68</v>
      </c>
      <c r="L2355" s="2" t="str">
        <f>"558"</f>
        <v>558</v>
      </c>
      <c r="M2355" s="2"/>
      <c r="N2355" s="2" t="str">
        <f>"RUE DE SAINT-ÉMILION"</f>
        <v>RUE DE SAINT-ÉMILION</v>
      </c>
      <c r="O2355" s="2" t="s">
        <v>10903</v>
      </c>
      <c r="P2355" s="9" t="str">
        <f>VLOOKUP($O2355,'Liste des Villes'!$B$2:$B$1128,1,FALSE)</f>
        <v>Sainte-Anne-des-Lacs</v>
      </c>
      <c r="Q2355" s="9" t="str">
        <f>IFERROR($P2355,PROPER(VLOOKUP($O2355,'Villes en erreur'!$A$2:$B$72,2,FALSE)))</f>
        <v>Sainte-Anne-des-Lacs</v>
      </c>
      <c r="R2355" s="9" t="s">
        <v>10904</v>
      </c>
      <c r="S2355" s="9" t="str">
        <f>IF(ISBLANK($R2355),"",VLOOKUP($R2355,'Liste des Villes'!$B$2:$H$1128,4,FALSE))</f>
        <v>Laurentides</v>
      </c>
      <c r="T2355" s="2" t="s">
        <v>10971</v>
      </c>
      <c r="U2355" s="2" t="s">
        <v>39</v>
      </c>
      <c r="V2355" s="2" t="s">
        <v>40</v>
      </c>
      <c r="W2355" s="2" t="s">
        <v>10972</v>
      </c>
      <c r="X2355" s="2"/>
      <c r="Y2355" s="2"/>
      <c r="Z2355" s="2"/>
      <c r="AA2355" s="2" t="s">
        <v>72</v>
      </c>
      <c r="AB2355" s="2" t="s">
        <v>545</v>
      </c>
      <c r="AC2355" s="4" t="s">
        <v>44</v>
      </c>
    </row>
    <row r="2356" spans="1:29" x14ac:dyDescent="0.25">
      <c r="A2356" s="1">
        <v>710</v>
      </c>
      <c r="B2356" s="17" t="s">
        <v>10973</v>
      </c>
      <c r="C2356" s="2" t="s">
        <v>10974</v>
      </c>
      <c r="D2356" s="15" t="s">
        <v>10975</v>
      </c>
      <c r="E2356" s="9" t="s">
        <v>7968</v>
      </c>
      <c r="F2356" s="9" t="s">
        <v>10976</v>
      </c>
      <c r="G2356" s="9" t="s">
        <v>685</v>
      </c>
      <c r="H2356" s="2" t="s">
        <v>60</v>
      </c>
      <c r="I2356" s="3">
        <v>36671</v>
      </c>
      <c r="J2356" s="9" t="str">
        <f t="shared" ca="1" si="38"/>
        <v>23 ans</v>
      </c>
      <c r="K2356" s="2" t="s">
        <v>68</v>
      </c>
      <c r="L2356" s="2" t="str">
        <f>"559"</f>
        <v>559</v>
      </c>
      <c r="M2356" s="2"/>
      <c r="N2356" s="2" t="str">
        <f>"RUE DE SAINT-ÉMILION"</f>
        <v>RUE DE SAINT-ÉMILION</v>
      </c>
      <c r="O2356" s="2" t="s">
        <v>10903</v>
      </c>
      <c r="P2356" s="9" t="str">
        <f>VLOOKUP($O2356,'Liste des Villes'!$B$2:$B$1128,1,FALSE)</f>
        <v>Sainte-Anne-des-Lacs</v>
      </c>
      <c r="Q2356" s="9" t="str">
        <f>IFERROR($P2356,PROPER(VLOOKUP($O2356,'Villes en erreur'!$A$2:$B$72,2,FALSE)))</f>
        <v>Sainte-Anne-des-Lacs</v>
      </c>
      <c r="R2356" s="9" t="s">
        <v>10904</v>
      </c>
      <c r="S2356" s="9" t="str">
        <f>IF(ISBLANK($R2356),"",VLOOKUP($R2356,'Liste des Villes'!$B$2:$H$1128,4,FALSE))</f>
        <v>Laurentides</v>
      </c>
      <c r="T2356" s="2" t="s">
        <v>10977</v>
      </c>
      <c r="U2356" s="2" t="s">
        <v>39</v>
      </c>
      <c r="V2356" s="2" t="s">
        <v>40</v>
      </c>
      <c r="W2356" s="2" t="s">
        <v>10978</v>
      </c>
      <c r="X2356" s="2"/>
      <c r="Y2356" s="2"/>
      <c r="Z2356" s="2"/>
      <c r="AA2356" s="2" t="s">
        <v>72</v>
      </c>
      <c r="AB2356" s="2" t="s">
        <v>545</v>
      </c>
      <c r="AC2356" s="4" t="s">
        <v>44</v>
      </c>
    </row>
    <row r="2357" spans="1:29" x14ac:dyDescent="0.25">
      <c r="A2357" s="1">
        <v>2879</v>
      </c>
      <c r="B2357" s="17" t="s">
        <v>10979</v>
      </c>
      <c r="C2357" s="2" t="s">
        <v>10980</v>
      </c>
      <c r="D2357" s="15" t="s">
        <v>10981</v>
      </c>
      <c r="E2357" s="9" t="s">
        <v>94</v>
      </c>
      <c r="F2357" s="9" t="s">
        <v>10982</v>
      </c>
      <c r="G2357" s="9" t="s">
        <v>131</v>
      </c>
      <c r="H2357" s="2" t="s">
        <v>60</v>
      </c>
      <c r="I2357" s="3">
        <v>36659</v>
      </c>
      <c r="J2357" s="9" t="str">
        <f t="shared" ca="1" si="38"/>
        <v>23 ans</v>
      </c>
      <c r="K2357" s="2" t="s">
        <v>68</v>
      </c>
      <c r="L2357" s="2" t="str">
        <f>"541"</f>
        <v>541</v>
      </c>
      <c r="M2357" s="2"/>
      <c r="N2357" s="2" t="str">
        <f>"RUE DE MONTIGNY"</f>
        <v>RUE DE MONTIGNY</v>
      </c>
      <c r="O2357" s="2" t="s">
        <v>10903</v>
      </c>
      <c r="P2357" s="9" t="str">
        <f>VLOOKUP($O2357,'Liste des Villes'!$B$2:$B$1128,1,FALSE)</f>
        <v>Sainte-Anne-des-Lacs</v>
      </c>
      <c r="Q2357" s="9" t="str">
        <f>IFERROR($P2357,PROPER(VLOOKUP($O2357,'Villes en erreur'!$A$2:$B$72,2,FALSE)))</f>
        <v>Sainte-Anne-des-Lacs</v>
      </c>
      <c r="R2357" s="9" t="s">
        <v>10904</v>
      </c>
      <c r="S2357" s="9" t="str">
        <f>IF(ISBLANK($R2357),"",VLOOKUP($R2357,'Liste des Villes'!$B$2:$H$1128,4,FALSE))</f>
        <v>Laurentides</v>
      </c>
      <c r="T2357" s="2" t="s">
        <v>10983</v>
      </c>
      <c r="U2357" s="2" t="s">
        <v>39</v>
      </c>
      <c r="V2357" s="2" t="s">
        <v>40</v>
      </c>
      <c r="W2357" s="2" t="s">
        <v>10984</v>
      </c>
      <c r="X2357" s="2"/>
      <c r="Y2357" s="2"/>
      <c r="Z2357" s="2"/>
      <c r="AA2357" s="2" t="s">
        <v>72</v>
      </c>
      <c r="AB2357" s="2" t="s">
        <v>545</v>
      </c>
      <c r="AC2357" s="4" t="s">
        <v>44</v>
      </c>
    </row>
    <row r="2358" spans="1:29" x14ac:dyDescent="0.25">
      <c r="A2358" s="1">
        <v>1297</v>
      </c>
      <c r="B2358" s="17" t="s">
        <v>10985</v>
      </c>
      <c r="C2358" s="2" t="s">
        <v>10986</v>
      </c>
      <c r="D2358" s="15" t="s">
        <v>10987</v>
      </c>
      <c r="E2358" s="9" t="s">
        <v>10988</v>
      </c>
      <c r="F2358" s="9" t="s">
        <v>10989</v>
      </c>
      <c r="G2358" s="9" t="s">
        <v>131</v>
      </c>
      <c r="H2358" s="2" t="s">
        <v>60</v>
      </c>
      <c r="I2358" s="3">
        <v>36661</v>
      </c>
      <c r="J2358" s="9" t="str">
        <f t="shared" ca="1" si="38"/>
        <v>23 ans</v>
      </c>
      <c r="K2358" s="2" t="s">
        <v>68</v>
      </c>
      <c r="L2358" s="2" t="str">
        <f>"544"</f>
        <v>544</v>
      </c>
      <c r="M2358" s="2"/>
      <c r="N2358" s="2" t="str">
        <f>"RUE DE PRAGUE"</f>
        <v>RUE DE PRAGUE</v>
      </c>
      <c r="O2358" s="2" t="s">
        <v>10903</v>
      </c>
      <c r="P2358" s="9" t="str">
        <f>VLOOKUP($O2358,'Liste des Villes'!$B$2:$B$1128,1,FALSE)</f>
        <v>Sainte-Anne-des-Lacs</v>
      </c>
      <c r="Q2358" s="9" t="str">
        <f>IFERROR($P2358,PROPER(VLOOKUP($O2358,'Villes en erreur'!$A$2:$B$72,2,FALSE)))</f>
        <v>Sainte-Anne-des-Lacs</v>
      </c>
      <c r="R2358" s="9" t="s">
        <v>10904</v>
      </c>
      <c r="S2358" s="9" t="str">
        <f>IF(ISBLANK($R2358),"",VLOOKUP($R2358,'Liste des Villes'!$B$2:$H$1128,4,FALSE))</f>
        <v>Laurentides</v>
      </c>
      <c r="T2358" s="2" t="s">
        <v>10922</v>
      </c>
      <c r="U2358" s="2" t="s">
        <v>39</v>
      </c>
      <c r="V2358" s="2" t="s">
        <v>40</v>
      </c>
      <c r="W2358" s="2" t="s">
        <v>10990</v>
      </c>
      <c r="X2358" s="2"/>
      <c r="Y2358" s="2"/>
      <c r="Z2358" s="2"/>
      <c r="AA2358" s="2" t="s">
        <v>72</v>
      </c>
      <c r="AB2358" s="2" t="s">
        <v>545</v>
      </c>
      <c r="AC2358" s="4" t="s">
        <v>44</v>
      </c>
    </row>
    <row r="2359" spans="1:29" x14ac:dyDescent="0.25">
      <c r="A2359" s="1">
        <v>1806</v>
      </c>
      <c r="B2359" s="17" t="s">
        <v>10991</v>
      </c>
      <c r="C2359" s="2" t="s">
        <v>10992</v>
      </c>
      <c r="D2359" s="15" t="s">
        <v>825</v>
      </c>
      <c r="E2359" s="9" t="s">
        <v>10444</v>
      </c>
      <c r="F2359" s="9" t="s">
        <v>827</v>
      </c>
      <c r="G2359" s="9" t="s">
        <v>131</v>
      </c>
      <c r="H2359" s="2" t="s">
        <v>60</v>
      </c>
      <c r="I2359" s="3">
        <v>36660</v>
      </c>
      <c r="J2359" s="9" t="str">
        <f t="shared" ca="1" si="38"/>
        <v>23 ans</v>
      </c>
      <c r="K2359" s="2" t="s">
        <v>68</v>
      </c>
      <c r="L2359" s="2" t="str">
        <f>"542"</f>
        <v>542</v>
      </c>
      <c r="M2359" s="2"/>
      <c r="N2359" s="2" t="str">
        <f>"RUE DE NEVERS"</f>
        <v>RUE DE NEVERS</v>
      </c>
      <c r="O2359" s="2" t="s">
        <v>10903</v>
      </c>
      <c r="P2359" s="9" t="str">
        <f>VLOOKUP($O2359,'Liste des Villes'!$B$2:$B$1128,1,FALSE)</f>
        <v>Sainte-Anne-des-Lacs</v>
      </c>
      <c r="Q2359" s="9" t="str">
        <f>IFERROR($P2359,PROPER(VLOOKUP($O2359,'Villes en erreur'!$A$2:$B$72,2,FALSE)))</f>
        <v>Sainte-Anne-des-Lacs</v>
      </c>
      <c r="R2359" s="9" t="s">
        <v>10904</v>
      </c>
      <c r="S2359" s="9" t="str">
        <f>IF(ISBLANK($R2359),"",VLOOKUP($R2359,'Liste des Villes'!$B$2:$H$1128,4,FALSE))</f>
        <v>Laurentides</v>
      </c>
      <c r="T2359" s="2" t="s">
        <v>10993</v>
      </c>
      <c r="U2359" s="2" t="s">
        <v>39</v>
      </c>
      <c r="V2359" s="2" t="s">
        <v>40</v>
      </c>
      <c r="W2359" s="2" t="s">
        <v>10994</v>
      </c>
      <c r="X2359" s="2"/>
      <c r="Y2359" s="2"/>
      <c r="Z2359" s="2"/>
      <c r="AA2359" s="2" t="s">
        <v>72</v>
      </c>
      <c r="AB2359" s="2" t="s">
        <v>545</v>
      </c>
      <c r="AC2359" s="4" t="s">
        <v>44</v>
      </c>
    </row>
    <row r="2360" spans="1:29" x14ac:dyDescent="0.25">
      <c r="A2360" s="1">
        <v>2925</v>
      </c>
      <c r="B2360" s="17" t="s">
        <v>10995</v>
      </c>
      <c r="C2360" s="2" t="s">
        <v>6607</v>
      </c>
      <c r="D2360" s="15" t="s">
        <v>6608</v>
      </c>
      <c r="E2360" s="9" t="s">
        <v>5511</v>
      </c>
      <c r="F2360" s="9" t="s">
        <v>718</v>
      </c>
      <c r="G2360" s="9" t="s">
        <v>131</v>
      </c>
      <c r="H2360" s="2" t="s">
        <v>60</v>
      </c>
      <c r="I2360" s="3">
        <v>36663</v>
      </c>
      <c r="J2360" s="9" t="str">
        <f t="shared" ca="1" si="38"/>
        <v>23 ans</v>
      </c>
      <c r="K2360" s="2" t="s">
        <v>68</v>
      </c>
      <c r="L2360" s="2" t="str">
        <f>"546"</f>
        <v>546</v>
      </c>
      <c r="M2360" s="2"/>
      <c r="N2360" s="2" t="str">
        <f>"RUE DE PROVENCE"</f>
        <v>RUE DE PROVENCE</v>
      </c>
      <c r="O2360" s="2" t="s">
        <v>10903</v>
      </c>
      <c r="P2360" s="9" t="str">
        <f>VLOOKUP($O2360,'Liste des Villes'!$B$2:$B$1128,1,FALSE)</f>
        <v>Sainte-Anne-des-Lacs</v>
      </c>
      <c r="Q2360" s="9" t="str">
        <f>IFERROR($P2360,PROPER(VLOOKUP($O2360,'Villes en erreur'!$A$2:$B$72,2,FALSE)))</f>
        <v>Sainte-Anne-des-Lacs</v>
      </c>
      <c r="R2360" s="9" t="s">
        <v>10904</v>
      </c>
      <c r="S2360" s="9" t="str">
        <f>IF(ISBLANK($R2360),"",VLOOKUP($R2360,'Liste des Villes'!$B$2:$H$1128,4,FALSE))</f>
        <v>Laurentides</v>
      </c>
      <c r="T2360" s="2" t="s">
        <v>10996</v>
      </c>
      <c r="U2360" s="2" t="s">
        <v>39</v>
      </c>
      <c r="V2360" s="2" t="s">
        <v>40</v>
      </c>
      <c r="W2360" s="2" t="s">
        <v>10997</v>
      </c>
      <c r="X2360" s="2"/>
      <c r="Y2360" s="2"/>
      <c r="Z2360" s="2"/>
      <c r="AA2360" s="2" t="s">
        <v>72</v>
      </c>
      <c r="AB2360" s="2" t="s">
        <v>545</v>
      </c>
      <c r="AC2360" s="4" t="s">
        <v>44</v>
      </c>
    </row>
    <row r="2361" spans="1:29" x14ac:dyDescent="0.25">
      <c r="A2361" s="1">
        <v>2452</v>
      </c>
      <c r="B2361" s="17" t="s">
        <v>10998</v>
      </c>
      <c r="C2361" s="2" t="s">
        <v>10999</v>
      </c>
      <c r="D2361" s="15" t="s">
        <v>9500</v>
      </c>
      <c r="E2361" s="9" t="s">
        <v>107</v>
      </c>
      <c r="F2361" s="9" t="s">
        <v>9499</v>
      </c>
      <c r="G2361" s="9" t="s">
        <v>685</v>
      </c>
      <c r="H2361" s="2" t="s">
        <v>60</v>
      </c>
      <c r="I2361" s="3">
        <v>36669</v>
      </c>
      <c r="J2361" s="9" t="str">
        <f t="shared" ca="1" si="38"/>
        <v>23 ans</v>
      </c>
      <c r="K2361" s="2" t="s">
        <v>68</v>
      </c>
      <c r="L2361" s="2" t="str">
        <f>"555"</f>
        <v>555</v>
      </c>
      <c r="M2361" s="2"/>
      <c r="N2361" s="2" t="str">
        <f>"RUE DE SAINTE-MARGUERITE"</f>
        <v>RUE DE SAINTE-MARGUERITE</v>
      </c>
      <c r="O2361" s="2" t="s">
        <v>10903</v>
      </c>
      <c r="P2361" s="9" t="str">
        <f>VLOOKUP($O2361,'Liste des Villes'!$B$2:$B$1128,1,FALSE)</f>
        <v>Sainte-Anne-des-Lacs</v>
      </c>
      <c r="Q2361" s="9" t="str">
        <f>IFERROR($P2361,PROPER(VLOOKUP($O2361,'Villes en erreur'!$A$2:$B$72,2,FALSE)))</f>
        <v>Sainte-Anne-des-Lacs</v>
      </c>
      <c r="R2361" s="9" t="s">
        <v>10904</v>
      </c>
      <c r="S2361" s="9" t="str">
        <f>IF(ISBLANK($R2361),"",VLOOKUP($R2361,'Liste des Villes'!$B$2:$H$1128,4,FALSE))</f>
        <v>Laurentides</v>
      </c>
      <c r="T2361" s="2" t="s">
        <v>11000</v>
      </c>
      <c r="U2361" s="2" t="s">
        <v>39</v>
      </c>
      <c r="V2361" s="2" t="s">
        <v>40</v>
      </c>
      <c r="W2361" s="2" t="s">
        <v>10962</v>
      </c>
      <c r="X2361" s="2"/>
      <c r="Y2361" s="2"/>
      <c r="Z2361" s="2"/>
      <c r="AA2361" s="2" t="s">
        <v>72</v>
      </c>
      <c r="AB2361" s="2" t="s">
        <v>545</v>
      </c>
      <c r="AC2361" s="4" t="s">
        <v>44</v>
      </c>
    </row>
    <row r="2362" spans="1:29" x14ac:dyDescent="0.25">
      <c r="A2362" s="1">
        <v>4047</v>
      </c>
      <c r="B2362" s="17" t="s">
        <v>11001</v>
      </c>
      <c r="C2362" s="2" t="s">
        <v>11002</v>
      </c>
      <c r="D2362" s="15" t="s">
        <v>7896</v>
      </c>
      <c r="E2362" s="9" t="s">
        <v>1212</v>
      </c>
      <c r="F2362" s="9" t="s">
        <v>7895</v>
      </c>
      <c r="G2362" s="9" t="s">
        <v>131</v>
      </c>
      <c r="H2362" s="2" t="s">
        <v>60</v>
      </c>
      <c r="I2362" s="3">
        <v>36661</v>
      </c>
      <c r="J2362" s="9" t="str">
        <f t="shared" ca="1" si="38"/>
        <v>23 ans</v>
      </c>
      <c r="K2362" s="2" t="s">
        <v>68</v>
      </c>
      <c r="L2362" s="2" t="str">
        <f>"543"</f>
        <v>543</v>
      </c>
      <c r="M2362" s="2"/>
      <c r="N2362" s="2" t="str">
        <f>"RUE DE NEW GLASGOW"</f>
        <v>RUE DE NEW GLASGOW</v>
      </c>
      <c r="O2362" s="2" t="s">
        <v>10903</v>
      </c>
      <c r="P2362" s="9" t="str">
        <f>VLOOKUP($O2362,'Liste des Villes'!$B$2:$B$1128,1,FALSE)</f>
        <v>Sainte-Anne-des-Lacs</v>
      </c>
      <c r="Q2362" s="9" t="str">
        <f>IFERROR($P2362,PROPER(VLOOKUP($O2362,'Villes en erreur'!$A$2:$B$72,2,FALSE)))</f>
        <v>Sainte-Anne-des-Lacs</v>
      </c>
      <c r="R2362" s="9" t="s">
        <v>10904</v>
      </c>
      <c r="S2362" s="9" t="str">
        <f>IF(ISBLANK($R2362),"",VLOOKUP($R2362,'Liste des Villes'!$B$2:$H$1128,4,FALSE))</f>
        <v>Laurentides</v>
      </c>
      <c r="T2362" s="2" t="s">
        <v>11003</v>
      </c>
      <c r="U2362" s="2" t="s">
        <v>39</v>
      </c>
      <c r="V2362" s="2" t="s">
        <v>40</v>
      </c>
      <c r="W2362" s="2" t="s">
        <v>11004</v>
      </c>
      <c r="X2362" s="2"/>
      <c r="Y2362" s="2"/>
      <c r="Z2362" s="2"/>
      <c r="AA2362" s="2" t="s">
        <v>72</v>
      </c>
      <c r="AB2362" s="2" t="s">
        <v>545</v>
      </c>
      <c r="AC2362" s="4" t="s">
        <v>44</v>
      </c>
    </row>
    <row r="2363" spans="1:29" x14ac:dyDescent="0.25">
      <c r="A2363" s="1">
        <v>2101</v>
      </c>
      <c r="B2363" s="17" t="s">
        <v>11005</v>
      </c>
      <c r="C2363" s="2" t="s">
        <v>184</v>
      </c>
      <c r="D2363" s="15" t="s">
        <v>185</v>
      </c>
      <c r="E2363" s="9" t="s">
        <v>186</v>
      </c>
      <c r="F2363" s="9" t="s">
        <v>11006</v>
      </c>
      <c r="G2363" s="9" t="s">
        <v>11007</v>
      </c>
      <c r="H2363" s="2" t="s">
        <v>60</v>
      </c>
      <c r="I2363" s="3">
        <v>36668</v>
      </c>
      <c r="J2363" s="9" t="str">
        <f t="shared" ca="1" si="38"/>
        <v>23 ans</v>
      </c>
      <c r="K2363" s="2" t="s">
        <v>68</v>
      </c>
      <c r="L2363" s="2" t="str">
        <f>"554"</f>
        <v>554</v>
      </c>
      <c r="M2363" s="2"/>
      <c r="N2363" s="2" t="str">
        <f>"RUE DE SAINTE PAULE"</f>
        <v>RUE DE SAINTE PAULE</v>
      </c>
      <c r="O2363" s="2" t="s">
        <v>10903</v>
      </c>
      <c r="P2363" s="9" t="str">
        <f>VLOOKUP($O2363,'Liste des Villes'!$B$2:$B$1128,1,FALSE)</f>
        <v>Sainte-Anne-des-Lacs</v>
      </c>
      <c r="Q2363" s="9" t="str">
        <f>IFERROR($P2363,PROPER(VLOOKUP($O2363,'Villes en erreur'!$A$2:$B$72,2,FALSE)))</f>
        <v>Sainte-Anne-des-Lacs</v>
      </c>
      <c r="R2363" s="9" t="s">
        <v>10904</v>
      </c>
      <c r="S2363" s="9" t="str">
        <f>IF(ISBLANK($R2363),"",VLOOKUP($R2363,'Liste des Villes'!$B$2:$H$1128,4,FALSE))</f>
        <v>Laurentides</v>
      </c>
      <c r="T2363" s="2" t="s">
        <v>11008</v>
      </c>
      <c r="U2363" s="2" t="s">
        <v>39</v>
      </c>
      <c r="V2363" s="2" t="s">
        <v>40</v>
      </c>
      <c r="W2363" s="2" t="s">
        <v>11009</v>
      </c>
      <c r="X2363" s="2"/>
      <c r="Y2363" s="2"/>
      <c r="Z2363" s="2"/>
      <c r="AA2363" s="2" t="s">
        <v>72</v>
      </c>
      <c r="AB2363" s="2" t="s">
        <v>545</v>
      </c>
      <c r="AC2363" s="4" t="s">
        <v>44</v>
      </c>
    </row>
    <row r="2364" spans="1:29" x14ac:dyDescent="0.25">
      <c r="A2364" s="1">
        <v>3012</v>
      </c>
      <c r="B2364" s="17" t="s">
        <v>11010</v>
      </c>
      <c r="C2364" s="2" t="s">
        <v>2727</v>
      </c>
      <c r="D2364" s="15" t="s">
        <v>2728</v>
      </c>
      <c r="E2364" s="9" t="s">
        <v>341</v>
      </c>
      <c r="F2364" s="9" t="s">
        <v>2729</v>
      </c>
      <c r="G2364" s="9" t="s">
        <v>685</v>
      </c>
      <c r="H2364" s="2" t="s">
        <v>60</v>
      </c>
      <c r="I2364" s="3">
        <v>36671</v>
      </c>
      <c r="J2364" s="9" t="str">
        <f t="shared" ca="1" si="38"/>
        <v>23 ans</v>
      </c>
      <c r="K2364" s="2" t="s">
        <v>68</v>
      </c>
      <c r="L2364" s="2" t="str">
        <f>"556"</f>
        <v>556</v>
      </c>
      <c r="M2364" s="2"/>
      <c r="N2364" s="2" t="str">
        <f>"RUE DE SAINTE-MARGUERITE"</f>
        <v>RUE DE SAINTE-MARGUERITE</v>
      </c>
      <c r="O2364" s="2" t="s">
        <v>10903</v>
      </c>
      <c r="P2364" s="9" t="str">
        <f>VLOOKUP($O2364,'Liste des Villes'!$B$2:$B$1128,1,FALSE)</f>
        <v>Sainte-Anne-des-Lacs</v>
      </c>
      <c r="Q2364" s="9" t="str">
        <f>IFERROR($P2364,PROPER(VLOOKUP($O2364,'Villes en erreur'!$A$2:$B$72,2,FALSE)))</f>
        <v>Sainte-Anne-des-Lacs</v>
      </c>
      <c r="R2364" s="9" t="s">
        <v>10904</v>
      </c>
      <c r="S2364" s="9" t="str">
        <f>IF(ISBLANK($R2364),"",VLOOKUP($R2364,'Liste des Villes'!$B$2:$H$1128,4,FALSE))</f>
        <v>Laurentides</v>
      </c>
      <c r="T2364" s="2" t="s">
        <v>11011</v>
      </c>
      <c r="U2364" s="2" t="s">
        <v>39</v>
      </c>
      <c r="V2364" s="2" t="s">
        <v>40</v>
      </c>
      <c r="W2364" s="2" t="s">
        <v>11012</v>
      </c>
      <c r="X2364" s="2"/>
      <c r="Y2364" s="2"/>
      <c r="Z2364" s="2"/>
      <c r="AA2364" s="2" t="s">
        <v>72</v>
      </c>
      <c r="AB2364" s="2" t="s">
        <v>545</v>
      </c>
      <c r="AC2364" s="4" t="s">
        <v>44</v>
      </c>
    </row>
    <row r="2365" spans="1:29" x14ac:dyDescent="0.25">
      <c r="A2365" s="1">
        <v>4210</v>
      </c>
      <c r="B2365" s="17" t="s">
        <v>11013</v>
      </c>
      <c r="C2365" s="2" t="s">
        <v>954</v>
      </c>
      <c r="D2365" s="15" t="s">
        <v>955</v>
      </c>
      <c r="E2365" s="9" t="s">
        <v>956</v>
      </c>
      <c r="F2365" s="9" t="s">
        <v>957</v>
      </c>
      <c r="G2365" s="9" t="s">
        <v>131</v>
      </c>
      <c r="H2365" s="2" t="s">
        <v>60</v>
      </c>
      <c r="I2365" s="3">
        <v>36658</v>
      </c>
      <c r="J2365" s="9" t="str">
        <f t="shared" ca="1" si="38"/>
        <v>23 ans</v>
      </c>
      <c r="K2365" s="2" t="s">
        <v>68</v>
      </c>
      <c r="L2365" s="2" t="str">
        <f>"541"</f>
        <v>541</v>
      </c>
      <c r="M2365" s="2"/>
      <c r="N2365" s="2" t="str">
        <f>"RUE DE MONTIGNY"</f>
        <v>RUE DE MONTIGNY</v>
      </c>
      <c r="O2365" s="2" t="s">
        <v>10903</v>
      </c>
      <c r="P2365" s="9" t="str">
        <f>VLOOKUP($O2365,'Liste des Villes'!$B$2:$B$1128,1,FALSE)</f>
        <v>Sainte-Anne-des-Lacs</v>
      </c>
      <c r="Q2365" s="9" t="str">
        <f>IFERROR($P2365,PROPER(VLOOKUP($O2365,'Villes en erreur'!$A$2:$B$72,2,FALSE)))</f>
        <v>Sainte-Anne-des-Lacs</v>
      </c>
      <c r="R2365" s="9" t="s">
        <v>10904</v>
      </c>
      <c r="S2365" s="9" t="str">
        <f>IF(ISBLANK($R2365),"",VLOOKUP($R2365,'Liste des Villes'!$B$2:$H$1128,4,FALSE))</f>
        <v>Laurentides</v>
      </c>
      <c r="T2365" s="2" t="s">
        <v>10983</v>
      </c>
      <c r="U2365" s="2" t="s">
        <v>39</v>
      </c>
      <c r="V2365" s="2" t="s">
        <v>40</v>
      </c>
      <c r="W2365" s="2" t="s">
        <v>11014</v>
      </c>
      <c r="X2365" s="2"/>
      <c r="Y2365" s="2"/>
      <c r="Z2365" s="2"/>
      <c r="AA2365" s="2" t="s">
        <v>72</v>
      </c>
      <c r="AB2365" s="2" t="s">
        <v>545</v>
      </c>
      <c r="AC2365" s="4" t="s">
        <v>44</v>
      </c>
    </row>
    <row r="2366" spans="1:29" x14ac:dyDescent="0.25">
      <c r="A2366" s="1">
        <v>4306</v>
      </c>
      <c r="B2366" s="17" t="s">
        <v>11015</v>
      </c>
      <c r="C2366" s="2" t="s">
        <v>11016</v>
      </c>
      <c r="D2366" s="15" t="s">
        <v>11017</v>
      </c>
      <c r="E2366" s="9" t="s">
        <v>6323</v>
      </c>
      <c r="F2366" s="9" t="s">
        <v>1383</v>
      </c>
      <c r="G2366" s="9" t="s">
        <v>1709</v>
      </c>
      <c r="H2366" s="2" t="s">
        <v>60</v>
      </c>
      <c r="I2366" s="3">
        <v>36665</v>
      </c>
      <c r="J2366" s="9" t="str">
        <f t="shared" ca="1" si="38"/>
        <v>23 ans</v>
      </c>
      <c r="K2366" s="2" t="s">
        <v>68</v>
      </c>
      <c r="L2366" s="2" t="str">
        <f>"549"</f>
        <v>549</v>
      </c>
      <c r="M2366" s="2"/>
      <c r="N2366" s="2" t="str">
        <f>"RUE DE ROBERVAL"</f>
        <v>RUE DE ROBERVAL</v>
      </c>
      <c r="O2366" s="2" t="s">
        <v>10903</v>
      </c>
      <c r="P2366" s="9" t="str">
        <f>VLOOKUP($O2366,'Liste des Villes'!$B$2:$B$1128,1,FALSE)</f>
        <v>Sainte-Anne-des-Lacs</v>
      </c>
      <c r="Q2366" s="9" t="str">
        <f>IFERROR($P2366,PROPER(VLOOKUP($O2366,'Villes en erreur'!$A$2:$B$72,2,FALSE)))</f>
        <v>Sainte-Anne-des-Lacs</v>
      </c>
      <c r="R2366" s="9" t="s">
        <v>10904</v>
      </c>
      <c r="S2366" s="9" t="str">
        <f>IF(ISBLANK($R2366),"",VLOOKUP($R2366,'Liste des Villes'!$B$2:$H$1128,4,FALSE))</f>
        <v>Laurentides</v>
      </c>
      <c r="T2366" s="2" t="s">
        <v>10955</v>
      </c>
      <c r="U2366" s="2" t="s">
        <v>39</v>
      </c>
      <c r="V2366" s="2" t="s">
        <v>40</v>
      </c>
      <c r="W2366" s="2" t="s">
        <v>11018</v>
      </c>
      <c r="X2366" s="2"/>
      <c r="Y2366" s="2"/>
      <c r="Z2366" s="2"/>
      <c r="AA2366" s="2" t="s">
        <v>72</v>
      </c>
      <c r="AB2366" s="2" t="s">
        <v>545</v>
      </c>
      <c r="AC2366" s="4" t="s">
        <v>44</v>
      </c>
    </row>
    <row r="2367" spans="1:29" x14ac:dyDescent="0.25">
      <c r="A2367" s="1">
        <v>16</v>
      </c>
      <c r="B2367" s="17" t="s">
        <v>11019</v>
      </c>
      <c r="C2367" s="2" t="s">
        <v>11020</v>
      </c>
      <c r="D2367" s="15" t="s">
        <v>11021</v>
      </c>
      <c r="E2367" s="9" t="s">
        <v>1447</v>
      </c>
      <c r="F2367" s="9" t="s">
        <v>11022</v>
      </c>
      <c r="G2367" s="9" t="s">
        <v>685</v>
      </c>
      <c r="H2367" s="2" t="s">
        <v>60</v>
      </c>
      <c r="I2367" s="3">
        <v>36671</v>
      </c>
      <c r="J2367" s="9" t="str">
        <f t="shared" ca="1" si="38"/>
        <v>23 ans</v>
      </c>
      <c r="K2367" s="2" t="s">
        <v>68</v>
      </c>
      <c r="L2367" s="2" t="str">
        <f>"556"</f>
        <v>556</v>
      </c>
      <c r="M2367" s="2"/>
      <c r="N2367" s="2" t="str">
        <f>"RUE DE SAINTE-MARGUERITE"</f>
        <v>RUE DE SAINTE-MARGUERITE</v>
      </c>
      <c r="O2367" s="2" t="s">
        <v>10903</v>
      </c>
      <c r="P2367" s="9" t="str">
        <f>VLOOKUP($O2367,'Liste des Villes'!$B$2:$B$1128,1,FALSE)</f>
        <v>Sainte-Anne-des-Lacs</v>
      </c>
      <c r="Q2367" s="9" t="str">
        <f>IFERROR($P2367,PROPER(VLOOKUP($O2367,'Villes en erreur'!$A$2:$B$72,2,FALSE)))</f>
        <v>Sainte-Anne-des-Lacs</v>
      </c>
      <c r="R2367" s="9" t="s">
        <v>10904</v>
      </c>
      <c r="S2367" s="9" t="str">
        <f>IF(ISBLANK($R2367),"",VLOOKUP($R2367,'Liste des Villes'!$B$2:$H$1128,4,FALSE))</f>
        <v>Laurentides</v>
      </c>
      <c r="T2367" s="2" t="s">
        <v>11011</v>
      </c>
      <c r="U2367" s="2" t="s">
        <v>39</v>
      </c>
      <c r="V2367" s="2" t="s">
        <v>40</v>
      </c>
      <c r="W2367" s="2" t="s">
        <v>11023</v>
      </c>
      <c r="X2367" s="2"/>
      <c r="Y2367" s="2"/>
      <c r="Z2367" s="2"/>
      <c r="AA2367" s="2" t="s">
        <v>72</v>
      </c>
      <c r="AB2367" s="2" t="s">
        <v>545</v>
      </c>
      <c r="AC2367" s="4" t="s">
        <v>44</v>
      </c>
    </row>
    <row r="2368" spans="1:29" x14ac:dyDescent="0.25">
      <c r="A2368" s="1">
        <v>2783</v>
      </c>
      <c r="B2368" s="17" t="s">
        <v>11024</v>
      </c>
      <c r="C2368" s="2" t="s">
        <v>11025</v>
      </c>
      <c r="D2368" s="15" t="s">
        <v>9304</v>
      </c>
      <c r="E2368" s="9" t="s">
        <v>1416</v>
      </c>
      <c r="F2368" s="9" t="s">
        <v>1417</v>
      </c>
      <c r="G2368" s="9" t="s">
        <v>131</v>
      </c>
      <c r="H2368" s="2" t="s">
        <v>60</v>
      </c>
      <c r="I2368" s="3">
        <v>36663</v>
      </c>
      <c r="J2368" s="9" t="str">
        <f t="shared" ca="1" si="38"/>
        <v>23 ans</v>
      </c>
      <c r="K2368" s="2" t="s">
        <v>68</v>
      </c>
      <c r="L2368" s="2" t="str">
        <f>"545"</f>
        <v>545</v>
      </c>
      <c r="M2368" s="2"/>
      <c r="N2368" s="2" t="str">
        <f>"RUE DE PROVENCE"</f>
        <v>RUE DE PROVENCE</v>
      </c>
      <c r="O2368" s="2" t="s">
        <v>10903</v>
      </c>
      <c r="P2368" s="9" t="str">
        <f>VLOOKUP($O2368,'Liste des Villes'!$B$2:$B$1128,1,FALSE)</f>
        <v>Sainte-Anne-des-Lacs</v>
      </c>
      <c r="Q2368" s="9" t="str">
        <f>IFERROR($P2368,PROPER(VLOOKUP($O2368,'Villes en erreur'!$A$2:$B$72,2,FALSE)))</f>
        <v>Sainte-Anne-des-Lacs</v>
      </c>
      <c r="R2368" s="9" t="s">
        <v>10904</v>
      </c>
      <c r="S2368" s="9" t="str">
        <f>IF(ISBLANK($R2368),"",VLOOKUP($R2368,'Liste des Villes'!$B$2:$H$1128,4,FALSE))</f>
        <v>Laurentides</v>
      </c>
      <c r="T2368" s="2" t="s">
        <v>11026</v>
      </c>
      <c r="U2368" s="2" t="s">
        <v>39</v>
      </c>
      <c r="V2368" s="2" t="s">
        <v>40</v>
      </c>
      <c r="W2368" s="2" t="s">
        <v>11027</v>
      </c>
      <c r="X2368" s="2"/>
      <c r="Y2368" s="2"/>
      <c r="Z2368" s="2"/>
      <c r="AA2368" s="2" t="s">
        <v>72</v>
      </c>
      <c r="AB2368" s="2" t="s">
        <v>545</v>
      </c>
      <c r="AC2368" s="4" t="s">
        <v>44</v>
      </c>
    </row>
    <row r="2369" spans="1:29" x14ac:dyDescent="0.25">
      <c r="A2369" s="1">
        <v>2088</v>
      </c>
      <c r="B2369" s="17" t="s">
        <v>11028</v>
      </c>
      <c r="C2369" s="2" t="s">
        <v>11029</v>
      </c>
      <c r="D2369" s="15" t="s">
        <v>11030</v>
      </c>
      <c r="E2369" s="9" t="s">
        <v>114</v>
      </c>
      <c r="F2369" s="9" t="s">
        <v>2242</v>
      </c>
      <c r="G2369" s="9" t="s">
        <v>685</v>
      </c>
      <c r="H2369" s="2" t="s">
        <v>60</v>
      </c>
      <c r="I2369" s="3">
        <v>36671</v>
      </c>
      <c r="J2369" s="9" t="str">
        <f t="shared" ca="1" si="38"/>
        <v>23 ans</v>
      </c>
      <c r="K2369" s="2" t="s">
        <v>68</v>
      </c>
      <c r="L2369" s="2" t="str">
        <f>"557"</f>
        <v>557</v>
      </c>
      <c r="M2369" s="2"/>
      <c r="N2369" s="2" t="str">
        <f>"RUE DE SAINTE-MARGUERITE"</f>
        <v>RUE DE SAINTE-MARGUERITE</v>
      </c>
      <c r="O2369" s="2" t="s">
        <v>10903</v>
      </c>
      <c r="P2369" s="9" t="str">
        <f>VLOOKUP($O2369,'Liste des Villes'!$B$2:$B$1128,1,FALSE)</f>
        <v>Sainte-Anne-des-Lacs</v>
      </c>
      <c r="Q2369" s="9" t="str">
        <f>IFERROR($P2369,PROPER(VLOOKUP($O2369,'Villes en erreur'!$A$2:$B$72,2,FALSE)))</f>
        <v>Sainte-Anne-des-Lacs</v>
      </c>
      <c r="R2369" s="9" t="s">
        <v>10904</v>
      </c>
      <c r="S2369" s="9" t="str">
        <f>IF(ISBLANK($R2369),"",VLOOKUP($R2369,'Liste des Villes'!$B$2:$H$1128,4,FALSE))</f>
        <v>Laurentides</v>
      </c>
      <c r="T2369" s="2" t="s">
        <v>11031</v>
      </c>
      <c r="U2369" s="2" t="s">
        <v>39</v>
      </c>
      <c r="V2369" s="2" t="s">
        <v>40</v>
      </c>
      <c r="W2369" s="2" t="s">
        <v>11032</v>
      </c>
      <c r="X2369" s="2"/>
      <c r="Y2369" s="2"/>
      <c r="Z2369" s="2"/>
      <c r="AA2369" s="2" t="s">
        <v>72</v>
      </c>
      <c r="AB2369" s="2" t="s">
        <v>545</v>
      </c>
      <c r="AC2369" s="4" t="s">
        <v>44</v>
      </c>
    </row>
    <row r="2370" spans="1:29" x14ac:dyDescent="0.25">
      <c r="A2370" s="1">
        <v>1156</v>
      </c>
      <c r="B2370" s="17" t="s">
        <v>11033</v>
      </c>
      <c r="C2370" s="2" t="s">
        <v>11034</v>
      </c>
      <c r="D2370" s="15" t="s">
        <v>10690</v>
      </c>
      <c r="E2370" s="9" t="s">
        <v>1754</v>
      </c>
      <c r="F2370" s="9" t="s">
        <v>10689</v>
      </c>
      <c r="G2370" s="9" t="s">
        <v>685</v>
      </c>
      <c r="H2370" s="2" t="s">
        <v>60</v>
      </c>
      <c r="I2370" s="3">
        <v>36672</v>
      </c>
      <c r="J2370" s="9" t="str">
        <f t="shared" ref="J2370:J2433" ca="1" si="39">_xlfn.CONCAT(INT((TODAY()-$I2370)/365.25)," ans")</f>
        <v>23 ans</v>
      </c>
      <c r="K2370" s="2" t="s">
        <v>68</v>
      </c>
      <c r="L2370" s="2" t="str">
        <f>"561"</f>
        <v>561</v>
      </c>
      <c r="M2370" s="2"/>
      <c r="N2370" s="2" t="str">
        <f>"RUE DE SAINT-FAUSTIN"</f>
        <v>RUE DE SAINT-FAUSTIN</v>
      </c>
      <c r="O2370" s="2" t="s">
        <v>10903</v>
      </c>
      <c r="P2370" s="9" t="str">
        <f>VLOOKUP($O2370,'Liste des Villes'!$B$2:$B$1128,1,FALSE)</f>
        <v>Sainte-Anne-des-Lacs</v>
      </c>
      <c r="Q2370" s="9" t="str">
        <f>IFERROR($P2370,PROPER(VLOOKUP($O2370,'Villes en erreur'!$A$2:$B$72,2,FALSE)))</f>
        <v>Sainte-Anne-des-Lacs</v>
      </c>
      <c r="R2370" s="9" t="s">
        <v>10904</v>
      </c>
      <c r="S2370" s="9" t="str">
        <f>IF(ISBLANK($R2370),"",VLOOKUP($R2370,'Liste des Villes'!$B$2:$H$1128,4,FALSE))</f>
        <v>Laurentides</v>
      </c>
      <c r="T2370" s="2" t="s">
        <v>11035</v>
      </c>
      <c r="U2370" s="2" t="s">
        <v>39</v>
      </c>
      <c r="V2370" s="2" t="s">
        <v>40</v>
      </c>
      <c r="W2370" s="2" t="s">
        <v>11036</v>
      </c>
      <c r="X2370" s="2"/>
      <c r="Y2370" s="2"/>
      <c r="Z2370" s="2"/>
      <c r="AA2370" s="2" t="s">
        <v>72</v>
      </c>
      <c r="AB2370" s="2" t="s">
        <v>545</v>
      </c>
      <c r="AC2370" s="4" t="s">
        <v>44</v>
      </c>
    </row>
    <row r="2371" spans="1:29" x14ac:dyDescent="0.25">
      <c r="A2371" s="1">
        <v>1997</v>
      </c>
      <c r="B2371" s="17" t="s">
        <v>11037</v>
      </c>
      <c r="C2371" s="2" t="s">
        <v>11038</v>
      </c>
      <c r="D2371" s="15" t="s">
        <v>6875</v>
      </c>
      <c r="E2371" s="9" t="s">
        <v>1283</v>
      </c>
      <c r="F2371" s="9" t="s">
        <v>6873</v>
      </c>
      <c r="G2371" s="9" t="s">
        <v>685</v>
      </c>
      <c r="H2371" s="2" t="s">
        <v>60</v>
      </c>
      <c r="I2371" s="3">
        <v>36671</v>
      </c>
      <c r="J2371" s="9" t="str">
        <f t="shared" ca="1" si="39"/>
        <v>23 ans</v>
      </c>
      <c r="K2371" s="2" t="s">
        <v>68</v>
      </c>
      <c r="L2371" s="2" t="str">
        <f>"559"</f>
        <v>559</v>
      </c>
      <c r="M2371" s="2"/>
      <c r="N2371" s="2" t="str">
        <f>"RUE DE SAINT-ÉMILION"</f>
        <v>RUE DE SAINT-ÉMILION</v>
      </c>
      <c r="O2371" s="2" t="s">
        <v>10903</v>
      </c>
      <c r="P2371" s="9" t="str">
        <f>VLOOKUP($O2371,'Liste des Villes'!$B$2:$B$1128,1,FALSE)</f>
        <v>Sainte-Anne-des-Lacs</v>
      </c>
      <c r="Q2371" s="9" t="str">
        <f>IFERROR($P2371,PROPER(VLOOKUP($O2371,'Villes en erreur'!$A$2:$B$72,2,FALSE)))</f>
        <v>Sainte-Anne-des-Lacs</v>
      </c>
      <c r="R2371" s="9" t="s">
        <v>10904</v>
      </c>
      <c r="S2371" s="9" t="str">
        <f>IF(ISBLANK($R2371),"",VLOOKUP($R2371,'Liste des Villes'!$B$2:$H$1128,4,FALSE))</f>
        <v>Laurentides</v>
      </c>
      <c r="T2371" s="2" t="s">
        <v>11039</v>
      </c>
      <c r="U2371" s="2" t="s">
        <v>39</v>
      </c>
      <c r="V2371" s="2" t="s">
        <v>40</v>
      </c>
      <c r="W2371" s="2" t="s">
        <v>11040</v>
      </c>
      <c r="X2371" s="2"/>
      <c r="Y2371" s="2"/>
      <c r="Z2371" s="2"/>
      <c r="AA2371" s="2" t="s">
        <v>72</v>
      </c>
      <c r="AB2371" s="2" t="s">
        <v>545</v>
      </c>
      <c r="AC2371" s="4" t="s">
        <v>44</v>
      </c>
    </row>
    <row r="2372" spans="1:29" x14ac:dyDescent="0.25">
      <c r="A2372" s="1">
        <v>2462</v>
      </c>
      <c r="B2372" s="17" t="s">
        <v>11041</v>
      </c>
      <c r="C2372" s="2" t="s">
        <v>8567</v>
      </c>
      <c r="D2372" s="15" t="s">
        <v>1959</v>
      </c>
      <c r="E2372" s="9" t="s">
        <v>389</v>
      </c>
      <c r="F2372" s="9" t="s">
        <v>8370</v>
      </c>
      <c r="G2372" s="9" t="s">
        <v>131</v>
      </c>
      <c r="H2372" s="2" t="s">
        <v>60</v>
      </c>
      <c r="I2372" s="3">
        <v>36662</v>
      </c>
      <c r="J2372" s="9" t="str">
        <f t="shared" ca="1" si="39"/>
        <v>23 ans</v>
      </c>
      <c r="K2372" s="2" t="s">
        <v>68</v>
      </c>
      <c r="L2372" s="2" t="str">
        <f>"544"</f>
        <v>544</v>
      </c>
      <c r="M2372" s="2"/>
      <c r="N2372" s="2" t="str">
        <f>"RUE DE PROVENCE"</f>
        <v>RUE DE PROVENCE</v>
      </c>
      <c r="O2372" s="2" t="s">
        <v>10903</v>
      </c>
      <c r="P2372" s="9" t="str">
        <f>VLOOKUP($O2372,'Liste des Villes'!$B$2:$B$1128,1,FALSE)</f>
        <v>Sainte-Anne-des-Lacs</v>
      </c>
      <c r="Q2372" s="9" t="str">
        <f>IFERROR($P2372,PROPER(VLOOKUP($O2372,'Villes en erreur'!$A$2:$B$72,2,FALSE)))</f>
        <v>Sainte-Anne-des-Lacs</v>
      </c>
      <c r="R2372" s="9" t="s">
        <v>10904</v>
      </c>
      <c r="S2372" s="9" t="str">
        <f>IF(ISBLANK($R2372),"",VLOOKUP($R2372,'Liste des Villes'!$B$2:$H$1128,4,FALSE))</f>
        <v>Laurentides</v>
      </c>
      <c r="T2372" s="2" t="s">
        <v>11042</v>
      </c>
      <c r="U2372" s="2" t="s">
        <v>39</v>
      </c>
      <c r="V2372" s="2" t="s">
        <v>40</v>
      </c>
      <c r="W2372" s="2" t="s">
        <v>11043</v>
      </c>
      <c r="X2372" s="2"/>
      <c r="Y2372" s="2"/>
      <c r="Z2372" s="2"/>
      <c r="AA2372" s="2" t="s">
        <v>72</v>
      </c>
      <c r="AB2372" s="2" t="s">
        <v>545</v>
      </c>
      <c r="AC2372" s="4" t="s">
        <v>44</v>
      </c>
    </row>
    <row r="2373" spans="1:29" x14ac:dyDescent="0.25">
      <c r="A2373" s="1">
        <v>1659</v>
      </c>
      <c r="B2373" s="17" t="s">
        <v>11044</v>
      </c>
      <c r="C2373" s="2" t="s">
        <v>11045</v>
      </c>
      <c r="D2373" s="15" t="s">
        <v>2832</v>
      </c>
      <c r="E2373" s="9" t="s">
        <v>7006</v>
      </c>
      <c r="F2373" s="9" t="s">
        <v>2831</v>
      </c>
      <c r="G2373" s="9" t="s">
        <v>1330</v>
      </c>
      <c r="H2373" s="2" t="s">
        <v>60</v>
      </c>
      <c r="I2373" s="3">
        <v>36691</v>
      </c>
      <c r="J2373" s="9" t="str">
        <f t="shared" ca="1" si="39"/>
        <v>23 ans</v>
      </c>
      <c r="K2373" s="2" t="s">
        <v>68</v>
      </c>
      <c r="L2373" s="2" t="str">
        <f>"586"</f>
        <v>586</v>
      </c>
      <c r="M2373" s="2"/>
      <c r="N2373" s="2" t="str">
        <f>"RUE DEMONTIGNY"</f>
        <v>RUE DEMONTIGNY</v>
      </c>
      <c r="O2373" s="2" t="s">
        <v>11046</v>
      </c>
      <c r="P2373" s="9" t="str">
        <f>VLOOKUP($O2373,'Liste des Villes'!$B$2:$B$1128,1,FALSE)</f>
        <v>Sainte-Agathe-des-Monts</v>
      </c>
      <c r="Q2373" s="9" t="str">
        <f>IFERROR($P2373,PROPER(VLOOKUP($O2373,'Villes en erreur'!$A$2:$B$72,2,FALSE)))</f>
        <v>Sainte-Agathe-des-Monts</v>
      </c>
      <c r="R2373" s="9" t="s">
        <v>11047</v>
      </c>
      <c r="S2373" s="9" t="str">
        <f>IF(ISBLANK($R2373),"",VLOOKUP($R2373,'Liste des Villes'!$B$2:$H$1128,4,FALSE))</f>
        <v>Laurentides</v>
      </c>
      <c r="T2373" s="2" t="s">
        <v>11048</v>
      </c>
      <c r="U2373" s="2" t="s">
        <v>39</v>
      </c>
      <c r="V2373" s="2" t="s">
        <v>40</v>
      </c>
      <c r="W2373" s="2" t="s">
        <v>11049</v>
      </c>
      <c r="X2373" s="2"/>
      <c r="Y2373" s="2"/>
      <c r="Z2373" s="2"/>
      <c r="AA2373" s="2" t="s">
        <v>72</v>
      </c>
      <c r="AB2373" s="2" t="s">
        <v>545</v>
      </c>
      <c r="AC2373" s="4" t="s">
        <v>44</v>
      </c>
    </row>
    <row r="2374" spans="1:29" x14ac:dyDescent="0.25">
      <c r="A2374" s="1">
        <v>2179</v>
      </c>
      <c r="B2374" s="17" t="s">
        <v>11050</v>
      </c>
      <c r="C2374" s="2" t="s">
        <v>11051</v>
      </c>
      <c r="D2374" s="15" t="s">
        <v>246</v>
      </c>
      <c r="E2374" s="9" t="s">
        <v>7124</v>
      </c>
      <c r="F2374" s="9" t="s">
        <v>1617</v>
      </c>
      <c r="G2374" s="9" t="s">
        <v>5828</v>
      </c>
      <c r="H2374" s="2" t="s">
        <v>35</v>
      </c>
      <c r="I2374" s="3">
        <v>36688</v>
      </c>
      <c r="J2374" s="9" t="str">
        <f t="shared" ca="1" si="39"/>
        <v>23 ans</v>
      </c>
      <c r="K2374" s="2" t="s">
        <v>68</v>
      </c>
      <c r="L2374" s="2" t="str">
        <f>"580"</f>
        <v>580</v>
      </c>
      <c r="M2374" s="2"/>
      <c r="N2374" s="2" t="str">
        <f>"RUE DELORME"</f>
        <v>RUE DELORME</v>
      </c>
      <c r="O2374" s="2" t="s">
        <v>11046</v>
      </c>
      <c r="P2374" s="9" t="str">
        <f>VLOOKUP($O2374,'Liste des Villes'!$B$2:$B$1128,1,FALSE)</f>
        <v>Sainte-Agathe-des-Monts</v>
      </c>
      <c r="Q2374" s="9" t="str">
        <f>IFERROR($P2374,PROPER(VLOOKUP($O2374,'Villes en erreur'!$A$2:$B$72,2,FALSE)))</f>
        <v>Sainte-Agathe-des-Monts</v>
      </c>
      <c r="R2374" s="9" t="s">
        <v>11047</v>
      </c>
      <c r="S2374" s="9" t="str">
        <f>IF(ISBLANK($R2374),"",VLOOKUP($R2374,'Liste des Villes'!$B$2:$H$1128,4,FALSE))</f>
        <v>Laurentides</v>
      </c>
      <c r="T2374" s="2" t="s">
        <v>11052</v>
      </c>
      <c r="U2374" s="2" t="s">
        <v>39</v>
      </c>
      <c r="V2374" s="2" t="s">
        <v>40</v>
      </c>
      <c r="W2374" s="2" t="s">
        <v>11053</v>
      </c>
      <c r="X2374" s="2"/>
      <c r="Y2374" s="2"/>
      <c r="Z2374" s="2"/>
      <c r="AA2374" s="2" t="s">
        <v>72</v>
      </c>
      <c r="AB2374" s="2" t="s">
        <v>545</v>
      </c>
      <c r="AC2374" s="4" t="s">
        <v>44</v>
      </c>
    </row>
    <row r="2375" spans="1:29" x14ac:dyDescent="0.25">
      <c r="A2375" s="1">
        <v>3038</v>
      </c>
      <c r="B2375" s="17" t="s">
        <v>11054</v>
      </c>
      <c r="C2375" s="2" t="s">
        <v>11055</v>
      </c>
      <c r="D2375" s="15" t="s">
        <v>6193</v>
      </c>
      <c r="E2375" s="9" t="s">
        <v>9165</v>
      </c>
      <c r="F2375" s="9" t="s">
        <v>1529</v>
      </c>
      <c r="G2375" s="9" t="s">
        <v>685</v>
      </c>
      <c r="H2375" s="2" t="s">
        <v>60</v>
      </c>
      <c r="I2375" s="3">
        <v>36674</v>
      </c>
      <c r="J2375" s="9" t="str">
        <f t="shared" ca="1" si="39"/>
        <v>23 ans</v>
      </c>
      <c r="K2375" s="2" t="s">
        <v>68</v>
      </c>
      <c r="L2375" s="2" t="str">
        <f>"563"</f>
        <v>563</v>
      </c>
      <c r="M2375" s="2"/>
      <c r="N2375" s="2" t="str">
        <f>"RUE DE SAINTONGE"</f>
        <v>RUE DE SAINTONGE</v>
      </c>
      <c r="O2375" s="2" t="s">
        <v>11046</v>
      </c>
      <c r="P2375" s="9" t="str">
        <f>VLOOKUP($O2375,'Liste des Villes'!$B$2:$B$1128,1,FALSE)</f>
        <v>Sainte-Agathe-des-Monts</v>
      </c>
      <c r="Q2375" s="9" t="str">
        <f>IFERROR($P2375,PROPER(VLOOKUP($O2375,'Villes en erreur'!$A$2:$B$72,2,FALSE)))</f>
        <v>Sainte-Agathe-des-Monts</v>
      </c>
      <c r="R2375" s="9" t="s">
        <v>11047</v>
      </c>
      <c r="S2375" s="9" t="str">
        <f>IF(ISBLANK($R2375),"",VLOOKUP($R2375,'Liste des Villes'!$B$2:$H$1128,4,FALSE))</f>
        <v>Laurentides</v>
      </c>
      <c r="T2375" s="2" t="s">
        <v>11056</v>
      </c>
      <c r="U2375" s="2" t="s">
        <v>39</v>
      </c>
      <c r="V2375" s="2" t="s">
        <v>40</v>
      </c>
      <c r="W2375" s="2" t="s">
        <v>11057</v>
      </c>
      <c r="X2375" s="2"/>
      <c r="Y2375" s="2"/>
      <c r="Z2375" s="2"/>
      <c r="AA2375" s="2" t="s">
        <v>72</v>
      </c>
      <c r="AB2375" s="2" t="s">
        <v>545</v>
      </c>
      <c r="AC2375" s="4" t="s">
        <v>44</v>
      </c>
    </row>
    <row r="2376" spans="1:29" x14ac:dyDescent="0.25">
      <c r="A2376" s="1">
        <v>2048</v>
      </c>
      <c r="B2376" s="17" t="s">
        <v>11058</v>
      </c>
      <c r="C2376" s="2" t="s">
        <v>11059</v>
      </c>
      <c r="D2376" s="15" t="s">
        <v>9307</v>
      </c>
      <c r="E2376" s="9" t="s">
        <v>1283</v>
      </c>
      <c r="F2376" s="9" t="s">
        <v>4050</v>
      </c>
      <c r="G2376" s="9" t="s">
        <v>1330</v>
      </c>
      <c r="H2376" s="2" t="s">
        <v>60</v>
      </c>
      <c r="I2376" s="3">
        <v>36691</v>
      </c>
      <c r="J2376" s="9" t="str">
        <f t="shared" ca="1" si="39"/>
        <v>23 ans</v>
      </c>
      <c r="K2376" s="2" t="s">
        <v>68</v>
      </c>
      <c r="L2376" s="2" t="str">
        <f>"586"</f>
        <v>586</v>
      </c>
      <c r="M2376" s="2"/>
      <c r="N2376" s="2" t="str">
        <f>"RUE DENIS"</f>
        <v>RUE DENIS</v>
      </c>
      <c r="O2376" s="2" t="s">
        <v>11046</v>
      </c>
      <c r="P2376" s="9" t="str">
        <f>VLOOKUP($O2376,'Liste des Villes'!$B$2:$B$1128,1,FALSE)</f>
        <v>Sainte-Agathe-des-Monts</v>
      </c>
      <c r="Q2376" s="9" t="str">
        <f>IFERROR($P2376,PROPER(VLOOKUP($O2376,'Villes en erreur'!$A$2:$B$72,2,FALSE)))</f>
        <v>Sainte-Agathe-des-Monts</v>
      </c>
      <c r="R2376" s="9" t="s">
        <v>11047</v>
      </c>
      <c r="S2376" s="9" t="str">
        <f>IF(ISBLANK($R2376),"",VLOOKUP($R2376,'Liste des Villes'!$B$2:$H$1128,4,FALSE))</f>
        <v>Laurentides</v>
      </c>
      <c r="T2376" s="2" t="s">
        <v>11048</v>
      </c>
      <c r="U2376" s="2" t="s">
        <v>39</v>
      </c>
      <c r="V2376" s="2" t="s">
        <v>40</v>
      </c>
      <c r="W2376" s="2" t="s">
        <v>11060</v>
      </c>
      <c r="X2376" s="2"/>
      <c r="Y2376" s="2"/>
      <c r="Z2376" s="2"/>
      <c r="AA2376" s="2" t="s">
        <v>72</v>
      </c>
      <c r="AB2376" s="2" t="s">
        <v>545</v>
      </c>
      <c r="AC2376" s="4" t="s">
        <v>44</v>
      </c>
    </row>
    <row r="2377" spans="1:29" x14ac:dyDescent="0.25">
      <c r="A2377" s="1">
        <v>708</v>
      </c>
      <c r="B2377" s="17" t="s">
        <v>11061</v>
      </c>
      <c r="C2377" s="2" t="s">
        <v>954</v>
      </c>
      <c r="D2377" s="15" t="s">
        <v>955</v>
      </c>
      <c r="E2377" s="9" t="s">
        <v>956</v>
      </c>
      <c r="F2377" s="9" t="s">
        <v>11062</v>
      </c>
      <c r="G2377" s="9" t="s">
        <v>48</v>
      </c>
      <c r="H2377" s="2" t="s">
        <v>35</v>
      </c>
      <c r="I2377" s="3">
        <v>36687</v>
      </c>
      <c r="J2377" s="9" t="str">
        <f t="shared" ca="1" si="39"/>
        <v>23 ans</v>
      </c>
      <c r="K2377" s="2" t="s">
        <v>68</v>
      </c>
      <c r="L2377" s="2" t="str">
        <f>"575"</f>
        <v>575</v>
      </c>
      <c r="M2377" s="2"/>
      <c r="N2377" s="2" t="str">
        <f>"RUE DEGUISE"</f>
        <v>RUE DEGUISE</v>
      </c>
      <c r="O2377" s="2" t="s">
        <v>11046</v>
      </c>
      <c r="P2377" s="9" t="str">
        <f>VLOOKUP($O2377,'Liste des Villes'!$B$2:$B$1128,1,FALSE)</f>
        <v>Sainte-Agathe-des-Monts</v>
      </c>
      <c r="Q2377" s="9" t="str">
        <f>IFERROR($P2377,PROPER(VLOOKUP($O2377,'Villes en erreur'!$A$2:$B$72,2,FALSE)))</f>
        <v>Sainte-Agathe-des-Monts</v>
      </c>
      <c r="R2377" s="9" t="s">
        <v>11047</v>
      </c>
      <c r="S2377" s="9" t="str">
        <f>IF(ISBLANK($R2377),"",VLOOKUP($R2377,'Liste des Villes'!$B$2:$H$1128,4,FALSE))</f>
        <v>Laurentides</v>
      </c>
      <c r="T2377" s="2" t="s">
        <v>11063</v>
      </c>
      <c r="U2377" s="2" t="s">
        <v>39</v>
      </c>
      <c r="V2377" s="2" t="s">
        <v>40</v>
      </c>
      <c r="W2377" s="2" t="s">
        <v>11064</v>
      </c>
      <c r="X2377" s="2"/>
      <c r="Y2377" s="2"/>
      <c r="Z2377" s="2"/>
      <c r="AA2377" s="2" t="s">
        <v>72</v>
      </c>
      <c r="AB2377" s="2" t="s">
        <v>545</v>
      </c>
      <c r="AC2377" s="4" t="s">
        <v>44</v>
      </c>
    </row>
    <row r="2378" spans="1:29" x14ac:dyDescent="0.25">
      <c r="A2378" s="1">
        <v>825</v>
      </c>
      <c r="B2378" s="17" t="s">
        <v>11065</v>
      </c>
      <c r="C2378" s="2" t="s">
        <v>11066</v>
      </c>
      <c r="D2378" s="15" t="s">
        <v>1356</v>
      </c>
      <c r="E2378" s="9" t="s">
        <v>2468</v>
      </c>
      <c r="F2378" s="9" t="s">
        <v>4136</v>
      </c>
      <c r="G2378" s="9" t="s">
        <v>48</v>
      </c>
      <c r="H2378" s="2" t="s">
        <v>35</v>
      </c>
      <c r="I2378" s="3">
        <v>36683</v>
      </c>
      <c r="J2378" s="9" t="str">
        <f t="shared" ca="1" si="39"/>
        <v>23 ans</v>
      </c>
      <c r="K2378" s="2" t="s">
        <v>68</v>
      </c>
      <c r="L2378" s="2" t="str">
        <f>"570"</f>
        <v>570</v>
      </c>
      <c r="M2378" s="2"/>
      <c r="N2378" s="2" t="str">
        <f>"RUE DE VAL-DES-CHÊNES"</f>
        <v>RUE DE VAL-DES-CHÊNES</v>
      </c>
      <c r="O2378" s="2" t="s">
        <v>11046</v>
      </c>
      <c r="P2378" s="9" t="str">
        <f>VLOOKUP($O2378,'Liste des Villes'!$B$2:$B$1128,1,FALSE)</f>
        <v>Sainte-Agathe-des-Monts</v>
      </c>
      <c r="Q2378" s="9" t="str">
        <f>IFERROR($P2378,PROPER(VLOOKUP($O2378,'Villes en erreur'!$A$2:$B$72,2,FALSE)))</f>
        <v>Sainte-Agathe-des-Monts</v>
      </c>
      <c r="R2378" s="9" t="s">
        <v>11047</v>
      </c>
      <c r="S2378" s="9" t="str">
        <f>IF(ISBLANK($R2378),"",VLOOKUP($R2378,'Liste des Villes'!$B$2:$H$1128,4,FALSE))</f>
        <v>Laurentides</v>
      </c>
      <c r="T2378" s="2" t="s">
        <v>11067</v>
      </c>
      <c r="U2378" s="2" t="s">
        <v>39</v>
      </c>
      <c r="V2378" s="2" t="s">
        <v>40</v>
      </c>
      <c r="W2378" s="2" t="s">
        <v>11068</v>
      </c>
      <c r="X2378" s="2"/>
      <c r="Y2378" s="2"/>
      <c r="Z2378" s="2"/>
      <c r="AA2378" s="2" t="s">
        <v>72</v>
      </c>
      <c r="AB2378" s="2" t="s">
        <v>545</v>
      </c>
      <c r="AC2378" s="4" t="s">
        <v>44</v>
      </c>
    </row>
    <row r="2379" spans="1:29" x14ac:dyDescent="0.25">
      <c r="A2379" s="1">
        <v>1024</v>
      </c>
      <c r="B2379" s="17" t="s">
        <v>11069</v>
      </c>
      <c r="C2379" s="2" t="s">
        <v>11070</v>
      </c>
      <c r="D2379" s="15" t="s">
        <v>3575</v>
      </c>
      <c r="E2379" s="9" t="s">
        <v>11071</v>
      </c>
      <c r="F2379" s="9" t="s">
        <v>3574</v>
      </c>
      <c r="G2379" s="9" t="s">
        <v>541</v>
      </c>
      <c r="H2379" s="2" t="s">
        <v>35</v>
      </c>
      <c r="I2379" s="3">
        <v>36696</v>
      </c>
      <c r="J2379" s="9" t="str">
        <f t="shared" ca="1" si="39"/>
        <v>23 ans</v>
      </c>
      <c r="K2379" s="2" t="s">
        <v>68</v>
      </c>
      <c r="L2379" s="2" t="str">
        <f>"591"</f>
        <v>591</v>
      </c>
      <c r="M2379" s="2"/>
      <c r="N2379" s="2" t="str">
        <f>"RUE DES ALYSSUMS"</f>
        <v>RUE DES ALYSSUMS</v>
      </c>
      <c r="O2379" s="2" t="s">
        <v>11046</v>
      </c>
      <c r="P2379" s="9" t="str">
        <f>VLOOKUP($O2379,'Liste des Villes'!$B$2:$B$1128,1,FALSE)</f>
        <v>Sainte-Agathe-des-Monts</v>
      </c>
      <c r="Q2379" s="9" t="str">
        <f>IFERROR($P2379,PROPER(VLOOKUP($O2379,'Villes en erreur'!$A$2:$B$72,2,FALSE)))</f>
        <v>Sainte-Agathe-des-Monts</v>
      </c>
      <c r="R2379" s="9" t="s">
        <v>11047</v>
      </c>
      <c r="S2379" s="9" t="str">
        <f>IF(ISBLANK($R2379),"",VLOOKUP($R2379,'Liste des Villes'!$B$2:$H$1128,4,FALSE))</f>
        <v>Laurentides</v>
      </c>
      <c r="T2379" s="2" t="s">
        <v>11072</v>
      </c>
      <c r="U2379" s="2" t="s">
        <v>39</v>
      </c>
      <c r="V2379" s="2" t="s">
        <v>40</v>
      </c>
      <c r="W2379" s="2" t="s">
        <v>11073</v>
      </c>
      <c r="X2379" s="2"/>
      <c r="Y2379" s="2"/>
      <c r="Z2379" s="2"/>
      <c r="AA2379" s="2" t="s">
        <v>72</v>
      </c>
      <c r="AB2379" s="2" t="s">
        <v>545</v>
      </c>
      <c r="AC2379" s="4" t="s">
        <v>44</v>
      </c>
    </row>
    <row r="2380" spans="1:29" x14ac:dyDescent="0.25">
      <c r="A2380" s="1">
        <v>841</v>
      </c>
      <c r="B2380" s="17" t="s">
        <v>11074</v>
      </c>
      <c r="C2380" s="2" t="s">
        <v>11075</v>
      </c>
      <c r="D2380" s="15" t="s">
        <v>936</v>
      </c>
      <c r="E2380" s="9" t="s">
        <v>452</v>
      </c>
      <c r="F2380" s="9" t="s">
        <v>934</v>
      </c>
      <c r="G2380" s="9" t="s">
        <v>48</v>
      </c>
      <c r="H2380" s="2" t="s">
        <v>35</v>
      </c>
      <c r="I2380" s="3">
        <v>36680</v>
      </c>
      <c r="J2380" s="9" t="str">
        <f t="shared" ca="1" si="39"/>
        <v>23 ans</v>
      </c>
      <c r="K2380" s="2" t="s">
        <v>68</v>
      </c>
      <c r="L2380" s="2" t="str">
        <f>"567"</f>
        <v>567</v>
      </c>
      <c r="M2380" s="2"/>
      <c r="N2380" s="2" t="str">
        <f>"RUE DE TROYES"</f>
        <v>RUE DE TROYES</v>
      </c>
      <c r="O2380" s="2" t="s">
        <v>11046</v>
      </c>
      <c r="P2380" s="9" t="str">
        <f>VLOOKUP($O2380,'Liste des Villes'!$B$2:$B$1128,1,FALSE)</f>
        <v>Sainte-Agathe-des-Monts</v>
      </c>
      <c r="Q2380" s="9" t="str">
        <f>IFERROR($P2380,PROPER(VLOOKUP($O2380,'Villes en erreur'!$A$2:$B$72,2,FALSE)))</f>
        <v>Sainte-Agathe-des-Monts</v>
      </c>
      <c r="R2380" s="9" t="s">
        <v>11047</v>
      </c>
      <c r="S2380" s="9" t="str">
        <f>IF(ISBLANK($R2380),"",VLOOKUP($R2380,'Liste des Villes'!$B$2:$H$1128,4,FALSE))</f>
        <v>Laurentides</v>
      </c>
      <c r="T2380" s="2" t="s">
        <v>11076</v>
      </c>
      <c r="U2380" s="2" t="s">
        <v>39</v>
      </c>
      <c r="V2380" s="2" t="s">
        <v>40</v>
      </c>
      <c r="W2380" s="2" t="s">
        <v>11077</v>
      </c>
      <c r="X2380" s="2"/>
      <c r="Y2380" s="2"/>
      <c r="Z2380" s="2"/>
      <c r="AA2380" s="2" t="s">
        <v>72</v>
      </c>
      <c r="AB2380" s="2" t="s">
        <v>545</v>
      </c>
      <c r="AC2380" s="4" t="s">
        <v>44</v>
      </c>
    </row>
    <row r="2381" spans="1:29" x14ac:dyDescent="0.25">
      <c r="A2381" s="1">
        <v>3978</v>
      </c>
      <c r="B2381" s="17" t="s">
        <v>11078</v>
      </c>
      <c r="C2381" s="2" t="s">
        <v>11079</v>
      </c>
      <c r="D2381" s="15" t="s">
        <v>11080</v>
      </c>
      <c r="E2381" s="9" t="s">
        <v>137</v>
      </c>
      <c r="F2381" s="9" t="s">
        <v>11081</v>
      </c>
      <c r="G2381" s="9" t="s">
        <v>685</v>
      </c>
      <c r="H2381" s="2" t="s">
        <v>60</v>
      </c>
      <c r="I2381" s="3">
        <v>36674</v>
      </c>
      <c r="J2381" s="9" t="str">
        <f t="shared" ca="1" si="39"/>
        <v>23 ans</v>
      </c>
      <c r="K2381" s="2" t="s">
        <v>68</v>
      </c>
      <c r="L2381" s="2" t="str">
        <f>"563"</f>
        <v>563</v>
      </c>
      <c r="M2381" s="2"/>
      <c r="N2381" s="2" t="str">
        <f>"RUE DE SANNOIS"</f>
        <v>RUE DE SANNOIS</v>
      </c>
      <c r="O2381" s="2" t="s">
        <v>11046</v>
      </c>
      <c r="P2381" s="9" t="str">
        <f>VLOOKUP($O2381,'Liste des Villes'!$B$2:$B$1128,1,FALSE)</f>
        <v>Sainte-Agathe-des-Monts</v>
      </c>
      <c r="Q2381" s="9" t="str">
        <f>IFERROR($P2381,PROPER(VLOOKUP($O2381,'Villes en erreur'!$A$2:$B$72,2,FALSE)))</f>
        <v>Sainte-Agathe-des-Monts</v>
      </c>
      <c r="R2381" s="9" t="s">
        <v>11047</v>
      </c>
      <c r="S2381" s="9" t="str">
        <f>IF(ISBLANK($R2381),"",VLOOKUP($R2381,'Liste des Villes'!$B$2:$H$1128,4,FALSE))</f>
        <v>Laurentides</v>
      </c>
      <c r="T2381" s="2" t="s">
        <v>11082</v>
      </c>
      <c r="U2381" s="2" t="s">
        <v>39</v>
      </c>
      <c r="V2381" s="2" t="s">
        <v>40</v>
      </c>
      <c r="W2381" s="2" t="s">
        <v>11083</v>
      </c>
      <c r="X2381" s="2"/>
      <c r="Y2381" s="2"/>
      <c r="Z2381" s="2"/>
      <c r="AA2381" s="2" t="s">
        <v>72</v>
      </c>
      <c r="AB2381" s="2" t="s">
        <v>545</v>
      </c>
      <c r="AC2381" s="4" t="s">
        <v>44</v>
      </c>
    </row>
    <row r="2382" spans="1:29" x14ac:dyDescent="0.25">
      <c r="A2382" s="1">
        <v>3170</v>
      </c>
      <c r="B2382" s="17" t="s">
        <v>11084</v>
      </c>
      <c r="C2382" s="2" t="s">
        <v>11085</v>
      </c>
      <c r="D2382" s="15" t="s">
        <v>11086</v>
      </c>
      <c r="E2382" s="9" t="s">
        <v>1330</v>
      </c>
      <c r="F2382" s="9" t="s">
        <v>4620</v>
      </c>
      <c r="G2382" s="9" t="s">
        <v>685</v>
      </c>
      <c r="H2382" s="2" t="s">
        <v>60</v>
      </c>
      <c r="I2382" s="3">
        <v>36674</v>
      </c>
      <c r="J2382" s="9" t="str">
        <f t="shared" ca="1" si="39"/>
        <v>23 ans</v>
      </c>
      <c r="K2382" s="2" t="s">
        <v>68</v>
      </c>
      <c r="L2382" s="2" t="str">
        <f>"564"</f>
        <v>564</v>
      </c>
      <c r="M2382" s="2"/>
      <c r="N2382" s="2" t="str">
        <f>"RUE DE SATURNE"</f>
        <v>RUE DE SATURNE</v>
      </c>
      <c r="O2382" s="2" t="s">
        <v>11046</v>
      </c>
      <c r="P2382" s="9" t="str">
        <f>VLOOKUP($O2382,'Liste des Villes'!$B$2:$B$1128,1,FALSE)</f>
        <v>Sainte-Agathe-des-Monts</v>
      </c>
      <c r="Q2382" s="9" t="str">
        <f>IFERROR($P2382,PROPER(VLOOKUP($O2382,'Villes en erreur'!$A$2:$B$72,2,FALSE)))</f>
        <v>Sainte-Agathe-des-Monts</v>
      </c>
      <c r="R2382" s="9" t="s">
        <v>11047</v>
      </c>
      <c r="S2382" s="9" t="str">
        <f>IF(ISBLANK($R2382),"",VLOOKUP($R2382,'Liste des Villes'!$B$2:$H$1128,4,FALSE))</f>
        <v>Laurentides</v>
      </c>
      <c r="T2382" s="2" t="s">
        <v>11087</v>
      </c>
      <c r="U2382" s="2" t="s">
        <v>39</v>
      </c>
      <c r="V2382" s="2" t="s">
        <v>40</v>
      </c>
      <c r="W2382" s="2" t="s">
        <v>11088</v>
      </c>
      <c r="X2382" s="2"/>
      <c r="Y2382" s="2"/>
      <c r="Z2382" s="2"/>
      <c r="AA2382" s="2" t="s">
        <v>72</v>
      </c>
      <c r="AB2382" s="2" t="s">
        <v>545</v>
      </c>
      <c r="AC2382" s="4" t="s">
        <v>44</v>
      </c>
    </row>
    <row r="2383" spans="1:29" x14ac:dyDescent="0.25">
      <c r="A2383" s="1">
        <v>3372</v>
      </c>
      <c r="B2383" s="17" t="s">
        <v>11089</v>
      </c>
      <c r="C2383" s="2" t="s">
        <v>4157</v>
      </c>
      <c r="D2383" s="15" t="s">
        <v>788</v>
      </c>
      <c r="E2383" s="9" t="s">
        <v>4158</v>
      </c>
      <c r="F2383" s="9" t="s">
        <v>1466</v>
      </c>
      <c r="G2383" s="9" t="s">
        <v>48</v>
      </c>
      <c r="H2383" s="2" t="s">
        <v>35</v>
      </c>
      <c r="I2383" s="3">
        <v>36686</v>
      </c>
      <c r="J2383" s="9" t="str">
        <f t="shared" ca="1" si="39"/>
        <v>23 ans</v>
      </c>
      <c r="K2383" s="2" t="s">
        <v>68</v>
      </c>
      <c r="L2383" s="2" t="str">
        <f>"573"</f>
        <v>573</v>
      </c>
      <c r="M2383" s="2"/>
      <c r="N2383" s="2" t="str">
        <f>"RUE DEBIEN"</f>
        <v>RUE DEBIEN</v>
      </c>
      <c r="O2383" s="2" t="s">
        <v>11046</v>
      </c>
      <c r="P2383" s="9" t="str">
        <f>VLOOKUP($O2383,'Liste des Villes'!$B$2:$B$1128,1,FALSE)</f>
        <v>Sainte-Agathe-des-Monts</v>
      </c>
      <c r="Q2383" s="9" t="str">
        <f>IFERROR($P2383,PROPER(VLOOKUP($O2383,'Villes en erreur'!$A$2:$B$72,2,FALSE)))</f>
        <v>Sainte-Agathe-des-Monts</v>
      </c>
      <c r="R2383" s="9" t="s">
        <v>11047</v>
      </c>
      <c r="S2383" s="9" t="str">
        <f>IF(ISBLANK($R2383),"",VLOOKUP($R2383,'Liste des Villes'!$B$2:$H$1128,4,FALSE))</f>
        <v>Laurentides</v>
      </c>
      <c r="T2383" s="2" t="s">
        <v>11090</v>
      </c>
      <c r="U2383" s="2" t="s">
        <v>39</v>
      </c>
      <c r="V2383" s="2" t="s">
        <v>40</v>
      </c>
      <c r="W2383" s="2" t="s">
        <v>11091</v>
      </c>
      <c r="X2383" s="2"/>
      <c r="Y2383" s="2"/>
      <c r="Z2383" s="2"/>
      <c r="AA2383" s="2" t="s">
        <v>72</v>
      </c>
      <c r="AB2383" s="2" t="s">
        <v>545</v>
      </c>
      <c r="AC2383" s="4" t="s">
        <v>44</v>
      </c>
    </row>
    <row r="2384" spans="1:29" x14ac:dyDescent="0.25">
      <c r="A2384" s="1">
        <v>1115</v>
      </c>
      <c r="B2384" s="17" t="s">
        <v>11092</v>
      </c>
      <c r="C2384" s="2" t="s">
        <v>11093</v>
      </c>
      <c r="D2384" s="15" t="s">
        <v>9061</v>
      </c>
      <c r="E2384" s="9" t="s">
        <v>1372</v>
      </c>
      <c r="F2384" s="9" t="s">
        <v>9060</v>
      </c>
      <c r="G2384" s="9" t="s">
        <v>48</v>
      </c>
      <c r="H2384" s="2" t="s">
        <v>35</v>
      </c>
      <c r="I2384" s="3">
        <v>36683</v>
      </c>
      <c r="J2384" s="9" t="str">
        <f t="shared" ca="1" si="39"/>
        <v>23 ans</v>
      </c>
      <c r="K2384" s="2" t="s">
        <v>68</v>
      </c>
      <c r="L2384" s="2" t="str">
        <f>"570"</f>
        <v>570</v>
      </c>
      <c r="M2384" s="2"/>
      <c r="N2384" s="2" t="str">
        <f>"RUE DE VAL-DES-CHÊNES"</f>
        <v>RUE DE VAL-DES-CHÊNES</v>
      </c>
      <c r="O2384" s="2" t="s">
        <v>11046</v>
      </c>
      <c r="P2384" s="9" t="str">
        <f>VLOOKUP($O2384,'Liste des Villes'!$B$2:$B$1128,1,FALSE)</f>
        <v>Sainte-Agathe-des-Monts</v>
      </c>
      <c r="Q2384" s="9" t="str">
        <f>IFERROR($P2384,PROPER(VLOOKUP($O2384,'Villes en erreur'!$A$2:$B$72,2,FALSE)))</f>
        <v>Sainte-Agathe-des-Monts</v>
      </c>
      <c r="R2384" s="9" t="s">
        <v>11047</v>
      </c>
      <c r="S2384" s="9" t="str">
        <f>IF(ISBLANK($R2384),"",VLOOKUP($R2384,'Liste des Villes'!$B$2:$H$1128,4,FALSE))</f>
        <v>Laurentides</v>
      </c>
      <c r="T2384" s="2" t="s">
        <v>11067</v>
      </c>
      <c r="U2384" s="2" t="s">
        <v>39</v>
      </c>
      <c r="V2384" s="2" t="s">
        <v>40</v>
      </c>
      <c r="W2384" s="2" t="s">
        <v>11094</v>
      </c>
      <c r="X2384" s="2"/>
      <c r="Y2384" s="2"/>
      <c r="Z2384" s="2"/>
      <c r="AA2384" s="2" t="s">
        <v>72</v>
      </c>
      <c r="AB2384" s="2" t="s">
        <v>545</v>
      </c>
      <c r="AC2384" s="4" t="s">
        <v>44</v>
      </c>
    </row>
    <row r="2385" spans="1:29" x14ac:dyDescent="0.25">
      <c r="A2385" s="1">
        <v>3854</v>
      </c>
      <c r="B2385" s="17" t="s">
        <v>11095</v>
      </c>
      <c r="C2385" s="2" t="s">
        <v>11096</v>
      </c>
      <c r="D2385" s="15" t="s">
        <v>4123</v>
      </c>
      <c r="E2385" s="9" t="s">
        <v>8162</v>
      </c>
      <c r="F2385" s="9" t="s">
        <v>10771</v>
      </c>
      <c r="G2385" s="9" t="s">
        <v>1330</v>
      </c>
      <c r="H2385" s="2" t="s">
        <v>60</v>
      </c>
      <c r="I2385" s="3">
        <v>36690</v>
      </c>
      <c r="J2385" s="9" t="str">
        <f t="shared" ca="1" si="39"/>
        <v>23 ans</v>
      </c>
      <c r="K2385" s="2" t="s">
        <v>68</v>
      </c>
      <c r="L2385" s="2" t="str">
        <f>"580"</f>
        <v>580</v>
      </c>
      <c r="M2385" s="2"/>
      <c r="N2385" s="2" t="str">
        <f>"RUE DELORME"</f>
        <v>RUE DELORME</v>
      </c>
      <c r="O2385" s="2" t="s">
        <v>11046</v>
      </c>
      <c r="P2385" s="9" t="str">
        <f>VLOOKUP($O2385,'Liste des Villes'!$B$2:$B$1128,1,FALSE)</f>
        <v>Sainte-Agathe-des-Monts</v>
      </c>
      <c r="Q2385" s="9" t="str">
        <f>IFERROR($P2385,PROPER(VLOOKUP($O2385,'Villes en erreur'!$A$2:$B$72,2,FALSE)))</f>
        <v>Sainte-Agathe-des-Monts</v>
      </c>
      <c r="R2385" s="9" t="s">
        <v>11047</v>
      </c>
      <c r="S2385" s="9" t="str">
        <f>IF(ISBLANK($R2385),"",VLOOKUP($R2385,'Liste des Villes'!$B$2:$H$1128,4,FALSE))</f>
        <v>Laurentides</v>
      </c>
      <c r="T2385" s="2" t="s">
        <v>11097</v>
      </c>
      <c r="U2385" s="2" t="s">
        <v>39</v>
      </c>
      <c r="V2385" s="2" t="s">
        <v>40</v>
      </c>
      <c r="W2385" s="2" t="s">
        <v>11098</v>
      </c>
      <c r="X2385" s="2"/>
      <c r="Y2385" s="2"/>
      <c r="Z2385" s="2"/>
      <c r="AA2385" s="2" t="s">
        <v>72</v>
      </c>
      <c r="AB2385" s="2" t="s">
        <v>545</v>
      </c>
      <c r="AC2385" s="4" t="s">
        <v>44</v>
      </c>
    </row>
    <row r="2386" spans="1:29" x14ac:dyDescent="0.25">
      <c r="A2386" s="1">
        <v>675</v>
      </c>
      <c r="B2386" s="17" t="s">
        <v>11099</v>
      </c>
      <c r="C2386" s="2" t="s">
        <v>11100</v>
      </c>
      <c r="D2386" s="15" t="s">
        <v>3773</v>
      </c>
      <c r="E2386" s="9" t="s">
        <v>11101</v>
      </c>
      <c r="F2386" s="9" t="s">
        <v>3772</v>
      </c>
      <c r="G2386" s="9" t="s">
        <v>541</v>
      </c>
      <c r="H2386" s="2" t="s">
        <v>35</v>
      </c>
      <c r="I2386" s="3">
        <v>36694</v>
      </c>
      <c r="J2386" s="9" t="str">
        <f t="shared" ca="1" si="39"/>
        <v>23 ans</v>
      </c>
      <c r="K2386" s="2" t="s">
        <v>68</v>
      </c>
      <c r="L2386" s="2" t="str">
        <f>"590"</f>
        <v>590</v>
      </c>
      <c r="M2386" s="2"/>
      <c r="N2386" s="2" t="str">
        <f>"RUE DES ALIZÉS"</f>
        <v>RUE DES ALIZÉS</v>
      </c>
      <c r="O2386" s="2" t="s">
        <v>11046</v>
      </c>
      <c r="P2386" s="9" t="str">
        <f>VLOOKUP($O2386,'Liste des Villes'!$B$2:$B$1128,1,FALSE)</f>
        <v>Sainte-Agathe-des-Monts</v>
      </c>
      <c r="Q2386" s="9" t="str">
        <f>IFERROR($P2386,PROPER(VLOOKUP($O2386,'Villes en erreur'!$A$2:$B$72,2,FALSE)))</f>
        <v>Sainte-Agathe-des-Monts</v>
      </c>
      <c r="R2386" s="9" t="s">
        <v>11047</v>
      </c>
      <c r="S2386" s="9" t="str">
        <f>IF(ISBLANK($R2386),"",VLOOKUP($R2386,'Liste des Villes'!$B$2:$H$1128,4,FALSE))</f>
        <v>Laurentides</v>
      </c>
      <c r="T2386" s="2" t="s">
        <v>11102</v>
      </c>
      <c r="U2386" s="2" t="s">
        <v>39</v>
      </c>
      <c r="V2386" s="2" t="s">
        <v>40</v>
      </c>
      <c r="W2386" s="2" t="s">
        <v>11103</v>
      </c>
      <c r="X2386" s="2"/>
      <c r="Y2386" s="2"/>
      <c r="Z2386" s="2"/>
      <c r="AA2386" s="2" t="s">
        <v>72</v>
      </c>
      <c r="AB2386" s="2" t="s">
        <v>545</v>
      </c>
      <c r="AC2386" s="4" t="s">
        <v>44</v>
      </c>
    </row>
    <row r="2387" spans="1:29" x14ac:dyDescent="0.25">
      <c r="A2387" s="1">
        <v>4284</v>
      </c>
      <c r="B2387" s="17" t="s">
        <v>11104</v>
      </c>
      <c r="C2387" s="2" t="s">
        <v>5802</v>
      </c>
      <c r="D2387" s="15" t="s">
        <v>1460</v>
      </c>
      <c r="E2387" s="9" t="s">
        <v>2404</v>
      </c>
      <c r="F2387" s="9" t="s">
        <v>11105</v>
      </c>
      <c r="G2387" s="9" t="s">
        <v>685</v>
      </c>
      <c r="H2387" s="2" t="s">
        <v>60</v>
      </c>
      <c r="I2387" s="3">
        <v>36675</v>
      </c>
      <c r="J2387" s="9" t="str">
        <f t="shared" ca="1" si="39"/>
        <v>23 ans</v>
      </c>
      <c r="K2387" s="2" t="s">
        <v>68</v>
      </c>
      <c r="L2387" s="2" t="str">
        <f>"564"</f>
        <v>564</v>
      </c>
      <c r="M2387" s="2"/>
      <c r="N2387" s="2" t="str">
        <f>"RUE DE SERRES"</f>
        <v>RUE DE SERRES</v>
      </c>
      <c r="O2387" s="2" t="s">
        <v>11046</v>
      </c>
      <c r="P2387" s="9" t="str">
        <f>VLOOKUP($O2387,'Liste des Villes'!$B$2:$B$1128,1,FALSE)</f>
        <v>Sainte-Agathe-des-Monts</v>
      </c>
      <c r="Q2387" s="9" t="str">
        <f>IFERROR($P2387,PROPER(VLOOKUP($O2387,'Villes en erreur'!$A$2:$B$72,2,FALSE)))</f>
        <v>Sainte-Agathe-des-Monts</v>
      </c>
      <c r="R2387" s="9" t="s">
        <v>11047</v>
      </c>
      <c r="S2387" s="9" t="str">
        <f>IF(ISBLANK($R2387),"",VLOOKUP($R2387,'Liste des Villes'!$B$2:$H$1128,4,FALSE))</f>
        <v>Laurentides</v>
      </c>
      <c r="T2387" s="2" t="s">
        <v>11106</v>
      </c>
      <c r="U2387" s="2" t="s">
        <v>39</v>
      </c>
      <c r="V2387" s="2" t="s">
        <v>40</v>
      </c>
      <c r="W2387" s="2" t="s">
        <v>11107</v>
      </c>
      <c r="X2387" s="2"/>
      <c r="Y2387" s="2"/>
      <c r="Z2387" s="2"/>
      <c r="AA2387" s="2" t="s">
        <v>72</v>
      </c>
      <c r="AB2387" s="2" t="s">
        <v>545</v>
      </c>
      <c r="AC2387" s="4" t="s">
        <v>44</v>
      </c>
    </row>
    <row r="2388" spans="1:29" x14ac:dyDescent="0.25">
      <c r="A2388" s="1">
        <v>4514</v>
      </c>
      <c r="B2388" s="17" t="s">
        <v>11108</v>
      </c>
      <c r="C2388" s="2" t="s">
        <v>9541</v>
      </c>
      <c r="D2388" s="15" t="s">
        <v>2910</v>
      </c>
      <c r="E2388" s="9" t="s">
        <v>929</v>
      </c>
      <c r="F2388" s="9" t="s">
        <v>5533</v>
      </c>
      <c r="G2388" s="9" t="s">
        <v>4949</v>
      </c>
      <c r="H2388" s="2" t="s">
        <v>60</v>
      </c>
      <c r="I2388" s="3">
        <v>36692</v>
      </c>
      <c r="J2388" s="9" t="str">
        <f t="shared" ca="1" si="39"/>
        <v>23 ans</v>
      </c>
      <c r="K2388" s="2" t="s">
        <v>68</v>
      </c>
      <c r="L2388" s="2" t="str">
        <f>"589"</f>
        <v>589</v>
      </c>
      <c r="M2388" s="2"/>
      <c r="N2388" s="2" t="str">
        <f>"RUE D'ENTREMONTS"</f>
        <v>RUE D'ENTREMONTS</v>
      </c>
      <c r="O2388" s="2" t="s">
        <v>11046</v>
      </c>
      <c r="P2388" s="9" t="str">
        <f>VLOOKUP($O2388,'Liste des Villes'!$B$2:$B$1128,1,FALSE)</f>
        <v>Sainte-Agathe-des-Monts</v>
      </c>
      <c r="Q2388" s="9" t="str">
        <f>IFERROR($P2388,PROPER(VLOOKUP($O2388,'Villes en erreur'!$A$2:$B$72,2,FALSE)))</f>
        <v>Sainte-Agathe-des-Monts</v>
      </c>
      <c r="R2388" s="9" t="s">
        <v>11047</v>
      </c>
      <c r="S2388" s="9" t="str">
        <f>IF(ISBLANK($R2388),"",VLOOKUP($R2388,'Liste des Villes'!$B$2:$H$1128,4,FALSE))</f>
        <v>Laurentides</v>
      </c>
      <c r="T2388" s="2" t="s">
        <v>11109</v>
      </c>
      <c r="U2388" s="2" t="s">
        <v>39</v>
      </c>
      <c r="V2388" s="2" t="s">
        <v>40</v>
      </c>
      <c r="W2388" s="2" t="s">
        <v>11110</v>
      </c>
      <c r="X2388" s="2"/>
      <c r="Y2388" s="2"/>
      <c r="Z2388" s="2"/>
      <c r="AA2388" s="2" t="s">
        <v>72</v>
      </c>
      <c r="AB2388" s="2" t="s">
        <v>545</v>
      </c>
      <c r="AC2388" s="4" t="s">
        <v>44</v>
      </c>
    </row>
    <row r="2389" spans="1:29" x14ac:dyDescent="0.25">
      <c r="A2389" s="1">
        <v>3200</v>
      </c>
      <c r="B2389" s="17" t="s">
        <v>11111</v>
      </c>
      <c r="C2389" s="2" t="s">
        <v>11112</v>
      </c>
      <c r="D2389" s="15" t="s">
        <v>11113</v>
      </c>
      <c r="E2389" s="9" t="s">
        <v>2404</v>
      </c>
      <c r="F2389" s="9" t="s">
        <v>11114</v>
      </c>
      <c r="G2389" s="9" t="s">
        <v>1330</v>
      </c>
      <c r="H2389" s="2" t="s">
        <v>60</v>
      </c>
      <c r="I2389" s="3">
        <v>36690</v>
      </c>
      <c r="J2389" s="9" t="str">
        <f t="shared" ca="1" si="39"/>
        <v>23 ans</v>
      </c>
      <c r="K2389" s="2" t="s">
        <v>68</v>
      </c>
      <c r="L2389" s="2" t="str">
        <f>"580"</f>
        <v>580</v>
      </c>
      <c r="M2389" s="2"/>
      <c r="N2389" s="2" t="str">
        <f>"RUE DELPHINE"</f>
        <v>RUE DELPHINE</v>
      </c>
      <c r="O2389" s="2" t="s">
        <v>11046</v>
      </c>
      <c r="P2389" s="9" t="str">
        <f>VLOOKUP($O2389,'Liste des Villes'!$B$2:$B$1128,1,FALSE)</f>
        <v>Sainte-Agathe-des-Monts</v>
      </c>
      <c r="Q2389" s="9" t="str">
        <f>IFERROR($P2389,PROPER(VLOOKUP($O2389,'Villes en erreur'!$A$2:$B$72,2,FALSE)))</f>
        <v>Sainte-Agathe-des-Monts</v>
      </c>
      <c r="R2389" s="9" t="s">
        <v>11047</v>
      </c>
      <c r="S2389" s="9" t="str">
        <f>IF(ISBLANK($R2389),"",VLOOKUP($R2389,'Liste des Villes'!$B$2:$H$1128,4,FALSE))</f>
        <v>Laurentides</v>
      </c>
      <c r="T2389" s="2" t="s">
        <v>11097</v>
      </c>
      <c r="U2389" s="2" t="s">
        <v>39</v>
      </c>
      <c r="V2389" s="2" t="s">
        <v>40</v>
      </c>
      <c r="W2389" s="2" t="s">
        <v>11115</v>
      </c>
      <c r="X2389" s="2"/>
      <c r="Y2389" s="2"/>
      <c r="Z2389" s="2"/>
      <c r="AA2389" s="2" t="s">
        <v>72</v>
      </c>
      <c r="AB2389" s="2" t="s">
        <v>545</v>
      </c>
      <c r="AC2389" s="4" t="s">
        <v>44</v>
      </c>
    </row>
    <row r="2390" spans="1:29" x14ac:dyDescent="0.25">
      <c r="A2390" s="1">
        <v>116</v>
      </c>
      <c r="B2390" s="17" t="s">
        <v>11116</v>
      </c>
      <c r="C2390" s="2" t="s">
        <v>11117</v>
      </c>
      <c r="D2390" s="15" t="s">
        <v>846</v>
      </c>
      <c r="E2390" s="9" t="s">
        <v>9469</v>
      </c>
      <c r="F2390" s="9" t="s">
        <v>845</v>
      </c>
      <c r="G2390" s="9" t="s">
        <v>48</v>
      </c>
      <c r="H2390" s="2" t="s">
        <v>35</v>
      </c>
      <c r="I2390" s="3">
        <v>36678</v>
      </c>
      <c r="J2390" s="9" t="str">
        <f t="shared" ca="1" si="39"/>
        <v>23 ans</v>
      </c>
      <c r="K2390" s="2" t="s">
        <v>68</v>
      </c>
      <c r="L2390" s="2" t="str">
        <f>"567"</f>
        <v>567</v>
      </c>
      <c r="M2390" s="2"/>
      <c r="N2390" s="2" t="str">
        <f>"rue De Trieste"</f>
        <v>rue De Trieste</v>
      </c>
      <c r="O2390" s="2" t="s">
        <v>11046</v>
      </c>
      <c r="P2390" s="9" t="str">
        <f>VLOOKUP($O2390,'Liste des Villes'!$B$2:$B$1128,1,FALSE)</f>
        <v>Sainte-Agathe-des-Monts</v>
      </c>
      <c r="Q2390" s="9" t="str">
        <f>IFERROR($P2390,PROPER(VLOOKUP($O2390,'Villes en erreur'!$A$2:$B$72,2,FALSE)))</f>
        <v>Sainte-Agathe-des-Monts</v>
      </c>
      <c r="R2390" s="9" t="s">
        <v>11047</v>
      </c>
      <c r="S2390" s="9" t="str">
        <f>IF(ISBLANK($R2390),"",VLOOKUP($R2390,'Liste des Villes'!$B$2:$H$1128,4,FALSE))</f>
        <v>Laurentides</v>
      </c>
      <c r="T2390" s="2" t="s">
        <v>11118</v>
      </c>
      <c r="U2390" s="2" t="s">
        <v>39</v>
      </c>
      <c r="V2390" s="2" t="s">
        <v>40</v>
      </c>
      <c r="W2390" s="2" t="s">
        <v>11119</v>
      </c>
      <c r="X2390" s="2"/>
      <c r="Y2390" s="2"/>
      <c r="Z2390" s="2"/>
      <c r="AA2390" s="2" t="s">
        <v>72</v>
      </c>
      <c r="AB2390" s="2" t="s">
        <v>545</v>
      </c>
      <c r="AC2390" s="4" t="s">
        <v>44</v>
      </c>
    </row>
    <row r="2391" spans="1:29" x14ac:dyDescent="0.25">
      <c r="A2391" s="1">
        <v>3374</v>
      </c>
      <c r="B2391" s="17" t="s">
        <v>11120</v>
      </c>
      <c r="C2391" s="2" t="s">
        <v>11121</v>
      </c>
      <c r="D2391" s="15" t="s">
        <v>11122</v>
      </c>
      <c r="E2391" s="9" t="s">
        <v>645</v>
      </c>
      <c r="F2391" s="9" t="s">
        <v>9747</v>
      </c>
      <c r="G2391" s="9" t="s">
        <v>541</v>
      </c>
      <c r="H2391" s="2" t="s">
        <v>35</v>
      </c>
      <c r="I2391" s="3">
        <v>36695</v>
      </c>
      <c r="J2391" s="9" t="str">
        <f t="shared" ca="1" si="39"/>
        <v>23 ans</v>
      </c>
      <c r="K2391" s="2" t="s">
        <v>68</v>
      </c>
      <c r="L2391" s="2" t="str">
        <f>"590"</f>
        <v>590</v>
      </c>
      <c r="M2391" s="2"/>
      <c r="N2391" s="2" t="str">
        <f>"RUE DES ALIZÉS"</f>
        <v>RUE DES ALIZÉS</v>
      </c>
      <c r="O2391" s="2" t="s">
        <v>11046</v>
      </c>
      <c r="P2391" s="9" t="str">
        <f>VLOOKUP($O2391,'Liste des Villes'!$B$2:$B$1128,1,FALSE)</f>
        <v>Sainte-Agathe-des-Monts</v>
      </c>
      <c r="Q2391" s="9" t="str">
        <f>IFERROR($P2391,PROPER(VLOOKUP($O2391,'Villes en erreur'!$A$2:$B$72,2,FALSE)))</f>
        <v>Sainte-Agathe-des-Monts</v>
      </c>
      <c r="R2391" s="9" t="s">
        <v>11047</v>
      </c>
      <c r="S2391" s="9" t="str">
        <f>IF(ISBLANK($R2391),"",VLOOKUP($R2391,'Liste des Villes'!$B$2:$H$1128,4,FALSE))</f>
        <v>Laurentides</v>
      </c>
      <c r="T2391" s="2" t="s">
        <v>11072</v>
      </c>
      <c r="U2391" s="2" t="s">
        <v>39</v>
      </c>
      <c r="V2391" s="2" t="s">
        <v>40</v>
      </c>
      <c r="W2391" s="2" t="s">
        <v>11123</v>
      </c>
      <c r="X2391" s="2"/>
      <c r="Y2391" s="2"/>
      <c r="Z2391" s="2"/>
      <c r="AA2391" s="2" t="s">
        <v>72</v>
      </c>
      <c r="AB2391" s="2" t="s">
        <v>545</v>
      </c>
      <c r="AC2391" s="4" t="s">
        <v>44</v>
      </c>
    </row>
    <row r="2392" spans="1:29" x14ac:dyDescent="0.25">
      <c r="A2392" s="1">
        <v>543</v>
      </c>
      <c r="B2392" s="17" t="s">
        <v>11124</v>
      </c>
      <c r="C2392" s="2" t="s">
        <v>11125</v>
      </c>
      <c r="D2392" s="15" t="s">
        <v>1169</v>
      </c>
      <c r="E2392" s="9" t="s">
        <v>11126</v>
      </c>
      <c r="F2392" s="9" t="s">
        <v>8911</v>
      </c>
      <c r="G2392" s="9" t="s">
        <v>48</v>
      </c>
      <c r="H2392" s="2" t="s">
        <v>35</v>
      </c>
      <c r="I2392" s="3">
        <v>36687</v>
      </c>
      <c r="J2392" s="9" t="str">
        <f t="shared" ca="1" si="39"/>
        <v>23 ans</v>
      </c>
      <c r="K2392" s="2" t="s">
        <v>68</v>
      </c>
      <c r="L2392" s="2" t="str">
        <f>"575"</f>
        <v>575</v>
      </c>
      <c r="M2392" s="2"/>
      <c r="N2392" s="2" t="str">
        <f>"RUE DEBIEN"</f>
        <v>RUE DEBIEN</v>
      </c>
      <c r="O2392" s="2" t="s">
        <v>11046</v>
      </c>
      <c r="P2392" s="9" t="str">
        <f>VLOOKUP($O2392,'Liste des Villes'!$B$2:$B$1128,1,FALSE)</f>
        <v>Sainte-Agathe-des-Monts</v>
      </c>
      <c r="Q2392" s="9" t="str">
        <f>IFERROR($P2392,PROPER(VLOOKUP($O2392,'Villes en erreur'!$A$2:$B$72,2,FALSE)))</f>
        <v>Sainte-Agathe-des-Monts</v>
      </c>
      <c r="R2392" s="9" t="s">
        <v>11047</v>
      </c>
      <c r="S2392" s="9" t="str">
        <f>IF(ISBLANK($R2392),"",VLOOKUP($R2392,'Liste des Villes'!$B$2:$H$1128,4,FALSE))</f>
        <v>Laurentides</v>
      </c>
      <c r="T2392" s="2" t="s">
        <v>11127</v>
      </c>
      <c r="U2392" s="2" t="s">
        <v>39</v>
      </c>
      <c r="V2392" s="2" t="s">
        <v>40</v>
      </c>
      <c r="W2392" s="2" t="s">
        <v>11128</v>
      </c>
      <c r="X2392" s="2"/>
      <c r="Y2392" s="2"/>
      <c r="Z2392" s="2"/>
      <c r="AA2392" s="2" t="s">
        <v>72</v>
      </c>
      <c r="AB2392" s="2" t="s">
        <v>545</v>
      </c>
      <c r="AC2392" s="4" t="s">
        <v>44</v>
      </c>
    </row>
    <row r="2393" spans="1:29" x14ac:dyDescent="0.25">
      <c r="A2393" s="1">
        <v>4274</v>
      </c>
      <c r="B2393" s="17" t="s">
        <v>11129</v>
      </c>
      <c r="C2393" s="2" t="s">
        <v>11130</v>
      </c>
      <c r="D2393" s="15" t="s">
        <v>4761</v>
      </c>
      <c r="E2393" s="9" t="s">
        <v>1162</v>
      </c>
      <c r="F2393" s="9" t="s">
        <v>4759</v>
      </c>
      <c r="G2393" s="9" t="s">
        <v>541</v>
      </c>
      <c r="H2393" s="2" t="s">
        <v>35</v>
      </c>
      <c r="I2393" s="3">
        <v>36695</v>
      </c>
      <c r="J2393" s="9" t="str">
        <f t="shared" ca="1" si="39"/>
        <v>23 ans</v>
      </c>
      <c r="K2393" s="2" t="s">
        <v>68</v>
      </c>
      <c r="L2393" s="2" t="str">
        <f>"590"</f>
        <v>590</v>
      </c>
      <c r="M2393" s="2"/>
      <c r="N2393" s="2" t="str">
        <f>"RUE DES ALOUETTES"</f>
        <v>RUE DES ALOUETTES</v>
      </c>
      <c r="O2393" s="2" t="s">
        <v>11046</v>
      </c>
      <c r="P2393" s="9" t="str">
        <f>VLOOKUP($O2393,'Liste des Villes'!$B$2:$B$1128,1,FALSE)</f>
        <v>Sainte-Agathe-des-Monts</v>
      </c>
      <c r="Q2393" s="9" t="str">
        <f>IFERROR($P2393,PROPER(VLOOKUP($O2393,'Villes en erreur'!$A$2:$B$72,2,FALSE)))</f>
        <v>Sainte-Agathe-des-Monts</v>
      </c>
      <c r="R2393" s="9" t="s">
        <v>11047</v>
      </c>
      <c r="S2393" s="9" t="str">
        <f>IF(ISBLANK($R2393),"",VLOOKUP($R2393,'Liste des Villes'!$B$2:$H$1128,4,FALSE))</f>
        <v>Laurentides</v>
      </c>
      <c r="T2393" s="2" t="s">
        <v>11072</v>
      </c>
      <c r="U2393" s="2" t="s">
        <v>39</v>
      </c>
      <c r="V2393" s="2" t="s">
        <v>40</v>
      </c>
      <c r="W2393" s="2" t="s">
        <v>11131</v>
      </c>
      <c r="X2393" s="2"/>
      <c r="Y2393" s="2"/>
      <c r="Z2393" s="2"/>
      <c r="AA2393" s="2" t="s">
        <v>72</v>
      </c>
      <c r="AB2393" s="2" t="s">
        <v>545</v>
      </c>
      <c r="AC2393" s="4" t="s">
        <v>44</v>
      </c>
    </row>
    <row r="2394" spans="1:29" x14ac:dyDescent="0.25">
      <c r="A2394" s="1">
        <v>925</v>
      </c>
      <c r="B2394" s="17" t="s">
        <v>11132</v>
      </c>
      <c r="C2394" s="2" t="s">
        <v>11133</v>
      </c>
      <c r="D2394" s="15" t="s">
        <v>76</v>
      </c>
      <c r="E2394" s="9" t="s">
        <v>9225</v>
      </c>
      <c r="F2394" s="9" t="s">
        <v>11134</v>
      </c>
      <c r="G2394" s="9" t="s">
        <v>1330</v>
      </c>
      <c r="H2394" s="2" t="s">
        <v>60</v>
      </c>
      <c r="I2394" s="3">
        <v>36691</v>
      </c>
      <c r="J2394" s="9" t="str">
        <f t="shared" ca="1" si="39"/>
        <v>23 ans</v>
      </c>
      <c r="K2394" s="2" t="s">
        <v>68</v>
      </c>
      <c r="L2394" s="2" t="str">
        <f>"581"</f>
        <v>581</v>
      </c>
      <c r="M2394" s="2"/>
      <c r="N2394" s="2" t="str">
        <f>"RUE DELPHINE"</f>
        <v>RUE DELPHINE</v>
      </c>
      <c r="O2394" s="2" t="s">
        <v>11046</v>
      </c>
      <c r="P2394" s="9" t="str">
        <f>VLOOKUP($O2394,'Liste des Villes'!$B$2:$B$1128,1,FALSE)</f>
        <v>Sainte-Agathe-des-Monts</v>
      </c>
      <c r="Q2394" s="9" t="str">
        <f>IFERROR($P2394,PROPER(VLOOKUP($O2394,'Villes en erreur'!$A$2:$B$72,2,FALSE)))</f>
        <v>Sainte-Agathe-des-Monts</v>
      </c>
      <c r="R2394" s="9" t="s">
        <v>11047</v>
      </c>
      <c r="S2394" s="9" t="str">
        <f>IF(ISBLANK($R2394),"",VLOOKUP($R2394,'Liste des Villes'!$B$2:$H$1128,4,FALSE))</f>
        <v>Laurentides</v>
      </c>
      <c r="T2394" s="2" t="s">
        <v>11135</v>
      </c>
      <c r="U2394" s="2" t="s">
        <v>39</v>
      </c>
      <c r="V2394" s="2" t="s">
        <v>40</v>
      </c>
      <c r="W2394" s="2" t="s">
        <v>11136</v>
      </c>
      <c r="X2394" s="2"/>
      <c r="Y2394" s="2"/>
      <c r="Z2394" s="2"/>
      <c r="AA2394" s="2" t="s">
        <v>72</v>
      </c>
      <c r="AB2394" s="2" t="s">
        <v>545</v>
      </c>
      <c r="AC2394" s="4" t="s">
        <v>44</v>
      </c>
    </row>
    <row r="2395" spans="1:29" x14ac:dyDescent="0.25">
      <c r="A2395" s="1">
        <v>1593</v>
      </c>
      <c r="B2395" s="17" t="s">
        <v>11137</v>
      </c>
      <c r="C2395" s="2" t="s">
        <v>11138</v>
      </c>
      <c r="D2395" s="15" t="s">
        <v>11139</v>
      </c>
      <c r="E2395" s="9" t="s">
        <v>9789</v>
      </c>
      <c r="F2395" s="9" t="s">
        <v>3788</v>
      </c>
      <c r="G2395" s="9" t="s">
        <v>48</v>
      </c>
      <c r="H2395" s="2" t="s">
        <v>35</v>
      </c>
      <c r="I2395" s="3">
        <v>36684</v>
      </c>
      <c r="J2395" s="9" t="str">
        <f t="shared" ca="1" si="39"/>
        <v>23 ans</v>
      </c>
      <c r="K2395" s="2" t="s">
        <v>68</v>
      </c>
      <c r="L2395" s="2" t="str">
        <f>"571"</f>
        <v>571</v>
      </c>
      <c r="M2395" s="2"/>
      <c r="N2395" s="2" t="str">
        <f>"RUE DE VALMONT"</f>
        <v>RUE DE VALMONT</v>
      </c>
      <c r="O2395" s="2" t="s">
        <v>11046</v>
      </c>
      <c r="P2395" s="9" t="str">
        <f>VLOOKUP($O2395,'Liste des Villes'!$B$2:$B$1128,1,FALSE)</f>
        <v>Sainte-Agathe-des-Monts</v>
      </c>
      <c r="Q2395" s="9" t="str">
        <f>IFERROR($P2395,PROPER(VLOOKUP($O2395,'Villes en erreur'!$A$2:$B$72,2,FALSE)))</f>
        <v>Sainte-Agathe-des-Monts</v>
      </c>
      <c r="R2395" s="9" t="s">
        <v>11047</v>
      </c>
      <c r="S2395" s="9" t="str">
        <f>IF(ISBLANK($R2395),"",VLOOKUP($R2395,'Liste des Villes'!$B$2:$H$1128,4,FALSE))</f>
        <v>Laurentides</v>
      </c>
      <c r="T2395" s="2" t="s">
        <v>11140</v>
      </c>
      <c r="U2395" s="2" t="s">
        <v>39</v>
      </c>
      <c r="V2395" s="2" t="s">
        <v>40</v>
      </c>
      <c r="W2395" s="2" t="s">
        <v>11141</v>
      </c>
      <c r="X2395" s="2"/>
      <c r="Y2395" s="2"/>
      <c r="Z2395" s="2"/>
      <c r="AA2395" s="2" t="s">
        <v>72</v>
      </c>
      <c r="AB2395" s="2" t="s">
        <v>545</v>
      </c>
      <c r="AC2395" s="4" t="s">
        <v>44</v>
      </c>
    </row>
    <row r="2396" spans="1:29" x14ac:dyDescent="0.25">
      <c r="A2396" s="1">
        <v>2558</v>
      </c>
      <c r="B2396" s="17" t="s">
        <v>11142</v>
      </c>
      <c r="C2396" s="2" t="s">
        <v>6552</v>
      </c>
      <c r="D2396" s="15" t="s">
        <v>1362</v>
      </c>
      <c r="E2396" s="9" t="s">
        <v>678</v>
      </c>
      <c r="F2396" s="9" t="s">
        <v>1360</v>
      </c>
      <c r="G2396" s="9" t="s">
        <v>48</v>
      </c>
      <c r="H2396" s="2" t="s">
        <v>35</v>
      </c>
      <c r="I2396" s="3">
        <v>36677</v>
      </c>
      <c r="J2396" s="9" t="str">
        <f t="shared" ca="1" si="39"/>
        <v>23 ans</v>
      </c>
      <c r="K2396" s="2" t="s">
        <v>68</v>
      </c>
      <c r="L2396" s="2" t="str">
        <f>"566"</f>
        <v>566</v>
      </c>
      <c r="M2396" s="2"/>
      <c r="N2396" s="2" t="str">
        <f>"RUE DE TRACY"</f>
        <v>RUE DE TRACY</v>
      </c>
      <c r="O2396" s="2" t="s">
        <v>11046</v>
      </c>
      <c r="P2396" s="9" t="str">
        <f>VLOOKUP($O2396,'Liste des Villes'!$B$2:$B$1128,1,FALSE)</f>
        <v>Sainte-Agathe-des-Monts</v>
      </c>
      <c r="Q2396" s="9" t="str">
        <f>IFERROR($P2396,PROPER(VLOOKUP($O2396,'Villes en erreur'!$A$2:$B$72,2,FALSE)))</f>
        <v>Sainte-Agathe-des-Monts</v>
      </c>
      <c r="R2396" s="9" t="s">
        <v>11047</v>
      </c>
      <c r="S2396" s="9" t="str">
        <f>IF(ISBLANK($R2396),"",VLOOKUP($R2396,'Liste des Villes'!$B$2:$H$1128,4,FALSE))</f>
        <v>Laurentides</v>
      </c>
      <c r="T2396" s="2" t="s">
        <v>11143</v>
      </c>
      <c r="U2396" s="2" t="s">
        <v>39</v>
      </c>
      <c r="V2396" s="2" t="s">
        <v>40</v>
      </c>
      <c r="W2396" s="2" t="s">
        <v>11144</v>
      </c>
      <c r="X2396" s="2"/>
      <c r="Y2396" s="2"/>
      <c r="Z2396" s="2"/>
      <c r="AA2396" s="2" t="s">
        <v>72</v>
      </c>
      <c r="AB2396" s="2" t="s">
        <v>545</v>
      </c>
      <c r="AC2396" s="4" t="s">
        <v>44</v>
      </c>
    </row>
    <row r="2397" spans="1:29" x14ac:dyDescent="0.25">
      <c r="A2397" s="1">
        <v>3881</v>
      </c>
      <c r="B2397" s="17" t="s">
        <v>11145</v>
      </c>
      <c r="C2397" s="2" t="s">
        <v>4966</v>
      </c>
      <c r="D2397" s="15" t="s">
        <v>4967</v>
      </c>
      <c r="E2397" s="9" t="s">
        <v>4968</v>
      </c>
      <c r="F2397" s="9" t="s">
        <v>569</v>
      </c>
      <c r="G2397" s="9" t="s">
        <v>685</v>
      </c>
      <c r="H2397" s="2" t="s">
        <v>60</v>
      </c>
      <c r="I2397" s="3">
        <v>36675</v>
      </c>
      <c r="J2397" s="9" t="str">
        <f t="shared" ca="1" si="39"/>
        <v>23 ans</v>
      </c>
      <c r="K2397" s="2" t="s">
        <v>68</v>
      </c>
      <c r="L2397" s="2" t="str">
        <f>"564"</f>
        <v>564</v>
      </c>
      <c r="M2397" s="2"/>
      <c r="N2397" s="2" t="str">
        <f>"RUE DE SÈVE"</f>
        <v>RUE DE SÈVE</v>
      </c>
      <c r="O2397" s="2" t="s">
        <v>11046</v>
      </c>
      <c r="P2397" s="9" t="str">
        <f>VLOOKUP($O2397,'Liste des Villes'!$B$2:$B$1128,1,FALSE)</f>
        <v>Sainte-Agathe-des-Monts</v>
      </c>
      <c r="Q2397" s="9" t="str">
        <f>IFERROR($P2397,PROPER(VLOOKUP($O2397,'Villes en erreur'!$A$2:$B$72,2,FALSE)))</f>
        <v>Sainte-Agathe-des-Monts</v>
      </c>
      <c r="R2397" s="9" t="s">
        <v>11047</v>
      </c>
      <c r="S2397" s="9" t="str">
        <f>IF(ISBLANK($R2397),"",VLOOKUP($R2397,'Liste des Villes'!$B$2:$H$1128,4,FALSE))</f>
        <v>Laurentides</v>
      </c>
      <c r="T2397" s="2" t="s">
        <v>11146</v>
      </c>
      <c r="U2397" s="2" t="s">
        <v>39</v>
      </c>
      <c r="V2397" s="2" t="s">
        <v>40</v>
      </c>
      <c r="W2397" s="2" t="s">
        <v>11147</v>
      </c>
      <c r="X2397" s="2"/>
      <c r="Y2397" s="2"/>
      <c r="Z2397" s="2"/>
      <c r="AA2397" s="2" t="s">
        <v>72</v>
      </c>
      <c r="AB2397" s="2" t="s">
        <v>545</v>
      </c>
      <c r="AC2397" s="4" t="s">
        <v>44</v>
      </c>
    </row>
    <row r="2398" spans="1:29" x14ac:dyDescent="0.25">
      <c r="A2398" s="1">
        <v>2755</v>
      </c>
      <c r="B2398" s="17" t="s">
        <v>11148</v>
      </c>
      <c r="C2398" s="2" t="s">
        <v>11149</v>
      </c>
      <c r="D2398" s="15" t="s">
        <v>1590</v>
      </c>
      <c r="E2398" s="9" t="s">
        <v>11150</v>
      </c>
      <c r="F2398" s="9" t="s">
        <v>1592</v>
      </c>
      <c r="G2398" s="9" t="s">
        <v>541</v>
      </c>
      <c r="H2398" s="2" t="s">
        <v>35</v>
      </c>
      <c r="I2398" s="3">
        <v>36694</v>
      </c>
      <c r="J2398" s="9" t="str">
        <f t="shared" ca="1" si="39"/>
        <v>23 ans</v>
      </c>
      <c r="K2398" s="2" t="s">
        <v>68</v>
      </c>
      <c r="L2398" s="2" t="str">
        <f>"589"</f>
        <v>589</v>
      </c>
      <c r="M2398" s="2"/>
      <c r="N2398" s="2" t="str">
        <f>"rue Des Abeilles"</f>
        <v>rue Des Abeilles</v>
      </c>
      <c r="O2398" s="2" t="s">
        <v>11046</v>
      </c>
      <c r="P2398" s="9" t="str">
        <f>VLOOKUP($O2398,'Liste des Villes'!$B$2:$B$1128,1,FALSE)</f>
        <v>Sainte-Agathe-des-Monts</v>
      </c>
      <c r="Q2398" s="9" t="str">
        <f>IFERROR($P2398,PROPER(VLOOKUP($O2398,'Villes en erreur'!$A$2:$B$72,2,FALSE)))</f>
        <v>Sainte-Agathe-des-Monts</v>
      </c>
      <c r="R2398" s="9" t="s">
        <v>11047</v>
      </c>
      <c r="S2398" s="9" t="str">
        <f>IF(ISBLANK($R2398),"",VLOOKUP($R2398,'Liste des Villes'!$B$2:$H$1128,4,FALSE))</f>
        <v>Laurentides</v>
      </c>
      <c r="T2398" s="2" t="s">
        <v>11151</v>
      </c>
      <c r="U2398" s="2" t="s">
        <v>39</v>
      </c>
      <c r="V2398" s="2" t="s">
        <v>40</v>
      </c>
      <c r="W2398" s="2" t="s">
        <v>11152</v>
      </c>
      <c r="X2398" s="2"/>
      <c r="Y2398" s="2"/>
      <c r="Z2398" s="2"/>
      <c r="AA2398" s="2" t="s">
        <v>72</v>
      </c>
      <c r="AB2398" s="2" t="s">
        <v>545</v>
      </c>
      <c r="AC2398" s="4" t="s">
        <v>44</v>
      </c>
    </row>
    <row r="2399" spans="1:29" x14ac:dyDescent="0.25">
      <c r="A2399" s="1">
        <v>963</v>
      </c>
      <c r="B2399" s="17" t="s">
        <v>11153</v>
      </c>
      <c r="C2399" s="2" t="s">
        <v>11154</v>
      </c>
      <c r="D2399" s="15" t="s">
        <v>3357</v>
      </c>
      <c r="E2399" s="9" t="s">
        <v>11155</v>
      </c>
      <c r="F2399" s="9" t="s">
        <v>3356</v>
      </c>
      <c r="G2399" s="9" t="s">
        <v>1330</v>
      </c>
      <c r="H2399" s="2" t="s">
        <v>60</v>
      </c>
      <c r="I2399" s="3">
        <v>36692</v>
      </c>
      <c r="J2399" s="9" t="str">
        <f t="shared" ca="1" si="39"/>
        <v>23 ans</v>
      </c>
      <c r="K2399" s="2" t="s">
        <v>68</v>
      </c>
      <c r="L2399" s="2" t="str">
        <f>"586"</f>
        <v>586</v>
      </c>
      <c r="M2399" s="2"/>
      <c r="N2399" s="2" t="str">
        <f>"RUE DENISE"</f>
        <v>RUE DENISE</v>
      </c>
      <c r="O2399" s="2" t="s">
        <v>11046</v>
      </c>
      <c r="P2399" s="9" t="str">
        <f>VLOOKUP($O2399,'Liste des Villes'!$B$2:$B$1128,1,FALSE)</f>
        <v>Sainte-Agathe-des-Monts</v>
      </c>
      <c r="Q2399" s="9" t="str">
        <f>IFERROR($P2399,PROPER(VLOOKUP($O2399,'Villes en erreur'!$A$2:$B$72,2,FALSE)))</f>
        <v>Sainte-Agathe-des-Monts</v>
      </c>
      <c r="R2399" s="9" t="s">
        <v>11047</v>
      </c>
      <c r="S2399" s="9" t="str">
        <f>IF(ISBLANK($R2399),"",VLOOKUP($R2399,'Liste des Villes'!$B$2:$H$1128,4,FALSE))</f>
        <v>Laurentides</v>
      </c>
      <c r="T2399" s="2" t="s">
        <v>11156</v>
      </c>
      <c r="U2399" s="2" t="s">
        <v>39</v>
      </c>
      <c r="V2399" s="2" t="s">
        <v>40</v>
      </c>
      <c r="W2399" s="2" t="s">
        <v>11157</v>
      </c>
      <c r="X2399" s="2"/>
      <c r="Y2399" s="2"/>
      <c r="Z2399" s="2"/>
      <c r="AA2399" s="2" t="s">
        <v>72</v>
      </c>
      <c r="AB2399" s="2" t="s">
        <v>545</v>
      </c>
      <c r="AC2399" s="4" t="s">
        <v>44</v>
      </c>
    </row>
    <row r="2400" spans="1:29" x14ac:dyDescent="0.25">
      <c r="A2400" s="1">
        <v>1894</v>
      </c>
      <c r="B2400" s="17" t="s">
        <v>11158</v>
      </c>
      <c r="C2400" s="2" t="s">
        <v>7037</v>
      </c>
      <c r="D2400" s="15" t="s">
        <v>3659</v>
      </c>
      <c r="E2400" s="9" t="s">
        <v>743</v>
      </c>
      <c r="F2400" s="9" t="s">
        <v>1870</v>
      </c>
      <c r="G2400" s="9" t="s">
        <v>48</v>
      </c>
      <c r="H2400" s="2" t="s">
        <v>35</v>
      </c>
      <c r="I2400" s="3">
        <v>36683</v>
      </c>
      <c r="J2400" s="9" t="str">
        <f t="shared" ca="1" si="39"/>
        <v>23 ans</v>
      </c>
      <c r="K2400" s="2" t="s">
        <v>68</v>
      </c>
      <c r="L2400" s="2" t="str">
        <f>"570"</f>
        <v>570</v>
      </c>
      <c r="M2400" s="2"/>
      <c r="N2400" s="2" t="str">
        <f>"RUE DE VAL-DES-CHÊNES"</f>
        <v>RUE DE VAL-DES-CHÊNES</v>
      </c>
      <c r="O2400" s="2" t="s">
        <v>11046</v>
      </c>
      <c r="P2400" s="9" t="str">
        <f>VLOOKUP($O2400,'Liste des Villes'!$B$2:$B$1128,1,FALSE)</f>
        <v>Sainte-Agathe-des-Monts</v>
      </c>
      <c r="Q2400" s="9" t="str">
        <f>IFERROR($P2400,PROPER(VLOOKUP($O2400,'Villes en erreur'!$A$2:$B$72,2,FALSE)))</f>
        <v>Sainte-Agathe-des-Monts</v>
      </c>
      <c r="R2400" s="9" t="s">
        <v>11047</v>
      </c>
      <c r="S2400" s="9" t="str">
        <f>IF(ISBLANK($R2400),"",VLOOKUP($R2400,'Liste des Villes'!$B$2:$H$1128,4,FALSE))</f>
        <v>Laurentides</v>
      </c>
      <c r="T2400" s="2" t="s">
        <v>11159</v>
      </c>
      <c r="U2400" s="2" t="s">
        <v>39</v>
      </c>
      <c r="V2400" s="2" t="s">
        <v>40</v>
      </c>
      <c r="W2400" s="2" t="s">
        <v>11160</v>
      </c>
      <c r="X2400" s="2"/>
      <c r="Y2400" s="2"/>
      <c r="Z2400" s="2"/>
      <c r="AA2400" s="2" t="s">
        <v>72</v>
      </c>
      <c r="AB2400" s="2" t="s">
        <v>545</v>
      </c>
      <c r="AC2400" s="4" t="s">
        <v>44</v>
      </c>
    </row>
    <row r="2401" spans="1:29" x14ac:dyDescent="0.25">
      <c r="A2401" s="1">
        <v>1933</v>
      </c>
      <c r="B2401" s="17" t="s">
        <v>11161</v>
      </c>
      <c r="C2401" s="2" t="s">
        <v>11162</v>
      </c>
      <c r="D2401" s="15" t="s">
        <v>1080</v>
      </c>
      <c r="E2401" s="9" t="s">
        <v>495</v>
      </c>
      <c r="F2401" s="9" t="s">
        <v>195</v>
      </c>
      <c r="G2401" s="9" t="s">
        <v>685</v>
      </c>
      <c r="H2401" s="2" t="s">
        <v>60</v>
      </c>
      <c r="I2401" s="3">
        <v>36675</v>
      </c>
      <c r="J2401" s="9" t="str">
        <f t="shared" ca="1" si="39"/>
        <v>23 ans</v>
      </c>
      <c r="K2401" s="2" t="s">
        <v>68</v>
      </c>
      <c r="L2401" s="2" t="str">
        <f>"565"</f>
        <v>565</v>
      </c>
      <c r="M2401" s="2"/>
      <c r="N2401" s="2" t="str">
        <f>"RUE DE SOREL"</f>
        <v>RUE DE SOREL</v>
      </c>
      <c r="O2401" s="2" t="s">
        <v>11046</v>
      </c>
      <c r="P2401" s="9" t="str">
        <f>VLOOKUP($O2401,'Liste des Villes'!$B$2:$B$1128,1,FALSE)</f>
        <v>Sainte-Agathe-des-Monts</v>
      </c>
      <c r="Q2401" s="9" t="str">
        <f>IFERROR($P2401,PROPER(VLOOKUP($O2401,'Villes en erreur'!$A$2:$B$72,2,FALSE)))</f>
        <v>Sainte-Agathe-des-Monts</v>
      </c>
      <c r="R2401" s="9" t="s">
        <v>11047</v>
      </c>
      <c r="S2401" s="9" t="str">
        <f>IF(ISBLANK($R2401),"",VLOOKUP($R2401,'Liste des Villes'!$B$2:$H$1128,4,FALSE))</f>
        <v>Laurentides</v>
      </c>
      <c r="T2401" s="2" t="s">
        <v>11163</v>
      </c>
      <c r="U2401" s="2" t="s">
        <v>39</v>
      </c>
      <c r="V2401" s="2" t="s">
        <v>40</v>
      </c>
      <c r="W2401" s="2" t="s">
        <v>11164</v>
      </c>
      <c r="X2401" s="2"/>
      <c r="Y2401" s="2"/>
      <c r="Z2401" s="2"/>
      <c r="AA2401" s="2" t="s">
        <v>72</v>
      </c>
      <c r="AB2401" s="2" t="s">
        <v>545</v>
      </c>
      <c r="AC2401" s="4" t="s">
        <v>44</v>
      </c>
    </row>
    <row r="2402" spans="1:29" x14ac:dyDescent="0.25">
      <c r="A2402" s="1">
        <v>4229</v>
      </c>
      <c r="B2402" s="17" t="s">
        <v>11165</v>
      </c>
      <c r="C2402" s="2" t="s">
        <v>2290</v>
      </c>
      <c r="D2402" s="15" t="s">
        <v>2291</v>
      </c>
      <c r="E2402" s="9" t="s">
        <v>635</v>
      </c>
      <c r="F2402" s="9" t="s">
        <v>7219</v>
      </c>
      <c r="G2402" s="9" t="s">
        <v>4949</v>
      </c>
      <c r="H2402" s="2" t="s">
        <v>60</v>
      </c>
      <c r="I2402" s="3">
        <v>36693</v>
      </c>
      <c r="J2402" s="9" t="str">
        <f t="shared" ca="1" si="39"/>
        <v>23 ans</v>
      </c>
      <c r="K2402" s="2" t="s">
        <v>68</v>
      </c>
      <c r="L2402" s="2" t="str">
        <f>"589"</f>
        <v>589</v>
      </c>
      <c r="M2402" s="2"/>
      <c r="N2402" s="2" t="str">
        <f>"RUE DES ABBESSES"</f>
        <v>RUE DES ABBESSES</v>
      </c>
      <c r="O2402" s="2" t="s">
        <v>11046</v>
      </c>
      <c r="P2402" s="9" t="str">
        <f>VLOOKUP($O2402,'Liste des Villes'!$B$2:$B$1128,1,FALSE)</f>
        <v>Sainte-Agathe-des-Monts</v>
      </c>
      <c r="Q2402" s="9" t="str">
        <f>IFERROR($P2402,PROPER(VLOOKUP($O2402,'Villes en erreur'!$A$2:$B$72,2,FALSE)))</f>
        <v>Sainte-Agathe-des-Monts</v>
      </c>
      <c r="R2402" s="9" t="s">
        <v>11047</v>
      </c>
      <c r="S2402" s="9" t="str">
        <f>IF(ISBLANK($R2402),"",VLOOKUP($R2402,'Liste des Villes'!$B$2:$H$1128,4,FALSE))</f>
        <v>Laurentides</v>
      </c>
      <c r="T2402" s="2" t="s">
        <v>11166</v>
      </c>
      <c r="U2402" s="2" t="s">
        <v>39</v>
      </c>
      <c r="V2402" s="2" t="s">
        <v>40</v>
      </c>
      <c r="W2402" s="2" t="s">
        <v>11152</v>
      </c>
      <c r="X2402" s="2"/>
      <c r="Y2402" s="2"/>
      <c r="Z2402" s="2"/>
      <c r="AA2402" s="2" t="s">
        <v>72</v>
      </c>
      <c r="AB2402" s="2" t="s">
        <v>545</v>
      </c>
      <c r="AC2402" s="4" t="s">
        <v>44</v>
      </c>
    </row>
    <row r="2403" spans="1:29" x14ac:dyDescent="0.25">
      <c r="A2403" s="1">
        <v>3866</v>
      </c>
      <c r="B2403" s="17" t="s">
        <v>11167</v>
      </c>
      <c r="C2403" s="2" t="s">
        <v>11168</v>
      </c>
      <c r="D2403" s="15" t="s">
        <v>11169</v>
      </c>
      <c r="E2403" s="9" t="s">
        <v>698</v>
      </c>
      <c r="F2403" s="9" t="s">
        <v>3042</v>
      </c>
      <c r="G2403" s="9" t="s">
        <v>1330</v>
      </c>
      <c r="H2403" s="2" t="s">
        <v>60</v>
      </c>
      <c r="I2403" s="3">
        <v>36691</v>
      </c>
      <c r="J2403" s="9" t="str">
        <f t="shared" ca="1" si="39"/>
        <v>23 ans</v>
      </c>
      <c r="K2403" s="2" t="s">
        <v>68</v>
      </c>
      <c r="L2403" s="2" t="str">
        <f>"584"</f>
        <v>584</v>
      </c>
      <c r="M2403" s="2"/>
      <c r="N2403" s="2" t="str">
        <f>"RUE DEMONTIGNY"</f>
        <v>RUE DEMONTIGNY</v>
      </c>
      <c r="O2403" s="2" t="s">
        <v>11046</v>
      </c>
      <c r="P2403" s="9" t="str">
        <f>VLOOKUP($O2403,'Liste des Villes'!$B$2:$B$1128,1,FALSE)</f>
        <v>Sainte-Agathe-des-Monts</v>
      </c>
      <c r="Q2403" s="9" t="str">
        <f>IFERROR($P2403,PROPER(VLOOKUP($O2403,'Villes en erreur'!$A$2:$B$72,2,FALSE)))</f>
        <v>Sainte-Agathe-des-Monts</v>
      </c>
      <c r="R2403" s="9" t="s">
        <v>11047</v>
      </c>
      <c r="S2403" s="9" t="str">
        <f>IF(ISBLANK($R2403),"",VLOOKUP($R2403,'Liste des Villes'!$B$2:$H$1128,4,FALSE))</f>
        <v>Laurentides</v>
      </c>
      <c r="T2403" s="2" t="s">
        <v>11170</v>
      </c>
      <c r="U2403" s="2" t="s">
        <v>39</v>
      </c>
      <c r="V2403" s="2" t="s">
        <v>40</v>
      </c>
      <c r="W2403" s="2" t="s">
        <v>11171</v>
      </c>
      <c r="X2403" s="2"/>
      <c r="Y2403" s="2"/>
      <c r="Z2403" s="2"/>
      <c r="AA2403" s="2" t="s">
        <v>72</v>
      </c>
      <c r="AB2403" s="2" t="s">
        <v>545</v>
      </c>
      <c r="AC2403" s="4" t="s">
        <v>44</v>
      </c>
    </row>
    <row r="2404" spans="1:29" x14ac:dyDescent="0.25">
      <c r="A2404" s="1">
        <v>2455</v>
      </c>
      <c r="B2404" s="17" t="s">
        <v>11172</v>
      </c>
      <c r="C2404" s="2" t="s">
        <v>11173</v>
      </c>
      <c r="D2404" s="15" t="s">
        <v>11174</v>
      </c>
      <c r="E2404" s="9" t="s">
        <v>101</v>
      </c>
      <c r="F2404" s="9" t="s">
        <v>2018</v>
      </c>
      <c r="G2404" s="9" t="s">
        <v>48</v>
      </c>
      <c r="H2404" s="2" t="s">
        <v>35</v>
      </c>
      <c r="I2404" s="3">
        <v>36683</v>
      </c>
      <c r="J2404" s="9" t="str">
        <f t="shared" ca="1" si="39"/>
        <v>23 ans</v>
      </c>
      <c r="K2404" s="2" t="s">
        <v>68</v>
      </c>
      <c r="L2404" s="2" t="str">
        <f>"567"</f>
        <v>567</v>
      </c>
      <c r="M2404" s="2"/>
      <c r="N2404" s="2" t="str">
        <f>"RUE DE VAL DAVID EN HAUT"</f>
        <v>RUE DE VAL DAVID EN HAUT</v>
      </c>
      <c r="O2404" s="2" t="s">
        <v>11046</v>
      </c>
      <c r="P2404" s="9" t="str">
        <f>VLOOKUP($O2404,'Liste des Villes'!$B$2:$B$1128,1,FALSE)</f>
        <v>Sainte-Agathe-des-Monts</v>
      </c>
      <c r="Q2404" s="9" t="str">
        <f>IFERROR($P2404,PROPER(VLOOKUP($O2404,'Villes en erreur'!$A$2:$B$72,2,FALSE)))</f>
        <v>Sainte-Agathe-des-Monts</v>
      </c>
      <c r="R2404" s="9" t="s">
        <v>11047</v>
      </c>
      <c r="S2404" s="9" t="str">
        <f>IF(ISBLANK($R2404),"",VLOOKUP($R2404,'Liste des Villes'!$B$2:$H$1128,4,FALSE))</f>
        <v>Laurentides</v>
      </c>
      <c r="T2404" s="2" t="s">
        <v>11175</v>
      </c>
      <c r="U2404" s="2" t="s">
        <v>39</v>
      </c>
      <c r="V2404" s="2" t="s">
        <v>40</v>
      </c>
      <c r="W2404" s="2" t="s">
        <v>11176</v>
      </c>
      <c r="X2404" s="2"/>
      <c r="Y2404" s="2"/>
      <c r="Z2404" s="2"/>
      <c r="AA2404" s="2" t="s">
        <v>72</v>
      </c>
      <c r="AB2404" s="2" t="s">
        <v>545</v>
      </c>
      <c r="AC2404" s="4" t="s">
        <v>44</v>
      </c>
    </row>
    <row r="2405" spans="1:29" x14ac:dyDescent="0.25">
      <c r="A2405" s="1">
        <v>4076</v>
      </c>
      <c r="B2405" s="17" t="s">
        <v>11177</v>
      </c>
      <c r="C2405" s="2" t="s">
        <v>11178</v>
      </c>
      <c r="D2405" s="15" t="s">
        <v>7856</v>
      </c>
      <c r="E2405" s="9" t="s">
        <v>4866</v>
      </c>
      <c r="F2405" s="9" t="s">
        <v>2765</v>
      </c>
      <c r="G2405" s="9" t="s">
        <v>48</v>
      </c>
      <c r="H2405" s="2" t="s">
        <v>35</v>
      </c>
      <c r="I2405" s="3">
        <v>36683</v>
      </c>
      <c r="J2405" s="9" t="str">
        <f t="shared" ca="1" si="39"/>
        <v>23 ans</v>
      </c>
      <c r="K2405" s="2" t="s">
        <v>68</v>
      </c>
      <c r="L2405" s="2" t="str">
        <f>"567"</f>
        <v>567</v>
      </c>
      <c r="M2405" s="2"/>
      <c r="N2405" s="2" t="str">
        <f>"RUE DE VAL DES CHÊNES"</f>
        <v>RUE DE VAL DES CHÊNES</v>
      </c>
      <c r="O2405" s="2" t="s">
        <v>11046</v>
      </c>
      <c r="P2405" s="9" t="str">
        <f>VLOOKUP($O2405,'Liste des Villes'!$B$2:$B$1128,1,FALSE)</f>
        <v>Sainte-Agathe-des-Monts</v>
      </c>
      <c r="Q2405" s="9" t="str">
        <f>IFERROR($P2405,PROPER(VLOOKUP($O2405,'Villes en erreur'!$A$2:$B$72,2,FALSE)))</f>
        <v>Sainte-Agathe-des-Monts</v>
      </c>
      <c r="R2405" s="9" t="s">
        <v>11047</v>
      </c>
      <c r="S2405" s="9" t="str">
        <f>IF(ISBLANK($R2405),"",VLOOKUP($R2405,'Liste des Villes'!$B$2:$H$1128,4,FALSE))</f>
        <v>Laurentides</v>
      </c>
      <c r="T2405" s="2" t="s">
        <v>11179</v>
      </c>
      <c r="U2405" s="2" t="s">
        <v>39</v>
      </c>
      <c r="V2405" s="2" t="s">
        <v>40</v>
      </c>
      <c r="W2405" s="2" t="s">
        <v>11180</v>
      </c>
      <c r="X2405" s="2"/>
      <c r="Y2405" s="2"/>
      <c r="Z2405" s="2"/>
      <c r="AA2405" s="2" t="s">
        <v>72</v>
      </c>
      <c r="AB2405" s="2" t="s">
        <v>545</v>
      </c>
      <c r="AC2405" s="4" t="s">
        <v>44</v>
      </c>
    </row>
    <row r="2406" spans="1:29" x14ac:dyDescent="0.25">
      <c r="A2406" s="1">
        <v>684</v>
      </c>
      <c r="B2406" s="17" t="s">
        <v>11181</v>
      </c>
      <c r="C2406" s="2" t="s">
        <v>11182</v>
      </c>
      <c r="D2406" s="15" t="s">
        <v>6648</v>
      </c>
      <c r="E2406" s="9" t="s">
        <v>404</v>
      </c>
      <c r="F2406" s="9" t="s">
        <v>3567</v>
      </c>
      <c r="G2406" s="9" t="s">
        <v>1330</v>
      </c>
      <c r="H2406" s="2" t="s">
        <v>60</v>
      </c>
      <c r="I2406" s="3">
        <v>36691</v>
      </c>
      <c r="J2406" s="9" t="str">
        <f t="shared" ca="1" si="39"/>
        <v>23 ans</v>
      </c>
      <c r="K2406" s="2" t="s">
        <v>68</v>
      </c>
      <c r="L2406" s="2" t="str">
        <f>"582"</f>
        <v>582</v>
      </c>
      <c r="M2406" s="2"/>
      <c r="N2406" s="2" t="str">
        <f>"RUE DEMERS"</f>
        <v>RUE DEMERS</v>
      </c>
      <c r="O2406" s="2" t="s">
        <v>11046</v>
      </c>
      <c r="P2406" s="9" t="str">
        <f>VLOOKUP($O2406,'Liste des Villes'!$B$2:$B$1128,1,FALSE)</f>
        <v>Sainte-Agathe-des-Monts</v>
      </c>
      <c r="Q2406" s="9" t="str">
        <f>IFERROR($P2406,PROPER(VLOOKUP($O2406,'Villes en erreur'!$A$2:$B$72,2,FALSE)))</f>
        <v>Sainte-Agathe-des-Monts</v>
      </c>
      <c r="R2406" s="9" t="s">
        <v>11047</v>
      </c>
      <c r="S2406" s="9" t="str">
        <f>IF(ISBLANK($R2406),"",VLOOKUP($R2406,'Liste des Villes'!$B$2:$H$1128,4,FALSE))</f>
        <v>Laurentides</v>
      </c>
      <c r="T2406" s="2" t="s">
        <v>11183</v>
      </c>
      <c r="U2406" s="2" t="s">
        <v>39</v>
      </c>
      <c r="V2406" s="2" t="s">
        <v>40</v>
      </c>
      <c r="W2406" s="2" t="s">
        <v>11184</v>
      </c>
      <c r="X2406" s="2"/>
      <c r="Y2406" s="2"/>
      <c r="Z2406" s="2"/>
      <c r="AA2406" s="2" t="s">
        <v>72</v>
      </c>
      <c r="AB2406" s="2" t="s">
        <v>545</v>
      </c>
      <c r="AC2406" s="4" t="s">
        <v>44</v>
      </c>
    </row>
    <row r="2407" spans="1:29" x14ac:dyDescent="0.25">
      <c r="A2407" s="1">
        <v>2729</v>
      </c>
      <c r="B2407" s="17" t="s">
        <v>11185</v>
      </c>
      <c r="C2407" s="2" t="s">
        <v>11186</v>
      </c>
      <c r="D2407" s="15" t="s">
        <v>4442</v>
      </c>
      <c r="E2407" s="9" t="s">
        <v>3457</v>
      </c>
      <c r="F2407" s="9" t="s">
        <v>4441</v>
      </c>
      <c r="G2407" s="9" t="s">
        <v>1330</v>
      </c>
      <c r="H2407" s="2" t="s">
        <v>60</v>
      </c>
      <c r="I2407" s="3">
        <v>36692</v>
      </c>
      <c r="J2407" s="9" t="str">
        <f t="shared" ca="1" si="39"/>
        <v>23 ans</v>
      </c>
      <c r="K2407" s="2" t="s">
        <v>68</v>
      </c>
      <c r="L2407" s="2" t="str">
        <f>"586"</f>
        <v>586</v>
      </c>
      <c r="M2407" s="2"/>
      <c r="N2407" s="2" t="str">
        <f>"RUE DENIS"</f>
        <v>RUE DENIS</v>
      </c>
      <c r="O2407" s="2" t="s">
        <v>11046</v>
      </c>
      <c r="P2407" s="9" t="str">
        <f>VLOOKUP($O2407,'Liste des Villes'!$B$2:$B$1128,1,FALSE)</f>
        <v>Sainte-Agathe-des-Monts</v>
      </c>
      <c r="Q2407" s="9" t="str">
        <f>IFERROR($P2407,PROPER(VLOOKUP($O2407,'Villes en erreur'!$A$2:$B$72,2,FALSE)))</f>
        <v>Sainte-Agathe-des-Monts</v>
      </c>
      <c r="R2407" s="9" t="s">
        <v>11047</v>
      </c>
      <c r="S2407" s="9" t="str">
        <f>IF(ISBLANK($R2407),"",VLOOKUP($R2407,'Liste des Villes'!$B$2:$H$1128,4,FALSE))</f>
        <v>Laurentides</v>
      </c>
      <c r="T2407" s="2" t="s">
        <v>11187</v>
      </c>
      <c r="U2407" s="2" t="s">
        <v>39</v>
      </c>
      <c r="V2407" s="2" t="s">
        <v>40</v>
      </c>
      <c r="W2407" s="2" t="s">
        <v>11188</v>
      </c>
      <c r="X2407" s="2"/>
      <c r="Y2407" s="2"/>
      <c r="Z2407" s="2"/>
      <c r="AA2407" s="2" t="s">
        <v>72</v>
      </c>
      <c r="AB2407" s="2" t="s">
        <v>545</v>
      </c>
      <c r="AC2407" s="4" t="s">
        <v>44</v>
      </c>
    </row>
    <row r="2408" spans="1:29" x14ac:dyDescent="0.25">
      <c r="A2408" s="1">
        <v>834</v>
      </c>
      <c r="B2408" s="17" t="s">
        <v>11189</v>
      </c>
      <c r="C2408" s="2" t="s">
        <v>11190</v>
      </c>
      <c r="D2408" s="15" t="s">
        <v>9941</v>
      </c>
      <c r="E2408" s="9" t="s">
        <v>271</v>
      </c>
      <c r="F2408" s="9" t="s">
        <v>6957</v>
      </c>
      <c r="G2408" s="9" t="s">
        <v>48</v>
      </c>
      <c r="H2408" s="2" t="s">
        <v>35</v>
      </c>
      <c r="I2408" s="3">
        <v>36686</v>
      </c>
      <c r="J2408" s="9" t="str">
        <f t="shared" ca="1" si="39"/>
        <v>23 ans</v>
      </c>
      <c r="K2408" s="2" t="s">
        <v>68</v>
      </c>
      <c r="L2408" s="2" t="str">
        <f>"571"</f>
        <v>571</v>
      </c>
      <c r="M2408" s="2"/>
      <c r="N2408" s="2" t="str">
        <f>"RUE DE VILLEMONT"</f>
        <v>RUE DE VILLEMONT</v>
      </c>
      <c r="O2408" s="2" t="s">
        <v>11046</v>
      </c>
      <c r="P2408" s="9" t="str">
        <f>VLOOKUP($O2408,'Liste des Villes'!$B$2:$B$1128,1,FALSE)</f>
        <v>Sainte-Agathe-des-Monts</v>
      </c>
      <c r="Q2408" s="9" t="str">
        <f>IFERROR($P2408,PROPER(VLOOKUP($O2408,'Villes en erreur'!$A$2:$B$72,2,FALSE)))</f>
        <v>Sainte-Agathe-des-Monts</v>
      </c>
      <c r="R2408" s="9" t="s">
        <v>11047</v>
      </c>
      <c r="S2408" s="9" t="str">
        <f>IF(ISBLANK($R2408),"",VLOOKUP($R2408,'Liste des Villes'!$B$2:$H$1128,4,FALSE))</f>
        <v>Laurentides</v>
      </c>
      <c r="T2408" s="2" t="s">
        <v>11191</v>
      </c>
      <c r="U2408" s="2" t="s">
        <v>39</v>
      </c>
      <c r="V2408" s="2" t="s">
        <v>40</v>
      </c>
      <c r="W2408" s="2" t="s">
        <v>11192</v>
      </c>
      <c r="X2408" s="2"/>
      <c r="Y2408" s="2"/>
      <c r="Z2408" s="2"/>
      <c r="AA2408" s="2" t="s">
        <v>72</v>
      </c>
      <c r="AB2408" s="2" t="s">
        <v>545</v>
      </c>
      <c r="AC2408" s="4" t="s">
        <v>44</v>
      </c>
    </row>
    <row r="2409" spans="1:29" x14ac:dyDescent="0.25">
      <c r="A2409" s="1">
        <v>3037</v>
      </c>
      <c r="B2409" s="17" t="s">
        <v>11193</v>
      </c>
      <c r="C2409" s="2" t="s">
        <v>11194</v>
      </c>
      <c r="D2409" s="15" t="s">
        <v>2005</v>
      </c>
      <c r="E2409" s="9" t="s">
        <v>11195</v>
      </c>
      <c r="F2409" s="9" t="s">
        <v>1977</v>
      </c>
      <c r="G2409" s="9" t="s">
        <v>685</v>
      </c>
      <c r="H2409" s="2" t="s">
        <v>60</v>
      </c>
      <c r="I2409" s="3">
        <v>36675</v>
      </c>
      <c r="J2409" s="9" t="str">
        <f t="shared" ca="1" si="39"/>
        <v>23 ans</v>
      </c>
      <c r="K2409" s="2" t="s">
        <v>68</v>
      </c>
      <c r="L2409" s="2" t="str">
        <f>"565"</f>
        <v>565</v>
      </c>
      <c r="M2409" s="2"/>
      <c r="N2409" s="2" t="str">
        <f>"RUE DE TILLY"</f>
        <v>RUE DE TILLY</v>
      </c>
      <c r="O2409" s="2" t="s">
        <v>11046</v>
      </c>
      <c r="P2409" s="9" t="str">
        <f>VLOOKUP($O2409,'Liste des Villes'!$B$2:$B$1128,1,FALSE)</f>
        <v>Sainte-Agathe-des-Monts</v>
      </c>
      <c r="Q2409" s="9" t="str">
        <f>IFERROR($P2409,PROPER(VLOOKUP($O2409,'Villes en erreur'!$A$2:$B$72,2,FALSE)))</f>
        <v>Sainte-Agathe-des-Monts</v>
      </c>
      <c r="R2409" s="9" t="s">
        <v>11047</v>
      </c>
      <c r="S2409" s="9" t="str">
        <f>IF(ISBLANK($R2409),"",VLOOKUP($R2409,'Liste des Villes'!$B$2:$H$1128,4,FALSE))</f>
        <v>Laurentides</v>
      </c>
      <c r="T2409" s="2" t="s">
        <v>11196</v>
      </c>
      <c r="U2409" s="2" t="s">
        <v>39</v>
      </c>
      <c r="V2409" s="2" t="s">
        <v>40</v>
      </c>
      <c r="W2409" s="2" t="s">
        <v>11197</v>
      </c>
      <c r="X2409" s="2"/>
      <c r="Y2409" s="2"/>
      <c r="Z2409" s="2"/>
      <c r="AA2409" s="2" t="s">
        <v>72</v>
      </c>
      <c r="AB2409" s="2" t="s">
        <v>545</v>
      </c>
      <c r="AC2409" s="4" t="s">
        <v>44</v>
      </c>
    </row>
    <row r="2410" spans="1:29" x14ac:dyDescent="0.25">
      <c r="A2410" s="1">
        <v>3709</v>
      </c>
      <c r="B2410" s="17" t="s">
        <v>11198</v>
      </c>
      <c r="C2410" s="2" t="s">
        <v>8030</v>
      </c>
      <c r="D2410" s="15" t="s">
        <v>4330</v>
      </c>
      <c r="E2410" s="9" t="s">
        <v>3485</v>
      </c>
      <c r="F2410" s="9" t="s">
        <v>4328</v>
      </c>
      <c r="G2410" s="9" t="s">
        <v>48</v>
      </c>
      <c r="H2410" s="2" t="s">
        <v>35</v>
      </c>
      <c r="I2410" s="3">
        <v>36686</v>
      </c>
      <c r="J2410" s="9" t="str">
        <f t="shared" ca="1" si="39"/>
        <v>23 ans</v>
      </c>
      <c r="K2410" s="2" t="s">
        <v>68</v>
      </c>
      <c r="L2410" s="2" t="str">
        <f>"571"</f>
        <v>571</v>
      </c>
      <c r="M2410" s="2"/>
      <c r="N2410" s="2" t="str">
        <f>"RUE DE VILLEMURE"</f>
        <v>RUE DE VILLEMURE</v>
      </c>
      <c r="O2410" s="2" t="s">
        <v>11046</v>
      </c>
      <c r="P2410" s="9" t="str">
        <f>VLOOKUP($O2410,'Liste des Villes'!$B$2:$B$1128,1,FALSE)</f>
        <v>Sainte-Agathe-des-Monts</v>
      </c>
      <c r="Q2410" s="9" t="str">
        <f>IFERROR($P2410,PROPER(VLOOKUP($O2410,'Villes en erreur'!$A$2:$B$72,2,FALSE)))</f>
        <v>Sainte-Agathe-des-Monts</v>
      </c>
      <c r="R2410" s="9" t="s">
        <v>11047</v>
      </c>
      <c r="S2410" s="9" t="str">
        <f>IF(ISBLANK($R2410),"",VLOOKUP($R2410,'Liste des Villes'!$B$2:$H$1128,4,FALSE))</f>
        <v>Laurentides</v>
      </c>
      <c r="T2410" s="2" t="s">
        <v>11199</v>
      </c>
      <c r="U2410" s="2" t="s">
        <v>39</v>
      </c>
      <c r="V2410" s="2" t="s">
        <v>40</v>
      </c>
      <c r="W2410" s="2" t="s">
        <v>11200</v>
      </c>
      <c r="X2410" s="2"/>
      <c r="Y2410" s="2"/>
      <c r="Z2410" s="2"/>
      <c r="AA2410" s="2" t="s">
        <v>72</v>
      </c>
      <c r="AB2410" s="2" t="s">
        <v>545</v>
      </c>
      <c r="AC2410" s="4" t="s">
        <v>44</v>
      </c>
    </row>
    <row r="2411" spans="1:29" x14ac:dyDescent="0.25">
      <c r="A2411" s="1">
        <v>209</v>
      </c>
      <c r="B2411" s="17" t="s">
        <v>11201</v>
      </c>
      <c r="C2411" s="2" t="s">
        <v>11202</v>
      </c>
      <c r="D2411" s="15" t="s">
        <v>6094</v>
      </c>
      <c r="E2411" s="9" t="s">
        <v>495</v>
      </c>
      <c r="F2411" s="9" t="s">
        <v>317</v>
      </c>
      <c r="G2411" s="9" t="s">
        <v>541</v>
      </c>
      <c r="H2411" s="2" t="s">
        <v>35</v>
      </c>
      <c r="I2411" s="3">
        <v>36697</v>
      </c>
      <c r="J2411" s="9" t="str">
        <f t="shared" ca="1" si="39"/>
        <v>23 ans</v>
      </c>
      <c r="K2411" s="2" t="s">
        <v>68</v>
      </c>
      <c r="L2411" s="2" t="str">
        <f>"591"</f>
        <v>591</v>
      </c>
      <c r="M2411" s="2"/>
      <c r="N2411" s="2" t="str">
        <f>"RUE DES AMADOUVIERS"</f>
        <v>RUE DES AMADOUVIERS</v>
      </c>
      <c r="O2411" s="2" t="s">
        <v>11046</v>
      </c>
      <c r="P2411" s="9" t="str">
        <f>VLOOKUP($O2411,'Liste des Villes'!$B$2:$B$1128,1,FALSE)</f>
        <v>Sainte-Agathe-des-Monts</v>
      </c>
      <c r="Q2411" s="9" t="str">
        <f>IFERROR($P2411,PROPER(VLOOKUP($O2411,'Villes en erreur'!$A$2:$B$72,2,FALSE)))</f>
        <v>Sainte-Agathe-des-Monts</v>
      </c>
      <c r="R2411" s="9" t="s">
        <v>11047</v>
      </c>
      <c r="S2411" s="9" t="str">
        <f>IF(ISBLANK($R2411),"",VLOOKUP($R2411,'Liste des Villes'!$B$2:$H$1128,4,FALSE))</f>
        <v>Laurentides</v>
      </c>
      <c r="T2411" s="2" t="s">
        <v>543</v>
      </c>
      <c r="U2411" s="2" t="s">
        <v>39</v>
      </c>
      <c r="V2411" s="2" t="s">
        <v>40</v>
      </c>
      <c r="W2411" s="2" t="s">
        <v>11203</v>
      </c>
      <c r="X2411" s="2"/>
      <c r="Y2411" s="2"/>
      <c r="Z2411" s="2"/>
      <c r="AA2411" s="2" t="s">
        <v>72</v>
      </c>
      <c r="AB2411" s="2" t="s">
        <v>545</v>
      </c>
      <c r="AC2411" s="4" t="s">
        <v>44</v>
      </c>
    </row>
    <row r="2412" spans="1:29" x14ac:dyDescent="0.25">
      <c r="A2412" s="1">
        <v>3205</v>
      </c>
      <c r="B2412" s="17" t="s">
        <v>11204</v>
      </c>
      <c r="C2412" s="2" t="s">
        <v>11205</v>
      </c>
      <c r="D2412" s="15" t="s">
        <v>6008</v>
      </c>
      <c r="E2412" s="9" t="s">
        <v>2198</v>
      </c>
      <c r="F2412" s="9" t="s">
        <v>6007</v>
      </c>
      <c r="G2412" s="9" t="s">
        <v>48</v>
      </c>
      <c r="H2412" s="2" t="s">
        <v>35</v>
      </c>
      <c r="I2412" s="3">
        <v>36685</v>
      </c>
      <c r="J2412" s="9" t="str">
        <f t="shared" ca="1" si="39"/>
        <v>23 ans</v>
      </c>
      <c r="K2412" s="2" t="s">
        <v>68</v>
      </c>
      <c r="L2412" s="2" t="str">
        <f>"571"</f>
        <v>571</v>
      </c>
      <c r="M2412" s="2"/>
      <c r="N2412" s="2" t="str">
        <f>"RUE DE VILLEMONT"</f>
        <v>RUE DE VILLEMONT</v>
      </c>
      <c r="O2412" s="2" t="s">
        <v>11046</v>
      </c>
      <c r="P2412" s="9" t="str">
        <f>VLOOKUP($O2412,'Liste des Villes'!$B$2:$B$1128,1,FALSE)</f>
        <v>Sainte-Agathe-des-Monts</v>
      </c>
      <c r="Q2412" s="9" t="str">
        <f>IFERROR($P2412,PROPER(VLOOKUP($O2412,'Villes en erreur'!$A$2:$B$72,2,FALSE)))</f>
        <v>Sainte-Agathe-des-Monts</v>
      </c>
      <c r="R2412" s="9" t="s">
        <v>11047</v>
      </c>
      <c r="S2412" s="9" t="str">
        <f>IF(ISBLANK($R2412),"",VLOOKUP($R2412,'Liste des Villes'!$B$2:$H$1128,4,FALSE))</f>
        <v>Laurentides</v>
      </c>
      <c r="T2412" s="2" t="s">
        <v>11140</v>
      </c>
      <c r="U2412" s="2" t="s">
        <v>39</v>
      </c>
      <c r="V2412" s="2" t="s">
        <v>40</v>
      </c>
      <c r="W2412" s="2" t="s">
        <v>11206</v>
      </c>
      <c r="X2412" s="2"/>
      <c r="Y2412" s="2"/>
      <c r="Z2412" s="2"/>
      <c r="AA2412" s="2" t="s">
        <v>72</v>
      </c>
      <c r="AB2412" s="2" t="s">
        <v>545</v>
      </c>
      <c r="AC2412" s="4" t="s">
        <v>44</v>
      </c>
    </row>
    <row r="2413" spans="1:29" x14ac:dyDescent="0.25">
      <c r="A2413" s="1">
        <v>3588</v>
      </c>
      <c r="B2413" s="17" t="s">
        <v>11207</v>
      </c>
      <c r="C2413" s="2" t="s">
        <v>849</v>
      </c>
      <c r="D2413" s="15" t="s">
        <v>850</v>
      </c>
      <c r="E2413" s="9" t="s">
        <v>851</v>
      </c>
      <c r="F2413" s="9" t="s">
        <v>2061</v>
      </c>
      <c r="G2413" s="9" t="s">
        <v>48</v>
      </c>
      <c r="H2413" s="2" t="s">
        <v>35</v>
      </c>
      <c r="I2413" s="3">
        <v>36688</v>
      </c>
      <c r="J2413" s="9" t="str">
        <f t="shared" ca="1" si="39"/>
        <v>23 ans</v>
      </c>
      <c r="K2413" s="2" t="s">
        <v>68</v>
      </c>
      <c r="L2413" s="2" t="str">
        <f>"575"</f>
        <v>575</v>
      </c>
      <c r="M2413" s="2"/>
      <c r="N2413" s="2" t="str">
        <f>"RUE DELORME"</f>
        <v>RUE DELORME</v>
      </c>
      <c r="O2413" s="2" t="s">
        <v>11046</v>
      </c>
      <c r="P2413" s="9" t="str">
        <f>VLOOKUP($O2413,'Liste des Villes'!$B$2:$B$1128,1,FALSE)</f>
        <v>Sainte-Agathe-des-Monts</v>
      </c>
      <c r="Q2413" s="9" t="str">
        <f>IFERROR($P2413,PROPER(VLOOKUP($O2413,'Villes en erreur'!$A$2:$B$72,2,FALSE)))</f>
        <v>Sainte-Agathe-des-Monts</v>
      </c>
      <c r="R2413" s="9" t="s">
        <v>11047</v>
      </c>
      <c r="S2413" s="9" t="str">
        <f>IF(ISBLANK($R2413),"",VLOOKUP($R2413,'Liste des Villes'!$B$2:$H$1128,4,FALSE))</f>
        <v>Laurentides</v>
      </c>
      <c r="T2413" s="2" t="s">
        <v>11208</v>
      </c>
      <c r="U2413" s="2" t="s">
        <v>39</v>
      </c>
      <c r="V2413" s="2" t="s">
        <v>40</v>
      </c>
      <c r="W2413" s="2" t="s">
        <v>11209</v>
      </c>
      <c r="X2413" s="2"/>
      <c r="Y2413" s="2"/>
      <c r="Z2413" s="2"/>
      <c r="AA2413" s="2" t="s">
        <v>72</v>
      </c>
      <c r="AB2413" s="2" t="s">
        <v>545</v>
      </c>
      <c r="AC2413" s="4" t="s">
        <v>44</v>
      </c>
    </row>
    <row r="2414" spans="1:29" x14ac:dyDescent="0.25">
      <c r="A2414" s="1">
        <v>51</v>
      </c>
      <c r="B2414" s="17" t="s">
        <v>11210</v>
      </c>
      <c r="C2414" s="2" t="s">
        <v>1949</v>
      </c>
      <c r="D2414" s="15" t="s">
        <v>1950</v>
      </c>
      <c r="E2414" s="9" t="s">
        <v>277</v>
      </c>
      <c r="F2414" s="9" t="s">
        <v>1951</v>
      </c>
      <c r="G2414" s="9" t="s">
        <v>1330</v>
      </c>
      <c r="H2414" s="2" t="s">
        <v>60</v>
      </c>
      <c r="I2414" s="3">
        <v>36692</v>
      </c>
      <c r="J2414" s="9" t="str">
        <f t="shared" ca="1" si="39"/>
        <v>23 ans</v>
      </c>
      <c r="K2414" s="2" t="s">
        <v>68</v>
      </c>
      <c r="L2414" s="2" t="str">
        <f>"586"</f>
        <v>586</v>
      </c>
      <c r="M2414" s="2"/>
      <c r="N2414" s="2" t="str">
        <f>"RUE DENISE"</f>
        <v>RUE DENISE</v>
      </c>
      <c r="O2414" s="2" t="s">
        <v>11046</v>
      </c>
      <c r="P2414" s="9" t="str">
        <f>VLOOKUP($O2414,'Liste des Villes'!$B$2:$B$1128,1,FALSE)</f>
        <v>Sainte-Agathe-des-Monts</v>
      </c>
      <c r="Q2414" s="9" t="str">
        <f>IFERROR($P2414,PROPER(VLOOKUP($O2414,'Villes en erreur'!$A$2:$B$72,2,FALSE)))</f>
        <v>Sainte-Agathe-des-Monts</v>
      </c>
      <c r="R2414" s="9" t="s">
        <v>11047</v>
      </c>
      <c r="S2414" s="9" t="str">
        <f>IF(ISBLANK($R2414),"",VLOOKUP($R2414,'Liste des Villes'!$B$2:$H$1128,4,FALSE))</f>
        <v>Laurentides</v>
      </c>
      <c r="T2414" s="2" t="s">
        <v>11187</v>
      </c>
      <c r="U2414" s="2" t="s">
        <v>39</v>
      </c>
      <c r="V2414" s="2" t="s">
        <v>40</v>
      </c>
      <c r="W2414" s="2" t="s">
        <v>11211</v>
      </c>
      <c r="X2414" s="2"/>
      <c r="Y2414" s="2"/>
      <c r="Z2414" s="2"/>
      <c r="AA2414" s="2" t="s">
        <v>72</v>
      </c>
      <c r="AB2414" s="2" t="s">
        <v>545</v>
      </c>
      <c r="AC2414" s="4" t="s">
        <v>44</v>
      </c>
    </row>
    <row r="2415" spans="1:29" x14ac:dyDescent="0.25">
      <c r="A2415" s="1">
        <v>3424</v>
      </c>
      <c r="B2415" s="17" t="s">
        <v>11212</v>
      </c>
      <c r="C2415" s="2" t="s">
        <v>11213</v>
      </c>
      <c r="D2415" s="15" t="s">
        <v>6166</v>
      </c>
      <c r="E2415" s="9" t="s">
        <v>3844</v>
      </c>
      <c r="F2415" s="9" t="s">
        <v>2252</v>
      </c>
      <c r="G2415" s="9" t="s">
        <v>48</v>
      </c>
      <c r="H2415" s="2" t="s">
        <v>35</v>
      </c>
      <c r="I2415" s="3">
        <v>36686</v>
      </c>
      <c r="J2415" s="9" t="str">
        <f t="shared" ca="1" si="39"/>
        <v>23 ans</v>
      </c>
      <c r="K2415" s="2" t="s">
        <v>68</v>
      </c>
      <c r="L2415" s="2" t="str">
        <f>"573"</f>
        <v>573</v>
      </c>
      <c r="M2415" s="2"/>
      <c r="N2415" s="2" t="str">
        <f>"RUE DE VINCENNES"</f>
        <v>RUE DE VINCENNES</v>
      </c>
      <c r="O2415" s="2" t="s">
        <v>11046</v>
      </c>
      <c r="P2415" s="9" t="str">
        <f>VLOOKUP($O2415,'Liste des Villes'!$B$2:$B$1128,1,FALSE)</f>
        <v>Sainte-Agathe-des-Monts</v>
      </c>
      <c r="Q2415" s="9" t="str">
        <f>IFERROR($P2415,PROPER(VLOOKUP($O2415,'Villes en erreur'!$A$2:$B$72,2,FALSE)))</f>
        <v>Sainte-Agathe-des-Monts</v>
      </c>
      <c r="R2415" s="9" t="s">
        <v>11047</v>
      </c>
      <c r="S2415" s="9" t="str">
        <f>IF(ISBLANK($R2415),"",VLOOKUP($R2415,'Liste des Villes'!$B$2:$H$1128,4,FALSE))</f>
        <v>Laurentides</v>
      </c>
      <c r="T2415" s="2" t="s">
        <v>11214</v>
      </c>
      <c r="U2415" s="2" t="s">
        <v>39</v>
      </c>
      <c r="V2415" s="2" t="s">
        <v>40</v>
      </c>
      <c r="W2415" s="2" t="s">
        <v>11215</v>
      </c>
      <c r="X2415" s="2"/>
      <c r="Y2415" s="2"/>
      <c r="Z2415" s="2"/>
      <c r="AA2415" s="2" t="s">
        <v>72</v>
      </c>
      <c r="AB2415" s="2" t="s">
        <v>545</v>
      </c>
      <c r="AC2415" s="4" t="s">
        <v>44</v>
      </c>
    </row>
    <row r="2416" spans="1:29" x14ac:dyDescent="0.25">
      <c r="A2416" s="1">
        <v>1530</v>
      </c>
      <c r="B2416" s="17" t="s">
        <v>11216</v>
      </c>
      <c r="C2416" s="2" t="s">
        <v>11217</v>
      </c>
      <c r="D2416" s="15" t="s">
        <v>8572</v>
      </c>
      <c r="E2416" s="9" t="s">
        <v>241</v>
      </c>
      <c r="F2416" s="9" t="s">
        <v>629</v>
      </c>
      <c r="G2416" s="9" t="s">
        <v>685</v>
      </c>
      <c r="H2416" s="2" t="s">
        <v>60</v>
      </c>
      <c r="I2416" s="3">
        <v>36677</v>
      </c>
      <c r="J2416" s="9" t="str">
        <f t="shared" ca="1" si="39"/>
        <v>23 ans</v>
      </c>
      <c r="K2416" s="2" t="s">
        <v>68</v>
      </c>
      <c r="L2416" s="2" t="str">
        <f>"565"</f>
        <v>565</v>
      </c>
      <c r="M2416" s="2"/>
      <c r="N2416" s="2" t="str">
        <f>"RUE DE TOULON"</f>
        <v>RUE DE TOULON</v>
      </c>
      <c r="O2416" s="2" t="s">
        <v>11046</v>
      </c>
      <c r="P2416" s="9" t="str">
        <f>VLOOKUP($O2416,'Liste des Villes'!$B$2:$B$1128,1,FALSE)</f>
        <v>Sainte-Agathe-des-Monts</v>
      </c>
      <c r="Q2416" s="9" t="str">
        <f>IFERROR($P2416,PROPER(VLOOKUP($O2416,'Villes en erreur'!$A$2:$B$72,2,FALSE)))</f>
        <v>Sainte-Agathe-des-Monts</v>
      </c>
      <c r="R2416" s="9" t="s">
        <v>11047</v>
      </c>
      <c r="S2416" s="9" t="str">
        <f>IF(ISBLANK($R2416),"",VLOOKUP($R2416,'Liste des Villes'!$B$2:$H$1128,4,FALSE))</f>
        <v>Laurentides</v>
      </c>
      <c r="T2416" s="2" t="s">
        <v>11218</v>
      </c>
      <c r="U2416" s="2" t="s">
        <v>39</v>
      </c>
      <c r="V2416" s="2" t="s">
        <v>40</v>
      </c>
      <c r="W2416" s="2" t="s">
        <v>11219</v>
      </c>
      <c r="X2416" s="2"/>
      <c r="Y2416" s="2"/>
      <c r="Z2416" s="2"/>
      <c r="AA2416" s="2" t="s">
        <v>72</v>
      </c>
      <c r="AB2416" s="2" t="s">
        <v>545</v>
      </c>
      <c r="AC2416" s="4" t="s">
        <v>44</v>
      </c>
    </row>
    <row r="2417" spans="1:29" x14ac:dyDescent="0.25">
      <c r="A2417" s="1">
        <v>3011</v>
      </c>
      <c r="B2417" s="17" t="s">
        <v>11220</v>
      </c>
      <c r="C2417" s="2" t="s">
        <v>11221</v>
      </c>
      <c r="D2417" s="15" t="s">
        <v>3843</v>
      </c>
      <c r="E2417" s="9" t="s">
        <v>5476</v>
      </c>
      <c r="F2417" s="9" t="s">
        <v>31</v>
      </c>
      <c r="G2417" s="9" t="s">
        <v>685</v>
      </c>
      <c r="H2417" s="2" t="s">
        <v>60</v>
      </c>
      <c r="I2417" s="3">
        <v>36673</v>
      </c>
      <c r="J2417" s="9" t="str">
        <f t="shared" ca="1" si="39"/>
        <v>23 ans</v>
      </c>
      <c r="K2417" s="2" t="s">
        <v>68</v>
      </c>
      <c r="L2417" s="2" t="str">
        <f>"563"</f>
        <v>563</v>
      </c>
      <c r="M2417" s="2"/>
      <c r="N2417" s="2" t="str">
        <f>"RUE DE SAINT-JOVITE"</f>
        <v>RUE DE SAINT-JOVITE</v>
      </c>
      <c r="O2417" s="2" t="s">
        <v>11046</v>
      </c>
      <c r="P2417" s="9" t="str">
        <f>VLOOKUP($O2417,'Liste des Villes'!$B$2:$B$1128,1,FALSE)</f>
        <v>Sainte-Agathe-des-Monts</v>
      </c>
      <c r="Q2417" s="9" t="str">
        <f>IFERROR($P2417,PROPER(VLOOKUP($O2417,'Villes en erreur'!$A$2:$B$72,2,FALSE)))</f>
        <v>Sainte-Agathe-des-Monts</v>
      </c>
      <c r="R2417" s="9" t="s">
        <v>11047</v>
      </c>
      <c r="S2417" s="9" t="str">
        <f>IF(ISBLANK($R2417),"",VLOOKUP($R2417,'Liste des Villes'!$B$2:$H$1128,4,FALSE))</f>
        <v>Laurentides</v>
      </c>
      <c r="T2417" s="2" t="s">
        <v>11222</v>
      </c>
      <c r="U2417" s="2" t="s">
        <v>39</v>
      </c>
      <c r="V2417" s="2" t="s">
        <v>40</v>
      </c>
      <c r="W2417" s="2" t="s">
        <v>11223</v>
      </c>
      <c r="X2417" s="2"/>
      <c r="Y2417" s="2"/>
      <c r="Z2417" s="2"/>
      <c r="AA2417" s="2" t="s">
        <v>72</v>
      </c>
      <c r="AB2417" s="2" t="s">
        <v>545</v>
      </c>
      <c r="AC2417" s="4" t="s">
        <v>44</v>
      </c>
    </row>
    <row r="2418" spans="1:29" x14ac:dyDescent="0.25">
      <c r="A2418" s="1">
        <v>3114</v>
      </c>
      <c r="B2418" s="17" t="s">
        <v>11224</v>
      </c>
      <c r="C2418" s="2" t="s">
        <v>7529</v>
      </c>
      <c r="D2418" s="15" t="s">
        <v>6411</v>
      </c>
      <c r="E2418" s="9" t="s">
        <v>271</v>
      </c>
      <c r="F2418" s="9" t="s">
        <v>272</v>
      </c>
      <c r="G2418" s="9" t="s">
        <v>1330</v>
      </c>
      <c r="H2418" s="2" t="s">
        <v>60</v>
      </c>
      <c r="I2418" s="3">
        <v>36692</v>
      </c>
      <c r="J2418" s="9" t="str">
        <f t="shared" ca="1" si="39"/>
        <v>23 ans</v>
      </c>
      <c r="K2418" s="2" t="s">
        <v>68</v>
      </c>
      <c r="L2418" s="2" t="str">
        <f>"587"</f>
        <v>587</v>
      </c>
      <c r="M2418" s="2"/>
      <c r="N2418" s="2" t="str">
        <f>"RUE D'ENTREMONTS"</f>
        <v>RUE D'ENTREMONTS</v>
      </c>
      <c r="O2418" s="2" t="s">
        <v>11046</v>
      </c>
      <c r="P2418" s="9" t="str">
        <f>VLOOKUP($O2418,'Liste des Villes'!$B$2:$B$1128,1,FALSE)</f>
        <v>Sainte-Agathe-des-Monts</v>
      </c>
      <c r="Q2418" s="9" t="str">
        <f>IFERROR($P2418,PROPER(VLOOKUP($O2418,'Villes en erreur'!$A$2:$B$72,2,FALSE)))</f>
        <v>Sainte-Agathe-des-Monts</v>
      </c>
      <c r="R2418" s="9" t="s">
        <v>11047</v>
      </c>
      <c r="S2418" s="9" t="str">
        <f>IF(ISBLANK($R2418),"",VLOOKUP($R2418,'Liste des Villes'!$B$2:$H$1128,4,FALSE))</f>
        <v>Laurentides</v>
      </c>
      <c r="T2418" s="2" t="s">
        <v>11109</v>
      </c>
      <c r="U2418" s="2" t="s">
        <v>39</v>
      </c>
      <c r="V2418" s="2" t="s">
        <v>40</v>
      </c>
      <c r="W2418" s="2" t="s">
        <v>11225</v>
      </c>
      <c r="X2418" s="2"/>
      <c r="Y2418" s="2"/>
      <c r="Z2418" s="2"/>
      <c r="AA2418" s="2" t="s">
        <v>72</v>
      </c>
      <c r="AB2418" s="2" t="s">
        <v>545</v>
      </c>
      <c r="AC2418" s="4" t="s">
        <v>44</v>
      </c>
    </row>
    <row r="2419" spans="1:29" x14ac:dyDescent="0.25">
      <c r="A2419" s="1">
        <v>1903</v>
      </c>
      <c r="B2419" s="17" t="s">
        <v>11226</v>
      </c>
      <c r="C2419" s="2" t="s">
        <v>11227</v>
      </c>
      <c r="D2419" s="15" t="s">
        <v>11228</v>
      </c>
      <c r="E2419" s="9" t="s">
        <v>11229</v>
      </c>
      <c r="F2419" s="9" t="s">
        <v>76</v>
      </c>
      <c r="G2419" s="9" t="s">
        <v>1330</v>
      </c>
      <c r="H2419" s="2" t="s">
        <v>60</v>
      </c>
      <c r="I2419" s="3">
        <v>36691</v>
      </c>
      <c r="J2419" s="9" t="str">
        <f t="shared" ca="1" si="39"/>
        <v>23 ans</v>
      </c>
      <c r="K2419" s="2" t="s">
        <v>68</v>
      </c>
      <c r="L2419" s="2" t="str">
        <f>"583"</f>
        <v>583</v>
      </c>
      <c r="M2419" s="2"/>
      <c r="N2419" s="2" t="str">
        <f>"RUE DEMERS"</f>
        <v>RUE DEMERS</v>
      </c>
      <c r="O2419" s="2" t="s">
        <v>11046</v>
      </c>
      <c r="P2419" s="9" t="str">
        <f>VLOOKUP($O2419,'Liste des Villes'!$B$2:$B$1128,1,FALSE)</f>
        <v>Sainte-Agathe-des-Monts</v>
      </c>
      <c r="Q2419" s="9" t="str">
        <f>IFERROR($P2419,PROPER(VLOOKUP($O2419,'Villes en erreur'!$A$2:$B$72,2,FALSE)))</f>
        <v>Sainte-Agathe-des-Monts</v>
      </c>
      <c r="R2419" s="9" t="s">
        <v>11047</v>
      </c>
      <c r="S2419" s="9" t="str">
        <f>IF(ISBLANK($R2419),"",VLOOKUP($R2419,'Liste des Villes'!$B$2:$H$1128,4,FALSE))</f>
        <v>Laurentides</v>
      </c>
      <c r="T2419" s="2" t="s">
        <v>11170</v>
      </c>
      <c r="U2419" s="2" t="s">
        <v>39</v>
      </c>
      <c r="V2419" s="2" t="s">
        <v>40</v>
      </c>
      <c r="W2419" s="2" t="s">
        <v>11230</v>
      </c>
      <c r="X2419" s="2"/>
      <c r="Y2419" s="2"/>
      <c r="Z2419" s="2"/>
      <c r="AA2419" s="2" t="s">
        <v>72</v>
      </c>
      <c r="AB2419" s="2" t="s">
        <v>545</v>
      </c>
      <c r="AC2419" s="4" t="s">
        <v>44</v>
      </c>
    </row>
    <row r="2420" spans="1:29" x14ac:dyDescent="0.25">
      <c r="A2420" s="1">
        <v>2035</v>
      </c>
      <c r="B2420" s="17" t="s">
        <v>11231</v>
      </c>
      <c r="C2420" s="2" t="s">
        <v>9029</v>
      </c>
      <c r="D2420" s="15" t="s">
        <v>9030</v>
      </c>
      <c r="E2420" s="9" t="s">
        <v>4243</v>
      </c>
      <c r="F2420" s="9" t="s">
        <v>1061</v>
      </c>
      <c r="G2420" s="9" t="s">
        <v>48</v>
      </c>
      <c r="H2420" s="2" t="s">
        <v>35</v>
      </c>
      <c r="I2420" s="3">
        <v>36683</v>
      </c>
      <c r="J2420" s="9" t="str">
        <f t="shared" ca="1" si="39"/>
        <v>23 ans</v>
      </c>
      <c r="K2420" s="2" t="s">
        <v>68</v>
      </c>
      <c r="L2420" s="2" t="str">
        <f>"569"</f>
        <v>569</v>
      </c>
      <c r="M2420" s="2"/>
      <c r="N2420" s="2" t="str">
        <f>"RUE DE VALCOURT"</f>
        <v>RUE DE VALCOURT</v>
      </c>
      <c r="O2420" s="2" t="s">
        <v>11046</v>
      </c>
      <c r="P2420" s="9" t="str">
        <f>VLOOKUP($O2420,'Liste des Villes'!$B$2:$B$1128,1,FALSE)</f>
        <v>Sainte-Agathe-des-Monts</v>
      </c>
      <c r="Q2420" s="9" t="str">
        <f>IFERROR($P2420,PROPER(VLOOKUP($O2420,'Villes en erreur'!$A$2:$B$72,2,FALSE)))</f>
        <v>Sainte-Agathe-des-Monts</v>
      </c>
      <c r="R2420" s="9" t="s">
        <v>11047</v>
      </c>
      <c r="S2420" s="9" t="str">
        <f>IF(ISBLANK($R2420),"",VLOOKUP($R2420,'Liste des Villes'!$B$2:$H$1128,4,FALSE))</f>
        <v>Laurentides</v>
      </c>
      <c r="T2420" s="2" t="s">
        <v>11179</v>
      </c>
      <c r="U2420" s="2" t="s">
        <v>39</v>
      </c>
      <c r="V2420" s="2" t="s">
        <v>40</v>
      </c>
      <c r="W2420" s="2" t="s">
        <v>11232</v>
      </c>
      <c r="X2420" s="2"/>
      <c r="Y2420" s="2"/>
      <c r="Z2420" s="2"/>
      <c r="AA2420" s="2" t="s">
        <v>72</v>
      </c>
      <c r="AB2420" s="2" t="s">
        <v>545</v>
      </c>
      <c r="AC2420" s="4" t="s">
        <v>44</v>
      </c>
    </row>
    <row r="2421" spans="1:29" x14ac:dyDescent="0.25">
      <c r="A2421" s="1">
        <v>1043</v>
      </c>
      <c r="B2421" s="17" t="s">
        <v>11233</v>
      </c>
      <c r="C2421" s="2" t="s">
        <v>6243</v>
      </c>
      <c r="D2421" s="15" t="s">
        <v>2010</v>
      </c>
      <c r="E2421" s="9" t="s">
        <v>6244</v>
      </c>
      <c r="F2421" s="9" t="s">
        <v>1076</v>
      </c>
      <c r="G2421" s="9" t="s">
        <v>48</v>
      </c>
      <c r="H2421" s="2" t="s">
        <v>35</v>
      </c>
      <c r="I2421" s="3">
        <v>36686</v>
      </c>
      <c r="J2421" s="9" t="str">
        <f t="shared" ca="1" si="39"/>
        <v>23 ans</v>
      </c>
      <c r="K2421" s="2" t="s">
        <v>68</v>
      </c>
      <c r="L2421" s="2" t="str">
        <f>"572"</f>
        <v>572</v>
      </c>
      <c r="M2421" s="2"/>
      <c r="N2421" s="2" t="str">
        <f>"RUE DE VINCENNES"</f>
        <v>RUE DE VINCENNES</v>
      </c>
      <c r="O2421" s="2" t="s">
        <v>11046</v>
      </c>
      <c r="P2421" s="9" t="str">
        <f>VLOOKUP($O2421,'Liste des Villes'!$B$2:$B$1128,1,FALSE)</f>
        <v>Sainte-Agathe-des-Monts</v>
      </c>
      <c r="Q2421" s="9" t="str">
        <f>IFERROR($P2421,PROPER(VLOOKUP($O2421,'Villes en erreur'!$A$2:$B$72,2,FALSE)))</f>
        <v>Sainte-Agathe-des-Monts</v>
      </c>
      <c r="R2421" s="9" t="s">
        <v>11047</v>
      </c>
      <c r="S2421" s="9" t="str">
        <f>IF(ISBLANK($R2421),"",VLOOKUP($R2421,'Liste des Villes'!$B$2:$H$1128,4,FALSE))</f>
        <v>Laurentides</v>
      </c>
      <c r="T2421" s="2" t="s">
        <v>11234</v>
      </c>
      <c r="U2421" s="2" t="s">
        <v>39</v>
      </c>
      <c r="V2421" s="2" t="s">
        <v>40</v>
      </c>
      <c r="W2421" s="2" t="s">
        <v>11235</v>
      </c>
      <c r="X2421" s="2"/>
      <c r="Y2421" s="2"/>
      <c r="Z2421" s="2"/>
      <c r="AA2421" s="2" t="s">
        <v>72</v>
      </c>
      <c r="AB2421" s="2" t="s">
        <v>545</v>
      </c>
      <c r="AC2421" s="4" t="s">
        <v>44</v>
      </c>
    </row>
    <row r="2422" spans="1:29" x14ac:dyDescent="0.25">
      <c r="A2422" s="1">
        <v>399</v>
      </c>
      <c r="B2422" s="17" t="s">
        <v>11236</v>
      </c>
      <c r="C2422" s="2" t="s">
        <v>11237</v>
      </c>
      <c r="D2422" s="15" t="s">
        <v>11238</v>
      </c>
      <c r="E2422" s="9" t="s">
        <v>495</v>
      </c>
      <c r="F2422" s="9" t="s">
        <v>11239</v>
      </c>
      <c r="G2422" s="9" t="s">
        <v>48</v>
      </c>
      <c r="H2422" s="2" t="s">
        <v>35</v>
      </c>
      <c r="I2422" s="3">
        <v>36688</v>
      </c>
      <c r="J2422" s="9" t="str">
        <f t="shared" ca="1" si="39"/>
        <v>23 ans</v>
      </c>
      <c r="K2422" s="2" t="s">
        <v>68</v>
      </c>
      <c r="L2422" s="2" t="str">
        <f>"575"</f>
        <v>575</v>
      </c>
      <c r="M2422" s="2"/>
      <c r="N2422" s="2" t="str">
        <f>"RUE DELISLE"</f>
        <v>RUE DELISLE</v>
      </c>
      <c r="O2422" s="2" t="s">
        <v>11046</v>
      </c>
      <c r="P2422" s="9" t="str">
        <f>VLOOKUP($O2422,'Liste des Villes'!$B$2:$B$1128,1,FALSE)</f>
        <v>Sainte-Agathe-des-Monts</v>
      </c>
      <c r="Q2422" s="9" t="str">
        <f>IFERROR($P2422,PROPER(VLOOKUP($O2422,'Villes en erreur'!$A$2:$B$72,2,FALSE)))</f>
        <v>Sainte-Agathe-des-Monts</v>
      </c>
      <c r="R2422" s="9" t="s">
        <v>11047</v>
      </c>
      <c r="S2422" s="9" t="str">
        <f>IF(ISBLANK($R2422),"",VLOOKUP($R2422,'Liste des Villes'!$B$2:$H$1128,4,FALSE))</f>
        <v>Laurentides</v>
      </c>
      <c r="T2422" s="2" t="s">
        <v>11208</v>
      </c>
      <c r="U2422" s="2" t="s">
        <v>39</v>
      </c>
      <c r="V2422" s="2" t="s">
        <v>40</v>
      </c>
      <c r="W2422" s="2" t="s">
        <v>11240</v>
      </c>
      <c r="X2422" s="2"/>
      <c r="Y2422" s="2"/>
      <c r="Z2422" s="2"/>
      <c r="AA2422" s="2" t="s">
        <v>72</v>
      </c>
      <c r="AB2422" s="2" t="s">
        <v>545</v>
      </c>
      <c r="AC2422" s="4" t="s">
        <v>44</v>
      </c>
    </row>
    <row r="2423" spans="1:29" x14ac:dyDescent="0.25">
      <c r="A2423" s="1">
        <v>1846</v>
      </c>
      <c r="B2423" s="17" t="s">
        <v>11241</v>
      </c>
      <c r="C2423" s="2" t="s">
        <v>11242</v>
      </c>
      <c r="D2423" s="15" t="s">
        <v>8721</v>
      </c>
      <c r="E2423" s="9" t="s">
        <v>4887</v>
      </c>
      <c r="F2423" s="9" t="s">
        <v>8720</v>
      </c>
      <c r="G2423" s="9" t="s">
        <v>1330</v>
      </c>
      <c r="H2423" s="2" t="s">
        <v>60</v>
      </c>
      <c r="I2423" s="3">
        <v>36691</v>
      </c>
      <c r="J2423" s="9" t="str">
        <f t="shared" ca="1" si="39"/>
        <v>23 ans</v>
      </c>
      <c r="K2423" s="2" t="s">
        <v>68</v>
      </c>
      <c r="L2423" s="2" t="str">
        <f>"585"</f>
        <v>585</v>
      </c>
      <c r="M2423" s="2"/>
      <c r="N2423" s="2" t="str">
        <f>"RUE DEMONTIGNY"</f>
        <v>RUE DEMONTIGNY</v>
      </c>
      <c r="O2423" s="2" t="s">
        <v>11046</v>
      </c>
      <c r="P2423" s="9" t="str">
        <f>VLOOKUP($O2423,'Liste des Villes'!$B$2:$B$1128,1,FALSE)</f>
        <v>Sainte-Agathe-des-Monts</v>
      </c>
      <c r="Q2423" s="9" t="str">
        <f>IFERROR($P2423,PROPER(VLOOKUP($O2423,'Villes en erreur'!$A$2:$B$72,2,FALSE)))</f>
        <v>Sainte-Agathe-des-Monts</v>
      </c>
      <c r="R2423" s="9" t="s">
        <v>11047</v>
      </c>
      <c r="S2423" s="9" t="str">
        <f>IF(ISBLANK($R2423),"",VLOOKUP($R2423,'Liste des Villes'!$B$2:$H$1128,4,FALSE))</f>
        <v>Laurentides</v>
      </c>
      <c r="T2423" s="2" t="s">
        <v>11243</v>
      </c>
      <c r="U2423" s="2" t="s">
        <v>39</v>
      </c>
      <c r="V2423" s="2" t="s">
        <v>40</v>
      </c>
      <c r="W2423" s="2" t="s">
        <v>11244</v>
      </c>
      <c r="X2423" s="2"/>
      <c r="Y2423" s="2"/>
      <c r="Z2423" s="2"/>
      <c r="AA2423" s="2" t="s">
        <v>72</v>
      </c>
      <c r="AB2423" s="2" t="s">
        <v>545</v>
      </c>
      <c r="AC2423" s="4" t="s">
        <v>44</v>
      </c>
    </row>
    <row r="2424" spans="1:29" x14ac:dyDescent="0.25">
      <c r="A2424" s="1">
        <v>2886</v>
      </c>
      <c r="B2424" s="17" t="s">
        <v>11245</v>
      </c>
      <c r="C2424" s="2" t="s">
        <v>11246</v>
      </c>
      <c r="D2424" s="15" t="s">
        <v>426</v>
      </c>
      <c r="E2424" s="9" t="s">
        <v>11247</v>
      </c>
      <c r="F2424" s="9" t="s">
        <v>424</v>
      </c>
      <c r="G2424" s="9" t="s">
        <v>11248</v>
      </c>
      <c r="H2424" s="2" t="s">
        <v>35</v>
      </c>
      <c r="I2424" s="3">
        <v>36726</v>
      </c>
      <c r="J2424" s="9" t="str">
        <f t="shared" ca="1" si="39"/>
        <v>23 ans</v>
      </c>
      <c r="K2424" s="2" t="s">
        <v>68</v>
      </c>
      <c r="L2424" s="2" t="str">
        <f>"620"</f>
        <v>620</v>
      </c>
      <c r="M2424" s="2"/>
      <c r="N2424" s="2" t="str">
        <f>"RUE DES CAMÉLIAS"</f>
        <v>RUE DES CAMÉLIAS</v>
      </c>
      <c r="O2424" s="2" t="s">
        <v>11249</v>
      </c>
      <c r="P2424" s="9" t="str">
        <f>VLOOKUP($O2424,'Liste des Villes'!$B$2:$B$1128,1,FALSE)</f>
        <v>Sainte-Adèle</v>
      </c>
      <c r="Q2424" s="9" t="str">
        <f>IFERROR($P2424,PROPER(VLOOKUP($O2424,'Villes en erreur'!$A$2:$B$72,2,FALSE)))</f>
        <v>Sainte-Adèle</v>
      </c>
      <c r="R2424" s="9" t="s">
        <v>11250</v>
      </c>
      <c r="S2424" s="9" t="str">
        <f>IF(ISBLANK($R2424),"",VLOOKUP($R2424,'Liste des Villes'!$B$2:$H$1128,4,FALSE))</f>
        <v>Laurentides</v>
      </c>
      <c r="T2424" s="2" t="s">
        <v>11251</v>
      </c>
      <c r="U2424" s="2" t="s">
        <v>39</v>
      </c>
      <c r="V2424" s="2" t="s">
        <v>40</v>
      </c>
      <c r="W2424" s="2" t="s">
        <v>11252</v>
      </c>
      <c r="X2424" s="2"/>
      <c r="Y2424" s="2"/>
      <c r="Z2424" s="2"/>
      <c r="AA2424" s="2" t="s">
        <v>72</v>
      </c>
      <c r="AB2424" s="2" t="s">
        <v>192</v>
      </c>
      <c r="AC2424" s="4" t="s">
        <v>44</v>
      </c>
    </row>
    <row r="2425" spans="1:29" x14ac:dyDescent="0.25">
      <c r="A2425" s="1">
        <v>637</v>
      </c>
      <c r="B2425" s="17" t="s">
        <v>11253</v>
      </c>
      <c r="C2425" s="2" t="s">
        <v>11254</v>
      </c>
      <c r="D2425" s="15" t="s">
        <v>11255</v>
      </c>
      <c r="E2425" s="9" t="s">
        <v>1337</v>
      </c>
      <c r="F2425" s="9" t="s">
        <v>171</v>
      </c>
      <c r="G2425" s="9" t="s">
        <v>1355</v>
      </c>
      <c r="H2425" s="2" t="s">
        <v>35</v>
      </c>
      <c r="I2425" s="3">
        <v>36736</v>
      </c>
      <c r="J2425" s="9" t="str">
        <f t="shared" ca="1" si="39"/>
        <v>23 ans</v>
      </c>
      <c r="K2425" s="2" t="s">
        <v>68</v>
      </c>
      <c r="L2425" s="2" t="str">
        <f>"640"</f>
        <v>640</v>
      </c>
      <c r="M2425" s="2"/>
      <c r="N2425" s="2" t="str">
        <f>"RUE DES CÉPAGES"</f>
        <v>RUE DES CÉPAGES</v>
      </c>
      <c r="O2425" s="2" t="s">
        <v>11249</v>
      </c>
      <c r="P2425" s="9" t="str">
        <f>VLOOKUP($O2425,'Liste des Villes'!$B$2:$B$1128,1,FALSE)</f>
        <v>Sainte-Adèle</v>
      </c>
      <c r="Q2425" s="9" t="str">
        <f>IFERROR($P2425,PROPER(VLOOKUP($O2425,'Villes en erreur'!$A$2:$B$72,2,FALSE)))</f>
        <v>Sainte-Adèle</v>
      </c>
      <c r="R2425" s="9" t="s">
        <v>11250</v>
      </c>
      <c r="S2425" s="9" t="str">
        <f>IF(ISBLANK($R2425),"",VLOOKUP($R2425,'Liste des Villes'!$B$2:$H$1128,4,FALSE))</f>
        <v>Laurentides</v>
      </c>
      <c r="T2425" s="2" t="s">
        <v>11256</v>
      </c>
      <c r="U2425" s="2" t="s">
        <v>39</v>
      </c>
      <c r="V2425" s="2" t="s">
        <v>40</v>
      </c>
      <c r="W2425" s="2" t="s">
        <v>11257</v>
      </c>
      <c r="X2425" s="2"/>
      <c r="Y2425" s="2"/>
      <c r="Z2425" s="2"/>
      <c r="AA2425" s="2" t="s">
        <v>72</v>
      </c>
      <c r="AB2425" s="2" t="s">
        <v>192</v>
      </c>
      <c r="AC2425" s="4" t="s">
        <v>44</v>
      </c>
    </row>
    <row r="2426" spans="1:29" x14ac:dyDescent="0.25">
      <c r="A2426" s="1">
        <v>4152</v>
      </c>
      <c r="B2426" s="17" t="s">
        <v>11258</v>
      </c>
      <c r="C2426" s="2" t="s">
        <v>4135</v>
      </c>
      <c r="D2426" s="15" t="s">
        <v>4136</v>
      </c>
      <c r="E2426" s="9" t="s">
        <v>1355</v>
      </c>
      <c r="F2426" s="9" t="s">
        <v>8486</v>
      </c>
      <c r="G2426" s="9" t="s">
        <v>3964</v>
      </c>
      <c r="H2426" s="2" t="s">
        <v>35</v>
      </c>
      <c r="I2426" s="3">
        <v>36746</v>
      </c>
      <c r="J2426" s="9" t="str">
        <f t="shared" ca="1" si="39"/>
        <v>23 ans</v>
      </c>
      <c r="K2426" s="2" t="s">
        <v>68</v>
      </c>
      <c r="L2426" s="2" t="str">
        <f>"652"</f>
        <v>652</v>
      </c>
      <c r="M2426" s="2"/>
      <c r="N2426" s="2" t="str">
        <f>"RUE DES CHRYSANTHÈMES"</f>
        <v>RUE DES CHRYSANTHÈMES</v>
      </c>
      <c r="O2426" s="2" t="s">
        <v>11249</v>
      </c>
      <c r="P2426" s="9" t="str">
        <f>VLOOKUP($O2426,'Liste des Villes'!$B$2:$B$1128,1,FALSE)</f>
        <v>Sainte-Adèle</v>
      </c>
      <c r="Q2426" s="9" t="str">
        <f>IFERROR($P2426,PROPER(VLOOKUP($O2426,'Villes en erreur'!$A$2:$B$72,2,FALSE)))</f>
        <v>Sainte-Adèle</v>
      </c>
      <c r="R2426" s="9" t="s">
        <v>11250</v>
      </c>
      <c r="S2426" s="9" t="str">
        <f>IF(ISBLANK($R2426),"",VLOOKUP($R2426,'Liste des Villes'!$B$2:$H$1128,4,FALSE))</f>
        <v>Laurentides</v>
      </c>
      <c r="T2426" s="2" t="s">
        <v>11259</v>
      </c>
      <c r="U2426" s="2" t="s">
        <v>39</v>
      </c>
      <c r="V2426" s="2" t="s">
        <v>40</v>
      </c>
      <c r="W2426" s="2" t="s">
        <v>11260</v>
      </c>
      <c r="X2426" s="2"/>
      <c r="Y2426" s="2"/>
      <c r="Z2426" s="2"/>
      <c r="AA2426" s="2" t="s">
        <v>72</v>
      </c>
      <c r="AB2426" s="2" t="s">
        <v>192</v>
      </c>
      <c r="AC2426" s="4" t="s">
        <v>44</v>
      </c>
    </row>
    <row r="2427" spans="1:29" x14ac:dyDescent="0.25">
      <c r="A2427" s="1">
        <v>3950</v>
      </c>
      <c r="B2427" s="17" t="s">
        <v>11261</v>
      </c>
      <c r="C2427" s="2" t="s">
        <v>394</v>
      </c>
      <c r="D2427" s="15" t="s">
        <v>395</v>
      </c>
      <c r="E2427" s="9" t="s">
        <v>396</v>
      </c>
      <c r="F2427" s="9" t="s">
        <v>34</v>
      </c>
      <c r="G2427" s="9" t="s">
        <v>172</v>
      </c>
      <c r="H2427" s="2" t="s">
        <v>60</v>
      </c>
      <c r="I2427" s="3">
        <v>36707</v>
      </c>
      <c r="J2427" s="9" t="str">
        <f t="shared" ca="1" si="39"/>
        <v>23 ans</v>
      </c>
      <c r="K2427" s="2" t="s">
        <v>68</v>
      </c>
      <c r="L2427" s="2" t="str">
        <f>"600"</f>
        <v>600</v>
      </c>
      <c r="M2427" s="2"/>
      <c r="N2427" s="2" t="str">
        <f>"RUE DES BÉLIERS"</f>
        <v>RUE DES BÉLIERS</v>
      </c>
      <c r="O2427" s="2" t="s">
        <v>11249</v>
      </c>
      <c r="P2427" s="9" t="str">
        <f>VLOOKUP($O2427,'Liste des Villes'!$B$2:$B$1128,1,FALSE)</f>
        <v>Sainte-Adèle</v>
      </c>
      <c r="Q2427" s="9" t="str">
        <f>IFERROR($P2427,PROPER(VLOOKUP($O2427,'Villes en erreur'!$A$2:$B$72,2,FALSE)))</f>
        <v>Sainte-Adèle</v>
      </c>
      <c r="R2427" s="9" t="s">
        <v>11250</v>
      </c>
      <c r="S2427" s="9" t="str">
        <f>IF(ISBLANK($R2427),"",VLOOKUP($R2427,'Liste des Villes'!$B$2:$H$1128,4,FALSE))</f>
        <v>Laurentides</v>
      </c>
      <c r="T2427" s="2" t="s">
        <v>11262</v>
      </c>
      <c r="U2427" s="2" t="s">
        <v>39</v>
      </c>
      <c r="V2427" s="2" t="s">
        <v>40</v>
      </c>
      <c r="W2427" s="2" t="s">
        <v>11263</v>
      </c>
      <c r="X2427" s="2"/>
      <c r="Y2427" s="2"/>
      <c r="Z2427" s="2"/>
      <c r="AA2427" s="2" t="s">
        <v>72</v>
      </c>
      <c r="AB2427" s="2" t="s">
        <v>545</v>
      </c>
      <c r="AC2427" s="4" t="s">
        <v>44</v>
      </c>
    </row>
    <row r="2428" spans="1:29" x14ac:dyDescent="0.25">
      <c r="A2428" s="1">
        <v>465</v>
      </c>
      <c r="B2428" s="17" t="s">
        <v>11264</v>
      </c>
      <c r="C2428" s="2" t="s">
        <v>11265</v>
      </c>
      <c r="D2428" s="15" t="s">
        <v>8471</v>
      </c>
      <c r="E2428" s="9" t="s">
        <v>4917</v>
      </c>
      <c r="F2428" s="9" t="s">
        <v>1617</v>
      </c>
      <c r="G2428" s="9" t="s">
        <v>172</v>
      </c>
      <c r="H2428" s="2" t="s">
        <v>60</v>
      </c>
      <c r="I2428" s="3">
        <v>36707</v>
      </c>
      <c r="J2428" s="9" t="str">
        <f t="shared" ca="1" si="39"/>
        <v>23 ans</v>
      </c>
      <c r="K2428" s="2" t="s">
        <v>68</v>
      </c>
      <c r="L2428" s="2" t="str">
        <f>"599"</f>
        <v>599</v>
      </c>
      <c r="M2428" s="2"/>
      <c r="N2428" s="2" t="str">
        <f>"RUE DES BÉCASSEAUX"</f>
        <v>RUE DES BÉCASSEAUX</v>
      </c>
      <c r="O2428" s="2" t="s">
        <v>11249</v>
      </c>
      <c r="P2428" s="9" t="str">
        <f>VLOOKUP($O2428,'Liste des Villes'!$B$2:$B$1128,1,FALSE)</f>
        <v>Sainte-Adèle</v>
      </c>
      <c r="Q2428" s="9" t="str">
        <f>IFERROR($P2428,PROPER(VLOOKUP($O2428,'Villes en erreur'!$A$2:$B$72,2,FALSE)))</f>
        <v>Sainte-Adèle</v>
      </c>
      <c r="R2428" s="9" t="s">
        <v>11250</v>
      </c>
      <c r="S2428" s="9" t="str">
        <f>IF(ISBLANK($R2428),"",VLOOKUP($R2428,'Liste des Villes'!$B$2:$H$1128,4,FALSE))</f>
        <v>Laurentides</v>
      </c>
      <c r="T2428" s="2" t="s">
        <v>11266</v>
      </c>
      <c r="U2428" s="2" t="s">
        <v>39</v>
      </c>
      <c r="V2428" s="2" t="s">
        <v>40</v>
      </c>
      <c r="W2428" s="2" t="s">
        <v>11267</v>
      </c>
      <c r="X2428" s="2"/>
      <c r="Y2428" s="2"/>
      <c r="Z2428" s="2"/>
      <c r="AA2428" s="2" t="s">
        <v>72</v>
      </c>
      <c r="AB2428" s="2" t="s">
        <v>545</v>
      </c>
      <c r="AC2428" s="4" t="s">
        <v>44</v>
      </c>
    </row>
    <row r="2429" spans="1:29" x14ac:dyDescent="0.25">
      <c r="A2429" s="1">
        <v>92</v>
      </c>
      <c r="B2429" s="17" t="s">
        <v>11268</v>
      </c>
      <c r="C2429" s="2" t="s">
        <v>8780</v>
      </c>
      <c r="D2429" s="15" t="s">
        <v>8781</v>
      </c>
      <c r="E2429" s="9" t="s">
        <v>253</v>
      </c>
      <c r="F2429" s="9" t="s">
        <v>726</v>
      </c>
      <c r="G2429" s="9" t="s">
        <v>1355</v>
      </c>
      <c r="H2429" s="2" t="s">
        <v>35</v>
      </c>
      <c r="I2429" s="3">
        <v>36739</v>
      </c>
      <c r="J2429" s="9" t="str">
        <f t="shared" ca="1" si="39"/>
        <v>23 ans</v>
      </c>
      <c r="K2429" s="2" t="s">
        <v>68</v>
      </c>
      <c r="L2429" s="2" t="str">
        <f>"644"</f>
        <v>644</v>
      </c>
      <c r="M2429" s="2"/>
      <c r="N2429" s="2" t="str">
        <f>"RUE DES CHARDONNERETS"</f>
        <v>RUE DES CHARDONNERETS</v>
      </c>
      <c r="O2429" s="2" t="s">
        <v>11249</v>
      </c>
      <c r="P2429" s="9" t="str">
        <f>VLOOKUP($O2429,'Liste des Villes'!$B$2:$B$1128,1,FALSE)</f>
        <v>Sainte-Adèle</v>
      </c>
      <c r="Q2429" s="9" t="str">
        <f>IFERROR($P2429,PROPER(VLOOKUP($O2429,'Villes en erreur'!$A$2:$B$72,2,FALSE)))</f>
        <v>Sainte-Adèle</v>
      </c>
      <c r="R2429" s="9" t="s">
        <v>11250</v>
      </c>
      <c r="S2429" s="9" t="str">
        <f>IF(ISBLANK($R2429),"",VLOOKUP($R2429,'Liste des Villes'!$B$2:$H$1128,4,FALSE))</f>
        <v>Laurentides</v>
      </c>
      <c r="T2429" s="2" t="s">
        <v>11269</v>
      </c>
      <c r="U2429" s="2" t="s">
        <v>39</v>
      </c>
      <c r="V2429" s="2" t="s">
        <v>40</v>
      </c>
      <c r="W2429" s="2" t="s">
        <v>11270</v>
      </c>
      <c r="X2429" s="2"/>
      <c r="Y2429" s="2"/>
      <c r="Z2429" s="2"/>
      <c r="AA2429" s="2" t="s">
        <v>72</v>
      </c>
      <c r="AB2429" s="2" t="s">
        <v>192</v>
      </c>
      <c r="AC2429" s="4" t="s">
        <v>44</v>
      </c>
    </row>
    <row r="2430" spans="1:29" x14ac:dyDescent="0.25">
      <c r="A2430" s="1">
        <v>1675</v>
      </c>
      <c r="B2430" s="17" t="s">
        <v>11271</v>
      </c>
      <c r="C2430" s="2" t="s">
        <v>3132</v>
      </c>
      <c r="D2430" s="15" t="s">
        <v>355</v>
      </c>
      <c r="E2430" s="9" t="s">
        <v>1582</v>
      </c>
      <c r="F2430" s="9" t="s">
        <v>11272</v>
      </c>
      <c r="G2430" s="9" t="s">
        <v>5652</v>
      </c>
      <c r="H2430" s="2" t="s">
        <v>60</v>
      </c>
      <c r="I2430" s="3">
        <v>36725</v>
      </c>
      <c r="J2430" s="9" t="str">
        <f t="shared" ca="1" si="39"/>
        <v>23 ans</v>
      </c>
      <c r="K2430" s="2" t="s">
        <v>68</v>
      </c>
      <c r="L2430" s="2" t="str">
        <f>"619"</f>
        <v>619</v>
      </c>
      <c r="M2430" s="2"/>
      <c r="N2430" s="2" t="str">
        <f>"RUE DES BRUANTS"</f>
        <v>RUE DES BRUANTS</v>
      </c>
      <c r="O2430" s="2" t="s">
        <v>11249</v>
      </c>
      <c r="P2430" s="9" t="str">
        <f>VLOOKUP($O2430,'Liste des Villes'!$B$2:$B$1128,1,FALSE)</f>
        <v>Sainte-Adèle</v>
      </c>
      <c r="Q2430" s="9" t="str">
        <f>IFERROR($P2430,PROPER(VLOOKUP($O2430,'Villes en erreur'!$A$2:$B$72,2,FALSE)))</f>
        <v>Sainte-Adèle</v>
      </c>
      <c r="R2430" s="9" t="s">
        <v>11250</v>
      </c>
      <c r="S2430" s="9" t="str">
        <f>IF(ISBLANK($R2430),"",VLOOKUP($R2430,'Liste des Villes'!$B$2:$H$1128,4,FALSE))</f>
        <v>Laurentides</v>
      </c>
      <c r="T2430" s="2" t="s">
        <v>11273</v>
      </c>
      <c r="U2430" s="2" t="s">
        <v>39</v>
      </c>
      <c r="V2430" s="2" t="s">
        <v>40</v>
      </c>
      <c r="W2430" s="2" t="s">
        <v>11274</v>
      </c>
      <c r="X2430" s="2"/>
      <c r="Y2430" s="2"/>
      <c r="Z2430" s="2"/>
      <c r="AA2430" s="2" t="s">
        <v>72</v>
      </c>
      <c r="AB2430" s="2" t="s">
        <v>192</v>
      </c>
      <c r="AC2430" s="4" t="s">
        <v>44</v>
      </c>
    </row>
    <row r="2431" spans="1:29" x14ac:dyDescent="0.25">
      <c r="A2431" s="1">
        <v>195</v>
      </c>
      <c r="B2431" s="17" t="s">
        <v>11275</v>
      </c>
      <c r="C2431" s="2" t="s">
        <v>2727</v>
      </c>
      <c r="D2431" s="15" t="s">
        <v>2728</v>
      </c>
      <c r="E2431" s="9" t="s">
        <v>341</v>
      </c>
      <c r="F2431" s="9" t="s">
        <v>2729</v>
      </c>
      <c r="G2431" s="9" t="s">
        <v>3423</v>
      </c>
      <c r="H2431" s="2" t="s">
        <v>60</v>
      </c>
      <c r="I2431" s="3">
        <v>36754</v>
      </c>
      <c r="J2431" s="9" t="str">
        <f t="shared" ca="1" si="39"/>
        <v>23 ans</v>
      </c>
      <c r="K2431" s="2" t="s">
        <v>68</v>
      </c>
      <c r="L2431" s="2" t="str">
        <f>"661"</f>
        <v>661</v>
      </c>
      <c r="M2431" s="2"/>
      <c r="N2431" s="2" t="str">
        <f>"RUE DES CUIVRES"</f>
        <v>RUE DES CUIVRES</v>
      </c>
      <c r="O2431" s="2" t="s">
        <v>11249</v>
      </c>
      <c r="P2431" s="9" t="str">
        <f>VLOOKUP($O2431,'Liste des Villes'!$B$2:$B$1128,1,FALSE)</f>
        <v>Sainte-Adèle</v>
      </c>
      <c r="Q2431" s="9" t="str">
        <f>IFERROR($P2431,PROPER(VLOOKUP($O2431,'Villes en erreur'!$A$2:$B$72,2,FALSE)))</f>
        <v>Sainte-Adèle</v>
      </c>
      <c r="R2431" s="9" t="s">
        <v>11250</v>
      </c>
      <c r="S2431" s="9" t="str">
        <f>IF(ISBLANK($R2431),"",VLOOKUP($R2431,'Liste des Villes'!$B$2:$H$1128,4,FALSE))</f>
        <v>Laurentides</v>
      </c>
      <c r="T2431" s="2" t="s">
        <v>11276</v>
      </c>
      <c r="U2431" s="2" t="s">
        <v>39</v>
      </c>
      <c r="V2431" s="2" t="s">
        <v>40</v>
      </c>
      <c r="W2431" s="2" t="s">
        <v>11277</v>
      </c>
      <c r="X2431" s="2"/>
      <c r="Y2431" s="2"/>
      <c r="Z2431" s="2"/>
      <c r="AA2431" s="2" t="s">
        <v>72</v>
      </c>
      <c r="AB2431" s="2" t="s">
        <v>192</v>
      </c>
      <c r="AC2431" s="4" t="s">
        <v>44</v>
      </c>
    </row>
    <row r="2432" spans="1:29" x14ac:dyDescent="0.25">
      <c r="A2432" s="1">
        <v>2007</v>
      </c>
      <c r="B2432" s="17" t="s">
        <v>11278</v>
      </c>
      <c r="C2432" s="2" t="s">
        <v>11279</v>
      </c>
      <c r="D2432" s="15" t="s">
        <v>3301</v>
      </c>
      <c r="E2432" s="9" t="s">
        <v>253</v>
      </c>
      <c r="F2432" s="9" t="s">
        <v>3299</v>
      </c>
      <c r="G2432" s="9" t="s">
        <v>940</v>
      </c>
      <c r="H2432" s="2" t="s">
        <v>60</v>
      </c>
      <c r="I2432" s="3">
        <v>36726</v>
      </c>
      <c r="J2432" s="9" t="str">
        <f t="shared" ca="1" si="39"/>
        <v>23 ans</v>
      </c>
      <c r="K2432" s="2" t="s">
        <v>68</v>
      </c>
      <c r="L2432" s="2" t="str">
        <f>"620"</f>
        <v>620</v>
      </c>
      <c r="M2432" s="2"/>
      <c r="N2432" s="2" t="str">
        <f>"RUE DES CAMÉLIAS"</f>
        <v>RUE DES CAMÉLIAS</v>
      </c>
      <c r="O2432" s="2" t="s">
        <v>11249</v>
      </c>
      <c r="P2432" s="9" t="str">
        <f>VLOOKUP($O2432,'Liste des Villes'!$B$2:$B$1128,1,FALSE)</f>
        <v>Sainte-Adèle</v>
      </c>
      <c r="Q2432" s="9" t="str">
        <f>IFERROR($P2432,PROPER(VLOOKUP($O2432,'Villes en erreur'!$A$2:$B$72,2,FALSE)))</f>
        <v>Sainte-Adèle</v>
      </c>
      <c r="R2432" s="9" t="s">
        <v>11250</v>
      </c>
      <c r="S2432" s="9" t="str">
        <f>IF(ISBLANK($R2432),"",VLOOKUP($R2432,'Liste des Villes'!$B$2:$H$1128,4,FALSE))</f>
        <v>Laurentides</v>
      </c>
      <c r="T2432" s="2" t="s">
        <v>11280</v>
      </c>
      <c r="U2432" s="2" t="s">
        <v>39</v>
      </c>
      <c r="V2432" s="2" t="s">
        <v>40</v>
      </c>
      <c r="W2432" s="2" t="s">
        <v>11281</v>
      </c>
      <c r="X2432" s="2"/>
      <c r="Y2432" s="2"/>
      <c r="Z2432" s="2"/>
      <c r="AA2432" s="2" t="s">
        <v>72</v>
      </c>
      <c r="AB2432" s="2" t="s">
        <v>192</v>
      </c>
      <c r="AC2432" s="4" t="s">
        <v>44</v>
      </c>
    </row>
    <row r="2433" spans="1:29" x14ac:dyDescent="0.25">
      <c r="A2433" s="1">
        <v>2110</v>
      </c>
      <c r="B2433" s="17" t="s">
        <v>11282</v>
      </c>
      <c r="C2433" s="2" t="s">
        <v>3320</v>
      </c>
      <c r="D2433" s="15" t="s">
        <v>1371</v>
      </c>
      <c r="E2433" s="9" t="s">
        <v>1091</v>
      </c>
      <c r="F2433" s="9" t="s">
        <v>4436</v>
      </c>
      <c r="G2433" s="9" t="s">
        <v>11283</v>
      </c>
      <c r="H2433" s="2" t="s">
        <v>60</v>
      </c>
      <c r="I2433" s="3">
        <v>36743</v>
      </c>
      <c r="J2433" s="9" t="str">
        <f t="shared" ca="1" si="39"/>
        <v>23 ans</v>
      </c>
      <c r="K2433" s="2" t="s">
        <v>68</v>
      </c>
      <c r="L2433" s="2" t="str">
        <f>"650"</f>
        <v>650</v>
      </c>
      <c r="M2433" s="2"/>
      <c r="N2433" s="2" t="str">
        <f>"RUE DES CHÊNES"</f>
        <v>RUE DES CHÊNES</v>
      </c>
      <c r="O2433" s="2" t="s">
        <v>11249</v>
      </c>
      <c r="P2433" s="9" t="str">
        <f>VLOOKUP($O2433,'Liste des Villes'!$B$2:$B$1128,1,FALSE)</f>
        <v>Sainte-Adèle</v>
      </c>
      <c r="Q2433" s="9" t="str">
        <f>IFERROR($P2433,PROPER(VLOOKUP($O2433,'Villes en erreur'!$A$2:$B$72,2,FALSE)))</f>
        <v>Sainte-Adèle</v>
      </c>
      <c r="R2433" s="9" t="s">
        <v>11250</v>
      </c>
      <c r="S2433" s="9" t="str">
        <f>IF(ISBLANK($R2433),"",VLOOKUP($R2433,'Liste des Villes'!$B$2:$H$1128,4,FALSE))</f>
        <v>Laurentides</v>
      </c>
      <c r="T2433" s="2" t="s">
        <v>11284</v>
      </c>
      <c r="U2433" s="2" t="s">
        <v>39</v>
      </c>
      <c r="V2433" s="2" t="s">
        <v>40</v>
      </c>
      <c r="W2433" s="2" t="s">
        <v>11285</v>
      </c>
      <c r="X2433" s="2"/>
      <c r="Y2433" s="2"/>
      <c r="Z2433" s="2"/>
      <c r="AA2433" s="2" t="s">
        <v>72</v>
      </c>
      <c r="AB2433" s="2" t="s">
        <v>192</v>
      </c>
      <c r="AC2433" s="4" t="s">
        <v>44</v>
      </c>
    </row>
    <row r="2434" spans="1:29" x14ac:dyDescent="0.25">
      <c r="A2434" s="1">
        <v>2928</v>
      </c>
      <c r="B2434" s="17" t="s">
        <v>11286</v>
      </c>
      <c r="C2434" s="2" t="s">
        <v>11287</v>
      </c>
      <c r="D2434" s="15" t="s">
        <v>5837</v>
      </c>
      <c r="E2434" s="9" t="s">
        <v>664</v>
      </c>
      <c r="F2434" s="9" t="s">
        <v>5836</v>
      </c>
      <c r="G2434" s="9" t="s">
        <v>5652</v>
      </c>
      <c r="H2434" s="2" t="s">
        <v>60</v>
      </c>
      <c r="I2434" s="3">
        <v>36725</v>
      </c>
      <c r="J2434" s="9" t="str">
        <f t="shared" ref="J2434:J2497" ca="1" si="40">_xlfn.CONCAT(INT((TODAY()-$I2434)/365.25)," ans")</f>
        <v>23 ans</v>
      </c>
      <c r="K2434" s="2" t="s">
        <v>68</v>
      </c>
      <c r="L2434" s="2" t="str">
        <f>"619"</f>
        <v>619</v>
      </c>
      <c r="M2434" s="2"/>
      <c r="N2434" s="2" t="str">
        <f>"RUE DES BRUANTS"</f>
        <v>RUE DES BRUANTS</v>
      </c>
      <c r="O2434" s="2" t="s">
        <v>11249</v>
      </c>
      <c r="P2434" s="9" t="str">
        <f>VLOOKUP($O2434,'Liste des Villes'!$B$2:$B$1128,1,FALSE)</f>
        <v>Sainte-Adèle</v>
      </c>
      <c r="Q2434" s="9" t="str">
        <f>IFERROR($P2434,PROPER(VLOOKUP($O2434,'Villes en erreur'!$A$2:$B$72,2,FALSE)))</f>
        <v>Sainte-Adèle</v>
      </c>
      <c r="R2434" s="9" t="s">
        <v>11250</v>
      </c>
      <c r="S2434" s="9" t="str">
        <f>IF(ISBLANK($R2434),"",VLOOKUP($R2434,'Liste des Villes'!$B$2:$H$1128,4,FALSE))</f>
        <v>Laurentides</v>
      </c>
      <c r="T2434" s="2" t="s">
        <v>11273</v>
      </c>
      <c r="U2434" s="2" t="s">
        <v>39</v>
      </c>
      <c r="V2434" s="2" t="s">
        <v>40</v>
      </c>
      <c r="W2434" s="2" t="s">
        <v>11288</v>
      </c>
      <c r="X2434" s="2"/>
      <c r="Y2434" s="2"/>
      <c r="Z2434" s="2"/>
      <c r="AA2434" s="2" t="s">
        <v>72</v>
      </c>
      <c r="AB2434" s="2" t="s">
        <v>192</v>
      </c>
      <c r="AC2434" s="4" t="s">
        <v>44</v>
      </c>
    </row>
    <row r="2435" spans="1:29" x14ac:dyDescent="0.25">
      <c r="A2435" s="1">
        <v>90</v>
      </c>
      <c r="B2435" s="17" t="s">
        <v>11289</v>
      </c>
      <c r="C2435" s="2" t="s">
        <v>11290</v>
      </c>
      <c r="D2435" s="15" t="s">
        <v>4275</v>
      </c>
      <c r="E2435" s="9" t="s">
        <v>11291</v>
      </c>
      <c r="F2435" s="9" t="s">
        <v>2423</v>
      </c>
      <c r="G2435" s="9" t="s">
        <v>541</v>
      </c>
      <c r="H2435" s="2" t="s">
        <v>35</v>
      </c>
      <c r="I2435" s="3">
        <v>36700</v>
      </c>
      <c r="J2435" s="9" t="str">
        <f t="shared" ca="1" si="40"/>
        <v>23 ans</v>
      </c>
      <c r="K2435" s="2" t="s">
        <v>68</v>
      </c>
      <c r="L2435" s="2" t="str">
        <f>"594"</f>
        <v>594</v>
      </c>
      <c r="M2435" s="2"/>
      <c r="N2435" s="2" t="str">
        <f>"RUE DES ANCIENS"</f>
        <v>RUE DES ANCIENS</v>
      </c>
      <c r="O2435" s="2" t="s">
        <v>11249</v>
      </c>
      <c r="P2435" s="9" t="str">
        <f>VLOOKUP($O2435,'Liste des Villes'!$B$2:$B$1128,1,FALSE)</f>
        <v>Sainte-Adèle</v>
      </c>
      <c r="Q2435" s="9" t="str">
        <f>IFERROR($P2435,PROPER(VLOOKUP($O2435,'Villes en erreur'!$A$2:$B$72,2,FALSE)))</f>
        <v>Sainte-Adèle</v>
      </c>
      <c r="R2435" s="9" t="s">
        <v>11250</v>
      </c>
      <c r="S2435" s="9" t="str">
        <f>IF(ISBLANK($R2435),"",VLOOKUP($R2435,'Liste des Villes'!$B$2:$H$1128,4,FALSE))</f>
        <v>Laurentides</v>
      </c>
      <c r="T2435" s="2" t="s">
        <v>11292</v>
      </c>
      <c r="U2435" s="2" t="s">
        <v>39</v>
      </c>
      <c r="V2435" s="2" t="s">
        <v>40</v>
      </c>
      <c r="W2435" s="2" t="s">
        <v>11293</v>
      </c>
      <c r="X2435" s="2"/>
      <c r="Y2435" s="2"/>
      <c r="Z2435" s="2"/>
      <c r="AA2435" s="2" t="s">
        <v>72</v>
      </c>
      <c r="AB2435" s="2" t="s">
        <v>545</v>
      </c>
      <c r="AC2435" s="4" t="s">
        <v>44</v>
      </c>
    </row>
    <row r="2436" spans="1:29" x14ac:dyDescent="0.25">
      <c r="A2436" s="1">
        <v>2977</v>
      </c>
      <c r="B2436" s="17" t="s">
        <v>11294</v>
      </c>
      <c r="C2436" s="2" t="s">
        <v>11295</v>
      </c>
      <c r="D2436" s="15" t="s">
        <v>4698</v>
      </c>
      <c r="E2436" s="9" t="s">
        <v>11296</v>
      </c>
      <c r="F2436" s="9" t="s">
        <v>4696</v>
      </c>
      <c r="G2436" s="9" t="s">
        <v>3423</v>
      </c>
      <c r="H2436" s="2" t="s">
        <v>60</v>
      </c>
      <c r="I2436" s="3">
        <v>36751</v>
      </c>
      <c r="J2436" s="9" t="str">
        <f t="shared" ca="1" si="40"/>
        <v>23 ans</v>
      </c>
      <c r="K2436" s="2" t="s">
        <v>68</v>
      </c>
      <c r="L2436" s="2" t="str">
        <f>"660"</f>
        <v>660</v>
      </c>
      <c r="M2436" s="2"/>
      <c r="N2436" s="2" t="str">
        <f>"RUE DES COPRINS"</f>
        <v>RUE DES COPRINS</v>
      </c>
      <c r="O2436" s="2" t="s">
        <v>11249</v>
      </c>
      <c r="P2436" s="9" t="str">
        <f>VLOOKUP($O2436,'Liste des Villes'!$B$2:$B$1128,1,FALSE)</f>
        <v>Sainte-Adèle</v>
      </c>
      <c r="Q2436" s="9" t="str">
        <f>IFERROR($P2436,PROPER(VLOOKUP($O2436,'Villes en erreur'!$A$2:$B$72,2,FALSE)))</f>
        <v>Sainte-Adèle</v>
      </c>
      <c r="R2436" s="9" t="s">
        <v>11250</v>
      </c>
      <c r="S2436" s="9" t="str">
        <f>IF(ISBLANK($R2436),"",VLOOKUP($R2436,'Liste des Villes'!$B$2:$H$1128,4,FALSE))</f>
        <v>Laurentides</v>
      </c>
      <c r="T2436" s="2" t="s">
        <v>11297</v>
      </c>
      <c r="U2436" s="2" t="s">
        <v>39</v>
      </c>
      <c r="V2436" s="2" t="s">
        <v>40</v>
      </c>
      <c r="W2436" s="2" t="s">
        <v>11298</v>
      </c>
      <c r="X2436" s="2"/>
      <c r="Y2436" s="2"/>
      <c r="Z2436" s="2"/>
      <c r="AA2436" s="2" t="s">
        <v>72</v>
      </c>
      <c r="AB2436" s="2" t="s">
        <v>192</v>
      </c>
      <c r="AC2436" s="4" t="s">
        <v>44</v>
      </c>
    </row>
    <row r="2437" spans="1:29" x14ac:dyDescent="0.25">
      <c r="A2437" s="1">
        <v>3762</v>
      </c>
      <c r="B2437" s="17" t="s">
        <v>11299</v>
      </c>
      <c r="C2437" s="2" t="s">
        <v>11300</v>
      </c>
      <c r="D2437" s="15" t="s">
        <v>1472</v>
      </c>
      <c r="E2437" s="9" t="s">
        <v>4233</v>
      </c>
      <c r="F2437" s="9" t="s">
        <v>11301</v>
      </c>
      <c r="G2437" s="9" t="s">
        <v>5652</v>
      </c>
      <c r="H2437" s="2" t="s">
        <v>60</v>
      </c>
      <c r="I2437" s="3">
        <v>36722</v>
      </c>
      <c r="J2437" s="9" t="str">
        <f t="shared" ca="1" si="40"/>
        <v>23 ans</v>
      </c>
      <c r="K2437" s="2" t="s">
        <v>68</v>
      </c>
      <c r="L2437" s="2" t="str">
        <f>"616"</f>
        <v>616</v>
      </c>
      <c r="M2437" s="2"/>
      <c r="N2437" s="2" t="str">
        <f>"RUE DES BOURDONS"</f>
        <v>RUE DES BOURDONS</v>
      </c>
      <c r="O2437" s="2" t="s">
        <v>11249</v>
      </c>
      <c r="P2437" s="9" t="str">
        <f>VLOOKUP($O2437,'Liste des Villes'!$B$2:$B$1128,1,FALSE)</f>
        <v>Sainte-Adèle</v>
      </c>
      <c r="Q2437" s="9" t="str">
        <f>IFERROR($P2437,PROPER(VLOOKUP($O2437,'Villes en erreur'!$A$2:$B$72,2,FALSE)))</f>
        <v>Sainte-Adèle</v>
      </c>
      <c r="R2437" s="9" t="s">
        <v>11250</v>
      </c>
      <c r="S2437" s="9" t="str">
        <f>IF(ISBLANK($R2437),"",VLOOKUP($R2437,'Liste des Villes'!$B$2:$H$1128,4,FALSE))</f>
        <v>Laurentides</v>
      </c>
      <c r="T2437" s="2" t="s">
        <v>11302</v>
      </c>
      <c r="U2437" s="2" t="s">
        <v>39</v>
      </c>
      <c r="V2437" s="2" t="s">
        <v>40</v>
      </c>
      <c r="W2437" s="2" t="s">
        <v>11303</v>
      </c>
      <c r="X2437" s="2"/>
      <c r="Y2437" s="2"/>
      <c r="Z2437" s="2"/>
      <c r="AA2437" s="2" t="s">
        <v>72</v>
      </c>
      <c r="AB2437" s="2" t="s">
        <v>545</v>
      </c>
      <c r="AC2437" s="4" t="s">
        <v>44</v>
      </c>
    </row>
    <row r="2438" spans="1:29" x14ac:dyDescent="0.25">
      <c r="A2438" s="1">
        <v>2070</v>
      </c>
      <c r="B2438" s="17" t="s">
        <v>11304</v>
      </c>
      <c r="C2438" s="2" t="s">
        <v>11305</v>
      </c>
      <c r="D2438" s="15" t="s">
        <v>10035</v>
      </c>
      <c r="E2438" s="9" t="s">
        <v>8509</v>
      </c>
      <c r="F2438" s="9" t="s">
        <v>10034</v>
      </c>
      <c r="G2438" s="9" t="s">
        <v>172</v>
      </c>
      <c r="H2438" s="2" t="s">
        <v>60</v>
      </c>
      <c r="I2438" s="3">
        <v>36710</v>
      </c>
      <c r="J2438" s="9" t="str">
        <f t="shared" ca="1" si="40"/>
        <v>23 ans</v>
      </c>
      <c r="K2438" s="2" t="s">
        <v>68</v>
      </c>
      <c r="L2438" s="2" t="str">
        <f>"602"</f>
        <v>602</v>
      </c>
      <c r="M2438" s="2"/>
      <c r="N2438" s="2" t="str">
        <f>"RUE DES BOIS"</f>
        <v>RUE DES BOIS</v>
      </c>
      <c r="O2438" s="2" t="s">
        <v>11249</v>
      </c>
      <c r="P2438" s="9" t="str">
        <f>VLOOKUP($O2438,'Liste des Villes'!$B$2:$B$1128,1,FALSE)</f>
        <v>Sainte-Adèle</v>
      </c>
      <c r="Q2438" s="9" t="str">
        <f>IFERROR($P2438,PROPER(VLOOKUP($O2438,'Villes en erreur'!$A$2:$B$72,2,FALSE)))</f>
        <v>Sainte-Adèle</v>
      </c>
      <c r="R2438" s="9" t="s">
        <v>11250</v>
      </c>
      <c r="S2438" s="9" t="str">
        <f>IF(ISBLANK($R2438),"",VLOOKUP($R2438,'Liste des Villes'!$B$2:$H$1128,4,FALSE))</f>
        <v>Laurentides</v>
      </c>
      <c r="T2438" s="2" t="s">
        <v>11306</v>
      </c>
      <c r="U2438" s="2" t="s">
        <v>39</v>
      </c>
      <c r="V2438" s="2" t="s">
        <v>40</v>
      </c>
      <c r="W2438" s="2" t="s">
        <v>11307</v>
      </c>
      <c r="X2438" s="2"/>
      <c r="Y2438" s="2"/>
      <c r="Z2438" s="2"/>
      <c r="AA2438" s="2" t="s">
        <v>72</v>
      </c>
      <c r="AB2438" s="2" t="s">
        <v>545</v>
      </c>
      <c r="AC2438" s="4" t="s">
        <v>44</v>
      </c>
    </row>
    <row r="2439" spans="1:29" x14ac:dyDescent="0.25">
      <c r="A2439" s="1">
        <v>1996</v>
      </c>
      <c r="B2439" s="17" t="s">
        <v>11308</v>
      </c>
      <c r="C2439" s="2" t="s">
        <v>11309</v>
      </c>
      <c r="D2439" s="15" t="s">
        <v>11310</v>
      </c>
      <c r="E2439" s="9" t="s">
        <v>99</v>
      </c>
      <c r="F2439" s="9" t="s">
        <v>100</v>
      </c>
      <c r="G2439" s="9" t="s">
        <v>10623</v>
      </c>
      <c r="H2439" s="2" t="s">
        <v>35</v>
      </c>
      <c r="I2439" s="3">
        <v>36726</v>
      </c>
      <c r="J2439" s="9" t="str">
        <f t="shared" ca="1" si="40"/>
        <v>23 ans</v>
      </c>
      <c r="K2439" s="2" t="s">
        <v>68</v>
      </c>
      <c r="L2439" s="2" t="str">
        <f>"620"</f>
        <v>620</v>
      </c>
      <c r="M2439" s="2"/>
      <c r="N2439" s="2" t="str">
        <f>"RUE DES CAMÉLIAS"</f>
        <v>RUE DES CAMÉLIAS</v>
      </c>
      <c r="O2439" s="2" t="s">
        <v>11249</v>
      </c>
      <c r="P2439" s="9" t="str">
        <f>VLOOKUP($O2439,'Liste des Villes'!$B$2:$B$1128,1,FALSE)</f>
        <v>Sainte-Adèle</v>
      </c>
      <c r="Q2439" s="9" t="str">
        <f>IFERROR($P2439,PROPER(VLOOKUP($O2439,'Villes en erreur'!$A$2:$B$72,2,FALSE)))</f>
        <v>Sainte-Adèle</v>
      </c>
      <c r="R2439" s="9" t="s">
        <v>11250</v>
      </c>
      <c r="S2439" s="9" t="str">
        <f>IF(ISBLANK($R2439),"",VLOOKUP($R2439,'Liste des Villes'!$B$2:$H$1128,4,FALSE))</f>
        <v>Laurentides</v>
      </c>
      <c r="T2439" s="2" t="s">
        <v>11311</v>
      </c>
      <c r="U2439" s="2" t="s">
        <v>39</v>
      </c>
      <c r="V2439" s="2" t="s">
        <v>40</v>
      </c>
      <c r="W2439" s="2" t="s">
        <v>11312</v>
      </c>
      <c r="X2439" s="2"/>
      <c r="Y2439" s="2"/>
      <c r="Z2439" s="2"/>
      <c r="AA2439" s="2" t="s">
        <v>72</v>
      </c>
      <c r="AB2439" s="2" t="s">
        <v>192</v>
      </c>
      <c r="AC2439" s="4" t="s">
        <v>44</v>
      </c>
    </row>
    <row r="2440" spans="1:29" x14ac:dyDescent="0.25">
      <c r="A2440" s="1">
        <v>247</v>
      </c>
      <c r="B2440" s="17" t="s">
        <v>11313</v>
      </c>
      <c r="C2440" s="2" t="s">
        <v>11314</v>
      </c>
      <c r="D2440" s="15" t="s">
        <v>11315</v>
      </c>
      <c r="E2440" s="9" t="s">
        <v>101</v>
      </c>
      <c r="F2440" s="9" t="s">
        <v>2018</v>
      </c>
      <c r="G2440" s="9" t="s">
        <v>5652</v>
      </c>
      <c r="H2440" s="2" t="s">
        <v>60</v>
      </c>
      <c r="I2440" s="3">
        <v>36724</v>
      </c>
      <c r="J2440" s="9" t="str">
        <f t="shared" ca="1" si="40"/>
        <v>23 ans</v>
      </c>
      <c r="K2440" s="2" t="s">
        <v>68</v>
      </c>
      <c r="L2440" s="2" t="str">
        <f>"619"</f>
        <v>619</v>
      </c>
      <c r="M2440" s="2"/>
      <c r="N2440" s="2" t="str">
        <f>"RUE DES BOUVREUILS"</f>
        <v>RUE DES BOUVREUILS</v>
      </c>
      <c r="O2440" s="2" t="s">
        <v>11249</v>
      </c>
      <c r="P2440" s="9" t="str">
        <f>VLOOKUP($O2440,'Liste des Villes'!$B$2:$B$1128,1,FALSE)</f>
        <v>Sainte-Adèle</v>
      </c>
      <c r="Q2440" s="9" t="str">
        <f>IFERROR($P2440,PROPER(VLOOKUP($O2440,'Villes en erreur'!$A$2:$B$72,2,FALSE)))</f>
        <v>Sainte-Adèle</v>
      </c>
      <c r="R2440" s="9" t="s">
        <v>11250</v>
      </c>
      <c r="S2440" s="9" t="str">
        <f>IF(ISBLANK($R2440),"",VLOOKUP($R2440,'Liste des Villes'!$B$2:$H$1128,4,FALSE))</f>
        <v>Laurentides</v>
      </c>
      <c r="T2440" s="2" t="s">
        <v>11316</v>
      </c>
      <c r="U2440" s="2" t="s">
        <v>39</v>
      </c>
      <c r="V2440" s="2" t="s">
        <v>40</v>
      </c>
      <c r="W2440" s="2" t="s">
        <v>11317</v>
      </c>
      <c r="X2440" s="2"/>
      <c r="Y2440" s="2"/>
      <c r="Z2440" s="2"/>
      <c r="AA2440" s="2" t="s">
        <v>72</v>
      </c>
      <c r="AB2440" s="2" t="s">
        <v>192</v>
      </c>
      <c r="AC2440" s="4" t="s">
        <v>44</v>
      </c>
    </row>
    <row r="2441" spans="1:29" x14ac:dyDescent="0.25">
      <c r="A2441" s="1">
        <v>709</v>
      </c>
      <c r="B2441" s="17" t="s">
        <v>11318</v>
      </c>
      <c r="C2441" s="2" t="s">
        <v>11319</v>
      </c>
      <c r="D2441" s="15" t="s">
        <v>4661</v>
      </c>
      <c r="E2441" s="9" t="s">
        <v>683</v>
      </c>
      <c r="F2441" s="9" t="s">
        <v>4660</v>
      </c>
      <c r="G2441" s="9" t="s">
        <v>1355</v>
      </c>
      <c r="H2441" s="2" t="s">
        <v>35</v>
      </c>
      <c r="I2441" s="3">
        <v>36734</v>
      </c>
      <c r="J2441" s="9" t="str">
        <f t="shared" ca="1" si="40"/>
        <v>23 ans</v>
      </c>
      <c r="K2441" s="2" t="s">
        <v>68</v>
      </c>
      <c r="L2441" s="2" t="str">
        <f>"633"</f>
        <v>633</v>
      </c>
      <c r="M2441" s="2"/>
      <c r="N2441" s="2" t="str">
        <f>"RUE DES CÈDRES"</f>
        <v>RUE DES CÈDRES</v>
      </c>
      <c r="O2441" s="2" t="s">
        <v>11249</v>
      </c>
      <c r="P2441" s="9" t="str">
        <f>VLOOKUP($O2441,'Liste des Villes'!$B$2:$B$1128,1,FALSE)</f>
        <v>Sainte-Adèle</v>
      </c>
      <c r="Q2441" s="9" t="str">
        <f>IFERROR($P2441,PROPER(VLOOKUP($O2441,'Villes en erreur'!$A$2:$B$72,2,FALSE)))</f>
        <v>Sainte-Adèle</v>
      </c>
      <c r="R2441" s="9" t="s">
        <v>11250</v>
      </c>
      <c r="S2441" s="9" t="str">
        <f>IF(ISBLANK($R2441),"",VLOOKUP($R2441,'Liste des Villes'!$B$2:$H$1128,4,FALSE))</f>
        <v>Laurentides</v>
      </c>
      <c r="T2441" s="2" t="s">
        <v>11320</v>
      </c>
      <c r="U2441" s="2" t="s">
        <v>39</v>
      </c>
      <c r="V2441" s="2" t="s">
        <v>40</v>
      </c>
      <c r="W2441" s="2" t="s">
        <v>11321</v>
      </c>
      <c r="X2441" s="2"/>
      <c r="Y2441" s="2"/>
      <c r="Z2441" s="2"/>
      <c r="AA2441" s="2" t="s">
        <v>72</v>
      </c>
      <c r="AB2441" s="2" t="s">
        <v>192</v>
      </c>
      <c r="AC2441" s="4" t="s">
        <v>44</v>
      </c>
    </row>
    <row r="2442" spans="1:29" x14ac:dyDescent="0.25">
      <c r="A2442" s="1">
        <v>4372</v>
      </c>
      <c r="B2442" s="17" t="s">
        <v>11322</v>
      </c>
      <c r="C2442" s="2" t="s">
        <v>11323</v>
      </c>
      <c r="D2442" s="15" t="s">
        <v>11324</v>
      </c>
      <c r="E2442" s="9" t="s">
        <v>635</v>
      </c>
      <c r="F2442" s="9" t="s">
        <v>2862</v>
      </c>
      <c r="G2442" s="9" t="s">
        <v>541</v>
      </c>
      <c r="H2442" s="2" t="s">
        <v>35</v>
      </c>
      <c r="I2442" s="3">
        <v>36698</v>
      </c>
      <c r="J2442" s="9" t="str">
        <f t="shared" ca="1" si="40"/>
        <v>23 ans</v>
      </c>
      <c r="K2442" s="2" t="s">
        <v>68</v>
      </c>
      <c r="L2442" s="2" t="str">
        <f>"594"</f>
        <v>594</v>
      </c>
      <c r="M2442" s="2"/>
      <c r="N2442" s="2" t="str">
        <f>"RUE DES ANCIENS"</f>
        <v>RUE DES ANCIENS</v>
      </c>
      <c r="O2442" s="2" t="s">
        <v>11249</v>
      </c>
      <c r="P2442" s="9" t="str">
        <f>VLOOKUP($O2442,'Liste des Villes'!$B$2:$B$1128,1,FALSE)</f>
        <v>Sainte-Adèle</v>
      </c>
      <c r="Q2442" s="9" t="str">
        <f>IFERROR($P2442,PROPER(VLOOKUP($O2442,'Villes en erreur'!$A$2:$B$72,2,FALSE)))</f>
        <v>Sainte-Adèle</v>
      </c>
      <c r="R2442" s="9" t="s">
        <v>11250</v>
      </c>
      <c r="S2442" s="9" t="str">
        <f>IF(ISBLANK($R2442),"",VLOOKUP($R2442,'Liste des Villes'!$B$2:$H$1128,4,FALSE))</f>
        <v>Laurentides</v>
      </c>
      <c r="T2442" s="2" t="s">
        <v>11325</v>
      </c>
      <c r="U2442" s="2" t="s">
        <v>39</v>
      </c>
      <c r="V2442" s="2" t="s">
        <v>40</v>
      </c>
      <c r="W2442" s="2" t="s">
        <v>11326</v>
      </c>
      <c r="X2442" s="2"/>
      <c r="Y2442" s="2"/>
      <c r="Z2442" s="2"/>
      <c r="AA2442" s="2" t="s">
        <v>72</v>
      </c>
      <c r="AB2442" s="2" t="s">
        <v>545</v>
      </c>
      <c r="AC2442" s="4" t="s">
        <v>44</v>
      </c>
    </row>
    <row r="2443" spans="1:29" x14ac:dyDescent="0.25">
      <c r="A2443" s="1">
        <v>237</v>
      </c>
      <c r="B2443" s="17" t="s">
        <v>11327</v>
      </c>
      <c r="C2443" s="2" t="s">
        <v>598</v>
      </c>
      <c r="D2443" s="15" t="s">
        <v>599</v>
      </c>
      <c r="E2443" s="9" t="s">
        <v>600</v>
      </c>
      <c r="F2443" s="9" t="s">
        <v>562</v>
      </c>
      <c r="G2443" s="9" t="s">
        <v>4484</v>
      </c>
      <c r="H2443" s="2" t="s">
        <v>60</v>
      </c>
      <c r="I2443" s="3">
        <v>36714</v>
      </c>
      <c r="J2443" s="9" t="str">
        <f t="shared" ca="1" si="40"/>
        <v>23 ans</v>
      </c>
      <c r="K2443" s="2" t="s">
        <v>68</v>
      </c>
      <c r="L2443" s="2" t="str">
        <f>"605"</f>
        <v>605</v>
      </c>
      <c r="M2443" s="2"/>
      <c r="N2443" s="2" t="str">
        <f>"RUE DES BOSQUETS"</f>
        <v>RUE DES BOSQUETS</v>
      </c>
      <c r="O2443" s="2" t="s">
        <v>11249</v>
      </c>
      <c r="P2443" s="9" t="str">
        <f>VLOOKUP($O2443,'Liste des Villes'!$B$2:$B$1128,1,FALSE)</f>
        <v>Sainte-Adèle</v>
      </c>
      <c r="Q2443" s="9" t="str">
        <f>IFERROR($P2443,PROPER(VLOOKUP($O2443,'Villes en erreur'!$A$2:$B$72,2,FALSE)))</f>
        <v>Sainte-Adèle</v>
      </c>
      <c r="R2443" s="9" t="s">
        <v>11250</v>
      </c>
      <c r="S2443" s="9" t="str">
        <f>IF(ISBLANK($R2443),"",VLOOKUP($R2443,'Liste des Villes'!$B$2:$H$1128,4,FALSE))</f>
        <v>Laurentides</v>
      </c>
      <c r="T2443" s="2" t="s">
        <v>11328</v>
      </c>
      <c r="U2443" s="2" t="s">
        <v>39</v>
      </c>
      <c r="V2443" s="2" t="s">
        <v>40</v>
      </c>
      <c r="W2443" s="2" t="s">
        <v>11329</v>
      </c>
      <c r="X2443" s="2"/>
      <c r="Y2443" s="2"/>
      <c r="Z2443" s="2"/>
      <c r="AA2443" s="2" t="s">
        <v>72</v>
      </c>
      <c r="AB2443" s="2" t="s">
        <v>545</v>
      </c>
      <c r="AC2443" s="4" t="s">
        <v>44</v>
      </c>
    </row>
    <row r="2444" spans="1:29" x14ac:dyDescent="0.25">
      <c r="A2444" s="1">
        <v>446</v>
      </c>
      <c r="B2444" s="17" t="s">
        <v>11330</v>
      </c>
      <c r="C2444" s="2" t="s">
        <v>11331</v>
      </c>
      <c r="D2444" s="15" t="s">
        <v>166</v>
      </c>
      <c r="E2444" s="9" t="s">
        <v>9175</v>
      </c>
      <c r="F2444" s="9" t="s">
        <v>164</v>
      </c>
      <c r="G2444" s="9" t="s">
        <v>172</v>
      </c>
      <c r="H2444" s="2" t="s">
        <v>60</v>
      </c>
      <c r="I2444" s="3">
        <v>36707</v>
      </c>
      <c r="J2444" s="9" t="str">
        <f t="shared" ca="1" si="40"/>
        <v>23 ans</v>
      </c>
      <c r="K2444" s="2" t="s">
        <v>68</v>
      </c>
      <c r="L2444" s="2" t="str">
        <f>"599"</f>
        <v>599</v>
      </c>
      <c r="M2444" s="2"/>
      <c r="N2444" s="2" t="str">
        <f>"RUE DES BALBUZARDS"</f>
        <v>RUE DES BALBUZARDS</v>
      </c>
      <c r="O2444" s="2" t="s">
        <v>11249</v>
      </c>
      <c r="P2444" s="9" t="str">
        <f>VLOOKUP($O2444,'Liste des Villes'!$B$2:$B$1128,1,FALSE)</f>
        <v>Sainte-Adèle</v>
      </c>
      <c r="Q2444" s="9" t="str">
        <f>IFERROR($P2444,PROPER(VLOOKUP($O2444,'Villes en erreur'!$A$2:$B$72,2,FALSE)))</f>
        <v>Sainte-Adèle</v>
      </c>
      <c r="R2444" s="9" t="s">
        <v>11250</v>
      </c>
      <c r="S2444" s="9" t="str">
        <f>IF(ISBLANK($R2444),"",VLOOKUP($R2444,'Liste des Villes'!$B$2:$H$1128,4,FALSE))</f>
        <v>Laurentides</v>
      </c>
      <c r="T2444" s="2" t="s">
        <v>11332</v>
      </c>
      <c r="U2444" s="2" t="s">
        <v>39</v>
      </c>
      <c r="V2444" s="2" t="s">
        <v>40</v>
      </c>
      <c r="W2444" s="2" t="s">
        <v>11333</v>
      </c>
      <c r="X2444" s="2"/>
      <c r="Y2444" s="2"/>
      <c r="Z2444" s="2"/>
      <c r="AA2444" s="2" t="s">
        <v>72</v>
      </c>
      <c r="AB2444" s="2" t="s">
        <v>545</v>
      </c>
      <c r="AC2444" s="4" t="s">
        <v>44</v>
      </c>
    </row>
    <row r="2445" spans="1:29" x14ac:dyDescent="0.25">
      <c r="A2445" s="1">
        <v>1666</v>
      </c>
      <c r="B2445" s="17" t="s">
        <v>11334</v>
      </c>
      <c r="C2445" s="2" t="s">
        <v>11335</v>
      </c>
      <c r="D2445" s="15" t="s">
        <v>11336</v>
      </c>
      <c r="E2445" s="9" t="s">
        <v>92</v>
      </c>
      <c r="F2445" s="9" t="s">
        <v>11337</v>
      </c>
      <c r="G2445" s="9" t="s">
        <v>940</v>
      </c>
      <c r="H2445" s="2" t="s">
        <v>60</v>
      </c>
      <c r="I2445" s="3">
        <v>36725</v>
      </c>
      <c r="J2445" s="9" t="str">
        <f t="shared" ca="1" si="40"/>
        <v>23 ans</v>
      </c>
      <c r="K2445" s="2" t="s">
        <v>68</v>
      </c>
      <c r="L2445" s="2" t="str">
        <f>"619"</f>
        <v>619</v>
      </c>
      <c r="M2445" s="2"/>
      <c r="N2445" s="2" t="str">
        <f>"RUE DES BRUANTS"</f>
        <v>RUE DES BRUANTS</v>
      </c>
      <c r="O2445" s="2" t="s">
        <v>11249</v>
      </c>
      <c r="P2445" s="9" t="str">
        <f>VLOOKUP($O2445,'Liste des Villes'!$B$2:$B$1128,1,FALSE)</f>
        <v>Sainte-Adèle</v>
      </c>
      <c r="Q2445" s="9" t="str">
        <f>IFERROR($P2445,PROPER(VLOOKUP($O2445,'Villes en erreur'!$A$2:$B$72,2,FALSE)))</f>
        <v>Sainte-Adèle</v>
      </c>
      <c r="R2445" s="9" t="s">
        <v>11250</v>
      </c>
      <c r="S2445" s="9" t="str">
        <f>IF(ISBLANK($R2445),"",VLOOKUP($R2445,'Liste des Villes'!$B$2:$H$1128,4,FALSE))</f>
        <v>Laurentides</v>
      </c>
      <c r="T2445" s="2" t="s">
        <v>11338</v>
      </c>
      <c r="U2445" s="2" t="s">
        <v>39</v>
      </c>
      <c r="V2445" s="2" t="s">
        <v>40</v>
      </c>
      <c r="W2445" s="2" t="s">
        <v>11339</v>
      </c>
      <c r="X2445" s="2"/>
      <c r="Y2445" s="2"/>
      <c r="Z2445" s="2"/>
      <c r="AA2445" s="2" t="s">
        <v>72</v>
      </c>
      <c r="AB2445" s="2" t="s">
        <v>192</v>
      </c>
      <c r="AC2445" s="4" t="s">
        <v>44</v>
      </c>
    </row>
    <row r="2446" spans="1:29" x14ac:dyDescent="0.25">
      <c r="A2446" s="1">
        <v>552</v>
      </c>
      <c r="B2446" s="17" t="s">
        <v>11340</v>
      </c>
      <c r="C2446" s="2" t="s">
        <v>10489</v>
      </c>
      <c r="D2446" s="15" t="s">
        <v>8251</v>
      </c>
      <c r="E2446" s="9" t="s">
        <v>107</v>
      </c>
      <c r="F2446" s="9" t="s">
        <v>3122</v>
      </c>
      <c r="G2446" s="9" t="s">
        <v>1355</v>
      </c>
      <c r="H2446" s="2" t="s">
        <v>35</v>
      </c>
      <c r="I2446" s="3">
        <v>36738</v>
      </c>
      <c r="J2446" s="9" t="str">
        <f t="shared" ca="1" si="40"/>
        <v>23 ans</v>
      </c>
      <c r="K2446" s="2" t="s">
        <v>68</v>
      </c>
      <c r="L2446" s="2" t="str">
        <f>"641"</f>
        <v>641</v>
      </c>
      <c r="M2446" s="2"/>
      <c r="N2446" s="2" t="str">
        <f>"RUE DES CHARDONNERETS"</f>
        <v>RUE DES CHARDONNERETS</v>
      </c>
      <c r="O2446" s="2" t="s">
        <v>11249</v>
      </c>
      <c r="P2446" s="9" t="str">
        <f>VLOOKUP($O2446,'Liste des Villes'!$B$2:$B$1128,1,FALSE)</f>
        <v>Sainte-Adèle</v>
      </c>
      <c r="Q2446" s="9" t="str">
        <f>IFERROR($P2446,PROPER(VLOOKUP($O2446,'Villes en erreur'!$A$2:$B$72,2,FALSE)))</f>
        <v>Sainte-Adèle</v>
      </c>
      <c r="R2446" s="9" t="s">
        <v>11250</v>
      </c>
      <c r="S2446" s="9" t="str">
        <f>IF(ISBLANK($R2446),"",VLOOKUP($R2446,'Liste des Villes'!$B$2:$H$1128,4,FALSE))</f>
        <v>Laurentides</v>
      </c>
      <c r="T2446" s="2" t="s">
        <v>11341</v>
      </c>
      <c r="U2446" s="2" t="s">
        <v>39</v>
      </c>
      <c r="V2446" s="2" t="s">
        <v>40</v>
      </c>
      <c r="W2446" s="2" t="s">
        <v>11342</v>
      </c>
      <c r="X2446" s="2"/>
      <c r="Y2446" s="2"/>
      <c r="Z2446" s="2"/>
      <c r="AA2446" s="2" t="s">
        <v>72</v>
      </c>
      <c r="AB2446" s="2" t="s">
        <v>192</v>
      </c>
      <c r="AC2446" s="4" t="s">
        <v>44</v>
      </c>
    </row>
    <row r="2447" spans="1:29" x14ac:dyDescent="0.25">
      <c r="A2447" s="1">
        <v>2383</v>
      </c>
      <c r="B2447" s="17" t="s">
        <v>11343</v>
      </c>
      <c r="C2447" s="2" t="s">
        <v>11344</v>
      </c>
      <c r="D2447" s="15" t="s">
        <v>5394</v>
      </c>
      <c r="E2447" s="9" t="s">
        <v>509</v>
      </c>
      <c r="F2447" s="9" t="s">
        <v>2698</v>
      </c>
      <c r="G2447" s="9" t="s">
        <v>6410</v>
      </c>
      <c r="H2447" s="2" t="s">
        <v>60</v>
      </c>
      <c r="I2447" s="3">
        <v>36730</v>
      </c>
      <c r="J2447" s="9" t="str">
        <f t="shared" ca="1" si="40"/>
        <v>23 ans</v>
      </c>
      <c r="K2447" s="2" t="s">
        <v>68</v>
      </c>
      <c r="L2447" s="2" t="str">
        <f>"630"</f>
        <v>630</v>
      </c>
      <c r="M2447" s="2"/>
      <c r="N2447" s="2" t="str">
        <f>"RUE DES CÈDRES"</f>
        <v>RUE DES CÈDRES</v>
      </c>
      <c r="O2447" s="2" t="s">
        <v>11249</v>
      </c>
      <c r="P2447" s="9" t="str">
        <f>VLOOKUP($O2447,'Liste des Villes'!$B$2:$B$1128,1,FALSE)</f>
        <v>Sainte-Adèle</v>
      </c>
      <c r="Q2447" s="9" t="str">
        <f>IFERROR($P2447,PROPER(VLOOKUP($O2447,'Villes en erreur'!$A$2:$B$72,2,FALSE)))</f>
        <v>Sainte-Adèle</v>
      </c>
      <c r="R2447" s="9" t="s">
        <v>11250</v>
      </c>
      <c r="S2447" s="9" t="str">
        <f>IF(ISBLANK($R2447),"",VLOOKUP($R2447,'Liste des Villes'!$B$2:$H$1128,4,FALSE))</f>
        <v>Laurentides</v>
      </c>
      <c r="T2447" s="2" t="s">
        <v>11345</v>
      </c>
      <c r="U2447" s="2" t="s">
        <v>39</v>
      </c>
      <c r="V2447" s="2" t="s">
        <v>40</v>
      </c>
      <c r="W2447" s="2" t="s">
        <v>11346</v>
      </c>
      <c r="X2447" s="2"/>
      <c r="Y2447" s="2"/>
      <c r="Z2447" s="2"/>
      <c r="AA2447" s="2" t="s">
        <v>72</v>
      </c>
      <c r="AB2447" s="2" t="s">
        <v>192</v>
      </c>
      <c r="AC2447" s="4" t="s">
        <v>44</v>
      </c>
    </row>
    <row r="2448" spans="1:29" x14ac:dyDescent="0.25">
      <c r="A2448" s="1">
        <v>681</v>
      </c>
      <c r="B2448" s="17" t="s">
        <v>11347</v>
      </c>
      <c r="C2448" s="2" t="s">
        <v>11348</v>
      </c>
      <c r="D2448" s="15" t="s">
        <v>1696</v>
      </c>
      <c r="E2448" s="9" t="s">
        <v>3351</v>
      </c>
      <c r="F2448" s="9" t="s">
        <v>875</v>
      </c>
      <c r="G2448" s="9" t="s">
        <v>5652</v>
      </c>
      <c r="H2448" s="2" t="s">
        <v>60</v>
      </c>
      <c r="I2448" s="3">
        <v>36723</v>
      </c>
      <c r="J2448" s="9" t="str">
        <f t="shared" ca="1" si="40"/>
        <v>23 ans</v>
      </c>
      <c r="K2448" s="2" t="s">
        <v>68</v>
      </c>
      <c r="L2448" s="2" t="str">
        <f>"617"</f>
        <v>617</v>
      </c>
      <c r="M2448" s="2"/>
      <c r="N2448" s="2" t="str">
        <f>"RUE DES BOURDONS"</f>
        <v>RUE DES BOURDONS</v>
      </c>
      <c r="O2448" s="2" t="s">
        <v>11249</v>
      </c>
      <c r="P2448" s="9" t="str">
        <f>VLOOKUP($O2448,'Liste des Villes'!$B$2:$B$1128,1,FALSE)</f>
        <v>Sainte-Adèle</v>
      </c>
      <c r="Q2448" s="9" t="str">
        <f>IFERROR($P2448,PROPER(VLOOKUP($O2448,'Villes en erreur'!$A$2:$B$72,2,FALSE)))</f>
        <v>Sainte-Adèle</v>
      </c>
      <c r="R2448" s="9" t="s">
        <v>11250</v>
      </c>
      <c r="S2448" s="9" t="str">
        <f>IF(ISBLANK($R2448),"",VLOOKUP($R2448,'Liste des Villes'!$B$2:$H$1128,4,FALSE))</f>
        <v>Laurentides</v>
      </c>
      <c r="T2448" s="2" t="s">
        <v>11349</v>
      </c>
      <c r="U2448" s="2" t="s">
        <v>39</v>
      </c>
      <c r="V2448" s="2" t="s">
        <v>40</v>
      </c>
      <c r="W2448" s="2" t="s">
        <v>11350</v>
      </c>
      <c r="X2448" s="2"/>
      <c r="Y2448" s="2"/>
      <c r="Z2448" s="2"/>
      <c r="AA2448" s="2" t="s">
        <v>72</v>
      </c>
      <c r="AB2448" s="2" t="s">
        <v>192</v>
      </c>
      <c r="AC2448" s="4" t="s">
        <v>44</v>
      </c>
    </row>
    <row r="2449" spans="1:29" x14ac:dyDescent="0.25">
      <c r="A2449" s="1">
        <v>943</v>
      </c>
      <c r="B2449" s="17" t="s">
        <v>11351</v>
      </c>
      <c r="C2449" s="2" t="s">
        <v>3922</v>
      </c>
      <c r="D2449" s="15" t="s">
        <v>1800</v>
      </c>
      <c r="E2449" s="9" t="s">
        <v>511</v>
      </c>
      <c r="F2449" s="9" t="s">
        <v>6868</v>
      </c>
      <c r="G2449" s="9" t="s">
        <v>4484</v>
      </c>
      <c r="H2449" s="2" t="s">
        <v>60</v>
      </c>
      <c r="I2449" s="3">
        <v>36713</v>
      </c>
      <c r="J2449" s="9" t="str">
        <f t="shared" ca="1" si="40"/>
        <v>23 ans</v>
      </c>
      <c r="K2449" s="2" t="s">
        <v>68</v>
      </c>
      <c r="L2449" s="2" t="str">
        <f>"604"</f>
        <v>604</v>
      </c>
      <c r="M2449" s="2"/>
      <c r="N2449" s="2" t="str">
        <f>"RUE DES BORIES"</f>
        <v>RUE DES BORIES</v>
      </c>
      <c r="O2449" s="2" t="s">
        <v>11249</v>
      </c>
      <c r="P2449" s="9" t="str">
        <f>VLOOKUP($O2449,'Liste des Villes'!$B$2:$B$1128,1,FALSE)</f>
        <v>Sainte-Adèle</v>
      </c>
      <c r="Q2449" s="9" t="str">
        <f>IFERROR($P2449,PROPER(VLOOKUP($O2449,'Villes en erreur'!$A$2:$B$72,2,FALSE)))</f>
        <v>Sainte-Adèle</v>
      </c>
      <c r="R2449" s="9" t="s">
        <v>11250</v>
      </c>
      <c r="S2449" s="9" t="str">
        <f>IF(ISBLANK($R2449),"",VLOOKUP($R2449,'Liste des Villes'!$B$2:$H$1128,4,FALSE))</f>
        <v>Laurentides</v>
      </c>
      <c r="T2449" s="2" t="s">
        <v>11352</v>
      </c>
      <c r="U2449" s="2" t="s">
        <v>39</v>
      </c>
      <c r="V2449" s="2" t="s">
        <v>40</v>
      </c>
      <c r="W2449" s="2" t="s">
        <v>11353</v>
      </c>
      <c r="X2449" s="2"/>
      <c r="Y2449" s="2"/>
      <c r="Z2449" s="2"/>
      <c r="AA2449" s="2" t="s">
        <v>72</v>
      </c>
      <c r="AB2449" s="2" t="s">
        <v>545</v>
      </c>
      <c r="AC2449" s="4" t="s">
        <v>44</v>
      </c>
    </row>
    <row r="2450" spans="1:29" x14ac:dyDescent="0.25">
      <c r="A2450" s="1">
        <v>2262</v>
      </c>
      <c r="B2450" s="17" t="s">
        <v>11354</v>
      </c>
      <c r="C2450" s="2" t="s">
        <v>11355</v>
      </c>
      <c r="D2450" s="15" t="s">
        <v>835</v>
      </c>
      <c r="E2450" s="9" t="s">
        <v>11356</v>
      </c>
      <c r="F2450" s="9" t="s">
        <v>312</v>
      </c>
      <c r="G2450" s="9" t="s">
        <v>11357</v>
      </c>
      <c r="H2450" s="2" t="s">
        <v>35</v>
      </c>
      <c r="I2450" s="3">
        <v>36750</v>
      </c>
      <c r="J2450" s="9" t="str">
        <f t="shared" ca="1" si="40"/>
        <v>23 ans</v>
      </c>
      <c r="K2450" s="2" t="s">
        <v>68</v>
      </c>
      <c r="L2450" s="2" t="str">
        <f>"660"</f>
        <v>660</v>
      </c>
      <c r="M2450" s="2"/>
      <c r="N2450" s="2" t="str">
        <f>"RUE DES COLOMBES"</f>
        <v>RUE DES COLOMBES</v>
      </c>
      <c r="O2450" s="2" t="s">
        <v>11249</v>
      </c>
      <c r="P2450" s="9" t="str">
        <f>VLOOKUP($O2450,'Liste des Villes'!$B$2:$B$1128,1,FALSE)</f>
        <v>Sainte-Adèle</v>
      </c>
      <c r="Q2450" s="9" t="str">
        <f>IFERROR($P2450,PROPER(VLOOKUP($O2450,'Villes en erreur'!$A$2:$B$72,2,FALSE)))</f>
        <v>Sainte-Adèle</v>
      </c>
      <c r="R2450" s="9" t="s">
        <v>11250</v>
      </c>
      <c r="S2450" s="9" t="str">
        <f>IF(ISBLANK($R2450),"",VLOOKUP($R2450,'Liste des Villes'!$B$2:$H$1128,4,FALSE))</f>
        <v>Laurentides</v>
      </c>
      <c r="T2450" s="2" t="s">
        <v>11358</v>
      </c>
      <c r="U2450" s="2" t="s">
        <v>39</v>
      </c>
      <c r="V2450" s="2" t="s">
        <v>40</v>
      </c>
      <c r="W2450" s="2" t="s">
        <v>11359</v>
      </c>
      <c r="X2450" s="2"/>
      <c r="Y2450" s="2"/>
      <c r="Z2450" s="2"/>
      <c r="AA2450" s="2" t="s">
        <v>72</v>
      </c>
      <c r="AB2450" s="2" t="s">
        <v>192</v>
      </c>
      <c r="AC2450" s="4" t="s">
        <v>44</v>
      </c>
    </row>
    <row r="2451" spans="1:29" x14ac:dyDescent="0.25">
      <c r="A2451" s="1">
        <v>3074</v>
      </c>
      <c r="B2451" s="17" t="s">
        <v>11360</v>
      </c>
      <c r="C2451" s="2" t="s">
        <v>11361</v>
      </c>
      <c r="D2451" s="15" t="s">
        <v>11362</v>
      </c>
      <c r="E2451" s="9" t="s">
        <v>11363</v>
      </c>
      <c r="F2451" s="9" t="s">
        <v>2677</v>
      </c>
      <c r="G2451" s="9" t="s">
        <v>172</v>
      </c>
      <c r="H2451" s="2" t="s">
        <v>60</v>
      </c>
      <c r="I2451" s="3">
        <v>36703</v>
      </c>
      <c r="J2451" s="9" t="str">
        <f t="shared" ca="1" si="40"/>
        <v>23 ans</v>
      </c>
      <c r="K2451" s="2" t="s">
        <v>68</v>
      </c>
      <c r="L2451" s="2" t="str">
        <f>"598"</f>
        <v>598</v>
      </c>
      <c r="M2451" s="2"/>
      <c r="N2451" s="2" t="str">
        <f>"RUE DES ARTISANS"</f>
        <v>RUE DES ARTISANS</v>
      </c>
      <c r="O2451" s="2" t="s">
        <v>11249</v>
      </c>
      <c r="P2451" s="9" t="str">
        <f>VLOOKUP($O2451,'Liste des Villes'!$B$2:$B$1128,1,FALSE)</f>
        <v>Sainte-Adèle</v>
      </c>
      <c r="Q2451" s="9" t="str">
        <f>IFERROR($P2451,PROPER(VLOOKUP($O2451,'Villes en erreur'!$A$2:$B$72,2,FALSE)))</f>
        <v>Sainte-Adèle</v>
      </c>
      <c r="R2451" s="9" t="s">
        <v>11250</v>
      </c>
      <c r="S2451" s="9" t="str">
        <f>IF(ISBLANK($R2451),"",VLOOKUP($R2451,'Liste des Villes'!$B$2:$H$1128,4,FALSE))</f>
        <v>Laurentides</v>
      </c>
      <c r="T2451" s="2" t="s">
        <v>11364</v>
      </c>
      <c r="U2451" s="2" t="s">
        <v>39</v>
      </c>
      <c r="V2451" s="2" t="s">
        <v>40</v>
      </c>
      <c r="W2451" s="2" t="s">
        <v>11365</v>
      </c>
      <c r="X2451" s="2"/>
      <c r="Y2451" s="2"/>
      <c r="Z2451" s="2"/>
      <c r="AA2451" s="2" t="s">
        <v>72</v>
      </c>
      <c r="AB2451" s="2" t="s">
        <v>545</v>
      </c>
      <c r="AC2451" s="4" t="s">
        <v>44</v>
      </c>
    </row>
    <row r="2452" spans="1:29" x14ac:dyDescent="0.25">
      <c r="A2452" s="1">
        <v>2134</v>
      </c>
      <c r="B2452" s="17" t="s">
        <v>11366</v>
      </c>
      <c r="C2452" s="2" t="s">
        <v>11367</v>
      </c>
      <c r="D2452" s="15" t="s">
        <v>11368</v>
      </c>
      <c r="E2452" s="9" t="s">
        <v>10550</v>
      </c>
      <c r="F2452" s="9" t="s">
        <v>4248</v>
      </c>
      <c r="G2452" s="9" t="s">
        <v>172</v>
      </c>
      <c r="H2452" s="2" t="s">
        <v>60</v>
      </c>
      <c r="I2452" s="3">
        <v>36706</v>
      </c>
      <c r="J2452" s="9" t="str">
        <f t="shared" ca="1" si="40"/>
        <v>23 ans</v>
      </c>
      <c r="K2452" s="2" t="s">
        <v>68</v>
      </c>
      <c r="L2452" s="2" t="str">
        <f>"598"</f>
        <v>598</v>
      </c>
      <c r="M2452" s="2"/>
      <c r="N2452" s="2" t="str">
        <f>"RUE DES ARTISANS"</f>
        <v>RUE DES ARTISANS</v>
      </c>
      <c r="O2452" s="2" t="s">
        <v>11249</v>
      </c>
      <c r="P2452" s="9" t="str">
        <f>VLOOKUP($O2452,'Liste des Villes'!$B$2:$B$1128,1,FALSE)</f>
        <v>Sainte-Adèle</v>
      </c>
      <c r="Q2452" s="9" t="str">
        <f>IFERROR($P2452,PROPER(VLOOKUP($O2452,'Villes en erreur'!$A$2:$B$72,2,FALSE)))</f>
        <v>Sainte-Adèle</v>
      </c>
      <c r="R2452" s="9" t="s">
        <v>11250</v>
      </c>
      <c r="S2452" s="9" t="str">
        <f>IF(ISBLANK($R2452),"",VLOOKUP($R2452,'Liste des Villes'!$B$2:$H$1128,4,FALSE))</f>
        <v>Laurentides</v>
      </c>
      <c r="T2452" s="2" t="s">
        <v>11369</v>
      </c>
      <c r="U2452" s="2" t="s">
        <v>39</v>
      </c>
      <c r="V2452" s="2" t="s">
        <v>40</v>
      </c>
      <c r="W2452" s="2" t="s">
        <v>11370</v>
      </c>
      <c r="X2452" s="2"/>
      <c r="Y2452" s="2"/>
      <c r="Z2452" s="2"/>
      <c r="AA2452" s="2" t="s">
        <v>72</v>
      </c>
      <c r="AB2452" s="2" t="s">
        <v>545</v>
      </c>
      <c r="AC2452" s="4" t="s">
        <v>44</v>
      </c>
    </row>
    <row r="2453" spans="1:29" x14ac:dyDescent="0.25">
      <c r="A2453" s="1">
        <v>526</v>
      </c>
      <c r="B2453" s="17" t="s">
        <v>11371</v>
      </c>
      <c r="C2453" s="2" t="s">
        <v>11372</v>
      </c>
      <c r="D2453" s="15" t="s">
        <v>6278</v>
      </c>
      <c r="E2453" s="9" t="s">
        <v>4513</v>
      </c>
      <c r="F2453" s="9" t="s">
        <v>6276</v>
      </c>
      <c r="G2453" s="9" t="s">
        <v>6958</v>
      </c>
      <c r="H2453" s="2" t="s">
        <v>35</v>
      </c>
      <c r="I2453" s="3">
        <v>36732</v>
      </c>
      <c r="J2453" s="9" t="str">
        <f t="shared" ca="1" si="40"/>
        <v>23 ans</v>
      </c>
      <c r="K2453" s="2" t="s">
        <v>68</v>
      </c>
      <c r="L2453" s="2" t="str">
        <f>"630"</f>
        <v>630</v>
      </c>
      <c r="M2453" s="2"/>
      <c r="N2453" s="2" t="str">
        <f>"RUE DES CÈDRES"</f>
        <v>RUE DES CÈDRES</v>
      </c>
      <c r="O2453" s="2" t="s">
        <v>11249</v>
      </c>
      <c r="P2453" s="9" t="str">
        <f>VLOOKUP($O2453,'Liste des Villes'!$B$2:$B$1128,1,FALSE)</f>
        <v>Sainte-Adèle</v>
      </c>
      <c r="Q2453" s="9" t="str">
        <f>IFERROR($P2453,PROPER(VLOOKUP($O2453,'Villes en erreur'!$A$2:$B$72,2,FALSE)))</f>
        <v>Sainte-Adèle</v>
      </c>
      <c r="R2453" s="9" t="s">
        <v>11250</v>
      </c>
      <c r="S2453" s="9" t="str">
        <f>IF(ISBLANK($R2453),"",VLOOKUP($R2453,'Liste des Villes'!$B$2:$H$1128,4,FALSE))</f>
        <v>Laurentides</v>
      </c>
      <c r="T2453" s="2" t="s">
        <v>11373</v>
      </c>
      <c r="U2453" s="2" t="s">
        <v>39</v>
      </c>
      <c r="V2453" s="2" t="s">
        <v>40</v>
      </c>
      <c r="W2453" s="2" t="s">
        <v>11374</v>
      </c>
      <c r="X2453" s="2"/>
      <c r="Y2453" s="2"/>
      <c r="Z2453" s="2"/>
      <c r="AA2453" s="2" t="s">
        <v>72</v>
      </c>
      <c r="AB2453" s="2" t="s">
        <v>192</v>
      </c>
      <c r="AC2453" s="4" t="s">
        <v>44</v>
      </c>
    </row>
    <row r="2454" spans="1:29" x14ac:dyDescent="0.25">
      <c r="A2454" s="1">
        <v>3392</v>
      </c>
      <c r="B2454" s="17" t="s">
        <v>11375</v>
      </c>
      <c r="C2454" s="2" t="s">
        <v>10092</v>
      </c>
      <c r="D2454" s="15" t="s">
        <v>884</v>
      </c>
      <c r="E2454" s="9" t="s">
        <v>6380</v>
      </c>
      <c r="F2454" s="9" t="s">
        <v>882</v>
      </c>
      <c r="G2454" s="9" t="s">
        <v>4484</v>
      </c>
      <c r="H2454" s="2" t="s">
        <v>60</v>
      </c>
      <c r="I2454" s="3">
        <v>36712</v>
      </c>
      <c r="J2454" s="9" t="str">
        <f t="shared" ca="1" si="40"/>
        <v>23 ans</v>
      </c>
      <c r="K2454" s="2" t="s">
        <v>68</v>
      </c>
      <c r="L2454" s="2" t="str">
        <f>"604"</f>
        <v>604</v>
      </c>
      <c r="M2454" s="2"/>
      <c r="N2454" s="2" t="str">
        <f>"RUE DES BOIS FRANCS"</f>
        <v>RUE DES BOIS FRANCS</v>
      </c>
      <c r="O2454" s="2" t="s">
        <v>11249</v>
      </c>
      <c r="P2454" s="9" t="str">
        <f>VLOOKUP($O2454,'Liste des Villes'!$B$2:$B$1128,1,FALSE)</f>
        <v>Sainte-Adèle</v>
      </c>
      <c r="Q2454" s="9" t="str">
        <f>IFERROR($P2454,PROPER(VLOOKUP($O2454,'Villes en erreur'!$A$2:$B$72,2,FALSE)))</f>
        <v>Sainte-Adèle</v>
      </c>
      <c r="R2454" s="9" t="s">
        <v>11250</v>
      </c>
      <c r="S2454" s="9" t="str">
        <f>IF(ISBLANK($R2454),"",VLOOKUP($R2454,'Liste des Villes'!$B$2:$H$1128,4,FALSE))</f>
        <v>Laurentides</v>
      </c>
      <c r="T2454" s="2" t="s">
        <v>11376</v>
      </c>
      <c r="U2454" s="2" t="s">
        <v>39</v>
      </c>
      <c r="V2454" s="2" t="s">
        <v>40</v>
      </c>
      <c r="W2454" s="2" t="s">
        <v>11377</v>
      </c>
      <c r="X2454" s="2"/>
      <c r="Y2454" s="2"/>
      <c r="Z2454" s="2"/>
      <c r="AA2454" s="2" t="s">
        <v>72</v>
      </c>
      <c r="AB2454" s="2" t="s">
        <v>545</v>
      </c>
      <c r="AC2454" s="4" t="s">
        <v>44</v>
      </c>
    </row>
    <row r="2455" spans="1:29" x14ac:dyDescent="0.25">
      <c r="A2455" s="1">
        <v>1139</v>
      </c>
      <c r="B2455" s="17" t="s">
        <v>11378</v>
      </c>
      <c r="C2455" s="2" t="s">
        <v>11379</v>
      </c>
      <c r="D2455" s="15" t="s">
        <v>6629</v>
      </c>
      <c r="E2455" s="9" t="s">
        <v>4968</v>
      </c>
      <c r="F2455" s="9" t="s">
        <v>569</v>
      </c>
      <c r="G2455" s="9" t="s">
        <v>11380</v>
      </c>
      <c r="H2455" s="2" t="s">
        <v>60</v>
      </c>
      <c r="I2455" s="3">
        <v>36719</v>
      </c>
      <c r="J2455" s="9" t="str">
        <f t="shared" ca="1" si="40"/>
        <v>23 ans</v>
      </c>
      <c r="K2455" s="2" t="s">
        <v>68</v>
      </c>
      <c r="L2455" s="2" t="str">
        <f>"613"</f>
        <v>613</v>
      </c>
      <c r="M2455" s="2"/>
      <c r="N2455" s="2" t="str">
        <f>"RUE DES BOULEAUX"</f>
        <v>RUE DES BOULEAUX</v>
      </c>
      <c r="O2455" s="2" t="s">
        <v>11249</v>
      </c>
      <c r="P2455" s="9" t="str">
        <f>VLOOKUP($O2455,'Liste des Villes'!$B$2:$B$1128,1,FALSE)</f>
        <v>Sainte-Adèle</v>
      </c>
      <c r="Q2455" s="9" t="str">
        <f>IFERROR($P2455,PROPER(VLOOKUP($O2455,'Villes en erreur'!$A$2:$B$72,2,FALSE)))</f>
        <v>Sainte-Adèle</v>
      </c>
      <c r="R2455" s="9" t="s">
        <v>11250</v>
      </c>
      <c r="S2455" s="9" t="str">
        <f>IF(ISBLANK($R2455),"",VLOOKUP($R2455,'Liste des Villes'!$B$2:$H$1128,4,FALSE))</f>
        <v>Laurentides</v>
      </c>
      <c r="T2455" s="2" t="s">
        <v>11381</v>
      </c>
      <c r="U2455" s="2" t="s">
        <v>39</v>
      </c>
      <c r="V2455" s="2" t="s">
        <v>40</v>
      </c>
      <c r="W2455" s="2" t="s">
        <v>11382</v>
      </c>
      <c r="X2455" s="2"/>
      <c r="Y2455" s="2"/>
      <c r="Z2455" s="2"/>
      <c r="AA2455" s="2" t="s">
        <v>72</v>
      </c>
      <c r="AB2455" s="2" t="s">
        <v>545</v>
      </c>
      <c r="AC2455" s="4" t="s">
        <v>44</v>
      </c>
    </row>
    <row r="2456" spans="1:29" x14ac:dyDescent="0.25">
      <c r="A2456" s="1">
        <v>4552</v>
      </c>
      <c r="B2456" s="17" t="s">
        <v>11383</v>
      </c>
      <c r="C2456" s="2" t="s">
        <v>8837</v>
      </c>
      <c r="D2456" s="15" t="s">
        <v>3080</v>
      </c>
      <c r="E2456" s="9" t="s">
        <v>188</v>
      </c>
      <c r="F2456" s="9" t="s">
        <v>3078</v>
      </c>
      <c r="G2456" s="9" t="s">
        <v>11384</v>
      </c>
      <c r="H2456" s="2" t="s">
        <v>35</v>
      </c>
      <c r="I2456" s="3">
        <v>36728</v>
      </c>
      <c r="J2456" s="9" t="str">
        <f t="shared" ca="1" si="40"/>
        <v>23 ans</v>
      </c>
      <c r="K2456" s="2" t="s">
        <v>68</v>
      </c>
      <c r="L2456" s="2" t="str">
        <f>"624"</f>
        <v>624</v>
      </c>
      <c r="M2456" s="2"/>
      <c r="N2456" s="2" t="str">
        <f>"RUE DES CASCADES"</f>
        <v>RUE DES CASCADES</v>
      </c>
      <c r="O2456" s="2" t="s">
        <v>11249</v>
      </c>
      <c r="P2456" s="9" t="str">
        <f>VLOOKUP($O2456,'Liste des Villes'!$B$2:$B$1128,1,FALSE)</f>
        <v>Sainte-Adèle</v>
      </c>
      <c r="Q2456" s="9" t="str">
        <f>IFERROR($P2456,PROPER(VLOOKUP($O2456,'Villes en erreur'!$A$2:$B$72,2,FALSE)))</f>
        <v>Sainte-Adèle</v>
      </c>
      <c r="R2456" s="9" t="s">
        <v>11250</v>
      </c>
      <c r="S2456" s="9" t="str">
        <f>IF(ISBLANK($R2456),"",VLOOKUP($R2456,'Liste des Villes'!$B$2:$H$1128,4,FALSE))</f>
        <v>Laurentides</v>
      </c>
      <c r="T2456" s="2" t="s">
        <v>11385</v>
      </c>
      <c r="U2456" s="2" t="s">
        <v>39</v>
      </c>
      <c r="V2456" s="2" t="s">
        <v>40</v>
      </c>
      <c r="W2456" s="2" t="s">
        <v>11386</v>
      </c>
      <c r="X2456" s="2"/>
      <c r="Y2456" s="2"/>
      <c r="Z2456" s="2"/>
      <c r="AA2456" s="2" t="s">
        <v>72</v>
      </c>
      <c r="AB2456" s="2" t="s">
        <v>192</v>
      </c>
      <c r="AC2456" s="4" t="s">
        <v>44</v>
      </c>
    </row>
    <row r="2457" spans="1:29" x14ac:dyDescent="0.25">
      <c r="A2457" s="1">
        <v>1480</v>
      </c>
      <c r="B2457" s="17" t="s">
        <v>11387</v>
      </c>
      <c r="C2457" s="2" t="s">
        <v>11388</v>
      </c>
      <c r="D2457" s="15" t="s">
        <v>11389</v>
      </c>
      <c r="E2457" s="9" t="s">
        <v>891</v>
      </c>
      <c r="F2457" s="9" t="s">
        <v>10898</v>
      </c>
      <c r="G2457" s="9" t="s">
        <v>1355</v>
      </c>
      <c r="H2457" s="2" t="s">
        <v>35</v>
      </c>
      <c r="I2457" s="3">
        <v>36738</v>
      </c>
      <c r="J2457" s="9" t="str">
        <f t="shared" ca="1" si="40"/>
        <v>23 ans</v>
      </c>
      <c r="K2457" s="2" t="s">
        <v>68</v>
      </c>
      <c r="L2457" s="2" t="str">
        <f>"640"</f>
        <v>640</v>
      </c>
      <c r="M2457" s="2"/>
      <c r="N2457" s="2" t="str">
        <f>"RUE DES CHAMPS"</f>
        <v>RUE DES CHAMPS</v>
      </c>
      <c r="O2457" s="2" t="s">
        <v>11249</v>
      </c>
      <c r="P2457" s="9" t="str">
        <f>VLOOKUP($O2457,'Liste des Villes'!$B$2:$B$1128,1,FALSE)</f>
        <v>Sainte-Adèle</v>
      </c>
      <c r="Q2457" s="9" t="str">
        <f>IFERROR($P2457,PROPER(VLOOKUP($O2457,'Villes en erreur'!$A$2:$B$72,2,FALSE)))</f>
        <v>Sainte-Adèle</v>
      </c>
      <c r="R2457" s="9" t="s">
        <v>11250</v>
      </c>
      <c r="S2457" s="9" t="str">
        <f>IF(ISBLANK($R2457),"",VLOOKUP($R2457,'Liste des Villes'!$B$2:$H$1128,4,FALSE))</f>
        <v>Laurentides</v>
      </c>
      <c r="T2457" s="2" t="s">
        <v>11390</v>
      </c>
      <c r="U2457" s="2" t="s">
        <v>39</v>
      </c>
      <c r="V2457" s="2" t="s">
        <v>40</v>
      </c>
      <c r="W2457" s="2" t="s">
        <v>11391</v>
      </c>
      <c r="X2457" s="2"/>
      <c r="Y2457" s="2"/>
      <c r="Z2457" s="2"/>
      <c r="AA2457" s="2" t="s">
        <v>72</v>
      </c>
      <c r="AB2457" s="2" t="s">
        <v>192</v>
      </c>
      <c r="AC2457" s="4" t="s">
        <v>44</v>
      </c>
    </row>
    <row r="2458" spans="1:29" x14ac:dyDescent="0.25">
      <c r="A2458" s="1">
        <v>828</v>
      </c>
      <c r="B2458" s="17" t="s">
        <v>11392</v>
      </c>
      <c r="C2458" s="2" t="s">
        <v>11393</v>
      </c>
      <c r="D2458" s="15" t="s">
        <v>4125</v>
      </c>
      <c r="E2458" s="9" t="s">
        <v>11394</v>
      </c>
      <c r="F2458" s="9" t="s">
        <v>4123</v>
      </c>
      <c r="G2458" s="9" t="s">
        <v>172</v>
      </c>
      <c r="H2458" s="2" t="s">
        <v>60</v>
      </c>
      <c r="I2458" s="3">
        <v>36706</v>
      </c>
      <c r="J2458" s="9" t="str">
        <f t="shared" ca="1" si="40"/>
        <v>23 ans</v>
      </c>
      <c r="K2458" s="2" t="s">
        <v>68</v>
      </c>
      <c r="L2458" s="2" t="str">
        <f>"598"</f>
        <v>598</v>
      </c>
      <c r="M2458" s="2"/>
      <c r="N2458" s="2" t="str">
        <f>"RUE DES ARTISANS"</f>
        <v>RUE DES ARTISANS</v>
      </c>
      <c r="O2458" s="2" t="s">
        <v>11249</v>
      </c>
      <c r="P2458" s="9" t="str">
        <f>VLOOKUP($O2458,'Liste des Villes'!$B$2:$B$1128,1,FALSE)</f>
        <v>Sainte-Adèle</v>
      </c>
      <c r="Q2458" s="9" t="str">
        <f>IFERROR($P2458,PROPER(VLOOKUP($O2458,'Villes en erreur'!$A$2:$B$72,2,FALSE)))</f>
        <v>Sainte-Adèle</v>
      </c>
      <c r="R2458" s="9" t="s">
        <v>11250</v>
      </c>
      <c r="S2458" s="9" t="str">
        <f>IF(ISBLANK($R2458),"",VLOOKUP($R2458,'Liste des Villes'!$B$2:$H$1128,4,FALSE))</f>
        <v>Laurentides</v>
      </c>
      <c r="T2458" s="2" t="s">
        <v>11395</v>
      </c>
      <c r="U2458" s="2" t="s">
        <v>39</v>
      </c>
      <c r="V2458" s="2" t="s">
        <v>40</v>
      </c>
      <c r="W2458" s="2" t="s">
        <v>11396</v>
      </c>
      <c r="X2458" s="2"/>
      <c r="Y2458" s="2"/>
      <c r="Z2458" s="2"/>
      <c r="AA2458" s="2" t="s">
        <v>72</v>
      </c>
      <c r="AB2458" s="2" t="s">
        <v>545</v>
      </c>
      <c r="AC2458" s="4" t="s">
        <v>44</v>
      </c>
    </row>
    <row r="2459" spans="1:29" x14ac:dyDescent="0.25">
      <c r="A2459" s="1">
        <v>2213</v>
      </c>
      <c r="B2459" s="17" t="s">
        <v>11397</v>
      </c>
      <c r="C2459" s="2" t="s">
        <v>11398</v>
      </c>
      <c r="D2459" s="15" t="s">
        <v>11399</v>
      </c>
      <c r="E2459" s="9" t="s">
        <v>3194</v>
      </c>
      <c r="F2459" s="9" t="s">
        <v>7916</v>
      </c>
      <c r="G2459" s="9" t="s">
        <v>940</v>
      </c>
      <c r="H2459" s="2" t="s">
        <v>60</v>
      </c>
      <c r="I2459" s="3">
        <v>36725</v>
      </c>
      <c r="J2459" s="9" t="str">
        <f t="shared" ca="1" si="40"/>
        <v>23 ans</v>
      </c>
      <c r="K2459" s="2" t="s">
        <v>68</v>
      </c>
      <c r="L2459" s="2" t="str">
        <f>"620"</f>
        <v>620</v>
      </c>
      <c r="M2459" s="2"/>
      <c r="N2459" s="2" t="str">
        <f>"RUE DES CAILLES"</f>
        <v>RUE DES CAILLES</v>
      </c>
      <c r="O2459" s="2" t="s">
        <v>11249</v>
      </c>
      <c r="P2459" s="9" t="str">
        <f>VLOOKUP($O2459,'Liste des Villes'!$B$2:$B$1128,1,FALSE)</f>
        <v>Sainte-Adèle</v>
      </c>
      <c r="Q2459" s="9" t="str">
        <f>IFERROR($P2459,PROPER(VLOOKUP($O2459,'Villes en erreur'!$A$2:$B$72,2,FALSE)))</f>
        <v>Sainte-Adèle</v>
      </c>
      <c r="R2459" s="9" t="s">
        <v>11250</v>
      </c>
      <c r="S2459" s="9" t="str">
        <f>IF(ISBLANK($R2459),"",VLOOKUP($R2459,'Liste des Villes'!$B$2:$H$1128,4,FALSE))</f>
        <v>Laurentides</v>
      </c>
      <c r="T2459" s="2" t="s">
        <v>11338</v>
      </c>
      <c r="U2459" s="2" t="s">
        <v>39</v>
      </c>
      <c r="V2459" s="2" t="s">
        <v>40</v>
      </c>
      <c r="W2459" s="2" t="s">
        <v>11400</v>
      </c>
      <c r="X2459" s="2"/>
      <c r="Y2459" s="2"/>
      <c r="Z2459" s="2"/>
      <c r="AA2459" s="2" t="s">
        <v>72</v>
      </c>
      <c r="AB2459" s="2" t="s">
        <v>192</v>
      </c>
      <c r="AC2459" s="4" t="s">
        <v>44</v>
      </c>
    </row>
    <row r="2460" spans="1:29" x14ac:dyDescent="0.25">
      <c r="A2460" s="1">
        <v>4096</v>
      </c>
      <c r="B2460" s="17" t="s">
        <v>11401</v>
      </c>
      <c r="C2460" s="2" t="s">
        <v>11402</v>
      </c>
      <c r="D2460" s="15" t="s">
        <v>3014</v>
      </c>
      <c r="E2460" s="9" t="s">
        <v>495</v>
      </c>
      <c r="F2460" s="9" t="s">
        <v>438</v>
      </c>
      <c r="G2460" s="9" t="s">
        <v>172</v>
      </c>
      <c r="H2460" s="2" t="s">
        <v>60</v>
      </c>
      <c r="I2460" s="3">
        <v>36708</v>
      </c>
      <c r="J2460" s="9" t="str">
        <f t="shared" ca="1" si="40"/>
        <v>23 ans</v>
      </c>
      <c r="K2460" s="2" t="s">
        <v>68</v>
      </c>
      <c r="L2460" s="2" t="str">
        <f>"600"</f>
        <v>600</v>
      </c>
      <c r="M2460" s="2"/>
      <c r="N2460" s="2" t="str">
        <f>"RUE DES BERGES"</f>
        <v>RUE DES BERGES</v>
      </c>
      <c r="O2460" s="2" t="s">
        <v>11249</v>
      </c>
      <c r="P2460" s="9" t="str">
        <f>VLOOKUP($O2460,'Liste des Villes'!$B$2:$B$1128,1,FALSE)</f>
        <v>Sainte-Adèle</v>
      </c>
      <c r="Q2460" s="9" t="str">
        <f>IFERROR($P2460,PROPER(VLOOKUP($O2460,'Villes en erreur'!$A$2:$B$72,2,FALSE)))</f>
        <v>Sainte-Adèle</v>
      </c>
      <c r="R2460" s="9" t="s">
        <v>11250</v>
      </c>
      <c r="S2460" s="9" t="str">
        <f>IF(ISBLANK($R2460),"",VLOOKUP($R2460,'Liste des Villes'!$B$2:$H$1128,4,FALSE))</f>
        <v>Laurentides</v>
      </c>
      <c r="T2460" s="2" t="s">
        <v>11403</v>
      </c>
      <c r="U2460" s="2" t="s">
        <v>39</v>
      </c>
      <c r="V2460" s="2" t="s">
        <v>40</v>
      </c>
      <c r="W2460" s="2" t="s">
        <v>11404</v>
      </c>
      <c r="X2460" s="2"/>
      <c r="Y2460" s="2"/>
      <c r="Z2460" s="2"/>
      <c r="AA2460" s="2" t="s">
        <v>72</v>
      </c>
      <c r="AB2460" s="2" t="s">
        <v>545</v>
      </c>
      <c r="AC2460" s="4" t="s">
        <v>44</v>
      </c>
    </row>
    <row r="2461" spans="1:29" x14ac:dyDescent="0.25">
      <c r="A2461" s="1">
        <v>2418</v>
      </c>
      <c r="B2461" s="17" t="s">
        <v>11405</v>
      </c>
      <c r="C2461" s="2" t="s">
        <v>7930</v>
      </c>
      <c r="D2461" s="15" t="s">
        <v>7931</v>
      </c>
      <c r="E2461" s="9" t="s">
        <v>179</v>
      </c>
      <c r="F2461" s="9" t="s">
        <v>10842</v>
      </c>
      <c r="G2461" s="9" t="s">
        <v>172</v>
      </c>
      <c r="H2461" s="2" t="s">
        <v>60</v>
      </c>
      <c r="I2461" s="3">
        <v>36709</v>
      </c>
      <c r="J2461" s="9" t="str">
        <f t="shared" ca="1" si="40"/>
        <v>23 ans</v>
      </c>
      <c r="K2461" s="2" t="s">
        <v>68</v>
      </c>
      <c r="L2461" s="2" t="str">
        <f>"601"</f>
        <v>601</v>
      </c>
      <c r="M2461" s="2"/>
      <c r="N2461" s="2" t="str">
        <f>"RUE DES BESANTS"</f>
        <v>RUE DES BESANTS</v>
      </c>
      <c r="O2461" s="2" t="s">
        <v>11249</v>
      </c>
      <c r="P2461" s="9" t="str">
        <f>VLOOKUP($O2461,'Liste des Villes'!$B$2:$B$1128,1,FALSE)</f>
        <v>Sainte-Adèle</v>
      </c>
      <c r="Q2461" s="9" t="str">
        <f>IFERROR($P2461,PROPER(VLOOKUP($O2461,'Villes en erreur'!$A$2:$B$72,2,FALSE)))</f>
        <v>Sainte-Adèle</v>
      </c>
      <c r="R2461" s="9" t="s">
        <v>11250</v>
      </c>
      <c r="S2461" s="9" t="str">
        <f>IF(ISBLANK($R2461),"",VLOOKUP($R2461,'Liste des Villes'!$B$2:$H$1128,4,FALSE))</f>
        <v>Laurentides</v>
      </c>
      <c r="T2461" s="2" t="s">
        <v>11406</v>
      </c>
      <c r="U2461" s="2" t="s">
        <v>39</v>
      </c>
      <c r="V2461" s="2" t="s">
        <v>40</v>
      </c>
      <c r="W2461" s="2" t="s">
        <v>11407</v>
      </c>
      <c r="X2461" s="2"/>
      <c r="Y2461" s="2"/>
      <c r="Z2461" s="2"/>
      <c r="AA2461" s="2" t="s">
        <v>72</v>
      </c>
      <c r="AB2461" s="2" t="s">
        <v>545</v>
      </c>
      <c r="AC2461" s="4" t="s">
        <v>44</v>
      </c>
    </row>
    <row r="2462" spans="1:29" x14ac:dyDescent="0.25">
      <c r="A2462" s="1">
        <v>3996</v>
      </c>
      <c r="B2462" s="17" t="s">
        <v>11408</v>
      </c>
      <c r="C2462" s="2" t="s">
        <v>11409</v>
      </c>
      <c r="D2462" s="15" t="s">
        <v>11410</v>
      </c>
      <c r="E2462" s="9" t="s">
        <v>495</v>
      </c>
      <c r="F2462" s="9" t="s">
        <v>304</v>
      </c>
      <c r="G2462" s="9" t="s">
        <v>3964</v>
      </c>
      <c r="H2462" s="2" t="s">
        <v>35</v>
      </c>
      <c r="I2462" s="3">
        <v>36750</v>
      </c>
      <c r="J2462" s="9" t="str">
        <f t="shared" ca="1" si="40"/>
        <v>23 ans</v>
      </c>
      <c r="K2462" s="2" t="s">
        <v>68</v>
      </c>
      <c r="L2462" s="2" t="str">
        <f>"658"</f>
        <v>658</v>
      </c>
      <c r="M2462" s="2"/>
      <c r="N2462" s="2" t="str">
        <f>"RUE DES COLIBRIS"</f>
        <v>RUE DES COLIBRIS</v>
      </c>
      <c r="O2462" s="2" t="s">
        <v>11249</v>
      </c>
      <c r="P2462" s="9" t="str">
        <f>VLOOKUP($O2462,'Liste des Villes'!$B$2:$B$1128,1,FALSE)</f>
        <v>Sainte-Adèle</v>
      </c>
      <c r="Q2462" s="9" t="str">
        <f>IFERROR($P2462,PROPER(VLOOKUP($O2462,'Villes en erreur'!$A$2:$B$72,2,FALSE)))</f>
        <v>Sainte-Adèle</v>
      </c>
      <c r="R2462" s="9" t="s">
        <v>11250</v>
      </c>
      <c r="S2462" s="9" t="str">
        <f>IF(ISBLANK($R2462),"",VLOOKUP($R2462,'Liste des Villes'!$B$2:$H$1128,4,FALSE))</f>
        <v>Laurentides</v>
      </c>
      <c r="T2462" s="2" t="s">
        <v>11411</v>
      </c>
      <c r="U2462" s="2" t="s">
        <v>39</v>
      </c>
      <c r="V2462" s="2" t="s">
        <v>40</v>
      </c>
      <c r="W2462" s="2" t="s">
        <v>11412</v>
      </c>
      <c r="X2462" s="2"/>
      <c r="Y2462" s="2"/>
      <c r="Z2462" s="2"/>
      <c r="AA2462" s="2" t="s">
        <v>72</v>
      </c>
      <c r="AB2462" s="2" t="s">
        <v>192</v>
      </c>
      <c r="AC2462" s="4" t="s">
        <v>44</v>
      </c>
    </row>
    <row r="2463" spans="1:29" x14ac:dyDescent="0.25">
      <c r="A2463" s="1">
        <v>1575</v>
      </c>
      <c r="B2463" s="17" t="s">
        <v>11413</v>
      </c>
      <c r="C2463" s="2" t="s">
        <v>6576</v>
      </c>
      <c r="D2463" s="15" t="s">
        <v>6577</v>
      </c>
      <c r="E2463" s="9" t="s">
        <v>87</v>
      </c>
      <c r="F2463" s="9" t="s">
        <v>6578</v>
      </c>
      <c r="G2463" s="9" t="s">
        <v>4484</v>
      </c>
      <c r="H2463" s="2" t="s">
        <v>60</v>
      </c>
      <c r="I2463" s="3">
        <v>36714</v>
      </c>
      <c r="J2463" s="9" t="str">
        <f t="shared" ca="1" si="40"/>
        <v>23 ans</v>
      </c>
      <c r="K2463" s="2" t="s">
        <v>68</v>
      </c>
      <c r="L2463" s="2" t="str">
        <f>"605"</f>
        <v>605</v>
      </c>
      <c r="M2463" s="2"/>
      <c r="N2463" s="2" t="str">
        <f>"RUE DES BOSQUETS"</f>
        <v>RUE DES BOSQUETS</v>
      </c>
      <c r="O2463" s="2" t="s">
        <v>11249</v>
      </c>
      <c r="P2463" s="9" t="str">
        <f>VLOOKUP($O2463,'Liste des Villes'!$B$2:$B$1128,1,FALSE)</f>
        <v>Sainte-Adèle</v>
      </c>
      <c r="Q2463" s="9" t="str">
        <f>IFERROR($P2463,PROPER(VLOOKUP($O2463,'Villes en erreur'!$A$2:$B$72,2,FALSE)))</f>
        <v>Sainte-Adèle</v>
      </c>
      <c r="R2463" s="9" t="s">
        <v>11250</v>
      </c>
      <c r="S2463" s="9" t="str">
        <f>IF(ISBLANK($R2463),"",VLOOKUP($R2463,'Liste des Villes'!$B$2:$H$1128,4,FALSE))</f>
        <v>Laurentides</v>
      </c>
      <c r="T2463" s="2" t="s">
        <v>11414</v>
      </c>
      <c r="U2463" s="2" t="s">
        <v>39</v>
      </c>
      <c r="V2463" s="2" t="s">
        <v>40</v>
      </c>
      <c r="W2463" s="2" t="s">
        <v>11415</v>
      </c>
      <c r="X2463" s="2"/>
      <c r="Y2463" s="2"/>
      <c r="Z2463" s="2"/>
      <c r="AA2463" s="2" t="s">
        <v>72</v>
      </c>
      <c r="AB2463" s="2" t="s">
        <v>545</v>
      </c>
      <c r="AC2463" s="4" t="s">
        <v>44</v>
      </c>
    </row>
    <row r="2464" spans="1:29" x14ac:dyDescent="0.25">
      <c r="A2464" s="1">
        <v>3334</v>
      </c>
      <c r="B2464" s="17" t="s">
        <v>11416</v>
      </c>
      <c r="C2464" s="2" t="s">
        <v>2891</v>
      </c>
      <c r="D2464" s="15" t="s">
        <v>718</v>
      </c>
      <c r="E2464" s="9" t="s">
        <v>381</v>
      </c>
      <c r="F2464" s="9" t="s">
        <v>6608</v>
      </c>
      <c r="G2464" s="9" t="s">
        <v>767</v>
      </c>
      <c r="H2464" s="2" t="s">
        <v>60</v>
      </c>
      <c r="I2464" s="3">
        <v>36722</v>
      </c>
      <c r="J2464" s="9" t="str">
        <f t="shared" ca="1" si="40"/>
        <v>23 ans</v>
      </c>
      <c r="K2464" s="2" t="s">
        <v>68</v>
      </c>
      <c r="L2464" s="2" t="str">
        <f>"616"</f>
        <v>616</v>
      </c>
      <c r="M2464" s="2"/>
      <c r="N2464" s="2" t="str">
        <f>"RUE DES BOULEAUX"</f>
        <v>RUE DES BOULEAUX</v>
      </c>
      <c r="O2464" s="2" t="s">
        <v>11249</v>
      </c>
      <c r="P2464" s="9" t="str">
        <f>VLOOKUP($O2464,'Liste des Villes'!$B$2:$B$1128,1,FALSE)</f>
        <v>Sainte-Adèle</v>
      </c>
      <c r="Q2464" s="9" t="str">
        <f>IFERROR($P2464,PROPER(VLOOKUP($O2464,'Villes en erreur'!$A$2:$B$72,2,FALSE)))</f>
        <v>Sainte-Adèle</v>
      </c>
      <c r="R2464" s="9" t="s">
        <v>11250</v>
      </c>
      <c r="S2464" s="9" t="str">
        <f>IF(ISBLANK($R2464),"",VLOOKUP($R2464,'Liste des Villes'!$B$2:$H$1128,4,FALSE))</f>
        <v>Laurentides</v>
      </c>
      <c r="T2464" s="2" t="s">
        <v>11302</v>
      </c>
      <c r="U2464" s="2" t="s">
        <v>39</v>
      </c>
      <c r="V2464" s="2" t="s">
        <v>40</v>
      </c>
      <c r="W2464" s="2" t="s">
        <v>11417</v>
      </c>
      <c r="X2464" s="2"/>
      <c r="Y2464" s="2"/>
      <c r="Z2464" s="2"/>
      <c r="AA2464" s="2" t="s">
        <v>72</v>
      </c>
      <c r="AB2464" s="2" t="s">
        <v>545</v>
      </c>
      <c r="AC2464" s="4" t="s">
        <v>44</v>
      </c>
    </row>
    <row r="2465" spans="1:29" x14ac:dyDescent="0.25">
      <c r="A2465" s="1">
        <v>3304</v>
      </c>
      <c r="B2465" s="17" t="s">
        <v>11418</v>
      </c>
      <c r="C2465" s="2" t="s">
        <v>11419</v>
      </c>
      <c r="D2465" s="15" t="s">
        <v>8651</v>
      </c>
      <c r="E2465" s="9" t="s">
        <v>404</v>
      </c>
      <c r="F2465" s="9" t="s">
        <v>8649</v>
      </c>
      <c r="G2465" s="9" t="s">
        <v>172</v>
      </c>
      <c r="H2465" s="2" t="s">
        <v>60</v>
      </c>
      <c r="I2465" s="3">
        <v>36711</v>
      </c>
      <c r="J2465" s="9" t="str">
        <f t="shared" ca="1" si="40"/>
        <v>23 ans</v>
      </c>
      <c r="K2465" s="2" t="s">
        <v>68</v>
      </c>
      <c r="L2465" s="2" t="str">
        <f>"602"</f>
        <v>602</v>
      </c>
      <c r="M2465" s="2"/>
      <c r="N2465" s="2" t="str">
        <f>"RUE DES BOIS FRANCS"</f>
        <v>RUE DES BOIS FRANCS</v>
      </c>
      <c r="O2465" s="2" t="s">
        <v>11249</v>
      </c>
      <c r="P2465" s="9" t="str">
        <f>VLOOKUP($O2465,'Liste des Villes'!$B$2:$B$1128,1,FALSE)</f>
        <v>Sainte-Adèle</v>
      </c>
      <c r="Q2465" s="9" t="str">
        <f>IFERROR($P2465,PROPER(VLOOKUP($O2465,'Villes en erreur'!$A$2:$B$72,2,FALSE)))</f>
        <v>Sainte-Adèle</v>
      </c>
      <c r="R2465" s="9" t="s">
        <v>11250</v>
      </c>
      <c r="S2465" s="9" t="str">
        <f>IF(ISBLANK($R2465),"",VLOOKUP($R2465,'Liste des Villes'!$B$2:$H$1128,4,FALSE))</f>
        <v>Laurentides</v>
      </c>
      <c r="T2465" s="2" t="s">
        <v>11420</v>
      </c>
      <c r="U2465" s="2" t="s">
        <v>39</v>
      </c>
      <c r="V2465" s="2" t="s">
        <v>40</v>
      </c>
      <c r="W2465" s="2" t="s">
        <v>11421</v>
      </c>
      <c r="X2465" s="2"/>
      <c r="Y2465" s="2"/>
      <c r="Z2465" s="2"/>
      <c r="AA2465" s="2" t="s">
        <v>72</v>
      </c>
      <c r="AB2465" s="2" t="s">
        <v>545</v>
      </c>
      <c r="AC2465" s="4" t="s">
        <v>44</v>
      </c>
    </row>
    <row r="2466" spans="1:29" x14ac:dyDescent="0.25">
      <c r="A2466" s="1">
        <v>3103</v>
      </c>
      <c r="B2466" s="17" t="s">
        <v>11422</v>
      </c>
      <c r="C2466" s="2" t="s">
        <v>11423</v>
      </c>
      <c r="D2466" s="15" t="s">
        <v>1477</v>
      </c>
      <c r="E2466" s="9" t="s">
        <v>11424</v>
      </c>
      <c r="F2466" s="9" t="s">
        <v>451</v>
      </c>
      <c r="G2466" s="9" t="s">
        <v>541</v>
      </c>
      <c r="H2466" s="2" t="s">
        <v>35</v>
      </c>
      <c r="I2466" s="3">
        <v>36698</v>
      </c>
      <c r="J2466" s="9" t="str">
        <f t="shared" ca="1" si="40"/>
        <v>23 ans</v>
      </c>
      <c r="K2466" s="2" t="s">
        <v>68</v>
      </c>
      <c r="L2466" s="2" t="str">
        <f>"592"</f>
        <v>592</v>
      </c>
      <c r="M2466" s="2"/>
      <c r="N2466" s="2" t="str">
        <f>"RUE DES AMÉTHYSTES"</f>
        <v>RUE DES AMÉTHYSTES</v>
      </c>
      <c r="O2466" s="2" t="s">
        <v>11249</v>
      </c>
      <c r="P2466" s="9" t="str">
        <f>VLOOKUP($O2466,'Liste des Villes'!$B$2:$B$1128,1,FALSE)</f>
        <v>Sainte-Adèle</v>
      </c>
      <c r="Q2466" s="9" t="str">
        <f>IFERROR($P2466,PROPER(VLOOKUP($O2466,'Villes en erreur'!$A$2:$B$72,2,FALSE)))</f>
        <v>Sainte-Adèle</v>
      </c>
      <c r="R2466" s="9" t="s">
        <v>11250</v>
      </c>
      <c r="S2466" s="9" t="str">
        <f>IF(ISBLANK($R2466),"",VLOOKUP($R2466,'Liste des Villes'!$B$2:$H$1128,4,FALSE))</f>
        <v>Laurentides</v>
      </c>
      <c r="T2466" s="2" t="s">
        <v>543</v>
      </c>
      <c r="U2466" s="2" t="s">
        <v>39</v>
      </c>
      <c r="V2466" s="2" t="s">
        <v>40</v>
      </c>
      <c r="W2466" s="2" t="s">
        <v>11425</v>
      </c>
      <c r="X2466" s="2"/>
      <c r="Y2466" s="2"/>
      <c r="Z2466" s="2"/>
      <c r="AA2466" s="2" t="s">
        <v>72</v>
      </c>
      <c r="AB2466" s="2" t="s">
        <v>545</v>
      </c>
      <c r="AC2466" s="4" t="s">
        <v>44</v>
      </c>
    </row>
    <row r="2467" spans="1:29" x14ac:dyDescent="0.25">
      <c r="A2467" s="1">
        <v>2629</v>
      </c>
      <c r="B2467" s="17" t="s">
        <v>11426</v>
      </c>
      <c r="C2467" s="2" t="s">
        <v>11427</v>
      </c>
      <c r="D2467" s="15" t="s">
        <v>7876</v>
      </c>
      <c r="E2467" s="9" t="s">
        <v>233</v>
      </c>
      <c r="F2467" s="9" t="s">
        <v>2670</v>
      </c>
      <c r="G2467" s="9" t="s">
        <v>541</v>
      </c>
      <c r="H2467" s="2" t="s">
        <v>35</v>
      </c>
      <c r="I2467" s="3">
        <v>36700</v>
      </c>
      <c r="J2467" s="9" t="str">
        <f t="shared" ca="1" si="40"/>
        <v>23 ans</v>
      </c>
      <c r="K2467" s="2" t="s">
        <v>68</v>
      </c>
      <c r="L2467" s="2" t="str">
        <f>"594"</f>
        <v>594</v>
      </c>
      <c r="M2467" s="2"/>
      <c r="N2467" s="2" t="str">
        <f>"RUE DES ANCIENS"</f>
        <v>RUE DES ANCIENS</v>
      </c>
      <c r="O2467" s="2" t="s">
        <v>11249</v>
      </c>
      <c r="P2467" s="9" t="str">
        <f>VLOOKUP($O2467,'Liste des Villes'!$B$2:$B$1128,1,FALSE)</f>
        <v>Sainte-Adèle</v>
      </c>
      <c r="Q2467" s="9" t="str">
        <f>IFERROR($P2467,PROPER(VLOOKUP($O2467,'Villes en erreur'!$A$2:$B$72,2,FALSE)))</f>
        <v>Sainte-Adèle</v>
      </c>
      <c r="R2467" s="9" t="s">
        <v>11250</v>
      </c>
      <c r="S2467" s="9" t="str">
        <f>IF(ISBLANK($R2467),"",VLOOKUP($R2467,'Liste des Villes'!$B$2:$H$1128,4,FALSE))</f>
        <v>Laurentides</v>
      </c>
      <c r="T2467" s="2" t="s">
        <v>11292</v>
      </c>
      <c r="U2467" s="2" t="s">
        <v>39</v>
      </c>
      <c r="V2467" s="2" t="s">
        <v>40</v>
      </c>
      <c r="W2467" s="2" t="s">
        <v>11428</v>
      </c>
      <c r="X2467" s="2"/>
      <c r="Y2467" s="2"/>
      <c r="Z2467" s="2"/>
      <c r="AA2467" s="2" t="s">
        <v>72</v>
      </c>
      <c r="AB2467" s="2" t="s">
        <v>545</v>
      </c>
      <c r="AC2467" s="4" t="s">
        <v>44</v>
      </c>
    </row>
    <row r="2468" spans="1:29" x14ac:dyDescent="0.25">
      <c r="A2468" s="1">
        <v>1230</v>
      </c>
      <c r="B2468" s="17" t="s">
        <v>11429</v>
      </c>
      <c r="C2468" s="2" t="s">
        <v>11430</v>
      </c>
      <c r="D2468" s="15" t="s">
        <v>4066</v>
      </c>
      <c r="E2468" s="9" t="s">
        <v>101</v>
      </c>
      <c r="F2468" s="9" t="s">
        <v>9202</v>
      </c>
      <c r="G2468" s="9" t="s">
        <v>11431</v>
      </c>
      <c r="H2468" s="2" t="s">
        <v>60</v>
      </c>
      <c r="I2468" s="3">
        <v>36722</v>
      </c>
      <c r="J2468" s="9" t="str">
        <f t="shared" ca="1" si="40"/>
        <v>23 ans</v>
      </c>
      <c r="K2468" s="2" t="s">
        <v>68</v>
      </c>
      <c r="L2468" s="2" t="str">
        <f>"615"</f>
        <v>615</v>
      </c>
      <c r="M2468" s="2"/>
      <c r="N2468" s="2" t="str">
        <f>"RUE DES BOULEAUX"</f>
        <v>RUE DES BOULEAUX</v>
      </c>
      <c r="O2468" s="2" t="s">
        <v>11249</v>
      </c>
      <c r="P2468" s="9" t="str">
        <f>VLOOKUP($O2468,'Liste des Villes'!$B$2:$B$1128,1,FALSE)</f>
        <v>Sainte-Adèle</v>
      </c>
      <c r="Q2468" s="9" t="str">
        <f>IFERROR($P2468,PROPER(VLOOKUP($O2468,'Villes en erreur'!$A$2:$B$72,2,FALSE)))</f>
        <v>Sainte-Adèle</v>
      </c>
      <c r="R2468" s="9" t="s">
        <v>11250</v>
      </c>
      <c r="S2468" s="9" t="str">
        <f>IF(ISBLANK($R2468),"",VLOOKUP($R2468,'Liste des Villes'!$B$2:$H$1128,4,FALSE))</f>
        <v>Laurentides</v>
      </c>
      <c r="T2468" s="2" t="s">
        <v>11302</v>
      </c>
      <c r="U2468" s="2" t="s">
        <v>39</v>
      </c>
      <c r="V2468" s="2" t="s">
        <v>40</v>
      </c>
      <c r="W2468" s="2" t="s">
        <v>11432</v>
      </c>
      <c r="X2468" s="2"/>
      <c r="Y2468" s="2"/>
      <c r="Z2468" s="2"/>
      <c r="AA2468" s="2" t="s">
        <v>72</v>
      </c>
      <c r="AB2468" s="2" t="s">
        <v>545</v>
      </c>
      <c r="AC2468" s="4" t="s">
        <v>44</v>
      </c>
    </row>
    <row r="2469" spans="1:29" x14ac:dyDescent="0.25">
      <c r="A2469" s="1">
        <v>1816</v>
      </c>
      <c r="B2469" s="17" t="s">
        <v>11433</v>
      </c>
      <c r="C2469" s="2" t="s">
        <v>3401</v>
      </c>
      <c r="D2469" s="15" t="s">
        <v>3402</v>
      </c>
      <c r="E2469" s="9" t="s">
        <v>277</v>
      </c>
      <c r="F2469" s="9" t="s">
        <v>11434</v>
      </c>
      <c r="G2469" s="9" t="s">
        <v>172</v>
      </c>
      <c r="H2469" s="2" t="s">
        <v>60</v>
      </c>
      <c r="I2469" s="3">
        <v>36705</v>
      </c>
      <c r="J2469" s="9" t="str">
        <f t="shared" ca="1" si="40"/>
        <v>23 ans</v>
      </c>
      <c r="K2469" s="2" t="s">
        <v>68</v>
      </c>
      <c r="L2469" s="2" t="str">
        <f>"598"</f>
        <v>598</v>
      </c>
      <c r="M2469" s="2"/>
      <c r="N2469" s="2" t="str">
        <f>"RUE DES ARTISANS"</f>
        <v>RUE DES ARTISANS</v>
      </c>
      <c r="O2469" s="2" t="s">
        <v>11249</v>
      </c>
      <c r="P2469" s="9" t="str">
        <f>VLOOKUP($O2469,'Liste des Villes'!$B$2:$B$1128,1,FALSE)</f>
        <v>Sainte-Adèle</v>
      </c>
      <c r="Q2469" s="9" t="str">
        <f>IFERROR($P2469,PROPER(VLOOKUP($O2469,'Villes en erreur'!$A$2:$B$72,2,FALSE)))</f>
        <v>Sainte-Adèle</v>
      </c>
      <c r="R2469" s="9" t="s">
        <v>11250</v>
      </c>
      <c r="S2469" s="9" t="str">
        <f>IF(ISBLANK($R2469),"",VLOOKUP($R2469,'Liste des Villes'!$B$2:$H$1128,4,FALSE))</f>
        <v>Laurentides</v>
      </c>
      <c r="T2469" s="2" t="s">
        <v>11435</v>
      </c>
      <c r="U2469" s="2" t="s">
        <v>39</v>
      </c>
      <c r="V2469" s="2" t="s">
        <v>40</v>
      </c>
      <c r="W2469" s="2" t="s">
        <v>11436</v>
      </c>
      <c r="X2469" s="2"/>
      <c r="Y2469" s="2"/>
      <c r="Z2469" s="2"/>
      <c r="AA2469" s="2" t="s">
        <v>72</v>
      </c>
      <c r="AB2469" s="2" t="s">
        <v>545</v>
      </c>
      <c r="AC2469" s="4" t="s">
        <v>44</v>
      </c>
    </row>
    <row r="2470" spans="1:29" x14ac:dyDescent="0.25">
      <c r="A2470" s="1">
        <v>307</v>
      </c>
      <c r="B2470" s="17" t="s">
        <v>11437</v>
      </c>
      <c r="C2470" s="2" t="s">
        <v>11438</v>
      </c>
      <c r="D2470" s="15" t="s">
        <v>3882</v>
      </c>
      <c r="E2470" s="9" t="s">
        <v>1006</v>
      </c>
      <c r="F2470" s="9" t="s">
        <v>3883</v>
      </c>
      <c r="G2470" s="9" t="s">
        <v>8793</v>
      </c>
      <c r="H2470" s="2" t="s">
        <v>60</v>
      </c>
      <c r="I2470" s="3">
        <v>36726</v>
      </c>
      <c r="J2470" s="9" t="str">
        <f t="shared" ca="1" si="40"/>
        <v>23 ans</v>
      </c>
      <c r="K2470" s="2" t="s">
        <v>68</v>
      </c>
      <c r="L2470" s="2" t="str">
        <f>"621"</f>
        <v>621</v>
      </c>
      <c r="M2470" s="2"/>
      <c r="N2470" s="2" t="str">
        <f>"RUE DES CANNAS"</f>
        <v>RUE DES CANNAS</v>
      </c>
      <c r="O2470" s="2" t="s">
        <v>11249</v>
      </c>
      <c r="P2470" s="9" t="str">
        <f>VLOOKUP($O2470,'Liste des Villes'!$B$2:$B$1128,1,FALSE)</f>
        <v>Sainte-Adèle</v>
      </c>
      <c r="Q2470" s="9" t="str">
        <f>IFERROR($P2470,PROPER(VLOOKUP($O2470,'Villes en erreur'!$A$2:$B$72,2,FALSE)))</f>
        <v>Sainte-Adèle</v>
      </c>
      <c r="R2470" s="9" t="s">
        <v>11250</v>
      </c>
      <c r="S2470" s="9" t="str">
        <f>IF(ISBLANK($R2470),"",VLOOKUP($R2470,'Liste des Villes'!$B$2:$H$1128,4,FALSE))</f>
        <v>Laurentides</v>
      </c>
      <c r="T2470" s="2" t="s">
        <v>11251</v>
      </c>
      <c r="U2470" s="2" t="s">
        <v>39</v>
      </c>
      <c r="V2470" s="2" t="s">
        <v>40</v>
      </c>
      <c r="W2470" s="2" t="s">
        <v>11439</v>
      </c>
      <c r="X2470" s="2"/>
      <c r="Y2470" s="2"/>
      <c r="Z2470" s="2"/>
      <c r="AA2470" s="2" t="s">
        <v>72</v>
      </c>
      <c r="AB2470" s="2" t="s">
        <v>192</v>
      </c>
      <c r="AC2470" s="4" t="s">
        <v>44</v>
      </c>
    </row>
    <row r="2471" spans="1:29" x14ac:dyDescent="0.25">
      <c r="A2471" s="1">
        <v>4400</v>
      </c>
      <c r="B2471" s="17" t="s">
        <v>11440</v>
      </c>
      <c r="C2471" s="2" t="s">
        <v>11441</v>
      </c>
      <c r="D2471" s="15" t="s">
        <v>3456</v>
      </c>
      <c r="E2471" s="9" t="s">
        <v>757</v>
      </c>
      <c r="F2471" s="9" t="s">
        <v>584</v>
      </c>
      <c r="G2471" s="9" t="s">
        <v>1263</v>
      </c>
      <c r="H2471" s="2" t="s">
        <v>35</v>
      </c>
      <c r="I2471" s="3">
        <v>36718</v>
      </c>
      <c r="J2471" s="9" t="str">
        <f t="shared" ca="1" si="40"/>
        <v>23 ans</v>
      </c>
      <c r="K2471" s="2" t="s">
        <v>68</v>
      </c>
      <c r="L2471" s="2" t="str">
        <f>"612"</f>
        <v>612</v>
      </c>
      <c r="M2471" s="2"/>
      <c r="N2471" s="2" t="str">
        <f>"RUE DES BOULEAUX"</f>
        <v>RUE DES BOULEAUX</v>
      </c>
      <c r="O2471" s="2" t="s">
        <v>11249</v>
      </c>
      <c r="P2471" s="9" t="str">
        <f>VLOOKUP($O2471,'Liste des Villes'!$B$2:$B$1128,1,FALSE)</f>
        <v>Sainte-Adèle</v>
      </c>
      <c r="Q2471" s="9" t="str">
        <f>IFERROR($P2471,PROPER(VLOOKUP($O2471,'Villes en erreur'!$A$2:$B$72,2,FALSE)))</f>
        <v>Sainte-Adèle</v>
      </c>
      <c r="R2471" s="9" t="s">
        <v>11250</v>
      </c>
      <c r="S2471" s="9" t="str">
        <f>IF(ISBLANK($R2471),"",VLOOKUP($R2471,'Liste des Villes'!$B$2:$H$1128,4,FALSE))</f>
        <v>Laurentides</v>
      </c>
      <c r="T2471" s="2" t="s">
        <v>11442</v>
      </c>
      <c r="U2471" s="2" t="s">
        <v>39</v>
      </c>
      <c r="V2471" s="2" t="s">
        <v>40</v>
      </c>
      <c r="W2471" s="2" t="s">
        <v>11443</v>
      </c>
      <c r="X2471" s="2"/>
      <c r="Y2471" s="2"/>
      <c r="Z2471" s="2"/>
      <c r="AA2471" s="2" t="s">
        <v>72</v>
      </c>
      <c r="AB2471" s="2" t="s">
        <v>545</v>
      </c>
      <c r="AC2471" s="4" t="s">
        <v>44</v>
      </c>
    </row>
    <row r="2472" spans="1:29" x14ac:dyDescent="0.25">
      <c r="A2472" s="1">
        <v>2599</v>
      </c>
      <c r="B2472" s="17" t="s">
        <v>11444</v>
      </c>
      <c r="C2472" s="2" t="s">
        <v>11445</v>
      </c>
      <c r="D2472" s="15" t="s">
        <v>11446</v>
      </c>
      <c r="E2472" s="9" t="s">
        <v>2877</v>
      </c>
      <c r="F2472" s="9" t="s">
        <v>11447</v>
      </c>
      <c r="G2472" s="9" t="s">
        <v>4011</v>
      </c>
      <c r="H2472" s="2" t="s">
        <v>60</v>
      </c>
      <c r="I2472" s="3">
        <v>36716</v>
      </c>
      <c r="J2472" s="9" t="str">
        <f t="shared" ca="1" si="40"/>
        <v>23 ans</v>
      </c>
      <c r="K2472" s="2" t="s">
        <v>68</v>
      </c>
      <c r="L2472" s="2" t="str">
        <f>"608"</f>
        <v>608</v>
      </c>
      <c r="M2472" s="2"/>
      <c r="N2472" s="2" t="str">
        <f>"RUE DES BOULEAUX"</f>
        <v>RUE DES BOULEAUX</v>
      </c>
      <c r="O2472" s="2" t="s">
        <v>11249</v>
      </c>
      <c r="P2472" s="9" t="str">
        <f>VLOOKUP($O2472,'Liste des Villes'!$B$2:$B$1128,1,FALSE)</f>
        <v>Sainte-Adèle</v>
      </c>
      <c r="Q2472" s="9" t="str">
        <f>IFERROR($P2472,PROPER(VLOOKUP($O2472,'Villes en erreur'!$A$2:$B$72,2,FALSE)))</f>
        <v>Sainte-Adèle</v>
      </c>
      <c r="R2472" s="9" t="s">
        <v>11250</v>
      </c>
      <c r="S2472" s="9" t="str">
        <f>IF(ISBLANK($R2472),"",VLOOKUP($R2472,'Liste des Villes'!$B$2:$H$1128,4,FALSE))</f>
        <v>Laurentides</v>
      </c>
      <c r="T2472" s="2" t="s">
        <v>11448</v>
      </c>
      <c r="U2472" s="2" t="s">
        <v>39</v>
      </c>
      <c r="V2472" s="2" t="s">
        <v>40</v>
      </c>
      <c r="W2472" s="2" t="s">
        <v>11449</v>
      </c>
      <c r="X2472" s="2"/>
      <c r="Y2472" s="2"/>
      <c r="Z2472" s="2"/>
      <c r="AA2472" s="2" t="s">
        <v>72</v>
      </c>
      <c r="AB2472" s="2" t="s">
        <v>545</v>
      </c>
      <c r="AC2472" s="4" t="s">
        <v>44</v>
      </c>
    </row>
    <row r="2473" spans="1:29" x14ac:dyDescent="0.25">
      <c r="A2473" s="1">
        <v>1428</v>
      </c>
      <c r="B2473" s="17" t="s">
        <v>11450</v>
      </c>
      <c r="C2473" s="2" t="s">
        <v>2542</v>
      </c>
      <c r="D2473" s="15" t="s">
        <v>34</v>
      </c>
      <c r="E2473" s="9" t="s">
        <v>341</v>
      </c>
      <c r="F2473" s="9" t="s">
        <v>395</v>
      </c>
      <c r="G2473" s="9" t="s">
        <v>541</v>
      </c>
      <c r="H2473" s="2" t="s">
        <v>35</v>
      </c>
      <c r="I2473" s="3">
        <v>36698</v>
      </c>
      <c r="J2473" s="9" t="str">
        <f t="shared" ca="1" si="40"/>
        <v>23 ans</v>
      </c>
      <c r="K2473" s="2" t="s">
        <v>68</v>
      </c>
      <c r="L2473" s="2" t="str">
        <f>"593"</f>
        <v>593</v>
      </c>
      <c r="M2473" s="2"/>
      <c r="N2473" s="2" t="str">
        <f>"RUE DES ANCIENS"</f>
        <v>RUE DES ANCIENS</v>
      </c>
      <c r="O2473" s="2" t="s">
        <v>11249</v>
      </c>
      <c r="P2473" s="9" t="str">
        <f>VLOOKUP($O2473,'Liste des Villes'!$B$2:$B$1128,1,FALSE)</f>
        <v>Sainte-Adèle</v>
      </c>
      <c r="Q2473" s="9" t="str">
        <f>IFERROR($P2473,PROPER(VLOOKUP($O2473,'Villes en erreur'!$A$2:$B$72,2,FALSE)))</f>
        <v>Sainte-Adèle</v>
      </c>
      <c r="R2473" s="9" t="s">
        <v>11250</v>
      </c>
      <c r="S2473" s="9" t="str">
        <f>IF(ISBLANK($R2473),"",VLOOKUP($R2473,'Liste des Villes'!$B$2:$H$1128,4,FALSE))</f>
        <v>Laurentides</v>
      </c>
      <c r="T2473" s="2" t="s">
        <v>543</v>
      </c>
      <c r="U2473" s="2" t="s">
        <v>39</v>
      </c>
      <c r="V2473" s="2" t="s">
        <v>40</v>
      </c>
      <c r="W2473" s="2" t="s">
        <v>11451</v>
      </c>
      <c r="X2473" s="2"/>
      <c r="Y2473" s="2"/>
      <c r="Z2473" s="2"/>
      <c r="AA2473" s="2" t="s">
        <v>72</v>
      </c>
      <c r="AB2473" s="2" t="s">
        <v>545</v>
      </c>
      <c r="AC2473" s="4" t="s">
        <v>44</v>
      </c>
    </row>
    <row r="2474" spans="1:29" x14ac:dyDescent="0.25">
      <c r="A2474" s="1">
        <v>184</v>
      </c>
      <c r="B2474" s="17" t="s">
        <v>11452</v>
      </c>
      <c r="C2474" s="2" t="s">
        <v>11453</v>
      </c>
      <c r="D2474" s="15" t="s">
        <v>1117</v>
      </c>
      <c r="E2474" s="9" t="s">
        <v>5390</v>
      </c>
      <c r="F2474" s="9" t="s">
        <v>11454</v>
      </c>
      <c r="G2474" s="9" t="s">
        <v>5652</v>
      </c>
      <c r="H2474" s="2" t="s">
        <v>60</v>
      </c>
      <c r="I2474" s="3">
        <v>36723</v>
      </c>
      <c r="J2474" s="9" t="str">
        <f t="shared" ca="1" si="40"/>
        <v>23 ans</v>
      </c>
      <c r="K2474" s="2" t="s">
        <v>68</v>
      </c>
      <c r="L2474" s="2" t="str">
        <f>"619"</f>
        <v>619</v>
      </c>
      <c r="M2474" s="2"/>
      <c r="N2474" s="2" t="str">
        <f>"RUE DES BOUVREUILS"</f>
        <v>RUE DES BOUVREUILS</v>
      </c>
      <c r="O2474" s="2" t="s">
        <v>11249</v>
      </c>
      <c r="P2474" s="9" t="str">
        <f>VLOOKUP($O2474,'Liste des Villes'!$B$2:$B$1128,1,FALSE)</f>
        <v>Sainte-Adèle</v>
      </c>
      <c r="Q2474" s="9" t="str">
        <f>IFERROR($P2474,PROPER(VLOOKUP($O2474,'Villes en erreur'!$A$2:$B$72,2,FALSE)))</f>
        <v>Sainte-Adèle</v>
      </c>
      <c r="R2474" s="9" t="s">
        <v>11250</v>
      </c>
      <c r="S2474" s="9" t="str">
        <f>IF(ISBLANK($R2474),"",VLOOKUP($R2474,'Liste des Villes'!$B$2:$H$1128,4,FALSE))</f>
        <v>Laurentides</v>
      </c>
      <c r="T2474" s="2" t="s">
        <v>11455</v>
      </c>
      <c r="U2474" s="2" t="s">
        <v>39</v>
      </c>
      <c r="V2474" s="2" t="s">
        <v>40</v>
      </c>
      <c r="W2474" s="2" t="s">
        <v>11456</v>
      </c>
      <c r="X2474" s="2"/>
      <c r="Y2474" s="2"/>
      <c r="Z2474" s="2"/>
      <c r="AA2474" s="2" t="s">
        <v>72</v>
      </c>
      <c r="AB2474" s="2" t="s">
        <v>192</v>
      </c>
      <c r="AC2474" s="4" t="s">
        <v>44</v>
      </c>
    </row>
    <row r="2475" spans="1:29" x14ac:dyDescent="0.25">
      <c r="A2475" s="1">
        <v>548</v>
      </c>
      <c r="B2475" s="17" t="s">
        <v>11457</v>
      </c>
      <c r="C2475" s="2" t="s">
        <v>3842</v>
      </c>
      <c r="D2475" s="15" t="s">
        <v>31</v>
      </c>
      <c r="E2475" s="9" t="s">
        <v>2635</v>
      </c>
      <c r="F2475" s="9" t="s">
        <v>1716</v>
      </c>
      <c r="G2475" s="9" t="s">
        <v>1355</v>
      </c>
      <c r="H2475" s="2" t="s">
        <v>35</v>
      </c>
      <c r="I2475" s="3">
        <v>36738</v>
      </c>
      <c r="J2475" s="9" t="str">
        <f t="shared" ca="1" si="40"/>
        <v>23 ans</v>
      </c>
      <c r="K2475" s="2" t="s">
        <v>68</v>
      </c>
      <c r="L2475" s="2" t="str">
        <f>"642"</f>
        <v>642</v>
      </c>
      <c r="M2475" s="2"/>
      <c r="N2475" s="2" t="str">
        <f>"RUE DES CHARDONNERETS"</f>
        <v>RUE DES CHARDONNERETS</v>
      </c>
      <c r="O2475" s="2" t="s">
        <v>11249</v>
      </c>
      <c r="P2475" s="9" t="str">
        <f>VLOOKUP($O2475,'Liste des Villes'!$B$2:$B$1128,1,FALSE)</f>
        <v>Sainte-Adèle</v>
      </c>
      <c r="Q2475" s="9" t="str">
        <f>IFERROR($P2475,PROPER(VLOOKUP($O2475,'Villes en erreur'!$A$2:$B$72,2,FALSE)))</f>
        <v>Sainte-Adèle</v>
      </c>
      <c r="R2475" s="9" t="s">
        <v>11250</v>
      </c>
      <c r="S2475" s="9" t="str">
        <f>IF(ISBLANK($R2475),"",VLOOKUP($R2475,'Liste des Villes'!$B$2:$H$1128,4,FALSE))</f>
        <v>Laurentides</v>
      </c>
      <c r="T2475" s="2" t="s">
        <v>11458</v>
      </c>
      <c r="U2475" s="2" t="s">
        <v>39</v>
      </c>
      <c r="V2475" s="2" t="s">
        <v>40</v>
      </c>
      <c r="W2475" s="2" t="s">
        <v>11459</v>
      </c>
      <c r="X2475" s="2"/>
      <c r="Y2475" s="2"/>
      <c r="Z2475" s="2"/>
      <c r="AA2475" s="2" t="s">
        <v>72</v>
      </c>
      <c r="AB2475" s="2" t="s">
        <v>192</v>
      </c>
      <c r="AC2475" s="4" t="s">
        <v>44</v>
      </c>
    </row>
    <row r="2476" spans="1:29" x14ac:dyDescent="0.25">
      <c r="A2476" s="1">
        <v>4191</v>
      </c>
      <c r="B2476" s="17" t="s">
        <v>11460</v>
      </c>
      <c r="C2476" s="2" t="s">
        <v>11461</v>
      </c>
      <c r="D2476" s="15" t="s">
        <v>11462</v>
      </c>
      <c r="E2476" s="9" t="s">
        <v>11463</v>
      </c>
      <c r="F2476" s="9" t="s">
        <v>11464</v>
      </c>
      <c r="G2476" s="9" t="s">
        <v>4484</v>
      </c>
      <c r="H2476" s="2" t="s">
        <v>60</v>
      </c>
      <c r="I2476" s="3">
        <v>36713</v>
      </c>
      <c r="J2476" s="9" t="str">
        <f t="shared" ca="1" si="40"/>
        <v>23 ans</v>
      </c>
      <c r="K2476" s="2" t="s">
        <v>68</v>
      </c>
      <c r="L2476" s="2" t="str">
        <f>"605"</f>
        <v>605</v>
      </c>
      <c r="M2476" s="2"/>
      <c r="N2476" s="2" t="str">
        <f>"RUE DES BOSQUETS"</f>
        <v>RUE DES BOSQUETS</v>
      </c>
      <c r="O2476" s="2" t="s">
        <v>11249</v>
      </c>
      <c r="P2476" s="9" t="str">
        <f>VLOOKUP($O2476,'Liste des Villes'!$B$2:$B$1128,1,FALSE)</f>
        <v>Sainte-Adèle</v>
      </c>
      <c r="Q2476" s="9" t="str">
        <f>IFERROR($P2476,PROPER(VLOOKUP($O2476,'Villes en erreur'!$A$2:$B$72,2,FALSE)))</f>
        <v>Sainte-Adèle</v>
      </c>
      <c r="R2476" s="9" t="s">
        <v>11250</v>
      </c>
      <c r="S2476" s="9" t="str">
        <f>IF(ISBLANK($R2476),"",VLOOKUP($R2476,'Liste des Villes'!$B$2:$H$1128,4,FALSE))</f>
        <v>Laurentides</v>
      </c>
      <c r="T2476" s="2" t="s">
        <v>11328</v>
      </c>
      <c r="U2476" s="2" t="s">
        <v>39</v>
      </c>
      <c r="V2476" s="2" t="s">
        <v>40</v>
      </c>
      <c r="W2476" s="2" t="s">
        <v>11465</v>
      </c>
      <c r="X2476" s="2"/>
      <c r="Y2476" s="2"/>
      <c r="Z2476" s="2"/>
      <c r="AA2476" s="2" t="s">
        <v>72</v>
      </c>
      <c r="AB2476" s="2" t="s">
        <v>545</v>
      </c>
      <c r="AC2476" s="4" t="s">
        <v>44</v>
      </c>
    </row>
    <row r="2477" spans="1:29" x14ac:dyDescent="0.25">
      <c r="A2477" s="1">
        <v>1694</v>
      </c>
      <c r="B2477" s="17" t="s">
        <v>11466</v>
      </c>
      <c r="C2477" s="2" t="s">
        <v>11467</v>
      </c>
      <c r="D2477" s="15" t="s">
        <v>11468</v>
      </c>
      <c r="E2477" s="9" t="s">
        <v>2504</v>
      </c>
      <c r="F2477" s="9" t="s">
        <v>2139</v>
      </c>
      <c r="G2477" s="9" t="s">
        <v>1355</v>
      </c>
      <c r="H2477" s="2" t="s">
        <v>35</v>
      </c>
      <c r="I2477" s="3">
        <v>36734</v>
      </c>
      <c r="J2477" s="9" t="str">
        <f t="shared" ca="1" si="40"/>
        <v>23 ans</v>
      </c>
      <c r="K2477" s="2" t="s">
        <v>68</v>
      </c>
      <c r="L2477" s="2" t="str">
        <f>"632"</f>
        <v>632</v>
      </c>
      <c r="M2477" s="2"/>
      <c r="N2477" s="2" t="str">
        <f>"RUE DES CÈDRES"</f>
        <v>RUE DES CÈDRES</v>
      </c>
      <c r="O2477" s="2" t="s">
        <v>11249</v>
      </c>
      <c r="P2477" s="9" t="str">
        <f>VLOOKUP($O2477,'Liste des Villes'!$B$2:$B$1128,1,FALSE)</f>
        <v>Sainte-Adèle</v>
      </c>
      <c r="Q2477" s="9" t="str">
        <f>IFERROR($P2477,PROPER(VLOOKUP($O2477,'Villes en erreur'!$A$2:$B$72,2,FALSE)))</f>
        <v>Sainte-Adèle</v>
      </c>
      <c r="R2477" s="9" t="s">
        <v>11250</v>
      </c>
      <c r="S2477" s="9" t="str">
        <f>IF(ISBLANK($R2477),"",VLOOKUP($R2477,'Liste des Villes'!$B$2:$H$1128,4,FALSE))</f>
        <v>Laurentides</v>
      </c>
      <c r="T2477" s="2" t="s">
        <v>11469</v>
      </c>
      <c r="U2477" s="2" t="s">
        <v>39</v>
      </c>
      <c r="V2477" s="2" t="s">
        <v>40</v>
      </c>
      <c r="W2477" s="2" t="s">
        <v>11470</v>
      </c>
      <c r="X2477" s="2"/>
      <c r="Y2477" s="2"/>
      <c r="Z2477" s="2"/>
      <c r="AA2477" s="2" t="s">
        <v>72</v>
      </c>
      <c r="AB2477" s="2" t="s">
        <v>192</v>
      </c>
      <c r="AC2477" s="4" t="s">
        <v>44</v>
      </c>
    </row>
    <row r="2478" spans="1:29" x14ac:dyDescent="0.25">
      <c r="A2478" s="1">
        <v>4315</v>
      </c>
      <c r="B2478" s="17" t="s">
        <v>11471</v>
      </c>
      <c r="C2478" s="2" t="s">
        <v>11472</v>
      </c>
      <c r="D2478" s="15" t="s">
        <v>3705</v>
      </c>
      <c r="E2478" s="9" t="s">
        <v>10764</v>
      </c>
      <c r="F2478" s="9" t="s">
        <v>4316</v>
      </c>
      <c r="G2478" s="9" t="s">
        <v>541</v>
      </c>
      <c r="H2478" s="2" t="s">
        <v>35</v>
      </c>
      <c r="I2478" s="3">
        <v>36699</v>
      </c>
      <c r="J2478" s="9" t="str">
        <f t="shared" ca="1" si="40"/>
        <v>23 ans</v>
      </c>
      <c r="K2478" s="2" t="s">
        <v>68</v>
      </c>
      <c r="L2478" s="2" t="str">
        <f>"594"</f>
        <v>594</v>
      </c>
      <c r="M2478" s="2"/>
      <c r="N2478" s="2" t="str">
        <f>"RUE DES ANCIENS"</f>
        <v>RUE DES ANCIENS</v>
      </c>
      <c r="O2478" s="2" t="s">
        <v>11249</v>
      </c>
      <c r="P2478" s="9" t="str">
        <f>VLOOKUP($O2478,'Liste des Villes'!$B$2:$B$1128,1,FALSE)</f>
        <v>Sainte-Adèle</v>
      </c>
      <c r="Q2478" s="9" t="str">
        <f>IFERROR($P2478,PROPER(VLOOKUP($O2478,'Villes en erreur'!$A$2:$B$72,2,FALSE)))</f>
        <v>Sainte-Adèle</v>
      </c>
      <c r="R2478" s="9" t="s">
        <v>11250</v>
      </c>
      <c r="S2478" s="9" t="str">
        <f>IF(ISBLANK($R2478),"",VLOOKUP($R2478,'Liste des Villes'!$B$2:$H$1128,4,FALSE))</f>
        <v>Laurentides</v>
      </c>
      <c r="T2478" s="2" t="s">
        <v>11292</v>
      </c>
      <c r="U2478" s="2" t="s">
        <v>39</v>
      </c>
      <c r="V2478" s="2" t="s">
        <v>40</v>
      </c>
      <c r="W2478" s="2" t="s">
        <v>11473</v>
      </c>
      <c r="X2478" s="2"/>
      <c r="Y2478" s="2"/>
      <c r="Z2478" s="2"/>
      <c r="AA2478" s="2" t="s">
        <v>72</v>
      </c>
      <c r="AB2478" s="2" t="s">
        <v>545</v>
      </c>
      <c r="AC2478" s="4" t="s">
        <v>44</v>
      </c>
    </row>
    <row r="2479" spans="1:29" x14ac:dyDescent="0.25">
      <c r="A2479" s="1">
        <v>532</v>
      </c>
      <c r="B2479" s="17" t="s">
        <v>11474</v>
      </c>
      <c r="C2479" s="2" t="s">
        <v>2231</v>
      </c>
      <c r="D2479" s="15" t="s">
        <v>2232</v>
      </c>
      <c r="E2479" s="9" t="s">
        <v>348</v>
      </c>
      <c r="F2479" s="9" t="s">
        <v>2233</v>
      </c>
      <c r="G2479" s="9" t="s">
        <v>10309</v>
      </c>
      <c r="H2479" s="2" t="s">
        <v>60</v>
      </c>
      <c r="I2479" s="3">
        <v>36741</v>
      </c>
      <c r="J2479" s="9" t="str">
        <f t="shared" ca="1" si="40"/>
        <v>23 ans</v>
      </c>
      <c r="K2479" s="2" t="s">
        <v>68</v>
      </c>
      <c r="L2479" s="2" t="str">
        <f>"645"</f>
        <v>645</v>
      </c>
      <c r="M2479" s="2"/>
      <c r="N2479" s="2" t="str">
        <f>"RUE DES CHÊNES"</f>
        <v>RUE DES CHÊNES</v>
      </c>
      <c r="O2479" s="2" t="s">
        <v>11249</v>
      </c>
      <c r="P2479" s="9" t="str">
        <f>VLOOKUP($O2479,'Liste des Villes'!$B$2:$B$1128,1,FALSE)</f>
        <v>Sainte-Adèle</v>
      </c>
      <c r="Q2479" s="9" t="str">
        <f>IFERROR($P2479,PROPER(VLOOKUP($O2479,'Villes en erreur'!$A$2:$B$72,2,FALSE)))</f>
        <v>Sainte-Adèle</v>
      </c>
      <c r="R2479" s="9" t="s">
        <v>11250</v>
      </c>
      <c r="S2479" s="9" t="str">
        <f>IF(ISBLANK($R2479),"",VLOOKUP($R2479,'Liste des Villes'!$B$2:$H$1128,4,FALSE))</f>
        <v>Laurentides</v>
      </c>
      <c r="T2479" s="2" t="s">
        <v>11475</v>
      </c>
      <c r="U2479" s="2" t="s">
        <v>39</v>
      </c>
      <c r="V2479" s="2" t="s">
        <v>40</v>
      </c>
      <c r="W2479" s="2" t="s">
        <v>11476</v>
      </c>
      <c r="X2479" s="2"/>
      <c r="Y2479" s="2"/>
      <c r="Z2479" s="2"/>
      <c r="AA2479" s="2" t="s">
        <v>72</v>
      </c>
      <c r="AB2479" s="2" t="s">
        <v>192</v>
      </c>
      <c r="AC2479" s="4" t="s">
        <v>44</v>
      </c>
    </row>
    <row r="2480" spans="1:29" x14ac:dyDescent="0.25">
      <c r="A2480" s="1">
        <v>4248</v>
      </c>
      <c r="B2480" s="17" t="s">
        <v>11477</v>
      </c>
      <c r="C2480" s="2" t="s">
        <v>2084</v>
      </c>
      <c r="D2480" s="15" t="s">
        <v>2085</v>
      </c>
      <c r="E2480" s="9" t="s">
        <v>2086</v>
      </c>
      <c r="F2480" s="9" t="s">
        <v>4498</v>
      </c>
      <c r="G2480" s="9" t="s">
        <v>11478</v>
      </c>
      <c r="H2480" s="2" t="s">
        <v>35</v>
      </c>
      <c r="I2480" s="3">
        <v>36729</v>
      </c>
      <c r="J2480" s="9" t="str">
        <f t="shared" ca="1" si="40"/>
        <v>23 ans</v>
      </c>
      <c r="K2480" s="2" t="s">
        <v>68</v>
      </c>
      <c r="L2480" s="2" t="str">
        <f>"625"</f>
        <v>625</v>
      </c>
      <c r="M2480" s="2"/>
      <c r="N2480" s="2" t="str">
        <f>"RUE DES CASCADES"</f>
        <v>RUE DES CASCADES</v>
      </c>
      <c r="O2480" s="2" t="s">
        <v>11249</v>
      </c>
      <c r="P2480" s="9" t="str">
        <f>VLOOKUP($O2480,'Liste des Villes'!$B$2:$B$1128,1,FALSE)</f>
        <v>Sainte-Adèle</v>
      </c>
      <c r="Q2480" s="9" t="str">
        <f>IFERROR($P2480,PROPER(VLOOKUP($O2480,'Villes en erreur'!$A$2:$B$72,2,FALSE)))</f>
        <v>Sainte-Adèle</v>
      </c>
      <c r="R2480" s="9" t="s">
        <v>11250</v>
      </c>
      <c r="S2480" s="9" t="str">
        <f>IF(ISBLANK($R2480),"",VLOOKUP($R2480,'Liste des Villes'!$B$2:$H$1128,4,FALSE))</f>
        <v>Laurentides</v>
      </c>
      <c r="T2480" s="2" t="s">
        <v>11479</v>
      </c>
      <c r="U2480" s="2" t="s">
        <v>39</v>
      </c>
      <c r="V2480" s="2" t="s">
        <v>40</v>
      </c>
      <c r="W2480" s="2" t="s">
        <v>11480</v>
      </c>
      <c r="X2480" s="2"/>
      <c r="Y2480" s="2"/>
      <c r="Z2480" s="2"/>
      <c r="AA2480" s="2" t="s">
        <v>72</v>
      </c>
      <c r="AB2480" s="2" t="s">
        <v>192</v>
      </c>
      <c r="AC2480" s="4" t="s">
        <v>44</v>
      </c>
    </row>
    <row r="2481" spans="1:29" x14ac:dyDescent="0.25">
      <c r="A2481" s="1">
        <v>1664</v>
      </c>
      <c r="B2481" s="17" t="s">
        <v>11481</v>
      </c>
      <c r="C2481" s="2" t="s">
        <v>1408</v>
      </c>
      <c r="D2481" s="15" t="s">
        <v>1409</v>
      </c>
      <c r="E2481" s="9" t="s">
        <v>1410</v>
      </c>
      <c r="F2481" s="9" t="s">
        <v>11482</v>
      </c>
      <c r="G2481" s="9" t="s">
        <v>6410</v>
      </c>
      <c r="H2481" s="2" t="s">
        <v>60</v>
      </c>
      <c r="I2481" s="3">
        <v>36730</v>
      </c>
      <c r="J2481" s="9" t="str">
        <f t="shared" ca="1" si="40"/>
        <v>23 ans</v>
      </c>
      <c r="K2481" s="2" t="s">
        <v>68</v>
      </c>
      <c r="L2481" s="2" t="str">
        <f>"625"</f>
        <v>625</v>
      </c>
      <c r="M2481" s="2"/>
      <c r="N2481" s="2" t="str">
        <f>"RUE DES CASCADES"</f>
        <v>RUE DES CASCADES</v>
      </c>
      <c r="O2481" s="2" t="s">
        <v>11249</v>
      </c>
      <c r="P2481" s="9" t="str">
        <f>VLOOKUP($O2481,'Liste des Villes'!$B$2:$B$1128,1,FALSE)</f>
        <v>Sainte-Adèle</v>
      </c>
      <c r="Q2481" s="9" t="str">
        <f>IFERROR($P2481,PROPER(VLOOKUP($O2481,'Villes en erreur'!$A$2:$B$72,2,FALSE)))</f>
        <v>Sainte-Adèle</v>
      </c>
      <c r="R2481" s="9" t="s">
        <v>11250</v>
      </c>
      <c r="S2481" s="9" t="str">
        <f>IF(ISBLANK($R2481),"",VLOOKUP($R2481,'Liste des Villes'!$B$2:$H$1128,4,FALSE))</f>
        <v>Laurentides</v>
      </c>
      <c r="T2481" s="2" t="s">
        <v>11483</v>
      </c>
      <c r="U2481" s="2" t="s">
        <v>39</v>
      </c>
      <c r="V2481" s="2" t="s">
        <v>40</v>
      </c>
      <c r="W2481" s="2" t="s">
        <v>11484</v>
      </c>
      <c r="X2481" s="2"/>
      <c r="Y2481" s="2"/>
      <c r="Z2481" s="2"/>
      <c r="AA2481" s="2" t="s">
        <v>72</v>
      </c>
      <c r="AB2481" s="2" t="s">
        <v>192</v>
      </c>
      <c r="AC2481" s="4" t="s">
        <v>44</v>
      </c>
    </row>
    <row r="2482" spans="1:29" x14ac:dyDescent="0.25">
      <c r="A2482" s="1">
        <v>1917</v>
      </c>
      <c r="B2482" s="17" t="s">
        <v>11485</v>
      </c>
      <c r="C2482" s="2" t="s">
        <v>11486</v>
      </c>
      <c r="D2482" s="15" t="s">
        <v>11487</v>
      </c>
      <c r="E2482" s="9" t="s">
        <v>11488</v>
      </c>
      <c r="F2482" s="9" t="s">
        <v>1303</v>
      </c>
      <c r="G2482" s="9" t="s">
        <v>3964</v>
      </c>
      <c r="H2482" s="2" t="s">
        <v>35</v>
      </c>
      <c r="I2482" s="3">
        <v>36748</v>
      </c>
      <c r="J2482" s="9" t="str">
        <f t="shared" ca="1" si="40"/>
        <v>23 ans</v>
      </c>
      <c r="K2482" s="2" t="s">
        <v>68</v>
      </c>
      <c r="L2482" s="2" t="str">
        <f>"654"</f>
        <v>654</v>
      </c>
      <c r="M2482" s="2"/>
      <c r="N2482" s="2" t="str">
        <f>"RUE DES CLÉMATITES"</f>
        <v>RUE DES CLÉMATITES</v>
      </c>
      <c r="O2482" s="2" t="s">
        <v>11249</v>
      </c>
      <c r="P2482" s="9" t="str">
        <f>VLOOKUP($O2482,'Liste des Villes'!$B$2:$B$1128,1,FALSE)</f>
        <v>Sainte-Adèle</v>
      </c>
      <c r="Q2482" s="9" t="str">
        <f>IFERROR($P2482,PROPER(VLOOKUP($O2482,'Villes en erreur'!$A$2:$B$72,2,FALSE)))</f>
        <v>Sainte-Adèle</v>
      </c>
      <c r="R2482" s="9" t="s">
        <v>11250</v>
      </c>
      <c r="S2482" s="9" t="str">
        <f>IF(ISBLANK($R2482),"",VLOOKUP($R2482,'Liste des Villes'!$B$2:$H$1128,4,FALSE))</f>
        <v>Laurentides</v>
      </c>
      <c r="T2482" s="2" t="s">
        <v>11489</v>
      </c>
      <c r="U2482" s="2" t="s">
        <v>39</v>
      </c>
      <c r="V2482" s="2" t="s">
        <v>40</v>
      </c>
      <c r="W2482" s="2" t="s">
        <v>11490</v>
      </c>
      <c r="X2482" s="2"/>
      <c r="Y2482" s="2"/>
      <c r="Z2482" s="2"/>
      <c r="AA2482" s="2" t="s">
        <v>72</v>
      </c>
      <c r="AB2482" s="2" t="s">
        <v>192</v>
      </c>
      <c r="AC2482" s="4" t="s">
        <v>44</v>
      </c>
    </row>
    <row r="2483" spans="1:29" x14ac:dyDescent="0.25">
      <c r="A2483" s="1">
        <v>2099</v>
      </c>
      <c r="B2483" s="17" t="s">
        <v>11491</v>
      </c>
      <c r="C2483" s="2" t="s">
        <v>11492</v>
      </c>
      <c r="D2483" s="15" t="s">
        <v>11493</v>
      </c>
      <c r="E2483" s="9" t="s">
        <v>622</v>
      </c>
      <c r="F2483" s="9" t="s">
        <v>347</v>
      </c>
      <c r="G2483" s="9" t="s">
        <v>1355</v>
      </c>
      <c r="H2483" s="2" t="s">
        <v>35</v>
      </c>
      <c r="I2483" s="3">
        <v>36739</v>
      </c>
      <c r="J2483" s="9" t="str">
        <f t="shared" ca="1" si="40"/>
        <v>23 ans</v>
      </c>
      <c r="K2483" s="2" t="s">
        <v>68</v>
      </c>
      <c r="L2483" s="2" t="str">
        <f>"644"</f>
        <v>644</v>
      </c>
      <c r="M2483" s="2"/>
      <c r="N2483" s="2" t="str">
        <f>"RUE DES CHARDONNERETS"</f>
        <v>RUE DES CHARDONNERETS</v>
      </c>
      <c r="O2483" s="2" t="s">
        <v>11249</v>
      </c>
      <c r="P2483" s="9" t="str">
        <f>VLOOKUP($O2483,'Liste des Villes'!$B$2:$B$1128,1,FALSE)</f>
        <v>Sainte-Adèle</v>
      </c>
      <c r="Q2483" s="9" t="str">
        <f>IFERROR($P2483,PROPER(VLOOKUP($O2483,'Villes en erreur'!$A$2:$B$72,2,FALSE)))</f>
        <v>Sainte-Adèle</v>
      </c>
      <c r="R2483" s="9" t="s">
        <v>11250</v>
      </c>
      <c r="S2483" s="9" t="str">
        <f>IF(ISBLANK($R2483),"",VLOOKUP($R2483,'Liste des Villes'!$B$2:$H$1128,4,FALSE))</f>
        <v>Laurentides</v>
      </c>
      <c r="T2483" s="2" t="s">
        <v>11494</v>
      </c>
      <c r="U2483" s="2" t="s">
        <v>39</v>
      </c>
      <c r="V2483" s="2" t="s">
        <v>40</v>
      </c>
      <c r="W2483" s="2" t="s">
        <v>11495</v>
      </c>
      <c r="X2483" s="2"/>
      <c r="Y2483" s="2"/>
      <c r="Z2483" s="2"/>
      <c r="AA2483" s="2" t="s">
        <v>72</v>
      </c>
      <c r="AB2483" s="2" t="s">
        <v>192</v>
      </c>
      <c r="AC2483" s="4" t="s">
        <v>44</v>
      </c>
    </row>
    <row r="2484" spans="1:29" x14ac:dyDescent="0.25">
      <c r="A2484" s="1">
        <v>1456</v>
      </c>
      <c r="B2484" s="17" t="s">
        <v>11496</v>
      </c>
      <c r="C2484" s="2" t="s">
        <v>11497</v>
      </c>
      <c r="D2484" s="15" t="s">
        <v>4211</v>
      </c>
      <c r="E2484" s="9" t="s">
        <v>6565</v>
      </c>
      <c r="F2484" s="9" t="s">
        <v>4209</v>
      </c>
      <c r="G2484" s="9" t="s">
        <v>3423</v>
      </c>
      <c r="H2484" s="2" t="s">
        <v>60</v>
      </c>
      <c r="I2484" s="3">
        <v>36752</v>
      </c>
      <c r="J2484" s="9" t="str">
        <f t="shared" ca="1" si="40"/>
        <v>23 ans</v>
      </c>
      <c r="K2484" s="2" t="s">
        <v>68</v>
      </c>
      <c r="L2484" s="2" t="str">
        <f>"661"</f>
        <v>661</v>
      </c>
      <c r="M2484" s="2"/>
      <c r="N2484" s="2" t="str">
        <f>"RUE DES COURS-D'EAU"</f>
        <v>RUE DES COURS-D'EAU</v>
      </c>
      <c r="O2484" s="2" t="s">
        <v>11249</v>
      </c>
      <c r="P2484" s="9" t="str">
        <f>VLOOKUP($O2484,'Liste des Villes'!$B$2:$B$1128,1,FALSE)</f>
        <v>Sainte-Adèle</v>
      </c>
      <c r="Q2484" s="9" t="str">
        <f>IFERROR($P2484,PROPER(VLOOKUP($O2484,'Villes en erreur'!$A$2:$B$72,2,FALSE)))</f>
        <v>Sainte-Adèle</v>
      </c>
      <c r="R2484" s="9" t="s">
        <v>11250</v>
      </c>
      <c r="S2484" s="9" t="str">
        <f>IF(ISBLANK($R2484),"",VLOOKUP($R2484,'Liste des Villes'!$B$2:$H$1128,4,FALSE))</f>
        <v>Laurentides</v>
      </c>
      <c r="T2484" s="2" t="s">
        <v>11498</v>
      </c>
      <c r="U2484" s="2" t="s">
        <v>39</v>
      </c>
      <c r="V2484" s="2" t="s">
        <v>40</v>
      </c>
      <c r="W2484" s="2" t="s">
        <v>11499</v>
      </c>
      <c r="X2484" s="2"/>
      <c r="Y2484" s="2"/>
      <c r="Z2484" s="2"/>
      <c r="AA2484" s="2" t="s">
        <v>72</v>
      </c>
      <c r="AB2484" s="2" t="s">
        <v>192</v>
      </c>
      <c r="AC2484" s="4" t="s">
        <v>44</v>
      </c>
    </row>
    <row r="2485" spans="1:29" x14ac:dyDescent="0.25">
      <c r="A2485" s="1">
        <v>877</v>
      </c>
      <c r="B2485" s="17" t="s">
        <v>11500</v>
      </c>
      <c r="C2485" s="2" t="s">
        <v>8607</v>
      </c>
      <c r="D2485" s="15" t="s">
        <v>3419</v>
      </c>
      <c r="E2485" s="9" t="s">
        <v>698</v>
      </c>
      <c r="F2485" s="9" t="s">
        <v>3418</v>
      </c>
      <c r="G2485" s="9" t="s">
        <v>1295</v>
      </c>
      <c r="H2485" s="2" t="s">
        <v>60</v>
      </c>
      <c r="I2485" s="3">
        <v>36757</v>
      </c>
      <c r="J2485" s="9" t="str">
        <f t="shared" ca="1" si="40"/>
        <v>23 ans</v>
      </c>
      <c r="K2485" s="2" t="s">
        <v>68</v>
      </c>
      <c r="L2485" s="2" t="str">
        <f>"664"</f>
        <v>664</v>
      </c>
      <c r="M2485" s="2"/>
      <c r="N2485" s="2" t="str">
        <f>"RUE DES DENIERS"</f>
        <v>RUE DES DENIERS</v>
      </c>
      <c r="O2485" s="2" t="s">
        <v>11249</v>
      </c>
      <c r="P2485" s="9" t="str">
        <f>VLOOKUP($O2485,'Liste des Villes'!$B$2:$B$1128,1,FALSE)</f>
        <v>Sainte-Adèle</v>
      </c>
      <c r="Q2485" s="9" t="str">
        <f>IFERROR($P2485,PROPER(VLOOKUP($O2485,'Villes en erreur'!$A$2:$B$72,2,FALSE)))</f>
        <v>Sainte-Adèle</v>
      </c>
      <c r="R2485" s="9" t="s">
        <v>11250</v>
      </c>
      <c r="S2485" s="9" t="str">
        <f>IF(ISBLANK($R2485),"",VLOOKUP($R2485,'Liste des Villes'!$B$2:$H$1128,4,FALSE))</f>
        <v>Laurentides</v>
      </c>
      <c r="T2485" s="2" t="s">
        <v>11501</v>
      </c>
      <c r="U2485" s="2" t="s">
        <v>39</v>
      </c>
      <c r="V2485" s="2" t="s">
        <v>40</v>
      </c>
      <c r="W2485" s="2" t="s">
        <v>11502</v>
      </c>
      <c r="X2485" s="2"/>
      <c r="Y2485" s="2"/>
      <c r="Z2485" s="2"/>
      <c r="AA2485" s="2" t="s">
        <v>72</v>
      </c>
      <c r="AB2485" s="2" t="s">
        <v>192</v>
      </c>
      <c r="AC2485" s="4" t="s">
        <v>44</v>
      </c>
    </row>
    <row r="2486" spans="1:29" x14ac:dyDescent="0.25">
      <c r="A2486" s="1">
        <v>398</v>
      </c>
      <c r="B2486" s="17" t="s">
        <v>11503</v>
      </c>
      <c r="C2486" s="2" t="s">
        <v>11504</v>
      </c>
      <c r="D2486" s="15" t="s">
        <v>7190</v>
      </c>
      <c r="E2486" s="9" t="s">
        <v>4686</v>
      </c>
      <c r="F2486" s="9" t="s">
        <v>11505</v>
      </c>
      <c r="G2486" s="9" t="s">
        <v>4484</v>
      </c>
      <c r="H2486" s="2" t="s">
        <v>60</v>
      </c>
      <c r="I2486" s="3">
        <v>36713</v>
      </c>
      <c r="J2486" s="9" t="str">
        <f t="shared" ca="1" si="40"/>
        <v>23 ans</v>
      </c>
      <c r="K2486" s="2" t="s">
        <v>68</v>
      </c>
      <c r="L2486" s="2" t="str">
        <f>"604"</f>
        <v>604</v>
      </c>
      <c r="M2486" s="2"/>
      <c r="N2486" s="2" t="str">
        <f>"RUE DES BORIES"</f>
        <v>RUE DES BORIES</v>
      </c>
      <c r="O2486" s="2" t="s">
        <v>11249</v>
      </c>
      <c r="P2486" s="9" t="str">
        <f>VLOOKUP($O2486,'Liste des Villes'!$B$2:$B$1128,1,FALSE)</f>
        <v>Sainte-Adèle</v>
      </c>
      <c r="Q2486" s="9" t="str">
        <f>IFERROR($P2486,PROPER(VLOOKUP($O2486,'Villes en erreur'!$A$2:$B$72,2,FALSE)))</f>
        <v>Sainte-Adèle</v>
      </c>
      <c r="R2486" s="9" t="s">
        <v>11250</v>
      </c>
      <c r="S2486" s="9" t="str">
        <f>IF(ISBLANK($R2486),"",VLOOKUP($R2486,'Liste des Villes'!$B$2:$H$1128,4,FALSE))</f>
        <v>Laurentides</v>
      </c>
      <c r="T2486" s="2" t="s">
        <v>11352</v>
      </c>
      <c r="U2486" s="2" t="s">
        <v>39</v>
      </c>
      <c r="V2486" s="2" t="s">
        <v>40</v>
      </c>
      <c r="W2486" s="2" t="s">
        <v>11506</v>
      </c>
      <c r="X2486" s="2"/>
      <c r="Y2486" s="2"/>
      <c r="Z2486" s="2"/>
      <c r="AA2486" s="2" t="s">
        <v>72</v>
      </c>
      <c r="AB2486" s="2" t="s">
        <v>545</v>
      </c>
      <c r="AC2486" s="4" t="s">
        <v>44</v>
      </c>
    </row>
    <row r="2487" spans="1:29" x14ac:dyDescent="0.25">
      <c r="A2487" s="1">
        <v>1008</v>
      </c>
      <c r="B2487" s="17" t="s">
        <v>11507</v>
      </c>
      <c r="C2487" s="2" t="s">
        <v>11508</v>
      </c>
      <c r="D2487" s="15" t="s">
        <v>8020</v>
      </c>
      <c r="E2487" s="9" t="s">
        <v>219</v>
      </c>
      <c r="F2487" s="9" t="s">
        <v>6057</v>
      </c>
      <c r="G2487" s="9" t="s">
        <v>541</v>
      </c>
      <c r="H2487" s="2" t="s">
        <v>35</v>
      </c>
      <c r="I2487" s="3">
        <v>36702</v>
      </c>
      <c r="J2487" s="9" t="str">
        <f t="shared" ca="1" si="40"/>
        <v>23 ans</v>
      </c>
      <c r="K2487" s="2" t="s">
        <v>68</v>
      </c>
      <c r="L2487" s="2" t="str">
        <f>"597"</f>
        <v>597</v>
      </c>
      <c r="M2487" s="2"/>
      <c r="N2487" s="2" t="str">
        <f>"RUE DES ANCIENS"</f>
        <v>RUE DES ANCIENS</v>
      </c>
      <c r="O2487" s="2" t="s">
        <v>11249</v>
      </c>
      <c r="P2487" s="9" t="str">
        <f>VLOOKUP($O2487,'Liste des Villes'!$B$2:$B$1128,1,FALSE)</f>
        <v>Sainte-Adèle</v>
      </c>
      <c r="Q2487" s="9" t="str">
        <f>IFERROR($P2487,PROPER(VLOOKUP($O2487,'Villes en erreur'!$A$2:$B$72,2,FALSE)))</f>
        <v>Sainte-Adèle</v>
      </c>
      <c r="R2487" s="9" t="s">
        <v>11250</v>
      </c>
      <c r="S2487" s="9" t="str">
        <f>IF(ISBLANK($R2487),"",VLOOKUP($R2487,'Liste des Villes'!$B$2:$H$1128,4,FALSE))</f>
        <v>Laurentides</v>
      </c>
      <c r="T2487" s="2" t="s">
        <v>11509</v>
      </c>
      <c r="U2487" s="2" t="s">
        <v>39</v>
      </c>
      <c r="V2487" s="2" t="s">
        <v>40</v>
      </c>
      <c r="W2487" s="2" t="s">
        <v>11510</v>
      </c>
      <c r="X2487" s="2"/>
      <c r="Y2487" s="2"/>
      <c r="Z2487" s="2"/>
      <c r="AA2487" s="2" t="s">
        <v>72</v>
      </c>
      <c r="AB2487" s="2" t="s">
        <v>545</v>
      </c>
      <c r="AC2487" s="4" t="s">
        <v>44</v>
      </c>
    </row>
    <row r="2488" spans="1:29" x14ac:dyDescent="0.25">
      <c r="A2488" s="1">
        <v>745</v>
      </c>
      <c r="B2488" s="17" t="s">
        <v>11511</v>
      </c>
      <c r="C2488" s="2" t="s">
        <v>11512</v>
      </c>
      <c r="D2488" s="15" t="s">
        <v>9519</v>
      </c>
      <c r="E2488" s="9" t="s">
        <v>99</v>
      </c>
      <c r="F2488" s="9" t="s">
        <v>312</v>
      </c>
      <c r="G2488" s="9" t="s">
        <v>4249</v>
      </c>
      <c r="H2488" s="2" t="s">
        <v>60</v>
      </c>
      <c r="I2488" s="3">
        <v>36716</v>
      </c>
      <c r="J2488" s="9" t="str">
        <f t="shared" ca="1" si="40"/>
        <v>23 ans</v>
      </c>
      <c r="K2488" s="2" t="s">
        <v>68</v>
      </c>
      <c r="L2488" s="2" t="str">
        <f>"608"</f>
        <v>608</v>
      </c>
      <c r="M2488" s="2"/>
      <c r="N2488" s="2" t="str">
        <f>"RUE DES BOULEAUX"</f>
        <v>RUE DES BOULEAUX</v>
      </c>
      <c r="O2488" s="2" t="s">
        <v>11249</v>
      </c>
      <c r="P2488" s="9" t="str">
        <f>VLOOKUP($O2488,'Liste des Villes'!$B$2:$B$1128,1,FALSE)</f>
        <v>Sainte-Adèle</v>
      </c>
      <c r="Q2488" s="9" t="str">
        <f>IFERROR($P2488,PROPER(VLOOKUP($O2488,'Villes en erreur'!$A$2:$B$72,2,FALSE)))</f>
        <v>Sainte-Adèle</v>
      </c>
      <c r="R2488" s="9" t="s">
        <v>11250</v>
      </c>
      <c r="S2488" s="9" t="str">
        <f>IF(ISBLANK($R2488),"",VLOOKUP($R2488,'Liste des Villes'!$B$2:$H$1128,4,FALSE))</f>
        <v>Laurentides</v>
      </c>
      <c r="T2488" s="2" t="s">
        <v>11513</v>
      </c>
      <c r="U2488" s="2" t="s">
        <v>39</v>
      </c>
      <c r="V2488" s="2" t="s">
        <v>40</v>
      </c>
      <c r="W2488" s="2" t="s">
        <v>11514</v>
      </c>
      <c r="X2488" s="2"/>
      <c r="Y2488" s="2"/>
      <c r="Z2488" s="2"/>
      <c r="AA2488" s="2" t="s">
        <v>72</v>
      </c>
      <c r="AB2488" s="2" t="s">
        <v>545</v>
      </c>
      <c r="AC2488" s="4" t="s">
        <v>44</v>
      </c>
    </row>
    <row r="2489" spans="1:29" x14ac:dyDescent="0.25">
      <c r="A2489" s="1">
        <v>2349</v>
      </c>
      <c r="B2489" s="17" t="s">
        <v>11515</v>
      </c>
      <c r="C2489" s="2" t="s">
        <v>11516</v>
      </c>
      <c r="D2489" s="15" t="s">
        <v>9960</v>
      </c>
      <c r="E2489" s="9" t="s">
        <v>11517</v>
      </c>
      <c r="F2489" s="9" t="s">
        <v>7795</v>
      </c>
      <c r="G2489" s="9" t="s">
        <v>11518</v>
      </c>
      <c r="H2489" s="2" t="s">
        <v>60</v>
      </c>
      <c r="I2489" s="3">
        <v>36703</v>
      </c>
      <c r="J2489" s="9" t="str">
        <f t="shared" ca="1" si="40"/>
        <v>23 ans</v>
      </c>
      <c r="K2489" s="2" t="s">
        <v>68</v>
      </c>
      <c r="L2489" s="2" t="str">
        <f>"597"</f>
        <v>597</v>
      </c>
      <c r="M2489" s="2"/>
      <c r="N2489" s="2" t="str">
        <f>"RUE DES ARLEQUINS"</f>
        <v>RUE DES ARLEQUINS</v>
      </c>
      <c r="O2489" s="2" t="s">
        <v>11249</v>
      </c>
      <c r="P2489" s="9" t="str">
        <f>VLOOKUP($O2489,'Liste des Villes'!$B$2:$B$1128,1,FALSE)</f>
        <v>Sainte-Adèle</v>
      </c>
      <c r="Q2489" s="9" t="str">
        <f>IFERROR($P2489,PROPER(VLOOKUP($O2489,'Villes en erreur'!$A$2:$B$72,2,FALSE)))</f>
        <v>Sainte-Adèle</v>
      </c>
      <c r="R2489" s="9" t="s">
        <v>11250</v>
      </c>
      <c r="S2489" s="9" t="str">
        <f>IF(ISBLANK($R2489),"",VLOOKUP($R2489,'Liste des Villes'!$B$2:$H$1128,4,FALSE))</f>
        <v>Laurentides</v>
      </c>
      <c r="T2489" s="2" t="s">
        <v>11519</v>
      </c>
      <c r="U2489" s="2" t="s">
        <v>39</v>
      </c>
      <c r="V2489" s="2" t="s">
        <v>40</v>
      </c>
      <c r="W2489" s="2" t="s">
        <v>11520</v>
      </c>
      <c r="X2489" s="2"/>
      <c r="Y2489" s="2"/>
      <c r="Z2489" s="2"/>
      <c r="AA2489" s="2" t="s">
        <v>72</v>
      </c>
      <c r="AB2489" s="2" t="s">
        <v>545</v>
      </c>
      <c r="AC2489" s="4" t="s">
        <v>44</v>
      </c>
    </row>
    <row r="2490" spans="1:29" x14ac:dyDescent="0.25">
      <c r="A2490" s="1">
        <v>1850</v>
      </c>
      <c r="B2490" s="17" t="s">
        <v>11521</v>
      </c>
      <c r="C2490" s="2" t="s">
        <v>1507</v>
      </c>
      <c r="D2490" s="15" t="s">
        <v>1508</v>
      </c>
      <c r="E2490" s="9" t="s">
        <v>92</v>
      </c>
      <c r="F2490" s="9" t="s">
        <v>4180</v>
      </c>
      <c r="G2490" s="9" t="s">
        <v>3964</v>
      </c>
      <c r="H2490" s="2" t="s">
        <v>35</v>
      </c>
      <c r="I2490" s="3">
        <v>36748</v>
      </c>
      <c r="J2490" s="9" t="str">
        <f t="shared" ca="1" si="40"/>
        <v>23 ans</v>
      </c>
      <c r="K2490" s="2" t="s">
        <v>68</v>
      </c>
      <c r="L2490" s="2" t="str">
        <f>"657"</f>
        <v>657</v>
      </c>
      <c r="M2490" s="2"/>
      <c r="N2490" s="2" t="str">
        <f>"RUE DES COLIBRIS"</f>
        <v>RUE DES COLIBRIS</v>
      </c>
      <c r="O2490" s="2" t="s">
        <v>11249</v>
      </c>
      <c r="P2490" s="9" t="str">
        <f>VLOOKUP($O2490,'Liste des Villes'!$B$2:$B$1128,1,FALSE)</f>
        <v>Sainte-Adèle</v>
      </c>
      <c r="Q2490" s="9" t="str">
        <f>IFERROR($P2490,PROPER(VLOOKUP($O2490,'Villes en erreur'!$A$2:$B$72,2,FALSE)))</f>
        <v>Sainte-Adèle</v>
      </c>
      <c r="R2490" s="9" t="s">
        <v>11250</v>
      </c>
      <c r="S2490" s="9" t="str">
        <f>IF(ISBLANK($R2490),"",VLOOKUP($R2490,'Liste des Villes'!$B$2:$H$1128,4,FALSE))</f>
        <v>Laurentides</v>
      </c>
      <c r="T2490" s="2" t="s">
        <v>11522</v>
      </c>
      <c r="U2490" s="2" t="s">
        <v>39</v>
      </c>
      <c r="V2490" s="2" t="s">
        <v>40</v>
      </c>
      <c r="W2490" s="2" t="s">
        <v>11523</v>
      </c>
      <c r="X2490" s="2"/>
      <c r="Y2490" s="2"/>
      <c r="Z2490" s="2"/>
      <c r="AA2490" s="2" t="s">
        <v>72</v>
      </c>
      <c r="AB2490" s="2" t="s">
        <v>192</v>
      </c>
      <c r="AC2490" s="4" t="s">
        <v>44</v>
      </c>
    </row>
    <row r="2491" spans="1:29" x14ac:dyDescent="0.25">
      <c r="A2491" s="1">
        <v>3015</v>
      </c>
      <c r="B2491" s="17" t="s">
        <v>11524</v>
      </c>
      <c r="C2491" s="2" t="s">
        <v>2084</v>
      </c>
      <c r="D2491" s="15" t="s">
        <v>2085</v>
      </c>
      <c r="E2491" s="9" t="s">
        <v>2086</v>
      </c>
      <c r="F2491" s="9" t="s">
        <v>8443</v>
      </c>
      <c r="G2491" s="9" t="s">
        <v>11525</v>
      </c>
      <c r="H2491" s="2" t="s">
        <v>35</v>
      </c>
      <c r="I2491" s="3">
        <v>36756</v>
      </c>
      <c r="J2491" s="9" t="str">
        <f t="shared" ca="1" si="40"/>
        <v>23 ans</v>
      </c>
      <c r="K2491" s="2" t="s">
        <v>68</v>
      </c>
      <c r="L2491" s="2" t="str">
        <f>"663"</f>
        <v>663</v>
      </c>
      <c r="M2491" s="2"/>
      <c r="N2491" s="2" t="str">
        <f>"RUE DES CUIVRES"</f>
        <v>RUE DES CUIVRES</v>
      </c>
      <c r="O2491" s="2" t="s">
        <v>11249</v>
      </c>
      <c r="P2491" s="9" t="str">
        <f>VLOOKUP($O2491,'Liste des Villes'!$B$2:$B$1128,1,FALSE)</f>
        <v>Sainte-Adèle</v>
      </c>
      <c r="Q2491" s="9" t="str">
        <f>IFERROR($P2491,PROPER(VLOOKUP($O2491,'Villes en erreur'!$A$2:$B$72,2,FALSE)))</f>
        <v>Sainte-Adèle</v>
      </c>
      <c r="R2491" s="9" t="s">
        <v>11250</v>
      </c>
      <c r="S2491" s="9" t="str">
        <f>IF(ISBLANK($R2491),"",VLOOKUP($R2491,'Liste des Villes'!$B$2:$H$1128,4,FALSE))</f>
        <v>Laurentides</v>
      </c>
      <c r="T2491" s="2" t="s">
        <v>11526</v>
      </c>
      <c r="U2491" s="2" t="s">
        <v>39</v>
      </c>
      <c r="V2491" s="2" t="s">
        <v>40</v>
      </c>
      <c r="W2491" s="2" t="s">
        <v>11527</v>
      </c>
      <c r="X2491" s="2"/>
      <c r="Y2491" s="2"/>
      <c r="Z2491" s="2"/>
      <c r="AA2491" s="2" t="s">
        <v>72</v>
      </c>
      <c r="AB2491" s="2" t="s">
        <v>192</v>
      </c>
      <c r="AC2491" s="4" t="s">
        <v>44</v>
      </c>
    </row>
    <row r="2492" spans="1:29" x14ac:dyDescent="0.25">
      <c r="A2492" s="1">
        <v>2240</v>
      </c>
      <c r="B2492" s="17" t="s">
        <v>11528</v>
      </c>
      <c r="C2492" s="2" t="s">
        <v>2286</v>
      </c>
      <c r="D2492" s="15" t="s">
        <v>1951</v>
      </c>
      <c r="E2492" s="9" t="s">
        <v>186</v>
      </c>
      <c r="F2492" s="9" t="s">
        <v>1950</v>
      </c>
      <c r="G2492" s="9" t="s">
        <v>11529</v>
      </c>
      <c r="H2492" s="2" t="s">
        <v>35</v>
      </c>
      <c r="I2492" s="3">
        <v>36721</v>
      </c>
      <c r="J2492" s="9" t="str">
        <f t="shared" ca="1" si="40"/>
        <v>23 ans</v>
      </c>
      <c r="K2492" s="2" t="s">
        <v>68</v>
      </c>
      <c r="L2492" s="2" t="str">
        <f>"615"</f>
        <v>615</v>
      </c>
      <c r="M2492" s="2"/>
      <c r="N2492" s="2" t="str">
        <f>"RUE DES BOULEAUX"</f>
        <v>RUE DES BOULEAUX</v>
      </c>
      <c r="O2492" s="2" t="s">
        <v>11249</v>
      </c>
      <c r="P2492" s="9" t="str">
        <f>VLOOKUP($O2492,'Liste des Villes'!$B$2:$B$1128,1,FALSE)</f>
        <v>Sainte-Adèle</v>
      </c>
      <c r="Q2492" s="9" t="str">
        <f>IFERROR($P2492,PROPER(VLOOKUP($O2492,'Villes en erreur'!$A$2:$B$72,2,FALSE)))</f>
        <v>Sainte-Adèle</v>
      </c>
      <c r="R2492" s="9" t="s">
        <v>11250</v>
      </c>
      <c r="S2492" s="9" t="str">
        <f>IF(ISBLANK($R2492),"",VLOOKUP($R2492,'Liste des Villes'!$B$2:$H$1128,4,FALSE))</f>
        <v>Laurentides</v>
      </c>
      <c r="T2492" s="2" t="s">
        <v>11530</v>
      </c>
      <c r="U2492" s="2" t="s">
        <v>39</v>
      </c>
      <c r="V2492" s="2" t="s">
        <v>40</v>
      </c>
      <c r="W2492" s="2" t="s">
        <v>11531</v>
      </c>
      <c r="X2492" s="2"/>
      <c r="Y2492" s="2"/>
      <c r="Z2492" s="2"/>
      <c r="AA2492" s="2" t="s">
        <v>72</v>
      </c>
      <c r="AB2492" s="2" t="s">
        <v>545</v>
      </c>
      <c r="AC2492" s="4" t="s">
        <v>44</v>
      </c>
    </row>
    <row r="2493" spans="1:29" x14ac:dyDescent="0.25">
      <c r="A2493" s="1">
        <v>1210</v>
      </c>
      <c r="B2493" s="17" t="s">
        <v>11532</v>
      </c>
      <c r="C2493" s="2" t="s">
        <v>11533</v>
      </c>
      <c r="D2493" s="15" t="s">
        <v>6959</v>
      </c>
      <c r="E2493" s="9" t="s">
        <v>271</v>
      </c>
      <c r="F2493" s="9" t="s">
        <v>6957</v>
      </c>
      <c r="G2493" s="9" t="s">
        <v>4484</v>
      </c>
      <c r="H2493" s="2" t="s">
        <v>60</v>
      </c>
      <c r="I2493" s="3">
        <v>36713</v>
      </c>
      <c r="J2493" s="9" t="str">
        <f t="shared" ca="1" si="40"/>
        <v>23 ans</v>
      </c>
      <c r="K2493" s="2" t="s">
        <v>68</v>
      </c>
      <c r="L2493" s="2" t="str">
        <f>"605"</f>
        <v>605</v>
      </c>
      <c r="M2493" s="2"/>
      <c r="N2493" s="2" t="str">
        <f>"RUE DES BORIES"</f>
        <v>RUE DES BORIES</v>
      </c>
      <c r="O2493" s="2" t="s">
        <v>11249</v>
      </c>
      <c r="P2493" s="9" t="str">
        <f>VLOOKUP($O2493,'Liste des Villes'!$B$2:$B$1128,1,FALSE)</f>
        <v>Sainte-Adèle</v>
      </c>
      <c r="Q2493" s="9" t="str">
        <f>IFERROR($P2493,PROPER(VLOOKUP($O2493,'Villes en erreur'!$A$2:$B$72,2,FALSE)))</f>
        <v>Sainte-Adèle</v>
      </c>
      <c r="R2493" s="9" t="s">
        <v>11250</v>
      </c>
      <c r="S2493" s="9" t="str">
        <f>IF(ISBLANK($R2493),"",VLOOKUP($R2493,'Liste des Villes'!$B$2:$H$1128,4,FALSE))</f>
        <v>Laurentides</v>
      </c>
      <c r="T2493" s="2" t="s">
        <v>11534</v>
      </c>
      <c r="U2493" s="2" t="s">
        <v>39</v>
      </c>
      <c r="V2493" s="2" t="s">
        <v>40</v>
      </c>
      <c r="W2493" s="2" t="s">
        <v>11535</v>
      </c>
      <c r="X2493" s="2"/>
      <c r="Y2493" s="2"/>
      <c r="Z2493" s="2"/>
      <c r="AA2493" s="2" t="s">
        <v>72</v>
      </c>
      <c r="AB2493" s="2" t="s">
        <v>545</v>
      </c>
      <c r="AC2493" s="4" t="s">
        <v>44</v>
      </c>
    </row>
    <row r="2494" spans="1:29" x14ac:dyDescent="0.25">
      <c r="A2494" s="1">
        <v>3758</v>
      </c>
      <c r="B2494" s="17" t="s">
        <v>11536</v>
      </c>
      <c r="C2494" s="2" t="s">
        <v>11537</v>
      </c>
      <c r="D2494" s="15" t="s">
        <v>449</v>
      </c>
      <c r="E2494" s="9" t="s">
        <v>11538</v>
      </c>
      <c r="F2494" s="9" t="s">
        <v>6669</v>
      </c>
      <c r="G2494" s="9" t="s">
        <v>1355</v>
      </c>
      <c r="H2494" s="2" t="s">
        <v>35</v>
      </c>
      <c r="I2494" s="3">
        <v>36737</v>
      </c>
      <c r="J2494" s="9" t="str">
        <f t="shared" ca="1" si="40"/>
        <v>23 ans</v>
      </c>
      <c r="K2494" s="2" t="s">
        <v>68</v>
      </c>
      <c r="L2494" s="2" t="str">
        <f>"640"</f>
        <v>640</v>
      </c>
      <c r="M2494" s="2"/>
      <c r="N2494" s="2" t="str">
        <f>"RUE DES CERISIERS"</f>
        <v>RUE DES CERISIERS</v>
      </c>
      <c r="O2494" s="2" t="s">
        <v>11249</v>
      </c>
      <c r="P2494" s="9" t="str">
        <f>VLOOKUP($O2494,'Liste des Villes'!$B$2:$B$1128,1,FALSE)</f>
        <v>Sainte-Adèle</v>
      </c>
      <c r="Q2494" s="9" t="str">
        <f>IFERROR($P2494,PROPER(VLOOKUP($O2494,'Villes en erreur'!$A$2:$B$72,2,FALSE)))</f>
        <v>Sainte-Adèle</v>
      </c>
      <c r="R2494" s="9" t="s">
        <v>11250</v>
      </c>
      <c r="S2494" s="9" t="str">
        <f>IF(ISBLANK($R2494),"",VLOOKUP($R2494,'Liste des Villes'!$B$2:$H$1128,4,FALSE))</f>
        <v>Laurentides</v>
      </c>
      <c r="T2494" s="2" t="s">
        <v>11256</v>
      </c>
      <c r="U2494" s="2" t="s">
        <v>39</v>
      </c>
      <c r="V2494" s="2" t="s">
        <v>40</v>
      </c>
      <c r="W2494" s="2" t="s">
        <v>11539</v>
      </c>
      <c r="X2494" s="2"/>
      <c r="Y2494" s="2"/>
      <c r="Z2494" s="2"/>
      <c r="AA2494" s="2" t="s">
        <v>72</v>
      </c>
      <c r="AB2494" s="2" t="s">
        <v>192</v>
      </c>
      <c r="AC2494" s="4" t="s">
        <v>44</v>
      </c>
    </row>
    <row r="2495" spans="1:29" x14ac:dyDescent="0.25">
      <c r="A2495" s="1">
        <v>240</v>
      </c>
      <c r="B2495" s="17" t="s">
        <v>11540</v>
      </c>
      <c r="C2495" s="2" t="s">
        <v>4583</v>
      </c>
      <c r="D2495" s="15" t="s">
        <v>462</v>
      </c>
      <c r="E2495" s="9" t="s">
        <v>4584</v>
      </c>
      <c r="F2495" s="9" t="s">
        <v>460</v>
      </c>
      <c r="G2495" s="9" t="s">
        <v>4011</v>
      </c>
      <c r="H2495" s="2" t="s">
        <v>60</v>
      </c>
      <c r="I2495" s="3">
        <v>36716</v>
      </c>
      <c r="J2495" s="9" t="str">
        <f t="shared" ca="1" si="40"/>
        <v>23 ans</v>
      </c>
      <c r="K2495" s="2" t="s">
        <v>68</v>
      </c>
      <c r="L2495" s="2" t="str">
        <f>"608"</f>
        <v>608</v>
      </c>
      <c r="M2495" s="2"/>
      <c r="N2495" s="2" t="str">
        <f>"RUE DES BOULEAUX"</f>
        <v>RUE DES BOULEAUX</v>
      </c>
      <c r="O2495" s="2" t="s">
        <v>11249</v>
      </c>
      <c r="P2495" s="9" t="str">
        <f>VLOOKUP($O2495,'Liste des Villes'!$B$2:$B$1128,1,FALSE)</f>
        <v>Sainte-Adèle</v>
      </c>
      <c r="Q2495" s="9" t="str">
        <f>IFERROR($P2495,PROPER(VLOOKUP($O2495,'Villes en erreur'!$A$2:$B$72,2,FALSE)))</f>
        <v>Sainte-Adèle</v>
      </c>
      <c r="R2495" s="9" t="s">
        <v>11250</v>
      </c>
      <c r="S2495" s="9" t="str">
        <f>IF(ISBLANK($R2495),"",VLOOKUP($R2495,'Liste des Villes'!$B$2:$H$1128,4,FALSE))</f>
        <v>Laurentides</v>
      </c>
      <c r="T2495" s="2" t="s">
        <v>11541</v>
      </c>
      <c r="U2495" s="2" t="s">
        <v>39</v>
      </c>
      <c r="V2495" s="2" t="s">
        <v>40</v>
      </c>
      <c r="W2495" s="2" t="s">
        <v>11542</v>
      </c>
      <c r="X2495" s="2"/>
      <c r="Y2495" s="2"/>
      <c r="Z2495" s="2"/>
      <c r="AA2495" s="2" t="s">
        <v>72</v>
      </c>
      <c r="AB2495" s="2" t="s">
        <v>545</v>
      </c>
      <c r="AC2495" s="4" t="s">
        <v>44</v>
      </c>
    </row>
    <row r="2496" spans="1:29" x14ac:dyDescent="0.25">
      <c r="A2496" s="1">
        <v>1631</v>
      </c>
      <c r="B2496" s="17" t="s">
        <v>11543</v>
      </c>
      <c r="C2496" s="2" t="s">
        <v>1174</v>
      </c>
      <c r="D2496" s="15" t="s">
        <v>1175</v>
      </c>
      <c r="E2496" s="9" t="s">
        <v>1176</v>
      </c>
      <c r="F2496" s="9" t="s">
        <v>1489</v>
      </c>
      <c r="G2496" s="9" t="s">
        <v>4484</v>
      </c>
      <c r="H2496" s="2" t="s">
        <v>60</v>
      </c>
      <c r="I2496" s="3">
        <v>36713</v>
      </c>
      <c r="J2496" s="9" t="str">
        <f t="shared" ca="1" si="40"/>
        <v>23 ans</v>
      </c>
      <c r="K2496" s="2" t="s">
        <v>68</v>
      </c>
      <c r="L2496" s="2" t="str">
        <f>"604"</f>
        <v>604</v>
      </c>
      <c r="M2496" s="2"/>
      <c r="N2496" s="2" t="str">
        <f>"RUE DES BOLETS"</f>
        <v>RUE DES BOLETS</v>
      </c>
      <c r="O2496" s="2" t="s">
        <v>11249</v>
      </c>
      <c r="P2496" s="9" t="str">
        <f>VLOOKUP($O2496,'Liste des Villes'!$B$2:$B$1128,1,FALSE)</f>
        <v>Sainte-Adèle</v>
      </c>
      <c r="Q2496" s="9" t="str">
        <f>IFERROR($P2496,PROPER(VLOOKUP($O2496,'Villes en erreur'!$A$2:$B$72,2,FALSE)))</f>
        <v>Sainte-Adèle</v>
      </c>
      <c r="R2496" s="9" t="s">
        <v>11250</v>
      </c>
      <c r="S2496" s="9" t="str">
        <f>IF(ISBLANK($R2496),"",VLOOKUP($R2496,'Liste des Villes'!$B$2:$H$1128,4,FALSE))</f>
        <v>Laurentides</v>
      </c>
      <c r="T2496" s="2" t="s">
        <v>11544</v>
      </c>
      <c r="U2496" s="2" t="s">
        <v>39</v>
      </c>
      <c r="V2496" s="2" t="s">
        <v>40</v>
      </c>
      <c r="W2496" s="2" t="s">
        <v>11545</v>
      </c>
      <c r="X2496" s="2"/>
      <c r="Y2496" s="2"/>
      <c r="Z2496" s="2"/>
      <c r="AA2496" s="2" t="s">
        <v>72</v>
      </c>
      <c r="AB2496" s="2" t="s">
        <v>545</v>
      </c>
      <c r="AC2496" s="4" t="s">
        <v>44</v>
      </c>
    </row>
    <row r="2497" spans="1:29" x14ac:dyDescent="0.25">
      <c r="A2497" s="1">
        <v>3022</v>
      </c>
      <c r="B2497" s="17" t="s">
        <v>11546</v>
      </c>
      <c r="C2497" s="2" t="s">
        <v>5115</v>
      </c>
      <c r="D2497" s="15" t="s">
        <v>1617</v>
      </c>
      <c r="E2497" s="9" t="s">
        <v>5116</v>
      </c>
      <c r="F2497" s="9" t="s">
        <v>246</v>
      </c>
      <c r="G2497" s="9" t="s">
        <v>11547</v>
      </c>
      <c r="H2497" s="2" t="s">
        <v>60</v>
      </c>
      <c r="I2497" s="3">
        <v>36745</v>
      </c>
      <c r="J2497" s="9" t="str">
        <f t="shared" ca="1" si="40"/>
        <v>23 ans</v>
      </c>
      <c r="K2497" s="2" t="s">
        <v>68</v>
      </c>
      <c r="L2497" s="2" t="str">
        <f>"651"</f>
        <v>651</v>
      </c>
      <c r="M2497" s="2"/>
      <c r="N2497" s="2" t="str">
        <f>"RUE DES CHEVALIERS"</f>
        <v>RUE DES CHEVALIERS</v>
      </c>
      <c r="O2497" s="2" t="s">
        <v>11249</v>
      </c>
      <c r="P2497" s="9" t="str">
        <f>VLOOKUP($O2497,'Liste des Villes'!$B$2:$B$1128,1,FALSE)</f>
        <v>Sainte-Adèle</v>
      </c>
      <c r="Q2497" s="9" t="str">
        <f>IFERROR($P2497,PROPER(VLOOKUP($O2497,'Villes en erreur'!$A$2:$B$72,2,FALSE)))</f>
        <v>Sainte-Adèle</v>
      </c>
      <c r="R2497" s="9" t="s">
        <v>11250</v>
      </c>
      <c r="S2497" s="9" t="str">
        <f>IF(ISBLANK($R2497),"",VLOOKUP($R2497,'Liste des Villes'!$B$2:$H$1128,4,FALSE))</f>
        <v>Laurentides</v>
      </c>
      <c r="T2497" s="2" t="s">
        <v>11548</v>
      </c>
      <c r="U2497" s="2" t="s">
        <v>39</v>
      </c>
      <c r="V2497" s="2" t="s">
        <v>40</v>
      </c>
      <c r="W2497" s="2" t="s">
        <v>11549</v>
      </c>
      <c r="X2497" s="2"/>
      <c r="Y2497" s="2"/>
      <c r="Z2497" s="2"/>
      <c r="AA2497" s="2" t="s">
        <v>72</v>
      </c>
      <c r="AB2497" s="2" t="s">
        <v>192</v>
      </c>
      <c r="AC2497" s="4" t="s">
        <v>44</v>
      </c>
    </row>
    <row r="2498" spans="1:29" x14ac:dyDescent="0.25">
      <c r="A2498" s="1">
        <v>3410</v>
      </c>
      <c r="B2498" s="17" t="s">
        <v>11550</v>
      </c>
      <c r="C2498" s="2" t="s">
        <v>960</v>
      </c>
      <c r="D2498" s="15" t="s">
        <v>961</v>
      </c>
      <c r="E2498" s="9" t="s">
        <v>219</v>
      </c>
      <c r="F2498" s="9" t="s">
        <v>3450</v>
      </c>
      <c r="G2498" s="9" t="s">
        <v>8454</v>
      </c>
      <c r="H2498" s="2" t="s">
        <v>60</v>
      </c>
      <c r="I2498" s="3">
        <v>36727</v>
      </c>
      <c r="J2498" s="9" t="str">
        <f t="shared" ref="J2498:J2561" ca="1" si="41">_xlfn.CONCAT(INT((TODAY()-$I2498)/365.25)," ans")</f>
        <v>23 ans</v>
      </c>
      <c r="K2498" s="2" t="s">
        <v>68</v>
      </c>
      <c r="L2498" s="2" t="str">
        <f>"623"</f>
        <v>623</v>
      </c>
      <c r="M2498" s="2"/>
      <c r="N2498" s="2" t="str">
        <f>"RUE DES CASCADES"</f>
        <v>RUE DES CASCADES</v>
      </c>
      <c r="O2498" s="2" t="s">
        <v>11249</v>
      </c>
      <c r="P2498" s="9" t="str">
        <f>VLOOKUP($O2498,'Liste des Villes'!$B$2:$B$1128,1,FALSE)</f>
        <v>Sainte-Adèle</v>
      </c>
      <c r="Q2498" s="9" t="str">
        <f>IFERROR($P2498,PROPER(VLOOKUP($O2498,'Villes en erreur'!$A$2:$B$72,2,FALSE)))</f>
        <v>Sainte-Adèle</v>
      </c>
      <c r="R2498" s="9" t="s">
        <v>11250</v>
      </c>
      <c r="S2498" s="9" t="str">
        <f>IF(ISBLANK($R2498),"",VLOOKUP($R2498,'Liste des Villes'!$B$2:$H$1128,4,FALSE))</f>
        <v>Laurentides</v>
      </c>
      <c r="T2498" s="2" t="s">
        <v>11551</v>
      </c>
      <c r="U2498" s="2" t="s">
        <v>39</v>
      </c>
      <c r="V2498" s="2" t="s">
        <v>40</v>
      </c>
      <c r="W2498" s="2" t="s">
        <v>11552</v>
      </c>
      <c r="X2498" s="2"/>
      <c r="Y2498" s="2"/>
      <c r="Z2498" s="2"/>
      <c r="AA2498" s="2" t="s">
        <v>72</v>
      </c>
      <c r="AB2498" s="2" t="s">
        <v>192</v>
      </c>
      <c r="AC2498" s="4" t="s">
        <v>44</v>
      </c>
    </row>
    <row r="2499" spans="1:29" x14ac:dyDescent="0.25">
      <c r="A2499" s="1">
        <v>1742</v>
      </c>
      <c r="B2499" s="17" t="s">
        <v>11553</v>
      </c>
      <c r="C2499" s="2" t="s">
        <v>1700</v>
      </c>
      <c r="D2499" s="15" t="s">
        <v>1701</v>
      </c>
      <c r="E2499" s="9" t="s">
        <v>1702</v>
      </c>
      <c r="F2499" s="9" t="s">
        <v>4628</v>
      </c>
      <c r="G2499" s="9" t="s">
        <v>11554</v>
      </c>
      <c r="H2499" s="2" t="s">
        <v>35</v>
      </c>
      <c r="I2499" s="3">
        <v>36754</v>
      </c>
      <c r="J2499" s="9" t="str">
        <f t="shared" ca="1" si="41"/>
        <v>23 ans</v>
      </c>
      <c r="K2499" s="2" t="s">
        <v>68</v>
      </c>
      <c r="L2499" s="2" t="str">
        <f>"662"</f>
        <v>662</v>
      </c>
      <c r="M2499" s="2"/>
      <c r="N2499" s="2" t="str">
        <f>"RUE DES CUIVRES"</f>
        <v>RUE DES CUIVRES</v>
      </c>
      <c r="O2499" s="2" t="s">
        <v>11249</v>
      </c>
      <c r="P2499" s="9" t="str">
        <f>VLOOKUP($O2499,'Liste des Villes'!$B$2:$B$1128,1,FALSE)</f>
        <v>Sainte-Adèle</v>
      </c>
      <c r="Q2499" s="9" t="str">
        <f>IFERROR($P2499,PROPER(VLOOKUP($O2499,'Villes en erreur'!$A$2:$B$72,2,FALSE)))</f>
        <v>Sainte-Adèle</v>
      </c>
      <c r="R2499" s="9" t="s">
        <v>11250</v>
      </c>
      <c r="S2499" s="9" t="str">
        <f>IF(ISBLANK($R2499),"",VLOOKUP($R2499,'Liste des Villes'!$B$2:$H$1128,4,FALSE))</f>
        <v>Laurentides</v>
      </c>
      <c r="T2499" s="2" t="s">
        <v>11555</v>
      </c>
      <c r="U2499" s="2" t="s">
        <v>39</v>
      </c>
      <c r="V2499" s="2" t="s">
        <v>40</v>
      </c>
      <c r="W2499" s="2" t="s">
        <v>11556</v>
      </c>
      <c r="X2499" s="2"/>
      <c r="Y2499" s="2"/>
      <c r="Z2499" s="2"/>
      <c r="AA2499" s="2" t="s">
        <v>72</v>
      </c>
      <c r="AB2499" s="2" t="s">
        <v>192</v>
      </c>
      <c r="AC2499" s="4" t="s">
        <v>44</v>
      </c>
    </row>
    <row r="2500" spans="1:29" x14ac:dyDescent="0.25">
      <c r="A2500" s="1">
        <v>1404</v>
      </c>
      <c r="B2500" s="17" t="s">
        <v>11557</v>
      </c>
      <c r="C2500" s="2" t="s">
        <v>11558</v>
      </c>
      <c r="D2500" s="15" t="s">
        <v>1169</v>
      </c>
      <c r="E2500" s="9" t="s">
        <v>11559</v>
      </c>
      <c r="F2500" s="9" t="s">
        <v>1167</v>
      </c>
      <c r="G2500" s="9" t="s">
        <v>1355</v>
      </c>
      <c r="H2500" s="2" t="s">
        <v>35</v>
      </c>
      <c r="I2500" s="3">
        <v>36736</v>
      </c>
      <c r="J2500" s="9" t="str">
        <f t="shared" ca="1" si="41"/>
        <v>23 ans</v>
      </c>
      <c r="K2500" s="2" t="s">
        <v>68</v>
      </c>
      <c r="L2500" s="2" t="str">
        <f>"639"</f>
        <v>639</v>
      </c>
      <c r="M2500" s="2"/>
      <c r="N2500" s="2" t="str">
        <f>"RUE DES CÉPAGES"</f>
        <v>RUE DES CÉPAGES</v>
      </c>
      <c r="O2500" s="2" t="s">
        <v>11249</v>
      </c>
      <c r="P2500" s="9" t="str">
        <f>VLOOKUP($O2500,'Liste des Villes'!$B$2:$B$1128,1,FALSE)</f>
        <v>Sainte-Adèle</v>
      </c>
      <c r="Q2500" s="9" t="str">
        <f>IFERROR($P2500,PROPER(VLOOKUP($O2500,'Villes en erreur'!$A$2:$B$72,2,FALSE)))</f>
        <v>Sainte-Adèle</v>
      </c>
      <c r="R2500" s="9" t="s">
        <v>11250</v>
      </c>
      <c r="S2500" s="9" t="str">
        <f>IF(ISBLANK($R2500),"",VLOOKUP($R2500,'Liste des Villes'!$B$2:$H$1128,4,FALSE))</f>
        <v>Laurentides</v>
      </c>
      <c r="T2500" s="2" t="s">
        <v>11256</v>
      </c>
      <c r="U2500" s="2" t="s">
        <v>39</v>
      </c>
      <c r="V2500" s="2" t="s">
        <v>40</v>
      </c>
      <c r="W2500" s="2" t="s">
        <v>11560</v>
      </c>
      <c r="X2500" s="2"/>
      <c r="Y2500" s="2"/>
      <c r="Z2500" s="2"/>
      <c r="AA2500" s="2" t="s">
        <v>72</v>
      </c>
      <c r="AB2500" s="2" t="s">
        <v>192</v>
      </c>
      <c r="AC2500" s="4" t="s">
        <v>44</v>
      </c>
    </row>
    <row r="2501" spans="1:29" x14ac:dyDescent="0.25">
      <c r="A2501" s="1">
        <v>1714</v>
      </c>
      <c r="B2501" s="17" t="s">
        <v>11561</v>
      </c>
      <c r="C2501" s="2" t="s">
        <v>3842</v>
      </c>
      <c r="D2501" s="15" t="s">
        <v>31</v>
      </c>
      <c r="E2501" s="9" t="s">
        <v>2635</v>
      </c>
      <c r="F2501" s="9" t="s">
        <v>1716</v>
      </c>
      <c r="G2501" s="9" t="s">
        <v>4249</v>
      </c>
      <c r="H2501" s="2" t="s">
        <v>60</v>
      </c>
      <c r="I2501" s="3">
        <v>36715</v>
      </c>
      <c r="J2501" s="9" t="str">
        <f t="shared" ca="1" si="41"/>
        <v>23 ans</v>
      </c>
      <c r="K2501" s="2" t="s">
        <v>68</v>
      </c>
      <c r="L2501" s="2" t="str">
        <f>"608"</f>
        <v>608</v>
      </c>
      <c r="M2501" s="2"/>
      <c r="N2501" s="2" t="str">
        <f>"RUE DES BOULEAUX"</f>
        <v>RUE DES BOULEAUX</v>
      </c>
      <c r="O2501" s="2" t="s">
        <v>11249</v>
      </c>
      <c r="P2501" s="9" t="str">
        <f>VLOOKUP($O2501,'Liste des Villes'!$B$2:$B$1128,1,FALSE)</f>
        <v>Sainte-Adèle</v>
      </c>
      <c r="Q2501" s="9" t="str">
        <f>IFERROR($P2501,PROPER(VLOOKUP($O2501,'Villes en erreur'!$A$2:$B$72,2,FALSE)))</f>
        <v>Sainte-Adèle</v>
      </c>
      <c r="R2501" s="9" t="s">
        <v>11250</v>
      </c>
      <c r="S2501" s="9" t="str">
        <f>IF(ISBLANK($R2501),"",VLOOKUP($R2501,'Liste des Villes'!$B$2:$H$1128,4,FALSE))</f>
        <v>Laurentides</v>
      </c>
      <c r="T2501" s="2" t="s">
        <v>11513</v>
      </c>
      <c r="U2501" s="2" t="s">
        <v>39</v>
      </c>
      <c r="V2501" s="2" t="s">
        <v>40</v>
      </c>
      <c r="W2501" s="2" t="s">
        <v>11562</v>
      </c>
      <c r="X2501" s="2"/>
      <c r="Y2501" s="2"/>
      <c r="Z2501" s="2"/>
      <c r="AA2501" s="2" t="s">
        <v>72</v>
      </c>
      <c r="AB2501" s="2" t="s">
        <v>545</v>
      </c>
      <c r="AC2501" s="4" t="s">
        <v>44</v>
      </c>
    </row>
    <row r="2502" spans="1:29" x14ac:dyDescent="0.25">
      <c r="A2502" s="1">
        <v>3967</v>
      </c>
      <c r="B2502" s="17" t="s">
        <v>11563</v>
      </c>
      <c r="C2502" s="2" t="s">
        <v>11564</v>
      </c>
      <c r="D2502" s="15" t="s">
        <v>541</v>
      </c>
      <c r="E2502" s="9" t="s">
        <v>3503</v>
      </c>
      <c r="F2502" s="9" t="s">
        <v>9355</v>
      </c>
      <c r="G2502" s="9" t="s">
        <v>3964</v>
      </c>
      <c r="H2502" s="2" t="s">
        <v>35</v>
      </c>
      <c r="I2502" s="3">
        <v>36748</v>
      </c>
      <c r="J2502" s="9" t="str">
        <f t="shared" ca="1" si="41"/>
        <v>23 ans</v>
      </c>
      <c r="K2502" s="2" t="s">
        <v>68</v>
      </c>
      <c r="L2502" s="2" t="str">
        <f>"656"</f>
        <v>656</v>
      </c>
      <c r="M2502" s="2"/>
      <c r="N2502" s="2" t="str">
        <f>"RUE DES COLIBRIS"</f>
        <v>RUE DES COLIBRIS</v>
      </c>
      <c r="O2502" s="2" t="s">
        <v>11249</v>
      </c>
      <c r="P2502" s="9" t="str">
        <f>VLOOKUP($O2502,'Liste des Villes'!$B$2:$B$1128,1,FALSE)</f>
        <v>Sainte-Adèle</v>
      </c>
      <c r="Q2502" s="9" t="str">
        <f>IFERROR($P2502,PROPER(VLOOKUP($O2502,'Villes en erreur'!$A$2:$B$72,2,FALSE)))</f>
        <v>Sainte-Adèle</v>
      </c>
      <c r="R2502" s="9" t="s">
        <v>11250</v>
      </c>
      <c r="S2502" s="9" t="str">
        <f>IF(ISBLANK($R2502),"",VLOOKUP($R2502,'Liste des Villes'!$B$2:$H$1128,4,FALSE))</f>
        <v>Laurentides</v>
      </c>
      <c r="T2502" s="2" t="s">
        <v>11522</v>
      </c>
      <c r="U2502" s="2" t="s">
        <v>39</v>
      </c>
      <c r="V2502" s="2" t="s">
        <v>40</v>
      </c>
      <c r="W2502" s="2" t="s">
        <v>11565</v>
      </c>
      <c r="X2502" s="2"/>
      <c r="Y2502" s="2"/>
      <c r="Z2502" s="2"/>
      <c r="AA2502" s="2" t="s">
        <v>72</v>
      </c>
      <c r="AB2502" s="2" t="s">
        <v>192</v>
      </c>
      <c r="AC2502" s="4" t="s">
        <v>44</v>
      </c>
    </row>
    <row r="2503" spans="1:29" x14ac:dyDescent="0.25">
      <c r="A2503" s="1">
        <v>73</v>
      </c>
      <c r="B2503" s="17" t="s">
        <v>11566</v>
      </c>
      <c r="C2503" s="2" t="s">
        <v>11567</v>
      </c>
      <c r="D2503" s="15" t="s">
        <v>5661</v>
      </c>
      <c r="E2503" s="9" t="s">
        <v>610</v>
      </c>
      <c r="F2503" s="9" t="s">
        <v>3217</v>
      </c>
      <c r="G2503" s="9" t="s">
        <v>172</v>
      </c>
      <c r="H2503" s="2" t="s">
        <v>60</v>
      </c>
      <c r="I2503" s="3">
        <v>36707</v>
      </c>
      <c r="J2503" s="9" t="str">
        <f t="shared" ca="1" si="41"/>
        <v>23 ans</v>
      </c>
      <c r="K2503" s="2" t="s">
        <v>68</v>
      </c>
      <c r="L2503" s="2" t="str">
        <f>"600"</f>
        <v>600</v>
      </c>
      <c r="M2503" s="2"/>
      <c r="N2503" s="2" t="str">
        <f>"RUE DES BÉLIERS"</f>
        <v>RUE DES BÉLIERS</v>
      </c>
      <c r="O2503" s="2" t="s">
        <v>11249</v>
      </c>
      <c r="P2503" s="9" t="str">
        <f>VLOOKUP($O2503,'Liste des Villes'!$B$2:$B$1128,1,FALSE)</f>
        <v>Sainte-Adèle</v>
      </c>
      <c r="Q2503" s="9" t="str">
        <f>IFERROR($P2503,PROPER(VLOOKUP($O2503,'Villes en erreur'!$A$2:$B$72,2,FALSE)))</f>
        <v>Sainte-Adèle</v>
      </c>
      <c r="R2503" s="9" t="s">
        <v>11250</v>
      </c>
      <c r="S2503" s="9" t="str">
        <f>IF(ISBLANK($R2503),"",VLOOKUP($R2503,'Liste des Villes'!$B$2:$H$1128,4,FALSE))</f>
        <v>Laurentides</v>
      </c>
      <c r="T2503" s="2" t="s">
        <v>11568</v>
      </c>
      <c r="U2503" s="2" t="s">
        <v>39</v>
      </c>
      <c r="V2503" s="2" t="s">
        <v>40</v>
      </c>
      <c r="W2503" s="2" t="s">
        <v>11569</v>
      </c>
      <c r="X2503" s="2"/>
      <c r="Y2503" s="2"/>
      <c r="Z2503" s="2"/>
      <c r="AA2503" s="2" t="s">
        <v>72</v>
      </c>
      <c r="AB2503" s="2" t="s">
        <v>545</v>
      </c>
      <c r="AC2503" s="4" t="s">
        <v>44</v>
      </c>
    </row>
    <row r="2504" spans="1:29" x14ac:dyDescent="0.25">
      <c r="A2504" s="1">
        <v>2360</v>
      </c>
      <c r="B2504" s="17" t="s">
        <v>11570</v>
      </c>
      <c r="C2504" s="2" t="s">
        <v>11571</v>
      </c>
      <c r="D2504" s="15" t="s">
        <v>1141</v>
      </c>
      <c r="E2504" s="9" t="s">
        <v>9853</v>
      </c>
      <c r="F2504" s="9" t="s">
        <v>750</v>
      </c>
      <c r="G2504" s="9" t="s">
        <v>3964</v>
      </c>
      <c r="H2504" s="2" t="s">
        <v>35</v>
      </c>
      <c r="I2504" s="3">
        <v>36748</v>
      </c>
      <c r="J2504" s="9" t="str">
        <f t="shared" ca="1" si="41"/>
        <v>23 ans</v>
      </c>
      <c r="K2504" s="2" t="s">
        <v>68</v>
      </c>
      <c r="L2504" s="2" t="str">
        <f>"654"</f>
        <v>654</v>
      </c>
      <c r="M2504" s="2"/>
      <c r="N2504" s="2" t="str">
        <f>"RUE DES COLIBRIS"</f>
        <v>RUE DES COLIBRIS</v>
      </c>
      <c r="O2504" s="2" t="s">
        <v>11249</v>
      </c>
      <c r="P2504" s="9" t="str">
        <f>VLOOKUP($O2504,'Liste des Villes'!$B$2:$B$1128,1,FALSE)</f>
        <v>Sainte-Adèle</v>
      </c>
      <c r="Q2504" s="9" t="str">
        <f>IFERROR($P2504,PROPER(VLOOKUP($O2504,'Villes en erreur'!$A$2:$B$72,2,FALSE)))</f>
        <v>Sainte-Adèle</v>
      </c>
      <c r="R2504" s="9" t="s">
        <v>11250</v>
      </c>
      <c r="S2504" s="9" t="str">
        <f>IF(ISBLANK($R2504),"",VLOOKUP($R2504,'Liste des Villes'!$B$2:$H$1128,4,FALSE))</f>
        <v>Laurentides</v>
      </c>
      <c r="T2504" s="2" t="s">
        <v>11572</v>
      </c>
      <c r="U2504" s="2" t="s">
        <v>39</v>
      </c>
      <c r="V2504" s="2" t="s">
        <v>40</v>
      </c>
      <c r="W2504" s="2" t="s">
        <v>11573</v>
      </c>
      <c r="X2504" s="2"/>
      <c r="Y2504" s="2"/>
      <c r="Z2504" s="2"/>
      <c r="AA2504" s="2" t="s">
        <v>72</v>
      </c>
      <c r="AB2504" s="2" t="s">
        <v>192</v>
      </c>
      <c r="AC2504" s="4" t="s">
        <v>44</v>
      </c>
    </row>
    <row r="2505" spans="1:29" x14ac:dyDescent="0.25">
      <c r="A2505" s="1">
        <v>3810</v>
      </c>
      <c r="B2505" s="17" t="s">
        <v>11574</v>
      </c>
      <c r="C2505" s="2" t="s">
        <v>7298</v>
      </c>
      <c r="D2505" s="15" t="s">
        <v>2199</v>
      </c>
      <c r="E2505" s="9" t="s">
        <v>3668</v>
      </c>
      <c r="F2505" s="9" t="s">
        <v>2197</v>
      </c>
      <c r="G2505" s="9" t="s">
        <v>8793</v>
      </c>
      <c r="H2505" s="2" t="s">
        <v>60</v>
      </c>
      <c r="I2505" s="3">
        <v>36726</v>
      </c>
      <c r="J2505" s="9" t="str">
        <f t="shared" ca="1" si="41"/>
        <v>23 ans</v>
      </c>
      <c r="K2505" s="2" t="s">
        <v>68</v>
      </c>
      <c r="L2505" s="2" t="str">
        <f>"621"</f>
        <v>621</v>
      </c>
      <c r="M2505" s="2"/>
      <c r="N2505" s="2" t="str">
        <f>"RUE DES CASCADES"</f>
        <v>RUE DES CASCADES</v>
      </c>
      <c r="O2505" s="2" t="s">
        <v>11249</v>
      </c>
      <c r="P2505" s="9" t="str">
        <f>VLOOKUP($O2505,'Liste des Villes'!$B$2:$B$1128,1,FALSE)</f>
        <v>Sainte-Adèle</v>
      </c>
      <c r="Q2505" s="9" t="str">
        <f>IFERROR($P2505,PROPER(VLOOKUP($O2505,'Villes en erreur'!$A$2:$B$72,2,FALSE)))</f>
        <v>Sainte-Adèle</v>
      </c>
      <c r="R2505" s="9" t="s">
        <v>11250</v>
      </c>
      <c r="S2505" s="9" t="str">
        <f>IF(ISBLANK($R2505),"",VLOOKUP($R2505,'Liste des Villes'!$B$2:$H$1128,4,FALSE))</f>
        <v>Laurentides</v>
      </c>
      <c r="T2505" s="2" t="s">
        <v>11551</v>
      </c>
      <c r="U2505" s="2" t="s">
        <v>39</v>
      </c>
      <c r="V2505" s="2" t="s">
        <v>40</v>
      </c>
      <c r="W2505" s="2" t="s">
        <v>11575</v>
      </c>
      <c r="X2505" s="2"/>
      <c r="Y2505" s="2"/>
      <c r="Z2505" s="2"/>
      <c r="AA2505" s="2" t="s">
        <v>72</v>
      </c>
      <c r="AB2505" s="2" t="s">
        <v>192</v>
      </c>
      <c r="AC2505" s="4" t="s">
        <v>44</v>
      </c>
    </row>
    <row r="2506" spans="1:29" x14ac:dyDescent="0.25">
      <c r="A2506" s="1">
        <v>3368</v>
      </c>
      <c r="B2506" s="17" t="s">
        <v>11576</v>
      </c>
      <c r="C2506" s="2" t="s">
        <v>2795</v>
      </c>
      <c r="D2506" s="15" t="s">
        <v>1592</v>
      </c>
      <c r="E2506" s="9" t="s">
        <v>2796</v>
      </c>
      <c r="F2506" s="9" t="s">
        <v>1590</v>
      </c>
      <c r="G2506" s="9" t="s">
        <v>4011</v>
      </c>
      <c r="H2506" s="2" t="s">
        <v>60</v>
      </c>
      <c r="I2506" s="3">
        <v>36717</v>
      </c>
      <c r="J2506" s="9" t="str">
        <f t="shared" ca="1" si="41"/>
        <v>23 ans</v>
      </c>
      <c r="K2506" s="2" t="s">
        <v>68</v>
      </c>
      <c r="L2506" s="2" t="str">
        <f>"609"</f>
        <v>609</v>
      </c>
      <c r="M2506" s="2"/>
      <c r="N2506" s="2" t="str">
        <f>"RUE DES BOULEAUX"</f>
        <v>RUE DES BOULEAUX</v>
      </c>
      <c r="O2506" s="2" t="s">
        <v>11249</v>
      </c>
      <c r="P2506" s="9" t="str">
        <f>VLOOKUP($O2506,'Liste des Villes'!$B$2:$B$1128,1,FALSE)</f>
        <v>Sainte-Adèle</v>
      </c>
      <c r="Q2506" s="9" t="str">
        <f>IFERROR($P2506,PROPER(VLOOKUP($O2506,'Villes en erreur'!$A$2:$B$72,2,FALSE)))</f>
        <v>Sainte-Adèle</v>
      </c>
      <c r="R2506" s="9" t="s">
        <v>11250</v>
      </c>
      <c r="S2506" s="9" t="str">
        <f>IF(ISBLANK($R2506),"",VLOOKUP($R2506,'Liste des Villes'!$B$2:$H$1128,4,FALSE))</f>
        <v>Laurentides</v>
      </c>
      <c r="T2506" s="2" t="s">
        <v>11448</v>
      </c>
      <c r="U2506" s="2" t="s">
        <v>39</v>
      </c>
      <c r="V2506" s="2" t="s">
        <v>40</v>
      </c>
      <c r="W2506" s="2" t="s">
        <v>11577</v>
      </c>
      <c r="X2506" s="2"/>
      <c r="Y2506" s="2"/>
      <c r="Z2506" s="2"/>
      <c r="AA2506" s="2" t="s">
        <v>72</v>
      </c>
      <c r="AB2506" s="2" t="s">
        <v>545</v>
      </c>
      <c r="AC2506" s="4" t="s">
        <v>44</v>
      </c>
    </row>
    <row r="2507" spans="1:29" x14ac:dyDescent="0.25">
      <c r="A2507" s="1">
        <v>358</v>
      </c>
      <c r="B2507" s="17" t="s">
        <v>11578</v>
      </c>
      <c r="C2507" s="2" t="s">
        <v>11579</v>
      </c>
      <c r="D2507" s="15" t="s">
        <v>11580</v>
      </c>
      <c r="E2507" s="9" t="s">
        <v>1582</v>
      </c>
      <c r="F2507" s="9" t="s">
        <v>11581</v>
      </c>
      <c r="G2507" s="9" t="s">
        <v>11380</v>
      </c>
      <c r="H2507" s="2" t="s">
        <v>60</v>
      </c>
      <c r="I2507" s="3">
        <v>36720</v>
      </c>
      <c r="J2507" s="9" t="str">
        <f t="shared" ca="1" si="41"/>
        <v>23 ans</v>
      </c>
      <c r="K2507" s="2" t="s">
        <v>68</v>
      </c>
      <c r="L2507" s="2" t="str">
        <f>"613"</f>
        <v>613</v>
      </c>
      <c r="M2507" s="2"/>
      <c r="N2507" s="2" t="str">
        <f>"RUE DES BOULEAUX"</f>
        <v>RUE DES BOULEAUX</v>
      </c>
      <c r="O2507" s="2" t="s">
        <v>11249</v>
      </c>
      <c r="P2507" s="9" t="str">
        <f>VLOOKUP($O2507,'Liste des Villes'!$B$2:$B$1128,1,FALSE)</f>
        <v>Sainte-Adèle</v>
      </c>
      <c r="Q2507" s="9" t="str">
        <f>IFERROR($P2507,PROPER(VLOOKUP($O2507,'Villes en erreur'!$A$2:$B$72,2,FALSE)))</f>
        <v>Sainte-Adèle</v>
      </c>
      <c r="R2507" s="9" t="s">
        <v>11250</v>
      </c>
      <c r="S2507" s="9" t="str">
        <f>IF(ISBLANK($R2507),"",VLOOKUP($R2507,'Liste des Villes'!$B$2:$H$1128,4,FALSE))</f>
        <v>Laurentides</v>
      </c>
      <c r="T2507" s="2" t="s">
        <v>11582</v>
      </c>
      <c r="U2507" s="2" t="s">
        <v>39</v>
      </c>
      <c r="V2507" s="2" t="s">
        <v>40</v>
      </c>
      <c r="W2507" s="2" t="s">
        <v>11583</v>
      </c>
      <c r="X2507" s="2"/>
      <c r="Y2507" s="2"/>
      <c r="Z2507" s="2"/>
      <c r="AA2507" s="2" t="s">
        <v>72</v>
      </c>
      <c r="AB2507" s="2" t="s">
        <v>545</v>
      </c>
      <c r="AC2507" s="4" t="s">
        <v>44</v>
      </c>
    </row>
    <row r="2508" spans="1:29" x14ac:dyDescent="0.25">
      <c r="A2508" s="1">
        <v>4265</v>
      </c>
      <c r="B2508" s="17" t="s">
        <v>11584</v>
      </c>
      <c r="C2508" s="2" t="s">
        <v>11585</v>
      </c>
      <c r="D2508" s="15" t="s">
        <v>11586</v>
      </c>
      <c r="E2508" s="9" t="s">
        <v>5462</v>
      </c>
      <c r="F2508" s="9" t="s">
        <v>2048</v>
      </c>
      <c r="G2508" s="9" t="s">
        <v>10225</v>
      </c>
      <c r="H2508" s="2" t="s">
        <v>60</v>
      </c>
      <c r="I2508" s="3">
        <v>36718</v>
      </c>
      <c r="J2508" s="9" t="str">
        <f t="shared" ca="1" si="41"/>
        <v>23 ans</v>
      </c>
      <c r="K2508" s="2" t="s">
        <v>68</v>
      </c>
      <c r="L2508" s="2" t="str">
        <f>"613"</f>
        <v>613</v>
      </c>
      <c r="M2508" s="2"/>
      <c r="N2508" s="2" t="str">
        <f>"RUE DES BOULEAUX"</f>
        <v>RUE DES BOULEAUX</v>
      </c>
      <c r="O2508" s="2" t="s">
        <v>11249</v>
      </c>
      <c r="P2508" s="9" t="str">
        <f>VLOOKUP($O2508,'Liste des Villes'!$B$2:$B$1128,1,FALSE)</f>
        <v>Sainte-Adèle</v>
      </c>
      <c r="Q2508" s="9" t="str">
        <f>IFERROR($P2508,PROPER(VLOOKUP($O2508,'Villes en erreur'!$A$2:$B$72,2,FALSE)))</f>
        <v>Sainte-Adèle</v>
      </c>
      <c r="R2508" s="9" t="s">
        <v>11250</v>
      </c>
      <c r="S2508" s="9" t="str">
        <f>IF(ISBLANK($R2508),"",VLOOKUP($R2508,'Liste des Villes'!$B$2:$H$1128,4,FALSE))</f>
        <v>Laurentides</v>
      </c>
      <c r="T2508" s="2" t="s">
        <v>11587</v>
      </c>
      <c r="U2508" s="2" t="s">
        <v>39</v>
      </c>
      <c r="V2508" s="2" t="s">
        <v>40</v>
      </c>
      <c r="W2508" s="2" t="s">
        <v>11588</v>
      </c>
      <c r="X2508" s="2"/>
      <c r="Y2508" s="2"/>
      <c r="Z2508" s="2"/>
      <c r="AA2508" s="2" t="s">
        <v>72</v>
      </c>
      <c r="AB2508" s="2" t="s">
        <v>545</v>
      </c>
      <c r="AC2508" s="4" t="s">
        <v>44</v>
      </c>
    </row>
    <row r="2509" spans="1:29" x14ac:dyDescent="0.25">
      <c r="A2509" s="1">
        <v>606</v>
      </c>
      <c r="B2509" s="17" t="s">
        <v>11589</v>
      </c>
      <c r="C2509" s="2" t="s">
        <v>11590</v>
      </c>
      <c r="D2509" s="15" t="s">
        <v>8362</v>
      </c>
      <c r="E2509" s="9" t="s">
        <v>348</v>
      </c>
      <c r="F2509" s="9" t="s">
        <v>2233</v>
      </c>
      <c r="G2509" s="9" t="s">
        <v>172</v>
      </c>
      <c r="H2509" s="2" t="s">
        <v>60</v>
      </c>
      <c r="I2509" s="3">
        <v>36709</v>
      </c>
      <c r="J2509" s="9" t="str">
        <f t="shared" ca="1" si="41"/>
        <v>23 ans</v>
      </c>
      <c r="K2509" s="2" t="s">
        <v>68</v>
      </c>
      <c r="L2509" s="2" t="str">
        <f>"601"</f>
        <v>601</v>
      </c>
      <c r="M2509" s="2"/>
      <c r="N2509" s="2" t="str">
        <f>"RUE DES BESANTS"</f>
        <v>RUE DES BESANTS</v>
      </c>
      <c r="O2509" s="2" t="s">
        <v>11249</v>
      </c>
      <c r="P2509" s="9" t="str">
        <f>VLOOKUP($O2509,'Liste des Villes'!$B$2:$B$1128,1,FALSE)</f>
        <v>Sainte-Adèle</v>
      </c>
      <c r="Q2509" s="9" t="str">
        <f>IFERROR($P2509,PROPER(VLOOKUP($O2509,'Villes en erreur'!$A$2:$B$72,2,FALSE)))</f>
        <v>Sainte-Adèle</v>
      </c>
      <c r="R2509" s="9" t="s">
        <v>11250</v>
      </c>
      <c r="S2509" s="9" t="str">
        <f>IF(ISBLANK($R2509),"",VLOOKUP($R2509,'Liste des Villes'!$B$2:$H$1128,4,FALSE))</f>
        <v>Laurentides</v>
      </c>
      <c r="T2509" s="2" t="s">
        <v>11591</v>
      </c>
      <c r="U2509" s="2" t="s">
        <v>39</v>
      </c>
      <c r="V2509" s="2" t="s">
        <v>40</v>
      </c>
      <c r="W2509" s="2" t="s">
        <v>11592</v>
      </c>
      <c r="X2509" s="2"/>
      <c r="Y2509" s="2"/>
      <c r="Z2509" s="2"/>
      <c r="AA2509" s="2" t="s">
        <v>72</v>
      </c>
      <c r="AB2509" s="2" t="s">
        <v>545</v>
      </c>
      <c r="AC2509" s="4" t="s">
        <v>44</v>
      </c>
    </row>
    <row r="2510" spans="1:29" x14ac:dyDescent="0.25">
      <c r="A2510" s="1">
        <v>559</v>
      </c>
      <c r="B2510" s="17" t="s">
        <v>11593</v>
      </c>
      <c r="C2510" s="2" t="s">
        <v>3401</v>
      </c>
      <c r="D2510" s="15" t="s">
        <v>3402</v>
      </c>
      <c r="E2510" s="9" t="s">
        <v>277</v>
      </c>
      <c r="F2510" s="9" t="s">
        <v>11594</v>
      </c>
      <c r="G2510" s="9" t="s">
        <v>172</v>
      </c>
      <c r="H2510" s="2" t="s">
        <v>60</v>
      </c>
      <c r="I2510" s="3">
        <v>36703</v>
      </c>
      <c r="J2510" s="9" t="str">
        <f t="shared" ca="1" si="41"/>
        <v>23 ans</v>
      </c>
      <c r="K2510" s="2" t="s">
        <v>68</v>
      </c>
      <c r="L2510" s="2" t="str">
        <f>"598"</f>
        <v>598</v>
      </c>
      <c r="M2510" s="2"/>
      <c r="N2510" s="2" t="str">
        <f>"RUE DES ARTISANS"</f>
        <v>RUE DES ARTISANS</v>
      </c>
      <c r="O2510" s="2" t="s">
        <v>11249</v>
      </c>
      <c r="P2510" s="9" t="str">
        <f>VLOOKUP($O2510,'Liste des Villes'!$B$2:$B$1128,1,FALSE)</f>
        <v>Sainte-Adèle</v>
      </c>
      <c r="Q2510" s="9" t="str">
        <f>IFERROR($P2510,PROPER(VLOOKUP($O2510,'Villes en erreur'!$A$2:$B$72,2,FALSE)))</f>
        <v>Sainte-Adèle</v>
      </c>
      <c r="R2510" s="9" t="s">
        <v>11250</v>
      </c>
      <c r="S2510" s="9" t="str">
        <f>IF(ISBLANK($R2510),"",VLOOKUP($R2510,'Liste des Villes'!$B$2:$H$1128,4,FALSE))</f>
        <v>Laurentides</v>
      </c>
      <c r="T2510" s="2" t="s">
        <v>11435</v>
      </c>
      <c r="U2510" s="2" t="s">
        <v>39</v>
      </c>
      <c r="V2510" s="2" t="s">
        <v>40</v>
      </c>
      <c r="W2510" s="2" t="s">
        <v>11595</v>
      </c>
      <c r="X2510" s="2"/>
      <c r="Y2510" s="2"/>
      <c r="Z2510" s="2"/>
      <c r="AA2510" s="2" t="s">
        <v>72</v>
      </c>
      <c r="AB2510" s="2" t="s">
        <v>545</v>
      </c>
      <c r="AC2510" s="4" t="s">
        <v>44</v>
      </c>
    </row>
    <row r="2511" spans="1:29" x14ac:dyDescent="0.25">
      <c r="A2511" s="1">
        <v>2788</v>
      </c>
      <c r="B2511" s="17" t="s">
        <v>11596</v>
      </c>
      <c r="C2511" s="2" t="s">
        <v>10388</v>
      </c>
      <c r="D2511" s="15" t="s">
        <v>3142</v>
      </c>
      <c r="E2511" s="9" t="s">
        <v>5276</v>
      </c>
      <c r="F2511" s="9" t="s">
        <v>2422</v>
      </c>
      <c r="G2511" s="9" t="s">
        <v>5652</v>
      </c>
      <c r="H2511" s="2" t="s">
        <v>60</v>
      </c>
      <c r="I2511" s="3">
        <v>36723</v>
      </c>
      <c r="J2511" s="9" t="str">
        <f t="shared" ca="1" si="41"/>
        <v>23 ans</v>
      </c>
      <c r="K2511" s="2" t="s">
        <v>68</v>
      </c>
      <c r="L2511" s="2" t="str">
        <f>"618"</f>
        <v>618</v>
      </c>
      <c r="M2511" s="2"/>
      <c r="N2511" s="2" t="str">
        <f>"RUE DES BOUVREUILS"</f>
        <v>RUE DES BOUVREUILS</v>
      </c>
      <c r="O2511" s="2" t="s">
        <v>11249</v>
      </c>
      <c r="P2511" s="9" t="str">
        <f>VLOOKUP($O2511,'Liste des Villes'!$B$2:$B$1128,1,FALSE)</f>
        <v>Sainte-Adèle</v>
      </c>
      <c r="Q2511" s="9" t="str">
        <f>IFERROR($P2511,PROPER(VLOOKUP($O2511,'Villes en erreur'!$A$2:$B$72,2,FALSE)))</f>
        <v>Sainte-Adèle</v>
      </c>
      <c r="R2511" s="9" t="s">
        <v>11250</v>
      </c>
      <c r="S2511" s="9" t="str">
        <f>IF(ISBLANK($R2511),"",VLOOKUP($R2511,'Liste des Villes'!$B$2:$H$1128,4,FALSE))</f>
        <v>Laurentides</v>
      </c>
      <c r="T2511" s="2" t="s">
        <v>11597</v>
      </c>
      <c r="U2511" s="2" t="s">
        <v>39</v>
      </c>
      <c r="V2511" s="2" t="s">
        <v>40</v>
      </c>
      <c r="W2511" s="2" t="s">
        <v>11598</v>
      </c>
      <c r="X2511" s="2"/>
      <c r="Y2511" s="2"/>
      <c r="Z2511" s="2"/>
      <c r="AA2511" s="2" t="s">
        <v>72</v>
      </c>
      <c r="AB2511" s="2" t="s">
        <v>192</v>
      </c>
      <c r="AC2511" s="4" t="s">
        <v>44</v>
      </c>
    </row>
    <row r="2512" spans="1:29" x14ac:dyDescent="0.25">
      <c r="A2512" s="1">
        <v>4017</v>
      </c>
      <c r="B2512" s="17" t="s">
        <v>11599</v>
      </c>
      <c r="C2512" s="2" t="s">
        <v>7803</v>
      </c>
      <c r="D2512" s="15" t="s">
        <v>2474</v>
      </c>
      <c r="E2512" s="9" t="s">
        <v>7804</v>
      </c>
      <c r="F2512" s="9" t="s">
        <v>3553</v>
      </c>
      <c r="G2512" s="9" t="s">
        <v>3964</v>
      </c>
      <c r="H2512" s="2" t="s">
        <v>35</v>
      </c>
      <c r="I2512" s="3">
        <v>36746</v>
      </c>
      <c r="J2512" s="9" t="str">
        <f t="shared" ca="1" si="41"/>
        <v>23 ans</v>
      </c>
      <c r="K2512" s="2" t="s">
        <v>68</v>
      </c>
      <c r="L2512" s="2" t="str">
        <f>"654"</f>
        <v>654</v>
      </c>
      <c r="M2512" s="2"/>
      <c r="N2512" s="2" t="str">
        <f>"RUE DES CHUTES-WILSON"</f>
        <v>RUE DES CHUTES-WILSON</v>
      </c>
      <c r="O2512" s="2" t="s">
        <v>11249</v>
      </c>
      <c r="P2512" s="9" t="str">
        <f>VLOOKUP($O2512,'Liste des Villes'!$B$2:$B$1128,1,FALSE)</f>
        <v>Sainte-Adèle</v>
      </c>
      <c r="Q2512" s="9" t="str">
        <f>IFERROR($P2512,PROPER(VLOOKUP($O2512,'Villes en erreur'!$A$2:$B$72,2,FALSE)))</f>
        <v>Sainte-Adèle</v>
      </c>
      <c r="R2512" s="9" t="s">
        <v>11250</v>
      </c>
      <c r="S2512" s="9" t="str">
        <f>IF(ISBLANK($R2512),"",VLOOKUP($R2512,'Liste des Villes'!$B$2:$H$1128,4,FALSE))</f>
        <v>Laurentides</v>
      </c>
      <c r="T2512" s="2" t="s">
        <v>11489</v>
      </c>
      <c r="U2512" s="2" t="s">
        <v>39</v>
      </c>
      <c r="V2512" s="2" t="s">
        <v>40</v>
      </c>
      <c r="W2512" s="2" t="s">
        <v>11600</v>
      </c>
      <c r="X2512" s="2"/>
      <c r="Y2512" s="2"/>
      <c r="Z2512" s="2"/>
      <c r="AA2512" s="2" t="s">
        <v>72</v>
      </c>
      <c r="AB2512" s="2" t="s">
        <v>192</v>
      </c>
      <c r="AC2512" s="4" t="s">
        <v>44</v>
      </c>
    </row>
    <row r="2513" spans="1:29" x14ac:dyDescent="0.25">
      <c r="A2513" s="1">
        <v>1414</v>
      </c>
      <c r="B2513" s="17" t="s">
        <v>11601</v>
      </c>
      <c r="C2513" s="2" t="s">
        <v>11602</v>
      </c>
      <c r="D2513" s="15" t="s">
        <v>11603</v>
      </c>
      <c r="E2513" s="9" t="s">
        <v>3485</v>
      </c>
      <c r="F2513" s="9" t="s">
        <v>5709</v>
      </c>
      <c r="G2513" s="9" t="s">
        <v>1295</v>
      </c>
      <c r="H2513" s="2" t="s">
        <v>60</v>
      </c>
      <c r="I2513" s="3">
        <v>36758</v>
      </c>
      <c r="J2513" s="9" t="str">
        <f t="shared" ca="1" si="41"/>
        <v>23 ans</v>
      </c>
      <c r="K2513" s="2" t="s">
        <v>68</v>
      </c>
      <c r="L2513" s="2" t="str">
        <f>"664"</f>
        <v>664</v>
      </c>
      <c r="M2513" s="2"/>
      <c r="N2513" s="2" t="str">
        <f>"RUE DES DENIERS"</f>
        <v>RUE DES DENIERS</v>
      </c>
      <c r="O2513" s="2" t="s">
        <v>11249</v>
      </c>
      <c r="P2513" s="9" t="str">
        <f>VLOOKUP($O2513,'Liste des Villes'!$B$2:$B$1128,1,FALSE)</f>
        <v>Sainte-Adèle</v>
      </c>
      <c r="Q2513" s="9" t="str">
        <f>IFERROR($P2513,PROPER(VLOOKUP($O2513,'Villes en erreur'!$A$2:$B$72,2,FALSE)))</f>
        <v>Sainte-Adèle</v>
      </c>
      <c r="R2513" s="9" t="s">
        <v>11250</v>
      </c>
      <c r="S2513" s="9" t="str">
        <f>IF(ISBLANK($R2513),"",VLOOKUP($R2513,'Liste des Villes'!$B$2:$H$1128,4,FALSE))</f>
        <v>Laurentides</v>
      </c>
      <c r="T2513" s="2" t="s">
        <v>11604</v>
      </c>
      <c r="U2513" s="2" t="s">
        <v>39</v>
      </c>
      <c r="V2513" s="2" t="s">
        <v>40</v>
      </c>
      <c r="W2513" s="2" t="s">
        <v>11605</v>
      </c>
      <c r="X2513" s="2"/>
      <c r="Y2513" s="2"/>
      <c r="Z2513" s="2"/>
      <c r="AA2513" s="2" t="s">
        <v>72</v>
      </c>
      <c r="AB2513" s="2" t="s">
        <v>192</v>
      </c>
      <c r="AC2513" s="4" t="s">
        <v>44</v>
      </c>
    </row>
    <row r="2514" spans="1:29" x14ac:dyDescent="0.25">
      <c r="A2514" s="1">
        <v>3235</v>
      </c>
      <c r="B2514" s="17" t="s">
        <v>11606</v>
      </c>
      <c r="C2514" s="2" t="s">
        <v>11607</v>
      </c>
      <c r="D2514" s="15" t="s">
        <v>1964</v>
      </c>
      <c r="E2514" s="9" t="s">
        <v>5379</v>
      </c>
      <c r="F2514" s="9" t="s">
        <v>11608</v>
      </c>
      <c r="G2514" s="9" t="s">
        <v>6869</v>
      </c>
      <c r="H2514" s="2" t="s">
        <v>60</v>
      </c>
      <c r="I2514" s="3">
        <v>36744</v>
      </c>
      <c r="J2514" s="9" t="str">
        <f t="shared" ca="1" si="41"/>
        <v>23 ans</v>
      </c>
      <c r="K2514" s="2" t="s">
        <v>68</v>
      </c>
      <c r="L2514" s="2" t="str">
        <f>"651"</f>
        <v>651</v>
      </c>
      <c r="M2514" s="2"/>
      <c r="N2514" s="2" t="str">
        <f>"RUE DES CHEVALIERS"</f>
        <v>RUE DES CHEVALIERS</v>
      </c>
      <c r="O2514" s="2" t="s">
        <v>11249</v>
      </c>
      <c r="P2514" s="9" t="str">
        <f>VLOOKUP($O2514,'Liste des Villes'!$B$2:$B$1128,1,FALSE)</f>
        <v>Sainte-Adèle</v>
      </c>
      <c r="Q2514" s="9" t="str">
        <f>IFERROR($P2514,PROPER(VLOOKUP($O2514,'Villes en erreur'!$A$2:$B$72,2,FALSE)))</f>
        <v>Sainte-Adèle</v>
      </c>
      <c r="R2514" s="9" t="s">
        <v>11250</v>
      </c>
      <c r="S2514" s="9" t="str">
        <f>IF(ISBLANK($R2514),"",VLOOKUP($R2514,'Liste des Villes'!$B$2:$H$1128,4,FALSE))</f>
        <v>Laurentides</v>
      </c>
      <c r="T2514" s="2" t="s">
        <v>11548</v>
      </c>
      <c r="U2514" s="2" t="s">
        <v>39</v>
      </c>
      <c r="V2514" s="2" t="s">
        <v>40</v>
      </c>
      <c r="W2514" s="2" t="s">
        <v>11609</v>
      </c>
      <c r="X2514" s="2"/>
      <c r="Y2514" s="2"/>
      <c r="Z2514" s="2"/>
      <c r="AA2514" s="2" t="s">
        <v>72</v>
      </c>
      <c r="AB2514" s="2" t="s">
        <v>192</v>
      </c>
      <c r="AC2514" s="4" t="s">
        <v>44</v>
      </c>
    </row>
    <row r="2515" spans="1:29" x14ac:dyDescent="0.25">
      <c r="A2515" s="1">
        <v>2914</v>
      </c>
      <c r="B2515" s="17" t="s">
        <v>11610</v>
      </c>
      <c r="C2515" s="2" t="s">
        <v>11611</v>
      </c>
      <c r="D2515" s="15" t="s">
        <v>5521</v>
      </c>
      <c r="E2515" s="9" t="s">
        <v>11612</v>
      </c>
      <c r="F2515" s="9" t="s">
        <v>5520</v>
      </c>
      <c r="G2515" s="9" t="s">
        <v>6958</v>
      </c>
      <c r="H2515" s="2" t="s">
        <v>35</v>
      </c>
      <c r="I2515" s="3">
        <v>36734</v>
      </c>
      <c r="J2515" s="9" t="str">
        <f t="shared" ca="1" si="41"/>
        <v>23 ans</v>
      </c>
      <c r="K2515" s="2" t="s">
        <v>68</v>
      </c>
      <c r="L2515" s="2" t="str">
        <f>"632"</f>
        <v>632</v>
      </c>
      <c r="M2515" s="2"/>
      <c r="N2515" s="2" t="str">
        <f>"RUE DES CÈDRES"</f>
        <v>RUE DES CÈDRES</v>
      </c>
      <c r="O2515" s="2" t="s">
        <v>11249</v>
      </c>
      <c r="P2515" s="9" t="str">
        <f>VLOOKUP($O2515,'Liste des Villes'!$B$2:$B$1128,1,FALSE)</f>
        <v>Sainte-Adèle</v>
      </c>
      <c r="Q2515" s="9" t="str">
        <f>IFERROR($P2515,PROPER(VLOOKUP($O2515,'Villes en erreur'!$A$2:$B$72,2,FALSE)))</f>
        <v>Sainte-Adèle</v>
      </c>
      <c r="R2515" s="9" t="s">
        <v>11250</v>
      </c>
      <c r="S2515" s="9" t="str">
        <f>IF(ISBLANK($R2515),"",VLOOKUP($R2515,'Liste des Villes'!$B$2:$H$1128,4,FALSE))</f>
        <v>Laurentides</v>
      </c>
      <c r="T2515" s="2" t="s">
        <v>11469</v>
      </c>
      <c r="U2515" s="2" t="s">
        <v>39</v>
      </c>
      <c r="V2515" s="2" t="s">
        <v>40</v>
      </c>
      <c r="W2515" s="2" t="s">
        <v>11613</v>
      </c>
      <c r="X2515" s="2"/>
      <c r="Y2515" s="2"/>
      <c r="Z2515" s="2"/>
      <c r="AA2515" s="2" t="s">
        <v>72</v>
      </c>
      <c r="AB2515" s="2" t="s">
        <v>192</v>
      </c>
      <c r="AC2515" s="4" t="s">
        <v>44</v>
      </c>
    </row>
    <row r="2516" spans="1:29" x14ac:dyDescent="0.25">
      <c r="A2516" s="1">
        <v>1557</v>
      </c>
      <c r="B2516" s="17" t="s">
        <v>11614</v>
      </c>
      <c r="C2516" s="2" t="s">
        <v>11615</v>
      </c>
      <c r="D2516" s="15" t="s">
        <v>611</v>
      </c>
      <c r="E2516" s="9" t="s">
        <v>3218</v>
      </c>
      <c r="F2516" s="9" t="s">
        <v>609</v>
      </c>
      <c r="G2516" s="9" t="s">
        <v>11616</v>
      </c>
      <c r="H2516" s="2" t="s">
        <v>35</v>
      </c>
      <c r="I2516" s="3">
        <v>36744</v>
      </c>
      <c r="J2516" s="9" t="str">
        <f t="shared" ca="1" si="41"/>
        <v>23 ans</v>
      </c>
      <c r="K2516" s="2" t="s">
        <v>68</v>
      </c>
      <c r="L2516" s="2" t="str">
        <f>"650"</f>
        <v>650</v>
      </c>
      <c r="M2516" s="2"/>
      <c r="N2516" s="2" t="str">
        <f>"RUE DES CHÊNES"</f>
        <v>RUE DES CHÊNES</v>
      </c>
      <c r="O2516" s="2" t="s">
        <v>11249</v>
      </c>
      <c r="P2516" s="9" t="str">
        <f>VLOOKUP($O2516,'Liste des Villes'!$B$2:$B$1128,1,FALSE)</f>
        <v>Sainte-Adèle</v>
      </c>
      <c r="Q2516" s="9" t="str">
        <f>IFERROR($P2516,PROPER(VLOOKUP($O2516,'Villes en erreur'!$A$2:$B$72,2,FALSE)))</f>
        <v>Sainte-Adèle</v>
      </c>
      <c r="R2516" s="9" t="s">
        <v>11250</v>
      </c>
      <c r="S2516" s="9" t="str">
        <f>IF(ISBLANK($R2516),"",VLOOKUP($R2516,'Liste des Villes'!$B$2:$H$1128,4,FALSE))</f>
        <v>Laurentides</v>
      </c>
      <c r="T2516" s="2" t="s">
        <v>11548</v>
      </c>
      <c r="U2516" s="2" t="s">
        <v>39</v>
      </c>
      <c r="V2516" s="2" t="s">
        <v>40</v>
      </c>
      <c r="W2516" s="2" t="s">
        <v>11617</v>
      </c>
      <c r="X2516" s="2"/>
      <c r="Y2516" s="2"/>
      <c r="Z2516" s="2"/>
      <c r="AA2516" s="2" t="s">
        <v>72</v>
      </c>
      <c r="AB2516" s="2" t="s">
        <v>192</v>
      </c>
      <c r="AC2516" s="4" t="s">
        <v>44</v>
      </c>
    </row>
    <row r="2517" spans="1:29" x14ac:dyDescent="0.25">
      <c r="A2517" s="1">
        <v>3458</v>
      </c>
      <c r="B2517" s="17" t="s">
        <v>11618</v>
      </c>
      <c r="C2517" s="2" t="s">
        <v>2009</v>
      </c>
      <c r="D2517" s="15" t="s">
        <v>1076</v>
      </c>
      <c r="E2517" s="9" t="s">
        <v>332</v>
      </c>
      <c r="F2517" s="9" t="s">
        <v>10810</v>
      </c>
      <c r="G2517" s="9" t="s">
        <v>1355</v>
      </c>
      <c r="H2517" s="2" t="s">
        <v>35</v>
      </c>
      <c r="I2517" s="3">
        <v>36735</v>
      </c>
      <c r="J2517" s="9" t="str">
        <f t="shared" ca="1" si="41"/>
        <v>23 ans</v>
      </c>
      <c r="K2517" s="2" t="s">
        <v>68</v>
      </c>
      <c r="L2517" s="2" t="str">
        <f>"638"</f>
        <v>638</v>
      </c>
      <c r="M2517" s="2"/>
      <c r="N2517" s="2" t="str">
        <f>"RUE DES CELTES"</f>
        <v>RUE DES CELTES</v>
      </c>
      <c r="O2517" s="2" t="s">
        <v>11249</v>
      </c>
      <c r="P2517" s="9" t="str">
        <f>VLOOKUP($O2517,'Liste des Villes'!$B$2:$B$1128,1,FALSE)</f>
        <v>Sainte-Adèle</v>
      </c>
      <c r="Q2517" s="9" t="str">
        <f>IFERROR($P2517,PROPER(VLOOKUP($O2517,'Villes en erreur'!$A$2:$B$72,2,FALSE)))</f>
        <v>Sainte-Adèle</v>
      </c>
      <c r="R2517" s="9" t="s">
        <v>11250</v>
      </c>
      <c r="S2517" s="9" t="str">
        <f>IF(ISBLANK($R2517),"",VLOOKUP($R2517,'Liste des Villes'!$B$2:$H$1128,4,FALSE))</f>
        <v>Laurentides</v>
      </c>
      <c r="T2517" s="2" t="s">
        <v>11619</v>
      </c>
      <c r="U2517" s="2" t="s">
        <v>39</v>
      </c>
      <c r="V2517" s="2" t="s">
        <v>40</v>
      </c>
      <c r="W2517" s="2" t="s">
        <v>11560</v>
      </c>
      <c r="X2517" s="2"/>
      <c r="Y2517" s="2"/>
      <c r="Z2517" s="2"/>
      <c r="AA2517" s="2" t="s">
        <v>72</v>
      </c>
      <c r="AB2517" s="2" t="s">
        <v>192</v>
      </c>
      <c r="AC2517" s="4" t="s">
        <v>44</v>
      </c>
    </row>
    <row r="2518" spans="1:29" x14ac:dyDescent="0.25">
      <c r="A2518" s="1">
        <v>3799</v>
      </c>
      <c r="B2518" s="17" t="s">
        <v>11620</v>
      </c>
      <c r="C2518" s="2" t="s">
        <v>11621</v>
      </c>
      <c r="D2518" s="15" t="s">
        <v>1169</v>
      </c>
      <c r="E2518" s="9" t="s">
        <v>3240</v>
      </c>
      <c r="F2518" s="9" t="s">
        <v>1167</v>
      </c>
      <c r="G2518" s="9" t="s">
        <v>1355</v>
      </c>
      <c r="H2518" s="2" t="s">
        <v>35</v>
      </c>
      <c r="I2518" s="3">
        <v>36734</v>
      </c>
      <c r="J2518" s="9" t="str">
        <f t="shared" ca="1" si="41"/>
        <v>23 ans</v>
      </c>
      <c r="K2518" s="2" t="s">
        <v>68</v>
      </c>
      <c r="L2518" s="2" t="str">
        <f>"634"</f>
        <v>634</v>
      </c>
      <c r="M2518" s="2"/>
      <c r="N2518" s="2" t="str">
        <f>"RUE DES CÈDRES"</f>
        <v>RUE DES CÈDRES</v>
      </c>
      <c r="O2518" s="2" t="s">
        <v>11249</v>
      </c>
      <c r="P2518" s="9" t="str">
        <f>VLOOKUP($O2518,'Liste des Villes'!$B$2:$B$1128,1,FALSE)</f>
        <v>Sainte-Adèle</v>
      </c>
      <c r="Q2518" s="9" t="str">
        <f>IFERROR($P2518,PROPER(VLOOKUP($O2518,'Villes en erreur'!$A$2:$B$72,2,FALSE)))</f>
        <v>Sainte-Adèle</v>
      </c>
      <c r="R2518" s="9" t="s">
        <v>11250</v>
      </c>
      <c r="S2518" s="9" t="str">
        <f>IF(ISBLANK($R2518),"",VLOOKUP($R2518,'Liste des Villes'!$B$2:$H$1128,4,FALSE))</f>
        <v>Laurentides</v>
      </c>
      <c r="T2518" s="2" t="s">
        <v>11320</v>
      </c>
      <c r="U2518" s="2" t="s">
        <v>39</v>
      </c>
      <c r="V2518" s="2" t="s">
        <v>40</v>
      </c>
      <c r="W2518" s="2" t="s">
        <v>11622</v>
      </c>
      <c r="X2518" s="2"/>
      <c r="Y2518" s="2"/>
      <c r="Z2518" s="2"/>
      <c r="AA2518" s="2" t="s">
        <v>72</v>
      </c>
      <c r="AB2518" s="2" t="s">
        <v>192</v>
      </c>
      <c r="AC2518" s="4" t="s">
        <v>44</v>
      </c>
    </row>
    <row r="2519" spans="1:29" x14ac:dyDescent="0.25">
      <c r="A2519" s="1">
        <v>430</v>
      </c>
      <c r="B2519" s="17" t="s">
        <v>11623</v>
      </c>
      <c r="C2519" s="2" t="s">
        <v>7535</v>
      </c>
      <c r="D2519" s="15" t="s">
        <v>1367</v>
      </c>
      <c r="E2519" s="9" t="s">
        <v>643</v>
      </c>
      <c r="F2519" s="9" t="s">
        <v>1366</v>
      </c>
      <c r="G2519" s="9" t="s">
        <v>1355</v>
      </c>
      <c r="H2519" s="2" t="s">
        <v>35</v>
      </c>
      <c r="I2519" s="3">
        <v>36740</v>
      </c>
      <c r="J2519" s="9" t="str">
        <f t="shared" ca="1" si="41"/>
        <v>23 ans</v>
      </c>
      <c r="K2519" s="2" t="s">
        <v>68</v>
      </c>
      <c r="L2519" s="2" t="str">
        <f>"645"</f>
        <v>645</v>
      </c>
      <c r="M2519" s="2"/>
      <c r="N2519" s="2" t="str">
        <f>"RUE DES CHARDONS"</f>
        <v>RUE DES CHARDONS</v>
      </c>
      <c r="O2519" s="2" t="s">
        <v>11249</v>
      </c>
      <c r="P2519" s="9" t="str">
        <f>VLOOKUP($O2519,'Liste des Villes'!$B$2:$B$1128,1,FALSE)</f>
        <v>Sainte-Adèle</v>
      </c>
      <c r="Q2519" s="9" t="str">
        <f>IFERROR($P2519,PROPER(VLOOKUP($O2519,'Villes en erreur'!$A$2:$B$72,2,FALSE)))</f>
        <v>Sainte-Adèle</v>
      </c>
      <c r="R2519" s="9" t="s">
        <v>11250</v>
      </c>
      <c r="S2519" s="9" t="str">
        <f>IF(ISBLANK($R2519),"",VLOOKUP($R2519,'Liste des Villes'!$B$2:$H$1128,4,FALSE))</f>
        <v>Laurentides</v>
      </c>
      <c r="T2519" s="2" t="s">
        <v>11624</v>
      </c>
      <c r="U2519" s="2" t="s">
        <v>39</v>
      </c>
      <c r="V2519" s="2" t="s">
        <v>40</v>
      </c>
      <c r="W2519" s="2" t="s">
        <v>11625</v>
      </c>
      <c r="X2519" s="2"/>
      <c r="Y2519" s="2"/>
      <c r="Z2519" s="2"/>
      <c r="AA2519" s="2" t="s">
        <v>72</v>
      </c>
      <c r="AB2519" s="2" t="s">
        <v>192</v>
      </c>
      <c r="AC2519" s="4" t="s">
        <v>44</v>
      </c>
    </row>
    <row r="2520" spans="1:29" x14ac:dyDescent="0.25">
      <c r="A2520" s="1">
        <v>2765</v>
      </c>
      <c r="B2520" s="17" t="s">
        <v>11626</v>
      </c>
      <c r="C2520" s="2" t="s">
        <v>11627</v>
      </c>
      <c r="D2520" s="15" t="s">
        <v>9902</v>
      </c>
      <c r="E2520" s="9" t="s">
        <v>5276</v>
      </c>
      <c r="F2520" s="9" t="s">
        <v>4066</v>
      </c>
      <c r="G2520" s="9" t="s">
        <v>172</v>
      </c>
      <c r="H2520" s="2" t="s">
        <v>60</v>
      </c>
      <c r="I2520" s="3">
        <v>36712</v>
      </c>
      <c r="J2520" s="9" t="str">
        <f t="shared" ca="1" si="41"/>
        <v>23 ans</v>
      </c>
      <c r="K2520" s="2" t="s">
        <v>68</v>
      </c>
      <c r="L2520" s="2" t="str">
        <f>"604"</f>
        <v>604</v>
      </c>
      <c r="M2520" s="2"/>
      <c r="N2520" s="2" t="str">
        <f>"RUE DES BOIS FRANCS"</f>
        <v>RUE DES BOIS FRANCS</v>
      </c>
      <c r="O2520" s="2" t="s">
        <v>11249</v>
      </c>
      <c r="P2520" s="9" t="str">
        <f>VLOOKUP($O2520,'Liste des Villes'!$B$2:$B$1128,1,FALSE)</f>
        <v>Sainte-Adèle</v>
      </c>
      <c r="Q2520" s="9" t="str">
        <f>IFERROR($P2520,PROPER(VLOOKUP($O2520,'Villes en erreur'!$A$2:$B$72,2,FALSE)))</f>
        <v>Sainte-Adèle</v>
      </c>
      <c r="R2520" s="9" t="s">
        <v>11250</v>
      </c>
      <c r="S2520" s="9" t="str">
        <f>IF(ISBLANK($R2520),"",VLOOKUP($R2520,'Liste des Villes'!$B$2:$H$1128,4,FALSE))</f>
        <v>Laurentides</v>
      </c>
      <c r="T2520" s="2" t="s">
        <v>11628</v>
      </c>
      <c r="U2520" s="2" t="s">
        <v>39</v>
      </c>
      <c r="V2520" s="2" t="s">
        <v>40</v>
      </c>
      <c r="W2520" s="2" t="s">
        <v>11629</v>
      </c>
      <c r="X2520" s="2"/>
      <c r="Y2520" s="2"/>
      <c r="Z2520" s="2"/>
      <c r="AA2520" s="2" t="s">
        <v>72</v>
      </c>
      <c r="AB2520" s="2" t="s">
        <v>545</v>
      </c>
      <c r="AC2520" s="4" t="s">
        <v>44</v>
      </c>
    </row>
    <row r="2521" spans="1:29" x14ac:dyDescent="0.25">
      <c r="A2521" s="1">
        <v>3732</v>
      </c>
      <c r="B2521" s="17" t="s">
        <v>11630</v>
      </c>
      <c r="C2521" s="2" t="s">
        <v>8379</v>
      </c>
      <c r="D2521" s="15" t="s">
        <v>8380</v>
      </c>
      <c r="E2521" s="9" t="s">
        <v>389</v>
      </c>
      <c r="F2521" s="9" t="s">
        <v>11631</v>
      </c>
      <c r="G2521" s="9" t="s">
        <v>1355</v>
      </c>
      <c r="H2521" s="2" t="s">
        <v>35</v>
      </c>
      <c r="I2521" s="3">
        <v>36734</v>
      </c>
      <c r="J2521" s="9" t="str">
        <f t="shared" ca="1" si="41"/>
        <v>23 ans</v>
      </c>
      <c r="K2521" s="2" t="s">
        <v>68</v>
      </c>
      <c r="L2521" s="2" t="str">
        <f>"635"</f>
        <v>635</v>
      </c>
      <c r="M2521" s="2"/>
      <c r="N2521" s="2" t="str">
        <f>"RUE DES CÈDRES"</f>
        <v>RUE DES CÈDRES</v>
      </c>
      <c r="O2521" s="2" t="s">
        <v>11249</v>
      </c>
      <c r="P2521" s="9" t="str">
        <f>VLOOKUP($O2521,'Liste des Villes'!$B$2:$B$1128,1,FALSE)</f>
        <v>Sainte-Adèle</v>
      </c>
      <c r="Q2521" s="9" t="str">
        <f>IFERROR($P2521,PROPER(VLOOKUP($O2521,'Villes en erreur'!$A$2:$B$72,2,FALSE)))</f>
        <v>Sainte-Adèle</v>
      </c>
      <c r="R2521" s="9" t="s">
        <v>11250</v>
      </c>
      <c r="S2521" s="9" t="str">
        <f>IF(ISBLANK($R2521),"",VLOOKUP($R2521,'Liste des Villes'!$B$2:$H$1128,4,FALSE))</f>
        <v>Laurentides</v>
      </c>
      <c r="T2521" s="2" t="s">
        <v>11632</v>
      </c>
      <c r="U2521" s="2" t="s">
        <v>39</v>
      </c>
      <c r="V2521" s="2" t="s">
        <v>40</v>
      </c>
      <c r="W2521" s="2" t="s">
        <v>11633</v>
      </c>
      <c r="X2521" s="2"/>
      <c r="Y2521" s="2"/>
      <c r="Z2521" s="2"/>
      <c r="AA2521" s="2" t="s">
        <v>72</v>
      </c>
      <c r="AB2521" s="2" t="s">
        <v>192</v>
      </c>
      <c r="AC2521" s="4" t="s">
        <v>44</v>
      </c>
    </row>
    <row r="2522" spans="1:29" x14ac:dyDescent="0.25">
      <c r="A2522" s="1">
        <v>1985</v>
      </c>
      <c r="B2522" s="17" t="s">
        <v>11634</v>
      </c>
      <c r="C2522" s="2" t="s">
        <v>2759</v>
      </c>
      <c r="D2522" s="15" t="s">
        <v>2693</v>
      </c>
      <c r="E2522" s="9" t="s">
        <v>781</v>
      </c>
      <c r="F2522" s="9" t="s">
        <v>782</v>
      </c>
      <c r="G2522" s="9" t="s">
        <v>172</v>
      </c>
      <c r="H2522" s="2" t="s">
        <v>60</v>
      </c>
      <c r="I2522" s="3">
        <v>36709</v>
      </c>
      <c r="J2522" s="9" t="str">
        <f t="shared" ca="1" si="41"/>
        <v>23 ans</v>
      </c>
      <c r="K2522" s="2" t="s">
        <v>68</v>
      </c>
      <c r="L2522" s="2" t="str">
        <f>"602"</f>
        <v>602</v>
      </c>
      <c r="M2522" s="2"/>
      <c r="N2522" s="2" t="str">
        <f>"RUE DES BLEUETS"</f>
        <v>RUE DES BLEUETS</v>
      </c>
      <c r="O2522" s="2" t="s">
        <v>11249</v>
      </c>
      <c r="P2522" s="9" t="str">
        <f>VLOOKUP($O2522,'Liste des Villes'!$B$2:$B$1128,1,FALSE)</f>
        <v>Sainte-Adèle</v>
      </c>
      <c r="Q2522" s="9" t="str">
        <f>IFERROR($P2522,PROPER(VLOOKUP($O2522,'Villes en erreur'!$A$2:$B$72,2,FALSE)))</f>
        <v>Sainte-Adèle</v>
      </c>
      <c r="R2522" s="9" t="s">
        <v>11250</v>
      </c>
      <c r="S2522" s="9" t="str">
        <f>IF(ISBLANK($R2522),"",VLOOKUP($R2522,'Liste des Villes'!$B$2:$H$1128,4,FALSE))</f>
        <v>Laurentides</v>
      </c>
      <c r="T2522" s="2" t="s">
        <v>11306</v>
      </c>
      <c r="U2522" s="2" t="s">
        <v>39</v>
      </c>
      <c r="V2522" s="2" t="s">
        <v>40</v>
      </c>
      <c r="W2522" s="2" t="s">
        <v>11635</v>
      </c>
      <c r="X2522" s="2"/>
      <c r="Y2522" s="2"/>
      <c r="Z2522" s="2"/>
      <c r="AA2522" s="2" t="s">
        <v>72</v>
      </c>
      <c r="AB2522" s="2" t="s">
        <v>545</v>
      </c>
      <c r="AC2522" s="4" t="s">
        <v>44</v>
      </c>
    </row>
    <row r="2523" spans="1:29" x14ac:dyDescent="0.25">
      <c r="A2523" s="1">
        <v>2542</v>
      </c>
      <c r="B2523" s="17" t="s">
        <v>11636</v>
      </c>
      <c r="C2523" s="2" t="s">
        <v>11637</v>
      </c>
      <c r="D2523" s="15" t="s">
        <v>11638</v>
      </c>
      <c r="E2523" s="9" t="s">
        <v>3218</v>
      </c>
      <c r="F2523" s="9" t="s">
        <v>2187</v>
      </c>
      <c r="G2523" s="9" t="s">
        <v>1355</v>
      </c>
      <c r="H2523" s="2" t="s">
        <v>35</v>
      </c>
      <c r="I2523" s="3">
        <v>36739</v>
      </c>
      <c r="J2523" s="9" t="str">
        <f t="shared" ca="1" si="41"/>
        <v>23 ans</v>
      </c>
      <c r="K2523" s="2" t="s">
        <v>68</v>
      </c>
      <c r="L2523" s="2" t="str">
        <f>"644"</f>
        <v>644</v>
      </c>
      <c r="M2523" s="2"/>
      <c r="N2523" s="2" t="str">
        <f>"RUE DES CHARDONNERETS"</f>
        <v>RUE DES CHARDONNERETS</v>
      </c>
      <c r="O2523" s="2" t="s">
        <v>11249</v>
      </c>
      <c r="P2523" s="9" t="str">
        <f>VLOOKUP($O2523,'Liste des Villes'!$B$2:$B$1128,1,FALSE)</f>
        <v>Sainte-Adèle</v>
      </c>
      <c r="Q2523" s="9" t="str">
        <f>IFERROR($P2523,PROPER(VLOOKUP($O2523,'Villes en erreur'!$A$2:$B$72,2,FALSE)))</f>
        <v>Sainte-Adèle</v>
      </c>
      <c r="R2523" s="9" t="s">
        <v>11250</v>
      </c>
      <c r="S2523" s="9" t="str">
        <f>IF(ISBLANK($R2523),"",VLOOKUP($R2523,'Liste des Villes'!$B$2:$H$1128,4,FALSE))</f>
        <v>Laurentides</v>
      </c>
      <c r="T2523" s="2" t="s">
        <v>11624</v>
      </c>
      <c r="U2523" s="2" t="s">
        <v>39</v>
      </c>
      <c r="V2523" s="2" t="s">
        <v>40</v>
      </c>
      <c r="W2523" s="2" t="s">
        <v>11639</v>
      </c>
      <c r="X2523" s="2"/>
      <c r="Y2523" s="2"/>
      <c r="Z2523" s="2"/>
      <c r="AA2523" s="2" t="s">
        <v>72</v>
      </c>
      <c r="AB2523" s="2" t="s">
        <v>192</v>
      </c>
      <c r="AC2523" s="4" t="s">
        <v>44</v>
      </c>
    </row>
    <row r="2524" spans="1:29" x14ac:dyDescent="0.25">
      <c r="A2524" s="1">
        <v>839</v>
      </c>
      <c r="B2524" s="17" t="s">
        <v>11640</v>
      </c>
      <c r="C2524" s="2" t="s">
        <v>6534</v>
      </c>
      <c r="D2524" s="15" t="s">
        <v>2181</v>
      </c>
      <c r="E2524" s="9" t="s">
        <v>303</v>
      </c>
      <c r="F2524" s="9" t="s">
        <v>304</v>
      </c>
      <c r="G2524" s="9" t="s">
        <v>1984</v>
      </c>
      <c r="H2524" s="2" t="s">
        <v>60</v>
      </c>
      <c r="I2524" s="3">
        <v>36742</v>
      </c>
      <c r="J2524" s="9" t="str">
        <f t="shared" ca="1" si="41"/>
        <v>23 ans</v>
      </c>
      <c r="K2524" s="2" t="s">
        <v>68</v>
      </c>
      <c r="L2524" s="2" t="str">
        <f>"647"</f>
        <v>647</v>
      </c>
      <c r="M2524" s="2"/>
      <c r="N2524" s="2" t="str">
        <f>"RUE DES CHÊNES"</f>
        <v>RUE DES CHÊNES</v>
      </c>
      <c r="O2524" s="2" t="s">
        <v>11249</v>
      </c>
      <c r="P2524" s="9" t="str">
        <f>VLOOKUP($O2524,'Liste des Villes'!$B$2:$B$1128,1,FALSE)</f>
        <v>Sainte-Adèle</v>
      </c>
      <c r="Q2524" s="9" t="str">
        <f>IFERROR($P2524,PROPER(VLOOKUP($O2524,'Villes en erreur'!$A$2:$B$72,2,FALSE)))</f>
        <v>Sainte-Adèle</v>
      </c>
      <c r="R2524" s="9" t="s">
        <v>11250</v>
      </c>
      <c r="S2524" s="9" t="str">
        <f>IF(ISBLANK($R2524),"",VLOOKUP($R2524,'Liste des Villes'!$B$2:$H$1128,4,FALSE))</f>
        <v>Laurentides</v>
      </c>
      <c r="T2524" s="2" t="s">
        <v>11475</v>
      </c>
      <c r="U2524" s="2" t="s">
        <v>39</v>
      </c>
      <c r="V2524" s="2" t="s">
        <v>40</v>
      </c>
      <c r="W2524" s="2" t="s">
        <v>11641</v>
      </c>
      <c r="X2524" s="2"/>
      <c r="Y2524" s="2"/>
      <c r="Z2524" s="2"/>
      <c r="AA2524" s="2" t="s">
        <v>72</v>
      </c>
      <c r="AB2524" s="2" t="s">
        <v>192</v>
      </c>
      <c r="AC2524" s="4" t="s">
        <v>44</v>
      </c>
    </row>
    <row r="2525" spans="1:29" x14ac:dyDescent="0.25">
      <c r="A2525" s="1">
        <v>3626</v>
      </c>
      <c r="B2525" s="17" t="s">
        <v>11642</v>
      </c>
      <c r="C2525" s="2" t="s">
        <v>2795</v>
      </c>
      <c r="D2525" s="15" t="s">
        <v>1592</v>
      </c>
      <c r="E2525" s="9" t="s">
        <v>2796</v>
      </c>
      <c r="F2525" s="9" t="s">
        <v>11643</v>
      </c>
      <c r="G2525" s="9" t="s">
        <v>4667</v>
      </c>
      <c r="H2525" s="2" t="s">
        <v>35</v>
      </c>
      <c r="I2525" s="3">
        <v>36720</v>
      </c>
      <c r="J2525" s="9" t="str">
        <f t="shared" ca="1" si="41"/>
        <v>23 ans</v>
      </c>
      <c r="K2525" s="2" t="s">
        <v>68</v>
      </c>
      <c r="L2525" s="2" t="str">
        <f>"614"</f>
        <v>614</v>
      </c>
      <c r="M2525" s="2"/>
      <c r="N2525" s="2" t="str">
        <f>"RUE DES BOULEAUX"</f>
        <v>RUE DES BOULEAUX</v>
      </c>
      <c r="O2525" s="2" t="s">
        <v>11249</v>
      </c>
      <c r="P2525" s="9" t="str">
        <f>VLOOKUP($O2525,'Liste des Villes'!$B$2:$B$1128,1,FALSE)</f>
        <v>Sainte-Adèle</v>
      </c>
      <c r="Q2525" s="9" t="str">
        <f>IFERROR($P2525,PROPER(VLOOKUP($O2525,'Villes en erreur'!$A$2:$B$72,2,FALSE)))</f>
        <v>Sainte-Adèle</v>
      </c>
      <c r="R2525" s="9" t="s">
        <v>11250</v>
      </c>
      <c r="S2525" s="9" t="str">
        <f>IF(ISBLANK($R2525),"",VLOOKUP($R2525,'Liste des Villes'!$B$2:$H$1128,4,FALSE))</f>
        <v>Laurentides</v>
      </c>
      <c r="T2525" s="2" t="s">
        <v>11582</v>
      </c>
      <c r="U2525" s="2" t="s">
        <v>39</v>
      </c>
      <c r="V2525" s="2" t="s">
        <v>40</v>
      </c>
      <c r="W2525" s="2" t="s">
        <v>11644</v>
      </c>
      <c r="X2525" s="2"/>
      <c r="Y2525" s="2"/>
      <c r="Z2525" s="2"/>
      <c r="AA2525" s="2" t="s">
        <v>72</v>
      </c>
      <c r="AB2525" s="2" t="s">
        <v>545</v>
      </c>
      <c r="AC2525" s="4" t="s">
        <v>44</v>
      </c>
    </row>
    <row r="2526" spans="1:29" x14ac:dyDescent="0.25">
      <c r="A2526" s="1">
        <v>4330</v>
      </c>
      <c r="B2526" s="17" t="s">
        <v>11645</v>
      </c>
      <c r="C2526" s="2" t="s">
        <v>11646</v>
      </c>
      <c r="D2526" s="15" t="s">
        <v>803</v>
      </c>
      <c r="E2526" s="9" t="s">
        <v>11647</v>
      </c>
      <c r="F2526" s="9" t="s">
        <v>4907</v>
      </c>
      <c r="G2526" s="9" t="s">
        <v>6958</v>
      </c>
      <c r="H2526" s="2" t="s">
        <v>35</v>
      </c>
      <c r="I2526" s="3">
        <v>36732</v>
      </c>
      <c r="J2526" s="9" t="str">
        <f t="shared" ca="1" si="41"/>
        <v>23 ans</v>
      </c>
      <c r="K2526" s="2" t="s">
        <v>68</v>
      </c>
      <c r="L2526" s="2" t="str">
        <f>"631"</f>
        <v>631</v>
      </c>
      <c r="M2526" s="2"/>
      <c r="N2526" s="2" t="str">
        <f>"RUE DES CÈDRES"</f>
        <v>RUE DES CÈDRES</v>
      </c>
      <c r="O2526" s="2" t="s">
        <v>11249</v>
      </c>
      <c r="P2526" s="9" t="str">
        <f>VLOOKUP($O2526,'Liste des Villes'!$B$2:$B$1128,1,FALSE)</f>
        <v>Sainte-Adèle</v>
      </c>
      <c r="Q2526" s="9" t="str">
        <f>IFERROR($P2526,PROPER(VLOOKUP($O2526,'Villes en erreur'!$A$2:$B$72,2,FALSE)))</f>
        <v>Sainte-Adèle</v>
      </c>
      <c r="R2526" s="9" t="s">
        <v>11250</v>
      </c>
      <c r="S2526" s="9" t="str">
        <f>IF(ISBLANK($R2526),"",VLOOKUP($R2526,'Liste des Villes'!$B$2:$H$1128,4,FALSE))</f>
        <v>Laurentides</v>
      </c>
      <c r="T2526" s="2" t="s">
        <v>11648</v>
      </c>
      <c r="U2526" s="2" t="s">
        <v>39</v>
      </c>
      <c r="V2526" s="2" t="s">
        <v>40</v>
      </c>
      <c r="W2526" s="2" t="s">
        <v>11649</v>
      </c>
      <c r="X2526" s="2"/>
      <c r="Y2526" s="2"/>
      <c r="Z2526" s="2"/>
      <c r="AA2526" s="2" t="s">
        <v>72</v>
      </c>
      <c r="AB2526" s="2" t="s">
        <v>192</v>
      </c>
      <c r="AC2526" s="4" t="s">
        <v>44</v>
      </c>
    </row>
    <row r="2527" spans="1:29" x14ac:dyDescent="0.25">
      <c r="A2527" s="1">
        <v>1403</v>
      </c>
      <c r="B2527" s="17" t="s">
        <v>11650</v>
      </c>
      <c r="C2527" s="2" t="s">
        <v>11651</v>
      </c>
      <c r="D2527" s="15" t="s">
        <v>11652</v>
      </c>
      <c r="E2527" s="9" t="s">
        <v>1004</v>
      </c>
      <c r="F2527" s="9" t="s">
        <v>203</v>
      </c>
      <c r="G2527" s="9" t="s">
        <v>10352</v>
      </c>
      <c r="H2527" s="2" t="s">
        <v>35</v>
      </c>
      <c r="I2527" s="3">
        <v>36756</v>
      </c>
      <c r="J2527" s="9" t="str">
        <f t="shared" ca="1" si="41"/>
        <v>23 ans</v>
      </c>
      <c r="K2527" s="2" t="s">
        <v>68</v>
      </c>
      <c r="L2527" s="2" t="str">
        <f>"663"</f>
        <v>663</v>
      </c>
      <c r="M2527" s="2"/>
      <c r="N2527" s="2" t="str">
        <f>"RUE DES DENIERS"</f>
        <v>RUE DES DENIERS</v>
      </c>
      <c r="O2527" s="2" t="s">
        <v>11249</v>
      </c>
      <c r="P2527" s="9" t="str">
        <f>VLOOKUP($O2527,'Liste des Villes'!$B$2:$B$1128,1,FALSE)</f>
        <v>Sainte-Adèle</v>
      </c>
      <c r="Q2527" s="9" t="str">
        <f>IFERROR($P2527,PROPER(VLOOKUP($O2527,'Villes en erreur'!$A$2:$B$72,2,FALSE)))</f>
        <v>Sainte-Adèle</v>
      </c>
      <c r="R2527" s="9" t="s">
        <v>11250</v>
      </c>
      <c r="S2527" s="9" t="str">
        <f>IF(ISBLANK($R2527),"",VLOOKUP($R2527,'Liste des Villes'!$B$2:$H$1128,4,FALSE))</f>
        <v>Laurentides</v>
      </c>
      <c r="T2527" s="2" t="s">
        <v>11653</v>
      </c>
      <c r="U2527" s="2" t="s">
        <v>39</v>
      </c>
      <c r="V2527" s="2" t="s">
        <v>40</v>
      </c>
      <c r="W2527" s="2" t="s">
        <v>11654</v>
      </c>
      <c r="X2527" s="2"/>
      <c r="Y2527" s="2"/>
      <c r="Z2527" s="2"/>
      <c r="AA2527" s="2" t="s">
        <v>72</v>
      </c>
      <c r="AB2527" s="2" t="s">
        <v>192</v>
      </c>
      <c r="AC2527" s="4" t="s">
        <v>44</v>
      </c>
    </row>
    <row r="2528" spans="1:29" x14ac:dyDescent="0.25">
      <c r="A2528" s="1">
        <v>1541</v>
      </c>
      <c r="B2528" s="17" t="s">
        <v>11655</v>
      </c>
      <c r="C2528" s="2" t="s">
        <v>11656</v>
      </c>
      <c r="D2528" s="15" t="s">
        <v>11657</v>
      </c>
      <c r="E2528" s="9" t="s">
        <v>1872</v>
      </c>
      <c r="F2528" s="9" t="s">
        <v>982</v>
      </c>
      <c r="G2528" s="9" t="s">
        <v>11658</v>
      </c>
      <c r="H2528" s="2" t="s">
        <v>35</v>
      </c>
      <c r="I2528" s="3">
        <v>36717</v>
      </c>
      <c r="J2528" s="9" t="str">
        <f t="shared" ca="1" si="41"/>
        <v>23 ans</v>
      </c>
      <c r="K2528" s="2" t="s">
        <v>68</v>
      </c>
      <c r="L2528" s="2" t="str">
        <f>"609"</f>
        <v>609</v>
      </c>
      <c r="M2528" s="2"/>
      <c r="N2528" s="2" t="str">
        <f>"RUE DES BOULEAUX"</f>
        <v>RUE DES BOULEAUX</v>
      </c>
      <c r="O2528" s="2" t="s">
        <v>11249</v>
      </c>
      <c r="P2528" s="9" t="str">
        <f>VLOOKUP($O2528,'Liste des Villes'!$B$2:$B$1128,1,FALSE)</f>
        <v>Sainte-Adèle</v>
      </c>
      <c r="Q2528" s="9" t="str">
        <f>IFERROR($P2528,PROPER(VLOOKUP($O2528,'Villes en erreur'!$A$2:$B$72,2,FALSE)))</f>
        <v>Sainte-Adèle</v>
      </c>
      <c r="R2528" s="9" t="s">
        <v>11250</v>
      </c>
      <c r="S2528" s="9" t="str">
        <f>IF(ISBLANK($R2528),"",VLOOKUP($R2528,'Liste des Villes'!$B$2:$H$1128,4,FALSE))</f>
        <v>Laurentides</v>
      </c>
      <c r="T2528" s="2" t="s">
        <v>11448</v>
      </c>
      <c r="U2528" s="2" t="s">
        <v>39</v>
      </c>
      <c r="V2528" s="2" t="s">
        <v>40</v>
      </c>
      <c r="W2528" s="2" t="s">
        <v>11659</v>
      </c>
      <c r="X2528" s="2"/>
      <c r="Y2528" s="2"/>
      <c r="Z2528" s="2"/>
      <c r="AA2528" s="2" t="s">
        <v>72</v>
      </c>
      <c r="AB2528" s="2" t="s">
        <v>545</v>
      </c>
      <c r="AC2528" s="4" t="s">
        <v>44</v>
      </c>
    </row>
    <row r="2529" spans="1:29" x14ac:dyDescent="0.25">
      <c r="A2529" s="1">
        <v>3601</v>
      </c>
      <c r="B2529" s="17" t="s">
        <v>11660</v>
      </c>
      <c r="C2529" s="2" t="s">
        <v>11661</v>
      </c>
      <c r="D2529" s="15" t="s">
        <v>5672</v>
      </c>
      <c r="E2529" s="9" t="s">
        <v>622</v>
      </c>
      <c r="F2529" s="9" t="s">
        <v>2321</v>
      </c>
      <c r="G2529" s="9" t="s">
        <v>6410</v>
      </c>
      <c r="H2529" s="2" t="s">
        <v>60</v>
      </c>
      <c r="I2529" s="3">
        <v>36732</v>
      </c>
      <c r="J2529" s="9" t="str">
        <f t="shared" ca="1" si="41"/>
        <v>23 ans</v>
      </c>
      <c r="K2529" s="2" t="s">
        <v>68</v>
      </c>
      <c r="L2529" s="2" t="str">
        <f>"630"</f>
        <v>630</v>
      </c>
      <c r="M2529" s="2"/>
      <c r="N2529" s="2" t="str">
        <f>"RUE DES CÈDRES"</f>
        <v>RUE DES CÈDRES</v>
      </c>
      <c r="O2529" s="2" t="s">
        <v>11249</v>
      </c>
      <c r="P2529" s="9" t="str">
        <f>VLOOKUP($O2529,'Liste des Villes'!$B$2:$B$1128,1,FALSE)</f>
        <v>Sainte-Adèle</v>
      </c>
      <c r="Q2529" s="9" t="str">
        <f>IFERROR($P2529,PROPER(VLOOKUP($O2529,'Villes en erreur'!$A$2:$B$72,2,FALSE)))</f>
        <v>Sainte-Adèle</v>
      </c>
      <c r="R2529" s="9" t="s">
        <v>11250</v>
      </c>
      <c r="S2529" s="9" t="str">
        <f>IF(ISBLANK($R2529),"",VLOOKUP($R2529,'Liste des Villes'!$B$2:$H$1128,4,FALSE))</f>
        <v>Laurentides</v>
      </c>
      <c r="T2529" s="2" t="s">
        <v>11345</v>
      </c>
      <c r="U2529" s="2" t="s">
        <v>39</v>
      </c>
      <c r="V2529" s="2" t="s">
        <v>40</v>
      </c>
      <c r="W2529" s="2" t="s">
        <v>11662</v>
      </c>
      <c r="X2529" s="2"/>
      <c r="Y2529" s="2"/>
      <c r="Z2529" s="2"/>
      <c r="AA2529" s="2" t="s">
        <v>72</v>
      </c>
      <c r="AB2529" s="2" t="s">
        <v>192</v>
      </c>
      <c r="AC2529" s="4" t="s">
        <v>44</v>
      </c>
    </row>
    <row r="2530" spans="1:29" x14ac:dyDescent="0.25">
      <c r="A2530" s="1">
        <v>1116</v>
      </c>
      <c r="B2530" s="17" t="s">
        <v>11663</v>
      </c>
      <c r="C2530" s="2" t="s">
        <v>11664</v>
      </c>
      <c r="D2530" s="15" t="s">
        <v>2099</v>
      </c>
      <c r="E2530" s="9" t="s">
        <v>1246</v>
      </c>
      <c r="F2530" s="9" t="s">
        <v>4036</v>
      </c>
      <c r="G2530" s="9" t="s">
        <v>172</v>
      </c>
      <c r="H2530" s="2" t="s">
        <v>60</v>
      </c>
      <c r="I2530" s="3">
        <v>36708</v>
      </c>
      <c r="J2530" s="9" t="str">
        <f t="shared" ca="1" si="41"/>
        <v>23 ans</v>
      </c>
      <c r="K2530" s="2" t="s">
        <v>68</v>
      </c>
      <c r="L2530" s="2" t="str">
        <f>"600"</f>
        <v>600</v>
      </c>
      <c r="M2530" s="2"/>
      <c r="N2530" s="2" t="str">
        <f>"RUE DES BERGERONNETTES"</f>
        <v>RUE DES BERGERONNETTES</v>
      </c>
      <c r="O2530" s="2" t="s">
        <v>11249</v>
      </c>
      <c r="P2530" s="9" t="str">
        <f>VLOOKUP($O2530,'Liste des Villes'!$B$2:$B$1128,1,FALSE)</f>
        <v>Sainte-Adèle</v>
      </c>
      <c r="Q2530" s="9" t="str">
        <f>IFERROR($P2530,PROPER(VLOOKUP($O2530,'Villes en erreur'!$A$2:$B$72,2,FALSE)))</f>
        <v>Sainte-Adèle</v>
      </c>
      <c r="R2530" s="9" t="s">
        <v>11250</v>
      </c>
      <c r="S2530" s="9" t="str">
        <f>IF(ISBLANK($R2530),"",VLOOKUP($R2530,'Liste des Villes'!$B$2:$H$1128,4,FALSE))</f>
        <v>Laurentides</v>
      </c>
      <c r="T2530" s="2" t="s">
        <v>11403</v>
      </c>
      <c r="U2530" s="2" t="s">
        <v>39</v>
      </c>
      <c r="V2530" s="2" t="s">
        <v>40</v>
      </c>
      <c r="W2530" s="2" t="s">
        <v>11665</v>
      </c>
      <c r="X2530" s="2"/>
      <c r="Y2530" s="2"/>
      <c r="Z2530" s="2"/>
      <c r="AA2530" s="2" t="s">
        <v>72</v>
      </c>
      <c r="AB2530" s="2" t="s">
        <v>545</v>
      </c>
      <c r="AC2530" s="4" t="s">
        <v>44</v>
      </c>
    </row>
    <row r="2531" spans="1:29" x14ac:dyDescent="0.25">
      <c r="A2531" s="1">
        <v>32</v>
      </c>
      <c r="B2531" s="17" t="s">
        <v>11666</v>
      </c>
      <c r="C2531" s="2" t="s">
        <v>1395</v>
      </c>
      <c r="D2531" s="15" t="s">
        <v>1396</v>
      </c>
      <c r="E2531" s="9" t="s">
        <v>1397</v>
      </c>
      <c r="F2531" s="9" t="s">
        <v>4026</v>
      </c>
      <c r="G2531" s="9" t="s">
        <v>8524</v>
      </c>
      <c r="H2531" s="2" t="s">
        <v>60</v>
      </c>
      <c r="I2531" s="3">
        <v>36743</v>
      </c>
      <c r="J2531" s="9" t="str">
        <f t="shared" ca="1" si="41"/>
        <v>23 ans</v>
      </c>
      <c r="K2531" s="2" t="s">
        <v>68</v>
      </c>
      <c r="L2531" s="2" t="str">
        <f>"649"</f>
        <v>649</v>
      </c>
      <c r="M2531" s="2"/>
      <c r="N2531" s="2" t="str">
        <f>"RUE DES CHÊNES"</f>
        <v>RUE DES CHÊNES</v>
      </c>
      <c r="O2531" s="2" t="s">
        <v>11249</v>
      </c>
      <c r="P2531" s="9" t="str">
        <f>VLOOKUP($O2531,'Liste des Villes'!$B$2:$B$1128,1,FALSE)</f>
        <v>Sainte-Adèle</v>
      </c>
      <c r="Q2531" s="9" t="str">
        <f>IFERROR($P2531,PROPER(VLOOKUP($O2531,'Villes en erreur'!$A$2:$B$72,2,FALSE)))</f>
        <v>Sainte-Adèle</v>
      </c>
      <c r="R2531" s="9" t="s">
        <v>11250</v>
      </c>
      <c r="S2531" s="9" t="str">
        <f>IF(ISBLANK($R2531),"",VLOOKUP($R2531,'Liste des Villes'!$B$2:$H$1128,4,FALSE))</f>
        <v>Laurentides</v>
      </c>
      <c r="T2531" s="2" t="s">
        <v>11475</v>
      </c>
      <c r="U2531" s="2" t="s">
        <v>39</v>
      </c>
      <c r="V2531" s="2" t="s">
        <v>40</v>
      </c>
      <c r="W2531" s="2" t="s">
        <v>11667</v>
      </c>
      <c r="X2531" s="2"/>
      <c r="Y2531" s="2"/>
      <c r="Z2531" s="2"/>
      <c r="AA2531" s="2" t="s">
        <v>72</v>
      </c>
      <c r="AB2531" s="2" t="s">
        <v>192</v>
      </c>
      <c r="AC2531" s="4" t="s">
        <v>44</v>
      </c>
    </row>
    <row r="2532" spans="1:29" x14ac:dyDescent="0.25">
      <c r="A2532" s="1">
        <v>529</v>
      </c>
      <c r="B2532" s="17" t="s">
        <v>11668</v>
      </c>
      <c r="C2532" s="2" t="s">
        <v>11669</v>
      </c>
      <c r="D2532" s="15" t="s">
        <v>3418</v>
      </c>
      <c r="E2532" s="9" t="s">
        <v>5033</v>
      </c>
      <c r="F2532" s="9" t="s">
        <v>2446</v>
      </c>
      <c r="G2532" s="9" t="s">
        <v>11670</v>
      </c>
      <c r="H2532" s="2" t="s">
        <v>60</v>
      </c>
      <c r="I2532" s="3">
        <v>36729</v>
      </c>
      <c r="J2532" s="9" t="str">
        <f t="shared" ca="1" si="41"/>
        <v>23 ans</v>
      </c>
      <c r="K2532" s="2" t="s">
        <v>68</v>
      </c>
      <c r="L2532" s="2" t="str">
        <f>"625"</f>
        <v>625</v>
      </c>
      <c r="M2532" s="2"/>
      <c r="N2532" s="2" t="str">
        <f>"RUE DES CASCADES"</f>
        <v>RUE DES CASCADES</v>
      </c>
      <c r="O2532" s="2" t="s">
        <v>11249</v>
      </c>
      <c r="P2532" s="9" t="str">
        <f>VLOOKUP($O2532,'Liste des Villes'!$B$2:$B$1128,1,FALSE)</f>
        <v>Sainte-Adèle</v>
      </c>
      <c r="Q2532" s="9" t="str">
        <f>IFERROR($P2532,PROPER(VLOOKUP($O2532,'Villes en erreur'!$A$2:$B$72,2,FALSE)))</f>
        <v>Sainte-Adèle</v>
      </c>
      <c r="R2532" s="9" t="s">
        <v>11250</v>
      </c>
      <c r="S2532" s="9" t="str">
        <f>IF(ISBLANK($R2532),"",VLOOKUP($R2532,'Liste des Villes'!$B$2:$H$1128,4,FALSE))</f>
        <v>Laurentides</v>
      </c>
      <c r="T2532" s="2" t="s">
        <v>11385</v>
      </c>
      <c r="U2532" s="2" t="s">
        <v>39</v>
      </c>
      <c r="V2532" s="2" t="s">
        <v>40</v>
      </c>
      <c r="W2532" s="2" t="s">
        <v>11671</v>
      </c>
      <c r="X2532" s="2"/>
      <c r="Y2532" s="2"/>
      <c r="Z2532" s="2"/>
      <c r="AA2532" s="2" t="s">
        <v>72</v>
      </c>
      <c r="AB2532" s="2" t="s">
        <v>192</v>
      </c>
      <c r="AC2532" s="4" t="s">
        <v>44</v>
      </c>
    </row>
    <row r="2533" spans="1:29" x14ac:dyDescent="0.25">
      <c r="A2533" s="1">
        <v>1667</v>
      </c>
      <c r="B2533" s="17" t="s">
        <v>11672</v>
      </c>
      <c r="C2533" s="2" t="s">
        <v>11673</v>
      </c>
      <c r="D2533" s="15" t="s">
        <v>2915</v>
      </c>
      <c r="E2533" s="9" t="s">
        <v>5585</v>
      </c>
      <c r="F2533" s="9" t="s">
        <v>164</v>
      </c>
      <c r="G2533" s="9" t="s">
        <v>3423</v>
      </c>
      <c r="H2533" s="2" t="s">
        <v>60</v>
      </c>
      <c r="I2533" s="3">
        <v>36751</v>
      </c>
      <c r="J2533" s="9" t="str">
        <f t="shared" ca="1" si="41"/>
        <v>23 ans</v>
      </c>
      <c r="K2533" s="2" t="s">
        <v>68</v>
      </c>
      <c r="L2533" s="2" t="str">
        <f>"660"</f>
        <v>660</v>
      </c>
      <c r="M2533" s="2"/>
      <c r="N2533" s="2" t="str">
        <f>"RUE DES COPRINS"</f>
        <v>RUE DES COPRINS</v>
      </c>
      <c r="O2533" s="2" t="s">
        <v>11249</v>
      </c>
      <c r="P2533" s="9" t="str">
        <f>VLOOKUP($O2533,'Liste des Villes'!$B$2:$B$1128,1,FALSE)</f>
        <v>Sainte-Adèle</v>
      </c>
      <c r="Q2533" s="9" t="str">
        <f>IFERROR($P2533,PROPER(VLOOKUP($O2533,'Villes en erreur'!$A$2:$B$72,2,FALSE)))</f>
        <v>Sainte-Adèle</v>
      </c>
      <c r="R2533" s="9" t="s">
        <v>11250</v>
      </c>
      <c r="S2533" s="9" t="str">
        <f>IF(ISBLANK($R2533),"",VLOOKUP($R2533,'Liste des Villes'!$B$2:$H$1128,4,FALSE))</f>
        <v>Laurentides</v>
      </c>
      <c r="T2533" s="2" t="s">
        <v>11674</v>
      </c>
      <c r="U2533" s="2" t="s">
        <v>39</v>
      </c>
      <c r="V2533" s="2" t="s">
        <v>40</v>
      </c>
      <c r="W2533" s="2" t="s">
        <v>11675</v>
      </c>
      <c r="X2533" s="2"/>
      <c r="Y2533" s="2"/>
      <c r="Z2533" s="2"/>
      <c r="AA2533" s="2" t="s">
        <v>72</v>
      </c>
      <c r="AB2533" s="2" t="s">
        <v>192</v>
      </c>
      <c r="AC2533" s="4" t="s">
        <v>44</v>
      </c>
    </row>
    <row r="2534" spans="1:29" x14ac:dyDescent="0.25">
      <c r="A2534" s="1">
        <v>3390</v>
      </c>
      <c r="B2534" s="17" t="s">
        <v>11676</v>
      </c>
      <c r="C2534" s="2" t="s">
        <v>11677</v>
      </c>
      <c r="D2534" s="15" t="s">
        <v>3646</v>
      </c>
      <c r="E2534" s="9" t="s">
        <v>8885</v>
      </c>
      <c r="F2534" s="9" t="s">
        <v>8851</v>
      </c>
      <c r="G2534" s="9" t="s">
        <v>1355</v>
      </c>
      <c r="H2534" s="2" t="s">
        <v>35</v>
      </c>
      <c r="I2534" s="3">
        <v>36735</v>
      </c>
      <c r="J2534" s="9" t="str">
        <f t="shared" ca="1" si="41"/>
        <v>23 ans</v>
      </c>
      <c r="K2534" s="2" t="s">
        <v>68</v>
      </c>
      <c r="L2534" s="2" t="str">
        <f>"637"</f>
        <v>637</v>
      </c>
      <c r="M2534" s="2"/>
      <c r="N2534" s="2" t="str">
        <f>"RUE DES CELTES"</f>
        <v>RUE DES CELTES</v>
      </c>
      <c r="O2534" s="2" t="s">
        <v>11249</v>
      </c>
      <c r="P2534" s="9" t="str">
        <f>VLOOKUP($O2534,'Liste des Villes'!$B$2:$B$1128,1,FALSE)</f>
        <v>Sainte-Adèle</v>
      </c>
      <c r="Q2534" s="9" t="str">
        <f>IFERROR($P2534,PROPER(VLOOKUP($O2534,'Villes en erreur'!$A$2:$B$72,2,FALSE)))</f>
        <v>Sainte-Adèle</v>
      </c>
      <c r="R2534" s="9" t="s">
        <v>11250</v>
      </c>
      <c r="S2534" s="9" t="str">
        <f>IF(ISBLANK($R2534),"",VLOOKUP($R2534,'Liste des Villes'!$B$2:$H$1128,4,FALSE))</f>
        <v>Laurentides</v>
      </c>
      <c r="T2534" s="2" t="s">
        <v>11619</v>
      </c>
      <c r="U2534" s="2" t="s">
        <v>39</v>
      </c>
      <c r="V2534" s="2" t="s">
        <v>40</v>
      </c>
      <c r="W2534" s="2" t="s">
        <v>11678</v>
      </c>
      <c r="X2534" s="2"/>
      <c r="Y2534" s="2"/>
      <c r="Z2534" s="2"/>
      <c r="AA2534" s="2" t="s">
        <v>72</v>
      </c>
      <c r="AB2534" s="2" t="s">
        <v>192</v>
      </c>
      <c r="AC2534" s="4" t="s">
        <v>44</v>
      </c>
    </row>
    <row r="2535" spans="1:29" x14ac:dyDescent="0.25">
      <c r="A2535" s="1">
        <v>2445</v>
      </c>
      <c r="B2535" s="17" t="s">
        <v>11679</v>
      </c>
      <c r="C2535" s="2" t="s">
        <v>11680</v>
      </c>
      <c r="D2535" s="15" t="s">
        <v>11681</v>
      </c>
      <c r="E2535" s="9" t="s">
        <v>1323</v>
      </c>
      <c r="F2535" s="9" t="s">
        <v>1324</v>
      </c>
      <c r="G2535" s="9" t="s">
        <v>3423</v>
      </c>
      <c r="H2535" s="2" t="s">
        <v>60</v>
      </c>
      <c r="I2535" s="3">
        <v>36752</v>
      </c>
      <c r="J2535" s="9" t="str">
        <f t="shared" ca="1" si="41"/>
        <v>23 ans</v>
      </c>
      <c r="K2535" s="2" t="s">
        <v>68</v>
      </c>
      <c r="L2535" s="2" t="str">
        <f>"661"</f>
        <v>661</v>
      </c>
      <c r="M2535" s="2"/>
      <c r="N2535" s="2" t="str">
        <f>"RUE DES CORMIERS"</f>
        <v>RUE DES CORMIERS</v>
      </c>
      <c r="O2535" s="2" t="s">
        <v>11249</v>
      </c>
      <c r="P2535" s="9" t="str">
        <f>VLOOKUP($O2535,'Liste des Villes'!$B$2:$B$1128,1,FALSE)</f>
        <v>Sainte-Adèle</v>
      </c>
      <c r="Q2535" s="9" t="str">
        <f>IFERROR($P2535,PROPER(VLOOKUP($O2535,'Villes en erreur'!$A$2:$B$72,2,FALSE)))</f>
        <v>Sainte-Adèle</v>
      </c>
      <c r="R2535" s="9" t="s">
        <v>11250</v>
      </c>
      <c r="S2535" s="9" t="str">
        <f>IF(ISBLANK($R2535),"",VLOOKUP($R2535,'Liste des Villes'!$B$2:$H$1128,4,FALSE))</f>
        <v>Laurentides</v>
      </c>
      <c r="T2535" s="2" t="s">
        <v>11682</v>
      </c>
      <c r="U2535" s="2" t="s">
        <v>39</v>
      </c>
      <c r="V2535" s="2" t="s">
        <v>40</v>
      </c>
      <c r="W2535" s="2" t="s">
        <v>11683</v>
      </c>
      <c r="X2535" s="2"/>
      <c r="Y2535" s="2"/>
      <c r="Z2535" s="2"/>
      <c r="AA2535" s="2" t="s">
        <v>72</v>
      </c>
      <c r="AB2535" s="2" t="s">
        <v>192</v>
      </c>
      <c r="AC2535" s="4" t="s">
        <v>44</v>
      </c>
    </row>
    <row r="2536" spans="1:29" x14ac:dyDescent="0.25">
      <c r="A2536" s="1">
        <v>1204</v>
      </c>
      <c r="B2536" s="17" t="s">
        <v>11684</v>
      </c>
      <c r="C2536" s="2" t="s">
        <v>1144</v>
      </c>
      <c r="D2536" s="15" t="s">
        <v>1145</v>
      </c>
      <c r="E2536" s="9" t="s">
        <v>495</v>
      </c>
      <c r="F2536" s="9" t="s">
        <v>2950</v>
      </c>
      <c r="G2536" s="9" t="s">
        <v>10352</v>
      </c>
      <c r="H2536" s="2" t="s">
        <v>35</v>
      </c>
      <c r="I2536" s="3">
        <v>36756</v>
      </c>
      <c r="J2536" s="9" t="str">
        <f t="shared" ca="1" si="41"/>
        <v>23 ans</v>
      </c>
      <c r="K2536" s="2" t="s">
        <v>68</v>
      </c>
      <c r="L2536" s="2" t="str">
        <f>"663"</f>
        <v>663</v>
      </c>
      <c r="M2536" s="2"/>
      <c r="N2536" s="2" t="str">
        <f>"RUE DES DENIERS"</f>
        <v>RUE DES DENIERS</v>
      </c>
      <c r="O2536" s="2" t="s">
        <v>11249</v>
      </c>
      <c r="P2536" s="9" t="str">
        <f>VLOOKUP($O2536,'Liste des Villes'!$B$2:$B$1128,1,FALSE)</f>
        <v>Sainte-Adèle</v>
      </c>
      <c r="Q2536" s="9" t="str">
        <f>IFERROR($P2536,PROPER(VLOOKUP($O2536,'Villes en erreur'!$A$2:$B$72,2,FALSE)))</f>
        <v>Sainte-Adèle</v>
      </c>
      <c r="R2536" s="9" t="s">
        <v>11250</v>
      </c>
      <c r="S2536" s="9" t="str">
        <f>IF(ISBLANK($R2536),"",VLOOKUP($R2536,'Liste des Villes'!$B$2:$H$1128,4,FALSE))</f>
        <v>Laurentides</v>
      </c>
      <c r="T2536" s="2" t="s">
        <v>11653</v>
      </c>
      <c r="U2536" s="2" t="s">
        <v>39</v>
      </c>
      <c r="V2536" s="2" t="s">
        <v>40</v>
      </c>
      <c r="W2536" s="2" t="s">
        <v>11685</v>
      </c>
      <c r="X2536" s="2"/>
      <c r="Y2536" s="2"/>
      <c r="Z2536" s="2"/>
      <c r="AA2536" s="2" t="s">
        <v>72</v>
      </c>
      <c r="AB2536" s="2" t="s">
        <v>192</v>
      </c>
      <c r="AC2536" s="4" t="s">
        <v>44</v>
      </c>
    </row>
    <row r="2537" spans="1:29" x14ac:dyDescent="0.25">
      <c r="A2537" s="1">
        <v>2847</v>
      </c>
      <c r="B2537" s="17" t="s">
        <v>11686</v>
      </c>
      <c r="C2537" s="2" t="s">
        <v>2565</v>
      </c>
      <c r="D2537" s="15" t="s">
        <v>520</v>
      </c>
      <c r="E2537" s="9" t="s">
        <v>1037</v>
      </c>
      <c r="F2537" s="9" t="s">
        <v>11687</v>
      </c>
      <c r="G2537" s="9" t="s">
        <v>11554</v>
      </c>
      <c r="H2537" s="2" t="s">
        <v>35</v>
      </c>
      <c r="I2537" s="3">
        <v>36754</v>
      </c>
      <c r="J2537" s="9" t="str">
        <f t="shared" ca="1" si="41"/>
        <v>23 ans</v>
      </c>
      <c r="K2537" s="2" t="s">
        <v>68</v>
      </c>
      <c r="L2537" s="2" t="str">
        <f>"662"</f>
        <v>662</v>
      </c>
      <c r="M2537" s="2"/>
      <c r="N2537" s="2" t="str">
        <f>"RUE DES CUIVRES"</f>
        <v>RUE DES CUIVRES</v>
      </c>
      <c r="O2537" s="2" t="s">
        <v>11249</v>
      </c>
      <c r="P2537" s="9" t="str">
        <f>VLOOKUP($O2537,'Liste des Villes'!$B$2:$B$1128,1,FALSE)</f>
        <v>Sainte-Adèle</v>
      </c>
      <c r="Q2537" s="9" t="str">
        <f>IFERROR($P2537,PROPER(VLOOKUP($O2537,'Villes en erreur'!$A$2:$B$72,2,FALSE)))</f>
        <v>Sainte-Adèle</v>
      </c>
      <c r="R2537" s="9" t="s">
        <v>11250</v>
      </c>
      <c r="S2537" s="9" t="str">
        <f>IF(ISBLANK($R2537),"",VLOOKUP($R2537,'Liste des Villes'!$B$2:$H$1128,4,FALSE))</f>
        <v>Laurentides</v>
      </c>
      <c r="T2537" s="2" t="s">
        <v>11688</v>
      </c>
      <c r="U2537" s="2" t="s">
        <v>39</v>
      </c>
      <c r="V2537" s="2" t="s">
        <v>40</v>
      </c>
      <c r="W2537" s="2" t="s">
        <v>11689</v>
      </c>
      <c r="X2537" s="2"/>
      <c r="Y2537" s="2"/>
      <c r="Z2537" s="2"/>
      <c r="AA2537" s="2" t="s">
        <v>72</v>
      </c>
      <c r="AB2537" s="2" t="s">
        <v>192</v>
      </c>
      <c r="AC2537" s="4" t="s">
        <v>44</v>
      </c>
    </row>
    <row r="2538" spans="1:29" x14ac:dyDescent="0.25">
      <c r="A2538" s="1">
        <v>2204</v>
      </c>
      <c r="B2538" s="17" t="s">
        <v>11690</v>
      </c>
      <c r="C2538" s="2" t="s">
        <v>2992</v>
      </c>
      <c r="D2538" s="15" t="s">
        <v>363</v>
      </c>
      <c r="E2538" s="9" t="s">
        <v>2993</v>
      </c>
      <c r="F2538" s="9" t="s">
        <v>1716</v>
      </c>
      <c r="G2538" s="9" t="s">
        <v>6958</v>
      </c>
      <c r="H2538" s="2" t="s">
        <v>35</v>
      </c>
      <c r="I2538" s="3">
        <v>36732</v>
      </c>
      <c r="J2538" s="9" t="str">
        <f t="shared" ca="1" si="41"/>
        <v>23 ans</v>
      </c>
      <c r="K2538" s="2" t="s">
        <v>68</v>
      </c>
      <c r="L2538" s="2" t="str">
        <f>"631"</f>
        <v>631</v>
      </c>
      <c r="M2538" s="2"/>
      <c r="N2538" s="2" t="str">
        <f>"RUE DES CÈDRES"</f>
        <v>RUE DES CÈDRES</v>
      </c>
      <c r="O2538" s="2" t="s">
        <v>11249</v>
      </c>
      <c r="P2538" s="9" t="str">
        <f>VLOOKUP($O2538,'Liste des Villes'!$B$2:$B$1128,1,FALSE)</f>
        <v>Sainte-Adèle</v>
      </c>
      <c r="Q2538" s="9" t="str">
        <f>IFERROR($P2538,PROPER(VLOOKUP($O2538,'Villes en erreur'!$A$2:$B$72,2,FALSE)))</f>
        <v>Sainte-Adèle</v>
      </c>
      <c r="R2538" s="9" t="s">
        <v>11250</v>
      </c>
      <c r="S2538" s="9" t="str">
        <f>IF(ISBLANK($R2538),"",VLOOKUP($R2538,'Liste des Villes'!$B$2:$H$1128,4,FALSE))</f>
        <v>Laurentides</v>
      </c>
      <c r="T2538" s="2" t="s">
        <v>11648</v>
      </c>
      <c r="U2538" s="2" t="s">
        <v>39</v>
      </c>
      <c r="V2538" s="2" t="s">
        <v>40</v>
      </c>
      <c r="W2538" s="2" t="s">
        <v>11691</v>
      </c>
      <c r="X2538" s="2"/>
      <c r="Y2538" s="2"/>
      <c r="Z2538" s="2"/>
      <c r="AA2538" s="2" t="s">
        <v>72</v>
      </c>
      <c r="AB2538" s="2" t="s">
        <v>192</v>
      </c>
      <c r="AC2538" s="4" t="s">
        <v>44</v>
      </c>
    </row>
    <row r="2539" spans="1:29" x14ac:dyDescent="0.25">
      <c r="A2539" s="1">
        <v>4309</v>
      </c>
      <c r="B2539" s="17" t="s">
        <v>11692</v>
      </c>
      <c r="C2539" s="2" t="s">
        <v>5015</v>
      </c>
      <c r="D2539" s="15" t="s">
        <v>623</v>
      </c>
      <c r="E2539" s="9" t="s">
        <v>348</v>
      </c>
      <c r="F2539" s="9" t="s">
        <v>11693</v>
      </c>
      <c r="G2539" s="9" t="s">
        <v>7925</v>
      </c>
      <c r="H2539" s="2" t="s">
        <v>35</v>
      </c>
      <c r="I2539" s="3">
        <v>36766</v>
      </c>
      <c r="J2539" s="9" t="str">
        <f t="shared" ca="1" si="41"/>
        <v>22 ans</v>
      </c>
      <c r="K2539" s="2" t="s">
        <v>68</v>
      </c>
      <c r="L2539" s="2" t="str">
        <f>"676"</f>
        <v>676</v>
      </c>
      <c r="M2539" s="2"/>
      <c r="N2539" s="2" t="str">
        <f>"RUE DES ÉPERVIERS"</f>
        <v>RUE DES ÉPERVIERS</v>
      </c>
      <c r="O2539" s="2" t="s">
        <v>11694</v>
      </c>
      <c r="P2539" s="9" t="str">
        <f>VLOOKUP($O2539,'Liste des Villes'!$B$2:$B$1128,1,FALSE)</f>
        <v>Saint-Donat</v>
      </c>
      <c r="Q2539" s="9" t="str">
        <f>IFERROR($P2539,PROPER(VLOOKUP($O2539,'Villes en erreur'!$A$2:$B$72,2,FALSE)))</f>
        <v>Saint-Donat</v>
      </c>
      <c r="R2539" s="9" t="s">
        <v>11695</v>
      </c>
      <c r="S2539" s="9" t="str">
        <f>IF(ISBLANK($R2539),"",VLOOKUP($R2539,'Liste des Villes'!$B$2:$H$1128,4,FALSE))</f>
        <v>Lanaudière</v>
      </c>
      <c r="T2539" s="2" t="s">
        <v>11696</v>
      </c>
      <c r="U2539" s="2" t="s">
        <v>39</v>
      </c>
      <c r="V2539" s="2" t="s">
        <v>40</v>
      </c>
      <c r="W2539" s="2" t="s">
        <v>11697</v>
      </c>
      <c r="X2539" s="2"/>
      <c r="Y2539" s="2"/>
      <c r="Z2539" s="2"/>
      <c r="AA2539" s="2" t="s">
        <v>72</v>
      </c>
      <c r="AB2539" s="2" t="s">
        <v>192</v>
      </c>
      <c r="AC2539" s="4" t="s">
        <v>44</v>
      </c>
    </row>
    <row r="2540" spans="1:29" x14ac:dyDescent="0.25">
      <c r="A2540" s="1">
        <v>4193</v>
      </c>
      <c r="B2540" s="17" t="s">
        <v>11698</v>
      </c>
      <c r="C2540" s="2" t="s">
        <v>11699</v>
      </c>
      <c r="D2540" s="15" t="s">
        <v>11700</v>
      </c>
      <c r="E2540" s="9" t="s">
        <v>635</v>
      </c>
      <c r="F2540" s="9" t="s">
        <v>11701</v>
      </c>
      <c r="G2540" s="9" t="s">
        <v>7925</v>
      </c>
      <c r="H2540" s="2" t="s">
        <v>35</v>
      </c>
      <c r="I2540" s="3">
        <v>36765</v>
      </c>
      <c r="J2540" s="9" t="str">
        <f t="shared" ca="1" si="41"/>
        <v>22 ans</v>
      </c>
      <c r="K2540" s="2" t="s">
        <v>68</v>
      </c>
      <c r="L2540" s="2" t="str">
        <f>"675"</f>
        <v>675</v>
      </c>
      <c r="M2540" s="2"/>
      <c r="N2540" s="2" t="str">
        <f>"RUE DES EPERVIERS"</f>
        <v>RUE DES EPERVIERS</v>
      </c>
      <c r="O2540" s="2" t="s">
        <v>11694</v>
      </c>
      <c r="P2540" s="9" t="str">
        <f>VLOOKUP($O2540,'Liste des Villes'!$B$2:$B$1128,1,FALSE)</f>
        <v>Saint-Donat</v>
      </c>
      <c r="Q2540" s="9" t="str">
        <f>IFERROR($P2540,PROPER(VLOOKUP($O2540,'Villes en erreur'!$A$2:$B$72,2,FALSE)))</f>
        <v>Saint-Donat</v>
      </c>
      <c r="R2540" s="9" t="s">
        <v>11695</v>
      </c>
      <c r="S2540" s="9" t="str">
        <f>IF(ISBLANK($R2540),"",VLOOKUP($R2540,'Liste des Villes'!$B$2:$H$1128,4,FALSE))</f>
        <v>Lanaudière</v>
      </c>
      <c r="T2540" s="2" t="s">
        <v>11702</v>
      </c>
      <c r="U2540" s="2" t="s">
        <v>39</v>
      </c>
      <c r="V2540" s="2" t="s">
        <v>40</v>
      </c>
      <c r="W2540" s="2" t="s">
        <v>11703</v>
      </c>
      <c r="X2540" s="2"/>
      <c r="Y2540" s="2"/>
      <c r="Z2540" s="2"/>
      <c r="AA2540" s="2" t="s">
        <v>72</v>
      </c>
      <c r="AB2540" s="2" t="s">
        <v>192</v>
      </c>
      <c r="AC2540" s="4" t="s">
        <v>44</v>
      </c>
    </row>
    <row r="2541" spans="1:29" x14ac:dyDescent="0.25">
      <c r="A2541" s="1">
        <v>3623</v>
      </c>
      <c r="B2541" s="17" t="s">
        <v>11704</v>
      </c>
      <c r="C2541" s="2" t="s">
        <v>11705</v>
      </c>
      <c r="D2541" s="15" t="s">
        <v>7766</v>
      </c>
      <c r="E2541" s="9" t="s">
        <v>8504</v>
      </c>
      <c r="F2541" s="9" t="s">
        <v>2837</v>
      </c>
      <c r="G2541" s="9" t="s">
        <v>7925</v>
      </c>
      <c r="H2541" s="2" t="s">
        <v>35</v>
      </c>
      <c r="I2541" s="3">
        <v>36766</v>
      </c>
      <c r="J2541" s="9" t="str">
        <f t="shared" ca="1" si="41"/>
        <v>22 ans</v>
      </c>
      <c r="K2541" s="2" t="s">
        <v>68</v>
      </c>
      <c r="L2541" s="2" t="str">
        <f>"676"</f>
        <v>676</v>
      </c>
      <c r="M2541" s="2"/>
      <c r="N2541" s="2" t="str">
        <f>"RUE DES ÉPERVIERS"</f>
        <v>RUE DES ÉPERVIERS</v>
      </c>
      <c r="O2541" s="2" t="s">
        <v>11694</v>
      </c>
      <c r="P2541" s="9" t="str">
        <f>VLOOKUP($O2541,'Liste des Villes'!$B$2:$B$1128,1,FALSE)</f>
        <v>Saint-Donat</v>
      </c>
      <c r="Q2541" s="9" t="str">
        <f>IFERROR($P2541,PROPER(VLOOKUP($O2541,'Villes en erreur'!$A$2:$B$72,2,FALSE)))</f>
        <v>Saint-Donat</v>
      </c>
      <c r="R2541" s="9" t="s">
        <v>11695</v>
      </c>
      <c r="S2541" s="9" t="str">
        <f>IF(ISBLANK($R2541),"",VLOOKUP($R2541,'Liste des Villes'!$B$2:$H$1128,4,FALSE))</f>
        <v>Lanaudière</v>
      </c>
      <c r="T2541" s="2" t="s">
        <v>11696</v>
      </c>
      <c r="U2541" s="2" t="s">
        <v>39</v>
      </c>
      <c r="V2541" s="2" t="s">
        <v>40</v>
      </c>
      <c r="W2541" s="2" t="s">
        <v>11706</v>
      </c>
      <c r="X2541" s="2"/>
      <c r="Y2541" s="2"/>
      <c r="Z2541" s="2"/>
      <c r="AA2541" s="2" t="s">
        <v>72</v>
      </c>
      <c r="AB2541" s="2" t="s">
        <v>192</v>
      </c>
      <c r="AC2541" s="4" t="s">
        <v>44</v>
      </c>
    </row>
    <row r="2542" spans="1:29" x14ac:dyDescent="0.25">
      <c r="A2542" s="1">
        <v>1954</v>
      </c>
      <c r="B2542" s="17" t="s">
        <v>11707</v>
      </c>
      <c r="C2542" s="2" t="s">
        <v>11708</v>
      </c>
      <c r="D2542" s="15" t="s">
        <v>11709</v>
      </c>
      <c r="E2542" s="9" t="s">
        <v>11710</v>
      </c>
      <c r="F2542" s="9" t="s">
        <v>11711</v>
      </c>
      <c r="G2542" s="9" t="s">
        <v>7925</v>
      </c>
      <c r="H2542" s="2" t="s">
        <v>35</v>
      </c>
      <c r="I2542" s="3">
        <v>36765</v>
      </c>
      <c r="J2542" s="9" t="str">
        <f t="shared" ca="1" si="41"/>
        <v>22 ans</v>
      </c>
      <c r="K2542" s="2" t="s">
        <v>68</v>
      </c>
      <c r="L2542" s="2" t="str">
        <f>"675"</f>
        <v>675</v>
      </c>
      <c r="M2542" s="2"/>
      <c r="N2542" s="2" t="str">
        <f>"RUE DES ÉPERVIERS"</f>
        <v>RUE DES ÉPERVIERS</v>
      </c>
      <c r="O2542" s="2" t="s">
        <v>11694</v>
      </c>
      <c r="P2542" s="9" t="str">
        <f>VLOOKUP($O2542,'Liste des Villes'!$B$2:$B$1128,1,FALSE)</f>
        <v>Saint-Donat</v>
      </c>
      <c r="Q2542" s="9" t="str">
        <f>IFERROR($P2542,PROPER(VLOOKUP($O2542,'Villes en erreur'!$A$2:$B$72,2,FALSE)))</f>
        <v>Saint-Donat</v>
      </c>
      <c r="R2542" s="9" t="s">
        <v>11695</v>
      </c>
      <c r="S2542" s="9" t="str">
        <f>IF(ISBLANK($R2542),"",VLOOKUP($R2542,'Liste des Villes'!$B$2:$H$1128,4,FALSE))</f>
        <v>Lanaudière</v>
      </c>
      <c r="T2542" s="2" t="s">
        <v>11712</v>
      </c>
      <c r="U2542" s="2" t="s">
        <v>39</v>
      </c>
      <c r="V2542" s="2" t="s">
        <v>40</v>
      </c>
      <c r="W2542" s="2" t="s">
        <v>11713</v>
      </c>
      <c r="X2542" s="2"/>
      <c r="Y2542" s="2"/>
      <c r="Z2542" s="2"/>
      <c r="AA2542" s="2" t="s">
        <v>72</v>
      </c>
      <c r="AB2542" s="2" t="s">
        <v>192</v>
      </c>
      <c r="AC2542" s="4" t="s">
        <v>44</v>
      </c>
    </row>
    <row r="2543" spans="1:29" x14ac:dyDescent="0.25">
      <c r="A2543" s="1">
        <v>3770</v>
      </c>
      <c r="B2543" s="17" t="s">
        <v>11714</v>
      </c>
      <c r="C2543" s="2" t="s">
        <v>3699</v>
      </c>
      <c r="D2543" s="15" t="s">
        <v>1716</v>
      </c>
      <c r="E2543" s="9" t="s">
        <v>3700</v>
      </c>
      <c r="F2543" s="9" t="s">
        <v>8923</v>
      </c>
      <c r="G2543" s="9" t="s">
        <v>11715</v>
      </c>
      <c r="H2543" s="2" t="s">
        <v>60</v>
      </c>
      <c r="I2543" s="3">
        <v>36767</v>
      </c>
      <c r="J2543" s="9" t="str">
        <f t="shared" ca="1" si="41"/>
        <v>22 ans</v>
      </c>
      <c r="K2543" s="2" t="s">
        <v>68</v>
      </c>
      <c r="L2543" s="2" t="str">
        <f>"679"</f>
        <v>679</v>
      </c>
      <c r="M2543" s="2"/>
      <c r="N2543" s="2" t="str">
        <f>"RUE DES ÉPINETTES"</f>
        <v>RUE DES ÉPINETTES</v>
      </c>
      <c r="O2543" s="2" t="s">
        <v>11716</v>
      </c>
      <c r="P2543" s="9" t="str">
        <f>VLOOKUP($O2543,'Liste des Villes'!$B$2:$B$1128,1,FALSE)</f>
        <v>Saint-Côme</v>
      </c>
      <c r="Q2543" s="9" t="str">
        <f>IFERROR($P2543,PROPER(VLOOKUP($O2543,'Villes en erreur'!$A$2:$B$72,2,FALSE)))</f>
        <v>Saint-Côme</v>
      </c>
      <c r="R2543" s="9" t="s">
        <v>11717</v>
      </c>
      <c r="S2543" s="9" t="str">
        <f>IF(ISBLANK($R2543),"",VLOOKUP($R2543,'Liste des Villes'!$B$2:$H$1128,4,FALSE))</f>
        <v>Lanaudière</v>
      </c>
      <c r="T2543" s="2" t="s">
        <v>11718</v>
      </c>
      <c r="U2543" s="2" t="s">
        <v>39</v>
      </c>
      <c r="V2543" s="2" t="s">
        <v>40</v>
      </c>
      <c r="W2543" s="2" t="s">
        <v>11719</v>
      </c>
      <c r="X2543" s="2"/>
      <c r="Y2543" s="2"/>
      <c r="Z2543" s="2"/>
      <c r="AA2543" s="2" t="s">
        <v>72</v>
      </c>
      <c r="AB2543" s="2" t="s">
        <v>192</v>
      </c>
      <c r="AC2543" s="4" t="s">
        <v>44</v>
      </c>
    </row>
    <row r="2544" spans="1:29" x14ac:dyDescent="0.25">
      <c r="A2544" s="1">
        <v>1499</v>
      </c>
      <c r="B2544" s="17" t="s">
        <v>11720</v>
      </c>
      <c r="C2544" s="2" t="s">
        <v>2836</v>
      </c>
      <c r="D2544" s="15" t="s">
        <v>2837</v>
      </c>
      <c r="E2544" s="9" t="s">
        <v>509</v>
      </c>
      <c r="F2544" s="9" t="s">
        <v>2698</v>
      </c>
      <c r="G2544" s="9" t="s">
        <v>7586</v>
      </c>
      <c r="H2544" s="2" t="s">
        <v>60</v>
      </c>
      <c r="I2544" s="3">
        <v>36766</v>
      </c>
      <c r="J2544" s="9" t="str">
        <f t="shared" ca="1" si="41"/>
        <v>22 ans</v>
      </c>
      <c r="K2544" s="2" t="s">
        <v>68</v>
      </c>
      <c r="L2544" s="2" t="str">
        <f>"678"</f>
        <v>678</v>
      </c>
      <c r="M2544" s="2"/>
      <c r="N2544" s="2" t="str">
        <f>"RUE DES ÉPINETTES"</f>
        <v>RUE DES ÉPINETTES</v>
      </c>
      <c r="O2544" s="2" t="s">
        <v>11716</v>
      </c>
      <c r="P2544" s="9" t="str">
        <f>VLOOKUP($O2544,'Liste des Villes'!$B$2:$B$1128,1,FALSE)</f>
        <v>Saint-Côme</v>
      </c>
      <c r="Q2544" s="9" t="str">
        <f>IFERROR($P2544,PROPER(VLOOKUP($O2544,'Villes en erreur'!$A$2:$B$72,2,FALSE)))</f>
        <v>Saint-Côme</v>
      </c>
      <c r="R2544" s="9" t="s">
        <v>11717</v>
      </c>
      <c r="S2544" s="9" t="str">
        <f>IF(ISBLANK($R2544),"",VLOOKUP($R2544,'Liste des Villes'!$B$2:$H$1128,4,FALSE))</f>
        <v>Lanaudière</v>
      </c>
      <c r="T2544" s="2" t="s">
        <v>11721</v>
      </c>
      <c r="U2544" s="2" t="s">
        <v>39</v>
      </c>
      <c r="V2544" s="2" t="s">
        <v>40</v>
      </c>
      <c r="W2544" s="2" t="s">
        <v>11722</v>
      </c>
      <c r="X2544" s="2"/>
      <c r="Y2544" s="2"/>
      <c r="Z2544" s="2"/>
      <c r="AA2544" s="2" t="s">
        <v>72</v>
      </c>
      <c r="AB2544" s="2" t="s">
        <v>192</v>
      </c>
      <c r="AC2544" s="4" t="s">
        <v>44</v>
      </c>
    </row>
    <row r="2545" spans="1:29" x14ac:dyDescent="0.25">
      <c r="A2545" s="1">
        <v>486</v>
      </c>
      <c r="B2545" s="17" t="s">
        <v>11723</v>
      </c>
      <c r="C2545" s="2" t="s">
        <v>11724</v>
      </c>
      <c r="D2545" s="15" t="s">
        <v>11687</v>
      </c>
      <c r="E2545" s="9" t="s">
        <v>519</v>
      </c>
      <c r="F2545" s="9" t="s">
        <v>520</v>
      </c>
      <c r="G2545" s="9" t="s">
        <v>509</v>
      </c>
      <c r="H2545" s="2" t="s">
        <v>60</v>
      </c>
      <c r="I2545" s="3">
        <v>36860</v>
      </c>
      <c r="J2545" s="9" t="str">
        <f t="shared" ca="1" si="41"/>
        <v>22 ans</v>
      </c>
      <c r="K2545" s="2" t="s">
        <v>68</v>
      </c>
      <c r="L2545" s="2" t="str">
        <f>"828"</f>
        <v>828</v>
      </c>
      <c r="M2545" s="2"/>
      <c r="N2545" s="2" t="str">
        <f>"RUE DES PRÉS"</f>
        <v>RUE DES PRÉS</v>
      </c>
      <c r="O2545" s="2" t="s">
        <v>11725</v>
      </c>
      <c r="P2545" s="9" t="str">
        <f>VLOOKUP($O2545,'Liste des Villes'!$B$2:$B$1128,1,FALSE)</f>
        <v>Saint-Colomban</v>
      </c>
      <c r="Q2545" s="9" t="str">
        <f>IFERROR($P2545,PROPER(VLOOKUP($O2545,'Villes en erreur'!$A$2:$B$72,2,FALSE)))</f>
        <v>Saint-Colomban</v>
      </c>
      <c r="R2545" s="9" t="s">
        <v>11726</v>
      </c>
      <c r="S2545" s="9" t="str">
        <f>IF(ISBLANK($R2545),"",VLOOKUP($R2545,'Liste des Villes'!$B$2:$H$1128,4,FALSE))</f>
        <v>Laurentides</v>
      </c>
      <c r="T2545" s="2" t="s">
        <v>11727</v>
      </c>
      <c r="U2545" s="2" t="s">
        <v>39</v>
      </c>
      <c r="V2545" s="2" t="s">
        <v>40</v>
      </c>
      <c r="W2545" s="2" t="s">
        <v>11728</v>
      </c>
      <c r="X2545" s="2"/>
      <c r="Y2545" s="2"/>
      <c r="Z2545" s="2"/>
      <c r="AA2545" s="2" t="s">
        <v>606</v>
      </c>
      <c r="AB2545" s="2" t="s">
        <v>161</v>
      </c>
      <c r="AC2545" s="4" t="s">
        <v>44</v>
      </c>
    </row>
    <row r="2546" spans="1:29" x14ac:dyDescent="0.25">
      <c r="A2546" s="1">
        <v>1518</v>
      </c>
      <c r="B2546" s="17" t="s">
        <v>11729</v>
      </c>
      <c r="C2546" s="2" t="s">
        <v>11730</v>
      </c>
      <c r="D2546" s="15" t="s">
        <v>907</v>
      </c>
      <c r="E2546" s="9" t="s">
        <v>114</v>
      </c>
      <c r="F2546" s="9" t="s">
        <v>906</v>
      </c>
      <c r="G2546" s="9" t="s">
        <v>751</v>
      </c>
      <c r="H2546" s="2" t="s">
        <v>35</v>
      </c>
      <c r="I2546" s="3">
        <v>36819</v>
      </c>
      <c r="J2546" s="9" t="str">
        <f t="shared" ca="1" si="41"/>
        <v>22 ans</v>
      </c>
      <c r="K2546" s="2" t="s">
        <v>68</v>
      </c>
      <c r="L2546" s="2" t="str">
        <f>"750"</f>
        <v>750</v>
      </c>
      <c r="M2546" s="2"/>
      <c r="N2546" s="2" t="str">
        <f>"RUE DES MARGUERITES"</f>
        <v>RUE DES MARGUERITES</v>
      </c>
      <c r="O2546" s="2" t="s">
        <v>11725</v>
      </c>
      <c r="P2546" s="9" t="str">
        <f>VLOOKUP($O2546,'Liste des Villes'!$B$2:$B$1128,1,FALSE)</f>
        <v>Saint-Colomban</v>
      </c>
      <c r="Q2546" s="9" t="str">
        <f>IFERROR($P2546,PROPER(VLOOKUP($O2546,'Villes en erreur'!$A$2:$B$72,2,FALSE)))</f>
        <v>Saint-Colomban</v>
      </c>
      <c r="R2546" s="9" t="s">
        <v>11726</v>
      </c>
      <c r="S2546" s="9" t="str">
        <f>IF(ISBLANK($R2546),"",VLOOKUP($R2546,'Liste des Villes'!$B$2:$H$1128,4,FALSE))</f>
        <v>Laurentides</v>
      </c>
      <c r="T2546" s="2" t="s">
        <v>11731</v>
      </c>
      <c r="U2546" s="2" t="s">
        <v>39</v>
      </c>
      <c r="V2546" s="2" t="s">
        <v>40</v>
      </c>
      <c r="W2546" s="2" t="s">
        <v>11732</v>
      </c>
      <c r="X2546" s="2"/>
      <c r="Y2546" s="2"/>
      <c r="Z2546" s="2"/>
      <c r="AA2546" s="2" t="s">
        <v>72</v>
      </c>
      <c r="AB2546" s="2" t="s">
        <v>11733</v>
      </c>
      <c r="AC2546" s="4" t="s">
        <v>44</v>
      </c>
    </row>
    <row r="2547" spans="1:29" x14ac:dyDescent="0.25">
      <c r="A2547" s="1">
        <v>2722</v>
      </c>
      <c r="B2547" s="17" t="s">
        <v>11734</v>
      </c>
      <c r="C2547" s="2" t="s">
        <v>9324</v>
      </c>
      <c r="D2547" s="15" t="s">
        <v>2706</v>
      </c>
      <c r="E2547" s="9" t="s">
        <v>3218</v>
      </c>
      <c r="F2547" s="9" t="s">
        <v>11735</v>
      </c>
      <c r="G2547" s="9" t="s">
        <v>348</v>
      </c>
      <c r="H2547" s="2" t="s">
        <v>60</v>
      </c>
      <c r="I2547" s="3">
        <v>36787</v>
      </c>
      <c r="J2547" s="9" t="str">
        <f t="shared" ca="1" si="41"/>
        <v>22 ans</v>
      </c>
      <c r="K2547" s="2" t="s">
        <v>68</v>
      </c>
      <c r="L2547" s="2" t="str">
        <f>"701"</f>
        <v>701</v>
      </c>
      <c r="M2547" s="2"/>
      <c r="N2547" s="2" t="str">
        <f>"RUE DES GENTIANES"</f>
        <v>RUE DES GENTIANES</v>
      </c>
      <c r="O2547" s="2" t="s">
        <v>11725</v>
      </c>
      <c r="P2547" s="9" t="str">
        <f>VLOOKUP($O2547,'Liste des Villes'!$B$2:$B$1128,1,FALSE)</f>
        <v>Saint-Colomban</v>
      </c>
      <c r="Q2547" s="9" t="str">
        <f>IFERROR($P2547,PROPER(VLOOKUP($O2547,'Villes en erreur'!$A$2:$B$72,2,FALSE)))</f>
        <v>Saint-Colomban</v>
      </c>
      <c r="R2547" s="9" t="s">
        <v>11726</v>
      </c>
      <c r="S2547" s="9" t="str">
        <f>IF(ISBLANK($R2547),"",VLOOKUP($R2547,'Liste des Villes'!$B$2:$H$1128,4,FALSE))</f>
        <v>Laurentides</v>
      </c>
      <c r="T2547" s="2" t="s">
        <v>11736</v>
      </c>
      <c r="U2547" s="2" t="s">
        <v>39</v>
      </c>
      <c r="V2547" s="2" t="s">
        <v>40</v>
      </c>
      <c r="W2547" s="2" t="s">
        <v>11737</v>
      </c>
      <c r="X2547" s="2"/>
      <c r="Y2547" s="2"/>
      <c r="Z2547" s="2"/>
      <c r="AA2547" s="2" t="s">
        <v>72</v>
      </c>
      <c r="AB2547" s="2" t="s">
        <v>192</v>
      </c>
      <c r="AC2547" s="4" t="s">
        <v>44</v>
      </c>
    </row>
    <row r="2548" spans="1:29" x14ac:dyDescent="0.25">
      <c r="A2548" s="1">
        <v>229</v>
      </c>
      <c r="B2548" s="17" t="s">
        <v>11738</v>
      </c>
      <c r="C2548" s="2" t="s">
        <v>11739</v>
      </c>
      <c r="D2548" s="15" t="s">
        <v>11740</v>
      </c>
      <c r="E2548" s="9" t="s">
        <v>622</v>
      </c>
      <c r="F2548" s="9" t="s">
        <v>11741</v>
      </c>
      <c r="G2548" s="9" t="s">
        <v>120</v>
      </c>
      <c r="H2548" s="2" t="s">
        <v>35</v>
      </c>
      <c r="I2548" s="3">
        <v>36802</v>
      </c>
      <c r="J2548" s="9" t="str">
        <f t="shared" ca="1" si="41"/>
        <v>22 ans</v>
      </c>
      <c r="K2548" s="2" t="s">
        <v>68</v>
      </c>
      <c r="L2548" s="2" t="str">
        <f>"726"</f>
        <v>726</v>
      </c>
      <c r="M2548" s="2"/>
      <c r="N2548" s="2" t="str">
        <f>"RUE DES JONQUILLES"</f>
        <v>RUE DES JONQUILLES</v>
      </c>
      <c r="O2548" s="2" t="s">
        <v>11725</v>
      </c>
      <c r="P2548" s="9" t="str">
        <f>VLOOKUP($O2548,'Liste des Villes'!$B$2:$B$1128,1,FALSE)</f>
        <v>Saint-Colomban</v>
      </c>
      <c r="Q2548" s="9" t="str">
        <f>IFERROR($P2548,PROPER(VLOOKUP($O2548,'Villes en erreur'!$A$2:$B$72,2,FALSE)))</f>
        <v>Saint-Colomban</v>
      </c>
      <c r="R2548" s="9" t="s">
        <v>11726</v>
      </c>
      <c r="S2548" s="9" t="str">
        <f>IF(ISBLANK($R2548),"",VLOOKUP($R2548,'Liste des Villes'!$B$2:$H$1128,4,FALSE))</f>
        <v>Laurentides</v>
      </c>
      <c r="T2548" s="2" t="s">
        <v>11742</v>
      </c>
      <c r="U2548" s="2" t="s">
        <v>39</v>
      </c>
      <c r="V2548" s="2" t="s">
        <v>40</v>
      </c>
      <c r="W2548" s="2" t="s">
        <v>11743</v>
      </c>
      <c r="X2548" s="2"/>
      <c r="Y2548" s="2"/>
      <c r="Z2548" s="2"/>
      <c r="AA2548" s="2" t="s">
        <v>72</v>
      </c>
      <c r="AB2548" s="2" t="s">
        <v>11733</v>
      </c>
      <c r="AC2548" s="4" t="s">
        <v>44</v>
      </c>
    </row>
    <row r="2549" spans="1:29" x14ac:dyDescent="0.25">
      <c r="A2549" s="1">
        <v>1716</v>
      </c>
      <c r="B2549" s="17" t="s">
        <v>11744</v>
      </c>
      <c r="C2549" s="2" t="s">
        <v>4394</v>
      </c>
      <c r="D2549" s="15" t="s">
        <v>617</v>
      </c>
      <c r="E2549" s="9" t="s">
        <v>2404</v>
      </c>
      <c r="F2549" s="9" t="s">
        <v>11745</v>
      </c>
      <c r="G2549" s="9" t="s">
        <v>3066</v>
      </c>
      <c r="H2549" s="2" t="s">
        <v>60</v>
      </c>
      <c r="I2549" s="3">
        <v>36836</v>
      </c>
      <c r="J2549" s="9" t="str">
        <f t="shared" ca="1" si="41"/>
        <v>22 ans</v>
      </c>
      <c r="K2549" s="2" t="s">
        <v>68</v>
      </c>
      <c r="L2549" s="2" t="str">
        <f>"775"</f>
        <v>775</v>
      </c>
      <c r="M2549" s="2"/>
      <c r="N2549" s="2" t="str">
        <f>"RUE DES OUTARDES"</f>
        <v>RUE DES OUTARDES</v>
      </c>
      <c r="O2549" s="2" t="s">
        <v>11725</v>
      </c>
      <c r="P2549" s="9" t="str">
        <f>VLOOKUP($O2549,'Liste des Villes'!$B$2:$B$1128,1,FALSE)</f>
        <v>Saint-Colomban</v>
      </c>
      <c r="Q2549" s="9" t="str">
        <f>IFERROR($P2549,PROPER(VLOOKUP($O2549,'Villes en erreur'!$A$2:$B$72,2,FALSE)))</f>
        <v>Saint-Colomban</v>
      </c>
      <c r="R2549" s="9" t="s">
        <v>11726</v>
      </c>
      <c r="S2549" s="9" t="str">
        <f>IF(ISBLANK($R2549),"",VLOOKUP($R2549,'Liste des Villes'!$B$2:$H$1128,4,FALSE))</f>
        <v>Laurentides</v>
      </c>
      <c r="T2549" s="2" t="s">
        <v>11746</v>
      </c>
      <c r="U2549" s="2" t="s">
        <v>39</v>
      </c>
      <c r="V2549" s="2" t="s">
        <v>40</v>
      </c>
      <c r="W2549" s="2" t="s">
        <v>11747</v>
      </c>
      <c r="X2549" s="2"/>
      <c r="Y2549" s="2"/>
      <c r="Z2549" s="2"/>
      <c r="AA2549" s="2" t="s">
        <v>72</v>
      </c>
      <c r="AB2549" s="2" t="s">
        <v>11748</v>
      </c>
      <c r="AC2549" s="4" t="s">
        <v>44</v>
      </c>
    </row>
    <row r="2550" spans="1:29" x14ac:dyDescent="0.25">
      <c r="A2550" s="1">
        <v>1681</v>
      </c>
      <c r="B2550" s="17" t="s">
        <v>11749</v>
      </c>
      <c r="C2550" s="2" t="s">
        <v>8693</v>
      </c>
      <c r="D2550" s="15" t="s">
        <v>8694</v>
      </c>
      <c r="E2550" s="9" t="s">
        <v>5476</v>
      </c>
      <c r="F2550" s="9" t="s">
        <v>31</v>
      </c>
      <c r="G2550" s="9" t="s">
        <v>120</v>
      </c>
      <c r="H2550" s="2" t="s">
        <v>35</v>
      </c>
      <c r="I2550" s="3">
        <v>36805</v>
      </c>
      <c r="J2550" s="9" t="str">
        <f t="shared" ca="1" si="41"/>
        <v>22 ans</v>
      </c>
      <c r="K2550" s="2" t="s">
        <v>68</v>
      </c>
      <c r="L2550" s="2" t="str">
        <f>"732"</f>
        <v>732</v>
      </c>
      <c r="M2550" s="2"/>
      <c r="N2550" s="2" t="str">
        <f>"RUE DES LACS"</f>
        <v>RUE DES LACS</v>
      </c>
      <c r="O2550" s="2" t="s">
        <v>11725</v>
      </c>
      <c r="P2550" s="9" t="str">
        <f>VLOOKUP($O2550,'Liste des Villes'!$B$2:$B$1128,1,FALSE)</f>
        <v>Saint-Colomban</v>
      </c>
      <c r="Q2550" s="9" t="str">
        <f>IFERROR($P2550,PROPER(VLOOKUP($O2550,'Villes en erreur'!$A$2:$B$72,2,FALSE)))</f>
        <v>Saint-Colomban</v>
      </c>
      <c r="R2550" s="9" t="s">
        <v>11726</v>
      </c>
      <c r="S2550" s="9" t="str">
        <f>IF(ISBLANK($R2550),"",VLOOKUP($R2550,'Liste des Villes'!$B$2:$H$1128,4,FALSE))</f>
        <v>Laurentides</v>
      </c>
      <c r="T2550" s="2" t="s">
        <v>11750</v>
      </c>
      <c r="U2550" s="2" t="s">
        <v>39</v>
      </c>
      <c r="V2550" s="2" t="s">
        <v>40</v>
      </c>
      <c r="W2550" s="2" t="s">
        <v>11751</v>
      </c>
      <c r="X2550" s="2"/>
      <c r="Y2550" s="2"/>
      <c r="Z2550" s="2"/>
      <c r="AA2550" s="2" t="s">
        <v>72</v>
      </c>
      <c r="AB2550" s="2" t="s">
        <v>11733</v>
      </c>
      <c r="AC2550" s="4" t="s">
        <v>44</v>
      </c>
    </row>
    <row r="2551" spans="1:29" x14ac:dyDescent="0.25">
      <c r="A2551" s="1">
        <v>499</v>
      </c>
      <c r="B2551" s="17" t="s">
        <v>11752</v>
      </c>
      <c r="C2551" s="2" t="s">
        <v>11753</v>
      </c>
      <c r="D2551" s="15" t="s">
        <v>7711</v>
      </c>
      <c r="E2551" s="9" t="s">
        <v>9364</v>
      </c>
      <c r="F2551" s="9" t="s">
        <v>1070</v>
      </c>
      <c r="G2551" s="9" t="s">
        <v>10373</v>
      </c>
      <c r="H2551" s="2" t="s">
        <v>35</v>
      </c>
      <c r="I2551" s="3">
        <v>36844</v>
      </c>
      <c r="J2551" s="9" t="str">
        <f t="shared" ca="1" si="41"/>
        <v>22 ans</v>
      </c>
      <c r="K2551" s="2" t="s">
        <v>68</v>
      </c>
      <c r="L2551" s="2" t="str">
        <f>"786"</f>
        <v>786</v>
      </c>
      <c r="M2551" s="2"/>
      <c r="N2551" s="2" t="str">
        <f>"RUE DES PERDRIX"</f>
        <v>RUE DES PERDRIX</v>
      </c>
      <c r="O2551" s="2" t="s">
        <v>11725</v>
      </c>
      <c r="P2551" s="9" t="str">
        <f>VLOOKUP($O2551,'Liste des Villes'!$B$2:$B$1128,1,FALSE)</f>
        <v>Saint-Colomban</v>
      </c>
      <c r="Q2551" s="9" t="str">
        <f>IFERROR($P2551,PROPER(VLOOKUP($O2551,'Villes en erreur'!$A$2:$B$72,2,FALSE)))</f>
        <v>Saint-Colomban</v>
      </c>
      <c r="R2551" s="9" t="s">
        <v>11726</v>
      </c>
      <c r="S2551" s="9" t="str">
        <f>IF(ISBLANK($R2551),"",VLOOKUP($R2551,'Liste des Villes'!$B$2:$H$1128,4,FALSE))</f>
        <v>Laurentides</v>
      </c>
      <c r="T2551" s="2" t="s">
        <v>11754</v>
      </c>
      <c r="U2551" s="2" t="s">
        <v>39</v>
      </c>
      <c r="V2551" s="2" t="s">
        <v>40</v>
      </c>
      <c r="W2551" s="2" t="s">
        <v>11755</v>
      </c>
      <c r="X2551" s="2"/>
      <c r="Y2551" s="2"/>
      <c r="Z2551" s="2"/>
      <c r="AA2551" s="2" t="s">
        <v>606</v>
      </c>
      <c r="AB2551" s="2" t="s">
        <v>11748</v>
      </c>
      <c r="AC2551" s="4" t="s">
        <v>44</v>
      </c>
    </row>
    <row r="2552" spans="1:29" x14ac:dyDescent="0.25">
      <c r="A2552" s="1">
        <v>2681</v>
      </c>
      <c r="B2552" s="17" t="s">
        <v>11756</v>
      </c>
      <c r="C2552" s="2" t="s">
        <v>11757</v>
      </c>
      <c r="D2552" s="15" t="s">
        <v>11758</v>
      </c>
      <c r="E2552" s="9" t="s">
        <v>1642</v>
      </c>
      <c r="F2552" s="9" t="s">
        <v>2675</v>
      </c>
      <c r="G2552" s="9" t="s">
        <v>11759</v>
      </c>
      <c r="H2552" s="2" t="s">
        <v>35</v>
      </c>
      <c r="I2552" s="3">
        <v>36833</v>
      </c>
      <c r="J2552" s="9" t="str">
        <f t="shared" ca="1" si="41"/>
        <v>22 ans</v>
      </c>
      <c r="K2552" s="2" t="s">
        <v>68</v>
      </c>
      <c r="L2552" s="2" t="str">
        <f>"772"</f>
        <v>772</v>
      </c>
      <c r="M2552" s="2"/>
      <c r="N2552" s="2" t="str">
        <f>"RUE DES OURS"</f>
        <v>RUE DES OURS</v>
      </c>
      <c r="O2552" s="2" t="s">
        <v>11725</v>
      </c>
      <c r="P2552" s="9" t="str">
        <f>VLOOKUP($O2552,'Liste des Villes'!$B$2:$B$1128,1,FALSE)</f>
        <v>Saint-Colomban</v>
      </c>
      <c r="Q2552" s="9" t="str">
        <f>IFERROR($P2552,PROPER(VLOOKUP($O2552,'Villes en erreur'!$A$2:$B$72,2,FALSE)))</f>
        <v>Saint-Colomban</v>
      </c>
      <c r="R2552" s="9" t="s">
        <v>11726</v>
      </c>
      <c r="S2552" s="9" t="str">
        <f>IF(ISBLANK($R2552),"",VLOOKUP($R2552,'Liste des Villes'!$B$2:$H$1128,4,FALSE))</f>
        <v>Laurentides</v>
      </c>
      <c r="T2552" s="2" t="s">
        <v>11760</v>
      </c>
      <c r="U2552" s="2" t="s">
        <v>39</v>
      </c>
      <c r="V2552" s="2" t="s">
        <v>40</v>
      </c>
      <c r="W2552" s="2" t="s">
        <v>11761</v>
      </c>
      <c r="X2552" s="2"/>
      <c r="Y2552" s="2"/>
      <c r="Z2552" s="2"/>
      <c r="AA2552" s="2" t="s">
        <v>72</v>
      </c>
      <c r="AB2552" s="2" t="s">
        <v>11733</v>
      </c>
      <c r="AC2552" s="4" t="s">
        <v>44</v>
      </c>
    </row>
    <row r="2553" spans="1:29" x14ac:dyDescent="0.25">
      <c r="A2553" s="1">
        <v>4390</v>
      </c>
      <c r="B2553" s="17" t="s">
        <v>11762</v>
      </c>
      <c r="C2553" s="2" t="s">
        <v>1029</v>
      </c>
      <c r="D2553" s="15" t="s">
        <v>1030</v>
      </c>
      <c r="E2553" s="9" t="s">
        <v>698</v>
      </c>
      <c r="F2553" s="9" t="s">
        <v>1031</v>
      </c>
      <c r="G2553" s="9" t="s">
        <v>348</v>
      </c>
      <c r="H2553" s="2" t="s">
        <v>60</v>
      </c>
      <c r="I2553" s="3">
        <v>36778</v>
      </c>
      <c r="J2553" s="9" t="str">
        <f t="shared" ca="1" si="41"/>
        <v>22 ans</v>
      </c>
      <c r="K2553" s="2" t="s">
        <v>68</v>
      </c>
      <c r="L2553" s="2" t="str">
        <f>"693"</f>
        <v>693</v>
      </c>
      <c r="M2553" s="2"/>
      <c r="N2553" s="2" t="str">
        <f>"RUE DES FOUGÈRES"</f>
        <v>RUE DES FOUGÈRES</v>
      </c>
      <c r="O2553" s="2" t="s">
        <v>11725</v>
      </c>
      <c r="P2553" s="9" t="str">
        <f>VLOOKUP($O2553,'Liste des Villes'!$B$2:$B$1128,1,FALSE)</f>
        <v>Saint-Colomban</v>
      </c>
      <c r="Q2553" s="9" t="str">
        <f>IFERROR($P2553,PROPER(VLOOKUP($O2553,'Villes en erreur'!$A$2:$B$72,2,FALSE)))</f>
        <v>Saint-Colomban</v>
      </c>
      <c r="R2553" s="9" t="s">
        <v>11726</v>
      </c>
      <c r="S2553" s="9" t="str">
        <f>IF(ISBLANK($R2553),"",VLOOKUP($R2553,'Liste des Villes'!$B$2:$H$1128,4,FALSE))</f>
        <v>Laurentides</v>
      </c>
      <c r="T2553" s="2" t="s">
        <v>11763</v>
      </c>
      <c r="U2553" s="2" t="s">
        <v>39</v>
      </c>
      <c r="V2553" s="2" t="s">
        <v>40</v>
      </c>
      <c r="W2553" s="2" t="s">
        <v>11764</v>
      </c>
      <c r="X2553" s="2"/>
      <c r="Y2553" s="2"/>
      <c r="Z2553" s="2"/>
      <c r="AA2553" s="2" t="s">
        <v>72</v>
      </c>
      <c r="AB2553" s="2" t="s">
        <v>192</v>
      </c>
      <c r="AC2553" s="4" t="s">
        <v>44</v>
      </c>
    </row>
    <row r="2554" spans="1:29" x14ac:dyDescent="0.25">
      <c r="A2554" s="1">
        <v>3791</v>
      </c>
      <c r="B2554" s="17" t="s">
        <v>11765</v>
      </c>
      <c r="C2554" s="2" t="s">
        <v>7691</v>
      </c>
      <c r="D2554" s="15" t="s">
        <v>1800</v>
      </c>
      <c r="E2554" s="9" t="s">
        <v>7692</v>
      </c>
      <c r="F2554" s="9" t="s">
        <v>1098</v>
      </c>
      <c r="G2554" s="9" t="s">
        <v>509</v>
      </c>
      <c r="H2554" s="2" t="s">
        <v>60</v>
      </c>
      <c r="I2554" s="3">
        <v>36861</v>
      </c>
      <c r="J2554" s="9" t="str">
        <f t="shared" ca="1" si="41"/>
        <v>22 ans</v>
      </c>
      <c r="K2554" s="2" t="s">
        <v>68</v>
      </c>
      <c r="L2554" s="2" t="str">
        <f>"831"</f>
        <v>831</v>
      </c>
      <c r="M2554" s="2"/>
      <c r="N2554" s="2" t="str">
        <f>"RUE DES PRÉS"</f>
        <v>RUE DES PRÉS</v>
      </c>
      <c r="O2554" s="2" t="s">
        <v>11725</v>
      </c>
      <c r="P2554" s="9" t="str">
        <f>VLOOKUP($O2554,'Liste des Villes'!$B$2:$B$1128,1,FALSE)</f>
        <v>Saint-Colomban</v>
      </c>
      <c r="Q2554" s="9" t="str">
        <f>IFERROR($P2554,PROPER(VLOOKUP($O2554,'Villes en erreur'!$A$2:$B$72,2,FALSE)))</f>
        <v>Saint-Colomban</v>
      </c>
      <c r="R2554" s="9" t="s">
        <v>11726</v>
      </c>
      <c r="S2554" s="9" t="str">
        <f>IF(ISBLANK($R2554),"",VLOOKUP($R2554,'Liste des Villes'!$B$2:$H$1128,4,FALSE))</f>
        <v>Laurentides</v>
      </c>
      <c r="T2554" s="2" t="s">
        <v>11766</v>
      </c>
      <c r="U2554" s="2" t="s">
        <v>39</v>
      </c>
      <c r="V2554" s="2" t="s">
        <v>40</v>
      </c>
      <c r="W2554" s="2" t="s">
        <v>11767</v>
      </c>
      <c r="X2554" s="2"/>
      <c r="Y2554" s="2"/>
      <c r="Z2554" s="2"/>
      <c r="AA2554" s="2" t="s">
        <v>606</v>
      </c>
      <c r="AB2554" s="2" t="s">
        <v>161</v>
      </c>
      <c r="AC2554" s="4" t="s">
        <v>44</v>
      </c>
    </row>
    <row r="2555" spans="1:29" x14ac:dyDescent="0.25">
      <c r="A2555" s="1">
        <v>273</v>
      </c>
      <c r="B2555" s="17" t="s">
        <v>11768</v>
      </c>
      <c r="C2555" s="2" t="s">
        <v>11769</v>
      </c>
      <c r="D2555" s="15" t="s">
        <v>5815</v>
      </c>
      <c r="E2555" s="9" t="s">
        <v>11770</v>
      </c>
      <c r="F2555" s="9" t="s">
        <v>5814</v>
      </c>
      <c r="G2555" s="9" t="s">
        <v>4798</v>
      </c>
      <c r="H2555" s="2" t="s">
        <v>60</v>
      </c>
      <c r="I2555" s="3">
        <v>36768</v>
      </c>
      <c r="J2555" s="9" t="str">
        <f t="shared" ca="1" si="41"/>
        <v>22 ans</v>
      </c>
      <c r="K2555" s="2" t="s">
        <v>68</v>
      </c>
      <c r="L2555" s="2" t="str">
        <f>"681"</f>
        <v>681</v>
      </c>
      <c r="M2555" s="2"/>
      <c r="N2555" s="2" t="str">
        <f>"RUE DES ÉRABLES"</f>
        <v>RUE DES ÉRABLES</v>
      </c>
      <c r="O2555" s="2" t="s">
        <v>11725</v>
      </c>
      <c r="P2555" s="9" t="str">
        <f>VLOOKUP($O2555,'Liste des Villes'!$B$2:$B$1128,1,FALSE)</f>
        <v>Saint-Colomban</v>
      </c>
      <c r="Q2555" s="9" t="str">
        <f>IFERROR($P2555,PROPER(VLOOKUP($O2555,'Villes en erreur'!$A$2:$B$72,2,FALSE)))</f>
        <v>Saint-Colomban</v>
      </c>
      <c r="R2555" s="9" t="s">
        <v>11726</v>
      </c>
      <c r="S2555" s="9" t="str">
        <f>IF(ISBLANK($R2555),"",VLOOKUP($R2555,'Liste des Villes'!$B$2:$H$1128,4,FALSE))</f>
        <v>Laurentides</v>
      </c>
      <c r="T2555" s="2" t="s">
        <v>11771</v>
      </c>
      <c r="U2555" s="2" t="s">
        <v>39</v>
      </c>
      <c r="V2555" s="2" t="s">
        <v>40</v>
      </c>
      <c r="W2555" s="2" t="s">
        <v>11772</v>
      </c>
      <c r="X2555" s="2"/>
      <c r="Y2555" s="2"/>
      <c r="Z2555" s="2"/>
      <c r="AA2555" s="2" t="s">
        <v>72</v>
      </c>
      <c r="AB2555" s="2" t="s">
        <v>192</v>
      </c>
      <c r="AC2555" s="4" t="s">
        <v>44</v>
      </c>
    </row>
    <row r="2556" spans="1:29" x14ac:dyDescent="0.25">
      <c r="A2556" s="1">
        <v>2294</v>
      </c>
      <c r="B2556" s="17" t="s">
        <v>11773</v>
      </c>
      <c r="C2556" s="2" t="s">
        <v>11774</v>
      </c>
      <c r="D2556" s="15" t="s">
        <v>7323</v>
      </c>
      <c r="E2556" s="9" t="s">
        <v>2217</v>
      </c>
      <c r="F2556" s="9" t="s">
        <v>5170</v>
      </c>
      <c r="G2556" s="9" t="s">
        <v>120</v>
      </c>
      <c r="H2556" s="2" t="s">
        <v>35</v>
      </c>
      <c r="I2556" s="3">
        <v>36812</v>
      </c>
      <c r="J2556" s="9" t="str">
        <f t="shared" ca="1" si="41"/>
        <v>22 ans</v>
      </c>
      <c r="K2556" s="2" t="s">
        <v>68</v>
      </c>
      <c r="L2556" s="2" t="str">
        <f>"737"</f>
        <v>737</v>
      </c>
      <c r="M2556" s="2"/>
      <c r="N2556" s="2" t="str">
        <f>"RUE DES LILAS"</f>
        <v>RUE DES LILAS</v>
      </c>
      <c r="O2556" s="2" t="s">
        <v>11725</v>
      </c>
      <c r="P2556" s="9" t="str">
        <f>VLOOKUP($O2556,'Liste des Villes'!$B$2:$B$1128,1,FALSE)</f>
        <v>Saint-Colomban</v>
      </c>
      <c r="Q2556" s="9" t="str">
        <f>IFERROR($P2556,PROPER(VLOOKUP($O2556,'Villes en erreur'!$A$2:$B$72,2,FALSE)))</f>
        <v>Saint-Colomban</v>
      </c>
      <c r="R2556" s="9" t="s">
        <v>11726</v>
      </c>
      <c r="S2556" s="9" t="str">
        <f>IF(ISBLANK($R2556),"",VLOOKUP($R2556,'Liste des Villes'!$B$2:$H$1128,4,FALSE))</f>
        <v>Laurentides</v>
      </c>
      <c r="T2556" s="2" t="s">
        <v>11775</v>
      </c>
      <c r="U2556" s="2" t="s">
        <v>39</v>
      </c>
      <c r="V2556" s="2" t="s">
        <v>40</v>
      </c>
      <c r="W2556" s="2" t="s">
        <v>11776</v>
      </c>
      <c r="X2556" s="2"/>
      <c r="Y2556" s="2"/>
      <c r="Z2556" s="2"/>
      <c r="AA2556" s="2" t="s">
        <v>72</v>
      </c>
      <c r="AB2556" s="2" t="s">
        <v>11733</v>
      </c>
      <c r="AC2556" s="4" t="s">
        <v>44</v>
      </c>
    </row>
    <row r="2557" spans="1:29" x14ac:dyDescent="0.25">
      <c r="A2557" s="1">
        <v>2405</v>
      </c>
      <c r="B2557" s="17" t="s">
        <v>11777</v>
      </c>
      <c r="C2557" s="2" t="s">
        <v>11778</v>
      </c>
      <c r="D2557" s="15" t="s">
        <v>7757</v>
      </c>
      <c r="E2557" s="9" t="s">
        <v>704</v>
      </c>
      <c r="F2557" s="9" t="s">
        <v>7756</v>
      </c>
      <c r="G2557" s="9" t="s">
        <v>120</v>
      </c>
      <c r="H2557" s="2" t="s">
        <v>35</v>
      </c>
      <c r="I2557" s="3">
        <v>36802</v>
      </c>
      <c r="J2557" s="9" t="str">
        <f t="shared" ca="1" si="41"/>
        <v>22 ans</v>
      </c>
      <c r="K2557" s="2" t="s">
        <v>68</v>
      </c>
      <c r="L2557" s="2" t="str">
        <f>"725"</f>
        <v>725</v>
      </c>
      <c r="M2557" s="2"/>
      <c r="N2557" s="2" t="str">
        <f>"RUE DES JONCS"</f>
        <v>RUE DES JONCS</v>
      </c>
      <c r="O2557" s="2" t="s">
        <v>11725</v>
      </c>
      <c r="P2557" s="9" t="str">
        <f>VLOOKUP($O2557,'Liste des Villes'!$B$2:$B$1128,1,FALSE)</f>
        <v>Saint-Colomban</v>
      </c>
      <c r="Q2557" s="9" t="str">
        <f>IFERROR($P2557,PROPER(VLOOKUP($O2557,'Villes en erreur'!$A$2:$B$72,2,FALSE)))</f>
        <v>Saint-Colomban</v>
      </c>
      <c r="R2557" s="9" t="s">
        <v>11726</v>
      </c>
      <c r="S2557" s="9" t="str">
        <f>IF(ISBLANK($R2557),"",VLOOKUP($R2557,'Liste des Villes'!$B$2:$H$1128,4,FALSE))</f>
        <v>Laurentides</v>
      </c>
      <c r="T2557" s="2" t="s">
        <v>11779</v>
      </c>
      <c r="U2557" s="2" t="s">
        <v>39</v>
      </c>
      <c r="V2557" s="2" t="s">
        <v>40</v>
      </c>
      <c r="W2557" s="2" t="s">
        <v>11780</v>
      </c>
      <c r="X2557" s="2"/>
      <c r="Y2557" s="2"/>
      <c r="Z2557" s="2"/>
      <c r="AA2557" s="2" t="s">
        <v>72</v>
      </c>
      <c r="AB2557" s="2" t="s">
        <v>11733</v>
      </c>
      <c r="AC2557" s="4" t="s">
        <v>44</v>
      </c>
    </row>
    <row r="2558" spans="1:29" x14ac:dyDescent="0.25">
      <c r="A2558" s="1">
        <v>3078</v>
      </c>
      <c r="B2558" s="17" t="s">
        <v>11781</v>
      </c>
      <c r="C2558" s="2" t="s">
        <v>4457</v>
      </c>
      <c r="D2558" s="15" t="s">
        <v>1808</v>
      </c>
      <c r="E2558" s="9" t="s">
        <v>2381</v>
      </c>
      <c r="F2558" s="9" t="s">
        <v>1807</v>
      </c>
      <c r="G2558" s="9" t="s">
        <v>751</v>
      </c>
      <c r="H2558" s="2" t="s">
        <v>35</v>
      </c>
      <c r="I2558" s="3">
        <v>36820</v>
      </c>
      <c r="J2558" s="9" t="str">
        <f t="shared" ca="1" si="41"/>
        <v>22 ans</v>
      </c>
      <c r="K2558" s="2" t="s">
        <v>68</v>
      </c>
      <c r="L2558" s="2" t="str">
        <f>"751"</f>
        <v>751</v>
      </c>
      <c r="M2558" s="2"/>
      <c r="N2558" s="2" t="str">
        <f>"RUE DES MARGUERITES"</f>
        <v>RUE DES MARGUERITES</v>
      </c>
      <c r="O2558" s="2" t="s">
        <v>11725</v>
      </c>
      <c r="P2558" s="9" t="str">
        <f>VLOOKUP($O2558,'Liste des Villes'!$B$2:$B$1128,1,FALSE)</f>
        <v>Saint-Colomban</v>
      </c>
      <c r="Q2558" s="9" t="str">
        <f>IFERROR($P2558,PROPER(VLOOKUP($O2558,'Villes en erreur'!$A$2:$B$72,2,FALSE)))</f>
        <v>Saint-Colomban</v>
      </c>
      <c r="R2558" s="9" t="s">
        <v>11726</v>
      </c>
      <c r="S2558" s="9" t="str">
        <f>IF(ISBLANK($R2558),"",VLOOKUP($R2558,'Liste des Villes'!$B$2:$H$1128,4,FALSE))</f>
        <v>Laurentides</v>
      </c>
      <c r="T2558" s="2" t="s">
        <v>11782</v>
      </c>
      <c r="U2558" s="2" t="s">
        <v>39</v>
      </c>
      <c r="V2558" s="2" t="s">
        <v>40</v>
      </c>
      <c r="W2558" s="2" t="s">
        <v>11783</v>
      </c>
      <c r="X2558" s="2"/>
      <c r="Y2558" s="2"/>
      <c r="Z2558" s="2"/>
      <c r="AA2558" s="2" t="s">
        <v>72</v>
      </c>
      <c r="AB2558" s="2" t="s">
        <v>11733</v>
      </c>
      <c r="AC2558" s="4" t="s">
        <v>44</v>
      </c>
    </row>
    <row r="2559" spans="1:29" x14ac:dyDescent="0.25">
      <c r="A2559" s="1">
        <v>68</v>
      </c>
      <c r="B2559" s="17" t="s">
        <v>11784</v>
      </c>
      <c r="C2559" s="2" t="s">
        <v>11785</v>
      </c>
      <c r="D2559" s="15" t="s">
        <v>11786</v>
      </c>
      <c r="E2559" s="9" t="s">
        <v>6832</v>
      </c>
      <c r="F2559" s="9" t="s">
        <v>11787</v>
      </c>
      <c r="G2559" s="9" t="s">
        <v>509</v>
      </c>
      <c r="H2559" s="2" t="s">
        <v>60</v>
      </c>
      <c r="I2559" s="3">
        <v>36867</v>
      </c>
      <c r="J2559" s="9" t="str">
        <f t="shared" ca="1" si="41"/>
        <v>22 ans</v>
      </c>
      <c r="K2559" s="2" t="s">
        <v>68</v>
      </c>
      <c r="L2559" s="2" t="str">
        <f>"841"</f>
        <v>841</v>
      </c>
      <c r="M2559" s="2"/>
      <c r="N2559" s="2" t="str">
        <f>"RUE DES RAMEAUX"</f>
        <v>RUE DES RAMEAUX</v>
      </c>
      <c r="O2559" s="2" t="s">
        <v>11725</v>
      </c>
      <c r="P2559" s="9" t="str">
        <f>VLOOKUP($O2559,'Liste des Villes'!$B$2:$B$1128,1,FALSE)</f>
        <v>Saint-Colomban</v>
      </c>
      <c r="Q2559" s="9" t="str">
        <f>IFERROR($P2559,PROPER(VLOOKUP($O2559,'Villes en erreur'!$A$2:$B$72,2,FALSE)))</f>
        <v>Saint-Colomban</v>
      </c>
      <c r="R2559" s="9" t="s">
        <v>11726</v>
      </c>
      <c r="S2559" s="9" t="str">
        <f>IF(ISBLANK($R2559),"",VLOOKUP($R2559,'Liste des Villes'!$B$2:$H$1128,4,FALSE))</f>
        <v>Laurentides</v>
      </c>
      <c r="T2559" s="2" t="s">
        <v>11788</v>
      </c>
      <c r="U2559" s="2" t="s">
        <v>39</v>
      </c>
      <c r="V2559" s="2" t="s">
        <v>40</v>
      </c>
      <c r="W2559" s="2" t="s">
        <v>11789</v>
      </c>
      <c r="X2559" s="2"/>
      <c r="Y2559" s="2"/>
      <c r="Z2559" s="2"/>
      <c r="AA2559" s="2" t="s">
        <v>606</v>
      </c>
      <c r="AB2559" s="2" t="s">
        <v>161</v>
      </c>
      <c r="AC2559" s="4" t="s">
        <v>44</v>
      </c>
    </row>
    <row r="2560" spans="1:29" x14ac:dyDescent="0.25">
      <c r="A2560" s="1">
        <v>175</v>
      </c>
      <c r="B2560" s="17" t="s">
        <v>11790</v>
      </c>
      <c r="C2560" s="2" t="s">
        <v>11791</v>
      </c>
      <c r="D2560" s="15" t="s">
        <v>7255</v>
      </c>
      <c r="E2560" s="9" t="s">
        <v>1355</v>
      </c>
      <c r="F2560" s="9" t="s">
        <v>7253</v>
      </c>
      <c r="G2560" s="9" t="s">
        <v>509</v>
      </c>
      <c r="H2560" s="2" t="s">
        <v>60</v>
      </c>
      <c r="I2560" s="3">
        <v>36867</v>
      </c>
      <c r="J2560" s="9" t="str">
        <f t="shared" ca="1" si="41"/>
        <v>22 ans</v>
      </c>
      <c r="K2560" s="2" t="s">
        <v>68</v>
      </c>
      <c r="L2560" s="2" t="str">
        <f>"841"</f>
        <v>841</v>
      </c>
      <c r="M2560" s="2"/>
      <c r="N2560" s="2" t="str">
        <f>"RUE DES RÊVES"</f>
        <v>RUE DES RÊVES</v>
      </c>
      <c r="O2560" s="2" t="s">
        <v>11725</v>
      </c>
      <c r="P2560" s="9" t="str">
        <f>VLOOKUP($O2560,'Liste des Villes'!$B$2:$B$1128,1,FALSE)</f>
        <v>Saint-Colomban</v>
      </c>
      <c r="Q2560" s="9" t="str">
        <f>IFERROR($P2560,PROPER(VLOOKUP($O2560,'Villes en erreur'!$A$2:$B$72,2,FALSE)))</f>
        <v>Saint-Colomban</v>
      </c>
      <c r="R2560" s="9" t="s">
        <v>11726</v>
      </c>
      <c r="S2560" s="9" t="str">
        <f>IF(ISBLANK($R2560),"",VLOOKUP($R2560,'Liste des Villes'!$B$2:$H$1128,4,FALSE))</f>
        <v>Laurentides</v>
      </c>
      <c r="T2560" s="2" t="s">
        <v>11792</v>
      </c>
      <c r="U2560" s="2" t="s">
        <v>39</v>
      </c>
      <c r="V2560" s="2" t="s">
        <v>40</v>
      </c>
      <c r="W2560" s="2" t="s">
        <v>11793</v>
      </c>
      <c r="X2560" s="2"/>
      <c r="Y2560" s="2"/>
      <c r="Z2560" s="2"/>
      <c r="AA2560" s="2" t="s">
        <v>606</v>
      </c>
      <c r="AB2560" s="2" t="s">
        <v>161</v>
      </c>
      <c r="AC2560" s="4" t="s">
        <v>44</v>
      </c>
    </row>
    <row r="2561" spans="1:29" x14ac:dyDescent="0.25">
      <c r="A2561" s="1">
        <v>3068</v>
      </c>
      <c r="B2561" s="17" t="s">
        <v>11794</v>
      </c>
      <c r="C2561" s="2" t="s">
        <v>11795</v>
      </c>
      <c r="D2561" s="15" t="s">
        <v>8525</v>
      </c>
      <c r="E2561" s="9" t="s">
        <v>10433</v>
      </c>
      <c r="F2561" s="9" t="s">
        <v>1983</v>
      </c>
      <c r="G2561" s="9" t="s">
        <v>751</v>
      </c>
      <c r="H2561" s="2" t="s">
        <v>35</v>
      </c>
      <c r="I2561" s="3">
        <v>36820</v>
      </c>
      <c r="J2561" s="9" t="str">
        <f t="shared" ca="1" si="41"/>
        <v>22 ans</v>
      </c>
      <c r="K2561" s="2" t="s">
        <v>68</v>
      </c>
      <c r="L2561" s="2" t="str">
        <f>"750"</f>
        <v>750</v>
      </c>
      <c r="M2561" s="2"/>
      <c r="N2561" s="2" t="str">
        <f>"RUE DES MARGUERITES"</f>
        <v>RUE DES MARGUERITES</v>
      </c>
      <c r="O2561" s="2" t="s">
        <v>11725</v>
      </c>
      <c r="P2561" s="9" t="str">
        <f>VLOOKUP($O2561,'Liste des Villes'!$B$2:$B$1128,1,FALSE)</f>
        <v>Saint-Colomban</v>
      </c>
      <c r="Q2561" s="9" t="str">
        <f>IFERROR($P2561,PROPER(VLOOKUP($O2561,'Villes en erreur'!$A$2:$B$72,2,FALSE)))</f>
        <v>Saint-Colomban</v>
      </c>
      <c r="R2561" s="9" t="s">
        <v>11726</v>
      </c>
      <c r="S2561" s="9" t="str">
        <f>IF(ISBLANK($R2561),"",VLOOKUP($R2561,'Liste des Villes'!$B$2:$H$1128,4,FALSE))</f>
        <v>Laurentides</v>
      </c>
      <c r="T2561" s="2" t="s">
        <v>11796</v>
      </c>
      <c r="U2561" s="2" t="s">
        <v>39</v>
      </c>
      <c r="V2561" s="2" t="s">
        <v>40</v>
      </c>
      <c r="W2561" s="2" t="s">
        <v>11797</v>
      </c>
      <c r="X2561" s="2"/>
      <c r="Y2561" s="2"/>
      <c r="Z2561" s="2"/>
      <c r="AA2561" s="2" t="s">
        <v>72</v>
      </c>
      <c r="AB2561" s="2" t="s">
        <v>11733</v>
      </c>
      <c r="AC2561" s="4" t="s">
        <v>44</v>
      </c>
    </row>
    <row r="2562" spans="1:29" x14ac:dyDescent="0.25">
      <c r="A2562" s="1">
        <v>477</v>
      </c>
      <c r="B2562" s="17" t="s">
        <v>11798</v>
      </c>
      <c r="C2562" s="2" t="s">
        <v>11799</v>
      </c>
      <c r="D2562" s="15" t="s">
        <v>11800</v>
      </c>
      <c r="E2562" s="9" t="s">
        <v>3595</v>
      </c>
      <c r="F2562" s="9" t="s">
        <v>11801</v>
      </c>
      <c r="G2562" s="9" t="s">
        <v>509</v>
      </c>
      <c r="H2562" s="2" t="s">
        <v>60</v>
      </c>
      <c r="I2562" s="3">
        <v>36873</v>
      </c>
      <c r="J2562" s="9" t="str">
        <f t="shared" ref="J2562:J2625" ca="1" si="42">_xlfn.CONCAT(INT((TODAY()-$I2562)/365.25)," ans")</f>
        <v>22 ans</v>
      </c>
      <c r="K2562" s="2" t="s">
        <v>68</v>
      </c>
      <c r="L2562" s="2" t="str">
        <f>"850"</f>
        <v>850</v>
      </c>
      <c r="M2562" s="2"/>
      <c r="N2562" s="2" t="str">
        <f>"RUE DES ROSSIGNOLS"</f>
        <v>RUE DES ROSSIGNOLS</v>
      </c>
      <c r="O2562" s="2" t="s">
        <v>11725</v>
      </c>
      <c r="P2562" s="9" t="str">
        <f>VLOOKUP($O2562,'Liste des Villes'!$B$2:$B$1128,1,FALSE)</f>
        <v>Saint-Colomban</v>
      </c>
      <c r="Q2562" s="9" t="str">
        <f>IFERROR($P2562,PROPER(VLOOKUP($O2562,'Villes en erreur'!$A$2:$B$72,2,FALSE)))</f>
        <v>Saint-Colomban</v>
      </c>
      <c r="R2562" s="9" t="s">
        <v>11726</v>
      </c>
      <c r="S2562" s="9" t="str">
        <f>IF(ISBLANK($R2562),"",VLOOKUP($R2562,'Liste des Villes'!$B$2:$H$1128,4,FALSE))</f>
        <v>Laurentides</v>
      </c>
      <c r="T2562" s="2" t="s">
        <v>11802</v>
      </c>
      <c r="U2562" s="2" t="s">
        <v>39</v>
      </c>
      <c r="V2562" s="2" t="s">
        <v>40</v>
      </c>
      <c r="W2562" s="2" t="s">
        <v>11803</v>
      </c>
      <c r="X2562" s="2"/>
      <c r="Y2562" s="2"/>
      <c r="Z2562" s="2"/>
      <c r="AA2562" s="2" t="s">
        <v>606</v>
      </c>
      <c r="AB2562" s="2" t="s">
        <v>161</v>
      </c>
      <c r="AC2562" s="4" t="s">
        <v>44</v>
      </c>
    </row>
    <row r="2563" spans="1:29" x14ac:dyDescent="0.25">
      <c r="A2563" s="1">
        <v>1374</v>
      </c>
      <c r="B2563" s="17" t="s">
        <v>11804</v>
      </c>
      <c r="C2563" s="2" t="s">
        <v>11805</v>
      </c>
      <c r="D2563" s="15" t="s">
        <v>11806</v>
      </c>
      <c r="E2563" s="9" t="s">
        <v>120</v>
      </c>
      <c r="F2563" s="9" t="s">
        <v>11807</v>
      </c>
      <c r="G2563" s="9" t="s">
        <v>5607</v>
      </c>
      <c r="H2563" s="2" t="s">
        <v>35</v>
      </c>
      <c r="I2563" s="3">
        <v>36846</v>
      </c>
      <c r="J2563" s="9" t="str">
        <f t="shared" ca="1" si="42"/>
        <v>22 ans</v>
      </c>
      <c r="K2563" s="2" t="s">
        <v>68</v>
      </c>
      <c r="L2563" s="2" t="str">
        <f>"791"</f>
        <v>791</v>
      </c>
      <c r="M2563" s="2"/>
      <c r="N2563" s="2" t="str">
        <f>"RUE DES PEUPLIERS"</f>
        <v>RUE DES PEUPLIERS</v>
      </c>
      <c r="O2563" s="2" t="s">
        <v>11725</v>
      </c>
      <c r="P2563" s="9" t="str">
        <f>VLOOKUP($O2563,'Liste des Villes'!$B$2:$B$1128,1,FALSE)</f>
        <v>Saint-Colomban</v>
      </c>
      <c r="Q2563" s="9" t="str">
        <f>IFERROR($P2563,PROPER(VLOOKUP($O2563,'Villes en erreur'!$A$2:$B$72,2,FALSE)))</f>
        <v>Saint-Colomban</v>
      </c>
      <c r="R2563" s="9" t="s">
        <v>11726</v>
      </c>
      <c r="S2563" s="9" t="str">
        <f>IF(ISBLANK($R2563),"",VLOOKUP($R2563,'Liste des Villes'!$B$2:$H$1128,4,FALSE))</f>
        <v>Laurentides</v>
      </c>
      <c r="T2563" s="2" t="s">
        <v>11808</v>
      </c>
      <c r="U2563" s="2" t="s">
        <v>39</v>
      </c>
      <c r="V2563" s="2" t="s">
        <v>40</v>
      </c>
      <c r="W2563" s="2" t="s">
        <v>11809</v>
      </c>
      <c r="X2563" s="2"/>
      <c r="Y2563" s="2"/>
      <c r="Z2563" s="2"/>
      <c r="AA2563" s="2" t="s">
        <v>606</v>
      </c>
      <c r="AB2563" s="2" t="s">
        <v>11748</v>
      </c>
      <c r="AC2563" s="4" t="s">
        <v>44</v>
      </c>
    </row>
    <row r="2564" spans="1:29" x14ac:dyDescent="0.25">
      <c r="A2564" s="1">
        <v>2194</v>
      </c>
      <c r="B2564" s="17" t="s">
        <v>11810</v>
      </c>
      <c r="C2564" s="2" t="s">
        <v>2689</v>
      </c>
      <c r="D2564" s="15" t="s">
        <v>1548</v>
      </c>
      <c r="E2564" s="9" t="s">
        <v>1673</v>
      </c>
      <c r="F2564" s="9" t="s">
        <v>11811</v>
      </c>
      <c r="G2564" s="9" t="s">
        <v>2069</v>
      </c>
      <c r="H2564" s="2" t="s">
        <v>60</v>
      </c>
      <c r="I2564" s="3">
        <v>36775</v>
      </c>
      <c r="J2564" s="9" t="str">
        <f t="shared" ca="1" si="42"/>
        <v>22 ans</v>
      </c>
      <c r="K2564" s="2" t="s">
        <v>68</v>
      </c>
      <c r="L2564" s="2" t="str">
        <f>"685"</f>
        <v>685</v>
      </c>
      <c r="M2564" s="2"/>
      <c r="N2564" s="2" t="str">
        <f>"RUE DES FAUVETTES"</f>
        <v>RUE DES FAUVETTES</v>
      </c>
      <c r="O2564" s="2" t="s">
        <v>11725</v>
      </c>
      <c r="P2564" s="9" t="str">
        <f>VLOOKUP($O2564,'Liste des Villes'!$B$2:$B$1128,1,FALSE)</f>
        <v>Saint-Colomban</v>
      </c>
      <c r="Q2564" s="9" t="str">
        <f>IFERROR($P2564,PROPER(VLOOKUP($O2564,'Villes en erreur'!$A$2:$B$72,2,FALSE)))</f>
        <v>Saint-Colomban</v>
      </c>
      <c r="R2564" s="9" t="s">
        <v>11726</v>
      </c>
      <c r="S2564" s="9" t="str">
        <f>IF(ISBLANK($R2564),"",VLOOKUP($R2564,'Liste des Villes'!$B$2:$H$1128,4,FALSE))</f>
        <v>Laurentides</v>
      </c>
      <c r="T2564" s="2" t="s">
        <v>11812</v>
      </c>
      <c r="U2564" s="2" t="s">
        <v>39</v>
      </c>
      <c r="V2564" s="2" t="s">
        <v>40</v>
      </c>
      <c r="W2564" s="2" t="s">
        <v>11813</v>
      </c>
      <c r="X2564" s="2"/>
      <c r="Y2564" s="2"/>
      <c r="Z2564" s="2"/>
      <c r="AA2564" s="2" t="s">
        <v>72</v>
      </c>
      <c r="AB2564" s="2" t="s">
        <v>192</v>
      </c>
      <c r="AC2564" s="4" t="s">
        <v>44</v>
      </c>
    </row>
    <row r="2565" spans="1:29" x14ac:dyDescent="0.25">
      <c r="A2565" s="1">
        <v>3357</v>
      </c>
      <c r="B2565" s="17" t="s">
        <v>11814</v>
      </c>
      <c r="C2565" s="2" t="s">
        <v>11815</v>
      </c>
      <c r="D2565" s="15" t="s">
        <v>9863</v>
      </c>
      <c r="E2565" s="9" t="s">
        <v>3265</v>
      </c>
      <c r="F2565" s="9" t="s">
        <v>2919</v>
      </c>
      <c r="G2565" s="9" t="s">
        <v>787</v>
      </c>
      <c r="H2565" s="2" t="s">
        <v>35</v>
      </c>
      <c r="I2565" s="3">
        <v>36814</v>
      </c>
      <c r="J2565" s="9" t="str">
        <f t="shared" ca="1" si="42"/>
        <v>22 ans</v>
      </c>
      <c r="K2565" s="2" t="s">
        <v>68</v>
      </c>
      <c r="L2565" s="2" t="str">
        <f>"743"</f>
        <v>743</v>
      </c>
      <c r="M2565" s="2"/>
      <c r="N2565" s="2" t="str">
        <f>"RUE DES LYS"</f>
        <v>RUE DES LYS</v>
      </c>
      <c r="O2565" s="2" t="s">
        <v>11725</v>
      </c>
      <c r="P2565" s="9" t="str">
        <f>VLOOKUP($O2565,'Liste des Villes'!$B$2:$B$1128,1,FALSE)</f>
        <v>Saint-Colomban</v>
      </c>
      <c r="Q2565" s="9" t="str">
        <f>IFERROR($P2565,PROPER(VLOOKUP($O2565,'Villes en erreur'!$A$2:$B$72,2,FALSE)))</f>
        <v>Saint-Colomban</v>
      </c>
      <c r="R2565" s="9" t="s">
        <v>11726</v>
      </c>
      <c r="S2565" s="9" t="str">
        <f>IF(ISBLANK($R2565),"",VLOOKUP($R2565,'Liste des Villes'!$B$2:$H$1128,4,FALSE))</f>
        <v>Laurentides</v>
      </c>
      <c r="T2565" s="2" t="s">
        <v>11816</v>
      </c>
      <c r="U2565" s="2" t="s">
        <v>39</v>
      </c>
      <c r="V2565" s="2" t="s">
        <v>40</v>
      </c>
      <c r="W2565" s="2" t="s">
        <v>11817</v>
      </c>
      <c r="X2565" s="2"/>
      <c r="Y2565" s="2"/>
      <c r="Z2565" s="2"/>
      <c r="AA2565" s="2" t="s">
        <v>72</v>
      </c>
      <c r="AB2565" s="2" t="s">
        <v>11733</v>
      </c>
      <c r="AC2565" s="4" t="s">
        <v>44</v>
      </c>
    </row>
    <row r="2566" spans="1:29" x14ac:dyDescent="0.25">
      <c r="A2566" s="1">
        <v>896</v>
      </c>
      <c r="B2566" s="17" t="s">
        <v>11818</v>
      </c>
      <c r="C2566" s="2" t="s">
        <v>4135</v>
      </c>
      <c r="D2566" s="15" t="s">
        <v>4136</v>
      </c>
      <c r="E2566" s="9" t="s">
        <v>1355</v>
      </c>
      <c r="F2566" s="9" t="s">
        <v>1356</v>
      </c>
      <c r="G2566" s="9" t="s">
        <v>9574</v>
      </c>
      <c r="H2566" s="2" t="s">
        <v>35</v>
      </c>
      <c r="I2566" s="3">
        <v>36841</v>
      </c>
      <c r="J2566" s="9" t="str">
        <f t="shared" ca="1" si="42"/>
        <v>22 ans</v>
      </c>
      <c r="K2566" s="2" t="s">
        <v>68</v>
      </c>
      <c r="L2566" s="2" t="str">
        <f>"786"</f>
        <v>786</v>
      </c>
      <c r="M2566" s="2"/>
      <c r="N2566" s="2" t="str">
        <f>"RUE DES PÉLICANS"</f>
        <v>RUE DES PÉLICANS</v>
      </c>
      <c r="O2566" s="2" t="s">
        <v>11725</v>
      </c>
      <c r="P2566" s="9" t="str">
        <f>VLOOKUP($O2566,'Liste des Villes'!$B$2:$B$1128,1,FALSE)</f>
        <v>Saint-Colomban</v>
      </c>
      <c r="Q2566" s="9" t="str">
        <f>IFERROR($P2566,PROPER(VLOOKUP($O2566,'Villes en erreur'!$A$2:$B$72,2,FALSE)))</f>
        <v>Saint-Colomban</v>
      </c>
      <c r="R2566" s="9" t="s">
        <v>11726</v>
      </c>
      <c r="S2566" s="9" t="str">
        <f>IF(ISBLANK($R2566),"",VLOOKUP($R2566,'Liste des Villes'!$B$2:$H$1128,4,FALSE))</f>
        <v>Laurentides</v>
      </c>
      <c r="T2566" s="2" t="s">
        <v>11819</v>
      </c>
      <c r="U2566" s="2" t="s">
        <v>39</v>
      </c>
      <c r="V2566" s="2" t="s">
        <v>40</v>
      </c>
      <c r="W2566" s="2" t="s">
        <v>11820</v>
      </c>
      <c r="X2566" s="2"/>
      <c r="Y2566" s="2"/>
      <c r="Z2566" s="2"/>
      <c r="AA2566" s="2" t="s">
        <v>606</v>
      </c>
      <c r="AB2566" s="2" t="s">
        <v>11748</v>
      </c>
      <c r="AC2566" s="4" t="s">
        <v>44</v>
      </c>
    </row>
    <row r="2567" spans="1:29" x14ac:dyDescent="0.25">
      <c r="A2567" s="1">
        <v>1902</v>
      </c>
      <c r="B2567" s="17" t="s">
        <v>11821</v>
      </c>
      <c r="C2567" s="2" t="s">
        <v>11822</v>
      </c>
      <c r="D2567" s="15" t="s">
        <v>6577</v>
      </c>
      <c r="E2567" s="9" t="s">
        <v>1525</v>
      </c>
      <c r="F2567" s="9" t="s">
        <v>1360</v>
      </c>
      <c r="G2567" s="9" t="s">
        <v>450</v>
      </c>
      <c r="H2567" s="2" t="s">
        <v>60</v>
      </c>
      <c r="I2567" s="3">
        <v>36826</v>
      </c>
      <c r="J2567" s="9" t="str">
        <f t="shared" ca="1" si="42"/>
        <v>22 ans</v>
      </c>
      <c r="K2567" s="2" t="s">
        <v>68</v>
      </c>
      <c r="L2567" s="2" t="str">
        <f>"761"</f>
        <v>761</v>
      </c>
      <c r="M2567" s="2"/>
      <c r="N2567" s="2" t="str">
        <f>"RUE DES MERLES"</f>
        <v>RUE DES MERLES</v>
      </c>
      <c r="O2567" s="2" t="s">
        <v>11725</v>
      </c>
      <c r="P2567" s="9" t="str">
        <f>VLOOKUP($O2567,'Liste des Villes'!$B$2:$B$1128,1,FALSE)</f>
        <v>Saint-Colomban</v>
      </c>
      <c r="Q2567" s="9" t="str">
        <f>IFERROR($P2567,PROPER(VLOOKUP($O2567,'Villes en erreur'!$A$2:$B$72,2,FALSE)))</f>
        <v>Saint-Colomban</v>
      </c>
      <c r="R2567" s="9" t="s">
        <v>11726</v>
      </c>
      <c r="S2567" s="9" t="str">
        <f>IF(ISBLANK($R2567),"",VLOOKUP($R2567,'Liste des Villes'!$B$2:$H$1128,4,FALSE))</f>
        <v>Laurentides</v>
      </c>
      <c r="T2567" s="2" t="s">
        <v>11823</v>
      </c>
      <c r="U2567" s="2" t="s">
        <v>39</v>
      </c>
      <c r="V2567" s="2" t="s">
        <v>40</v>
      </c>
      <c r="W2567" s="2" t="s">
        <v>11824</v>
      </c>
      <c r="X2567" s="2"/>
      <c r="Y2567" s="2"/>
      <c r="Z2567" s="2"/>
      <c r="AA2567" s="2" t="s">
        <v>72</v>
      </c>
      <c r="AB2567" s="2" t="s">
        <v>11733</v>
      </c>
      <c r="AC2567" s="4" t="s">
        <v>44</v>
      </c>
    </row>
    <row r="2568" spans="1:29" x14ac:dyDescent="0.25">
      <c r="A2568" s="1">
        <v>4081</v>
      </c>
      <c r="B2568" s="17" t="s">
        <v>11825</v>
      </c>
      <c r="C2568" s="2" t="s">
        <v>11826</v>
      </c>
      <c r="D2568" s="15" t="s">
        <v>9074</v>
      </c>
      <c r="E2568" s="9" t="s">
        <v>114</v>
      </c>
      <c r="F2568" s="9" t="s">
        <v>9073</v>
      </c>
      <c r="G2568" s="9" t="s">
        <v>120</v>
      </c>
      <c r="H2568" s="2" t="s">
        <v>35</v>
      </c>
      <c r="I2568" s="3">
        <v>36814</v>
      </c>
      <c r="J2568" s="9" t="str">
        <f t="shared" ca="1" si="42"/>
        <v>22 ans</v>
      </c>
      <c r="K2568" s="2" t="s">
        <v>68</v>
      </c>
      <c r="L2568" s="2" t="str">
        <f>"739"</f>
        <v>739</v>
      </c>
      <c r="M2568" s="2"/>
      <c r="N2568" s="2" t="str">
        <f>"RUE DES LOTUS"</f>
        <v>RUE DES LOTUS</v>
      </c>
      <c r="O2568" s="2" t="s">
        <v>11725</v>
      </c>
      <c r="P2568" s="9" t="str">
        <f>VLOOKUP($O2568,'Liste des Villes'!$B$2:$B$1128,1,FALSE)</f>
        <v>Saint-Colomban</v>
      </c>
      <c r="Q2568" s="9" t="str">
        <f>IFERROR($P2568,PROPER(VLOOKUP($O2568,'Villes en erreur'!$A$2:$B$72,2,FALSE)))</f>
        <v>Saint-Colomban</v>
      </c>
      <c r="R2568" s="9" t="s">
        <v>11726</v>
      </c>
      <c r="S2568" s="9" t="str">
        <f>IF(ISBLANK($R2568),"",VLOOKUP($R2568,'Liste des Villes'!$B$2:$H$1128,4,FALSE))</f>
        <v>Laurentides</v>
      </c>
      <c r="T2568" s="2" t="s">
        <v>11827</v>
      </c>
      <c r="U2568" s="2" t="s">
        <v>39</v>
      </c>
      <c r="V2568" s="2" t="s">
        <v>40</v>
      </c>
      <c r="W2568" s="2" t="s">
        <v>11828</v>
      </c>
      <c r="X2568" s="2"/>
      <c r="Y2568" s="2"/>
      <c r="Z2568" s="2"/>
      <c r="AA2568" s="2" t="s">
        <v>72</v>
      </c>
      <c r="AB2568" s="2" t="s">
        <v>11733</v>
      </c>
      <c r="AC2568" s="4" t="s">
        <v>44</v>
      </c>
    </row>
    <row r="2569" spans="1:29" x14ac:dyDescent="0.25">
      <c r="A2569" s="1">
        <v>2339</v>
      </c>
      <c r="B2569" s="17" t="s">
        <v>11829</v>
      </c>
      <c r="C2569" s="2" t="s">
        <v>2084</v>
      </c>
      <c r="D2569" s="15" t="s">
        <v>2085</v>
      </c>
      <c r="E2569" s="9" t="s">
        <v>2086</v>
      </c>
      <c r="F2569" s="9" t="s">
        <v>4922</v>
      </c>
      <c r="G2569" s="9" t="s">
        <v>11710</v>
      </c>
      <c r="H2569" s="2" t="s">
        <v>35</v>
      </c>
      <c r="I2569" s="3">
        <v>36845</v>
      </c>
      <c r="J2569" s="9" t="str">
        <f t="shared" ca="1" si="42"/>
        <v>22 ans</v>
      </c>
      <c r="K2569" s="2" t="s">
        <v>68</v>
      </c>
      <c r="L2569" s="2" t="str">
        <f>"788"</f>
        <v>788</v>
      </c>
      <c r="M2569" s="2"/>
      <c r="N2569" s="2" t="str">
        <f>"RUE DES PERDRIX"</f>
        <v>RUE DES PERDRIX</v>
      </c>
      <c r="O2569" s="2" t="s">
        <v>11725</v>
      </c>
      <c r="P2569" s="9" t="str">
        <f>VLOOKUP($O2569,'Liste des Villes'!$B$2:$B$1128,1,FALSE)</f>
        <v>Saint-Colomban</v>
      </c>
      <c r="Q2569" s="9" t="str">
        <f>IFERROR($P2569,PROPER(VLOOKUP($O2569,'Villes en erreur'!$A$2:$B$72,2,FALSE)))</f>
        <v>Saint-Colomban</v>
      </c>
      <c r="R2569" s="9" t="s">
        <v>11726</v>
      </c>
      <c r="S2569" s="9" t="str">
        <f>IF(ISBLANK($R2569),"",VLOOKUP($R2569,'Liste des Villes'!$B$2:$H$1128,4,FALSE))</f>
        <v>Laurentides</v>
      </c>
      <c r="T2569" s="2" t="s">
        <v>11830</v>
      </c>
      <c r="U2569" s="2" t="s">
        <v>39</v>
      </c>
      <c r="V2569" s="2" t="s">
        <v>40</v>
      </c>
      <c r="W2569" s="2" t="s">
        <v>11831</v>
      </c>
      <c r="X2569" s="2"/>
      <c r="Y2569" s="2"/>
      <c r="Z2569" s="2"/>
      <c r="AA2569" s="2" t="s">
        <v>606</v>
      </c>
      <c r="AB2569" s="2" t="s">
        <v>11748</v>
      </c>
      <c r="AC2569" s="4" t="s">
        <v>44</v>
      </c>
    </row>
    <row r="2570" spans="1:29" x14ac:dyDescent="0.25">
      <c r="A2570" s="1">
        <v>85</v>
      </c>
      <c r="B2570" s="17" t="s">
        <v>11832</v>
      </c>
      <c r="C2570" s="2" t="s">
        <v>11833</v>
      </c>
      <c r="D2570" s="15" t="s">
        <v>3788</v>
      </c>
      <c r="E2570" s="9" t="s">
        <v>9279</v>
      </c>
      <c r="F2570" s="9" t="s">
        <v>2474</v>
      </c>
      <c r="G2570" s="9" t="s">
        <v>509</v>
      </c>
      <c r="H2570" s="2" t="s">
        <v>60</v>
      </c>
      <c r="I2570" s="3">
        <v>36875</v>
      </c>
      <c r="J2570" s="9" t="str">
        <f t="shared" ca="1" si="42"/>
        <v>22 ans</v>
      </c>
      <c r="K2570" s="2" t="s">
        <v>68</v>
      </c>
      <c r="L2570" s="2" t="str">
        <f>"854"</f>
        <v>854</v>
      </c>
      <c r="M2570" s="2"/>
      <c r="N2570" s="2" t="str">
        <f>"RUE DES ROUGES-GORGES"</f>
        <v>RUE DES ROUGES-GORGES</v>
      </c>
      <c r="O2570" s="2" t="s">
        <v>11725</v>
      </c>
      <c r="P2570" s="9" t="str">
        <f>VLOOKUP($O2570,'Liste des Villes'!$B$2:$B$1128,1,FALSE)</f>
        <v>Saint-Colomban</v>
      </c>
      <c r="Q2570" s="9" t="str">
        <f>IFERROR($P2570,PROPER(VLOOKUP($O2570,'Villes en erreur'!$A$2:$B$72,2,FALSE)))</f>
        <v>Saint-Colomban</v>
      </c>
      <c r="R2570" s="9" t="s">
        <v>11726</v>
      </c>
      <c r="S2570" s="9" t="str">
        <f>IF(ISBLANK($R2570),"",VLOOKUP($R2570,'Liste des Villes'!$B$2:$H$1128,4,FALSE))</f>
        <v>Laurentides</v>
      </c>
      <c r="T2570" s="2" t="s">
        <v>11834</v>
      </c>
      <c r="U2570" s="2" t="s">
        <v>39</v>
      </c>
      <c r="V2570" s="2" t="s">
        <v>40</v>
      </c>
      <c r="W2570" s="2" t="s">
        <v>11835</v>
      </c>
      <c r="X2570" s="2"/>
      <c r="Y2570" s="2"/>
      <c r="Z2570" s="2"/>
      <c r="AA2570" s="2" t="s">
        <v>606</v>
      </c>
      <c r="AB2570" s="2" t="s">
        <v>161</v>
      </c>
      <c r="AC2570" s="4" t="s">
        <v>44</v>
      </c>
    </row>
    <row r="2571" spans="1:29" x14ac:dyDescent="0.25">
      <c r="A2571" s="1">
        <v>334</v>
      </c>
      <c r="B2571" s="17" t="s">
        <v>11836</v>
      </c>
      <c r="C2571" s="2" t="s">
        <v>11837</v>
      </c>
      <c r="D2571" s="15" t="s">
        <v>4219</v>
      </c>
      <c r="E2571" s="9" t="s">
        <v>11838</v>
      </c>
      <c r="F2571" s="9" t="s">
        <v>7098</v>
      </c>
      <c r="G2571" s="9" t="s">
        <v>348</v>
      </c>
      <c r="H2571" s="2" t="s">
        <v>60</v>
      </c>
      <c r="I2571" s="3">
        <v>36798</v>
      </c>
      <c r="J2571" s="9" t="str">
        <f t="shared" ca="1" si="42"/>
        <v>22 ans</v>
      </c>
      <c r="K2571" s="2" t="s">
        <v>68</v>
      </c>
      <c r="L2571" s="2" t="str">
        <f>"715"</f>
        <v>715</v>
      </c>
      <c r="M2571" s="2"/>
      <c r="N2571" s="2" t="str">
        <f>"RUE DES HÊTRES"</f>
        <v>RUE DES HÊTRES</v>
      </c>
      <c r="O2571" s="2" t="s">
        <v>11725</v>
      </c>
      <c r="P2571" s="9" t="str">
        <f>VLOOKUP($O2571,'Liste des Villes'!$B$2:$B$1128,1,FALSE)</f>
        <v>Saint-Colomban</v>
      </c>
      <c r="Q2571" s="9" t="str">
        <f>IFERROR($P2571,PROPER(VLOOKUP($O2571,'Villes en erreur'!$A$2:$B$72,2,FALSE)))</f>
        <v>Saint-Colomban</v>
      </c>
      <c r="R2571" s="9" t="s">
        <v>11726</v>
      </c>
      <c r="S2571" s="9" t="str">
        <f>IF(ISBLANK($R2571),"",VLOOKUP($R2571,'Liste des Villes'!$B$2:$H$1128,4,FALSE))</f>
        <v>Laurentides</v>
      </c>
      <c r="T2571" s="2" t="s">
        <v>11839</v>
      </c>
      <c r="U2571" s="2" t="s">
        <v>39</v>
      </c>
      <c r="V2571" s="2" t="s">
        <v>40</v>
      </c>
      <c r="W2571" s="2" t="s">
        <v>11840</v>
      </c>
      <c r="X2571" s="2"/>
      <c r="Y2571" s="2"/>
      <c r="Z2571" s="2"/>
      <c r="AA2571" s="2" t="s">
        <v>72</v>
      </c>
      <c r="AB2571" s="2" t="s">
        <v>192</v>
      </c>
      <c r="AC2571" s="4" t="s">
        <v>44</v>
      </c>
    </row>
    <row r="2572" spans="1:29" x14ac:dyDescent="0.25">
      <c r="A2572" s="1">
        <v>3512</v>
      </c>
      <c r="B2572" s="17" t="s">
        <v>11841</v>
      </c>
      <c r="C2572" s="2" t="s">
        <v>2084</v>
      </c>
      <c r="D2572" s="15" t="s">
        <v>2085</v>
      </c>
      <c r="E2572" s="9" t="s">
        <v>2086</v>
      </c>
      <c r="F2572" s="9" t="s">
        <v>2087</v>
      </c>
      <c r="G2572" s="9" t="s">
        <v>10954</v>
      </c>
      <c r="H2572" s="2" t="s">
        <v>35</v>
      </c>
      <c r="I2572" s="3">
        <v>36831</v>
      </c>
      <c r="J2572" s="9" t="str">
        <f t="shared" ca="1" si="42"/>
        <v>22 ans</v>
      </c>
      <c r="K2572" s="2" t="s">
        <v>68</v>
      </c>
      <c r="L2572" s="2" t="str">
        <f>"770"</f>
        <v>770</v>
      </c>
      <c r="M2572" s="2"/>
      <c r="N2572" s="2" t="str">
        <f>"RUE DES NOISETIERS"</f>
        <v>RUE DES NOISETIERS</v>
      </c>
      <c r="O2572" s="2" t="s">
        <v>11725</v>
      </c>
      <c r="P2572" s="9" t="str">
        <f>VLOOKUP($O2572,'Liste des Villes'!$B$2:$B$1128,1,FALSE)</f>
        <v>Saint-Colomban</v>
      </c>
      <c r="Q2572" s="9" t="str">
        <f>IFERROR($P2572,PROPER(VLOOKUP($O2572,'Villes en erreur'!$A$2:$B$72,2,FALSE)))</f>
        <v>Saint-Colomban</v>
      </c>
      <c r="R2572" s="9" t="s">
        <v>11726</v>
      </c>
      <c r="S2572" s="9" t="str">
        <f>IF(ISBLANK($R2572),"",VLOOKUP($R2572,'Liste des Villes'!$B$2:$H$1128,4,FALSE))</f>
        <v>Laurentides</v>
      </c>
      <c r="T2572" s="2" t="s">
        <v>11842</v>
      </c>
      <c r="U2572" s="2" t="s">
        <v>39</v>
      </c>
      <c r="V2572" s="2" t="s">
        <v>40</v>
      </c>
      <c r="W2572" s="2" t="s">
        <v>11843</v>
      </c>
      <c r="X2572" s="2"/>
      <c r="Y2572" s="2"/>
      <c r="Z2572" s="2"/>
      <c r="AA2572" s="2" t="s">
        <v>72</v>
      </c>
      <c r="AB2572" s="2" t="s">
        <v>11733</v>
      </c>
      <c r="AC2572" s="4" t="s">
        <v>44</v>
      </c>
    </row>
    <row r="2573" spans="1:29" x14ac:dyDescent="0.25">
      <c r="A2573" s="1">
        <v>1500</v>
      </c>
      <c r="B2573" s="17" t="s">
        <v>11844</v>
      </c>
      <c r="C2573" s="2" t="s">
        <v>7400</v>
      </c>
      <c r="D2573" s="15" t="s">
        <v>2087</v>
      </c>
      <c r="E2573" s="9" t="s">
        <v>2217</v>
      </c>
      <c r="F2573" s="9" t="s">
        <v>3641</v>
      </c>
      <c r="G2573" s="9" t="s">
        <v>4798</v>
      </c>
      <c r="H2573" s="2" t="s">
        <v>60</v>
      </c>
      <c r="I2573" s="3">
        <v>36769</v>
      </c>
      <c r="J2573" s="9" t="str">
        <f t="shared" ca="1" si="42"/>
        <v>22 ans</v>
      </c>
      <c r="K2573" s="2" t="s">
        <v>68</v>
      </c>
      <c r="L2573" s="2" t="str">
        <f>"681"</f>
        <v>681</v>
      </c>
      <c r="M2573" s="2"/>
      <c r="N2573" s="2" t="str">
        <f>"RUE DES ÉRABLES"</f>
        <v>RUE DES ÉRABLES</v>
      </c>
      <c r="O2573" s="2" t="s">
        <v>11725</v>
      </c>
      <c r="P2573" s="9" t="str">
        <f>VLOOKUP($O2573,'Liste des Villes'!$B$2:$B$1128,1,FALSE)</f>
        <v>Saint-Colomban</v>
      </c>
      <c r="Q2573" s="9" t="str">
        <f>IFERROR($P2573,PROPER(VLOOKUP($O2573,'Villes en erreur'!$A$2:$B$72,2,FALSE)))</f>
        <v>Saint-Colomban</v>
      </c>
      <c r="R2573" s="9" t="s">
        <v>11726</v>
      </c>
      <c r="S2573" s="9" t="str">
        <f>IF(ISBLANK($R2573),"",VLOOKUP($R2573,'Liste des Villes'!$B$2:$H$1128,4,FALSE))</f>
        <v>Laurentides</v>
      </c>
      <c r="T2573" s="2" t="s">
        <v>11845</v>
      </c>
      <c r="U2573" s="2" t="s">
        <v>39</v>
      </c>
      <c r="V2573" s="2" t="s">
        <v>40</v>
      </c>
      <c r="W2573" s="2" t="s">
        <v>11846</v>
      </c>
      <c r="X2573" s="2"/>
      <c r="Y2573" s="2"/>
      <c r="Z2573" s="2"/>
      <c r="AA2573" s="2" t="s">
        <v>72</v>
      </c>
      <c r="AB2573" s="2" t="s">
        <v>192</v>
      </c>
      <c r="AC2573" s="4" t="s">
        <v>44</v>
      </c>
    </row>
    <row r="2574" spans="1:29" x14ac:dyDescent="0.25">
      <c r="A2574" s="1">
        <v>1882</v>
      </c>
      <c r="B2574" s="17" t="s">
        <v>11847</v>
      </c>
      <c r="C2574" s="2" t="s">
        <v>11848</v>
      </c>
      <c r="D2574" s="15" t="s">
        <v>2050</v>
      </c>
      <c r="E2574" s="9" t="s">
        <v>8192</v>
      </c>
      <c r="F2574" s="9" t="s">
        <v>2048</v>
      </c>
      <c r="G2574" s="9" t="s">
        <v>4898</v>
      </c>
      <c r="H2574" s="2" t="s">
        <v>35</v>
      </c>
      <c r="I2574" s="3">
        <v>36832</v>
      </c>
      <c r="J2574" s="9" t="str">
        <f t="shared" ca="1" si="42"/>
        <v>22 ans</v>
      </c>
      <c r="K2574" s="2" t="s">
        <v>68</v>
      </c>
      <c r="L2574" s="2" t="str">
        <f>"772"</f>
        <v>772</v>
      </c>
      <c r="M2574" s="2"/>
      <c r="N2574" s="2" t="str">
        <f>"RUE DES ORMES"</f>
        <v>RUE DES ORMES</v>
      </c>
      <c r="O2574" s="2" t="s">
        <v>11725</v>
      </c>
      <c r="P2574" s="9" t="str">
        <f>VLOOKUP($O2574,'Liste des Villes'!$B$2:$B$1128,1,FALSE)</f>
        <v>Saint-Colomban</v>
      </c>
      <c r="Q2574" s="9" t="str">
        <f>IFERROR($P2574,PROPER(VLOOKUP($O2574,'Villes en erreur'!$A$2:$B$72,2,FALSE)))</f>
        <v>Saint-Colomban</v>
      </c>
      <c r="R2574" s="9" t="s">
        <v>11726</v>
      </c>
      <c r="S2574" s="9" t="str">
        <f>IF(ISBLANK($R2574),"",VLOOKUP($R2574,'Liste des Villes'!$B$2:$H$1128,4,FALSE))</f>
        <v>Laurentides</v>
      </c>
      <c r="T2574" s="2" t="s">
        <v>11849</v>
      </c>
      <c r="U2574" s="2" t="s">
        <v>39</v>
      </c>
      <c r="V2574" s="2" t="s">
        <v>40</v>
      </c>
      <c r="W2574" s="2" t="s">
        <v>11850</v>
      </c>
      <c r="X2574" s="2"/>
      <c r="Y2574" s="2"/>
      <c r="Z2574" s="2"/>
      <c r="AA2574" s="2" t="s">
        <v>72</v>
      </c>
      <c r="AB2574" s="2" t="s">
        <v>11733</v>
      </c>
      <c r="AC2574" s="4" t="s">
        <v>44</v>
      </c>
    </row>
    <row r="2575" spans="1:29" x14ac:dyDescent="0.25">
      <c r="A2575" s="1">
        <v>3682</v>
      </c>
      <c r="B2575" s="17" t="s">
        <v>11851</v>
      </c>
      <c r="C2575" s="2" t="s">
        <v>11852</v>
      </c>
      <c r="D2575" s="15" t="s">
        <v>1802</v>
      </c>
      <c r="E2575" s="9" t="s">
        <v>11357</v>
      </c>
      <c r="F2575" s="9" t="s">
        <v>1800</v>
      </c>
      <c r="G2575" s="9" t="s">
        <v>9174</v>
      </c>
      <c r="H2575" s="2" t="s">
        <v>35</v>
      </c>
      <c r="I2575" s="3">
        <v>36840</v>
      </c>
      <c r="J2575" s="9" t="str">
        <f t="shared" ca="1" si="42"/>
        <v>22 ans</v>
      </c>
      <c r="K2575" s="2" t="s">
        <v>68</v>
      </c>
      <c r="L2575" s="2" t="str">
        <f>"782"</f>
        <v>782</v>
      </c>
      <c r="M2575" s="2"/>
      <c r="N2575" s="2" t="str">
        <f>"RUE DES PATRIOTES"</f>
        <v>RUE DES PATRIOTES</v>
      </c>
      <c r="O2575" s="2" t="s">
        <v>11725</v>
      </c>
      <c r="P2575" s="9" t="str">
        <f>VLOOKUP($O2575,'Liste des Villes'!$B$2:$B$1128,1,FALSE)</f>
        <v>Saint-Colomban</v>
      </c>
      <c r="Q2575" s="9" t="str">
        <f>IFERROR($P2575,PROPER(VLOOKUP($O2575,'Villes en erreur'!$A$2:$B$72,2,FALSE)))</f>
        <v>Saint-Colomban</v>
      </c>
      <c r="R2575" s="9" t="s">
        <v>11726</v>
      </c>
      <c r="S2575" s="9" t="str">
        <f>IF(ISBLANK($R2575),"",VLOOKUP($R2575,'Liste des Villes'!$B$2:$H$1128,4,FALSE))</f>
        <v>Laurentides</v>
      </c>
      <c r="T2575" s="2" t="s">
        <v>11853</v>
      </c>
      <c r="U2575" s="2" t="s">
        <v>39</v>
      </c>
      <c r="V2575" s="2" t="s">
        <v>40</v>
      </c>
      <c r="W2575" s="2" t="s">
        <v>11854</v>
      </c>
      <c r="X2575" s="2"/>
      <c r="Y2575" s="2"/>
      <c r="Z2575" s="2"/>
      <c r="AA2575" s="2" t="s">
        <v>72</v>
      </c>
      <c r="AB2575" s="2" t="s">
        <v>11748</v>
      </c>
      <c r="AC2575" s="4" t="s">
        <v>44</v>
      </c>
    </row>
    <row r="2576" spans="1:29" x14ac:dyDescent="0.25">
      <c r="A2576" s="1">
        <v>108</v>
      </c>
      <c r="B2576" s="17" t="s">
        <v>11855</v>
      </c>
      <c r="C2576" s="2" t="s">
        <v>11856</v>
      </c>
      <c r="D2576" s="15" t="s">
        <v>3341</v>
      </c>
      <c r="E2576" s="9" t="s">
        <v>172</v>
      </c>
      <c r="F2576" s="9" t="s">
        <v>4447</v>
      </c>
      <c r="G2576" s="9" t="s">
        <v>348</v>
      </c>
      <c r="H2576" s="2" t="s">
        <v>60</v>
      </c>
      <c r="I2576" s="3">
        <v>36790</v>
      </c>
      <c r="J2576" s="9" t="str">
        <f t="shared" ca="1" si="42"/>
        <v>22 ans</v>
      </c>
      <c r="K2576" s="2" t="s">
        <v>68</v>
      </c>
      <c r="L2576" s="2" t="str">
        <f>"706"</f>
        <v>706</v>
      </c>
      <c r="M2576" s="2"/>
      <c r="N2576" s="2" t="str">
        <f>"RUE DES GOUVERNEURS"</f>
        <v>RUE DES GOUVERNEURS</v>
      </c>
      <c r="O2576" s="2" t="s">
        <v>11725</v>
      </c>
      <c r="P2576" s="9" t="str">
        <f>VLOOKUP($O2576,'Liste des Villes'!$B$2:$B$1128,1,FALSE)</f>
        <v>Saint-Colomban</v>
      </c>
      <c r="Q2576" s="9" t="str">
        <f>IFERROR($P2576,PROPER(VLOOKUP($O2576,'Villes en erreur'!$A$2:$B$72,2,FALSE)))</f>
        <v>Saint-Colomban</v>
      </c>
      <c r="R2576" s="9" t="s">
        <v>11726</v>
      </c>
      <c r="S2576" s="9" t="str">
        <f>IF(ISBLANK($R2576),"",VLOOKUP($R2576,'Liste des Villes'!$B$2:$H$1128,4,FALSE))</f>
        <v>Laurentides</v>
      </c>
      <c r="T2576" s="2" t="s">
        <v>11857</v>
      </c>
      <c r="U2576" s="2" t="s">
        <v>39</v>
      </c>
      <c r="V2576" s="2" t="s">
        <v>40</v>
      </c>
      <c r="W2576" s="2" t="s">
        <v>11858</v>
      </c>
      <c r="X2576" s="2"/>
      <c r="Y2576" s="2"/>
      <c r="Z2576" s="2"/>
      <c r="AA2576" s="2" t="s">
        <v>72</v>
      </c>
      <c r="AB2576" s="2" t="s">
        <v>192</v>
      </c>
      <c r="AC2576" s="4" t="s">
        <v>44</v>
      </c>
    </row>
    <row r="2577" spans="1:29" x14ac:dyDescent="0.25">
      <c r="A2577" s="1">
        <v>2058</v>
      </c>
      <c r="B2577" s="17" t="s">
        <v>11859</v>
      </c>
      <c r="C2577" s="2" t="s">
        <v>9965</v>
      </c>
      <c r="D2577" s="15" t="s">
        <v>9966</v>
      </c>
      <c r="E2577" s="9" t="s">
        <v>4474</v>
      </c>
      <c r="F2577" s="9" t="s">
        <v>11860</v>
      </c>
      <c r="G2577" s="9" t="s">
        <v>3705</v>
      </c>
      <c r="H2577" s="2" t="s">
        <v>35</v>
      </c>
      <c r="I2577" s="3">
        <v>36845</v>
      </c>
      <c r="J2577" s="9" t="str">
        <f t="shared" ca="1" si="42"/>
        <v>22 ans</v>
      </c>
      <c r="K2577" s="2" t="s">
        <v>68</v>
      </c>
      <c r="L2577" s="2" t="str">
        <f>"790"</f>
        <v>790</v>
      </c>
      <c r="M2577" s="2"/>
      <c r="N2577" s="2" t="str">
        <f>"RUE DES PERDRIX"</f>
        <v>RUE DES PERDRIX</v>
      </c>
      <c r="O2577" s="2" t="s">
        <v>11725</v>
      </c>
      <c r="P2577" s="9" t="str">
        <f>VLOOKUP($O2577,'Liste des Villes'!$B$2:$B$1128,1,FALSE)</f>
        <v>Saint-Colomban</v>
      </c>
      <c r="Q2577" s="9" t="str">
        <f>IFERROR($P2577,PROPER(VLOOKUP($O2577,'Villes en erreur'!$A$2:$B$72,2,FALSE)))</f>
        <v>Saint-Colomban</v>
      </c>
      <c r="R2577" s="9" t="s">
        <v>11726</v>
      </c>
      <c r="S2577" s="9" t="str">
        <f>IF(ISBLANK($R2577),"",VLOOKUP($R2577,'Liste des Villes'!$B$2:$H$1128,4,FALSE))</f>
        <v>Laurentides</v>
      </c>
      <c r="T2577" s="2" t="s">
        <v>11861</v>
      </c>
      <c r="U2577" s="2" t="s">
        <v>39</v>
      </c>
      <c r="V2577" s="2" t="s">
        <v>40</v>
      </c>
      <c r="W2577" s="2" t="s">
        <v>11862</v>
      </c>
      <c r="X2577" s="2"/>
      <c r="Y2577" s="2"/>
      <c r="Z2577" s="2"/>
      <c r="AA2577" s="2" t="s">
        <v>606</v>
      </c>
      <c r="AB2577" s="2" t="s">
        <v>11748</v>
      </c>
      <c r="AC2577" s="4" t="s">
        <v>44</v>
      </c>
    </row>
    <row r="2578" spans="1:29" x14ac:dyDescent="0.25">
      <c r="A2578" s="1">
        <v>3419</v>
      </c>
      <c r="B2578" s="17" t="s">
        <v>11863</v>
      </c>
      <c r="C2578" s="2" t="s">
        <v>11864</v>
      </c>
      <c r="D2578" s="15" t="s">
        <v>11865</v>
      </c>
      <c r="E2578" s="9" t="s">
        <v>7006</v>
      </c>
      <c r="F2578" s="9" t="s">
        <v>4653</v>
      </c>
      <c r="G2578" s="9" t="s">
        <v>3066</v>
      </c>
      <c r="H2578" s="2" t="s">
        <v>60</v>
      </c>
      <c r="I2578" s="3">
        <v>36837</v>
      </c>
      <c r="J2578" s="9" t="str">
        <f t="shared" ca="1" si="42"/>
        <v>22 ans</v>
      </c>
      <c r="K2578" s="2" t="s">
        <v>68</v>
      </c>
      <c r="L2578" s="2" t="str">
        <f>"779"</f>
        <v>779</v>
      </c>
      <c r="M2578" s="2"/>
      <c r="N2578" s="2" t="str">
        <f>"RUE DES PATRIARCHES"</f>
        <v>RUE DES PATRIARCHES</v>
      </c>
      <c r="O2578" s="2" t="s">
        <v>11725</v>
      </c>
      <c r="P2578" s="9" t="str">
        <f>VLOOKUP($O2578,'Liste des Villes'!$B$2:$B$1128,1,FALSE)</f>
        <v>Saint-Colomban</v>
      </c>
      <c r="Q2578" s="9" t="str">
        <f>IFERROR($P2578,PROPER(VLOOKUP($O2578,'Villes en erreur'!$A$2:$B$72,2,FALSE)))</f>
        <v>Saint-Colomban</v>
      </c>
      <c r="R2578" s="9" t="s">
        <v>11726</v>
      </c>
      <c r="S2578" s="9" t="str">
        <f>IF(ISBLANK($R2578),"",VLOOKUP($R2578,'Liste des Villes'!$B$2:$H$1128,4,FALSE))</f>
        <v>Laurentides</v>
      </c>
      <c r="T2578" s="2" t="s">
        <v>11866</v>
      </c>
      <c r="U2578" s="2" t="s">
        <v>39</v>
      </c>
      <c r="V2578" s="2" t="s">
        <v>40</v>
      </c>
      <c r="W2578" s="2" t="s">
        <v>11867</v>
      </c>
      <c r="X2578" s="2"/>
      <c r="Y2578" s="2"/>
      <c r="Z2578" s="2"/>
      <c r="AA2578" s="2" t="s">
        <v>72</v>
      </c>
      <c r="AB2578" s="2" t="s">
        <v>11748</v>
      </c>
      <c r="AC2578" s="4" t="s">
        <v>44</v>
      </c>
    </row>
    <row r="2579" spans="1:29" x14ac:dyDescent="0.25">
      <c r="A2579" s="1">
        <v>1399</v>
      </c>
      <c r="B2579" s="17" t="s">
        <v>11868</v>
      </c>
      <c r="C2579" s="2" t="s">
        <v>11869</v>
      </c>
      <c r="D2579" s="15" t="s">
        <v>11594</v>
      </c>
      <c r="E2579" s="9" t="s">
        <v>186</v>
      </c>
      <c r="F2579" s="9" t="s">
        <v>3402</v>
      </c>
      <c r="G2579" s="9" t="s">
        <v>348</v>
      </c>
      <c r="H2579" s="2" t="s">
        <v>60</v>
      </c>
      <c r="I2579" s="3">
        <v>36780</v>
      </c>
      <c r="J2579" s="9" t="str">
        <f t="shared" ca="1" si="42"/>
        <v>22 ans</v>
      </c>
      <c r="K2579" s="2" t="s">
        <v>68</v>
      </c>
      <c r="L2579" s="2" t="str">
        <f>"697"</f>
        <v>697</v>
      </c>
      <c r="M2579" s="2"/>
      <c r="N2579" s="2" t="str">
        <f>"RUE DES FOUGÈRES"</f>
        <v>RUE DES FOUGÈRES</v>
      </c>
      <c r="O2579" s="2" t="s">
        <v>11725</v>
      </c>
      <c r="P2579" s="9" t="str">
        <f>VLOOKUP($O2579,'Liste des Villes'!$B$2:$B$1128,1,FALSE)</f>
        <v>Saint-Colomban</v>
      </c>
      <c r="Q2579" s="9" t="str">
        <f>IFERROR($P2579,PROPER(VLOOKUP($O2579,'Villes en erreur'!$A$2:$B$72,2,FALSE)))</f>
        <v>Saint-Colomban</v>
      </c>
      <c r="R2579" s="9" t="s">
        <v>11726</v>
      </c>
      <c r="S2579" s="9" t="str">
        <f>IF(ISBLANK($R2579),"",VLOOKUP($R2579,'Liste des Villes'!$B$2:$H$1128,4,FALSE))</f>
        <v>Laurentides</v>
      </c>
      <c r="T2579" s="2" t="s">
        <v>11870</v>
      </c>
      <c r="U2579" s="2" t="s">
        <v>39</v>
      </c>
      <c r="V2579" s="2" t="s">
        <v>40</v>
      </c>
      <c r="W2579" s="2" t="s">
        <v>11871</v>
      </c>
      <c r="X2579" s="2"/>
      <c r="Y2579" s="2"/>
      <c r="Z2579" s="2"/>
      <c r="AA2579" s="2" t="s">
        <v>72</v>
      </c>
      <c r="AB2579" s="2" t="s">
        <v>192</v>
      </c>
      <c r="AC2579" s="4" t="s">
        <v>44</v>
      </c>
    </row>
    <row r="2580" spans="1:29" x14ac:dyDescent="0.25">
      <c r="A2580" s="1">
        <v>3305</v>
      </c>
      <c r="B2580" s="17" t="s">
        <v>11872</v>
      </c>
      <c r="C2580" s="2" t="s">
        <v>11873</v>
      </c>
      <c r="D2580" s="15" t="s">
        <v>11874</v>
      </c>
      <c r="E2580" s="9" t="s">
        <v>915</v>
      </c>
      <c r="F2580" s="9" t="s">
        <v>11875</v>
      </c>
      <c r="G2580" s="9" t="s">
        <v>7059</v>
      </c>
      <c r="H2580" s="2" t="s">
        <v>35</v>
      </c>
      <c r="I2580" s="3">
        <v>36832</v>
      </c>
      <c r="J2580" s="9" t="str">
        <f t="shared" ca="1" si="42"/>
        <v>22 ans</v>
      </c>
      <c r="K2580" s="2" t="s">
        <v>68</v>
      </c>
      <c r="L2580" s="2" t="str">
        <f>"772"</f>
        <v>772</v>
      </c>
      <c r="M2580" s="2"/>
      <c r="N2580" s="2" t="str">
        <f>"RUE DES OFFICIERS"</f>
        <v>RUE DES OFFICIERS</v>
      </c>
      <c r="O2580" s="2" t="s">
        <v>11725</v>
      </c>
      <c r="P2580" s="9" t="str">
        <f>VLOOKUP($O2580,'Liste des Villes'!$B$2:$B$1128,1,FALSE)</f>
        <v>Saint-Colomban</v>
      </c>
      <c r="Q2580" s="9" t="str">
        <f>IFERROR($P2580,PROPER(VLOOKUP($O2580,'Villes en erreur'!$A$2:$B$72,2,FALSE)))</f>
        <v>Saint-Colomban</v>
      </c>
      <c r="R2580" s="9" t="s">
        <v>11726</v>
      </c>
      <c r="S2580" s="9" t="str">
        <f>IF(ISBLANK($R2580),"",VLOOKUP($R2580,'Liste des Villes'!$B$2:$H$1128,4,FALSE))</f>
        <v>Laurentides</v>
      </c>
      <c r="T2580" s="2" t="s">
        <v>11876</v>
      </c>
      <c r="U2580" s="2" t="s">
        <v>39</v>
      </c>
      <c r="V2580" s="2" t="s">
        <v>40</v>
      </c>
      <c r="W2580" s="2" t="s">
        <v>11850</v>
      </c>
      <c r="X2580" s="2"/>
      <c r="Y2580" s="2"/>
      <c r="Z2580" s="2"/>
      <c r="AA2580" s="2" t="s">
        <v>72</v>
      </c>
      <c r="AB2580" s="2" t="s">
        <v>11733</v>
      </c>
      <c r="AC2580" s="4" t="s">
        <v>44</v>
      </c>
    </row>
    <row r="2581" spans="1:29" x14ac:dyDescent="0.25">
      <c r="A2581" s="1">
        <v>3743</v>
      </c>
      <c r="B2581" s="17" t="s">
        <v>11877</v>
      </c>
      <c r="C2581" s="2" t="s">
        <v>11878</v>
      </c>
      <c r="D2581" s="15" t="s">
        <v>460</v>
      </c>
      <c r="E2581" s="9" t="s">
        <v>5573</v>
      </c>
      <c r="F2581" s="9" t="s">
        <v>1832</v>
      </c>
      <c r="G2581" s="9" t="s">
        <v>120</v>
      </c>
      <c r="H2581" s="2" t="s">
        <v>35</v>
      </c>
      <c r="I2581" s="3">
        <v>36805</v>
      </c>
      <c r="J2581" s="9" t="str">
        <f t="shared" ca="1" si="42"/>
        <v>22 ans</v>
      </c>
      <c r="K2581" s="2" t="s">
        <v>68</v>
      </c>
      <c r="L2581" s="2" t="str">
        <f>"731"</f>
        <v>731</v>
      </c>
      <c r="M2581" s="2"/>
      <c r="N2581" s="2" t="str">
        <f>"RUE DES JOYAUX"</f>
        <v>RUE DES JOYAUX</v>
      </c>
      <c r="O2581" s="2" t="s">
        <v>11725</v>
      </c>
      <c r="P2581" s="9" t="str">
        <f>VLOOKUP($O2581,'Liste des Villes'!$B$2:$B$1128,1,FALSE)</f>
        <v>Saint-Colomban</v>
      </c>
      <c r="Q2581" s="9" t="str">
        <f>IFERROR($P2581,PROPER(VLOOKUP($O2581,'Villes en erreur'!$A$2:$B$72,2,FALSE)))</f>
        <v>Saint-Colomban</v>
      </c>
      <c r="R2581" s="9" t="s">
        <v>11726</v>
      </c>
      <c r="S2581" s="9" t="str">
        <f>IF(ISBLANK($R2581),"",VLOOKUP($R2581,'Liste des Villes'!$B$2:$H$1128,4,FALSE))</f>
        <v>Laurentides</v>
      </c>
      <c r="T2581" s="2" t="s">
        <v>11750</v>
      </c>
      <c r="U2581" s="2" t="s">
        <v>39</v>
      </c>
      <c r="V2581" s="2" t="s">
        <v>40</v>
      </c>
      <c r="W2581" s="2" t="s">
        <v>11879</v>
      </c>
      <c r="X2581" s="2"/>
      <c r="Y2581" s="2"/>
      <c r="Z2581" s="2"/>
      <c r="AA2581" s="2" t="s">
        <v>72</v>
      </c>
      <c r="AB2581" s="2" t="s">
        <v>11733</v>
      </c>
      <c r="AC2581" s="4" t="s">
        <v>44</v>
      </c>
    </row>
    <row r="2582" spans="1:29" x14ac:dyDescent="0.25">
      <c r="A2582" s="1">
        <v>2651</v>
      </c>
      <c r="B2582" s="17" t="s">
        <v>11880</v>
      </c>
      <c r="C2582" s="2" t="s">
        <v>11881</v>
      </c>
      <c r="D2582" s="15" t="s">
        <v>11882</v>
      </c>
      <c r="E2582" s="9" t="s">
        <v>4686</v>
      </c>
      <c r="F2582" s="9" t="s">
        <v>3874</v>
      </c>
      <c r="G2582" s="9" t="s">
        <v>787</v>
      </c>
      <c r="H2582" s="2" t="s">
        <v>35</v>
      </c>
      <c r="I2582" s="3">
        <v>36814</v>
      </c>
      <c r="J2582" s="9" t="str">
        <f t="shared" ca="1" si="42"/>
        <v>22 ans</v>
      </c>
      <c r="K2582" s="2" t="s">
        <v>68</v>
      </c>
      <c r="L2582" s="2" t="str">
        <f>"740"</f>
        <v>740</v>
      </c>
      <c r="M2582" s="2"/>
      <c r="N2582" s="2" t="str">
        <f>"RUE DES LUCARNES"</f>
        <v>RUE DES LUCARNES</v>
      </c>
      <c r="O2582" s="2" t="s">
        <v>11725</v>
      </c>
      <c r="P2582" s="9" t="str">
        <f>VLOOKUP($O2582,'Liste des Villes'!$B$2:$B$1128,1,FALSE)</f>
        <v>Saint-Colomban</v>
      </c>
      <c r="Q2582" s="9" t="str">
        <f>IFERROR($P2582,PROPER(VLOOKUP($O2582,'Villes en erreur'!$A$2:$B$72,2,FALSE)))</f>
        <v>Saint-Colomban</v>
      </c>
      <c r="R2582" s="9" t="s">
        <v>11726</v>
      </c>
      <c r="S2582" s="9" t="str">
        <f>IF(ISBLANK($R2582),"",VLOOKUP($R2582,'Liste des Villes'!$B$2:$H$1128,4,FALSE))</f>
        <v>Laurentides</v>
      </c>
      <c r="T2582" s="2" t="s">
        <v>11883</v>
      </c>
      <c r="U2582" s="2" t="s">
        <v>39</v>
      </c>
      <c r="V2582" s="2" t="s">
        <v>40</v>
      </c>
      <c r="W2582" s="2" t="s">
        <v>11884</v>
      </c>
      <c r="X2582" s="2"/>
      <c r="Y2582" s="2"/>
      <c r="Z2582" s="2"/>
      <c r="AA2582" s="2" t="s">
        <v>72</v>
      </c>
      <c r="AB2582" s="2" t="s">
        <v>11733</v>
      </c>
      <c r="AC2582" s="4" t="s">
        <v>44</v>
      </c>
    </row>
    <row r="2583" spans="1:29" x14ac:dyDescent="0.25">
      <c r="A2583" s="1">
        <v>1734</v>
      </c>
      <c r="B2583" s="17" t="s">
        <v>11885</v>
      </c>
      <c r="C2583" s="2" t="s">
        <v>4237</v>
      </c>
      <c r="D2583" s="15" t="s">
        <v>100</v>
      </c>
      <c r="E2583" s="9" t="s">
        <v>4238</v>
      </c>
      <c r="F2583" s="9" t="s">
        <v>1436</v>
      </c>
      <c r="G2583" s="9" t="s">
        <v>348</v>
      </c>
      <c r="H2583" s="2" t="s">
        <v>60</v>
      </c>
      <c r="I2583" s="3">
        <v>36781</v>
      </c>
      <c r="J2583" s="9" t="str">
        <f t="shared" ca="1" si="42"/>
        <v>22 ans</v>
      </c>
      <c r="K2583" s="2" t="s">
        <v>68</v>
      </c>
      <c r="L2583" s="2" t="str">
        <f>"699"</f>
        <v>699</v>
      </c>
      <c r="M2583" s="2"/>
      <c r="N2583" s="2" t="str">
        <f>"RUE DES FRÈNES"</f>
        <v>RUE DES FRÈNES</v>
      </c>
      <c r="O2583" s="2" t="s">
        <v>11725</v>
      </c>
      <c r="P2583" s="9" t="str">
        <f>VLOOKUP($O2583,'Liste des Villes'!$B$2:$B$1128,1,FALSE)</f>
        <v>Saint-Colomban</v>
      </c>
      <c r="Q2583" s="9" t="str">
        <f>IFERROR($P2583,PROPER(VLOOKUP($O2583,'Villes en erreur'!$A$2:$B$72,2,FALSE)))</f>
        <v>Saint-Colomban</v>
      </c>
      <c r="R2583" s="9" t="s">
        <v>11726</v>
      </c>
      <c r="S2583" s="9" t="str">
        <f>IF(ISBLANK($R2583),"",VLOOKUP($R2583,'Liste des Villes'!$B$2:$H$1128,4,FALSE))</f>
        <v>Laurentides</v>
      </c>
      <c r="T2583" s="2" t="s">
        <v>11886</v>
      </c>
      <c r="U2583" s="2" t="s">
        <v>39</v>
      </c>
      <c r="V2583" s="2" t="s">
        <v>40</v>
      </c>
      <c r="W2583" s="2" t="s">
        <v>11887</v>
      </c>
      <c r="X2583" s="2"/>
      <c r="Y2583" s="2"/>
      <c r="Z2583" s="2"/>
      <c r="AA2583" s="2" t="s">
        <v>72</v>
      </c>
      <c r="AB2583" s="2" t="s">
        <v>192</v>
      </c>
      <c r="AC2583" s="4" t="s">
        <v>44</v>
      </c>
    </row>
    <row r="2584" spans="1:29" x14ac:dyDescent="0.25">
      <c r="A2584" s="1">
        <v>2050</v>
      </c>
      <c r="B2584" s="17" t="s">
        <v>11888</v>
      </c>
      <c r="C2584" s="2" t="s">
        <v>11889</v>
      </c>
      <c r="D2584" s="15" t="s">
        <v>6369</v>
      </c>
      <c r="E2584" s="9" t="s">
        <v>2217</v>
      </c>
      <c r="F2584" s="9" t="s">
        <v>6368</v>
      </c>
      <c r="G2584" s="9" t="s">
        <v>509</v>
      </c>
      <c r="H2584" s="2" t="s">
        <v>60</v>
      </c>
      <c r="I2584" s="3">
        <v>36865</v>
      </c>
      <c r="J2584" s="9" t="str">
        <f t="shared" ca="1" si="42"/>
        <v>22 ans</v>
      </c>
      <c r="K2584" s="2" t="s">
        <v>68</v>
      </c>
      <c r="L2584" s="2" t="str">
        <f>"835"</f>
        <v>835</v>
      </c>
      <c r="M2584" s="2"/>
      <c r="N2584" s="2" t="str">
        <f>"RUE DES PRUCHES"</f>
        <v>RUE DES PRUCHES</v>
      </c>
      <c r="O2584" s="2" t="s">
        <v>11725</v>
      </c>
      <c r="P2584" s="9" t="str">
        <f>VLOOKUP($O2584,'Liste des Villes'!$B$2:$B$1128,1,FALSE)</f>
        <v>Saint-Colomban</v>
      </c>
      <c r="Q2584" s="9" t="str">
        <f>IFERROR($P2584,PROPER(VLOOKUP($O2584,'Villes en erreur'!$A$2:$B$72,2,FALSE)))</f>
        <v>Saint-Colomban</v>
      </c>
      <c r="R2584" s="9" t="s">
        <v>11726</v>
      </c>
      <c r="S2584" s="9" t="str">
        <f>IF(ISBLANK($R2584),"",VLOOKUP($R2584,'Liste des Villes'!$B$2:$H$1128,4,FALSE))</f>
        <v>Laurentides</v>
      </c>
      <c r="T2584" s="2" t="s">
        <v>11890</v>
      </c>
      <c r="U2584" s="2" t="s">
        <v>39</v>
      </c>
      <c r="V2584" s="2" t="s">
        <v>40</v>
      </c>
      <c r="W2584" s="2" t="s">
        <v>11891</v>
      </c>
      <c r="X2584" s="2"/>
      <c r="Y2584" s="2"/>
      <c r="Z2584" s="2"/>
      <c r="AA2584" s="2" t="s">
        <v>606</v>
      </c>
      <c r="AB2584" s="2" t="s">
        <v>161</v>
      </c>
      <c r="AC2584" s="4" t="s">
        <v>44</v>
      </c>
    </row>
    <row r="2585" spans="1:29" x14ac:dyDescent="0.25">
      <c r="A2585" s="1">
        <v>3847</v>
      </c>
      <c r="B2585" s="17" t="s">
        <v>11892</v>
      </c>
      <c r="C2585" s="2" t="s">
        <v>4203</v>
      </c>
      <c r="D2585" s="15" t="s">
        <v>1794</v>
      </c>
      <c r="E2585" s="9" t="s">
        <v>348</v>
      </c>
      <c r="F2585" s="9" t="s">
        <v>349</v>
      </c>
      <c r="G2585" s="9" t="s">
        <v>509</v>
      </c>
      <c r="H2585" s="2" t="s">
        <v>60</v>
      </c>
      <c r="I2585" s="3">
        <v>36861</v>
      </c>
      <c r="J2585" s="9" t="str">
        <f t="shared" ca="1" si="42"/>
        <v>22 ans</v>
      </c>
      <c r="K2585" s="2" t="s">
        <v>68</v>
      </c>
      <c r="L2585" s="2" t="str">
        <f>"829"</f>
        <v>829</v>
      </c>
      <c r="M2585" s="2"/>
      <c r="N2585" s="2" t="str">
        <f>"RUE DES PRÉS"</f>
        <v>RUE DES PRÉS</v>
      </c>
      <c r="O2585" s="2" t="s">
        <v>11725</v>
      </c>
      <c r="P2585" s="9" t="str">
        <f>VLOOKUP($O2585,'Liste des Villes'!$B$2:$B$1128,1,FALSE)</f>
        <v>Saint-Colomban</v>
      </c>
      <c r="Q2585" s="9" t="str">
        <f>IFERROR($P2585,PROPER(VLOOKUP($O2585,'Villes en erreur'!$A$2:$B$72,2,FALSE)))</f>
        <v>Saint-Colomban</v>
      </c>
      <c r="R2585" s="9" t="s">
        <v>11726</v>
      </c>
      <c r="S2585" s="9" t="str">
        <f>IF(ISBLANK($R2585),"",VLOOKUP($R2585,'Liste des Villes'!$B$2:$H$1128,4,FALSE))</f>
        <v>Laurentides</v>
      </c>
      <c r="T2585" s="2" t="s">
        <v>11766</v>
      </c>
      <c r="U2585" s="2" t="s">
        <v>39</v>
      </c>
      <c r="V2585" s="2" t="s">
        <v>40</v>
      </c>
      <c r="W2585" s="2" t="s">
        <v>11767</v>
      </c>
      <c r="X2585" s="2"/>
      <c r="Y2585" s="2"/>
      <c r="Z2585" s="2"/>
      <c r="AA2585" s="2" t="s">
        <v>606</v>
      </c>
      <c r="AB2585" s="2" t="s">
        <v>161</v>
      </c>
      <c r="AC2585" s="4" t="s">
        <v>44</v>
      </c>
    </row>
    <row r="2586" spans="1:29" x14ac:dyDescent="0.25">
      <c r="A2586" s="1">
        <v>999</v>
      </c>
      <c r="B2586" s="17" t="s">
        <v>11893</v>
      </c>
      <c r="C2586" s="2" t="s">
        <v>10096</v>
      </c>
      <c r="D2586" s="15" t="s">
        <v>292</v>
      </c>
      <c r="E2586" s="9" t="s">
        <v>3705</v>
      </c>
      <c r="F2586" s="9" t="s">
        <v>1502</v>
      </c>
      <c r="G2586" s="9" t="s">
        <v>348</v>
      </c>
      <c r="H2586" s="2" t="s">
        <v>60</v>
      </c>
      <c r="I2586" s="3">
        <v>36798</v>
      </c>
      <c r="J2586" s="9" t="str">
        <f t="shared" ca="1" si="42"/>
        <v>22 ans</v>
      </c>
      <c r="K2586" s="2" t="s">
        <v>68</v>
      </c>
      <c r="L2586" s="2" t="str">
        <f>"719"</f>
        <v>719</v>
      </c>
      <c r="M2586" s="2"/>
      <c r="N2586" s="2" t="str">
        <f>"RUE DES HIRONDELLES"</f>
        <v>RUE DES HIRONDELLES</v>
      </c>
      <c r="O2586" s="2" t="s">
        <v>11725</v>
      </c>
      <c r="P2586" s="9" t="str">
        <f>VLOOKUP($O2586,'Liste des Villes'!$B$2:$B$1128,1,FALSE)</f>
        <v>Saint-Colomban</v>
      </c>
      <c r="Q2586" s="9" t="str">
        <f>IFERROR($P2586,PROPER(VLOOKUP($O2586,'Villes en erreur'!$A$2:$B$72,2,FALSE)))</f>
        <v>Saint-Colomban</v>
      </c>
      <c r="R2586" s="9" t="s">
        <v>11726</v>
      </c>
      <c r="S2586" s="9" t="str">
        <f>IF(ISBLANK($R2586),"",VLOOKUP($R2586,'Liste des Villes'!$B$2:$H$1128,4,FALSE))</f>
        <v>Laurentides</v>
      </c>
      <c r="T2586" s="2" t="s">
        <v>11894</v>
      </c>
      <c r="U2586" s="2" t="s">
        <v>39</v>
      </c>
      <c r="V2586" s="2" t="s">
        <v>40</v>
      </c>
      <c r="W2586" s="2" t="s">
        <v>11895</v>
      </c>
      <c r="X2586" s="2"/>
      <c r="Y2586" s="2"/>
      <c r="Z2586" s="2"/>
      <c r="AA2586" s="2" t="s">
        <v>72</v>
      </c>
      <c r="AB2586" s="2" t="s">
        <v>192</v>
      </c>
      <c r="AC2586" s="4" t="s">
        <v>44</v>
      </c>
    </row>
    <row r="2587" spans="1:29" x14ac:dyDescent="0.25">
      <c r="A2587" s="1">
        <v>156</v>
      </c>
      <c r="B2587" s="17" t="s">
        <v>11896</v>
      </c>
      <c r="C2587" s="2" t="s">
        <v>4583</v>
      </c>
      <c r="D2587" s="15" t="s">
        <v>462</v>
      </c>
      <c r="E2587" s="9" t="s">
        <v>4584</v>
      </c>
      <c r="F2587" s="9" t="s">
        <v>460</v>
      </c>
      <c r="G2587" s="9" t="s">
        <v>7804</v>
      </c>
      <c r="H2587" s="2" t="s">
        <v>60</v>
      </c>
      <c r="I2587" s="3">
        <v>36851</v>
      </c>
      <c r="J2587" s="9" t="str">
        <f t="shared" ca="1" si="42"/>
        <v>22 ans</v>
      </c>
      <c r="K2587" s="2" t="s">
        <v>68</v>
      </c>
      <c r="L2587" s="2" t="str">
        <f>"804"</f>
        <v>804</v>
      </c>
      <c r="M2587" s="2"/>
      <c r="N2587" s="2" t="str">
        <f>"RUE DES PINS"</f>
        <v>RUE DES PINS</v>
      </c>
      <c r="O2587" s="2" t="s">
        <v>11725</v>
      </c>
      <c r="P2587" s="9" t="str">
        <f>VLOOKUP($O2587,'Liste des Villes'!$B$2:$B$1128,1,FALSE)</f>
        <v>Saint-Colomban</v>
      </c>
      <c r="Q2587" s="9" t="str">
        <f>IFERROR($P2587,PROPER(VLOOKUP($O2587,'Villes en erreur'!$A$2:$B$72,2,FALSE)))</f>
        <v>Saint-Colomban</v>
      </c>
      <c r="R2587" s="9" t="s">
        <v>11726</v>
      </c>
      <c r="S2587" s="9" t="str">
        <f>IF(ISBLANK($R2587),"",VLOOKUP($R2587,'Liste des Villes'!$B$2:$H$1128,4,FALSE))</f>
        <v>Laurentides</v>
      </c>
      <c r="T2587" s="2" t="s">
        <v>11897</v>
      </c>
      <c r="U2587" s="2" t="s">
        <v>39</v>
      </c>
      <c r="V2587" s="2" t="s">
        <v>40</v>
      </c>
      <c r="W2587" s="2" t="s">
        <v>11898</v>
      </c>
      <c r="X2587" s="2"/>
      <c r="Y2587" s="2"/>
      <c r="Z2587" s="2"/>
      <c r="AA2587" s="2" t="s">
        <v>606</v>
      </c>
      <c r="AB2587" s="2" t="s">
        <v>11748</v>
      </c>
      <c r="AC2587" s="4" t="s">
        <v>44</v>
      </c>
    </row>
    <row r="2588" spans="1:29" x14ac:dyDescent="0.25">
      <c r="A2588" s="1">
        <v>3127</v>
      </c>
      <c r="B2588" s="17" t="s">
        <v>11899</v>
      </c>
      <c r="C2588" s="2" t="s">
        <v>11900</v>
      </c>
      <c r="D2588" s="15" t="s">
        <v>10591</v>
      </c>
      <c r="E2588" s="9" t="s">
        <v>348</v>
      </c>
      <c r="F2588" s="9" t="s">
        <v>10590</v>
      </c>
      <c r="G2588" s="9" t="s">
        <v>11901</v>
      </c>
      <c r="H2588" s="2" t="s">
        <v>60</v>
      </c>
      <c r="I2588" s="3">
        <v>36853</v>
      </c>
      <c r="J2588" s="9" t="str">
        <f t="shared" ca="1" si="42"/>
        <v>22 ans</v>
      </c>
      <c r="K2588" s="2" t="s">
        <v>68</v>
      </c>
      <c r="L2588" s="2" t="str">
        <f>"810"</f>
        <v>810</v>
      </c>
      <c r="M2588" s="2"/>
      <c r="N2588" s="2" t="str">
        <f>"RUE DES PINSONS"</f>
        <v>RUE DES PINSONS</v>
      </c>
      <c r="O2588" s="2" t="s">
        <v>11725</v>
      </c>
      <c r="P2588" s="9" t="str">
        <f>VLOOKUP($O2588,'Liste des Villes'!$B$2:$B$1128,1,FALSE)</f>
        <v>Saint-Colomban</v>
      </c>
      <c r="Q2588" s="9" t="str">
        <f>IFERROR($P2588,PROPER(VLOOKUP($O2588,'Villes en erreur'!$A$2:$B$72,2,FALSE)))</f>
        <v>Saint-Colomban</v>
      </c>
      <c r="R2588" s="9" t="s">
        <v>11726</v>
      </c>
      <c r="S2588" s="9" t="str">
        <f>IF(ISBLANK($R2588),"",VLOOKUP($R2588,'Liste des Villes'!$B$2:$H$1128,4,FALSE))</f>
        <v>Laurentides</v>
      </c>
      <c r="T2588" s="2" t="s">
        <v>11902</v>
      </c>
      <c r="U2588" s="2" t="s">
        <v>39</v>
      </c>
      <c r="V2588" s="2" t="s">
        <v>40</v>
      </c>
      <c r="W2588" s="2" t="s">
        <v>11903</v>
      </c>
      <c r="X2588" s="2"/>
      <c r="Y2588" s="2"/>
      <c r="Z2588" s="2"/>
      <c r="AA2588" s="2" t="s">
        <v>606</v>
      </c>
      <c r="AB2588" s="2" t="s">
        <v>161</v>
      </c>
      <c r="AC2588" s="4" t="s">
        <v>44</v>
      </c>
    </row>
    <row r="2589" spans="1:29" x14ac:dyDescent="0.25">
      <c r="A2589" s="1">
        <v>2613</v>
      </c>
      <c r="B2589" s="17" t="s">
        <v>11904</v>
      </c>
      <c r="C2589" s="2" t="s">
        <v>11905</v>
      </c>
      <c r="D2589" s="15" t="s">
        <v>56</v>
      </c>
      <c r="E2589" s="9" t="s">
        <v>11906</v>
      </c>
      <c r="F2589" s="9" t="s">
        <v>7228</v>
      </c>
      <c r="G2589" s="9" t="s">
        <v>293</v>
      </c>
      <c r="H2589" s="2" t="s">
        <v>60</v>
      </c>
      <c r="I2589" s="3">
        <v>36848</v>
      </c>
      <c r="J2589" s="9" t="str">
        <f t="shared" ca="1" si="42"/>
        <v>22 ans</v>
      </c>
      <c r="K2589" s="2" t="s">
        <v>68</v>
      </c>
      <c r="L2589" s="2" t="str">
        <f>"795"</f>
        <v>795</v>
      </c>
      <c r="M2589" s="2"/>
      <c r="N2589" s="2" t="str">
        <f>"RUE DES PINS"</f>
        <v>RUE DES PINS</v>
      </c>
      <c r="O2589" s="2" t="s">
        <v>11725</v>
      </c>
      <c r="P2589" s="9" t="str">
        <f>VLOOKUP($O2589,'Liste des Villes'!$B$2:$B$1128,1,FALSE)</f>
        <v>Saint-Colomban</v>
      </c>
      <c r="Q2589" s="9" t="str">
        <f>IFERROR($P2589,PROPER(VLOOKUP($O2589,'Villes en erreur'!$A$2:$B$72,2,FALSE)))</f>
        <v>Saint-Colomban</v>
      </c>
      <c r="R2589" s="9" t="s">
        <v>11726</v>
      </c>
      <c r="S2589" s="9" t="str">
        <f>IF(ISBLANK($R2589),"",VLOOKUP($R2589,'Liste des Villes'!$B$2:$H$1128,4,FALSE))</f>
        <v>Laurentides</v>
      </c>
      <c r="T2589" s="2" t="s">
        <v>11907</v>
      </c>
      <c r="U2589" s="2" t="s">
        <v>39</v>
      </c>
      <c r="V2589" s="2" t="s">
        <v>40</v>
      </c>
      <c r="W2589" s="2" t="s">
        <v>11908</v>
      </c>
      <c r="X2589" s="2"/>
      <c r="Y2589" s="2"/>
      <c r="Z2589" s="2"/>
      <c r="AA2589" s="2" t="s">
        <v>606</v>
      </c>
      <c r="AB2589" s="2" t="s">
        <v>11748</v>
      </c>
      <c r="AC2589" s="4" t="s">
        <v>44</v>
      </c>
    </row>
    <row r="2590" spans="1:29" x14ac:dyDescent="0.25">
      <c r="A2590" s="1">
        <v>2521</v>
      </c>
      <c r="B2590" s="17" t="s">
        <v>11909</v>
      </c>
      <c r="C2590" s="2" t="s">
        <v>11910</v>
      </c>
      <c r="D2590" s="15" t="s">
        <v>4395</v>
      </c>
      <c r="E2590" s="9" t="s">
        <v>2088</v>
      </c>
      <c r="F2590" s="9" t="s">
        <v>2403</v>
      </c>
      <c r="G2590" s="9" t="s">
        <v>348</v>
      </c>
      <c r="H2590" s="2" t="s">
        <v>60</v>
      </c>
      <c r="I2590" s="3">
        <v>36783</v>
      </c>
      <c r="J2590" s="9" t="str">
        <f t="shared" ca="1" si="42"/>
        <v>22 ans</v>
      </c>
      <c r="K2590" s="2" t="s">
        <v>68</v>
      </c>
      <c r="L2590" s="2" t="str">
        <f>"700"</f>
        <v>700</v>
      </c>
      <c r="M2590" s="2"/>
      <c r="N2590" s="2" t="str">
        <f>"RUE DES GEAIS-BLEUS"</f>
        <v>RUE DES GEAIS-BLEUS</v>
      </c>
      <c r="O2590" s="2" t="s">
        <v>11725</v>
      </c>
      <c r="P2590" s="9" t="str">
        <f>VLOOKUP($O2590,'Liste des Villes'!$B$2:$B$1128,1,FALSE)</f>
        <v>Saint-Colomban</v>
      </c>
      <c r="Q2590" s="9" t="str">
        <f>IFERROR($P2590,PROPER(VLOOKUP($O2590,'Villes en erreur'!$A$2:$B$72,2,FALSE)))</f>
        <v>Saint-Colomban</v>
      </c>
      <c r="R2590" s="9" t="s">
        <v>11726</v>
      </c>
      <c r="S2590" s="9" t="str">
        <f>IF(ISBLANK($R2590),"",VLOOKUP($R2590,'Liste des Villes'!$B$2:$H$1128,4,FALSE))</f>
        <v>Laurentides</v>
      </c>
      <c r="T2590" s="2" t="s">
        <v>11911</v>
      </c>
      <c r="U2590" s="2" t="s">
        <v>39</v>
      </c>
      <c r="V2590" s="2" t="s">
        <v>40</v>
      </c>
      <c r="W2590" s="2" t="s">
        <v>11912</v>
      </c>
      <c r="X2590" s="2"/>
      <c r="Y2590" s="2"/>
      <c r="Z2590" s="2"/>
      <c r="AA2590" s="2" t="s">
        <v>72</v>
      </c>
      <c r="AB2590" s="2" t="s">
        <v>192</v>
      </c>
      <c r="AC2590" s="4" t="s">
        <v>44</v>
      </c>
    </row>
    <row r="2591" spans="1:29" x14ac:dyDescent="0.25">
      <c r="A2591" s="1">
        <v>517</v>
      </c>
      <c r="B2591" s="17" t="s">
        <v>11913</v>
      </c>
      <c r="C2591" s="2" t="s">
        <v>11914</v>
      </c>
      <c r="D2591" s="15" t="s">
        <v>11915</v>
      </c>
      <c r="E2591" s="9" t="s">
        <v>737</v>
      </c>
      <c r="F2591" s="9" t="s">
        <v>738</v>
      </c>
      <c r="G2591" s="9" t="s">
        <v>4940</v>
      </c>
      <c r="H2591" s="2" t="s">
        <v>60</v>
      </c>
      <c r="I2591" s="3">
        <v>36825</v>
      </c>
      <c r="J2591" s="9" t="str">
        <f t="shared" ca="1" si="42"/>
        <v>22 ans</v>
      </c>
      <c r="K2591" s="2" t="s">
        <v>68</v>
      </c>
      <c r="L2591" s="2" t="str">
        <f>"760"</f>
        <v>760</v>
      </c>
      <c r="M2591" s="2"/>
      <c r="N2591" s="2" t="str">
        <f>"RUE DES MENHIRS"</f>
        <v>RUE DES MENHIRS</v>
      </c>
      <c r="O2591" s="2" t="s">
        <v>11725</v>
      </c>
      <c r="P2591" s="9" t="str">
        <f>VLOOKUP($O2591,'Liste des Villes'!$B$2:$B$1128,1,FALSE)</f>
        <v>Saint-Colomban</v>
      </c>
      <c r="Q2591" s="9" t="str">
        <f>IFERROR($P2591,PROPER(VLOOKUP($O2591,'Villes en erreur'!$A$2:$B$72,2,FALSE)))</f>
        <v>Saint-Colomban</v>
      </c>
      <c r="R2591" s="9" t="s">
        <v>11726</v>
      </c>
      <c r="S2591" s="9" t="str">
        <f>IF(ISBLANK($R2591),"",VLOOKUP($R2591,'Liste des Villes'!$B$2:$H$1128,4,FALSE))</f>
        <v>Laurentides</v>
      </c>
      <c r="T2591" s="2" t="s">
        <v>11916</v>
      </c>
      <c r="U2591" s="2" t="s">
        <v>39</v>
      </c>
      <c r="V2591" s="2" t="s">
        <v>40</v>
      </c>
      <c r="W2591" s="2" t="s">
        <v>11917</v>
      </c>
      <c r="X2591" s="2"/>
      <c r="Y2591" s="2"/>
      <c r="Z2591" s="2"/>
      <c r="AA2591" s="2" t="s">
        <v>72</v>
      </c>
      <c r="AB2591" s="2" t="s">
        <v>11733</v>
      </c>
      <c r="AC2591" s="4" t="s">
        <v>44</v>
      </c>
    </row>
    <row r="2592" spans="1:29" x14ac:dyDescent="0.25">
      <c r="A2592" s="1">
        <v>504</v>
      </c>
      <c r="B2592" s="17" t="s">
        <v>11918</v>
      </c>
      <c r="C2592" s="2" t="s">
        <v>749</v>
      </c>
      <c r="D2592" s="15" t="s">
        <v>750</v>
      </c>
      <c r="E2592" s="9" t="s">
        <v>751</v>
      </c>
      <c r="F2592" s="9" t="s">
        <v>10485</v>
      </c>
      <c r="G2592" s="9" t="s">
        <v>751</v>
      </c>
      <c r="H2592" s="2" t="s">
        <v>35</v>
      </c>
      <c r="I2592" s="3">
        <v>36822</v>
      </c>
      <c r="J2592" s="9" t="str">
        <f t="shared" ca="1" si="42"/>
        <v>22 ans</v>
      </c>
      <c r="K2592" s="2" t="s">
        <v>68</v>
      </c>
      <c r="L2592" s="2" t="str">
        <f>"753"</f>
        <v>753</v>
      </c>
      <c r="M2592" s="2"/>
      <c r="N2592" s="2" t="str">
        <f>"RUE DES MARRONNIERS"</f>
        <v>RUE DES MARRONNIERS</v>
      </c>
      <c r="O2592" s="2" t="s">
        <v>11725</v>
      </c>
      <c r="P2592" s="9" t="str">
        <f>VLOOKUP($O2592,'Liste des Villes'!$B$2:$B$1128,1,FALSE)</f>
        <v>Saint-Colomban</v>
      </c>
      <c r="Q2592" s="9" t="str">
        <f>IFERROR($P2592,PROPER(VLOOKUP($O2592,'Villes en erreur'!$A$2:$B$72,2,FALSE)))</f>
        <v>Saint-Colomban</v>
      </c>
      <c r="R2592" s="9" t="s">
        <v>11726</v>
      </c>
      <c r="S2592" s="9" t="str">
        <f>IF(ISBLANK($R2592),"",VLOOKUP($R2592,'Liste des Villes'!$B$2:$H$1128,4,FALSE))</f>
        <v>Laurentides</v>
      </c>
      <c r="T2592" s="2" t="s">
        <v>11919</v>
      </c>
      <c r="U2592" s="2" t="s">
        <v>39</v>
      </c>
      <c r="V2592" s="2" t="s">
        <v>40</v>
      </c>
      <c r="W2592" s="2" t="s">
        <v>11920</v>
      </c>
      <c r="X2592" s="2"/>
      <c r="Y2592" s="2"/>
      <c r="Z2592" s="2"/>
      <c r="AA2592" s="2" t="s">
        <v>72</v>
      </c>
      <c r="AB2592" s="2" t="s">
        <v>11733</v>
      </c>
      <c r="AC2592" s="4" t="s">
        <v>44</v>
      </c>
    </row>
    <row r="2593" spans="1:29" x14ac:dyDescent="0.25">
      <c r="A2593" s="1">
        <v>2367</v>
      </c>
      <c r="B2593" s="17" t="s">
        <v>11921</v>
      </c>
      <c r="C2593" s="2" t="s">
        <v>11922</v>
      </c>
      <c r="D2593" s="15" t="s">
        <v>8101</v>
      </c>
      <c r="E2593" s="9" t="s">
        <v>9790</v>
      </c>
      <c r="F2593" s="9" t="s">
        <v>1477</v>
      </c>
      <c r="G2593" s="9" t="s">
        <v>120</v>
      </c>
      <c r="H2593" s="2" t="s">
        <v>35</v>
      </c>
      <c r="I2593" s="3">
        <v>36811</v>
      </c>
      <c r="J2593" s="9" t="str">
        <f t="shared" ca="1" si="42"/>
        <v>22 ans</v>
      </c>
      <c r="K2593" s="2" t="s">
        <v>68</v>
      </c>
      <c r="L2593" s="2" t="str">
        <f>"736"</f>
        <v>736</v>
      </c>
      <c r="M2593" s="2"/>
      <c r="N2593" s="2" t="str">
        <f>"RUE DES LIARDS"</f>
        <v>RUE DES LIARDS</v>
      </c>
      <c r="O2593" s="2" t="s">
        <v>11725</v>
      </c>
      <c r="P2593" s="9" t="str">
        <f>VLOOKUP($O2593,'Liste des Villes'!$B$2:$B$1128,1,FALSE)</f>
        <v>Saint-Colomban</v>
      </c>
      <c r="Q2593" s="9" t="str">
        <f>IFERROR($P2593,PROPER(VLOOKUP($O2593,'Villes en erreur'!$A$2:$B$72,2,FALSE)))</f>
        <v>Saint-Colomban</v>
      </c>
      <c r="R2593" s="9" t="s">
        <v>11726</v>
      </c>
      <c r="S2593" s="9" t="str">
        <f>IF(ISBLANK($R2593),"",VLOOKUP($R2593,'Liste des Villes'!$B$2:$H$1128,4,FALSE))</f>
        <v>Laurentides</v>
      </c>
      <c r="T2593" s="2" t="s">
        <v>11923</v>
      </c>
      <c r="U2593" s="2" t="s">
        <v>39</v>
      </c>
      <c r="V2593" s="2" t="s">
        <v>40</v>
      </c>
      <c r="W2593" s="2" t="s">
        <v>11924</v>
      </c>
      <c r="X2593" s="2"/>
      <c r="Y2593" s="2"/>
      <c r="Z2593" s="2"/>
      <c r="AA2593" s="2" t="s">
        <v>72</v>
      </c>
      <c r="AB2593" s="2" t="s">
        <v>11733</v>
      </c>
      <c r="AC2593" s="4" t="s">
        <v>44</v>
      </c>
    </row>
    <row r="2594" spans="1:29" x14ac:dyDescent="0.25">
      <c r="A2594" s="1">
        <v>3341</v>
      </c>
      <c r="B2594" s="17" t="s">
        <v>11925</v>
      </c>
      <c r="C2594" s="2" t="s">
        <v>2209</v>
      </c>
      <c r="D2594" s="15" t="s">
        <v>782</v>
      </c>
      <c r="E2594" s="9" t="s">
        <v>2210</v>
      </c>
      <c r="F2594" s="9" t="s">
        <v>2693</v>
      </c>
      <c r="G2594" s="9" t="s">
        <v>751</v>
      </c>
      <c r="H2594" s="2" t="s">
        <v>35</v>
      </c>
      <c r="I2594" s="3">
        <v>36819</v>
      </c>
      <c r="J2594" s="9" t="str">
        <f t="shared" ca="1" si="42"/>
        <v>22 ans</v>
      </c>
      <c r="K2594" s="2" t="s">
        <v>68</v>
      </c>
      <c r="L2594" s="2" t="str">
        <f>"750"</f>
        <v>750</v>
      </c>
      <c r="M2594" s="2"/>
      <c r="N2594" s="2" t="str">
        <f>"RUE DES MANOIRS"</f>
        <v>RUE DES MANOIRS</v>
      </c>
      <c r="O2594" s="2" t="s">
        <v>11725</v>
      </c>
      <c r="P2594" s="9" t="str">
        <f>VLOOKUP($O2594,'Liste des Villes'!$B$2:$B$1128,1,FALSE)</f>
        <v>Saint-Colomban</v>
      </c>
      <c r="Q2594" s="9" t="str">
        <f>IFERROR($P2594,PROPER(VLOOKUP($O2594,'Villes en erreur'!$A$2:$B$72,2,FALSE)))</f>
        <v>Saint-Colomban</v>
      </c>
      <c r="R2594" s="9" t="s">
        <v>11726</v>
      </c>
      <c r="S2594" s="9" t="str">
        <f>IF(ISBLANK($R2594),"",VLOOKUP($R2594,'Liste des Villes'!$B$2:$H$1128,4,FALSE))</f>
        <v>Laurentides</v>
      </c>
      <c r="T2594" s="2" t="s">
        <v>11926</v>
      </c>
      <c r="U2594" s="2" t="s">
        <v>39</v>
      </c>
      <c r="V2594" s="2" t="s">
        <v>40</v>
      </c>
      <c r="W2594" s="2" t="s">
        <v>11927</v>
      </c>
      <c r="X2594" s="2"/>
      <c r="Y2594" s="2"/>
      <c r="Z2594" s="2"/>
      <c r="AA2594" s="2" t="s">
        <v>72</v>
      </c>
      <c r="AB2594" s="2" t="s">
        <v>11733</v>
      </c>
      <c r="AC2594" s="4" t="s">
        <v>44</v>
      </c>
    </row>
    <row r="2595" spans="1:29" x14ac:dyDescent="0.25">
      <c r="A2595" s="1">
        <v>2834</v>
      </c>
      <c r="B2595" s="17" t="s">
        <v>11928</v>
      </c>
      <c r="C2595" s="2" t="s">
        <v>11929</v>
      </c>
      <c r="D2595" s="15" t="s">
        <v>11930</v>
      </c>
      <c r="E2595" s="9" t="s">
        <v>1702</v>
      </c>
      <c r="F2595" s="9" t="s">
        <v>1303</v>
      </c>
      <c r="G2595" s="9" t="s">
        <v>1236</v>
      </c>
      <c r="H2595" s="2" t="s">
        <v>35</v>
      </c>
      <c r="I2595" s="3">
        <v>36878</v>
      </c>
      <c r="J2595" s="9" t="str">
        <f t="shared" ca="1" si="42"/>
        <v>22 ans</v>
      </c>
      <c r="K2595" s="2" t="s">
        <v>68</v>
      </c>
      <c r="L2595" s="2" t="str">
        <f>"860"</f>
        <v>860</v>
      </c>
      <c r="M2595" s="2"/>
      <c r="N2595" s="2" t="str">
        <f>"RUE DES SAPINS"</f>
        <v>RUE DES SAPINS</v>
      </c>
      <c r="O2595" s="2" t="s">
        <v>11725</v>
      </c>
      <c r="P2595" s="9" t="str">
        <f>VLOOKUP($O2595,'Liste des Villes'!$B$2:$B$1128,1,FALSE)</f>
        <v>Saint-Colomban</v>
      </c>
      <c r="Q2595" s="9" t="str">
        <f>IFERROR($P2595,PROPER(VLOOKUP($O2595,'Villes en erreur'!$A$2:$B$72,2,FALSE)))</f>
        <v>Saint-Colomban</v>
      </c>
      <c r="R2595" s="9" t="s">
        <v>11726</v>
      </c>
      <c r="S2595" s="9" t="str">
        <f>IF(ISBLANK($R2595),"",VLOOKUP($R2595,'Liste des Villes'!$B$2:$H$1128,4,FALSE))</f>
        <v>Laurentides</v>
      </c>
      <c r="T2595" s="2" t="s">
        <v>11931</v>
      </c>
      <c r="U2595" s="2" t="s">
        <v>39</v>
      </c>
      <c r="V2595" s="2" t="s">
        <v>40</v>
      </c>
      <c r="W2595" s="2" t="s">
        <v>11932</v>
      </c>
      <c r="X2595" s="2"/>
      <c r="Y2595" s="2"/>
      <c r="Z2595" s="2"/>
      <c r="AA2595" s="2" t="s">
        <v>606</v>
      </c>
      <c r="AB2595" s="2" t="s">
        <v>161</v>
      </c>
      <c r="AC2595" s="4" t="s">
        <v>44</v>
      </c>
    </row>
    <row r="2596" spans="1:29" x14ac:dyDescent="0.25">
      <c r="A2596" s="1">
        <v>443</v>
      </c>
      <c r="B2596" s="17" t="s">
        <v>11933</v>
      </c>
      <c r="C2596" s="2" t="s">
        <v>11637</v>
      </c>
      <c r="D2596" s="15" t="s">
        <v>11638</v>
      </c>
      <c r="E2596" s="9" t="s">
        <v>3218</v>
      </c>
      <c r="F2596" s="9" t="s">
        <v>2187</v>
      </c>
      <c r="G2596" s="9" t="s">
        <v>509</v>
      </c>
      <c r="H2596" s="2" t="s">
        <v>60</v>
      </c>
      <c r="I2596" s="3">
        <v>36874</v>
      </c>
      <c r="J2596" s="9" t="str">
        <f t="shared" ca="1" si="42"/>
        <v>22 ans</v>
      </c>
      <c r="K2596" s="2" t="s">
        <v>68</v>
      </c>
      <c r="L2596" s="2" t="str">
        <f>"850"</f>
        <v>850</v>
      </c>
      <c r="M2596" s="2"/>
      <c r="N2596" s="2" t="str">
        <f>"RUE DES ROSSIGNOLS"</f>
        <v>RUE DES ROSSIGNOLS</v>
      </c>
      <c r="O2596" s="2" t="s">
        <v>11725</v>
      </c>
      <c r="P2596" s="9" t="str">
        <f>VLOOKUP($O2596,'Liste des Villes'!$B$2:$B$1128,1,FALSE)</f>
        <v>Saint-Colomban</v>
      </c>
      <c r="Q2596" s="9" t="str">
        <f>IFERROR($P2596,PROPER(VLOOKUP($O2596,'Villes en erreur'!$A$2:$B$72,2,FALSE)))</f>
        <v>Saint-Colomban</v>
      </c>
      <c r="R2596" s="9" t="s">
        <v>11726</v>
      </c>
      <c r="S2596" s="9" t="str">
        <f>IF(ISBLANK($R2596),"",VLOOKUP($R2596,'Liste des Villes'!$B$2:$H$1128,4,FALSE))</f>
        <v>Laurentides</v>
      </c>
      <c r="T2596" s="2" t="s">
        <v>11934</v>
      </c>
      <c r="U2596" s="2" t="s">
        <v>39</v>
      </c>
      <c r="V2596" s="2" t="s">
        <v>40</v>
      </c>
      <c r="W2596" s="2" t="s">
        <v>11935</v>
      </c>
      <c r="X2596" s="2"/>
      <c r="Y2596" s="2"/>
      <c r="Z2596" s="2"/>
      <c r="AA2596" s="2" t="s">
        <v>606</v>
      </c>
      <c r="AB2596" s="2" t="s">
        <v>161</v>
      </c>
      <c r="AC2596" s="4" t="s">
        <v>44</v>
      </c>
    </row>
    <row r="2597" spans="1:29" x14ac:dyDescent="0.25">
      <c r="A2597" s="1">
        <v>3990</v>
      </c>
      <c r="B2597" s="17" t="s">
        <v>11936</v>
      </c>
      <c r="C2597" s="2" t="s">
        <v>11937</v>
      </c>
      <c r="D2597" s="15" t="s">
        <v>2280</v>
      </c>
      <c r="E2597" s="9" t="s">
        <v>11938</v>
      </c>
      <c r="F2597" s="9" t="s">
        <v>6983</v>
      </c>
      <c r="G2597" s="9" t="s">
        <v>348</v>
      </c>
      <c r="H2597" s="2" t="s">
        <v>60</v>
      </c>
      <c r="I2597" s="3">
        <v>36794</v>
      </c>
      <c r="J2597" s="9" t="str">
        <f t="shared" ca="1" si="42"/>
        <v>22 ans</v>
      </c>
      <c r="K2597" s="2" t="s">
        <v>68</v>
      </c>
      <c r="L2597" s="2" t="str">
        <f>"708"</f>
        <v>708</v>
      </c>
      <c r="M2597" s="2"/>
      <c r="N2597" s="2" t="str">
        <f>"RUE DES GRIVES"</f>
        <v>RUE DES GRIVES</v>
      </c>
      <c r="O2597" s="2" t="s">
        <v>11725</v>
      </c>
      <c r="P2597" s="9" t="str">
        <f>VLOOKUP($O2597,'Liste des Villes'!$B$2:$B$1128,1,FALSE)</f>
        <v>Saint-Colomban</v>
      </c>
      <c r="Q2597" s="9" t="str">
        <f>IFERROR($P2597,PROPER(VLOOKUP($O2597,'Villes en erreur'!$A$2:$B$72,2,FALSE)))</f>
        <v>Saint-Colomban</v>
      </c>
      <c r="R2597" s="9" t="s">
        <v>11726</v>
      </c>
      <c r="S2597" s="9" t="str">
        <f>IF(ISBLANK($R2597),"",VLOOKUP($R2597,'Liste des Villes'!$B$2:$H$1128,4,FALSE))</f>
        <v>Laurentides</v>
      </c>
      <c r="T2597" s="2" t="s">
        <v>11939</v>
      </c>
      <c r="U2597" s="2" t="s">
        <v>39</v>
      </c>
      <c r="V2597" s="2" t="s">
        <v>40</v>
      </c>
      <c r="W2597" s="2" t="s">
        <v>11940</v>
      </c>
      <c r="X2597" s="2"/>
      <c r="Y2597" s="2"/>
      <c r="Z2597" s="2"/>
      <c r="AA2597" s="2" t="s">
        <v>72</v>
      </c>
      <c r="AB2597" s="2" t="s">
        <v>192</v>
      </c>
      <c r="AC2597" s="4" t="s">
        <v>44</v>
      </c>
    </row>
    <row r="2598" spans="1:29" x14ac:dyDescent="0.25">
      <c r="A2598" s="1">
        <v>4123</v>
      </c>
      <c r="B2598" s="17" t="s">
        <v>11941</v>
      </c>
      <c r="C2598" s="2" t="s">
        <v>11942</v>
      </c>
      <c r="D2598" s="15" t="s">
        <v>6663</v>
      </c>
      <c r="E2598" s="9" t="s">
        <v>913</v>
      </c>
      <c r="F2598" s="9" t="s">
        <v>914</v>
      </c>
      <c r="G2598" s="9" t="s">
        <v>751</v>
      </c>
      <c r="H2598" s="2" t="s">
        <v>35</v>
      </c>
      <c r="I2598" s="3">
        <v>36818</v>
      </c>
      <c r="J2598" s="9" t="str">
        <f t="shared" ca="1" si="42"/>
        <v>22 ans</v>
      </c>
      <c r="K2598" s="2" t="s">
        <v>68</v>
      </c>
      <c r="L2598" s="2" t="str">
        <f>"745"</f>
        <v>745</v>
      </c>
      <c r="M2598" s="2"/>
      <c r="N2598" s="2" t="str">
        <f>"RUE DES MANDOLINES"</f>
        <v>RUE DES MANDOLINES</v>
      </c>
      <c r="O2598" s="2" t="s">
        <v>11725</v>
      </c>
      <c r="P2598" s="9" t="str">
        <f>VLOOKUP($O2598,'Liste des Villes'!$B$2:$B$1128,1,FALSE)</f>
        <v>Saint-Colomban</v>
      </c>
      <c r="Q2598" s="9" t="str">
        <f>IFERROR($P2598,PROPER(VLOOKUP($O2598,'Villes en erreur'!$A$2:$B$72,2,FALSE)))</f>
        <v>Saint-Colomban</v>
      </c>
      <c r="R2598" s="9" t="s">
        <v>11726</v>
      </c>
      <c r="S2598" s="9" t="str">
        <f>IF(ISBLANK($R2598),"",VLOOKUP($R2598,'Liste des Villes'!$B$2:$H$1128,4,FALSE))</f>
        <v>Laurentides</v>
      </c>
      <c r="T2598" s="2" t="s">
        <v>11943</v>
      </c>
      <c r="U2598" s="2" t="s">
        <v>39</v>
      </c>
      <c r="V2598" s="2" t="s">
        <v>40</v>
      </c>
      <c r="W2598" s="2" t="s">
        <v>11944</v>
      </c>
      <c r="X2598" s="2"/>
      <c r="Y2598" s="2"/>
      <c r="Z2598" s="2"/>
      <c r="AA2598" s="2" t="s">
        <v>72</v>
      </c>
      <c r="AB2598" s="2" t="s">
        <v>11733</v>
      </c>
      <c r="AC2598" s="4" t="s">
        <v>44</v>
      </c>
    </row>
    <row r="2599" spans="1:29" x14ac:dyDescent="0.25">
      <c r="A2599" s="1">
        <v>3806</v>
      </c>
      <c r="B2599" s="17" t="s">
        <v>11945</v>
      </c>
      <c r="C2599" s="2" t="s">
        <v>8234</v>
      </c>
      <c r="D2599" s="15" t="s">
        <v>3646</v>
      </c>
      <c r="E2599" s="9" t="s">
        <v>8235</v>
      </c>
      <c r="F2599" s="9" t="s">
        <v>11946</v>
      </c>
      <c r="G2599" s="9" t="s">
        <v>120</v>
      </c>
      <c r="H2599" s="2" t="s">
        <v>35</v>
      </c>
      <c r="I2599" s="3">
        <v>36801</v>
      </c>
      <c r="J2599" s="9" t="str">
        <f t="shared" ca="1" si="42"/>
        <v>22 ans</v>
      </c>
      <c r="K2599" s="2" t="s">
        <v>68</v>
      </c>
      <c r="L2599" s="2" t="str">
        <f>"722"</f>
        <v>722</v>
      </c>
      <c r="M2599" s="2"/>
      <c r="N2599" s="2" t="str">
        <f>"RUE DES JACINTHES"</f>
        <v>RUE DES JACINTHES</v>
      </c>
      <c r="O2599" s="2" t="s">
        <v>11725</v>
      </c>
      <c r="P2599" s="9" t="str">
        <f>VLOOKUP($O2599,'Liste des Villes'!$B$2:$B$1128,1,FALSE)</f>
        <v>Saint-Colomban</v>
      </c>
      <c r="Q2599" s="9" t="str">
        <f>IFERROR($P2599,PROPER(VLOOKUP($O2599,'Villes en erreur'!$A$2:$B$72,2,FALSE)))</f>
        <v>Saint-Colomban</v>
      </c>
      <c r="R2599" s="9" t="s">
        <v>11726</v>
      </c>
      <c r="S2599" s="9" t="str">
        <f>IF(ISBLANK($R2599),"",VLOOKUP($R2599,'Liste des Villes'!$B$2:$H$1128,4,FALSE))</f>
        <v>Laurentides</v>
      </c>
      <c r="T2599" s="2" t="s">
        <v>11947</v>
      </c>
      <c r="U2599" s="2" t="s">
        <v>39</v>
      </c>
      <c r="V2599" s="2" t="s">
        <v>40</v>
      </c>
      <c r="W2599" s="2" t="s">
        <v>11948</v>
      </c>
      <c r="X2599" s="2"/>
      <c r="Y2599" s="2"/>
      <c r="Z2599" s="2"/>
      <c r="AA2599" s="2" t="s">
        <v>72</v>
      </c>
      <c r="AB2599" s="2" t="s">
        <v>11733</v>
      </c>
      <c r="AC2599" s="4" t="s">
        <v>44</v>
      </c>
    </row>
    <row r="2600" spans="1:29" x14ac:dyDescent="0.25">
      <c r="A2600" s="1">
        <v>3696</v>
      </c>
      <c r="B2600" s="17" t="s">
        <v>11949</v>
      </c>
      <c r="C2600" s="2" t="s">
        <v>5878</v>
      </c>
      <c r="D2600" s="15" t="s">
        <v>1852</v>
      </c>
      <c r="E2600" s="9" t="s">
        <v>635</v>
      </c>
      <c r="F2600" s="9" t="s">
        <v>11950</v>
      </c>
      <c r="G2600" s="9" t="s">
        <v>348</v>
      </c>
      <c r="H2600" s="2" t="s">
        <v>60</v>
      </c>
      <c r="I2600" s="3">
        <v>36790</v>
      </c>
      <c r="J2600" s="9" t="str">
        <f t="shared" ca="1" si="42"/>
        <v>22 ans</v>
      </c>
      <c r="K2600" s="2" t="s">
        <v>68</v>
      </c>
      <c r="L2600" s="2" t="str">
        <f>"706"</f>
        <v>706</v>
      </c>
      <c r="M2600" s="2"/>
      <c r="N2600" s="2" t="str">
        <f>"RUE DES GRANDS-BLÉS"</f>
        <v>RUE DES GRANDS-BLÉS</v>
      </c>
      <c r="O2600" s="2" t="s">
        <v>11725</v>
      </c>
      <c r="P2600" s="9" t="str">
        <f>VLOOKUP($O2600,'Liste des Villes'!$B$2:$B$1128,1,FALSE)</f>
        <v>Saint-Colomban</v>
      </c>
      <c r="Q2600" s="9" t="str">
        <f>IFERROR($P2600,PROPER(VLOOKUP($O2600,'Villes en erreur'!$A$2:$B$72,2,FALSE)))</f>
        <v>Saint-Colomban</v>
      </c>
      <c r="R2600" s="9" t="s">
        <v>11726</v>
      </c>
      <c r="S2600" s="9" t="str">
        <f>IF(ISBLANK($R2600),"",VLOOKUP($R2600,'Liste des Villes'!$B$2:$H$1128,4,FALSE))</f>
        <v>Laurentides</v>
      </c>
      <c r="T2600" s="2" t="s">
        <v>11951</v>
      </c>
      <c r="U2600" s="2" t="s">
        <v>39</v>
      </c>
      <c r="V2600" s="2" t="s">
        <v>40</v>
      </c>
      <c r="W2600" s="2" t="s">
        <v>11952</v>
      </c>
      <c r="X2600" s="2"/>
      <c r="Y2600" s="2"/>
      <c r="Z2600" s="2"/>
      <c r="AA2600" s="2" t="s">
        <v>72</v>
      </c>
      <c r="AB2600" s="2" t="s">
        <v>192</v>
      </c>
      <c r="AC2600" s="4" t="s">
        <v>44</v>
      </c>
    </row>
    <row r="2601" spans="1:29" x14ac:dyDescent="0.25">
      <c r="A2601" s="1">
        <v>1383</v>
      </c>
      <c r="B2601" s="17" t="s">
        <v>11953</v>
      </c>
      <c r="C2601" s="2" t="s">
        <v>2209</v>
      </c>
      <c r="D2601" s="15" t="s">
        <v>782</v>
      </c>
      <c r="E2601" s="9" t="s">
        <v>2210</v>
      </c>
      <c r="F2601" s="9" t="s">
        <v>11954</v>
      </c>
      <c r="G2601" s="9" t="s">
        <v>348</v>
      </c>
      <c r="H2601" s="2" t="s">
        <v>60</v>
      </c>
      <c r="I2601" s="3">
        <v>36777</v>
      </c>
      <c r="J2601" s="9" t="str">
        <f t="shared" ca="1" si="42"/>
        <v>22 ans</v>
      </c>
      <c r="K2601" s="2" t="s">
        <v>68</v>
      </c>
      <c r="L2601" s="2" t="str">
        <f>"693"</f>
        <v>693</v>
      </c>
      <c r="M2601" s="2"/>
      <c r="N2601" s="2" t="str">
        <f>"RUE DES FOUGÈRES"</f>
        <v>RUE DES FOUGÈRES</v>
      </c>
      <c r="O2601" s="2" t="s">
        <v>11725</v>
      </c>
      <c r="P2601" s="9" t="str">
        <f>VLOOKUP($O2601,'Liste des Villes'!$B$2:$B$1128,1,FALSE)</f>
        <v>Saint-Colomban</v>
      </c>
      <c r="Q2601" s="9" t="str">
        <f>IFERROR($P2601,PROPER(VLOOKUP($O2601,'Villes en erreur'!$A$2:$B$72,2,FALSE)))</f>
        <v>Saint-Colomban</v>
      </c>
      <c r="R2601" s="9" t="s">
        <v>11726</v>
      </c>
      <c r="S2601" s="9" t="str">
        <f>IF(ISBLANK($R2601),"",VLOOKUP($R2601,'Liste des Villes'!$B$2:$H$1128,4,FALSE))</f>
        <v>Laurentides</v>
      </c>
      <c r="T2601" s="2" t="s">
        <v>11955</v>
      </c>
      <c r="U2601" s="2" t="s">
        <v>39</v>
      </c>
      <c r="V2601" s="2" t="s">
        <v>40</v>
      </c>
      <c r="W2601" s="2" t="s">
        <v>11956</v>
      </c>
      <c r="X2601" s="2"/>
      <c r="Y2601" s="2"/>
      <c r="Z2601" s="2"/>
      <c r="AA2601" s="2" t="s">
        <v>72</v>
      </c>
      <c r="AB2601" s="2" t="s">
        <v>192</v>
      </c>
      <c r="AC2601" s="4" t="s">
        <v>44</v>
      </c>
    </row>
    <row r="2602" spans="1:29" x14ac:dyDescent="0.25">
      <c r="A2602" s="1">
        <v>2186</v>
      </c>
      <c r="B2602" s="17" t="s">
        <v>11957</v>
      </c>
      <c r="C2602" s="2" t="s">
        <v>2925</v>
      </c>
      <c r="D2602" s="15" t="s">
        <v>2926</v>
      </c>
      <c r="E2602" s="9" t="s">
        <v>1024</v>
      </c>
      <c r="F2602" s="9" t="s">
        <v>11958</v>
      </c>
      <c r="G2602" s="9" t="s">
        <v>509</v>
      </c>
      <c r="H2602" s="2" t="s">
        <v>60</v>
      </c>
      <c r="I2602" s="3">
        <v>36860</v>
      </c>
      <c r="J2602" s="9" t="str">
        <f t="shared" ca="1" si="42"/>
        <v>22 ans</v>
      </c>
      <c r="K2602" s="2" t="s">
        <v>68</v>
      </c>
      <c r="L2602" s="2" t="str">
        <f>"825"</f>
        <v>825</v>
      </c>
      <c r="M2602" s="2"/>
      <c r="N2602" s="2" t="str">
        <f>"RUE DES PRÉS"</f>
        <v>RUE DES PRÉS</v>
      </c>
      <c r="O2602" s="2" t="s">
        <v>11725</v>
      </c>
      <c r="P2602" s="9" t="str">
        <f>VLOOKUP($O2602,'Liste des Villes'!$B$2:$B$1128,1,FALSE)</f>
        <v>Saint-Colomban</v>
      </c>
      <c r="Q2602" s="9" t="str">
        <f>IFERROR($P2602,PROPER(VLOOKUP($O2602,'Villes en erreur'!$A$2:$B$72,2,FALSE)))</f>
        <v>Saint-Colomban</v>
      </c>
      <c r="R2602" s="9" t="s">
        <v>11726</v>
      </c>
      <c r="S2602" s="9" t="str">
        <f>IF(ISBLANK($R2602),"",VLOOKUP($R2602,'Liste des Villes'!$B$2:$H$1128,4,FALSE))</f>
        <v>Laurentides</v>
      </c>
      <c r="T2602" s="2" t="s">
        <v>11959</v>
      </c>
      <c r="U2602" s="2" t="s">
        <v>39</v>
      </c>
      <c r="V2602" s="2" t="s">
        <v>40</v>
      </c>
      <c r="W2602" s="2" t="s">
        <v>11960</v>
      </c>
      <c r="X2602" s="2"/>
      <c r="Y2602" s="2"/>
      <c r="Z2602" s="2"/>
      <c r="AA2602" s="2" t="s">
        <v>606</v>
      </c>
      <c r="AB2602" s="2" t="s">
        <v>161</v>
      </c>
      <c r="AC2602" s="4" t="s">
        <v>44</v>
      </c>
    </row>
    <row r="2603" spans="1:29" x14ac:dyDescent="0.25">
      <c r="A2603" s="1">
        <v>1821</v>
      </c>
      <c r="B2603" s="17" t="s">
        <v>11961</v>
      </c>
      <c r="C2603" s="2" t="s">
        <v>11962</v>
      </c>
      <c r="D2603" s="15" t="s">
        <v>8907</v>
      </c>
      <c r="E2603" s="9" t="s">
        <v>1315</v>
      </c>
      <c r="F2603" s="9" t="s">
        <v>47</v>
      </c>
      <c r="G2603" s="9" t="s">
        <v>348</v>
      </c>
      <c r="H2603" s="2" t="s">
        <v>60</v>
      </c>
      <c r="I2603" s="3">
        <v>36784</v>
      </c>
      <c r="J2603" s="9" t="str">
        <f t="shared" ca="1" si="42"/>
        <v>22 ans</v>
      </c>
      <c r="K2603" s="2" t="s">
        <v>68</v>
      </c>
      <c r="L2603" s="2" t="str">
        <f>"700"</f>
        <v>700</v>
      </c>
      <c r="M2603" s="2"/>
      <c r="N2603" s="2" t="str">
        <f>"RUE DES GÉLINOTTES"</f>
        <v>RUE DES GÉLINOTTES</v>
      </c>
      <c r="O2603" s="2" t="s">
        <v>11725</v>
      </c>
      <c r="P2603" s="9" t="str">
        <f>VLOOKUP($O2603,'Liste des Villes'!$B$2:$B$1128,1,FALSE)</f>
        <v>Saint-Colomban</v>
      </c>
      <c r="Q2603" s="9" t="str">
        <f>IFERROR($P2603,PROPER(VLOOKUP($O2603,'Villes en erreur'!$A$2:$B$72,2,FALSE)))</f>
        <v>Saint-Colomban</v>
      </c>
      <c r="R2603" s="9" t="s">
        <v>11726</v>
      </c>
      <c r="S2603" s="9" t="str">
        <f>IF(ISBLANK($R2603),"",VLOOKUP($R2603,'Liste des Villes'!$B$2:$H$1128,4,FALSE))</f>
        <v>Laurentides</v>
      </c>
      <c r="T2603" s="2" t="s">
        <v>11963</v>
      </c>
      <c r="U2603" s="2" t="s">
        <v>39</v>
      </c>
      <c r="V2603" s="2" t="s">
        <v>40</v>
      </c>
      <c r="W2603" s="2" t="s">
        <v>11964</v>
      </c>
      <c r="X2603" s="2"/>
      <c r="Y2603" s="2"/>
      <c r="Z2603" s="2"/>
      <c r="AA2603" s="2" t="s">
        <v>72</v>
      </c>
      <c r="AB2603" s="2" t="s">
        <v>192</v>
      </c>
      <c r="AC2603" s="4" t="s">
        <v>44</v>
      </c>
    </row>
    <row r="2604" spans="1:29" x14ac:dyDescent="0.25">
      <c r="A2604" s="1">
        <v>201</v>
      </c>
      <c r="B2604" s="17" t="s">
        <v>11965</v>
      </c>
      <c r="C2604" s="2" t="s">
        <v>2354</v>
      </c>
      <c r="D2604" s="15" t="s">
        <v>582</v>
      </c>
      <c r="E2604" s="9" t="s">
        <v>2355</v>
      </c>
      <c r="F2604" s="9" t="s">
        <v>2001</v>
      </c>
      <c r="G2604" s="9" t="s">
        <v>348</v>
      </c>
      <c r="H2604" s="2" t="s">
        <v>60</v>
      </c>
      <c r="I2604" s="3">
        <v>36789</v>
      </c>
      <c r="J2604" s="9" t="str">
        <f t="shared" ca="1" si="42"/>
        <v>22 ans</v>
      </c>
      <c r="K2604" s="2" t="s">
        <v>68</v>
      </c>
      <c r="L2604" s="2" t="str">
        <f>"701"</f>
        <v>701</v>
      </c>
      <c r="M2604" s="2"/>
      <c r="N2604" s="2" t="str">
        <f>"RUE DES GIROLLES"</f>
        <v>RUE DES GIROLLES</v>
      </c>
      <c r="O2604" s="2" t="s">
        <v>11725</v>
      </c>
      <c r="P2604" s="9" t="str">
        <f>VLOOKUP($O2604,'Liste des Villes'!$B$2:$B$1128,1,FALSE)</f>
        <v>Saint-Colomban</v>
      </c>
      <c r="Q2604" s="9" t="str">
        <f>IFERROR($P2604,PROPER(VLOOKUP($O2604,'Villes en erreur'!$A$2:$B$72,2,FALSE)))</f>
        <v>Saint-Colomban</v>
      </c>
      <c r="R2604" s="9" t="s">
        <v>11726</v>
      </c>
      <c r="S2604" s="9" t="str">
        <f>IF(ISBLANK($R2604),"",VLOOKUP($R2604,'Liste des Villes'!$B$2:$H$1128,4,FALSE))</f>
        <v>Laurentides</v>
      </c>
      <c r="T2604" s="2" t="s">
        <v>11966</v>
      </c>
      <c r="U2604" s="2" t="s">
        <v>39</v>
      </c>
      <c r="V2604" s="2" t="s">
        <v>40</v>
      </c>
      <c r="W2604" s="2" t="s">
        <v>11967</v>
      </c>
      <c r="X2604" s="2"/>
      <c r="Y2604" s="2"/>
      <c r="Z2604" s="2"/>
      <c r="AA2604" s="2" t="s">
        <v>72</v>
      </c>
      <c r="AB2604" s="2" t="s">
        <v>192</v>
      </c>
      <c r="AC2604" s="4" t="s">
        <v>44</v>
      </c>
    </row>
    <row r="2605" spans="1:29" x14ac:dyDescent="0.25">
      <c r="A2605" s="1">
        <v>1803</v>
      </c>
      <c r="B2605" s="17" t="s">
        <v>11968</v>
      </c>
      <c r="C2605" s="2" t="s">
        <v>11969</v>
      </c>
      <c r="D2605" s="15" t="s">
        <v>4850</v>
      </c>
      <c r="E2605" s="9" t="s">
        <v>92</v>
      </c>
      <c r="F2605" s="9" t="s">
        <v>4849</v>
      </c>
      <c r="G2605" s="9" t="s">
        <v>509</v>
      </c>
      <c r="H2605" s="2" t="s">
        <v>60</v>
      </c>
      <c r="I2605" s="3">
        <v>36866</v>
      </c>
      <c r="J2605" s="9" t="str">
        <f t="shared" ca="1" si="42"/>
        <v>22 ans</v>
      </c>
      <c r="K2605" s="2" t="s">
        <v>68</v>
      </c>
      <c r="L2605" s="2" t="str">
        <f>"840"</f>
        <v>840</v>
      </c>
      <c r="M2605" s="2"/>
      <c r="N2605" s="2" t="str">
        <f>"RUE DES PRUNIERS"</f>
        <v>RUE DES PRUNIERS</v>
      </c>
      <c r="O2605" s="2" t="s">
        <v>11725</v>
      </c>
      <c r="P2605" s="9" t="str">
        <f>VLOOKUP($O2605,'Liste des Villes'!$B$2:$B$1128,1,FALSE)</f>
        <v>Saint-Colomban</v>
      </c>
      <c r="Q2605" s="9" t="str">
        <f>IFERROR($P2605,PROPER(VLOOKUP($O2605,'Villes en erreur'!$A$2:$B$72,2,FALSE)))</f>
        <v>Saint-Colomban</v>
      </c>
      <c r="R2605" s="9" t="s">
        <v>11726</v>
      </c>
      <c r="S2605" s="9" t="str">
        <f>IF(ISBLANK($R2605),"",VLOOKUP($R2605,'Liste des Villes'!$B$2:$H$1128,4,FALSE))</f>
        <v>Laurentides</v>
      </c>
      <c r="T2605" s="2" t="s">
        <v>11970</v>
      </c>
      <c r="U2605" s="2" t="s">
        <v>39</v>
      </c>
      <c r="V2605" s="2" t="s">
        <v>40</v>
      </c>
      <c r="W2605" s="2" t="s">
        <v>11971</v>
      </c>
      <c r="X2605" s="2"/>
      <c r="Y2605" s="2"/>
      <c r="Z2605" s="2"/>
      <c r="AA2605" s="2" t="s">
        <v>606</v>
      </c>
      <c r="AB2605" s="2" t="s">
        <v>161</v>
      </c>
      <c r="AC2605" s="4" t="s">
        <v>44</v>
      </c>
    </row>
    <row r="2606" spans="1:29" x14ac:dyDescent="0.25">
      <c r="A2606" s="1">
        <v>346</v>
      </c>
      <c r="B2606" s="17" t="s">
        <v>11972</v>
      </c>
      <c r="C2606" s="2" t="s">
        <v>2856</v>
      </c>
      <c r="D2606" s="15" t="s">
        <v>1264</v>
      </c>
      <c r="E2606" s="9" t="s">
        <v>826</v>
      </c>
      <c r="F2606" s="9" t="s">
        <v>1262</v>
      </c>
      <c r="G2606" s="9" t="s">
        <v>450</v>
      </c>
      <c r="H2606" s="2" t="s">
        <v>60</v>
      </c>
      <c r="I2606" s="3">
        <v>36825</v>
      </c>
      <c r="J2606" s="9" t="str">
        <f t="shared" ca="1" si="42"/>
        <v>22 ans</v>
      </c>
      <c r="K2606" s="2" t="s">
        <v>68</v>
      </c>
      <c r="L2606" s="2" t="str">
        <f>"760"</f>
        <v>760</v>
      </c>
      <c r="M2606" s="2"/>
      <c r="N2606" s="2" t="str">
        <f>"RUE DES MERISIERS"</f>
        <v>RUE DES MERISIERS</v>
      </c>
      <c r="O2606" s="2" t="s">
        <v>11725</v>
      </c>
      <c r="P2606" s="9" t="str">
        <f>VLOOKUP($O2606,'Liste des Villes'!$B$2:$B$1128,1,FALSE)</f>
        <v>Saint-Colomban</v>
      </c>
      <c r="Q2606" s="9" t="str">
        <f>IFERROR($P2606,PROPER(VLOOKUP($O2606,'Villes en erreur'!$A$2:$B$72,2,FALSE)))</f>
        <v>Saint-Colomban</v>
      </c>
      <c r="R2606" s="9" t="s">
        <v>11726</v>
      </c>
      <c r="S2606" s="9" t="str">
        <f>IF(ISBLANK($R2606),"",VLOOKUP($R2606,'Liste des Villes'!$B$2:$H$1128,4,FALSE))</f>
        <v>Laurentides</v>
      </c>
      <c r="T2606" s="2" t="s">
        <v>11973</v>
      </c>
      <c r="U2606" s="2" t="s">
        <v>39</v>
      </c>
      <c r="V2606" s="2" t="s">
        <v>40</v>
      </c>
      <c r="W2606" s="2" t="s">
        <v>11974</v>
      </c>
      <c r="X2606" s="2"/>
      <c r="Y2606" s="2"/>
      <c r="Z2606" s="2"/>
      <c r="AA2606" s="2" t="s">
        <v>72</v>
      </c>
      <c r="AB2606" s="2" t="s">
        <v>11733</v>
      </c>
      <c r="AC2606" s="4" t="s">
        <v>44</v>
      </c>
    </row>
    <row r="2607" spans="1:29" x14ac:dyDescent="0.25">
      <c r="A2607" s="1">
        <v>4172</v>
      </c>
      <c r="B2607" s="17" t="s">
        <v>11975</v>
      </c>
      <c r="C2607" s="2" t="s">
        <v>11976</v>
      </c>
      <c r="D2607" s="15" t="s">
        <v>11977</v>
      </c>
      <c r="E2607" s="9" t="s">
        <v>10908</v>
      </c>
      <c r="F2607" s="9" t="s">
        <v>9446</v>
      </c>
      <c r="G2607" s="9" t="s">
        <v>7804</v>
      </c>
      <c r="H2607" s="2" t="s">
        <v>60</v>
      </c>
      <c r="I2607" s="3">
        <v>36851</v>
      </c>
      <c r="J2607" s="9" t="str">
        <f t="shared" ca="1" si="42"/>
        <v>22 ans</v>
      </c>
      <c r="K2607" s="2" t="s">
        <v>68</v>
      </c>
      <c r="L2607" s="2" t="str">
        <f>"807"</f>
        <v>807</v>
      </c>
      <c r="M2607" s="2"/>
      <c r="N2607" s="2" t="str">
        <f>"RUE DES PINSONS"</f>
        <v>RUE DES PINSONS</v>
      </c>
      <c r="O2607" s="2" t="s">
        <v>11725</v>
      </c>
      <c r="P2607" s="9" t="str">
        <f>VLOOKUP($O2607,'Liste des Villes'!$B$2:$B$1128,1,FALSE)</f>
        <v>Saint-Colomban</v>
      </c>
      <c r="Q2607" s="9" t="str">
        <f>IFERROR($P2607,PROPER(VLOOKUP($O2607,'Villes en erreur'!$A$2:$B$72,2,FALSE)))</f>
        <v>Saint-Colomban</v>
      </c>
      <c r="R2607" s="9" t="s">
        <v>11726</v>
      </c>
      <c r="S2607" s="9" t="str">
        <f>IF(ISBLANK($R2607),"",VLOOKUP($R2607,'Liste des Villes'!$B$2:$H$1128,4,FALSE))</f>
        <v>Laurentides</v>
      </c>
      <c r="T2607" s="2" t="s">
        <v>11978</v>
      </c>
      <c r="U2607" s="2" t="s">
        <v>39</v>
      </c>
      <c r="V2607" s="2" t="s">
        <v>40</v>
      </c>
      <c r="W2607" s="2" t="s">
        <v>11979</v>
      </c>
      <c r="X2607" s="2"/>
      <c r="Y2607" s="2"/>
      <c r="Z2607" s="2"/>
      <c r="AA2607" s="2" t="s">
        <v>606</v>
      </c>
      <c r="AB2607" s="2" t="s">
        <v>11748</v>
      </c>
      <c r="AC2607" s="4" t="s">
        <v>44</v>
      </c>
    </row>
    <row r="2608" spans="1:29" x14ac:dyDescent="0.25">
      <c r="A2608" s="1">
        <v>3059</v>
      </c>
      <c r="B2608" s="17" t="s">
        <v>11980</v>
      </c>
      <c r="C2608" s="2" t="s">
        <v>11981</v>
      </c>
      <c r="D2608" s="15" t="s">
        <v>3788</v>
      </c>
      <c r="E2608" s="9" t="s">
        <v>9391</v>
      </c>
      <c r="F2608" s="9" t="s">
        <v>3551</v>
      </c>
      <c r="G2608" s="9" t="s">
        <v>509</v>
      </c>
      <c r="H2608" s="2" t="s">
        <v>60</v>
      </c>
      <c r="I2608" s="3">
        <v>36872</v>
      </c>
      <c r="J2608" s="9" t="str">
        <f t="shared" ca="1" si="42"/>
        <v>22 ans</v>
      </c>
      <c r="K2608" s="2" t="s">
        <v>68</v>
      </c>
      <c r="L2608" s="2" t="str">
        <f>"849"</f>
        <v>849</v>
      </c>
      <c r="M2608" s="2"/>
      <c r="N2608" s="2" t="str">
        <f>"RUE DES ROSES"</f>
        <v>RUE DES ROSES</v>
      </c>
      <c r="O2608" s="2" t="s">
        <v>11725</v>
      </c>
      <c r="P2608" s="9" t="str">
        <f>VLOOKUP($O2608,'Liste des Villes'!$B$2:$B$1128,1,FALSE)</f>
        <v>Saint-Colomban</v>
      </c>
      <c r="Q2608" s="9" t="str">
        <f>IFERROR($P2608,PROPER(VLOOKUP($O2608,'Villes en erreur'!$A$2:$B$72,2,FALSE)))</f>
        <v>Saint-Colomban</v>
      </c>
      <c r="R2608" s="9" t="s">
        <v>11726</v>
      </c>
      <c r="S2608" s="9" t="str">
        <f>IF(ISBLANK($R2608),"",VLOOKUP($R2608,'Liste des Villes'!$B$2:$H$1128,4,FALSE))</f>
        <v>Laurentides</v>
      </c>
      <c r="T2608" s="2" t="s">
        <v>11982</v>
      </c>
      <c r="U2608" s="2" t="s">
        <v>39</v>
      </c>
      <c r="V2608" s="2" t="s">
        <v>40</v>
      </c>
      <c r="W2608" s="2" t="s">
        <v>11983</v>
      </c>
      <c r="X2608" s="2"/>
      <c r="Y2608" s="2"/>
      <c r="Z2608" s="2"/>
      <c r="AA2608" s="2" t="s">
        <v>606</v>
      </c>
      <c r="AB2608" s="2" t="s">
        <v>161</v>
      </c>
      <c r="AC2608" s="4" t="s">
        <v>44</v>
      </c>
    </row>
    <row r="2609" spans="1:29" x14ac:dyDescent="0.25">
      <c r="A2609" s="1">
        <v>1556</v>
      </c>
      <c r="B2609" s="17" t="s">
        <v>11984</v>
      </c>
      <c r="C2609" s="2" t="s">
        <v>11985</v>
      </c>
      <c r="D2609" s="15" t="s">
        <v>11986</v>
      </c>
      <c r="E2609" s="9" t="s">
        <v>120</v>
      </c>
      <c r="F2609" s="9" t="s">
        <v>11987</v>
      </c>
      <c r="G2609" s="9" t="s">
        <v>348</v>
      </c>
      <c r="H2609" s="2" t="s">
        <v>60</v>
      </c>
      <c r="I2609" s="3">
        <v>36788</v>
      </c>
      <c r="J2609" s="9" t="str">
        <f t="shared" ca="1" si="42"/>
        <v>22 ans</v>
      </c>
      <c r="K2609" s="2" t="s">
        <v>68</v>
      </c>
      <c r="L2609" s="2" t="str">
        <f>"701"</f>
        <v>701</v>
      </c>
      <c r="M2609" s="2"/>
      <c r="N2609" s="2" t="str">
        <f>"RUE DES GENTIANES"</f>
        <v>RUE DES GENTIANES</v>
      </c>
      <c r="O2609" s="2" t="s">
        <v>11725</v>
      </c>
      <c r="P2609" s="9" t="str">
        <f>VLOOKUP($O2609,'Liste des Villes'!$B$2:$B$1128,1,FALSE)</f>
        <v>Saint-Colomban</v>
      </c>
      <c r="Q2609" s="9" t="str">
        <f>IFERROR($P2609,PROPER(VLOOKUP($O2609,'Villes en erreur'!$A$2:$B$72,2,FALSE)))</f>
        <v>Saint-Colomban</v>
      </c>
      <c r="R2609" s="9" t="s">
        <v>11726</v>
      </c>
      <c r="S2609" s="9" t="str">
        <f>IF(ISBLANK($R2609),"",VLOOKUP($R2609,'Liste des Villes'!$B$2:$H$1128,4,FALSE))</f>
        <v>Laurentides</v>
      </c>
      <c r="T2609" s="2" t="s">
        <v>11988</v>
      </c>
      <c r="U2609" s="2" t="s">
        <v>39</v>
      </c>
      <c r="V2609" s="2" t="s">
        <v>40</v>
      </c>
      <c r="W2609" s="2" t="s">
        <v>11989</v>
      </c>
      <c r="X2609" s="2"/>
      <c r="Y2609" s="2"/>
      <c r="Z2609" s="2"/>
      <c r="AA2609" s="2" t="s">
        <v>72</v>
      </c>
      <c r="AB2609" s="2" t="s">
        <v>192</v>
      </c>
      <c r="AC2609" s="4" t="s">
        <v>44</v>
      </c>
    </row>
    <row r="2610" spans="1:29" x14ac:dyDescent="0.25">
      <c r="A2610" s="1">
        <v>4570</v>
      </c>
      <c r="B2610" s="17" t="s">
        <v>11990</v>
      </c>
      <c r="C2610" s="2" t="s">
        <v>11991</v>
      </c>
      <c r="D2610" s="15" t="s">
        <v>304</v>
      </c>
      <c r="E2610" s="9" t="s">
        <v>11992</v>
      </c>
      <c r="F2610" s="9" t="s">
        <v>2181</v>
      </c>
      <c r="G2610" s="9" t="s">
        <v>11229</v>
      </c>
      <c r="H2610" s="2" t="s">
        <v>35</v>
      </c>
      <c r="I2610" s="3">
        <v>36840</v>
      </c>
      <c r="J2610" s="9" t="str">
        <f t="shared" ca="1" si="42"/>
        <v>22 ans</v>
      </c>
      <c r="K2610" s="2" t="s">
        <v>68</v>
      </c>
      <c r="L2610" s="2" t="str">
        <f>"782"</f>
        <v>782</v>
      </c>
      <c r="M2610" s="2"/>
      <c r="N2610" s="2" t="str">
        <f>"RUE DES PATRIOTES"</f>
        <v>RUE DES PATRIOTES</v>
      </c>
      <c r="O2610" s="2" t="s">
        <v>11725</v>
      </c>
      <c r="P2610" s="9" t="str">
        <f>VLOOKUP($O2610,'Liste des Villes'!$B$2:$B$1128,1,FALSE)</f>
        <v>Saint-Colomban</v>
      </c>
      <c r="Q2610" s="9" t="str">
        <f>IFERROR($P2610,PROPER(VLOOKUP($O2610,'Villes en erreur'!$A$2:$B$72,2,FALSE)))</f>
        <v>Saint-Colomban</v>
      </c>
      <c r="R2610" s="9" t="s">
        <v>11726</v>
      </c>
      <c r="S2610" s="9" t="str">
        <f>IF(ISBLANK($R2610),"",VLOOKUP($R2610,'Liste des Villes'!$B$2:$H$1128,4,FALSE))</f>
        <v>Laurentides</v>
      </c>
      <c r="T2610" s="2" t="s">
        <v>11993</v>
      </c>
      <c r="U2610" s="2" t="s">
        <v>39</v>
      </c>
      <c r="V2610" s="2" t="s">
        <v>40</v>
      </c>
      <c r="W2610" s="2" t="s">
        <v>11994</v>
      </c>
      <c r="X2610" s="2"/>
      <c r="Y2610" s="2"/>
      <c r="Z2610" s="2"/>
      <c r="AA2610" s="2" t="s">
        <v>606</v>
      </c>
      <c r="AB2610" s="2" t="s">
        <v>11748</v>
      </c>
      <c r="AC2610" s="4" t="s">
        <v>44</v>
      </c>
    </row>
    <row r="2611" spans="1:29" x14ac:dyDescent="0.25">
      <c r="A2611" s="1">
        <v>246</v>
      </c>
      <c r="B2611" s="17" t="s">
        <v>11995</v>
      </c>
      <c r="C2611" s="2" t="s">
        <v>11996</v>
      </c>
      <c r="D2611" s="15" t="s">
        <v>395</v>
      </c>
      <c r="E2611" s="9" t="s">
        <v>2719</v>
      </c>
      <c r="F2611" s="9" t="s">
        <v>34</v>
      </c>
      <c r="G2611" s="9" t="s">
        <v>5671</v>
      </c>
      <c r="H2611" s="2" t="s">
        <v>35</v>
      </c>
      <c r="I2611" s="3">
        <v>36799</v>
      </c>
      <c r="J2611" s="9" t="str">
        <f t="shared" ca="1" si="42"/>
        <v>22 ans</v>
      </c>
      <c r="K2611" s="2" t="s">
        <v>68</v>
      </c>
      <c r="L2611" s="2" t="str">
        <f>"720"</f>
        <v>720</v>
      </c>
      <c r="M2611" s="2"/>
      <c r="N2611" s="2" t="str">
        <f>"RUE DES HUARDS"</f>
        <v>RUE DES HUARDS</v>
      </c>
      <c r="O2611" s="2" t="s">
        <v>11725</v>
      </c>
      <c r="P2611" s="9" t="str">
        <f>VLOOKUP($O2611,'Liste des Villes'!$B$2:$B$1128,1,FALSE)</f>
        <v>Saint-Colomban</v>
      </c>
      <c r="Q2611" s="9" t="str">
        <f>IFERROR($P2611,PROPER(VLOOKUP($O2611,'Villes en erreur'!$A$2:$B$72,2,FALSE)))</f>
        <v>Saint-Colomban</v>
      </c>
      <c r="R2611" s="9" t="s">
        <v>11726</v>
      </c>
      <c r="S2611" s="9" t="str">
        <f>IF(ISBLANK($R2611),"",VLOOKUP($R2611,'Liste des Villes'!$B$2:$H$1128,4,FALSE))</f>
        <v>Laurentides</v>
      </c>
      <c r="T2611" s="2" t="s">
        <v>11997</v>
      </c>
      <c r="U2611" s="2" t="s">
        <v>39</v>
      </c>
      <c r="V2611" s="2" t="s">
        <v>40</v>
      </c>
      <c r="W2611" s="2" t="s">
        <v>11998</v>
      </c>
      <c r="X2611" s="2"/>
      <c r="Y2611" s="2"/>
      <c r="Z2611" s="2"/>
      <c r="AA2611" s="2" t="s">
        <v>72</v>
      </c>
      <c r="AB2611" s="2" t="s">
        <v>11733</v>
      </c>
      <c r="AC2611" s="4" t="s">
        <v>44</v>
      </c>
    </row>
    <row r="2612" spans="1:29" x14ac:dyDescent="0.25">
      <c r="A2612" s="1">
        <v>4120</v>
      </c>
      <c r="B2612" s="17" t="s">
        <v>11999</v>
      </c>
      <c r="C2612" s="2" t="s">
        <v>12000</v>
      </c>
      <c r="D2612" s="15" t="s">
        <v>11464</v>
      </c>
      <c r="E2612" s="9" t="s">
        <v>1410</v>
      </c>
      <c r="F2612" s="9" t="s">
        <v>11462</v>
      </c>
      <c r="G2612" s="9" t="s">
        <v>7662</v>
      </c>
      <c r="H2612" s="2" t="s">
        <v>35</v>
      </c>
      <c r="I2612" s="3">
        <v>36822</v>
      </c>
      <c r="J2612" s="9" t="str">
        <f t="shared" ca="1" si="42"/>
        <v>22 ans</v>
      </c>
      <c r="K2612" s="2" t="s">
        <v>68</v>
      </c>
      <c r="L2612" s="2" t="str">
        <f>"754"</f>
        <v>754</v>
      </c>
      <c r="M2612" s="2"/>
      <c r="N2612" s="2" t="str">
        <f>"RUE DES MÉANDRES"</f>
        <v>RUE DES MÉANDRES</v>
      </c>
      <c r="O2612" s="2" t="s">
        <v>11725</v>
      </c>
      <c r="P2612" s="9" t="str">
        <f>VLOOKUP($O2612,'Liste des Villes'!$B$2:$B$1128,1,FALSE)</f>
        <v>Saint-Colomban</v>
      </c>
      <c r="Q2612" s="9" t="str">
        <f>IFERROR($P2612,PROPER(VLOOKUP($O2612,'Villes en erreur'!$A$2:$B$72,2,FALSE)))</f>
        <v>Saint-Colomban</v>
      </c>
      <c r="R2612" s="9" t="s">
        <v>11726</v>
      </c>
      <c r="S2612" s="9" t="str">
        <f>IF(ISBLANK($R2612),"",VLOOKUP($R2612,'Liste des Villes'!$B$2:$H$1128,4,FALSE))</f>
        <v>Laurentides</v>
      </c>
      <c r="T2612" s="2" t="s">
        <v>12001</v>
      </c>
      <c r="U2612" s="2" t="s">
        <v>39</v>
      </c>
      <c r="V2612" s="2" t="s">
        <v>40</v>
      </c>
      <c r="W2612" s="2" t="s">
        <v>12002</v>
      </c>
      <c r="X2612" s="2"/>
      <c r="Y2612" s="2"/>
      <c r="Z2612" s="2"/>
      <c r="AA2612" s="2" t="s">
        <v>72</v>
      </c>
      <c r="AB2612" s="2" t="s">
        <v>11733</v>
      </c>
      <c r="AC2612" s="4" t="s">
        <v>44</v>
      </c>
    </row>
    <row r="2613" spans="1:29" x14ac:dyDescent="0.25">
      <c r="A2613" s="1">
        <v>2284</v>
      </c>
      <c r="B2613" s="17" t="s">
        <v>12003</v>
      </c>
      <c r="C2613" s="2" t="s">
        <v>12004</v>
      </c>
      <c r="D2613" s="15" t="s">
        <v>5902</v>
      </c>
      <c r="E2613" s="9" t="s">
        <v>10352</v>
      </c>
      <c r="F2613" s="9" t="s">
        <v>5901</v>
      </c>
      <c r="G2613" s="9" t="s">
        <v>11538</v>
      </c>
      <c r="H2613" s="2" t="s">
        <v>35</v>
      </c>
      <c r="I2613" s="3">
        <v>36831</v>
      </c>
      <c r="J2613" s="9" t="str">
        <f t="shared" ca="1" si="42"/>
        <v>22 ans</v>
      </c>
      <c r="K2613" s="2" t="s">
        <v>68</v>
      </c>
      <c r="L2613" s="2" t="str">
        <f>"768"</f>
        <v>768</v>
      </c>
      <c r="M2613" s="2"/>
      <c r="N2613" s="2" t="str">
        <f>"RUE DES NEIGES"</f>
        <v>RUE DES NEIGES</v>
      </c>
      <c r="O2613" s="2" t="s">
        <v>11725</v>
      </c>
      <c r="P2613" s="9" t="str">
        <f>VLOOKUP($O2613,'Liste des Villes'!$B$2:$B$1128,1,FALSE)</f>
        <v>Saint-Colomban</v>
      </c>
      <c r="Q2613" s="9" t="str">
        <f>IFERROR($P2613,PROPER(VLOOKUP($O2613,'Villes en erreur'!$A$2:$B$72,2,FALSE)))</f>
        <v>Saint-Colomban</v>
      </c>
      <c r="R2613" s="9" t="s">
        <v>11726</v>
      </c>
      <c r="S2613" s="9" t="str">
        <f>IF(ISBLANK($R2613),"",VLOOKUP($R2613,'Liste des Villes'!$B$2:$H$1128,4,FALSE))</f>
        <v>Laurentides</v>
      </c>
      <c r="T2613" s="2" t="s">
        <v>12005</v>
      </c>
      <c r="U2613" s="2" t="s">
        <v>39</v>
      </c>
      <c r="V2613" s="2" t="s">
        <v>40</v>
      </c>
      <c r="W2613" s="2" t="s">
        <v>12006</v>
      </c>
      <c r="X2613" s="2"/>
      <c r="Y2613" s="2"/>
      <c r="Z2613" s="2"/>
      <c r="AA2613" s="2" t="s">
        <v>72</v>
      </c>
      <c r="AB2613" s="2" t="s">
        <v>11733</v>
      </c>
      <c r="AC2613" s="4" t="s">
        <v>44</v>
      </c>
    </row>
    <row r="2614" spans="1:29" x14ac:dyDescent="0.25">
      <c r="A2614" s="1">
        <v>802</v>
      </c>
      <c r="B2614" s="17" t="s">
        <v>12007</v>
      </c>
      <c r="C2614" s="2" t="s">
        <v>12008</v>
      </c>
      <c r="D2614" s="15" t="s">
        <v>2888</v>
      </c>
      <c r="E2614" s="9" t="s">
        <v>2114</v>
      </c>
      <c r="F2614" s="9" t="s">
        <v>2115</v>
      </c>
      <c r="G2614" s="9" t="s">
        <v>9881</v>
      </c>
      <c r="H2614" s="2" t="s">
        <v>35</v>
      </c>
      <c r="I2614" s="3">
        <v>36799</v>
      </c>
      <c r="J2614" s="9" t="str">
        <f t="shared" ca="1" si="42"/>
        <v>22 ans</v>
      </c>
      <c r="K2614" s="2" t="s">
        <v>68</v>
      </c>
      <c r="L2614" s="2" t="str">
        <f>"720"</f>
        <v>720</v>
      </c>
      <c r="M2614" s="2"/>
      <c r="N2614" s="2" t="str">
        <f>"RUE DES HUARDS"</f>
        <v>RUE DES HUARDS</v>
      </c>
      <c r="O2614" s="2" t="s">
        <v>11725</v>
      </c>
      <c r="P2614" s="9" t="str">
        <f>VLOOKUP($O2614,'Liste des Villes'!$B$2:$B$1128,1,FALSE)</f>
        <v>Saint-Colomban</v>
      </c>
      <c r="Q2614" s="9" t="str">
        <f>IFERROR($P2614,PROPER(VLOOKUP($O2614,'Villes en erreur'!$A$2:$B$72,2,FALSE)))</f>
        <v>Saint-Colomban</v>
      </c>
      <c r="R2614" s="9" t="s">
        <v>11726</v>
      </c>
      <c r="S2614" s="9" t="str">
        <f>IF(ISBLANK($R2614),"",VLOOKUP($R2614,'Liste des Villes'!$B$2:$H$1128,4,FALSE))</f>
        <v>Laurentides</v>
      </c>
      <c r="T2614" s="2" t="s">
        <v>12009</v>
      </c>
      <c r="U2614" s="2" t="s">
        <v>39</v>
      </c>
      <c r="V2614" s="2" t="s">
        <v>40</v>
      </c>
      <c r="W2614" s="2" t="s">
        <v>12010</v>
      </c>
      <c r="X2614" s="2"/>
      <c r="Y2614" s="2"/>
      <c r="Z2614" s="2"/>
      <c r="AA2614" s="2" t="s">
        <v>72</v>
      </c>
      <c r="AB2614" s="2" t="s">
        <v>11733</v>
      </c>
      <c r="AC2614" s="4" t="s">
        <v>44</v>
      </c>
    </row>
    <row r="2615" spans="1:29" x14ac:dyDescent="0.25">
      <c r="A2615" s="1">
        <v>1624</v>
      </c>
      <c r="B2615" s="17" t="s">
        <v>12011</v>
      </c>
      <c r="C2615" s="2" t="s">
        <v>2511</v>
      </c>
      <c r="D2615" s="15" t="s">
        <v>304</v>
      </c>
      <c r="E2615" s="9" t="s">
        <v>2512</v>
      </c>
      <c r="F2615" s="9" t="s">
        <v>4347</v>
      </c>
      <c r="G2615" s="9" t="s">
        <v>8868</v>
      </c>
      <c r="H2615" s="2" t="s">
        <v>35</v>
      </c>
      <c r="I2615" s="3">
        <v>36830</v>
      </c>
      <c r="J2615" s="9" t="str">
        <f t="shared" ca="1" si="42"/>
        <v>22 ans</v>
      </c>
      <c r="K2615" s="2" t="s">
        <v>68</v>
      </c>
      <c r="L2615" s="2" t="str">
        <f>"767"</f>
        <v>767</v>
      </c>
      <c r="M2615" s="2"/>
      <c r="N2615" s="2" t="str">
        <f>"RUE DES MOULINS"</f>
        <v>RUE DES MOULINS</v>
      </c>
      <c r="O2615" s="2" t="s">
        <v>11725</v>
      </c>
      <c r="P2615" s="9" t="str">
        <f>VLOOKUP($O2615,'Liste des Villes'!$B$2:$B$1128,1,FALSE)</f>
        <v>Saint-Colomban</v>
      </c>
      <c r="Q2615" s="9" t="str">
        <f>IFERROR($P2615,PROPER(VLOOKUP($O2615,'Villes en erreur'!$A$2:$B$72,2,FALSE)))</f>
        <v>Saint-Colomban</v>
      </c>
      <c r="R2615" s="9" t="s">
        <v>11726</v>
      </c>
      <c r="S2615" s="9" t="str">
        <f>IF(ISBLANK($R2615),"",VLOOKUP($R2615,'Liste des Villes'!$B$2:$H$1128,4,FALSE))</f>
        <v>Laurentides</v>
      </c>
      <c r="T2615" s="2" t="s">
        <v>12005</v>
      </c>
      <c r="U2615" s="2" t="s">
        <v>39</v>
      </c>
      <c r="V2615" s="2" t="s">
        <v>40</v>
      </c>
      <c r="W2615" s="2" t="s">
        <v>12012</v>
      </c>
      <c r="X2615" s="2"/>
      <c r="Y2615" s="2"/>
      <c r="Z2615" s="2"/>
      <c r="AA2615" s="2" t="s">
        <v>72</v>
      </c>
      <c r="AB2615" s="2" t="s">
        <v>11733</v>
      </c>
      <c r="AC2615" s="4" t="s">
        <v>44</v>
      </c>
    </row>
    <row r="2616" spans="1:29" x14ac:dyDescent="0.25">
      <c r="A2616" s="1">
        <v>463</v>
      </c>
      <c r="B2616" s="17" t="s">
        <v>12013</v>
      </c>
      <c r="C2616" s="2" t="s">
        <v>8035</v>
      </c>
      <c r="D2616" s="15" t="s">
        <v>867</v>
      </c>
      <c r="E2616" s="9" t="s">
        <v>4243</v>
      </c>
      <c r="F2616" s="9" t="s">
        <v>2263</v>
      </c>
      <c r="G2616" s="9" t="s">
        <v>120</v>
      </c>
      <c r="H2616" s="2" t="s">
        <v>35</v>
      </c>
      <c r="I2616" s="3">
        <v>36801</v>
      </c>
      <c r="J2616" s="9" t="str">
        <f t="shared" ca="1" si="42"/>
        <v>22 ans</v>
      </c>
      <c r="K2616" s="2" t="s">
        <v>68</v>
      </c>
      <c r="L2616" s="2" t="str">
        <f>"723"</f>
        <v>723</v>
      </c>
      <c r="M2616" s="2"/>
      <c r="N2616" s="2" t="str">
        <f>"RUE DES JONCS"</f>
        <v>RUE DES JONCS</v>
      </c>
      <c r="O2616" s="2" t="s">
        <v>11725</v>
      </c>
      <c r="P2616" s="9" t="str">
        <f>VLOOKUP($O2616,'Liste des Villes'!$B$2:$B$1128,1,FALSE)</f>
        <v>Saint-Colomban</v>
      </c>
      <c r="Q2616" s="9" t="str">
        <f>IFERROR($P2616,PROPER(VLOOKUP($O2616,'Villes en erreur'!$A$2:$B$72,2,FALSE)))</f>
        <v>Saint-Colomban</v>
      </c>
      <c r="R2616" s="9" t="s">
        <v>11726</v>
      </c>
      <c r="S2616" s="9" t="str">
        <f>IF(ISBLANK($R2616),"",VLOOKUP($R2616,'Liste des Villes'!$B$2:$H$1128,4,FALSE))</f>
        <v>Laurentides</v>
      </c>
      <c r="T2616" s="2" t="s">
        <v>12014</v>
      </c>
      <c r="U2616" s="2" t="s">
        <v>39</v>
      </c>
      <c r="V2616" s="2" t="s">
        <v>40</v>
      </c>
      <c r="W2616" s="2" t="s">
        <v>12015</v>
      </c>
      <c r="X2616" s="2"/>
      <c r="Y2616" s="2"/>
      <c r="Z2616" s="2"/>
      <c r="AA2616" s="2" t="s">
        <v>72</v>
      </c>
      <c r="AB2616" s="2" t="s">
        <v>11733</v>
      </c>
      <c r="AC2616" s="4" t="s">
        <v>44</v>
      </c>
    </row>
    <row r="2617" spans="1:29" x14ac:dyDescent="0.25">
      <c r="A2617" s="1">
        <v>4269</v>
      </c>
      <c r="B2617" s="17" t="s">
        <v>12016</v>
      </c>
      <c r="C2617" s="2" t="s">
        <v>12017</v>
      </c>
      <c r="D2617" s="15" t="s">
        <v>144</v>
      </c>
      <c r="E2617" s="9" t="s">
        <v>3104</v>
      </c>
      <c r="F2617" s="9" t="s">
        <v>12018</v>
      </c>
      <c r="G2617" s="9" t="s">
        <v>509</v>
      </c>
      <c r="H2617" s="2" t="s">
        <v>60</v>
      </c>
      <c r="I2617" s="3">
        <v>36866</v>
      </c>
      <c r="J2617" s="9" t="str">
        <f t="shared" ca="1" si="42"/>
        <v>22 ans</v>
      </c>
      <c r="K2617" s="2" t="s">
        <v>68</v>
      </c>
      <c r="L2617" s="2" t="str">
        <f>"840"</f>
        <v>840</v>
      </c>
      <c r="M2617" s="2"/>
      <c r="N2617" s="2" t="str">
        <f>"RUE DES QUATRE SAISONS"</f>
        <v>RUE DES QUATRE SAISONS</v>
      </c>
      <c r="O2617" s="2" t="s">
        <v>11725</v>
      </c>
      <c r="P2617" s="9" t="str">
        <f>VLOOKUP($O2617,'Liste des Villes'!$B$2:$B$1128,1,FALSE)</f>
        <v>Saint-Colomban</v>
      </c>
      <c r="Q2617" s="9" t="str">
        <f>IFERROR($P2617,PROPER(VLOOKUP($O2617,'Villes en erreur'!$A$2:$B$72,2,FALSE)))</f>
        <v>Saint-Colomban</v>
      </c>
      <c r="R2617" s="9" t="s">
        <v>11726</v>
      </c>
      <c r="S2617" s="9" t="str">
        <f>IF(ISBLANK($R2617),"",VLOOKUP($R2617,'Liste des Villes'!$B$2:$H$1128,4,FALSE))</f>
        <v>Laurentides</v>
      </c>
      <c r="T2617" s="2" t="s">
        <v>12019</v>
      </c>
      <c r="U2617" s="2" t="s">
        <v>39</v>
      </c>
      <c r="V2617" s="2" t="s">
        <v>40</v>
      </c>
      <c r="W2617" s="2" t="s">
        <v>12020</v>
      </c>
      <c r="X2617" s="2"/>
      <c r="Y2617" s="2"/>
      <c r="Z2617" s="2"/>
      <c r="AA2617" s="2" t="s">
        <v>606</v>
      </c>
      <c r="AB2617" s="2" t="s">
        <v>161</v>
      </c>
      <c r="AC2617" s="4" t="s">
        <v>44</v>
      </c>
    </row>
    <row r="2618" spans="1:29" x14ac:dyDescent="0.25">
      <c r="A2618" s="1">
        <v>284</v>
      </c>
      <c r="B2618" s="17" t="s">
        <v>12021</v>
      </c>
      <c r="C2618" s="2" t="s">
        <v>3601</v>
      </c>
      <c r="D2618" s="15" t="s">
        <v>1167</v>
      </c>
      <c r="E2618" s="9" t="s">
        <v>3397</v>
      </c>
      <c r="F2618" s="9" t="s">
        <v>1169</v>
      </c>
      <c r="G2618" s="9" t="s">
        <v>12022</v>
      </c>
      <c r="H2618" s="2" t="s">
        <v>35</v>
      </c>
      <c r="I2618" s="3">
        <v>36840</v>
      </c>
      <c r="J2618" s="9" t="str">
        <f t="shared" ca="1" si="42"/>
        <v>22 ans</v>
      </c>
      <c r="K2618" s="2" t="s">
        <v>68</v>
      </c>
      <c r="L2618" s="2" t="str">
        <f>"783"</f>
        <v>783</v>
      </c>
      <c r="M2618" s="2"/>
      <c r="N2618" s="2" t="str">
        <f>"RUE DES PATRIOTES"</f>
        <v>RUE DES PATRIOTES</v>
      </c>
      <c r="O2618" s="2" t="s">
        <v>11725</v>
      </c>
      <c r="P2618" s="9" t="str">
        <f>VLOOKUP($O2618,'Liste des Villes'!$B$2:$B$1128,1,FALSE)</f>
        <v>Saint-Colomban</v>
      </c>
      <c r="Q2618" s="9" t="str">
        <f>IFERROR($P2618,PROPER(VLOOKUP($O2618,'Villes en erreur'!$A$2:$B$72,2,FALSE)))</f>
        <v>Saint-Colomban</v>
      </c>
      <c r="R2618" s="9" t="s">
        <v>11726</v>
      </c>
      <c r="S2618" s="9" t="str">
        <f>IF(ISBLANK($R2618),"",VLOOKUP($R2618,'Liste des Villes'!$B$2:$H$1128,4,FALSE))</f>
        <v>Laurentides</v>
      </c>
      <c r="T2618" s="2" t="s">
        <v>12023</v>
      </c>
      <c r="U2618" s="2" t="s">
        <v>39</v>
      </c>
      <c r="V2618" s="2" t="s">
        <v>40</v>
      </c>
      <c r="W2618" s="2" t="s">
        <v>12024</v>
      </c>
      <c r="X2618" s="2"/>
      <c r="Y2618" s="2"/>
      <c r="Z2618" s="2"/>
      <c r="AA2618" s="2" t="s">
        <v>606</v>
      </c>
      <c r="AB2618" s="2" t="s">
        <v>11748</v>
      </c>
      <c r="AC2618" s="4" t="s">
        <v>44</v>
      </c>
    </row>
    <row r="2619" spans="1:29" x14ac:dyDescent="0.25">
      <c r="A2619" s="1">
        <v>1113</v>
      </c>
      <c r="B2619" s="17" t="s">
        <v>12025</v>
      </c>
      <c r="C2619" s="2" t="s">
        <v>12026</v>
      </c>
      <c r="D2619" s="15" t="s">
        <v>1098</v>
      </c>
      <c r="E2619" s="9" t="s">
        <v>11554</v>
      </c>
      <c r="F2619" s="9" t="s">
        <v>1096</v>
      </c>
      <c r="G2619" s="9" t="s">
        <v>450</v>
      </c>
      <c r="H2619" s="2" t="s">
        <v>60</v>
      </c>
      <c r="I2619" s="3">
        <v>36826</v>
      </c>
      <c r="J2619" s="9" t="str">
        <f t="shared" ca="1" si="42"/>
        <v>22 ans</v>
      </c>
      <c r="K2619" s="2" t="s">
        <v>68</v>
      </c>
      <c r="L2619" s="2" t="str">
        <f>"763"</f>
        <v>763</v>
      </c>
      <c r="M2619" s="2"/>
      <c r="N2619" s="2" t="str">
        <f>"RUE DES MÉSANGES"</f>
        <v>RUE DES MÉSANGES</v>
      </c>
      <c r="O2619" s="2" t="s">
        <v>11725</v>
      </c>
      <c r="P2619" s="9" t="str">
        <f>VLOOKUP($O2619,'Liste des Villes'!$B$2:$B$1128,1,FALSE)</f>
        <v>Saint-Colomban</v>
      </c>
      <c r="Q2619" s="9" t="str">
        <f>IFERROR($P2619,PROPER(VLOOKUP($O2619,'Villes en erreur'!$A$2:$B$72,2,FALSE)))</f>
        <v>Saint-Colomban</v>
      </c>
      <c r="R2619" s="9" t="s">
        <v>11726</v>
      </c>
      <c r="S2619" s="9" t="str">
        <f>IF(ISBLANK($R2619),"",VLOOKUP($R2619,'Liste des Villes'!$B$2:$H$1128,4,FALSE))</f>
        <v>Laurentides</v>
      </c>
      <c r="T2619" s="2" t="s">
        <v>12027</v>
      </c>
      <c r="U2619" s="2" t="s">
        <v>39</v>
      </c>
      <c r="V2619" s="2" t="s">
        <v>40</v>
      </c>
      <c r="W2619" s="2" t="s">
        <v>12028</v>
      </c>
      <c r="X2619" s="2"/>
      <c r="Y2619" s="2"/>
      <c r="Z2619" s="2"/>
      <c r="AA2619" s="2" t="s">
        <v>72</v>
      </c>
      <c r="AB2619" s="2" t="s">
        <v>11733</v>
      </c>
      <c r="AC2619" s="4" t="s">
        <v>44</v>
      </c>
    </row>
    <row r="2620" spans="1:29" x14ac:dyDescent="0.25">
      <c r="A2620" s="1">
        <v>4077</v>
      </c>
      <c r="B2620" s="17" t="s">
        <v>12029</v>
      </c>
      <c r="C2620" s="2" t="s">
        <v>12030</v>
      </c>
      <c r="D2620" s="15" t="s">
        <v>12031</v>
      </c>
      <c r="E2620" s="9" t="s">
        <v>1037</v>
      </c>
      <c r="F2620" s="9" t="s">
        <v>285</v>
      </c>
      <c r="G2620" s="9" t="s">
        <v>348</v>
      </c>
      <c r="H2620" s="2" t="s">
        <v>60</v>
      </c>
      <c r="I2620" s="3">
        <v>36795</v>
      </c>
      <c r="J2620" s="9" t="str">
        <f t="shared" ca="1" si="42"/>
        <v>22 ans</v>
      </c>
      <c r="K2620" s="2" t="s">
        <v>68</v>
      </c>
      <c r="L2620" s="2" t="str">
        <f>"709"</f>
        <v>709</v>
      </c>
      <c r="M2620" s="2"/>
      <c r="N2620" s="2" t="str">
        <f>"RUE DES GUÉRETS"</f>
        <v>RUE DES GUÉRETS</v>
      </c>
      <c r="O2620" s="2" t="s">
        <v>11725</v>
      </c>
      <c r="P2620" s="9" t="str">
        <f>VLOOKUP($O2620,'Liste des Villes'!$B$2:$B$1128,1,FALSE)</f>
        <v>Saint-Colomban</v>
      </c>
      <c r="Q2620" s="9" t="str">
        <f>IFERROR($P2620,PROPER(VLOOKUP($O2620,'Villes en erreur'!$A$2:$B$72,2,FALSE)))</f>
        <v>Saint-Colomban</v>
      </c>
      <c r="R2620" s="9" t="s">
        <v>11726</v>
      </c>
      <c r="S2620" s="9" t="str">
        <f>IF(ISBLANK($R2620),"",VLOOKUP($R2620,'Liste des Villes'!$B$2:$H$1128,4,FALSE))</f>
        <v>Laurentides</v>
      </c>
      <c r="T2620" s="2" t="s">
        <v>12032</v>
      </c>
      <c r="U2620" s="2" t="s">
        <v>39</v>
      </c>
      <c r="V2620" s="2" t="s">
        <v>40</v>
      </c>
      <c r="W2620" s="2" t="s">
        <v>12033</v>
      </c>
      <c r="X2620" s="2"/>
      <c r="Y2620" s="2"/>
      <c r="Z2620" s="2"/>
      <c r="AA2620" s="2" t="s">
        <v>72</v>
      </c>
      <c r="AB2620" s="2" t="s">
        <v>192</v>
      </c>
      <c r="AC2620" s="4" t="s">
        <v>44</v>
      </c>
    </row>
    <row r="2621" spans="1:29" x14ac:dyDescent="0.25">
      <c r="A2621" s="1">
        <v>2040</v>
      </c>
      <c r="B2621" s="17" t="s">
        <v>12034</v>
      </c>
      <c r="C2621" s="2" t="s">
        <v>5593</v>
      </c>
      <c r="D2621" s="15" t="s">
        <v>1716</v>
      </c>
      <c r="E2621" s="9" t="s">
        <v>3235</v>
      </c>
      <c r="F2621" s="9" t="s">
        <v>31</v>
      </c>
      <c r="G2621" s="9" t="s">
        <v>509</v>
      </c>
      <c r="H2621" s="2" t="s">
        <v>60</v>
      </c>
      <c r="I2621" s="3">
        <v>36860</v>
      </c>
      <c r="J2621" s="9" t="str">
        <f t="shared" ca="1" si="42"/>
        <v>22 ans</v>
      </c>
      <c r="K2621" s="2" t="s">
        <v>68</v>
      </c>
      <c r="L2621" s="2" t="str">
        <f>"822"</f>
        <v>822</v>
      </c>
      <c r="M2621" s="2"/>
      <c r="N2621" s="2" t="str">
        <f>"RUE DES PRAIRIES"</f>
        <v>RUE DES PRAIRIES</v>
      </c>
      <c r="O2621" s="2" t="s">
        <v>11725</v>
      </c>
      <c r="P2621" s="9" t="str">
        <f>VLOOKUP($O2621,'Liste des Villes'!$B$2:$B$1128,1,FALSE)</f>
        <v>Saint-Colomban</v>
      </c>
      <c r="Q2621" s="9" t="str">
        <f>IFERROR($P2621,PROPER(VLOOKUP($O2621,'Villes en erreur'!$A$2:$B$72,2,FALSE)))</f>
        <v>Saint-Colomban</v>
      </c>
      <c r="R2621" s="9" t="s">
        <v>11726</v>
      </c>
      <c r="S2621" s="9" t="str">
        <f>IF(ISBLANK($R2621),"",VLOOKUP($R2621,'Liste des Villes'!$B$2:$H$1128,4,FALSE))</f>
        <v>Laurentides</v>
      </c>
      <c r="T2621" s="2" t="s">
        <v>11959</v>
      </c>
      <c r="U2621" s="2" t="s">
        <v>39</v>
      </c>
      <c r="V2621" s="2" t="s">
        <v>40</v>
      </c>
      <c r="W2621" s="2" t="s">
        <v>12035</v>
      </c>
      <c r="X2621" s="2"/>
      <c r="Y2621" s="2"/>
      <c r="Z2621" s="2"/>
      <c r="AA2621" s="2" t="s">
        <v>606</v>
      </c>
      <c r="AB2621" s="2" t="s">
        <v>161</v>
      </c>
      <c r="AC2621" s="4" t="s">
        <v>44</v>
      </c>
    </row>
    <row r="2622" spans="1:29" x14ac:dyDescent="0.25">
      <c r="A2622" s="1">
        <v>428</v>
      </c>
      <c r="B2622" s="17" t="s">
        <v>12036</v>
      </c>
      <c r="C2622" s="2" t="s">
        <v>12037</v>
      </c>
      <c r="D2622" s="15" t="s">
        <v>5309</v>
      </c>
      <c r="E2622" s="9" t="s">
        <v>2049</v>
      </c>
      <c r="F2622" s="9" t="s">
        <v>5308</v>
      </c>
      <c r="G2622" s="9" t="s">
        <v>120</v>
      </c>
      <c r="H2622" s="2" t="s">
        <v>35</v>
      </c>
      <c r="I2622" s="3">
        <v>36810</v>
      </c>
      <c r="J2622" s="9" t="str">
        <f t="shared" ca="1" si="42"/>
        <v>22 ans</v>
      </c>
      <c r="K2622" s="2" t="s">
        <v>68</v>
      </c>
      <c r="L2622" s="2" t="str">
        <f>"736"</f>
        <v>736</v>
      </c>
      <c r="M2622" s="2"/>
      <c r="N2622" s="2" t="str">
        <f>"RUE DES LIARDS"</f>
        <v>RUE DES LIARDS</v>
      </c>
      <c r="O2622" s="2" t="s">
        <v>11725</v>
      </c>
      <c r="P2622" s="9" t="str">
        <f>VLOOKUP($O2622,'Liste des Villes'!$B$2:$B$1128,1,FALSE)</f>
        <v>Saint-Colomban</v>
      </c>
      <c r="Q2622" s="9" t="str">
        <f>IFERROR($P2622,PROPER(VLOOKUP($O2622,'Villes en erreur'!$A$2:$B$72,2,FALSE)))</f>
        <v>Saint-Colomban</v>
      </c>
      <c r="R2622" s="9" t="s">
        <v>11726</v>
      </c>
      <c r="S2622" s="9" t="str">
        <f>IF(ISBLANK($R2622),"",VLOOKUP($R2622,'Liste des Villes'!$B$2:$H$1128,4,FALSE))</f>
        <v>Laurentides</v>
      </c>
      <c r="T2622" s="2" t="s">
        <v>12038</v>
      </c>
      <c r="U2622" s="2" t="s">
        <v>39</v>
      </c>
      <c r="V2622" s="2" t="s">
        <v>40</v>
      </c>
      <c r="W2622" s="2" t="s">
        <v>12039</v>
      </c>
      <c r="X2622" s="2"/>
      <c r="Y2622" s="2"/>
      <c r="Z2622" s="2"/>
      <c r="AA2622" s="2" t="s">
        <v>72</v>
      </c>
      <c r="AB2622" s="2" t="s">
        <v>11733</v>
      </c>
      <c r="AC2622" s="4" t="s">
        <v>44</v>
      </c>
    </row>
    <row r="2623" spans="1:29" x14ac:dyDescent="0.25">
      <c r="A2623" s="1">
        <v>3208</v>
      </c>
      <c r="B2623" s="17" t="s">
        <v>12040</v>
      </c>
      <c r="C2623" s="2" t="s">
        <v>12041</v>
      </c>
      <c r="D2623" s="15" t="s">
        <v>2251</v>
      </c>
      <c r="E2623" s="9" t="s">
        <v>3844</v>
      </c>
      <c r="F2623" s="9" t="s">
        <v>12042</v>
      </c>
      <c r="G2623" s="9" t="s">
        <v>348</v>
      </c>
      <c r="H2623" s="2" t="s">
        <v>60</v>
      </c>
      <c r="I2623" s="3">
        <v>36798</v>
      </c>
      <c r="J2623" s="9" t="str">
        <f t="shared" ca="1" si="42"/>
        <v>22 ans</v>
      </c>
      <c r="K2623" s="2" t="s">
        <v>68</v>
      </c>
      <c r="L2623" s="2" t="str">
        <f>"718"</f>
        <v>718</v>
      </c>
      <c r="M2623" s="2"/>
      <c r="N2623" s="2" t="str">
        <f>"RUE DES HIRONDELLES"</f>
        <v>RUE DES HIRONDELLES</v>
      </c>
      <c r="O2623" s="2" t="s">
        <v>11725</v>
      </c>
      <c r="P2623" s="9" t="str">
        <f>VLOOKUP($O2623,'Liste des Villes'!$B$2:$B$1128,1,FALSE)</f>
        <v>Saint-Colomban</v>
      </c>
      <c r="Q2623" s="9" t="str">
        <f>IFERROR($P2623,PROPER(VLOOKUP($O2623,'Villes en erreur'!$A$2:$B$72,2,FALSE)))</f>
        <v>Saint-Colomban</v>
      </c>
      <c r="R2623" s="9" t="s">
        <v>11726</v>
      </c>
      <c r="S2623" s="9" t="str">
        <f>IF(ISBLANK($R2623),"",VLOOKUP($R2623,'Liste des Villes'!$B$2:$H$1128,4,FALSE))</f>
        <v>Laurentides</v>
      </c>
      <c r="T2623" s="2" t="s">
        <v>12043</v>
      </c>
      <c r="U2623" s="2" t="s">
        <v>39</v>
      </c>
      <c r="V2623" s="2" t="s">
        <v>40</v>
      </c>
      <c r="W2623" s="2" t="s">
        <v>12044</v>
      </c>
      <c r="X2623" s="2"/>
      <c r="Y2623" s="2"/>
      <c r="Z2623" s="2"/>
      <c r="AA2623" s="2" t="s">
        <v>72</v>
      </c>
      <c r="AB2623" s="2" t="s">
        <v>192</v>
      </c>
      <c r="AC2623" s="4" t="s">
        <v>44</v>
      </c>
    </row>
    <row r="2624" spans="1:29" x14ac:dyDescent="0.25">
      <c r="A2624" s="1">
        <v>2910</v>
      </c>
      <c r="B2624" s="17" t="s">
        <v>12045</v>
      </c>
      <c r="C2624" s="2" t="s">
        <v>12046</v>
      </c>
      <c r="D2624" s="15" t="s">
        <v>12047</v>
      </c>
      <c r="E2624" s="9" t="s">
        <v>3171</v>
      </c>
      <c r="F2624" s="9" t="s">
        <v>8670</v>
      </c>
      <c r="G2624" s="9" t="s">
        <v>11424</v>
      </c>
      <c r="H2624" s="2" t="s">
        <v>35</v>
      </c>
      <c r="I2624" s="3">
        <v>36837</v>
      </c>
      <c r="J2624" s="9" t="str">
        <f t="shared" ca="1" si="42"/>
        <v>22 ans</v>
      </c>
      <c r="K2624" s="2" t="s">
        <v>68</v>
      </c>
      <c r="L2624" s="2" t="str">
        <f>"780"</f>
        <v>780</v>
      </c>
      <c r="M2624" s="2"/>
      <c r="N2624" s="2" t="str">
        <f>"RUE DES PATRIARCHES"</f>
        <v>RUE DES PATRIARCHES</v>
      </c>
      <c r="O2624" s="2" t="s">
        <v>11725</v>
      </c>
      <c r="P2624" s="9" t="str">
        <f>VLOOKUP($O2624,'Liste des Villes'!$B$2:$B$1128,1,FALSE)</f>
        <v>Saint-Colomban</v>
      </c>
      <c r="Q2624" s="9" t="str">
        <f>IFERROR($P2624,PROPER(VLOOKUP($O2624,'Villes en erreur'!$A$2:$B$72,2,FALSE)))</f>
        <v>Saint-Colomban</v>
      </c>
      <c r="R2624" s="9" t="s">
        <v>11726</v>
      </c>
      <c r="S2624" s="9" t="str">
        <f>IF(ISBLANK($R2624),"",VLOOKUP($R2624,'Liste des Villes'!$B$2:$H$1128,4,FALSE))</f>
        <v>Laurentides</v>
      </c>
      <c r="T2624" s="2" t="s">
        <v>12048</v>
      </c>
      <c r="U2624" s="2" t="s">
        <v>39</v>
      </c>
      <c r="V2624" s="2" t="s">
        <v>40</v>
      </c>
      <c r="W2624" s="2" t="s">
        <v>12049</v>
      </c>
      <c r="X2624" s="2"/>
      <c r="Y2624" s="2"/>
      <c r="Z2624" s="2"/>
      <c r="AA2624" s="2" t="s">
        <v>72</v>
      </c>
      <c r="AB2624" s="2" t="s">
        <v>11748</v>
      </c>
      <c r="AC2624" s="4" t="s">
        <v>44</v>
      </c>
    </row>
    <row r="2625" spans="1:29" x14ac:dyDescent="0.25">
      <c r="A2625" s="1">
        <v>4533</v>
      </c>
      <c r="B2625" s="17" t="s">
        <v>12050</v>
      </c>
      <c r="C2625" s="2" t="s">
        <v>12051</v>
      </c>
      <c r="D2625" s="15" t="s">
        <v>1448</v>
      </c>
      <c r="E2625" s="9" t="s">
        <v>1924</v>
      </c>
      <c r="F2625" s="9" t="s">
        <v>1446</v>
      </c>
      <c r="G2625" s="9" t="s">
        <v>8678</v>
      </c>
      <c r="H2625" s="2" t="s">
        <v>60</v>
      </c>
      <c r="I2625" s="3">
        <v>36854</v>
      </c>
      <c r="J2625" s="9" t="str">
        <f t="shared" ca="1" si="42"/>
        <v>22 ans</v>
      </c>
      <c r="K2625" s="2" t="s">
        <v>68</v>
      </c>
      <c r="L2625" s="2" t="str">
        <f>"812"</f>
        <v>812</v>
      </c>
      <c r="M2625" s="2"/>
      <c r="N2625" s="2" t="str">
        <f>"RUE DES PISTOLES"</f>
        <v>RUE DES PISTOLES</v>
      </c>
      <c r="O2625" s="2" t="s">
        <v>11725</v>
      </c>
      <c r="P2625" s="9" t="str">
        <f>VLOOKUP($O2625,'Liste des Villes'!$B$2:$B$1128,1,FALSE)</f>
        <v>Saint-Colomban</v>
      </c>
      <c r="Q2625" s="9" t="str">
        <f>IFERROR($P2625,PROPER(VLOOKUP($O2625,'Villes en erreur'!$A$2:$B$72,2,FALSE)))</f>
        <v>Saint-Colomban</v>
      </c>
      <c r="R2625" s="9" t="s">
        <v>11726</v>
      </c>
      <c r="S2625" s="9" t="str">
        <f>IF(ISBLANK($R2625),"",VLOOKUP($R2625,'Liste des Villes'!$B$2:$H$1128,4,FALSE))</f>
        <v>Laurentides</v>
      </c>
      <c r="T2625" s="2" t="s">
        <v>12052</v>
      </c>
      <c r="U2625" s="2" t="s">
        <v>39</v>
      </c>
      <c r="V2625" s="2" t="s">
        <v>40</v>
      </c>
      <c r="W2625" s="2" t="s">
        <v>12053</v>
      </c>
      <c r="X2625" s="2"/>
      <c r="Y2625" s="2"/>
      <c r="Z2625" s="2"/>
      <c r="AA2625" s="2" t="s">
        <v>606</v>
      </c>
      <c r="AB2625" s="2" t="s">
        <v>161</v>
      </c>
      <c r="AC2625" s="4" t="s">
        <v>44</v>
      </c>
    </row>
    <row r="2626" spans="1:29" x14ac:dyDescent="0.25">
      <c r="A2626" s="1">
        <v>3393</v>
      </c>
      <c r="B2626" s="17" t="s">
        <v>12054</v>
      </c>
      <c r="C2626" s="2" t="s">
        <v>12055</v>
      </c>
      <c r="D2626" s="15" t="s">
        <v>1219</v>
      </c>
      <c r="E2626" s="9" t="s">
        <v>7407</v>
      </c>
      <c r="F2626" s="9" t="s">
        <v>2434</v>
      </c>
      <c r="G2626" s="9" t="s">
        <v>509</v>
      </c>
      <c r="H2626" s="2" t="s">
        <v>60</v>
      </c>
      <c r="I2626" s="3">
        <v>36863</v>
      </c>
      <c r="J2626" s="9" t="str">
        <f t="shared" ref="J2626:J2689" ca="1" si="43">_xlfn.CONCAT(INT((TODAY()-$I2626)/365.25)," ans")</f>
        <v>22 ans</v>
      </c>
      <c r="K2626" s="2" t="s">
        <v>68</v>
      </c>
      <c r="L2626" s="2" t="str">
        <f>"833"</f>
        <v>833</v>
      </c>
      <c r="M2626" s="2"/>
      <c r="N2626" s="2" t="str">
        <f>"RUE DES PRÉS"</f>
        <v>RUE DES PRÉS</v>
      </c>
      <c r="O2626" s="2" t="s">
        <v>11725</v>
      </c>
      <c r="P2626" s="9" t="str">
        <f>VLOOKUP($O2626,'Liste des Villes'!$B$2:$B$1128,1,FALSE)</f>
        <v>Saint-Colomban</v>
      </c>
      <c r="Q2626" s="9" t="str">
        <f>IFERROR($P2626,PROPER(VLOOKUP($O2626,'Villes en erreur'!$A$2:$B$72,2,FALSE)))</f>
        <v>Saint-Colomban</v>
      </c>
      <c r="R2626" s="9" t="s">
        <v>11726</v>
      </c>
      <c r="S2626" s="9" t="str">
        <f>IF(ISBLANK($R2626),"",VLOOKUP($R2626,'Liste des Villes'!$B$2:$H$1128,4,FALSE))</f>
        <v>Laurentides</v>
      </c>
      <c r="T2626" s="2" t="s">
        <v>12056</v>
      </c>
      <c r="U2626" s="2" t="s">
        <v>39</v>
      </c>
      <c r="V2626" s="2" t="s">
        <v>40</v>
      </c>
      <c r="W2626" s="2" t="s">
        <v>12057</v>
      </c>
      <c r="X2626" s="2"/>
      <c r="Y2626" s="2"/>
      <c r="Z2626" s="2"/>
      <c r="AA2626" s="2" t="s">
        <v>606</v>
      </c>
      <c r="AB2626" s="2" t="s">
        <v>161</v>
      </c>
      <c r="AC2626" s="4" t="s">
        <v>44</v>
      </c>
    </row>
    <row r="2627" spans="1:29" x14ac:dyDescent="0.25">
      <c r="A2627" s="1">
        <v>616</v>
      </c>
      <c r="B2627" s="17" t="s">
        <v>12058</v>
      </c>
      <c r="C2627" s="2" t="s">
        <v>12059</v>
      </c>
      <c r="D2627" s="15" t="s">
        <v>4534</v>
      </c>
      <c r="E2627" s="9" t="s">
        <v>253</v>
      </c>
      <c r="F2627" s="9" t="s">
        <v>726</v>
      </c>
      <c r="G2627" s="9" t="s">
        <v>293</v>
      </c>
      <c r="H2627" s="2" t="s">
        <v>60</v>
      </c>
      <c r="I2627" s="3">
        <v>36849</v>
      </c>
      <c r="J2627" s="9" t="str">
        <f t="shared" ca="1" si="43"/>
        <v>22 ans</v>
      </c>
      <c r="K2627" s="2" t="s">
        <v>68</v>
      </c>
      <c r="L2627" s="2" t="str">
        <f>"797"</f>
        <v>797</v>
      </c>
      <c r="M2627" s="2"/>
      <c r="N2627" s="2" t="str">
        <f>"RUE DES PINS"</f>
        <v>RUE DES PINS</v>
      </c>
      <c r="O2627" s="2" t="s">
        <v>11725</v>
      </c>
      <c r="P2627" s="9" t="str">
        <f>VLOOKUP($O2627,'Liste des Villes'!$B$2:$B$1128,1,FALSE)</f>
        <v>Saint-Colomban</v>
      </c>
      <c r="Q2627" s="9" t="str">
        <f>IFERROR($P2627,PROPER(VLOOKUP($O2627,'Villes en erreur'!$A$2:$B$72,2,FALSE)))</f>
        <v>Saint-Colomban</v>
      </c>
      <c r="R2627" s="9" t="s">
        <v>11726</v>
      </c>
      <c r="S2627" s="9" t="str">
        <f>IF(ISBLANK($R2627),"",VLOOKUP($R2627,'Liste des Villes'!$B$2:$H$1128,4,FALSE))</f>
        <v>Laurentides</v>
      </c>
      <c r="T2627" s="2" t="s">
        <v>12060</v>
      </c>
      <c r="U2627" s="2" t="s">
        <v>39</v>
      </c>
      <c r="V2627" s="2" t="s">
        <v>40</v>
      </c>
      <c r="W2627" s="2" t="s">
        <v>12061</v>
      </c>
      <c r="X2627" s="2"/>
      <c r="Y2627" s="2"/>
      <c r="Z2627" s="2"/>
      <c r="AA2627" s="2" t="s">
        <v>606</v>
      </c>
      <c r="AB2627" s="2" t="s">
        <v>11748</v>
      </c>
      <c r="AC2627" s="4" t="s">
        <v>44</v>
      </c>
    </row>
    <row r="2628" spans="1:29" x14ac:dyDescent="0.25">
      <c r="A2628" s="1">
        <v>1435</v>
      </c>
      <c r="B2628" s="17" t="s">
        <v>12062</v>
      </c>
      <c r="C2628" s="2" t="s">
        <v>3455</v>
      </c>
      <c r="D2628" s="15" t="s">
        <v>584</v>
      </c>
      <c r="E2628" s="9" t="s">
        <v>405</v>
      </c>
      <c r="F2628" s="9" t="s">
        <v>756</v>
      </c>
      <c r="G2628" s="9" t="s">
        <v>348</v>
      </c>
      <c r="H2628" s="2" t="s">
        <v>60</v>
      </c>
      <c r="I2628" s="3">
        <v>36797</v>
      </c>
      <c r="J2628" s="9" t="str">
        <f t="shared" ca="1" si="43"/>
        <v>22 ans</v>
      </c>
      <c r="K2628" s="2" t="s">
        <v>68</v>
      </c>
      <c r="L2628" s="2" t="str">
        <f>"713"</f>
        <v>713</v>
      </c>
      <c r="M2628" s="2"/>
      <c r="N2628" s="2" t="str">
        <f>"rue Des Hautbois"</f>
        <v>rue Des Hautbois</v>
      </c>
      <c r="O2628" s="2" t="s">
        <v>11725</v>
      </c>
      <c r="P2628" s="9" t="str">
        <f>VLOOKUP($O2628,'Liste des Villes'!$B$2:$B$1128,1,FALSE)</f>
        <v>Saint-Colomban</v>
      </c>
      <c r="Q2628" s="9" t="str">
        <f>IFERROR($P2628,PROPER(VLOOKUP($O2628,'Villes en erreur'!$A$2:$B$72,2,FALSE)))</f>
        <v>Saint-Colomban</v>
      </c>
      <c r="R2628" s="9" t="s">
        <v>11726</v>
      </c>
      <c r="S2628" s="9" t="str">
        <f>IF(ISBLANK($R2628),"",VLOOKUP($R2628,'Liste des Villes'!$B$2:$H$1128,4,FALSE))</f>
        <v>Laurentides</v>
      </c>
      <c r="T2628" s="2" t="s">
        <v>12063</v>
      </c>
      <c r="U2628" s="2" t="s">
        <v>39</v>
      </c>
      <c r="V2628" s="2" t="s">
        <v>40</v>
      </c>
      <c r="W2628" s="2" t="s">
        <v>12064</v>
      </c>
      <c r="X2628" s="2"/>
      <c r="Y2628" s="2"/>
      <c r="Z2628" s="2"/>
      <c r="AA2628" s="2" t="s">
        <v>72</v>
      </c>
      <c r="AB2628" s="2" t="s">
        <v>192</v>
      </c>
      <c r="AC2628" s="4" t="s">
        <v>44</v>
      </c>
    </row>
    <row r="2629" spans="1:29" x14ac:dyDescent="0.25">
      <c r="A2629" s="1">
        <v>3637</v>
      </c>
      <c r="B2629" s="17" t="s">
        <v>12065</v>
      </c>
      <c r="C2629" s="2" t="s">
        <v>12066</v>
      </c>
      <c r="D2629" s="15" t="s">
        <v>8450</v>
      </c>
      <c r="E2629" s="9" t="s">
        <v>2381</v>
      </c>
      <c r="F2629" s="9" t="s">
        <v>675</v>
      </c>
      <c r="G2629" s="9" t="s">
        <v>9789</v>
      </c>
      <c r="H2629" s="2" t="s">
        <v>35</v>
      </c>
      <c r="I2629" s="3">
        <v>36855</v>
      </c>
      <c r="J2629" s="9" t="str">
        <f t="shared" ca="1" si="43"/>
        <v>22 ans</v>
      </c>
      <c r="K2629" s="2" t="s">
        <v>68</v>
      </c>
      <c r="L2629" s="2" t="str">
        <f>"813"</f>
        <v>813</v>
      </c>
      <c r="M2629" s="2"/>
      <c r="N2629" s="2" t="str">
        <f>"RUE DES PIVOINES"</f>
        <v>RUE DES PIVOINES</v>
      </c>
      <c r="O2629" s="2" t="s">
        <v>11725</v>
      </c>
      <c r="P2629" s="9" t="str">
        <f>VLOOKUP($O2629,'Liste des Villes'!$B$2:$B$1128,1,FALSE)</f>
        <v>Saint-Colomban</v>
      </c>
      <c r="Q2629" s="9" t="str">
        <f>IFERROR($P2629,PROPER(VLOOKUP($O2629,'Villes en erreur'!$A$2:$B$72,2,FALSE)))</f>
        <v>Saint-Colomban</v>
      </c>
      <c r="R2629" s="9" t="s">
        <v>11726</v>
      </c>
      <c r="S2629" s="9" t="str">
        <f>IF(ISBLANK($R2629),"",VLOOKUP($R2629,'Liste des Villes'!$B$2:$H$1128,4,FALSE))</f>
        <v>Laurentides</v>
      </c>
      <c r="T2629" s="2" t="s">
        <v>12067</v>
      </c>
      <c r="U2629" s="2" t="s">
        <v>39</v>
      </c>
      <c r="V2629" s="2" t="s">
        <v>40</v>
      </c>
      <c r="W2629" s="2" t="s">
        <v>12068</v>
      </c>
      <c r="X2629" s="2"/>
      <c r="Y2629" s="2"/>
      <c r="Z2629" s="2"/>
      <c r="AA2629" s="2" t="s">
        <v>606</v>
      </c>
      <c r="AB2629" s="2" t="s">
        <v>161</v>
      </c>
      <c r="AC2629" s="4" t="s">
        <v>44</v>
      </c>
    </row>
    <row r="2630" spans="1:29" x14ac:dyDescent="0.25">
      <c r="A2630" s="1">
        <v>982</v>
      </c>
      <c r="B2630" s="17" t="s">
        <v>12069</v>
      </c>
      <c r="C2630" s="2" t="s">
        <v>163</v>
      </c>
      <c r="D2630" s="15" t="s">
        <v>164</v>
      </c>
      <c r="E2630" s="9" t="s">
        <v>165</v>
      </c>
      <c r="F2630" s="9" t="s">
        <v>1677</v>
      </c>
      <c r="G2630" s="9" t="s">
        <v>348</v>
      </c>
      <c r="H2630" s="2" t="s">
        <v>60</v>
      </c>
      <c r="I2630" s="3">
        <v>36794</v>
      </c>
      <c r="J2630" s="9" t="str">
        <f t="shared" ca="1" si="43"/>
        <v>22 ans</v>
      </c>
      <c r="K2630" s="2" t="s">
        <v>68</v>
      </c>
      <c r="L2630" s="2" t="str">
        <f>"708"</f>
        <v>708</v>
      </c>
      <c r="M2630" s="2"/>
      <c r="N2630" s="2" t="str">
        <f>"RUE DES GROSEILLERS"</f>
        <v>RUE DES GROSEILLERS</v>
      </c>
      <c r="O2630" s="2" t="s">
        <v>11725</v>
      </c>
      <c r="P2630" s="9" t="str">
        <f>VLOOKUP($O2630,'Liste des Villes'!$B$2:$B$1128,1,FALSE)</f>
        <v>Saint-Colomban</v>
      </c>
      <c r="Q2630" s="9" t="str">
        <f>IFERROR($P2630,PROPER(VLOOKUP($O2630,'Villes en erreur'!$A$2:$B$72,2,FALSE)))</f>
        <v>Saint-Colomban</v>
      </c>
      <c r="R2630" s="9" t="s">
        <v>11726</v>
      </c>
      <c r="S2630" s="9" t="str">
        <f>IF(ISBLANK($R2630),"",VLOOKUP($R2630,'Liste des Villes'!$B$2:$H$1128,4,FALSE))</f>
        <v>Laurentides</v>
      </c>
      <c r="T2630" s="2" t="s">
        <v>12070</v>
      </c>
      <c r="U2630" s="2" t="s">
        <v>39</v>
      </c>
      <c r="V2630" s="2" t="s">
        <v>40</v>
      </c>
      <c r="W2630" s="2" t="s">
        <v>12071</v>
      </c>
      <c r="X2630" s="2"/>
      <c r="Y2630" s="2"/>
      <c r="Z2630" s="2"/>
      <c r="AA2630" s="2" t="s">
        <v>72</v>
      </c>
      <c r="AB2630" s="2" t="s">
        <v>192</v>
      </c>
      <c r="AC2630" s="4" t="s">
        <v>44</v>
      </c>
    </row>
    <row r="2631" spans="1:29" x14ac:dyDescent="0.25">
      <c r="A2631" s="1">
        <v>2065</v>
      </c>
      <c r="B2631" s="17" t="s">
        <v>12072</v>
      </c>
      <c r="C2631" s="2" t="s">
        <v>12073</v>
      </c>
      <c r="D2631" s="15" t="s">
        <v>1959</v>
      </c>
      <c r="E2631" s="9" t="s">
        <v>8478</v>
      </c>
      <c r="F2631" s="9" t="s">
        <v>12074</v>
      </c>
      <c r="G2631" s="9" t="s">
        <v>348</v>
      </c>
      <c r="H2631" s="2" t="s">
        <v>60</v>
      </c>
      <c r="I2631" s="3">
        <v>36791</v>
      </c>
      <c r="J2631" s="9" t="str">
        <f t="shared" ca="1" si="43"/>
        <v>22 ans</v>
      </c>
      <c r="K2631" s="2" t="s">
        <v>68</v>
      </c>
      <c r="L2631" s="2" t="str">
        <f>"707"</f>
        <v>707</v>
      </c>
      <c r="M2631" s="2"/>
      <c r="N2631" s="2" t="str">
        <f>"rue Des Grands-Pics"</f>
        <v>rue Des Grands-Pics</v>
      </c>
      <c r="O2631" s="2" t="s">
        <v>11725</v>
      </c>
      <c r="P2631" s="9" t="str">
        <f>VLOOKUP($O2631,'Liste des Villes'!$B$2:$B$1128,1,FALSE)</f>
        <v>Saint-Colomban</v>
      </c>
      <c r="Q2631" s="9" t="str">
        <f>IFERROR($P2631,PROPER(VLOOKUP($O2631,'Villes en erreur'!$A$2:$B$72,2,FALSE)))</f>
        <v>Saint-Colomban</v>
      </c>
      <c r="R2631" s="9" t="s">
        <v>11726</v>
      </c>
      <c r="S2631" s="9" t="str">
        <f>IF(ISBLANK($R2631),"",VLOOKUP($R2631,'Liste des Villes'!$B$2:$H$1128,4,FALSE))</f>
        <v>Laurentides</v>
      </c>
      <c r="T2631" s="2" t="s">
        <v>12075</v>
      </c>
      <c r="U2631" s="2" t="s">
        <v>39</v>
      </c>
      <c r="V2631" s="2" t="s">
        <v>40</v>
      </c>
      <c r="W2631" s="2" t="s">
        <v>12076</v>
      </c>
      <c r="X2631" s="2"/>
      <c r="Y2631" s="2"/>
      <c r="Z2631" s="2"/>
      <c r="AA2631" s="2" t="s">
        <v>72</v>
      </c>
      <c r="AB2631" s="2" t="s">
        <v>192</v>
      </c>
      <c r="AC2631" s="4" t="s">
        <v>44</v>
      </c>
    </row>
    <row r="2632" spans="1:29" x14ac:dyDescent="0.25">
      <c r="A2632" s="1">
        <v>646</v>
      </c>
      <c r="B2632" s="17" t="s">
        <v>12077</v>
      </c>
      <c r="C2632" s="2" t="s">
        <v>12078</v>
      </c>
      <c r="D2632" s="15" t="s">
        <v>8728</v>
      </c>
      <c r="E2632" s="9" t="s">
        <v>8912</v>
      </c>
      <c r="F2632" s="9" t="s">
        <v>9456</v>
      </c>
      <c r="G2632" s="9" t="s">
        <v>12079</v>
      </c>
      <c r="H2632" s="2" t="s">
        <v>35</v>
      </c>
      <c r="I2632" s="3">
        <v>36832</v>
      </c>
      <c r="J2632" s="9" t="str">
        <f t="shared" ca="1" si="43"/>
        <v>22 ans</v>
      </c>
      <c r="K2632" s="2" t="s">
        <v>68</v>
      </c>
      <c r="L2632" s="2" t="str">
        <f>"770"</f>
        <v>770</v>
      </c>
      <c r="M2632" s="2"/>
      <c r="N2632" s="2" t="str">
        <f>"RUE DES NOISETIERS"</f>
        <v>RUE DES NOISETIERS</v>
      </c>
      <c r="O2632" s="2" t="s">
        <v>11725</v>
      </c>
      <c r="P2632" s="9" t="str">
        <f>VLOOKUP($O2632,'Liste des Villes'!$B$2:$B$1128,1,FALSE)</f>
        <v>Saint-Colomban</v>
      </c>
      <c r="Q2632" s="9" t="str">
        <f>IFERROR($P2632,PROPER(VLOOKUP($O2632,'Villes en erreur'!$A$2:$B$72,2,FALSE)))</f>
        <v>Saint-Colomban</v>
      </c>
      <c r="R2632" s="9" t="s">
        <v>11726</v>
      </c>
      <c r="S2632" s="9" t="str">
        <f>IF(ISBLANK($R2632),"",VLOOKUP($R2632,'Liste des Villes'!$B$2:$H$1128,4,FALSE))</f>
        <v>Laurentides</v>
      </c>
      <c r="T2632" s="2" t="s">
        <v>12080</v>
      </c>
      <c r="U2632" s="2" t="s">
        <v>39</v>
      </c>
      <c r="V2632" s="2" t="s">
        <v>40</v>
      </c>
      <c r="W2632" s="2" t="s">
        <v>12081</v>
      </c>
      <c r="X2632" s="2"/>
      <c r="Y2632" s="2"/>
      <c r="Z2632" s="2"/>
      <c r="AA2632" s="2" t="s">
        <v>72</v>
      </c>
      <c r="AB2632" s="2" t="s">
        <v>11733</v>
      </c>
      <c r="AC2632" s="4" t="s">
        <v>44</v>
      </c>
    </row>
    <row r="2633" spans="1:29" x14ac:dyDescent="0.25">
      <c r="A2633" s="1">
        <v>1723</v>
      </c>
      <c r="B2633" s="17" t="s">
        <v>12082</v>
      </c>
      <c r="C2633" s="2" t="s">
        <v>12083</v>
      </c>
      <c r="D2633" s="15" t="s">
        <v>1005</v>
      </c>
      <c r="E2633" s="9" t="s">
        <v>5958</v>
      </c>
      <c r="F2633" s="9" t="s">
        <v>12084</v>
      </c>
      <c r="G2633" s="9" t="s">
        <v>8678</v>
      </c>
      <c r="H2633" s="2" t="s">
        <v>60</v>
      </c>
      <c r="I2633" s="3">
        <v>36855</v>
      </c>
      <c r="J2633" s="9" t="str">
        <f t="shared" ca="1" si="43"/>
        <v>22 ans</v>
      </c>
      <c r="K2633" s="2" t="s">
        <v>68</v>
      </c>
      <c r="L2633" s="2" t="str">
        <f>"813"</f>
        <v>813</v>
      </c>
      <c r="M2633" s="2"/>
      <c r="N2633" s="2" t="str">
        <f>"RUE DES PISTOLES"</f>
        <v>RUE DES PISTOLES</v>
      </c>
      <c r="O2633" s="2" t="s">
        <v>11725</v>
      </c>
      <c r="P2633" s="9" t="str">
        <f>VLOOKUP($O2633,'Liste des Villes'!$B$2:$B$1128,1,FALSE)</f>
        <v>Saint-Colomban</v>
      </c>
      <c r="Q2633" s="9" t="str">
        <f>IFERROR($P2633,PROPER(VLOOKUP($O2633,'Villes en erreur'!$A$2:$B$72,2,FALSE)))</f>
        <v>Saint-Colomban</v>
      </c>
      <c r="R2633" s="9" t="s">
        <v>11726</v>
      </c>
      <c r="S2633" s="9" t="str">
        <f>IF(ISBLANK($R2633),"",VLOOKUP($R2633,'Liste des Villes'!$B$2:$H$1128,4,FALSE))</f>
        <v>Laurentides</v>
      </c>
      <c r="T2633" s="2" t="s">
        <v>12085</v>
      </c>
      <c r="U2633" s="2" t="s">
        <v>39</v>
      </c>
      <c r="V2633" s="2" t="s">
        <v>40</v>
      </c>
      <c r="W2633" s="2" t="s">
        <v>12086</v>
      </c>
      <c r="X2633" s="2"/>
      <c r="Y2633" s="2"/>
      <c r="Z2633" s="2"/>
      <c r="AA2633" s="2" t="s">
        <v>606</v>
      </c>
      <c r="AB2633" s="2" t="s">
        <v>161</v>
      </c>
      <c r="AC2633" s="4" t="s">
        <v>44</v>
      </c>
    </row>
    <row r="2634" spans="1:29" x14ac:dyDescent="0.25">
      <c r="A2634" s="1">
        <v>2634</v>
      </c>
      <c r="B2634" s="17" t="s">
        <v>12087</v>
      </c>
      <c r="C2634" s="2" t="s">
        <v>12088</v>
      </c>
      <c r="D2634" s="15" t="s">
        <v>12089</v>
      </c>
      <c r="E2634" s="9" t="s">
        <v>2404</v>
      </c>
      <c r="F2634" s="9" t="s">
        <v>12090</v>
      </c>
      <c r="G2634" s="9" t="s">
        <v>3066</v>
      </c>
      <c r="H2634" s="2" t="s">
        <v>60</v>
      </c>
      <c r="I2634" s="3">
        <v>36837</v>
      </c>
      <c r="J2634" s="9" t="str">
        <f t="shared" ca="1" si="43"/>
        <v>22 ans</v>
      </c>
      <c r="K2634" s="2" t="s">
        <v>68</v>
      </c>
      <c r="L2634" s="2" t="str">
        <f>"780"</f>
        <v>780</v>
      </c>
      <c r="M2634" s="2"/>
      <c r="N2634" s="2" t="str">
        <f>"RUE DES PATRIARCHES"</f>
        <v>RUE DES PATRIARCHES</v>
      </c>
      <c r="O2634" s="2" t="s">
        <v>11725</v>
      </c>
      <c r="P2634" s="9" t="str">
        <f>VLOOKUP($O2634,'Liste des Villes'!$B$2:$B$1128,1,FALSE)</f>
        <v>Saint-Colomban</v>
      </c>
      <c r="Q2634" s="9" t="str">
        <f>IFERROR($P2634,PROPER(VLOOKUP($O2634,'Villes en erreur'!$A$2:$B$72,2,FALSE)))</f>
        <v>Saint-Colomban</v>
      </c>
      <c r="R2634" s="9" t="s">
        <v>11726</v>
      </c>
      <c r="S2634" s="9" t="str">
        <f>IF(ISBLANK($R2634),"",VLOOKUP($R2634,'Liste des Villes'!$B$2:$H$1128,4,FALSE))</f>
        <v>Laurentides</v>
      </c>
      <c r="T2634" s="2" t="s">
        <v>11866</v>
      </c>
      <c r="U2634" s="2" t="s">
        <v>39</v>
      </c>
      <c r="V2634" s="2" t="s">
        <v>40</v>
      </c>
      <c r="W2634" s="2" t="s">
        <v>12091</v>
      </c>
      <c r="X2634" s="2"/>
      <c r="Y2634" s="2"/>
      <c r="Z2634" s="2"/>
      <c r="AA2634" s="2" t="s">
        <v>72</v>
      </c>
      <c r="AB2634" s="2" t="s">
        <v>11748</v>
      </c>
      <c r="AC2634" s="4" t="s">
        <v>44</v>
      </c>
    </row>
    <row r="2635" spans="1:29" x14ac:dyDescent="0.25">
      <c r="A2635" s="1">
        <v>3992</v>
      </c>
      <c r="B2635" s="17" t="s">
        <v>12092</v>
      </c>
      <c r="C2635" s="2" t="s">
        <v>12093</v>
      </c>
      <c r="D2635" s="15" t="s">
        <v>8828</v>
      </c>
      <c r="E2635" s="9" t="s">
        <v>137</v>
      </c>
      <c r="F2635" s="9" t="s">
        <v>527</v>
      </c>
      <c r="G2635" s="9" t="s">
        <v>509</v>
      </c>
      <c r="H2635" s="2" t="s">
        <v>60</v>
      </c>
      <c r="I2635" s="3">
        <v>36873</v>
      </c>
      <c r="J2635" s="9" t="str">
        <f t="shared" ca="1" si="43"/>
        <v>22 ans</v>
      </c>
      <c r="K2635" s="2" t="s">
        <v>68</v>
      </c>
      <c r="L2635" s="2" t="str">
        <f>"850"</f>
        <v>850</v>
      </c>
      <c r="M2635" s="2"/>
      <c r="N2635" s="2" t="str">
        <f>"RUE DES ROSSIGNOLS"</f>
        <v>RUE DES ROSSIGNOLS</v>
      </c>
      <c r="O2635" s="2" t="s">
        <v>11725</v>
      </c>
      <c r="P2635" s="9" t="str">
        <f>VLOOKUP($O2635,'Liste des Villes'!$B$2:$B$1128,1,FALSE)</f>
        <v>Saint-Colomban</v>
      </c>
      <c r="Q2635" s="9" t="str">
        <f>IFERROR($P2635,PROPER(VLOOKUP($O2635,'Villes en erreur'!$A$2:$B$72,2,FALSE)))</f>
        <v>Saint-Colomban</v>
      </c>
      <c r="R2635" s="9" t="s">
        <v>11726</v>
      </c>
      <c r="S2635" s="9" t="str">
        <f>IF(ISBLANK($R2635),"",VLOOKUP($R2635,'Liste des Villes'!$B$2:$H$1128,4,FALSE))</f>
        <v>Laurentides</v>
      </c>
      <c r="T2635" s="2" t="s">
        <v>12094</v>
      </c>
      <c r="U2635" s="2" t="s">
        <v>39</v>
      </c>
      <c r="V2635" s="2" t="s">
        <v>40</v>
      </c>
      <c r="W2635" s="2" t="s">
        <v>12095</v>
      </c>
      <c r="X2635" s="2"/>
      <c r="Y2635" s="2"/>
      <c r="Z2635" s="2"/>
      <c r="AA2635" s="2" t="s">
        <v>606</v>
      </c>
      <c r="AB2635" s="2" t="s">
        <v>161</v>
      </c>
      <c r="AC2635" s="4" t="s">
        <v>44</v>
      </c>
    </row>
    <row r="2636" spans="1:29" x14ac:dyDescent="0.25">
      <c r="A2636" s="1">
        <v>4421</v>
      </c>
      <c r="B2636" s="17" t="s">
        <v>12096</v>
      </c>
      <c r="C2636" s="2" t="s">
        <v>7037</v>
      </c>
      <c r="D2636" s="15" t="s">
        <v>3659</v>
      </c>
      <c r="E2636" s="9" t="s">
        <v>743</v>
      </c>
      <c r="F2636" s="9" t="s">
        <v>6285</v>
      </c>
      <c r="G2636" s="9" t="s">
        <v>120</v>
      </c>
      <c r="H2636" s="2" t="s">
        <v>35</v>
      </c>
      <c r="I2636" s="3">
        <v>36810</v>
      </c>
      <c r="J2636" s="9" t="str">
        <f t="shared" ca="1" si="43"/>
        <v>22 ans</v>
      </c>
      <c r="K2636" s="2" t="s">
        <v>68</v>
      </c>
      <c r="L2636" s="2" t="str">
        <f>"736"</f>
        <v>736</v>
      </c>
      <c r="M2636" s="2"/>
      <c r="N2636" s="2" t="str">
        <f>"RUE DES LIARDS"</f>
        <v>RUE DES LIARDS</v>
      </c>
      <c r="O2636" s="2" t="s">
        <v>11725</v>
      </c>
      <c r="P2636" s="9" t="str">
        <f>VLOOKUP($O2636,'Liste des Villes'!$B$2:$B$1128,1,FALSE)</f>
        <v>Saint-Colomban</v>
      </c>
      <c r="Q2636" s="9" t="str">
        <f>IFERROR($P2636,PROPER(VLOOKUP($O2636,'Villes en erreur'!$A$2:$B$72,2,FALSE)))</f>
        <v>Saint-Colomban</v>
      </c>
      <c r="R2636" s="9" t="s">
        <v>11726</v>
      </c>
      <c r="S2636" s="9" t="str">
        <f>IF(ISBLANK($R2636),"",VLOOKUP($R2636,'Liste des Villes'!$B$2:$H$1128,4,FALSE))</f>
        <v>Laurentides</v>
      </c>
      <c r="T2636" s="2" t="s">
        <v>12097</v>
      </c>
      <c r="U2636" s="2" t="s">
        <v>39</v>
      </c>
      <c r="V2636" s="2" t="s">
        <v>40</v>
      </c>
      <c r="W2636" s="2" t="s">
        <v>12098</v>
      </c>
      <c r="X2636" s="2"/>
      <c r="Y2636" s="2"/>
      <c r="Z2636" s="2"/>
      <c r="AA2636" s="2" t="s">
        <v>72</v>
      </c>
      <c r="AB2636" s="2" t="s">
        <v>11733</v>
      </c>
      <c r="AC2636" s="4" t="s">
        <v>44</v>
      </c>
    </row>
    <row r="2637" spans="1:29" x14ac:dyDescent="0.25">
      <c r="A2637" s="1">
        <v>348</v>
      </c>
      <c r="B2637" s="17" t="s">
        <v>12099</v>
      </c>
      <c r="C2637" s="2" t="s">
        <v>12100</v>
      </c>
      <c r="D2637" s="15" t="s">
        <v>6746</v>
      </c>
      <c r="E2637" s="9" t="s">
        <v>3849</v>
      </c>
      <c r="F2637" s="9" t="s">
        <v>6745</v>
      </c>
      <c r="G2637" s="9" t="s">
        <v>2069</v>
      </c>
      <c r="H2637" s="2" t="s">
        <v>60</v>
      </c>
      <c r="I2637" s="3">
        <v>36772</v>
      </c>
      <c r="J2637" s="9" t="str">
        <f t="shared" ca="1" si="43"/>
        <v>22 ans</v>
      </c>
      <c r="K2637" s="2" t="s">
        <v>68</v>
      </c>
      <c r="L2637" s="2" t="str">
        <f>"682"</f>
        <v>682</v>
      </c>
      <c r="M2637" s="2"/>
      <c r="N2637" s="2" t="str">
        <f>"RUE DES ÉRABLES"</f>
        <v>RUE DES ÉRABLES</v>
      </c>
      <c r="O2637" s="2" t="s">
        <v>11725</v>
      </c>
      <c r="P2637" s="9" t="str">
        <f>VLOOKUP($O2637,'Liste des Villes'!$B$2:$B$1128,1,FALSE)</f>
        <v>Saint-Colomban</v>
      </c>
      <c r="Q2637" s="9" t="str">
        <f>IFERROR($P2637,PROPER(VLOOKUP($O2637,'Villes en erreur'!$A$2:$B$72,2,FALSE)))</f>
        <v>Saint-Colomban</v>
      </c>
      <c r="R2637" s="9" t="s">
        <v>11726</v>
      </c>
      <c r="S2637" s="9" t="str">
        <f>IF(ISBLANK($R2637),"",VLOOKUP($R2637,'Liste des Villes'!$B$2:$H$1128,4,FALSE))</f>
        <v>Laurentides</v>
      </c>
      <c r="T2637" s="2" t="s">
        <v>12101</v>
      </c>
      <c r="U2637" s="2" t="s">
        <v>39</v>
      </c>
      <c r="V2637" s="2" t="s">
        <v>40</v>
      </c>
      <c r="W2637" s="2" t="s">
        <v>12102</v>
      </c>
      <c r="X2637" s="2"/>
      <c r="Y2637" s="2"/>
      <c r="Z2637" s="2"/>
      <c r="AA2637" s="2" t="s">
        <v>72</v>
      </c>
      <c r="AB2637" s="2" t="s">
        <v>192</v>
      </c>
      <c r="AC2637" s="4" t="s">
        <v>44</v>
      </c>
    </row>
    <row r="2638" spans="1:29" x14ac:dyDescent="0.25">
      <c r="A2638" s="1">
        <v>4130</v>
      </c>
      <c r="B2638" s="17" t="s">
        <v>12103</v>
      </c>
      <c r="C2638" s="2" t="s">
        <v>12104</v>
      </c>
      <c r="D2638" s="15" t="s">
        <v>2115</v>
      </c>
      <c r="E2638" s="9" t="s">
        <v>7109</v>
      </c>
      <c r="F2638" s="9" t="s">
        <v>12105</v>
      </c>
      <c r="G2638" s="9" t="s">
        <v>348</v>
      </c>
      <c r="H2638" s="2" t="s">
        <v>60</v>
      </c>
      <c r="I2638" s="3">
        <v>36789</v>
      </c>
      <c r="J2638" s="9" t="str">
        <f t="shared" ca="1" si="43"/>
        <v>22 ans</v>
      </c>
      <c r="K2638" s="2" t="s">
        <v>68</v>
      </c>
      <c r="L2638" s="2" t="str">
        <f>"705"</f>
        <v>705</v>
      </c>
      <c r="M2638" s="2"/>
      <c r="N2638" s="2" t="str">
        <f>"RUE DES GOUVERNEURS"</f>
        <v>RUE DES GOUVERNEURS</v>
      </c>
      <c r="O2638" s="2" t="s">
        <v>11725</v>
      </c>
      <c r="P2638" s="9" t="str">
        <f>VLOOKUP($O2638,'Liste des Villes'!$B$2:$B$1128,1,FALSE)</f>
        <v>Saint-Colomban</v>
      </c>
      <c r="Q2638" s="9" t="str">
        <f>IFERROR($P2638,PROPER(VLOOKUP($O2638,'Villes en erreur'!$A$2:$B$72,2,FALSE)))</f>
        <v>Saint-Colomban</v>
      </c>
      <c r="R2638" s="9" t="s">
        <v>11726</v>
      </c>
      <c r="S2638" s="9" t="str">
        <f>IF(ISBLANK($R2638),"",VLOOKUP($R2638,'Liste des Villes'!$B$2:$H$1128,4,FALSE))</f>
        <v>Laurentides</v>
      </c>
      <c r="T2638" s="2" t="s">
        <v>12106</v>
      </c>
      <c r="U2638" s="2" t="s">
        <v>39</v>
      </c>
      <c r="V2638" s="2" t="s">
        <v>40</v>
      </c>
      <c r="W2638" s="2" t="s">
        <v>12107</v>
      </c>
      <c r="X2638" s="2"/>
      <c r="Y2638" s="2"/>
      <c r="Z2638" s="2"/>
      <c r="AA2638" s="2" t="s">
        <v>72</v>
      </c>
      <c r="AB2638" s="2" t="s">
        <v>192</v>
      </c>
      <c r="AC2638" s="4" t="s">
        <v>44</v>
      </c>
    </row>
    <row r="2639" spans="1:29" x14ac:dyDescent="0.25">
      <c r="A2639" s="1">
        <v>1993</v>
      </c>
      <c r="B2639" s="17" t="s">
        <v>12108</v>
      </c>
      <c r="C2639" s="2" t="s">
        <v>8547</v>
      </c>
      <c r="D2639" s="15" t="s">
        <v>2099</v>
      </c>
      <c r="E2639" s="9" t="s">
        <v>5038</v>
      </c>
      <c r="F2639" s="9" t="s">
        <v>2497</v>
      </c>
      <c r="G2639" s="9" t="s">
        <v>4940</v>
      </c>
      <c r="H2639" s="2" t="s">
        <v>60</v>
      </c>
      <c r="I2639" s="3">
        <v>36824</v>
      </c>
      <c r="J2639" s="9" t="str">
        <f t="shared" ca="1" si="43"/>
        <v>22 ans</v>
      </c>
      <c r="K2639" s="2" t="s">
        <v>68</v>
      </c>
      <c r="L2639" s="2" t="str">
        <f>"758"</f>
        <v>758</v>
      </c>
      <c r="M2639" s="2"/>
      <c r="N2639" s="2" t="str">
        <f>"RUE DES MÉLÈZES"</f>
        <v>RUE DES MÉLÈZES</v>
      </c>
      <c r="O2639" s="2" t="s">
        <v>11725</v>
      </c>
      <c r="P2639" s="9" t="str">
        <f>VLOOKUP($O2639,'Liste des Villes'!$B$2:$B$1128,1,FALSE)</f>
        <v>Saint-Colomban</v>
      </c>
      <c r="Q2639" s="9" t="str">
        <f>IFERROR($P2639,PROPER(VLOOKUP($O2639,'Villes en erreur'!$A$2:$B$72,2,FALSE)))</f>
        <v>Saint-Colomban</v>
      </c>
      <c r="R2639" s="9" t="s">
        <v>11726</v>
      </c>
      <c r="S2639" s="9" t="str">
        <f>IF(ISBLANK($R2639),"",VLOOKUP($R2639,'Liste des Villes'!$B$2:$H$1128,4,FALSE))</f>
        <v>Laurentides</v>
      </c>
      <c r="T2639" s="2" t="s">
        <v>12109</v>
      </c>
      <c r="U2639" s="2" t="s">
        <v>39</v>
      </c>
      <c r="V2639" s="2" t="s">
        <v>40</v>
      </c>
      <c r="W2639" s="2" t="s">
        <v>12110</v>
      </c>
      <c r="X2639" s="2"/>
      <c r="Y2639" s="2"/>
      <c r="Z2639" s="2"/>
      <c r="AA2639" s="2" t="s">
        <v>72</v>
      </c>
      <c r="AB2639" s="2" t="s">
        <v>11733</v>
      </c>
      <c r="AC2639" s="4" t="s">
        <v>44</v>
      </c>
    </row>
    <row r="2640" spans="1:29" x14ac:dyDescent="0.25">
      <c r="A2640" s="1">
        <v>331</v>
      </c>
      <c r="B2640" s="17" t="s">
        <v>12111</v>
      </c>
      <c r="C2640" s="2" t="s">
        <v>12112</v>
      </c>
      <c r="D2640" s="15" t="s">
        <v>5700</v>
      </c>
      <c r="E2640" s="9" t="s">
        <v>94</v>
      </c>
      <c r="F2640" s="9" t="s">
        <v>1360</v>
      </c>
      <c r="G2640" s="9" t="s">
        <v>12113</v>
      </c>
      <c r="H2640" s="2" t="s">
        <v>60</v>
      </c>
      <c r="I2640" s="3">
        <v>36858</v>
      </c>
      <c r="J2640" s="9" t="str">
        <f t="shared" ca="1" si="43"/>
        <v>22 ans</v>
      </c>
      <c r="K2640" s="2" t="s">
        <v>68</v>
      </c>
      <c r="L2640" s="2" t="str">
        <f>"820"</f>
        <v>820</v>
      </c>
      <c r="M2640" s="2"/>
      <c r="N2640" s="2" t="str">
        <f>"RUE DES POMMETIERS"</f>
        <v>RUE DES POMMETIERS</v>
      </c>
      <c r="O2640" s="2" t="s">
        <v>11725</v>
      </c>
      <c r="P2640" s="9" t="str">
        <f>VLOOKUP($O2640,'Liste des Villes'!$B$2:$B$1128,1,FALSE)</f>
        <v>Saint-Colomban</v>
      </c>
      <c r="Q2640" s="9" t="str">
        <f>IFERROR($P2640,PROPER(VLOOKUP($O2640,'Villes en erreur'!$A$2:$B$72,2,FALSE)))</f>
        <v>Saint-Colomban</v>
      </c>
      <c r="R2640" s="9" t="s">
        <v>11726</v>
      </c>
      <c r="S2640" s="9" t="str">
        <f>IF(ISBLANK($R2640),"",VLOOKUP($R2640,'Liste des Villes'!$B$2:$H$1128,4,FALSE))</f>
        <v>Laurentides</v>
      </c>
      <c r="T2640" s="2" t="s">
        <v>12114</v>
      </c>
      <c r="U2640" s="2" t="s">
        <v>39</v>
      </c>
      <c r="V2640" s="2" t="s">
        <v>40</v>
      </c>
      <c r="W2640" s="2" t="s">
        <v>12115</v>
      </c>
      <c r="X2640" s="2"/>
      <c r="Y2640" s="2"/>
      <c r="Z2640" s="2"/>
      <c r="AA2640" s="2" t="s">
        <v>606</v>
      </c>
      <c r="AB2640" s="2" t="s">
        <v>161</v>
      </c>
      <c r="AC2640" s="4" t="s">
        <v>44</v>
      </c>
    </row>
    <row r="2641" spans="1:29" x14ac:dyDescent="0.25">
      <c r="A2641" s="1">
        <v>3949</v>
      </c>
      <c r="B2641" s="17" t="s">
        <v>12116</v>
      </c>
      <c r="C2641" s="2" t="s">
        <v>12117</v>
      </c>
      <c r="D2641" s="15" t="s">
        <v>6040</v>
      </c>
      <c r="E2641" s="9" t="s">
        <v>1560</v>
      </c>
      <c r="F2641" s="9" t="s">
        <v>6039</v>
      </c>
      <c r="G2641" s="9" t="s">
        <v>348</v>
      </c>
      <c r="H2641" s="2" t="s">
        <v>60</v>
      </c>
      <c r="I2641" s="3">
        <v>36791</v>
      </c>
      <c r="J2641" s="9" t="str">
        <f t="shared" ca="1" si="43"/>
        <v>22 ans</v>
      </c>
      <c r="K2641" s="2" t="s">
        <v>68</v>
      </c>
      <c r="L2641" s="2" t="str">
        <f>"708"</f>
        <v>708</v>
      </c>
      <c r="M2641" s="2"/>
      <c r="N2641" s="2" t="str">
        <f>"RUE DES GRIVES"</f>
        <v>RUE DES GRIVES</v>
      </c>
      <c r="O2641" s="2" t="s">
        <v>11725</v>
      </c>
      <c r="P2641" s="9" t="str">
        <f>VLOOKUP($O2641,'Liste des Villes'!$B$2:$B$1128,1,FALSE)</f>
        <v>Saint-Colomban</v>
      </c>
      <c r="Q2641" s="9" t="str">
        <f>IFERROR($P2641,PROPER(VLOOKUP($O2641,'Villes en erreur'!$A$2:$B$72,2,FALSE)))</f>
        <v>Saint-Colomban</v>
      </c>
      <c r="R2641" s="9" t="s">
        <v>11726</v>
      </c>
      <c r="S2641" s="9" t="str">
        <f>IF(ISBLANK($R2641),"",VLOOKUP($R2641,'Liste des Villes'!$B$2:$H$1128,4,FALSE))</f>
        <v>Laurentides</v>
      </c>
      <c r="T2641" s="2" t="s">
        <v>12118</v>
      </c>
      <c r="U2641" s="2" t="s">
        <v>39</v>
      </c>
      <c r="V2641" s="2" t="s">
        <v>40</v>
      </c>
      <c r="W2641" s="2" t="s">
        <v>12119</v>
      </c>
      <c r="X2641" s="2"/>
      <c r="Y2641" s="2"/>
      <c r="Z2641" s="2"/>
      <c r="AA2641" s="2" t="s">
        <v>72</v>
      </c>
      <c r="AB2641" s="2" t="s">
        <v>192</v>
      </c>
      <c r="AC2641" s="4" t="s">
        <v>44</v>
      </c>
    </row>
    <row r="2642" spans="1:29" x14ac:dyDescent="0.25">
      <c r="A2642" s="1">
        <v>3376</v>
      </c>
      <c r="B2642" s="17" t="s">
        <v>12120</v>
      </c>
      <c r="C2642" s="2" t="s">
        <v>12121</v>
      </c>
      <c r="D2642" s="15" t="s">
        <v>4453</v>
      </c>
      <c r="E2642" s="9" t="s">
        <v>12122</v>
      </c>
      <c r="F2642" s="9" t="s">
        <v>7347</v>
      </c>
      <c r="G2642" s="9" t="s">
        <v>348</v>
      </c>
      <c r="H2642" s="2" t="s">
        <v>60</v>
      </c>
      <c r="I2642" s="3">
        <v>36791</v>
      </c>
      <c r="J2642" s="9" t="str">
        <f t="shared" ca="1" si="43"/>
        <v>22 ans</v>
      </c>
      <c r="K2642" s="2" t="s">
        <v>68</v>
      </c>
      <c r="L2642" s="2" t="str">
        <f>"707"</f>
        <v>707</v>
      </c>
      <c r="M2642" s="2"/>
      <c r="N2642" s="2" t="str">
        <f>"RUE DES GRANDS-PICS"</f>
        <v>RUE DES GRANDS-PICS</v>
      </c>
      <c r="O2642" s="2" t="s">
        <v>11725</v>
      </c>
      <c r="P2642" s="9" t="str">
        <f>VLOOKUP($O2642,'Liste des Villes'!$B$2:$B$1128,1,FALSE)</f>
        <v>Saint-Colomban</v>
      </c>
      <c r="Q2642" s="9" t="str">
        <f>IFERROR($P2642,PROPER(VLOOKUP($O2642,'Villes en erreur'!$A$2:$B$72,2,FALSE)))</f>
        <v>Saint-Colomban</v>
      </c>
      <c r="R2642" s="9" t="s">
        <v>11726</v>
      </c>
      <c r="S2642" s="9" t="str">
        <f>IF(ISBLANK($R2642),"",VLOOKUP($R2642,'Liste des Villes'!$B$2:$H$1128,4,FALSE))</f>
        <v>Laurentides</v>
      </c>
      <c r="T2642" s="2" t="s">
        <v>12123</v>
      </c>
      <c r="U2642" s="2" t="s">
        <v>39</v>
      </c>
      <c r="V2642" s="2" t="s">
        <v>40</v>
      </c>
      <c r="W2642" s="2" t="s">
        <v>12124</v>
      </c>
      <c r="X2642" s="2"/>
      <c r="Y2642" s="2"/>
      <c r="Z2642" s="2"/>
      <c r="AA2642" s="2" t="s">
        <v>72</v>
      </c>
      <c r="AB2642" s="2" t="s">
        <v>192</v>
      </c>
      <c r="AC2642" s="4" t="s">
        <v>44</v>
      </c>
    </row>
    <row r="2643" spans="1:29" x14ac:dyDescent="0.25">
      <c r="A2643" s="1">
        <v>1306</v>
      </c>
      <c r="B2643" s="17" t="s">
        <v>12125</v>
      </c>
      <c r="C2643" s="2" t="s">
        <v>12126</v>
      </c>
      <c r="D2643" s="15" t="s">
        <v>12127</v>
      </c>
      <c r="E2643" s="9" t="s">
        <v>1745</v>
      </c>
      <c r="F2643" s="9" t="s">
        <v>12128</v>
      </c>
      <c r="G2643" s="9" t="s">
        <v>6880</v>
      </c>
      <c r="H2643" s="2" t="s">
        <v>60</v>
      </c>
      <c r="I2643" s="3">
        <v>36823</v>
      </c>
      <c r="J2643" s="9" t="str">
        <f t="shared" ca="1" si="43"/>
        <v>22 ans</v>
      </c>
      <c r="K2643" s="2" t="s">
        <v>68</v>
      </c>
      <c r="L2643" s="2" t="str">
        <f>"755"</f>
        <v>755</v>
      </c>
      <c r="M2643" s="2"/>
      <c r="N2643" s="2" t="str">
        <f>"RUE DES MÉANDRES"</f>
        <v>RUE DES MÉANDRES</v>
      </c>
      <c r="O2643" s="2" t="s">
        <v>11725</v>
      </c>
      <c r="P2643" s="9" t="str">
        <f>VLOOKUP($O2643,'Liste des Villes'!$B$2:$B$1128,1,FALSE)</f>
        <v>Saint-Colomban</v>
      </c>
      <c r="Q2643" s="9" t="str">
        <f>IFERROR($P2643,PROPER(VLOOKUP($O2643,'Villes en erreur'!$A$2:$B$72,2,FALSE)))</f>
        <v>Saint-Colomban</v>
      </c>
      <c r="R2643" s="9" t="s">
        <v>11726</v>
      </c>
      <c r="S2643" s="9" t="str">
        <f>IF(ISBLANK($R2643),"",VLOOKUP($R2643,'Liste des Villes'!$B$2:$H$1128,4,FALSE))</f>
        <v>Laurentides</v>
      </c>
      <c r="T2643" s="2" t="s">
        <v>12129</v>
      </c>
      <c r="U2643" s="2" t="s">
        <v>39</v>
      </c>
      <c r="V2643" s="2" t="s">
        <v>40</v>
      </c>
      <c r="W2643" s="2" t="s">
        <v>12130</v>
      </c>
      <c r="X2643" s="2"/>
      <c r="Y2643" s="2"/>
      <c r="Z2643" s="2"/>
      <c r="AA2643" s="2" t="s">
        <v>72</v>
      </c>
      <c r="AB2643" s="2" t="s">
        <v>11733</v>
      </c>
      <c r="AC2643" s="4" t="s">
        <v>44</v>
      </c>
    </row>
    <row r="2644" spans="1:29" x14ac:dyDescent="0.25">
      <c r="A2644" s="1">
        <v>2656</v>
      </c>
      <c r="B2644" s="17" t="s">
        <v>12131</v>
      </c>
      <c r="C2644" s="2" t="s">
        <v>5947</v>
      </c>
      <c r="D2644" s="15" t="s">
        <v>5948</v>
      </c>
      <c r="E2644" s="9" t="s">
        <v>325</v>
      </c>
      <c r="F2644" s="9" t="s">
        <v>5949</v>
      </c>
      <c r="G2644" s="9" t="s">
        <v>2664</v>
      </c>
      <c r="H2644" s="2" t="s">
        <v>60</v>
      </c>
      <c r="I2644" s="3">
        <v>36776</v>
      </c>
      <c r="J2644" s="9" t="str">
        <f t="shared" ca="1" si="43"/>
        <v>22 ans</v>
      </c>
      <c r="K2644" s="2" t="s">
        <v>68</v>
      </c>
      <c r="L2644" s="2" t="str">
        <f>"687"</f>
        <v>687</v>
      </c>
      <c r="M2644" s="2"/>
      <c r="N2644" s="2" t="str">
        <f>"RUE DES FOUGÈRES"</f>
        <v>RUE DES FOUGÈRES</v>
      </c>
      <c r="O2644" s="2" t="s">
        <v>11725</v>
      </c>
      <c r="P2644" s="9" t="str">
        <f>VLOOKUP($O2644,'Liste des Villes'!$B$2:$B$1128,1,FALSE)</f>
        <v>Saint-Colomban</v>
      </c>
      <c r="Q2644" s="9" t="str">
        <f>IFERROR($P2644,PROPER(VLOOKUP($O2644,'Villes en erreur'!$A$2:$B$72,2,FALSE)))</f>
        <v>Saint-Colomban</v>
      </c>
      <c r="R2644" s="9" t="s">
        <v>11726</v>
      </c>
      <c r="S2644" s="9" t="str">
        <f>IF(ISBLANK($R2644),"",VLOOKUP($R2644,'Liste des Villes'!$B$2:$H$1128,4,FALSE))</f>
        <v>Laurentides</v>
      </c>
      <c r="T2644" s="2" t="s">
        <v>12132</v>
      </c>
      <c r="U2644" s="2" t="s">
        <v>39</v>
      </c>
      <c r="V2644" s="2" t="s">
        <v>40</v>
      </c>
      <c r="W2644" s="2" t="s">
        <v>12133</v>
      </c>
      <c r="X2644" s="2"/>
      <c r="Y2644" s="2"/>
      <c r="Z2644" s="2"/>
      <c r="AA2644" s="2" t="s">
        <v>72</v>
      </c>
      <c r="AB2644" s="2" t="s">
        <v>192</v>
      </c>
      <c r="AC2644" s="4" t="s">
        <v>44</v>
      </c>
    </row>
    <row r="2645" spans="1:29" x14ac:dyDescent="0.25">
      <c r="A2645" s="1">
        <v>4327</v>
      </c>
      <c r="B2645" s="17" t="s">
        <v>12134</v>
      </c>
      <c r="C2645" s="2" t="s">
        <v>12135</v>
      </c>
      <c r="D2645" s="15" t="s">
        <v>12136</v>
      </c>
      <c r="E2645" s="9" t="s">
        <v>495</v>
      </c>
      <c r="F2645" s="9" t="s">
        <v>12137</v>
      </c>
      <c r="G2645" s="9" t="s">
        <v>751</v>
      </c>
      <c r="H2645" s="2" t="s">
        <v>35</v>
      </c>
      <c r="I2645" s="3">
        <v>36821</v>
      </c>
      <c r="J2645" s="9" t="str">
        <f t="shared" ca="1" si="43"/>
        <v>22 ans</v>
      </c>
      <c r="K2645" s="2" t="s">
        <v>68</v>
      </c>
      <c r="L2645" s="2" t="str">
        <f>"752"</f>
        <v>752</v>
      </c>
      <c r="M2645" s="2"/>
      <c r="N2645" s="2" t="str">
        <f>"RUE DES MARGUERITES"</f>
        <v>RUE DES MARGUERITES</v>
      </c>
      <c r="O2645" s="2" t="s">
        <v>11725</v>
      </c>
      <c r="P2645" s="9" t="str">
        <f>VLOOKUP($O2645,'Liste des Villes'!$B$2:$B$1128,1,FALSE)</f>
        <v>Saint-Colomban</v>
      </c>
      <c r="Q2645" s="9" t="str">
        <f>IFERROR($P2645,PROPER(VLOOKUP($O2645,'Villes en erreur'!$A$2:$B$72,2,FALSE)))</f>
        <v>Saint-Colomban</v>
      </c>
      <c r="R2645" s="9" t="s">
        <v>11726</v>
      </c>
      <c r="S2645" s="9" t="str">
        <f>IF(ISBLANK($R2645),"",VLOOKUP($R2645,'Liste des Villes'!$B$2:$H$1128,4,FALSE))</f>
        <v>Laurentides</v>
      </c>
      <c r="T2645" s="2" t="s">
        <v>12138</v>
      </c>
      <c r="U2645" s="2" t="s">
        <v>39</v>
      </c>
      <c r="V2645" s="2" t="s">
        <v>40</v>
      </c>
      <c r="W2645" s="2" t="s">
        <v>12139</v>
      </c>
      <c r="X2645" s="2"/>
      <c r="Y2645" s="2"/>
      <c r="Z2645" s="2"/>
      <c r="AA2645" s="2" t="s">
        <v>72</v>
      </c>
      <c r="AB2645" s="2" t="s">
        <v>11733</v>
      </c>
      <c r="AC2645" s="4" t="s">
        <v>44</v>
      </c>
    </row>
    <row r="2646" spans="1:29" x14ac:dyDescent="0.25">
      <c r="A2646" s="1">
        <v>977</v>
      </c>
      <c r="B2646" s="17" t="s">
        <v>12140</v>
      </c>
      <c r="C2646" s="2" t="s">
        <v>12141</v>
      </c>
      <c r="D2646" s="15" t="s">
        <v>12142</v>
      </c>
      <c r="E2646" s="9" t="s">
        <v>12143</v>
      </c>
      <c r="F2646" s="9" t="s">
        <v>5106</v>
      </c>
      <c r="G2646" s="9" t="s">
        <v>751</v>
      </c>
      <c r="H2646" s="2" t="s">
        <v>35</v>
      </c>
      <c r="I2646" s="3">
        <v>36820</v>
      </c>
      <c r="J2646" s="9" t="str">
        <f t="shared" ca="1" si="43"/>
        <v>22 ans</v>
      </c>
      <c r="K2646" s="2" t="s">
        <v>68</v>
      </c>
      <c r="L2646" s="2" t="str">
        <f>"751"</f>
        <v>751</v>
      </c>
      <c r="M2646" s="2"/>
      <c r="N2646" s="2" t="str">
        <f>"RUE DES MARGUERITES"</f>
        <v>RUE DES MARGUERITES</v>
      </c>
      <c r="O2646" s="2" t="s">
        <v>11725</v>
      </c>
      <c r="P2646" s="9" t="str">
        <f>VLOOKUP($O2646,'Liste des Villes'!$B$2:$B$1128,1,FALSE)</f>
        <v>Saint-Colomban</v>
      </c>
      <c r="Q2646" s="9" t="str">
        <f>IFERROR($P2646,PROPER(VLOOKUP($O2646,'Villes en erreur'!$A$2:$B$72,2,FALSE)))</f>
        <v>Saint-Colomban</v>
      </c>
      <c r="R2646" s="9" t="s">
        <v>11726</v>
      </c>
      <c r="S2646" s="9" t="str">
        <f>IF(ISBLANK($R2646),"",VLOOKUP($R2646,'Liste des Villes'!$B$2:$H$1128,4,FALSE))</f>
        <v>Laurentides</v>
      </c>
      <c r="T2646" s="2" t="s">
        <v>12144</v>
      </c>
      <c r="U2646" s="2" t="s">
        <v>39</v>
      </c>
      <c r="V2646" s="2" t="s">
        <v>40</v>
      </c>
      <c r="W2646" s="2" t="s">
        <v>12145</v>
      </c>
      <c r="X2646" s="2"/>
      <c r="Y2646" s="2"/>
      <c r="Z2646" s="2"/>
      <c r="AA2646" s="2" t="s">
        <v>72</v>
      </c>
      <c r="AB2646" s="2" t="s">
        <v>11733</v>
      </c>
      <c r="AC2646" s="4" t="s">
        <v>44</v>
      </c>
    </row>
    <row r="2647" spans="1:29" x14ac:dyDescent="0.25">
      <c r="A2647" s="1">
        <v>3933</v>
      </c>
      <c r="B2647" s="17" t="s">
        <v>12146</v>
      </c>
      <c r="C2647" s="2" t="s">
        <v>12147</v>
      </c>
      <c r="D2647" s="15" t="s">
        <v>1878</v>
      </c>
      <c r="E2647" s="9" t="s">
        <v>196</v>
      </c>
      <c r="F2647" s="9" t="s">
        <v>1877</v>
      </c>
      <c r="G2647" s="9" t="s">
        <v>8868</v>
      </c>
      <c r="H2647" s="2" t="s">
        <v>35</v>
      </c>
      <c r="I2647" s="3">
        <v>36830</v>
      </c>
      <c r="J2647" s="9" t="str">
        <f t="shared" ca="1" si="43"/>
        <v>22 ans</v>
      </c>
      <c r="K2647" s="2" t="s">
        <v>68</v>
      </c>
      <c r="L2647" s="2" t="str">
        <f>"767"</f>
        <v>767</v>
      </c>
      <c r="M2647" s="2"/>
      <c r="N2647" s="2" t="str">
        <f>"RUE DES MYCÈNES"</f>
        <v>RUE DES MYCÈNES</v>
      </c>
      <c r="O2647" s="2" t="s">
        <v>11725</v>
      </c>
      <c r="P2647" s="9" t="str">
        <f>VLOOKUP($O2647,'Liste des Villes'!$B$2:$B$1128,1,FALSE)</f>
        <v>Saint-Colomban</v>
      </c>
      <c r="Q2647" s="9" t="str">
        <f>IFERROR($P2647,PROPER(VLOOKUP($O2647,'Villes en erreur'!$A$2:$B$72,2,FALSE)))</f>
        <v>Saint-Colomban</v>
      </c>
      <c r="R2647" s="9" t="s">
        <v>11726</v>
      </c>
      <c r="S2647" s="9" t="str">
        <f>IF(ISBLANK($R2647),"",VLOOKUP($R2647,'Liste des Villes'!$B$2:$H$1128,4,FALSE))</f>
        <v>Laurentides</v>
      </c>
      <c r="T2647" s="2" t="s">
        <v>12005</v>
      </c>
      <c r="U2647" s="2" t="s">
        <v>39</v>
      </c>
      <c r="V2647" s="2" t="s">
        <v>40</v>
      </c>
      <c r="W2647" s="2" t="s">
        <v>12012</v>
      </c>
      <c r="X2647" s="2"/>
      <c r="Y2647" s="2"/>
      <c r="Z2647" s="2"/>
      <c r="AA2647" s="2" t="s">
        <v>72</v>
      </c>
      <c r="AB2647" s="2" t="s">
        <v>11733</v>
      </c>
      <c r="AC2647" s="4" t="s">
        <v>44</v>
      </c>
    </row>
    <row r="2648" spans="1:29" x14ac:dyDescent="0.25">
      <c r="A2648" s="1">
        <v>1009</v>
      </c>
      <c r="B2648" s="17" t="s">
        <v>12148</v>
      </c>
      <c r="C2648" s="2" t="s">
        <v>12149</v>
      </c>
      <c r="D2648" s="15" t="s">
        <v>7426</v>
      </c>
      <c r="E2648" s="9" t="s">
        <v>3157</v>
      </c>
      <c r="F2648" s="9" t="s">
        <v>7425</v>
      </c>
      <c r="G2648" s="9" t="s">
        <v>751</v>
      </c>
      <c r="H2648" s="2" t="s">
        <v>35</v>
      </c>
      <c r="I2648" s="3">
        <v>36816</v>
      </c>
      <c r="J2648" s="9" t="str">
        <f t="shared" ca="1" si="43"/>
        <v>22 ans</v>
      </c>
      <c r="K2648" s="2" t="s">
        <v>68</v>
      </c>
      <c r="L2648" s="2" t="str">
        <f>"745"</f>
        <v>745</v>
      </c>
      <c r="M2648" s="2"/>
      <c r="N2648" s="2" t="str">
        <f>"RUE DES MANDOLINES"</f>
        <v>RUE DES MANDOLINES</v>
      </c>
      <c r="O2648" s="2" t="s">
        <v>11725</v>
      </c>
      <c r="P2648" s="9" t="str">
        <f>VLOOKUP($O2648,'Liste des Villes'!$B$2:$B$1128,1,FALSE)</f>
        <v>Saint-Colomban</v>
      </c>
      <c r="Q2648" s="9" t="str">
        <f>IFERROR($P2648,PROPER(VLOOKUP($O2648,'Villes en erreur'!$A$2:$B$72,2,FALSE)))</f>
        <v>Saint-Colomban</v>
      </c>
      <c r="R2648" s="9" t="s">
        <v>11726</v>
      </c>
      <c r="S2648" s="9" t="str">
        <f>IF(ISBLANK($R2648),"",VLOOKUP($R2648,'Liste des Villes'!$B$2:$H$1128,4,FALSE))</f>
        <v>Laurentides</v>
      </c>
      <c r="T2648" s="2" t="s">
        <v>12150</v>
      </c>
      <c r="U2648" s="2" t="s">
        <v>39</v>
      </c>
      <c r="V2648" s="2" t="s">
        <v>40</v>
      </c>
      <c r="W2648" s="2" t="s">
        <v>12151</v>
      </c>
      <c r="X2648" s="2"/>
      <c r="Y2648" s="2"/>
      <c r="Z2648" s="2"/>
      <c r="AA2648" s="2" t="s">
        <v>72</v>
      </c>
      <c r="AB2648" s="2" t="s">
        <v>11733</v>
      </c>
      <c r="AC2648" s="4" t="s">
        <v>44</v>
      </c>
    </row>
    <row r="2649" spans="1:29" x14ac:dyDescent="0.25">
      <c r="A2649" s="1">
        <v>816</v>
      </c>
      <c r="B2649" s="17" t="s">
        <v>12152</v>
      </c>
      <c r="C2649" s="2" t="s">
        <v>12153</v>
      </c>
      <c r="D2649" s="15" t="s">
        <v>8189</v>
      </c>
      <c r="E2649" s="9" t="s">
        <v>12154</v>
      </c>
      <c r="F2649" s="9" t="s">
        <v>8191</v>
      </c>
      <c r="G2649" s="9" t="s">
        <v>3066</v>
      </c>
      <c r="H2649" s="2" t="s">
        <v>60</v>
      </c>
      <c r="I2649" s="3">
        <v>36836</v>
      </c>
      <c r="J2649" s="9" t="str">
        <f t="shared" ca="1" si="43"/>
        <v>22 ans</v>
      </c>
      <c r="K2649" s="2" t="s">
        <v>68</v>
      </c>
      <c r="L2649" s="2" t="str">
        <f>"775"</f>
        <v>775</v>
      </c>
      <c r="M2649" s="2"/>
      <c r="N2649" s="2" t="str">
        <f>"RUE DES OUTARDES"</f>
        <v>RUE DES OUTARDES</v>
      </c>
      <c r="O2649" s="2" t="s">
        <v>11725</v>
      </c>
      <c r="P2649" s="9" t="str">
        <f>VLOOKUP($O2649,'Liste des Villes'!$B$2:$B$1128,1,FALSE)</f>
        <v>Saint-Colomban</v>
      </c>
      <c r="Q2649" s="9" t="str">
        <f>IFERROR($P2649,PROPER(VLOOKUP($O2649,'Villes en erreur'!$A$2:$B$72,2,FALSE)))</f>
        <v>Saint-Colomban</v>
      </c>
      <c r="R2649" s="9" t="s">
        <v>11726</v>
      </c>
      <c r="S2649" s="9" t="str">
        <f>IF(ISBLANK($R2649),"",VLOOKUP($R2649,'Liste des Villes'!$B$2:$H$1128,4,FALSE))</f>
        <v>Laurentides</v>
      </c>
      <c r="T2649" s="2" t="s">
        <v>11746</v>
      </c>
      <c r="U2649" s="2" t="s">
        <v>39</v>
      </c>
      <c r="V2649" s="2" t="s">
        <v>40</v>
      </c>
      <c r="W2649" s="2" t="s">
        <v>12155</v>
      </c>
      <c r="X2649" s="2"/>
      <c r="Y2649" s="2"/>
      <c r="Z2649" s="2"/>
      <c r="AA2649" s="2" t="s">
        <v>72</v>
      </c>
      <c r="AB2649" s="2" t="s">
        <v>11748</v>
      </c>
      <c r="AC2649" s="4" t="s">
        <v>44</v>
      </c>
    </row>
    <row r="2650" spans="1:29" x14ac:dyDescent="0.25">
      <c r="A2650" s="1">
        <v>1140</v>
      </c>
      <c r="B2650" s="17" t="s">
        <v>12156</v>
      </c>
      <c r="C2650" s="2" t="s">
        <v>12157</v>
      </c>
      <c r="D2650" s="15" t="s">
        <v>2513</v>
      </c>
      <c r="E2650" s="9" t="s">
        <v>380</v>
      </c>
      <c r="F2650" s="9" t="s">
        <v>304</v>
      </c>
      <c r="G2650" s="9" t="s">
        <v>348</v>
      </c>
      <c r="H2650" s="2" t="s">
        <v>60</v>
      </c>
      <c r="I2650" s="3">
        <v>36785</v>
      </c>
      <c r="J2650" s="9" t="str">
        <f t="shared" ca="1" si="43"/>
        <v>22 ans</v>
      </c>
      <c r="K2650" s="2" t="s">
        <v>68</v>
      </c>
      <c r="L2650" s="2" t="str">
        <f>"700"</f>
        <v>700</v>
      </c>
      <c r="M2650" s="2"/>
      <c r="N2650" s="2" t="str">
        <f>"RUE DES GENÉVRIERS"</f>
        <v>RUE DES GENÉVRIERS</v>
      </c>
      <c r="O2650" s="2" t="s">
        <v>11725</v>
      </c>
      <c r="P2650" s="9" t="str">
        <f>VLOOKUP($O2650,'Liste des Villes'!$B$2:$B$1128,1,FALSE)</f>
        <v>Saint-Colomban</v>
      </c>
      <c r="Q2650" s="9" t="str">
        <f>IFERROR($P2650,PROPER(VLOOKUP($O2650,'Villes en erreur'!$A$2:$B$72,2,FALSE)))</f>
        <v>Saint-Colomban</v>
      </c>
      <c r="R2650" s="9" t="s">
        <v>11726</v>
      </c>
      <c r="S2650" s="9" t="str">
        <f>IF(ISBLANK($R2650),"",VLOOKUP($R2650,'Liste des Villes'!$B$2:$H$1128,4,FALSE))</f>
        <v>Laurentides</v>
      </c>
      <c r="T2650" s="2" t="s">
        <v>11963</v>
      </c>
      <c r="U2650" s="2" t="s">
        <v>39</v>
      </c>
      <c r="V2650" s="2" t="s">
        <v>40</v>
      </c>
      <c r="W2650" s="2" t="s">
        <v>12158</v>
      </c>
      <c r="X2650" s="2"/>
      <c r="Y2650" s="2"/>
      <c r="Z2650" s="2"/>
      <c r="AA2650" s="2" t="s">
        <v>72</v>
      </c>
      <c r="AB2650" s="2" t="s">
        <v>192</v>
      </c>
      <c r="AC2650" s="4" t="s">
        <v>44</v>
      </c>
    </row>
    <row r="2651" spans="1:29" x14ac:dyDescent="0.25">
      <c r="A2651" s="1">
        <v>4012</v>
      </c>
      <c r="B2651" s="17" t="s">
        <v>12159</v>
      </c>
      <c r="C2651" s="2" t="s">
        <v>12160</v>
      </c>
      <c r="D2651" s="15" t="s">
        <v>225</v>
      </c>
      <c r="E2651" s="9" t="s">
        <v>12161</v>
      </c>
      <c r="F2651" s="9" t="s">
        <v>10220</v>
      </c>
      <c r="G2651" s="9" t="s">
        <v>787</v>
      </c>
      <c r="H2651" s="2" t="s">
        <v>35</v>
      </c>
      <c r="I2651" s="3">
        <v>36814</v>
      </c>
      <c r="J2651" s="9" t="str">
        <f t="shared" ca="1" si="43"/>
        <v>22 ans</v>
      </c>
      <c r="K2651" s="2" t="s">
        <v>68</v>
      </c>
      <c r="L2651" s="2" t="str">
        <f>"744"</f>
        <v>744</v>
      </c>
      <c r="M2651" s="2"/>
      <c r="N2651" s="2" t="str">
        <f>"RUE DES LYS"</f>
        <v>RUE DES LYS</v>
      </c>
      <c r="O2651" s="2" t="s">
        <v>11725</v>
      </c>
      <c r="P2651" s="9" t="str">
        <f>VLOOKUP($O2651,'Liste des Villes'!$B$2:$B$1128,1,FALSE)</f>
        <v>Saint-Colomban</v>
      </c>
      <c r="Q2651" s="9" t="str">
        <f>IFERROR($P2651,PROPER(VLOOKUP($O2651,'Villes en erreur'!$A$2:$B$72,2,FALSE)))</f>
        <v>Saint-Colomban</v>
      </c>
      <c r="R2651" s="9" t="s">
        <v>11726</v>
      </c>
      <c r="S2651" s="9" t="str">
        <f>IF(ISBLANK($R2651),"",VLOOKUP($R2651,'Liste des Villes'!$B$2:$H$1128,4,FALSE))</f>
        <v>Laurentides</v>
      </c>
      <c r="T2651" s="2" t="s">
        <v>12162</v>
      </c>
      <c r="U2651" s="2" t="s">
        <v>39</v>
      </c>
      <c r="V2651" s="2" t="s">
        <v>40</v>
      </c>
      <c r="W2651" s="2" t="s">
        <v>12163</v>
      </c>
      <c r="X2651" s="2"/>
      <c r="Y2651" s="2"/>
      <c r="Z2651" s="2"/>
      <c r="AA2651" s="2" t="s">
        <v>72</v>
      </c>
      <c r="AB2651" s="2" t="s">
        <v>11733</v>
      </c>
      <c r="AC2651" s="4" t="s">
        <v>44</v>
      </c>
    </row>
    <row r="2652" spans="1:29" x14ac:dyDescent="0.25">
      <c r="A2652" s="1">
        <v>114</v>
      </c>
      <c r="B2652" s="17" t="s">
        <v>12164</v>
      </c>
      <c r="C2652" s="2" t="s">
        <v>12165</v>
      </c>
      <c r="D2652" s="15" t="s">
        <v>12166</v>
      </c>
      <c r="E2652" s="9" t="s">
        <v>186</v>
      </c>
      <c r="F2652" s="9" t="s">
        <v>3431</v>
      </c>
      <c r="G2652" s="9" t="s">
        <v>293</v>
      </c>
      <c r="H2652" s="2" t="s">
        <v>60</v>
      </c>
      <c r="I2652" s="3">
        <v>36849</v>
      </c>
      <c r="J2652" s="9" t="str">
        <f t="shared" ca="1" si="43"/>
        <v>22 ans</v>
      </c>
      <c r="K2652" s="2" t="s">
        <v>68</v>
      </c>
      <c r="L2652" s="2" t="str">
        <f>"797"</f>
        <v>797</v>
      </c>
      <c r="M2652" s="2"/>
      <c r="N2652" s="2" t="str">
        <f>"RUE DES PINS"</f>
        <v>RUE DES PINS</v>
      </c>
      <c r="O2652" s="2" t="s">
        <v>11725</v>
      </c>
      <c r="P2652" s="9" t="str">
        <f>VLOOKUP($O2652,'Liste des Villes'!$B$2:$B$1128,1,FALSE)</f>
        <v>Saint-Colomban</v>
      </c>
      <c r="Q2652" s="9" t="str">
        <f>IFERROR($P2652,PROPER(VLOOKUP($O2652,'Villes en erreur'!$A$2:$B$72,2,FALSE)))</f>
        <v>Saint-Colomban</v>
      </c>
      <c r="R2652" s="9" t="s">
        <v>11726</v>
      </c>
      <c r="S2652" s="9" t="str">
        <f>IF(ISBLANK($R2652),"",VLOOKUP($R2652,'Liste des Villes'!$B$2:$H$1128,4,FALSE))</f>
        <v>Laurentides</v>
      </c>
      <c r="T2652" s="2" t="s">
        <v>12167</v>
      </c>
      <c r="U2652" s="2" t="s">
        <v>39</v>
      </c>
      <c r="V2652" s="2" t="s">
        <v>40</v>
      </c>
      <c r="W2652" s="2" t="s">
        <v>12168</v>
      </c>
      <c r="X2652" s="2"/>
      <c r="Y2652" s="2"/>
      <c r="Z2652" s="2"/>
      <c r="AA2652" s="2" t="s">
        <v>606</v>
      </c>
      <c r="AB2652" s="2" t="s">
        <v>11748</v>
      </c>
      <c r="AC2652" s="4" t="s">
        <v>44</v>
      </c>
    </row>
    <row r="2653" spans="1:29" x14ac:dyDescent="0.25">
      <c r="A2653" s="1">
        <v>3631</v>
      </c>
      <c r="B2653" s="17" t="s">
        <v>12169</v>
      </c>
      <c r="C2653" s="2" t="s">
        <v>12170</v>
      </c>
      <c r="D2653" s="15" t="s">
        <v>3055</v>
      </c>
      <c r="E2653" s="9" t="s">
        <v>10756</v>
      </c>
      <c r="F2653" s="9" t="s">
        <v>3054</v>
      </c>
      <c r="G2653" s="9" t="s">
        <v>9433</v>
      </c>
      <c r="H2653" s="2" t="s">
        <v>60</v>
      </c>
      <c r="I2653" s="3">
        <v>36828</v>
      </c>
      <c r="J2653" s="9" t="str">
        <f t="shared" ca="1" si="43"/>
        <v>22 ans</v>
      </c>
      <c r="K2653" s="2" t="s">
        <v>68</v>
      </c>
      <c r="L2653" s="2" t="str">
        <f>"766"</f>
        <v>766</v>
      </c>
      <c r="M2653" s="2"/>
      <c r="N2653" s="2" t="str">
        <f>"RUE DES MORILLES"</f>
        <v>RUE DES MORILLES</v>
      </c>
      <c r="O2653" s="2" t="s">
        <v>11725</v>
      </c>
      <c r="P2653" s="9" t="str">
        <f>VLOOKUP($O2653,'Liste des Villes'!$B$2:$B$1128,1,FALSE)</f>
        <v>Saint-Colomban</v>
      </c>
      <c r="Q2653" s="9" t="str">
        <f>IFERROR($P2653,PROPER(VLOOKUP($O2653,'Villes en erreur'!$A$2:$B$72,2,FALSE)))</f>
        <v>Saint-Colomban</v>
      </c>
      <c r="R2653" s="9" t="s">
        <v>11726</v>
      </c>
      <c r="S2653" s="9" t="str">
        <f>IF(ISBLANK($R2653),"",VLOOKUP($R2653,'Liste des Villes'!$B$2:$H$1128,4,FALSE))</f>
        <v>Laurentides</v>
      </c>
      <c r="T2653" s="2" t="s">
        <v>12171</v>
      </c>
      <c r="U2653" s="2" t="s">
        <v>39</v>
      </c>
      <c r="V2653" s="2" t="s">
        <v>40</v>
      </c>
      <c r="W2653" s="2" t="s">
        <v>12172</v>
      </c>
      <c r="X2653" s="2"/>
      <c r="Y2653" s="2"/>
      <c r="Z2653" s="2"/>
      <c r="AA2653" s="2" t="s">
        <v>72</v>
      </c>
      <c r="AB2653" s="2" t="s">
        <v>11733</v>
      </c>
      <c r="AC2653" s="4" t="s">
        <v>44</v>
      </c>
    </row>
    <row r="2654" spans="1:29" x14ac:dyDescent="0.25">
      <c r="A2654" s="1">
        <v>1927</v>
      </c>
      <c r="B2654" s="17" t="s">
        <v>12173</v>
      </c>
      <c r="C2654" s="2" t="s">
        <v>12174</v>
      </c>
      <c r="D2654" s="15" t="s">
        <v>1276</v>
      </c>
      <c r="E2654" s="9" t="s">
        <v>1560</v>
      </c>
      <c r="F2654" s="9" t="s">
        <v>867</v>
      </c>
      <c r="G2654" s="9" t="s">
        <v>3066</v>
      </c>
      <c r="H2654" s="2" t="s">
        <v>60</v>
      </c>
      <c r="I2654" s="3">
        <v>36837</v>
      </c>
      <c r="J2654" s="9" t="str">
        <f t="shared" ca="1" si="43"/>
        <v>22 ans</v>
      </c>
      <c r="K2654" s="2" t="s">
        <v>68</v>
      </c>
      <c r="L2654" s="2" t="str">
        <f>"777"</f>
        <v>777</v>
      </c>
      <c r="M2654" s="2"/>
      <c r="N2654" s="2" t="str">
        <f>"RUE DES PALMIERS"</f>
        <v>RUE DES PALMIERS</v>
      </c>
      <c r="O2654" s="2" t="s">
        <v>11725</v>
      </c>
      <c r="P2654" s="9" t="str">
        <f>VLOOKUP($O2654,'Liste des Villes'!$B$2:$B$1128,1,FALSE)</f>
        <v>Saint-Colomban</v>
      </c>
      <c r="Q2654" s="9" t="str">
        <f>IFERROR($P2654,PROPER(VLOOKUP($O2654,'Villes en erreur'!$A$2:$B$72,2,FALSE)))</f>
        <v>Saint-Colomban</v>
      </c>
      <c r="R2654" s="9" t="s">
        <v>11726</v>
      </c>
      <c r="S2654" s="9" t="str">
        <f>IF(ISBLANK($R2654),"",VLOOKUP($R2654,'Liste des Villes'!$B$2:$H$1128,4,FALSE))</f>
        <v>Laurentides</v>
      </c>
      <c r="T2654" s="2" t="s">
        <v>12175</v>
      </c>
      <c r="U2654" s="2" t="s">
        <v>39</v>
      </c>
      <c r="V2654" s="2" t="s">
        <v>40</v>
      </c>
      <c r="W2654" s="2" t="s">
        <v>12176</v>
      </c>
      <c r="X2654" s="2"/>
      <c r="Y2654" s="2"/>
      <c r="Z2654" s="2"/>
      <c r="AA2654" s="2" t="s">
        <v>72</v>
      </c>
      <c r="AB2654" s="2" t="s">
        <v>11748</v>
      </c>
      <c r="AC2654" s="4" t="s">
        <v>44</v>
      </c>
    </row>
    <row r="2655" spans="1:29" x14ac:dyDescent="0.25">
      <c r="A2655" s="1">
        <v>327</v>
      </c>
      <c r="B2655" s="17" t="s">
        <v>12177</v>
      </c>
      <c r="C2655" s="2" t="s">
        <v>12178</v>
      </c>
      <c r="D2655" s="15" t="s">
        <v>12179</v>
      </c>
      <c r="E2655" s="9" t="s">
        <v>664</v>
      </c>
      <c r="F2655" s="9" t="s">
        <v>12180</v>
      </c>
      <c r="G2655" s="9" t="s">
        <v>120</v>
      </c>
      <c r="H2655" s="2" t="s">
        <v>35</v>
      </c>
      <c r="I2655" s="3">
        <v>36807</v>
      </c>
      <c r="J2655" s="9" t="str">
        <f t="shared" ca="1" si="43"/>
        <v>22 ans</v>
      </c>
      <c r="K2655" s="2" t="s">
        <v>68</v>
      </c>
      <c r="L2655" s="2" t="str">
        <f>"734"</f>
        <v>734</v>
      </c>
      <c r="M2655" s="2"/>
      <c r="N2655" s="2" t="str">
        <f>"RUE DES LACS"</f>
        <v>RUE DES LACS</v>
      </c>
      <c r="O2655" s="2" t="s">
        <v>11725</v>
      </c>
      <c r="P2655" s="9" t="str">
        <f>VLOOKUP($O2655,'Liste des Villes'!$B$2:$B$1128,1,FALSE)</f>
        <v>Saint-Colomban</v>
      </c>
      <c r="Q2655" s="9" t="str">
        <f>IFERROR($P2655,PROPER(VLOOKUP($O2655,'Villes en erreur'!$A$2:$B$72,2,FALSE)))</f>
        <v>Saint-Colomban</v>
      </c>
      <c r="R2655" s="9" t="s">
        <v>11726</v>
      </c>
      <c r="S2655" s="9" t="str">
        <f>IF(ISBLANK($R2655),"",VLOOKUP($R2655,'Liste des Villes'!$B$2:$H$1128,4,FALSE))</f>
        <v>Laurentides</v>
      </c>
      <c r="T2655" s="2" t="s">
        <v>12181</v>
      </c>
      <c r="U2655" s="2" t="s">
        <v>39</v>
      </c>
      <c r="V2655" s="2" t="s">
        <v>40</v>
      </c>
      <c r="W2655" s="2" t="s">
        <v>12182</v>
      </c>
      <c r="X2655" s="2"/>
      <c r="Y2655" s="2"/>
      <c r="Z2655" s="2"/>
      <c r="AA2655" s="2" t="s">
        <v>72</v>
      </c>
      <c r="AB2655" s="2" t="s">
        <v>11733</v>
      </c>
      <c r="AC2655" s="4" t="s">
        <v>44</v>
      </c>
    </row>
    <row r="2656" spans="1:29" x14ac:dyDescent="0.25">
      <c r="A2656" s="1">
        <v>4577</v>
      </c>
      <c r="B2656" s="17" t="s">
        <v>12183</v>
      </c>
      <c r="C2656" s="2" t="s">
        <v>12184</v>
      </c>
      <c r="D2656" s="15" t="s">
        <v>12185</v>
      </c>
      <c r="E2656" s="9" t="s">
        <v>1246</v>
      </c>
      <c r="F2656" s="9" t="s">
        <v>12186</v>
      </c>
      <c r="G2656" s="9" t="s">
        <v>787</v>
      </c>
      <c r="H2656" s="2" t="s">
        <v>35</v>
      </c>
      <c r="I2656" s="3">
        <v>36815</v>
      </c>
      <c r="J2656" s="9" t="str">
        <f t="shared" ca="1" si="43"/>
        <v>22 ans</v>
      </c>
      <c r="K2656" s="2" t="s">
        <v>68</v>
      </c>
      <c r="L2656" s="2" t="str">
        <f>"744"</f>
        <v>744</v>
      </c>
      <c r="M2656" s="2"/>
      <c r="N2656" s="2" t="str">
        <f>"RUE DES MALARDS"</f>
        <v>RUE DES MALARDS</v>
      </c>
      <c r="O2656" s="2" t="s">
        <v>11725</v>
      </c>
      <c r="P2656" s="9" t="str">
        <f>VLOOKUP($O2656,'Liste des Villes'!$B$2:$B$1128,1,FALSE)</f>
        <v>Saint-Colomban</v>
      </c>
      <c r="Q2656" s="9" t="str">
        <f>IFERROR($P2656,PROPER(VLOOKUP($O2656,'Villes en erreur'!$A$2:$B$72,2,FALSE)))</f>
        <v>Saint-Colomban</v>
      </c>
      <c r="R2656" s="9" t="s">
        <v>11726</v>
      </c>
      <c r="S2656" s="9" t="str">
        <f>IF(ISBLANK($R2656),"",VLOOKUP($R2656,'Liste des Villes'!$B$2:$H$1128,4,FALSE))</f>
        <v>Laurentides</v>
      </c>
      <c r="T2656" s="2" t="s">
        <v>12187</v>
      </c>
      <c r="U2656" s="2" t="s">
        <v>39</v>
      </c>
      <c r="V2656" s="2" t="s">
        <v>40</v>
      </c>
      <c r="W2656" s="2" t="s">
        <v>12188</v>
      </c>
      <c r="X2656" s="2"/>
      <c r="Y2656" s="2"/>
      <c r="Z2656" s="2"/>
      <c r="AA2656" s="2" t="s">
        <v>72</v>
      </c>
      <c r="AB2656" s="2" t="s">
        <v>11733</v>
      </c>
      <c r="AC2656" s="4" t="s">
        <v>44</v>
      </c>
    </row>
    <row r="2657" spans="1:29" x14ac:dyDescent="0.25">
      <c r="A2657" s="1">
        <v>3446</v>
      </c>
      <c r="B2657" s="17" t="s">
        <v>12189</v>
      </c>
      <c r="C2657" s="2" t="s">
        <v>12190</v>
      </c>
      <c r="D2657" s="15" t="s">
        <v>12191</v>
      </c>
      <c r="E2657" s="9" t="s">
        <v>12192</v>
      </c>
      <c r="F2657" s="9" t="s">
        <v>144</v>
      </c>
      <c r="G2657" s="9" t="s">
        <v>120</v>
      </c>
      <c r="H2657" s="2" t="s">
        <v>35</v>
      </c>
      <c r="I2657" s="3">
        <v>36804</v>
      </c>
      <c r="J2657" s="9" t="str">
        <f t="shared" ca="1" si="43"/>
        <v>22 ans</v>
      </c>
      <c r="K2657" s="2" t="s">
        <v>68</v>
      </c>
      <c r="L2657" s="2" t="str">
        <f>"730"</f>
        <v>730</v>
      </c>
      <c r="M2657" s="2"/>
      <c r="N2657" s="2" t="str">
        <f>"RUE DES JONQUILLES"</f>
        <v>RUE DES JONQUILLES</v>
      </c>
      <c r="O2657" s="2" t="s">
        <v>11725</v>
      </c>
      <c r="P2657" s="9" t="str">
        <f>VLOOKUP($O2657,'Liste des Villes'!$B$2:$B$1128,1,FALSE)</f>
        <v>Saint-Colomban</v>
      </c>
      <c r="Q2657" s="9" t="str">
        <f>IFERROR($P2657,PROPER(VLOOKUP($O2657,'Villes en erreur'!$A$2:$B$72,2,FALSE)))</f>
        <v>Saint-Colomban</v>
      </c>
      <c r="R2657" s="9" t="s">
        <v>11726</v>
      </c>
      <c r="S2657" s="9" t="str">
        <f>IF(ISBLANK($R2657),"",VLOOKUP($R2657,'Liste des Villes'!$B$2:$H$1128,4,FALSE))</f>
        <v>Laurentides</v>
      </c>
      <c r="T2657" s="2" t="s">
        <v>12193</v>
      </c>
      <c r="U2657" s="2" t="s">
        <v>39</v>
      </c>
      <c r="V2657" s="2" t="s">
        <v>40</v>
      </c>
      <c r="W2657" s="2" t="s">
        <v>12194</v>
      </c>
      <c r="X2657" s="2"/>
      <c r="Y2657" s="2"/>
      <c r="Z2657" s="2"/>
      <c r="AA2657" s="2" t="s">
        <v>72</v>
      </c>
      <c r="AB2657" s="2" t="s">
        <v>11733</v>
      </c>
      <c r="AC2657" s="4" t="s">
        <v>44</v>
      </c>
    </row>
    <row r="2658" spans="1:29" x14ac:dyDescent="0.25">
      <c r="A2658" s="1">
        <v>4139</v>
      </c>
      <c r="B2658" s="17" t="s">
        <v>12195</v>
      </c>
      <c r="C2658" s="2" t="s">
        <v>8784</v>
      </c>
      <c r="D2658" s="15" t="s">
        <v>6173</v>
      </c>
      <c r="E2658" s="9" t="s">
        <v>1024</v>
      </c>
      <c r="F2658" s="9" t="s">
        <v>6172</v>
      </c>
      <c r="G2658" s="9" t="s">
        <v>450</v>
      </c>
      <c r="H2658" s="2" t="s">
        <v>60</v>
      </c>
      <c r="I2658" s="3">
        <v>36826</v>
      </c>
      <c r="J2658" s="9" t="str">
        <f t="shared" ca="1" si="43"/>
        <v>22 ans</v>
      </c>
      <c r="K2658" s="2" t="s">
        <v>68</v>
      </c>
      <c r="L2658" s="2" t="str">
        <f>"761"</f>
        <v>761</v>
      </c>
      <c r="M2658" s="2"/>
      <c r="N2658" s="2" t="str">
        <f>"RUE DES MERLES"</f>
        <v>RUE DES MERLES</v>
      </c>
      <c r="O2658" s="2" t="s">
        <v>11725</v>
      </c>
      <c r="P2658" s="9" t="str">
        <f>VLOOKUP($O2658,'Liste des Villes'!$B$2:$B$1128,1,FALSE)</f>
        <v>Saint-Colomban</v>
      </c>
      <c r="Q2658" s="9" t="str">
        <f>IFERROR($P2658,PROPER(VLOOKUP($O2658,'Villes en erreur'!$A$2:$B$72,2,FALSE)))</f>
        <v>Saint-Colomban</v>
      </c>
      <c r="R2658" s="9" t="s">
        <v>11726</v>
      </c>
      <c r="S2658" s="9" t="str">
        <f>IF(ISBLANK($R2658),"",VLOOKUP($R2658,'Liste des Villes'!$B$2:$H$1128,4,FALSE))</f>
        <v>Laurentides</v>
      </c>
      <c r="T2658" s="2" t="s">
        <v>11823</v>
      </c>
      <c r="U2658" s="2" t="s">
        <v>39</v>
      </c>
      <c r="V2658" s="2" t="s">
        <v>40</v>
      </c>
      <c r="W2658" s="2" t="s">
        <v>12196</v>
      </c>
      <c r="X2658" s="2"/>
      <c r="Y2658" s="2"/>
      <c r="Z2658" s="2"/>
      <c r="AA2658" s="2" t="s">
        <v>72</v>
      </c>
      <c r="AB2658" s="2" t="s">
        <v>11733</v>
      </c>
      <c r="AC2658" s="4" t="s">
        <v>44</v>
      </c>
    </row>
    <row r="2659" spans="1:29" x14ac:dyDescent="0.25">
      <c r="A2659" s="1">
        <v>3058</v>
      </c>
      <c r="B2659" s="17" t="s">
        <v>12197</v>
      </c>
      <c r="C2659" s="2" t="s">
        <v>12198</v>
      </c>
      <c r="D2659" s="15" t="s">
        <v>12199</v>
      </c>
      <c r="E2659" s="9" t="s">
        <v>12200</v>
      </c>
      <c r="F2659" s="9" t="s">
        <v>12201</v>
      </c>
      <c r="G2659" s="9" t="s">
        <v>4539</v>
      </c>
      <c r="H2659" s="2" t="s">
        <v>60</v>
      </c>
      <c r="I2659" s="3">
        <v>36838</v>
      </c>
      <c r="J2659" s="9" t="str">
        <f t="shared" ca="1" si="43"/>
        <v>22 ans</v>
      </c>
      <c r="K2659" s="2" t="s">
        <v>68</v>
      </c>
      <c r="L2659" s="2" t="str">
        <f>"781"</f>
        <v>781</v>
      </c>
      <c r="M2659" s="2"/>
      <c r="N2659" s="2" t="str">
        <f>"RUE DES PATRIOTES"</f>
        <v>RUE DES PATRIOTES</v>
      </c>
      <c r="O2659" s="2" t="s">
        <v>11725</v>
      </c>
      <c r="P2659" s="9" t="str">
        <f>VLOOKUP($O2659,'Liste des Villes'!$B$2:$B$1128,1,FALSE)</f>
        <v>Saint-Colomban</v>
      </c>
      <c r="Q2659" s="9" t="str">
        <f>IFERROR($P2659,PROPER(VLOOKUP($O2659,'Villes en erreur'!$A$2:$B$72,2,FALSE)))</f>
        <v>Saint-Colomban</v>
      </c>
      <c r="R2659" s="9" t="s">
        <v>11726</v>
      </c>
      <c r="S2659" s="9" t="str">
        <f>IF(ISBLANK($R2659),"",VLOOKUP($R2659,'Liste des Villes'!$B$2:$H$1128,4,FALSE))</f>
        <v>Laurentides</v>
      </c>
      <c r="T2659" s="2" t="s">
        <v>12202</v>
      </c>
      <c r="U2659" s="2" t="s">
        <v>39</v>
      </c>
      <c r="V2659" s="2" t="s">
        <v>40</v>
      </c>
      <c r="W2659" s="2" t="s">
        <v>12203</v>
      </c>
      <c r="X2659" s="2"/>
      <c r="Y2659" s="2"/>
      <c r="Z2659" s="2"/>
      <c r="AA2659" s="2" t="s">
        <v>72</v>
      </c>
      <c r="AB2659" s="2" t="s">
        <v>11748</v>
      </c>
      <c r="AC2659" s="4" t="s">
        <v>44</v>
      </c>
    </row>
    <row r="2660" spans="1:29" x14ac:dyDescent="0.25">
      <c r="A2660" s="1">
        <v>2155</v>
      </c>
      <c r="B2660" s="17" t="s">
        <v>12204</v>
      </c>
      <c r="C2660" s="2" t="s">
        <v>2092</v>
      </c>
      <c r="D2660" s="15" t="s">
        <v>2093</v>
      </c>
      <c r="E2660" s="9" t="s">
        <v>172</v>
      </c>
      <c r="F2660" s="9" t="s">
        <v>10258</v>
      </c>
      <c r="G2660" s="9" t="s">
        <v>9574</v>
      </c>
      <c r="H2660" s="2" t="s">
        <v>35</v>
      </c>
      <c r="I2660" s="3">
        <v>36841</v>
      </c>
      <c r="J2660" s="9" t="str">
        <f t="shared" ca="1" si="43"/>
        <v>22 ans</v>
      </c>
      <c r="K2660" s="2" t="s">
        <v>68</v>
      </c>
      <c r="L2660" s="2" t="str">
        <f>"784"</f>
        <v>784</v>
      </c>
      <c r="M2660" s="2"/>
      <c r="N2660" s="2" t="str">
        <f>"RUE DES PÈLERINS"</f>
        <v>RUE DES PÈLERINS</v>
      </c>
      <c r="O2660" s="2" t="s">
        <v>11725</v>
      </c>
      <c r="P2660" s="9" t="str">
        <f>VLOOKUP($O2660,'Liste des Villes'!$B$2:$B$1128,1,FALSE)</f>
        <v>Saint-Colomban</v>
      </c>
      <c r="Q2660" s="9" t="str">
        <f>IFERROR($P2660,PROPER(VLOOKUP($O2660,'Villes en erreur'!$A$2:$B$72,2,FALSE)))</f>
        <v>Saint-Colomban</v>
      </c>
      <c r="R2660" s="9" t="s">
        <v>11726</v>
      </c>
      <c r="S2660" s="9" t="str">
        <f>IF(ISBLANK($R2660),"",VLOOKUP($R2660,'Liste des Villes'!$B$2:$H$1128,4,FALSE))</f>
        <v>Laurentides</v>
      </c>
      <c r="T2660" s="2" t="s">
        <v>11819</v>
      </c>
      <c r="U2660" s="2" t="s">
        <v>39</v>
      </c>
      <c r="V2660" s="2" t="s">
        <v>40</v>
      </c>
      <c r="W2660" s="2" t="s">
        <v>12205</v>
      </c>
      <c r="X2660" s="2"/>
      <c r="Y2660" s="2"/>
      <c r="Z2660" s="2"/>
      <c r="AA2660" s="2" t="s">
        <v>606</v>
      </c>
      <c r="AB2660" s="2" t="s">
        <v>11748</v>
      </c>
      <c r="AC2660" s="4" t="s">
        <v>44</v>
      </c>
    </row>
    <row r="2661" spans="1:29" x14ac:dyDescent="0.25">
      <c r="A2661" s="1">
        <v>1643</v>
      </c>
      <c r="B2661" s="17" t="s">
        <v>12206</v>
      </c>
      <c r="C2661" s="2" t="s">
        <v>3867</v>
      </c>
      <c r="D2661" s="15" t="s">
        <v>1716</v>
      </c>
      <c r="E2661" s="9" t="s">
        <v>3868</v>
      </c>
      <c r="F2661" s="9" t="s">
        <v>363</v>
      </c>
      <c r="G2661" s="9" t="s">
        <v>12207</v>
      </c>
      <c r="H2661" s="2" t="s">
        <v>35</v>
      </c>
      <c r="I2661" s="3">
        <v>36840</v>
      </c>
      <c r="J2661" s="9" t="str">
        <f t="shared" ca="1" si="43"/>
        <v>22 ans</v>
      </c>
      <c r="K2661" s="2" t="s">
        <v>68</v>
      </c>
      <c r="L2661" s="2" t="str">
        <f>"784"</f>
        <v>784</v>
      </c>
      <c r="M2661" s="2"/>
      <c r="N2661" s="2" t="str">
        <f>"RUE DES PÈLERINS"</f>
        <v>RUE DES PÈLERINS</v>
      </c>
      <c r="O2661" s="2" t="s">
        <v>11725</v>
      </c>
      <c r="P2661" s="9" t="str">
        <f>VLOOKUP($O2661,'Liste des Villes'!$B$2:$B$1128,1,FALSE)</f>
        <v>Saint-Colomban</v>
      </c>
      <c r="Q2661" s="9" t="str">
        <f>IFERROR($P2661,PROPER(VLOOKUP($O2661,'Villes en erreur'!$A$2:$B$72,2,FALSE)))</f>
        <v>Saint-Colomban</v>
      </c>
      <c r="R2661" s="9" t="s">
        <v>11726</v>
      </c>
      <c r="S2661" s="9" t="str">
        <f>IF(ISBLANK($R2661),"",VLOOKUP($R2661,'Liste des Villes'!$B$2:$H$1128,4,FALSE))</f>
        <v>Laurentides</v>
      </c>
      <c r="T2661" s="2" t="s">
        <v>12208</v>
      </c>
      <c r="U2661" s="2" t="s">
        <v>39</v>
      </c>
      <c r="V2661" s="2" t="s">
        <v>40</v>
      </c>
      <c r="W2661" s="2" t="s">
        <v>12209</v>
      </c>
      <c r="X2661" s="2"/>
      <c r="Y2661" s="2"/>
      <c r="Z2661" s="2"/>
      <c r="AA2661" s="2" t="s">
        <v>606</v>
      </c>
      <c r="AB2661" s="2" t="s">
        <v>11748</v>
      </c>
      <c r="AC2661" s="4" t="s">
        <v>44</v>
      </c>
    </row>
    <row r="2662" spans="1:29" x14ac:dyDescent="0.25">
      <c r="A2662" s="1">
        <v>2474</v>
      </c>
      <c r="B2662" s="17" t="s">
        <v>12210</v>
      </c>
      <c r="C2662" s="2" t="s">
        <v>3278</v>
      </c>
      <c r="D2662" s="15" t="s">
        <v>227</v>
      </c>
      <c r="E2662" s="9" t="s">
        <v>2134</v>
      </c>
      <c r="F2662" s="9" t="s">
        <v>225</v>
      </c>
      <c r="G2662" s="9" t="s">
        <v>293</v>
      </c>
      <c r="H2662" s="2" t="s">
        <v>60</v>
      </c>
      <c r="I2662" s="3">
        <v>36847</v>
      </c>
      <c r="J2662" s="9" t="str">
        <f t="shared" ca="1" si="43"/>
        <v>22 ans</v>
      </c>
      <c r="K2662" s="2" t="s">
        <v>68</v>
      </c>
      <c r="L2662" s="2" t="str">
        <f>"793"</f>
        <v>793</v>
      </c>
      <c r="M2662" s="2"/>
      <c r="N2662" s="2" t="str">
        <f>"RUE DES PEUPLIERS"</f>
        <v>RUE DES PEUPLIERS</v>
      </c>
      <c r="O2662" s="2" t="s">
        <v>11725</v>
      </c>
      <c r="P2662" s="9" t="str">
        <f>VLOOKUP($O2662,'Liste des Villes'!$B$2:$B$1128,1,FALSE)</f>
        <v>Saint-Colomban</v>
      </c>
      <c r="Q2662" s="9" t="str">
        <f>IFERROR($P2662,PROPER(VLOOKUP($O2662,'Villes en erreur'!$A$2:$B$72,2,FALSE)))</f>
        <v>Saint-Colomban</v>
      </c>
      <c r="R2662" s="9" t="s">
        <v>11726</v>
      </c>
      <c r="S2662" s="9" t="str">
        <f>IF(ISBLANK($R2662),"",VLOOKUP($R2662,'Liste des Villes'!$B$2:$H$1128,4,FALSE))</f>
        <v>Laurentides</v>
      </c>
      <c r="T2662" s="2" t="s">
        <v>12211</v>
      </c>
      <c r="U2662" s="2" t="s">
        <v>39</v>
      </c>
      <c r="V2662" s="2" t="s">
        <v>40</v>
      </c>
      <c r="W2662" s="2" t="s">
        <v>12212</v>
      </c>
      <c r="X2662" s="2"/>
      <c r="Y2662" s="2"/>
      <c r="Z2662" s="2"/>
      <c r="AA2662" s="2" t="s">
        <v>606</v>
      </c>
      <c r="AB2662" s="2" t="s">
        <v>11748</v>
      </c>
      <c r="AC2662" s="4" t="s">
        <v>44</v>
      </c>
    </row>
    <row r="2663" spans="1:29" x14ac:dyDescent="0.25">
      <c r="A2663" s="1">
        <v>2290</v>
      </c>
      <c r="B2663" s="17" t="s">
        <v>12213</v>
      </c>
      <c r="C2663" s="2" t="s">
        <v>2663</v>
      </c>
      <c r="D2663" s="15" t="s">
        <v>527</v>
      </c>
      <c r="E2663" s="9" t="s">
        <v>2664</v>
      </c>
      <c r="F2663" s="9" t="s">
        <v>526</v>
      </c>
      <c r="G2663" s="9" t="s">
        <v>751</v>
      </c>
      <c r="H2663" s="2" t="s">
        <v>35</v>
      </c>
      <c r="I2663" s="3">
        <v>36819</v>
      </c>
      <c r="J2663" s="9" t="str">
        <f t="shared" ca="1" si="43"/>
        <v>22 ans</v>
      </c>
      <c r="K2663" s="2" t="s">
        <v>68</v>
      </c>
      <c r="L2663" s="2" t="str">
        <f>"750"</f>
        <v>750</v>
      </c>
      <c r="M2663" s="2"/>
      <c r="N2663" s="2" t="str">
        <f>"RUE DES MANOIRS"</f>
        <v>RUE DES MANOIRS</v>
      </c>
      <c r="O2663" s="2" t="s">
        <v>11725</v>
      </c>
      <c r="P2663" s="9" t="str">
        <f>VLOOKUP($O2663,'Liste des Villes'!$B$2:$B$1128,1,FALSE)</f>
        <v>Saint-Colomban</v>
      </c>
      <c r="Q2663" s="9" t="str">
        <f>IFERROR($P2663,PROPER(VLOOKUP($O2663,'Villes en erreur'!$A$2:$B$72,2,FALSE)))</f>
        <v>Saint-Colomban</v>
      </c>
      <c r="R2663" s="9" t="s">
        <v>11726</v>
      </c>
      <c r="S2663" s="9" t="str">
        <f>IF(ISBLANK($R2663),"",VLOOKUP($R2663,'Liste des Villes'!$B$2:$H$1128,4,FALSE))</f>
        <v>Laurentides</v>
      </c>
      <c r="T2663" s="2" t="s">
        <v>11731</v>
      </c>
      <c r="U2663" s="2" t="s">
        <v>39</v>
      </c>
      <c r="V2663" s="2" t="s">
        <v>40</v>
      </c>
      <c r="W2663" s="2" t="s">
        <v>12214</v>
      </c>
      <c r="X2663" s="2"/>
      <c r="Y2663" s="2"/>
      <c r="Z2663" s="2"/>
      <c r="AA2663" s="2" t="s">
        <v>72</v>
      </c>
      <c r="AB2663" s="2" t="s">
        <v>11733</v>
      </c>
      <c r="AC2663" s="4" t="s">
        <v>44</v>
      </c>
    </row>
    <row r="2664" spans="1:29" x14ac:dyDescent="0.25">
      <c r="A2664" s="1">
        <v>4026</v>
      </c>
      <c r="B2664" s="17" t="s">
        <v>12215</v>
      </c>
      <c r="C2664" s="2" t="s">
        <v>3545</v>
      </c>
      <c r="D2664" s="15" t="s">
        <v>3546</v>
      </c>
      <c r="E2664" s="9" t="s">
        <v>348</v>
      </c>
      <c r="F2664" s="9" t="s">
        <v>349</v>
      </c>
      <c r="G2664" s="9" t="s">
        <v>120</v>
      </c>
      <c r="H2664" s="2" t="s">
        <v>35</v>
      </c>
      <c r="I2664" s="3">
        <v>36813</v>
      </c>
      <c r="J2664" s="9" t="str">
        <f t="shared" ca="1" si="43"/>
        <v>22 ans</v>
      </c>
      <c r="K2664" s="2" t="s">
        <v>68</v>
      </c>
      <c r="L2664" s="2" t="str">
        <f>"738"</f>
        <v>738</v>
      </c>
      <c r="M2664" s="2"/>
      <c r="N2664" s="2" t="str">
        <f>"RUE DES LORIOTS"</f>
        <v>RUE DES LORIOTS</v>
      </c>
      <c r="O2664" s="2" t="s">
        <v>11725</v>
      </c>
      <c r="P2664" s="9" t="str">
        <f>VLOOKUP($O2664,'Liste des Villes'!$B$2:$B$1128,1,FALSE)</f>
        <v>Saint-Colomban</v>
      </c>
      <c r="Q2664" s="9" t="str">
        <f>IFERROR($P2664,PROPER(VLOOKUP($O2664,'Villes en erreur'!$A$2:$B$72,2,FALSE)))</f>
        <v>Saint-Colomban</v>
      </c>
      <c r="R2664" s="9" t="s">
        <v>11726</v>
      </c>
      <c r="S2664" s="9" t="str">
        <f>IF(ISBLANK($R2664),"",VLOOKUP($R2664,'Liste des Villes'!$B$2:$H$1128,4,FALSE))</f>
        <v>Laurentides</v>
      </c>
      <c r="T2664" s="2" t="s">
        <v>12216</v>
      </c>
      <c r="U2664" s="2" t="s">
        <v>39</v>
      </c>
      <c r="V2664" s="2" t="s">
        <v>40</v>
      </c>
      <c r="W2664" s="2" t="s">
        <v>12217</v>
      </c>
      <c r="X2664" s="2"/>
      <c r="Y2664" s="2"/>
      <c r="Z2664" s="2"/>
      <c r="AA2664" s="2" t="s">
        <v>72</v>
      </c>
      <c r="AB2664" s="2" t="s">
        <v>11733</v>
      </c>
      <c r="AC2664" s="4" t="s">
        <v>44</v>
      </c>
    </row>
    <row r="2665" spans="1:29" x14ac:dyDescent="0.25">
      <c r="A2665" s="1">
        <v>1419</v>
      </c>
      <c r="B2665" s="17" t="s">
        <v>12218</v>
      </c>
      <c r="C2665" s="2" t="s">
        <v>12219</v>
      </c>
      <c r="D2665" s="15" t="s">
        <v>875</v>
      </c>
      <c r="E2665" s="9" t="s">
        <v>12220</v>
      </c>
      <c r="F2665" s="9" t="s">
        <v>4284</v>
      </c>
      <c r="G2665" s="9" t="s">
        <v>6668</v>
      </c>
      <c r="H2665" s="2" t="s">
        <v>60</v>
      </c>
      <c r="I2665" s="3">
        <v>36829</v>
      </c>
      <c r="J2665" s="9" t="str">
        <f t="shared" ca="1" si="43"/>
        <v>22 ans</v>
      </c>
      <c r="K2665" s="2" t="s">
        <v>68</v>
      </c>
      <c r="L2665" s="2" t="str">
        <f>"767"</f>
        <v>767</v>
      </c>
      <c r="M2665" s="2"/>
      <c r="N2665" s="2" t="str">
        <f>"RUE DES MORILLES"</f>
        <v>RUE DES MORILLES</v>
      </c>
      <c r="O2665" s="2" t="s">
        <v>11725</v>
      </c>
      <c r="P2665" s="9" t="str">
        <f>VLOOKUP($O2665,'Liste des Villes'!$B$2:$B$1128,1,FALSE)</f>
        <v>Saint-Colomban</v>
      </c>
      <c r="Q2665" s="9" t="str">
        <f>IFERROR($P2665,PROPER(VLOOKUP($O2665,'Villes en erreur'!$A$2:$B$72,2,FALSE)))</f>
        <v>Saint-Colomban</v>
      </c>
      <c r="R2665" s="9" t="s">
        <v>11726</v>
      </c>
      <c r="S2665" s="9" t="str">
        <f>IF(ISBLANK($R2665),"",VLOOKUP($R2665,'Liste des Villes'!$B$2:$H$1128,4,FALSE))</f>
        <v>Laurentides</v>
      </c>
      <c r="T2665" s="2" t="s">
        <v>12005</v>
      </c>
      <c r="U2665" s="2" t="s">
        <v>39</v>
      </c>
      <c r="V2665" s="2" t="s">
        <v>40</v>
      </c>
      <c r="W2665" s="2" t="s">
        <v>12221</v>
      </c>
      <c r="X2665" s="2"/>
      <c r="Y2665" s="2"/>
      <c r="Z2665" s="2"/>
      <c r="AA2665" s="2" t="s">
        <v>72</v>
      </c>
      <c r="AB2665" s="2" t="s">
        <v>11733</v>
      </c>
      <c r="AC2665" s="4" t="s">
        <v>44</v>
      </c>
    </row>
    <row r="2666" spans="1:29" x14ac:dyDescent="0.25">
      <c r="A2666" s="1">
        <v>3919</v>
      </c>
      <c r="B2666" s="17" t="s">
        <v>12222</v>
      </c>
      <c r="C2666" s="2" t="s">
        <v>12223</v>
      </c>
      <c r="D2666" s="15" t="s">
        <v>8098</v>
      </c>
      <c r="E2666" s="9" t="s">
        <v>6458</v>
      </c>
      <c r="F2666" s="9" t="s">
        <v>6459</v>
      </c>
      <c r="G2666" s="9" t="s">
        <v>3066</v>
      </c>
      <c r="H2666" s="2" t="s">
        <v>60</v>
      </c>
      <c r="I2666" s="3">
        <v>36836</v>
      </c>
      <c r="J2666" s="9" t="str">
        <f t="shared" ca="1" si="43"/>
        <v>22 ans</v>
      </c>
      <c r="K2666" s="2" t="s">
        <v>68</v>
      </c>
      <c r="L2666" s="2" t="str">
        <f>"776"</f>
        <v>776</v>
      </c>
      <c r="M2666" s="2"/>
      <c r="N2666" s="2" t="str">
        <f>"RUE DES OUTARDES"</f>
        <v>RUE DES OUTARDES</v>
      </c>
      <c r="O2666" s="2" t="s">
        <v>11725</v>
      </c>
      <c r="P2666" s="9" t="str">
        <f>VLOOKUP($O2666,'Liste des Villes'!$B$2:$B$1128,1,FALSE)</f>
        <v>Saint-Colomban</v>
      </c>
      <c r="Q2666" s="9" t="str">
        <f>IFERROR($P2666,PROPER(VLOOKUP($O2666,'Villes en erreur'!$A$2:$B$72,2,FALSE)))</f>
        <v>Saint-Colomban</v>
      </c>
      <c r="R2666" s="9" t="s">
        <v>11726</v>
      </c>
      <c r="S2666" s="9" t="str">
        <f>IF(ISBLANK($R2666),"",VLOOKUP($R2666,'Liste des Villes'!$B$2:$H$1128,4,FALSE))</f>
        <v>Laurentides</v>
      </c>
      <c r="T2666" s="2" t="s">
        <v>12224</v>
      </c>
      <c r="U2666" s="2" t="s">
        <v>39</v>
      </c>
      <c r="V2666" s="2" t="s">
        <v>40</v>
      </c>
      <c r="W2666" s="2" t="s">
        <v>12225</v>
      </c>
      <c r="X2666" s="2"/>
      <c r="Y2666" s="2"/>
      <c r="Z2666" s="2"/>
      <c r="AA2666" s="2" t="s">
        <v>72</v>
      </c>
      <c r="AB2666" s="2" t="s">
        <v>11748</v>
      </c>
      <c r="AC2666" s="4" t="s">
        <v>44</v>
      </c>
    </row>
    <row r="2667" spans="1:29" x14ac:dyDescent="0.25">
      <c r="A2667" s="1">
        <v>845</v>
      </c>
      <c r="B2667" s="17" t="s">
        <v>12226</v>
      </c>
      <c r="C2667" s="2" t="s">
        <v>9661</v>
      </c>
      <c r="D2667" s="15" t="s">
        <v>762</v>
      </c>
      <c r="E2667" s="9" t="s">
        <v>683</v>
      </c>
      <c r="F2667" s="9" t="s">
        <v>923</v>
      </c>
      <c r="G2667" s="9" t="s">
        <v>348</v>
      </c>
      <c r="H2667" s="2" t="s">
        <v>60</v>
      </c>
      <c r="I2667" s="3">
        <v>36783</v>
      </c>
      <c r="J2667" s="9" t="str">
        <f t="shared" ca="1" si="43"/>
        <v>22 ans</v>
      </c>
      <c r="K2667" s="2" t="s">
        <v>68</v>
      </c>
      <c r="L2667" s="2" t="str">
        <f>"700"</f>
        <v>700</v>
      </c>
      <c r="M2667" s="2"/>
      <c r="N2667" s="2" t="str">
        <f>"RUE DES GEAIS BLEUS"</f>
        <v>RUE DES GEAIS BLEUS</v>
      </c>
      <c r="O2667" s="2" t="s">
        <v>11725</v>
      </c>
      <c r="P2667" s="9" t="str">
        <f>VLOOKUP($O2667,'Liste des Villes'!$B$2:$B$1128,1,FALSE)</f>
        <v>Saint-Colomban</v>
      </c>
      <c r="Q2667" s="9" t="str">
        <f>IFERROR($P2667,PROPER(VLOOKUP($O2667,'Villes en erreur'!$A$2:$B$72,2,FALSE)))</f>
        <v>Saint-Colomban</v>
      </c>
      <c r="R2667" s="9" t="s">
        <v>11726</v>
      </c>
      <c r="S2667" s="9" t="str">
        <f>IF(ISBLANK($R2667),"",VLOOKUP($R2667,'Liste des Villes'!$B$2:$H$1128,4,FALSE))</f>
        <v>Laurentides</v>
      </c>
      <c r="T2667" s="2" t="s">
        <v>12227</v>
      </c>
      <c r="U2667" s="2" t="s">
        <v>39</v>
      </c>
      <c r="V2667" s="2" t="s">
        <v>40</v>
      </c>
      <c r="W2667" s="2" t="s">
        <v>12228</v>
      </c>
      <c r="X2667" s="2"/>
      <c r="Y2667" s="2"/>
      <c r="Z2667" s="2"/>
      <c r="AA2667" s="2" t="s">
        <v>72</v>
      </c>
      <c r="AB2667" s="2" t="s">
        <v>192</v>
      </c>
      <c r="AC2667" s="4" t="s">
        <v>44</v>
      </c>
    </row>
    <row r="2668" spans="1:29" x14ac:dyDescent="0.25">
      <c r="A2668" s="1">
        <v>2161</v>
      </c>
      <c r="B2668" s="17" t="s">
        <v>12229</v>
      </c>
      <c r="C2668" s="2" t="s">
        <v>12230</v>
      </c>
      <c r="D2668" s="15" t="s">
        <v>1523</v>
      </c>
      <c r="E2668" s="9" t="s">
        <v>12231</v>
      </c>
      <c r="F2668" s="9" t="s">
        <v>2391</v>
      </c>
      <c r="G2668" s="9" t="s">
        <v>509</v>
      </c>
      <c r="H2668" s="2" t="s">
        <v>60</v>
      </c>
      <c r="I2668" s="3">
        <v>36873</v>
      </c>
      <c r="J2668" s="9" t="str">
        <f t="shared" ca="1" si="43"/>
        <v>22 ans</v>
      </c>
      <c r="K2668" s="2" t="s">
        <v>68</v>
      </c>
      <c r="L2668" s="2" t="str">
        <f>"850"</f>
        <v>850</v>
      </c>
      <c r="M2668" s="2"/>
      <c r="N2668" s="2" t="str">
        <f>"RUE DES ROSSIGNOLS"</f>
        <v>RUE DES ROSSIGNOLS</v>
      </c>
      <c r="O2668" s="2" t="s">
        <v>11725</v>
      </c>
      <c r="P2668" s="9" t="str">
        <f>VLOOKUP($O2668,'Liste des Villes'!$B$2:$B$1128,1,FALSE)</f>
        <v>Saint-Colomban</v>
      </c>
      <c r="Q2668" s="9" t="str">
        <f>IFERROR($P2668,PROPER(VLOOKUP($O2668,'Villes en erreur'!$A$2:$B$72,2,FALSE)))</f>
        <v>Saint-Colomban</v>
      </c>
      <c r="R2668" s="9" t="s">
        <v>11726</v>
      </c>
      <c r="S2668" s="9" t="str">
        <f>IF(ISBLANK($R2668),"",VLOOKUP($R2668,'Liste des Villes'!$B$2:$H$1128,4,FALSE))</f>
        <v>Laurentides</v>
      </c>
      <c r="T2668" s="2" t="s">
        <v>12232</v>
      </c>
      <c r="U2668" s="2" t="s">
        <v>39</v>
      </c>
      <c r="V2668" s="2" t="s">
        <v>40</v>
      </c>
      <c r="W2668" s="2" t="s">
        <v>12233</v>
      </c>
      <c r="X2668" s="2"/>
      <c r="Y2668" s="2"/>
      <c r="Z2668" s="2"/>
      <c r="AA2668" s="2" t="s">
        <v>606</v>
      </c>
      <c r="AB2668" s="2" t="s">
        <v>161</v>
      </c>
      <c r="AC2668" s="4" t="s">
        <v>44</v>
      </c>
    </row>
    <row r="2669" spans="1:29" x14ac:dyDescent="0.25">
      <c r="A2669" s="1">
        <v>1526</v>
      </c>
      <c r="B2669" s="17" t="s">
        <v>12234</v>
      </c>
      <c r="C2669" s="2" t="s">
        <v>12235</v>
      </c>
      <c r="D2669" s="15" t="s">
        <v>8832</v>
      </c>
      <c r="E2669" s="9" t="s">
        <v>418</v>
      </c>
      <c r="F2669" s="9" t="s">
        <v>884</v>
      </c>
      <c r="G2669" s="9" t="s">
        <v>9626</v>
      </c>
      <c r="H2669" s="2" t="s">
        <v>35</v>
      </c>
      <c r="I2669" s="3">
        <v>36767</v>
      </c>
      <c r="J2669" s="9" t="str">
        <f t="shared" ca="1" si="43"/>
        <v>22 ans</v>
      </c>
      <c r="K2669" s="2" t="s">
        <v>68</v>
      </c>
      <c r="L2669" s="2" t="str">
        <f>"680"</f>
        <v>680</v>
      </c>
      <c r="M2669" s="2"/>
      <c r="N2669" s="2" t="str">
        <f>"RUE DES ÉPINETTES"</f>
        <v>RUE DES ÉPINETTES</v>
      </c>
      <c r="O2669" s="2" t="s">
        <v>11725</v>
      </c>
      <c r="P2669" s="9" t="str">
        <f>VLOOKUP($O2669,'Liste des Villes'!$B$2:$B$1128,1,FALSE)</f>
        <v>Saint-Colomban</v>
      </c>
      <c r="Q2669" s="9" t="str">
        <f>IFERROR($P2669,PROPER(VLOOKUP($O2669,'Villes en erreur'!$A$2:$B$72,2,FALSE)))</f>
        <v>Saint-Colomban</v>
      </c>
      <c r="R2669" s="9" t="s">
        <v>11726</v>
      </c>
      <c r="S2669" s="9" t="str">
        <f>IF(ISBLANK($R2669),"",VLOOKUP($R2669,'Liste des Villes'!$B$2:$H$1128,4,FALSE))</f>
        <v>Laurentides</v>
      </c>
      <c r="T2669" s="2" t="s">
        <v>12236</v>
      </c>
      <c r="U2669" s="2" t="s">
        <v>39</v>
      </c>
      <c r="V2669" s="2" t="s">
        <v>40</v>
      </c>
      <c r="W2669" s="2" t="s">
        <v>12237</v>
      </c>
      <c r="X2669" s="2"/>
      <c r="Y2669" s="2"/>
      <c r="Z2669" s="2"/>
      <c r="AA2669" s="2" t="s">
        <v>72</v>
      </c>
      <c r="AB2669" s="2" t="s">
        <v>192</v>
      </c>
      <c r="AC2669" s="4" t="s">
        <v>44</v>
      </c>
    </row>
    <row r="2670" spans="1:29" x14ac:dyDescent="0.25">
      <c r="A2670" s="1">
        <v>226</v>
      </c>
      <c r="B2670" s="17" t="s">
        <v>12238</v>
      </c>
      <c r="C2670" s="2" t="s">
        <v>12239</v>
      </c>
      <c r="D2670" s="15" t="s">
        <v>6884</v>
      </c>
      <c r="E2670" s="9" t="s">
        <v>1289</v>
      </c>
      <c r="F2670" s="9" t="s">
        <v>599</v>
      </c>
      <c r="G2670" s="9" t="s">
        <v>787</v>
      </c>
      <c r="H2670" s="2" t="s">
        <v>35</v>
      </c>
      <c r="I2670" s="3">
        <v>36814</v>
      </c>
      <c r="J2670" s="9" t="str">
        <f t="shared" ca="1" si="43"/>
        <v>22 ans</v>
      </c>
      <c r="K2670" s="2" t="s">
        <v>68</v>
      </c>
      <c r="L2670" s="2" t="str">
        <f>"742"</f>
        <v>742</v>
      </c>
      <c r="M2670" s="2"/>
      <c r="N2670" s="2" t="str">
        <f>"RUE DES LUCIOLES"</f>
        <v>RUE DES LUCIOLES</v>
      </c>
      <c r="O2670" s="2" t="s">
        <v>11725</v>
      </c>
      <c r="P2670" s="9" t="str">
        <f>VLOOKUP($O2670,'Liste des Villes'!$B$2:$B$1128,1,FALSE)</f>
        <v>Saint-Colomban</v>
      </c>
      <c r="Q2670" s="9" t="str">
        <f>IFERROR($P2670,PROPER(VLOOKUP($O2670,'Villes en erreur'!$A$2:$B$72,2,FALSE)))</f>
        <v>Saint-Colomban</v>
      </c>
      <c r="R2670" s="9" t="s">
        <v>11726</v>
      </c>
      <c r="S2670" s="9" t="str">
        <f>IF(ISBLANK($R2670),"",VLOOKUP($R2670,'Liste des Villes'!$B$2:$H$1128,4,FALSE))</f>
        <v>Laurentides</v>
      </c>
      <c r="T2670" s="2" t="s">
        <v>12240</v>
      </c>
      <c r="U2670" s="2" t="s">
        <v>39</v>
      </c>
      <c r="V2670" s="2" t="s">
        <v>40</v>
      </c>
      <c r="W2670" s="2" t="s">
        <v>12241</v>
      </c>
      <c r="X2670" s="2"/>
      <c r="Y2670" s="2"/>
      <c r="Z2670" s="2"/>
      <c r="AA2670" s="2" t="s">
        <v>72</v>
      </c>
      <c r="AB2670" s="2" t="s">
        <v>11733</v>
      </c>
      <c r="AC2670" s="4" t="s">
        <v>44</v>
      </c>
    </row>
    <row r="2671" spans="1:29" x14ac:dyDescent="0.25">
      <c r="A2671" s="1">
        <v>2343</v>
      </c>
      <c r="B2671" s="17" t="s">
        <v>12242</v>
      </c>
      <c r="C2671" s="2" t="s">
        <v>12243</v>
      </c>
      <c r="D2671" s="15" t="s">
        <v>8408</v>
      </c>
      <c r="E2671" s="9" t="s">
        <v>3547</v>
      </c>
      <c r="F2671" s="9" t="s">
        <v>562</v>
      </c>
      <c r="G2671" s="9" t="s">
        <v>509</v>
      </c>
      <c r="H2671" s="2" t="s">
        <v>60</v>
      </c>
      <c r="I2671" s="3">
        <v>36865</v>
      </c>
      <c r="J2671" s="9" t="str">
        <f t="shared" ca="1" si="43"/>
        <v>22 ans</v>
      </c>
      <c r="K2671" s="2" t="s">
        <v>68</v>
      </c>
      <c r="L2671" s="2" t="str">
        <f>"836"</f>
        <v>836</v>
      </c>
      <c r="M2671" s="2"/>
      <c r="N2671" s="2" t="str">
        <f>"RUE DES PRUCHES"</f>
        <v>RUE DES PRUCHES</v>
      </c>
      <c r="O2671" s="2" t="s">
        <v>11725</v>
      </c>
      <c r="P2671" s="9" t="str">
        <f>VLOOKUP($O2671,'Liste des Villes'!$B$2:$B$1128,1,FALSE)</f>
        <v>Saint-Colomban</v>
      </c>
      <c r="Q2671" s="9" t="str">
        <f>IFERROR($P2671,PROPER(VLOOKUP($O2671,'Villes en erreur'!$A$2:$B$72,2,FALSE)))</f>
        <v>Saint-Colomban</v>
      </c>
      <c r="R2671" s="9" t="s">
        <v>11726</v>
      </c>
      <c r="S2671" s="9" t="str">
        <f>IF(ISBLANK($R2671),"",VLOOKUP($R2671,'Liste des Villes'!$B$2:$H$1128,4,FALSE))</f>
        <v>Laurentides</v>
      </c>
      <c r="T2671" s="2" t="s">
        <v>11890</v>
      </c>
      <c r="U2671" s="2" t="s">
        <v>39</v>
      </c>
      <c r="V2671" s="2" t="s">
        <v>40</v>
      </c>
      <c r="W2671" s="2" t="s">
        <v>12244</v>
      </c>
      <c r="X2671" s="2"/>
      <c r="Y2671" s="2"/>
      <c r="Z2671" s="2"/>
      <c r="AA2671" s="2" t="s">
        <v>606</v>
      </c>
      <c r="AB2671" s="2" t="s">
        <v>161</v>
      </c>
      <c r="AC2671" s="4" t="s">
        <v>44</v>
      </c>
    </row>
    <row r="2672" spans="1:29" x14ac:dyDescent="0.25">
      <c r="A2672" s="1">
        <v>3585</v>
      </c>
      <c r="B2672" s="17" t="s">
        <v>12245</v>
      </c>
      <c r="C2672" s="2" t="s">
        <v>12246</v>
      </c>
      <c r="D2672" s="15" t="s">
        <v>7926</v>
      </c>
      <c r="E2672" s="9" t="s">
        <v>137</v>
      </c>
      <c r="F2672" s="9" t="s">
        <v>7924</v>
      </c>
      <c r="G2672" s="9" t="s">
        <v>509</v>
      </c>
      <c r="H2672" s="2" t="s">
        <v>60</v>
      </c>
      <c r="I2672" s="3">
        <v>36859</v>
      </c>
      <c r="J2672" s="9" t="str">
        <f t="shared" ca="1" si="43"/>
        <v>22 ans</v>
      </c>
      <c r="K2672" s="2" t="s">
        <v>68</v>
      </c>
      <c r="L2672" s="2" t="str">
        <f>"821"</f>
        <v>821</v>
      </c>
      <c r="M2672" s="2"/>
      <c r="N2672" s="2" t="str">
        <f>"RUE DES PRAIRIES"</f>
        <v>RUE DES PRAIRIES</v>
      </c>
      <c r="O2672" s="2" t="s">
        <v>11725</v>
      </c>
      <c r="P2672" s="9" t="str">
        <f>VLOOKUP($O2672,'Liste des Villes'!$B$2:$B$1128,1,FALSE)</f>
        <v>Saint-Colomban</v>
      </c>
      <c r="Q2672" s="9" t="str">
        <f>IFERROR($P2672,PROPER(VLOOKUP($O2672,'Villes en erreur'!$A$2:$B$72,2,FALSE)))</f>
        <v>Saint-Colomban</v>
      </c>
      <c r="R2672" s="9" t="s">
        <v>11726</v>
      </c>
      <c r="S2672" s="9" t="str">
        <f>IF(ISBLANK($R2672),"",VLOOKUP($R2672,'Liste des Villes'!$B$2:$H$1128,4,FALSE))</f>
        <v>Laurentides</v>
      </c>
      <c r="T2672" s="2" t="s">
        <v>12247</v>
      </c>
      <c r="U2672" s="2" t="s">
        <v>39</v>
      </c>
      <c r="V2672" s="2" t="s">
        <v>40</v>
      </c>
      <c r="W2672" s="2" t="s">
        <v>12248</v>
      </c>
      <c r="X2672" s="2"/>
      <c r="Y2672" s="2"/>
      <c r="Z2672" s="2"/>
      <c r="AA2672" s="2" t="s">
        <v>606</v>
      </c>
      <c r="AB2672" s="2" t="s">
        <v>161</v>
      </c>
      <c r="AC2672" s="4" t="s">
        <v>44</v>
      </c>
    </row>
    <row r="2673" spans="1:29" x14ac:dyDescent="0.25">
      <c r="A2673" s="1">
        <v>3373</v>
      </c>
      <c r="B2673" s="17" t="s">
        <v>12249</v>
      </c>
      <c r="C2673" s="2" t="s">
        <v>12250</v>
      </c>
      <c r="D2673" s="15" t="s">
        <v>12251</v>
      </c>
      <c r="E2673" s="9" t="s">
        <v>12252</v>
      </c>
      <c r="F2673" s="9" t="s">
        <v>1489</v>
      </c>
      <c r="G2673" s="9" t="s">
        <v>4940</v>
      </c>
      <c r="H2673" s="2" t="s">
        <v>60</v>
      </c>
      <c r="I2673" s="3">
        <v>36825</v>
      </c>
      <c r="J2673" s="9" t="str">
        <f t="shared" ca="1" si="43"/>
        <v>22 ans</v>
      </c>
      <c r="K2673" s="2" t="s">
        <v>68</v>
      </c>
      <c r="L2673" s="2" t="str">
        <f>"758"</f>
        <v>758</v>
      </c>
      <c r="M2673" s="2"/>
      <c r="N2673" s="2" t="str">
        <f>"RUE DES MÉLÈZES"</f>
        <v>RUE DES MÉLÈZES</v>
      </c>
      <c r="O2673" s="2" t="s">
        <v>11725</v>
      </c>
      <c r="P2673" s="9" t="str">
        <f>VLOOKUP($O2673,'Liste des Villes'!$B$2:$B$1128,1,FALSE)</f>
        <v>Saint-Colomban</v>
      </c>
      <c r="Q2673" s="9" t="str">
        <f>IFERROR($P2673,PROPER(VLOOKUP($O2673,'Villes en erreur'!$A$2:$B$72,2,FALSE)))</f>
        <v>Saint-Colomban</v>
      </c>
      <c r="R2673" s="9" t="s">
        <v>11726</v>
      </c>
      <c r="S2673" s="9" t="str">
        <f>IF(ISBLANK($R2673),"",VLOOKUP($R2673,'Liste des Villes'!$B$2:$H$1128,4,FALSE))</f>
        <v>Laurentides</v>
      </c>
      <c r="T2673" s="2" t="s">
        <v>12109</v>
      </c>
      <c r="U2673" s="2" t="s">
        <v>39</v>
      </c>
      <c r="V2673" s="2" t="s">
        <v>40</v>
      </c>
      <c r="W2673" s="2" t="s">
        <v>12253</v>
      </c>
      <c r="X2673" s="2"/>
      <c r="Y2673" s="2"/>
      <c r="Z2673" s="2"/>
      <c r="AA2673" s="2" t="s">
        <v>72</v>
      </c>
      <c r="AB2673" s="2" t="s">
        <v>11733</v>
      </c>
      <c r="AC2673" s="4" t="s">
        <v>44</v>
      </c>
    </row>
    <row r="2674" spans="1:29" x14ac:dyDescent="0.25">
      <c r="A2674" s="1">
        <v>4134</v>
      </c>
      <c r="B2674" s="17" t="s">
        <v>12254</v>
      </c>
      <c r="C2674" s="2" t="s">
        <v>12255</v>
      </c>
      <c r="D2674" s="15" t="s">
        <v>12256</v>
      </c>
      <c r="E2674" s="9" t="s">
        <v>4354</v>
      </c>
      <c r="F2674" s="9" t="s">
        <v>2434</v>
      </c>
      <c r="G2674" s="9" t="s">
        <v>348</v>
      </c>
      <c r="H2674" s="2" t="s">
        <v>60</v>
      </c>
      <c r="I2674" s="3">
        <v>36796</v>
      </c>
      <c r="J2674" s="9" t="str">
        <f t="shared" ca="1" si="43"/>
        <v>22 ans</v>
      </c>
      <c r="K2674" s="2" t="s">
        <v>68</v>
      </c>
      <c r="L2674" s="2" t="str">
        <f>"710"</f>
        <v>710</v>
      </c>
      <c r="M2674" s="2"/>
      <c r="N2674" s="2" t="str">
        <f>"RUE DES HAUTBOIS"</f>
        <v>RUE DES HAUTBOIS</v>
      </c>
      <c r="O2674" s="2" t="s">
        <v>11725</v>
      </c>
      <c r="P2674" s="9" t="str">
        <f>VLOOKUP($O2674,'Liste des Villes'!$B$2:$B$1128,1,FALSE)</f>
        <v>Saint-Colomban</v>
      </c>
      <c r="Q2674" s="9" t="str">
        <f>IFERROR($P2674,PROPER(VLOOKUP($O2674,'Villes en erreur'!$A$2:$B$72,2,FALSE)))</f>
        <v>Saint-Colomban</v>
      </c>
      <c r="R2674" s="9" t="s">
        <v>11726</v>
      </c>
      <c r="S2674" s="9" t="str">
        <f>IF(ISBLANK($R2674),"",VLOOKUP($R2674,'Liste des Villes'!$B$2:$H$1128,4,FALSE))</f>
        <v>Laurentides</v>
      </c>
      <c r="T2674" s="2" t="s">
        <v>12257</v>
      </c>
      <c r="U2674" s="2" t="s">
        <v>39</v>
      </c>
      <c r="V2674" s="2" t="s">
        <v>40</v>
      </c>
      <c r="W2674" s="2" t="s">
        <v>12258</v>
      </c>
      <c r="X2674" s="2"/>
      <c r="Y2674" s="2"/>
      <c r="Z2674" s="2"/>
      <c r="AA2674" s="2" t="s">
        <v>72</v>
      </c>
      <c r="AB2674" s="2" t="s">
        <v>192</v>
      </c>
      <c r="AC2674" s="4" t="s">
        <v>44</v>
      </c>
    </row>
    <row r="2675" spans="1:29" x14ac:dyDescent="0.25">
      <c r="A2675" s="1">
        <v>4598</v>
      </c>
      <c r="B2675" s="17" t="s">
        <v>12259</v>
      </c>
      <c r="C2675" s="2" t="s">
        <v>12260</v>
      </c>
      <c r="D2675" s="15" t="s">
        <v>2434</v>
      </c>
      <c r="E2675" s="9" t="s">
        <v>12261</v>
      </c>
      <c r="F2675" s="9" t="s">
        <v>1219</v>
      </c>
      <c r="G2675" s="9" t="s">
        <v>4898</v>
      </c>
      <c r="H2675" s="2" t="s">
        <v>35</v>
      </c>
      <c r="I2675" s="3">
        <v>36832</v>
      </c>
      <c r="J2675" s="9" t="str">
        <f t="shared" ca="1" si="43"/>
        <v>22 ans</v>
      </c>
      <c r="K2675" s="2" t="s">
        <v>68</v>
      </c>
      <c r="L2675" s="2" t="str">
        <f>"772"</f>
        <v>772</v>
      </c>
      <c r="M2675" s="2"/>
      <c r="N2675" s="2" t="str">
        <f>"RUE DES ORMES"</f>
        <v>RUE DES ORMES</v>
      </c>
      <c r="O2675" s="2" t="s">
        <v>11725</v>
      </c>
      <c r="P2675" s="9" t="str">
        <f>VLOOKUP($O2675,'Liste des Villes'!$B$2:$B$1128,1,FALSE)</f>
        <v>Saint-Colomban</v>
      </c>
      <c r="Q2675" s="9" t="str">
        <f>IFERROR($P2675,PROPER(VLOOKUP($O2675,'Villes en erreur'!$A$2:$B$72,2,FALSE)))</f>
        <v>Saint-Colomban</v>
      </c>
      <c r="R2675" s="9" t="s">
        <v>11726</v>
      </c>
      <c r="S2675" s="9" t="str">
        <f>IF(ISBLANK($R2675),"",VLOOKUP($R2675,'Liste des Villes'!$B$2:$H$1128,4,FALSE))</f>
        <v>Laurentides</v>
      </c>
      <c r="T2675" s="2" t="s">
        <v>11849</v>
      </c>
      <c r="U2675" s="2" t="s">
        <v>39</v>
      </c>
      <c r="V2675" s="2" t="s">
        <v>40</v>
      </c>
      <c r="W2675" s="2" t="s">
        <v>11850</v>
      </c>
      <c r="X2675" s="2"/>
      <c r="Y2675" s="2"/>
      <c r="Z2675" s="2"/>
      <c r="AA2675" s="2" t="s">
        <v>72</v>
      </c>
      <c r="AB2675" s="2" t="s">
        <v>11733</v>
      </c>
      <c r="AC2675" s="4" t="s">
        <v>44</v>
      </c>
    </row>
    <row r="2676" spans="1:29" x14ac:dyDescent="0.25">
      <c r="A2676" s="1">
        <v>722</v>
      </c>
      <c r="B2676" s="17" t="s">
        <v>12262</v>
      </c>
      <c r="C2676" s="2" t="s">
        <v>12263</v>
      </c>
      <c r="D2676" s="15" t="s">
        <v>12264</v>
      </c>
      <c r="E2676" s="9" t="s">
        <v>2397</v>
      </c>
      <c r="F2676" s="9" t="s">
        <v>10361</v>
      </c>
      <c r="G2676" s="9" t="s">
        <v>509</v>
      </c>
      <c r="H2676" s="2" t="s">
        <v>60</v>
      </c>
      <c r="I2676" s="3">
        <v>36866</v>
      </c>
      <c r="J2676" s="9" t="str">
        <f t="shared" ca="1" si="43"/>
        <v>22 ans</v>
      </c>
      <c r="K2676" s="2" t="s">
        <v>68</v>
      </c>
      <c r="L2676" s="2" t="str">
        <f>"837"</f>
        <v>837</v>
      </c>
      <c r="M2676" s="2"/>
      <c r="N2676" s="2" t="str">
        <f>"RUE DES PRUCHES"</f>
        <v>RUE DES PRUCHES</v>
      </c>
      <c r="O2676" s="2" t="s">
        <v>11725</v>
      </c>
      <c r="P2676" s="9" t="str">
        <f>VLOOKUP($O2676,'Liste des Villes'!$B$2:$B$1128,1,FALSE)</f>
        <v>Saint-Colomban</v>
      </c>
      <c r="Q2676" s="9" t="str">
        <f>IFERROR($P2676,PROPER(VLOOKUP($O2676,'Villes en erreur'!$A$2:$B$72,2,FALSE)))</f>
        <v>Saint-Colomban</v>
      </c>
      <c r="R2676" s="9" t="s">
        <v>11726</v>
      </c>
      <c r="S2676" s="9" t="str">
        <f>IF(ISBLANK($R2676),"",VLOOKUP($R2676,'Liste des Villes'!$B$2:$H$1128,4,FALSE))</f>
        <v>Laurentides</v>
      </c>
      <c r="T2676" s="2" t="s">
        <v>11970</v>
      </c>
      <c r="U2676" s="2" t="s">
        <v>39</v>
      </c>
      <c r="V2676" s="2" t="s">
        <v>40</v>
      </c>
      <c r="W2676" s="2" t="s">
        <v>12265</v>
      </c>
      <c r="X2676" s="2"/>
      <c r="Y2676" s="2"/>
      <c r="Z2676" s="2"/>
      <c r="AA2676" s="2" t="s">
        <v>606</v>
      </c>
      <c r="AB2676" s="2" t="s">
        <v>161</v>
      </c>
      <c r="AC2676" s="4" t="s">
        <v>44</v>
      </c>
    </row>
    <row r="2677" spans="1:29" x14ac:dyDescent="0.25">
      <c r="A2677" s="1">
        <v>795</v>
      </c>
      <c r="B2677" s="17" t="s">
        <v>12266</v>
      </c>
      <c r="C2677" s="2" t="s">
        <v>4521</v>
      </c>
      <c r="D2677" s="15" t="s">
        <v>56</v>
      </c>
      <c r="E2677" s="9" t="s">
        <v>154</v>
      </c>
      <c r="F2677" s="9" t="s">
        <v>6764</v>
      </c>
      <c r="G2677" s="9" t="s">
        <v>12267</v>
      </c>
      <c r="H2677" s="2" t="s">
        <v>35</v>
      </c>
      <c r="I2677" s="3">
        <v>36833</v>
      </c>
      <c r="J2677" s="9" t="str">
        <f t="shared" ca="1" si="43"/>
        <v>22 ans</v>
      </c>
      <c r="K2677" s="2" t="s">
        <v>68</v>
      </c>
      <c r="L2677" s="2" t="str">
        <f>"772"</f>
        <v>772</v>
      </c>
      <c r="M2677" s="2"/>
      <c r="N2677" s="2" t="str">
        <f>"RUE DES OUTARDES"</f>
        <v>RUE DES OUTARDES</v>
      </c>
      <c r="O2677" s="2" t="s">
        <v>11725</v>
      </c>
      <c r="P2677" s="9" t="str">
        <f>VLOOKUP($O2677,'Liste des Villes'!$B$2:$B$1128,1,FALSE)</f>
        <v>Saint-Colomban</v>
      </c>
      <c r="Q2677" s="9" t="str">
        <f>IFERROR($P2677,PROPER(VLOOKUP($O2677,'Villes en erreur'!$A$2:$B$72,2,FALSE)))</f>
        <v>Saint-Colomban</v>
      </c>
      <c r="R2677" s="9" t="s">
        <v>11726</v>
      </c>
      <c r="S2677" s="9" t="str">
        <f>IF(ISBLANK($R2677),"",VLOOKUP($R2677,'Liste des Villes'!$B$2:$H$1128,4,FALSE))</f>
        <v>Laurentides</v>
      </c>
      <c r="T2677" s="2" t="s">
        <v>12268</v>
      </c>
      <c r="U2677" s="2" t="s">
        <v>39</v>
      </c>
      <c r="V2677" s="2" t="s">
        <v>40</v>
      </c>
      <c r="W2677" s="2" t="s">
        <v>12269</v>
      </c>
      <c r="X2677" s="2"/>
      <c r="Y2677" s="2"/>
      <c r="Z2677" s="2"/>
      <c r="AA2677" s="2" t="s">
        <v>72</v>
      </c>
      <c r="AB2677" s="2" t="s">
        <v>11733</v>
      </c>
      <c r="AC2677" s="4" t="s">
        <v>44</v>
      </c>
    </row>
    <row r="2678" spans="1:29" x14ac:dyDescent="0.25">
      <c r="A2678" s="1">
        <v>6</v>
      </c>
      <c r="B2678" s="17" t="s">
        <v>12270</v>
      </c>
      <c r="C2678" s="2" t="s">
        <v>12271</v>
      </c>
      <c r="D2678" s="15" t="s">
        <v>6708</v>
      </c>
      <c r="E2678" s="9" t="s">
        <v>8621</v>
      </c>
      <c r="F2678" s="9" t="s">
        <v>955</v>
      </c>
      <c r="G2678" s="9" t="s">
        <v>4086</v>
      </c>
      <c r="H2678" s="2" t="s">
        <v>35</v>
      </c>
      <c r="I2678" s="3">
        <v>36838</v>
      </c>
      <c r="J2678" s="9" t="str">
        <f t="shared" ca="1" si="43"/>
        <v>22 ans</v>
      </c>
      <c r="K2678" s="2" t="s">
        <v>68</v>
      </c>
      <c r="L2678" s="2" t="str">
        <f>"781"</f>
        <v>781</v>
      </c>
      <c r="M2678" s="2"/>
      <c r="N2678" s="2" t="str">
        <f>"RUE DES PATRIOTES"</f>
        <v>RUE DES PATRIOTES</v>
      </c>
      <c r="O2678" s="2" t="s">
        <v>11725</v>
      </c>
      <c r="P2678" s="9" t="str">
        <f>VLOOKUP($O2678,'Liste des Villes'!$B$2:$B$1128,1,FALSE)</f>
        <v>Saint-Colomban</v>
      </c>
      <c r="Q2678" s="9" t="str">
        <f>IFERROR($P2678,PROPER(VLOOKUP($O2678,'Villes en erreur'!$A$2:$B$72,2,FALSE)))</f>
        <v>Saint-Colomban</v>
      </c>
      <c r="R2678" s="9" t="s">
        <v>11726</v>
      </c>
      <c r="S2678" s="9" t="str">
        <f>IF(ISBLANK($R2678),"",VLOOKUP($R2678,'Liste des Villes'!$B$2:$H$1128,4,FALSE))</f>
        <v>Laurentides</v>
      </c>
      <c r="T2678" s="2" t="s">
        <v>12272</v>
      </c>
      <c r="U2678" s="2" t="s">
        <v>39</v>
      </c>
      <c r="V2678" s="2" t="s">
        <v>40</v>
      </c>
      <c r="W2678" s="2" t="s">
        <v>12273</v>
      </c>
      <c r="X2678" s="2"/>
      <c r="Y2678" s="2"/>
      <c r="Z2678" s="2"/>
      <c r="AA2678" s="2" t="s">
        <v>72</v>
      </c>
      <c r="AB2678" s="2" t="s">
        <v>11748</v>
      </c>
      <c r="AC2678" s="4" t="s">
        <v>44</v>
      </c>
    </row>
    <row r="2679" spans="1:29" x14ac:dyDescent="0.25">
      <c r="A2679" s="1">
        <v>2588</v>
      </c>
      <c r="B2679" s="17" t="s">
        <v>12274</v>
      </c>
      <c r="C2679" s="2" t="s">
        <v>12275</v>
      </c>
      <c r="D2679" s="15" t="s">
        <v>1815</v>
      </c>
      <c r="E2679" s="9" t="s">
        <v>5884</v>
      </c>
      <c r="F2679" s="9" t="s">
        <v>1814</v>
      </c>
      <c r="G2679" s="9" t="s">
        <v>6880</v>
      </c>
      <c r="H2679" s="2" t="s">
        <v>60</v>
      </c>
      <c r="I2679" s="3">
        <v>36824</v>
      </c>
      <c r="J2679" s="9" t="str">
        <f t="shared" ca="1" si="43"/>
        <v>22 ans</v>
      </c>
      <c r="K2679" s="2" t="s">
        <v>68</v>
      </c>
      <c r="L2679" s="2" t="str">
        <f>"756"</f>
        <v>756</v>
      </c>
      <c r="M2679" s="2"/>
      <c r="N2679" s="2" t="str">
        <f>"RUE DES MÉLÈZES"</f>
        <v>RUE DES MÉLÈZES</v>
      </c>
      <c r="O2679" s="2" t="s">
        <v>11725</v>
      </c>
      <c r="P2679" s="9" t="str">
        <f>VLOOKUP($O2679,'Liste des Villes'!$B$2:$B$1128,1,FALSE)</f>
        <v>Saint-Colomban</v>
      </c>
      <c r="Q2679" s="9" t="str">
        <f>IFERROR($P2679,PROPER(VLOOKUP($O2679,'Villes en erreur'!$A$2:$B$72,2,FALSE)))</f>
        <v>Saint-Colomban</v>
      </c>
      <c r="R2679" s="9" t="s">
        <v>11726</v>
      </c>
      <c r="S2679" s="9" t="str">
        <f>IF(ISBLANK($R2679),"",VLOOKUP($R2679,'Liste des Villes'!$B$2:$H$1128,4,FALSE))</f>
        <v>Laurentides</v>
      </c>
      <c r="T2679" s="2" t="s">
        <v>12276</v>
      </c>
      <c r="U2679" s="2" t="s">
        <v>39</v>
      </c>
      <c r="V2679" s="2" t="s">
        <v>40</v>
      </c>
      <c r="W2679" s="2" t="s">
        <v>12277</v>
      </c>
      <c r="X2679" s="2"/>
      <c r="Y2679" s="2"/>
      <c r="Z2679" s="2"/>
      <c r="AA2679" s="2" t="s">
        <v>72</v>
      </c>
      <c r="AB2679" s="2" t="s">
        <v>11733</v>
      </c>
      <c r="AC2679" s="4" t="s">
        <v>44</v>
      </c>
    </row>
    <row r="2680" spans="1:29" x14ac:dyDescent="0.25">
      <c r="A2680" s="1">
        <v>299</v>
      </c>
      <c r="B2680" s="17" t="s">
        <v>12278</v>
      </c>
      <c r="C2680" s="2" t="s">
        <v>12279</v>
      </c>
      <c r="D2680" s="15" t="s">
        <v>12280</v>
      </c>
      <c r="E2680" s="9" t="s">
        <v>219</v>
      </c>
      <c r="F2680" s="9" t="s">
        <v>582</v>
      </c>
      <c r="G2680" s="9" t="s">
        <v>2069</v>
      </c>
      <c r="H2680" s="2" t="s">
        <v>60</v>
      </c>
      <c r="I2680" s="3">
        <v>36773</v>
      </c>
      <c r="J2680" s="9" t="str">
        <f t="shared" ca="1" si="43"/>
        <v>22 ans</v>
      </c>
      <c r="K2680" s="2" t="s">
        <v>68</v>
      </c>
      <c r="L2680" s="2" t="str">
        <f>"682"</f>
        <v>682</v>
      </c>
      <c r="M2680" s="2"/>
      <c r="N2680" s="2" t="str">
        <f>"RUE DES ÉRABLES"</f>
        <v>RUE DES ÉRABLES</v>
      </c>
      <c r="O2680" s="2" t="s">
        <v>11725</v>
      </c>
      <c r="P2680" s="9" t="str">
        <f>VLOOKUP($O2680,'Liste des Villes'!$B$2:$B$1128,1,FALSE)</f>
        <v>Saint-Colomban</v>
      </c>
      <c r="Q2680" s="9" t="str">
        <f>IFERROR($P2680,PROPER(VLOOKUP($O2680,'Villes en erreur'!$A$2:$B$72,2,FALSE)))</f>
        <v>Saint-Colomban</v>
      </c>
      <c r="R2680" s="9" t="s">
        <v>11726</v>
      </c>
      <c r="S2680" s="9" t="str">
        <f>IF(ISBLANK($R2680),"",VLOOKUP($R2680,'Liste des Villes'!$B$2:$H$1128,4,FALSE))</f>
        <v>Laurentides</v>
      </c>
      <c r="T2680" s="2" t="s">
        <v>12281</v>
      </c>
      <c r="U2680" s="2" t="s">
        <v>39</v>
      </c>
      <c r="V2680" s="2" t="s">
        <v>40</v>
      </c>
      <c r="W2680" s="2" t="s">
        <v>12282</v>
      </c>
      <c r="X2680" s="2"/>
      <c r="Y2680" s="2"/>
      <c r="Z2680" s="2"/>
      <c r="AA2680" s="2" t="s">
        <v>72</v>
      </c>
      <c r="AB2680" s="2" t="s">
        <v>192</v>
      </c>
      <c r="AC2680" s="4" t="s">
        <v>44</v>
      </c>
    </row>
    <row r="2681" spans="1:29" x14ac:dyDescent="0.25">
      <c r="A2681" s="1">
        <v>276</v>
      </c>
      <c r="B2681" s="17" t="s">
        <v>12283</v>
      </c>
      <c r="C2681" s="2" t="s">
        <v>6526</v>
      </c>
      <c r="D2681" s="15" t="s">
        <v>1389</v>
      </c>
      <c r="E2681" s="9" t="s">
        <v>1037</v>
      </c>
      <c r="F2681" s="9" t="s">
        <v>898</v>
      </c>
      <c r="G2681" s="9" t="s">
        <v>348</v>
      </c>
      <c r="H2681" s="2" t="s">
        <v>60</v>
      </c>
      <c r="I2681" s="3">
        <v>36783</v>
      </c>
      <c r="J2681" s="9" t="str">
        <f t="shared" ca="1" si="43"/>
        <v>22 ans</v>
      </c>
      <c r="K2681" s="2" t="s">
        <v>68</v>
      </c>
      <c r="L2681" s="2" t="str">
        <f>"700"</f>
        <v>700</v>
      </c>
      <c r="M2681" s="2"/>
      <c r="N2681" s="2" t="str">
        <f>"RUE DES GÉLINOTTES"</f>
        <v>RUE DES GÉLINOTTES</v>
      </c>
      <c r="O2681" s="2" t="s">
        <v>11725</v>
      </c>
      <c r="P2681" s="9" t="str">
        <f>VLOOKUP($O2681,'Liste des Villes'!$B$2:$B$1128,1,FALSE)</f>
        <v>Saint-Colomban</v>
      </c>
      <c r="Q2681" s="9" t="str">
        <f>IFERROR($P2681,PROPER(VLOOKUP($O2681,'Villes en erreur'!$A$2:$B$72,2,FALSE)))</f>
        <v>Saint-Colomban</v>
      </c>
      <c r="R2681" s="9" t="s">
        <v>11726</v>
      </c>
      <c r="S2681" s="9" t="str">
        <f>IF(ISBLANK($R2681),"",VLOOKUP($R2681,'Liste des Villes'!$B$2:$H$1128,4,FALSE))</f>
        <v>Laurentides</v>
      </c>
      <c r="T2681" s="2" t="s">
        <v>11963</v>
      </c>
      <c r="U2681" s="2" t="s">
        <v>39</v>
      </c>
      <c r="V2681" s="2" t="s">
        <v>40</v>
      </c>
      <c r="W2681" s="2" t="s">
        <v>12284</v>
      </c>
      <c r="X2681" s="2"/>
      <c r="Y2681" s="2"/>
      <c r="Z2681" s="2"/>
      <c r="AA2681" s="2" t="s">
        <v>72</v>
      </c>
      <c r="AB2681" s="2" t="s">
        <v>192</v>
      </c>
      <c r="AC2681" s="4" t="s">
        <v>44</v>
      </c>
    </row>
    <row r="2682" spans="1:29" x14ac:dyDescent="0.25">
      <c r="A2682" s="1">
        <v>620</v>
      </c>
      <c r="B2682" s="17" t="s">
        <v>12285</v>
      </c>
      <c r="C2682" s="2" t="s">
        <v>12286</v>
      </c>
      <c r="D2682" s="15" t="s">
        <v>187</v>
      </c>
      <c r="E2682" s="9" t="s">
        <v>277</v>
      </c>
      <c r="F2682" s="9" t="s">
        <v>185</v>
      </c>
      <c r="G2682" s="9" t="s">
        <v>348</v>
      </c>
      <c r="H2682" s="2" t="s">
        <v>60</v>
      </c>
      <c r="I2682" s="3">
        <v>36798</v>
      </c>
      <c r="J2682" s="9" t="str">
        <f t="shared" ca="1" si="43"/>
        <v>22 ans</v>
      </c>
      <c r="K2682" s="2" t="s">
        <v>68</v>
      </c>
      <c r="L2682" s="2" t="str">
        <f>"718"</f>
        <v>718</v>
      </c>
      <c r="M2682" s="2"/>
      <c r="N2682" s="2" t="str">
        <f>"RUE DES HIRONDELLES"</f>
        <v>RUE DES HIRONDELLES</v>
      </c>
      <c r="O2682" s="2" t="s">
        <v>11725</v>
      </c>
      <c r="P2682" s="9" t="str">
        <f>VLOOKUP($O2682,'Liste des Villes'!$B$2:$B$1128,1,FALSE)</f>
        <v>Saint-Colomban</v>
      </c>
      <c r="Q2682" s="9" t="str">
        <f>IFERROR($P2682,PROPER(VLOOKUP($O2682,'Villes en erreur'!$A$2:$B$72,2,FALSE)))</f>
        <v>Saint-Colomban</v>
      </c>
      <c r="R2682" s="9" t="s">
        <v>11726</v>
      </c>
      <c r="S2682" s="9" t="str">
        <f>IF(ISBLANK($R2682),"",VLOOKUP($R2682,'Liste des Villes'!$B$2:$H$1128,4,FALSE))</f>
        <v>Laurentides</v>
      </c>
      <c r="T2682" s="2" t="s">
        <v>12043</v>
      </c>
      <c r="U2682" s="2" t="s">
        <v>39</v>
      </c>
      <c r="V2682" s="2" t="s">
        <v>40</v>
      </c>
      <c r="W2682" s="2" t="s">
        <v>12287</v>
      </c>
      <c r="X2682" s="2"/>
      <c r="Y2682" s="2"/>
      <c r="Z2682" s="2"/>
      <c r="AA2682" s="2" t="s">
        <v>72</v>
      </c>
      <c r="AB2682" s="2" t="s">
        <v>192</v>
      </c>
      <c r="AC2682" s="4" t="s">
        <v>44</v>
      </c>
    </row>
    <row r="2683" spans="1:29" x14ac:dyDescent="0.25">
      <c r="A2683" s="1">
        <v>235</v>
      </c>
      <c r="B2683" s="17" t="s">
        <v>12288</v>
      </c>
      <c r="C2683" s="2" t="s">
        <v>12289</v>
      </c>
      <c r="D2683" s="15" t="s">
        <v>6375</v>
      </c>
      <c r="E2683" s="9" t="s">
        <v>85</v>
      </c>
      <c r="F2683" s="9" t="s">
        <v>6374</v>
      </c>
      <c r="G2683" s="9" t="s">
        <v>509</v>
      </c>
      <c r="H2683" s="2" t="s">
        <v>60</v>
      </c>
      <c r="I2683" s="3">
        <v>36865</v>
      </c>
      <c r="J2683" s="9" t="str">
        <f t="shared" ca="1" si="43"/>
        <v>22 ans</v>
      </c>
      <c r="K2683" s="2" t="s">
        <v>68</v>
      </c>
      <c r="L2683" s="2" t="str">
        <f>"834"</f>
        <v>834</v>
      </c>
      <c r="M2683" s="2"/>
      <c r="N2683" s="2" t="str">
        <f>"RUE DES PRIMROSES"</f>
        <v>RUE DES PRIMROSES</v>
      </c>
      <c r="O2683" s="2" t="s">
        <v>11725</v>
      </c>
      <c r="P2683" s="9" t="str">
        <f>VLOOKUP($O2683,'Liste des Villes'!$B$2:$B$1128,1,FALSE)</f>
        <v>Saint-Colomban</v>
      </c>
      <c r="Q2683" s="9" t="str">
        <f>IFERROR($P2683,PROPER(VLOOKUP($O2683,'Villes en erreur'!$A$2:$B$72,2,FALSE)))</f>
        <v>Saint-Colomban</v>
      </c>
      <c r="R2683" s="9" t="s">
        <v>11726</v>
      </c>
      <c r="S2683" s="9" t="str">
        <f>IF(ISBLANK($R2683),"",VLOOKUP($R2683,'Liste des Villes'!$B$2:$H$1128,4,FALSE))</f>
        <v>Laurentides</v>
      </c>
      <c r="T2683" s="2" t="s">
        <v>11890</v>
      </c>
      <c r="U2683" s="2" t="s">
        <v>39</v>
      </c>
      <c r="V2683" s="2" t="s">
        <v>40</v>
      </c>
      <c r="W2683" s="2" t="s">
        <v>12290</v>
      </c>
      <c r="X2683" s="2"/>
      <c r="Y2683" s="2"/>
      <c r="Z2683" s="2"/>
      <c r="AA2683" s="2" t="s">
        <v>606</v>
      </c>
      <c r="AB2683" s="2" t="s">
        <v>161</v>
      </c>
      <c r="AC2683" s="4" t="s">
        <v>44</v>
      </c>
    </row>
    <row r="2684" spans="1:29" x14ac:dyDescent="0.25">
      <c r="A2684" s="1">
        <v>858</v>
      </c>
      <c r="B2684" s="17" t="s">
        <v>12291</v>
      </c>
      <c r="C2684" s="2" t="s">
        <v>12292</v>
      </c>
      <c r="D2684" s="15" t="s">
        <v>12084</v>
      </c>
      <c r="E2684" s="9" t="s">
        <v>1004</v>
      </c>
      <c r="F2684" s="9" t="s">
        <v>1005</v>
      </c>
      <c r="G2684" s="9" t="s">
        <v>9433</v>
      </c>
      <c r="H2684" s="2" t="s">
        <v>60</v>
      </c>
      <c r="I2684" s="3">
        <v>36829</v>
      </c>
      <c r="J2684" s="9" t="str">
        <f t="shared" ca="1" si="43"/>
        <v>22 ans</v>
      </c>
      <c r="K2684" s="2" t="s">
        <v>68</v>
      </c>
      <c r="L2684" s="2" t="str">
        <f>"766"</f>
        <v>766</v>
      </c>
      <c r="M2684" s="2"/>
      <c r="N2684" s="2" t="str">
        <f>"RUE DES MORILLES"</f>
        <v>RUE DES MORILLES</v>
      </c>
      <c r="O2684" s="2" t="s">
        <v>11726</v>
      </c>
      <c r="P2684" s="9" t="str">
        <f>VLOOKUP($O2684,'Liste des Villes'!$B$2:$B$1128,1,FALSE)</f>
        <v>Saint-Colomban</v>
      </c>
      <c r="Q2684" s="9" t="str">
        <f>IFERROR($P2684,PROPER(VLOOKUP($O2684,'Villes en erreur'!$A$2:$B$72,2,FALSE)))</f>
        <v>Saint-Colomban</v>
      </c>
      <c r="R2684" s="9" t="s">
        <v>11726</v>
      </c>
      <c r="S2684" s="9" t="str">
        <f>IF(ISBLANK($R2684),"",VLOOKUP($R2684,'Liste des Villes'!$B$2:$H$1128,4,FALSE))</f>
        <v>Laurentides</v>
      </c>
      <c r="T2684" s="2" t="s">
        <v>12293</v>
      </c>
      <c r="U2684" s="2" t="s">
        <v>39</v>
      </c>
      <c r="V2684" s="2" t="s">
        <v>40</v>
      </c>
      <c r="W2684" s="2" t="s">
        <v>12294</v>
      </c>
      <c r="X2684" s="2"/>
      <c r="Y2684" s="2"/>
      <c r="Z2684" s="2"/>
      <c r="AA2684" s="2" t="s">
        <v>72</v>
      </c>
      <c r="AB2684" s="2" t="s">
        <v>11733</v>
      </c>
      <c r="AC2684" s="4" t="s">
        <v>44</v>
      </c>
    </row>
    <row r="2685" spans="1:29" x14ac:dyDescent="0.25">
      <c r="A2685" s="1">
        <v>3439</v>
      </c>
      <c r="B2685" s="17" t="s">
        <v>12295</v>
      </c>
      <c r="C2685" s="2" t="s">
        <v>46</v>
      </c>
      <c r="D2685" s="15" t="s">
        <v>47</v>
      </c>
      <c r="E2685" s="9" t="s">
        <v>48</v>
      </c>
      <c r="F2685" s="9" t="s">
        <v>3502</v>
      </c>
      <c r="G2685" s="9" t="s">
        <v>10170</v>
      </c>
      <c r="H2685" s="2" t="s">
        <v>60</v>
      </c>
      <c r="I2685" s="3">
        <v>36877</v>
      </c>
      <c r="J2685" s="9" t="str">
        <f t="shared" ca="1" si="43"/>
        <v>22 ans</v>
      </c>
      <c r="K2685" s="2" t="s">
        <v>68</v>
      </c>
      <c r="L2685" s="2" t="str">
        <f>"858"</f>
        <v>858</v>
      </c>
      <c r="M2685" s="2"/>
      <c r="N2685" s="2" t="str">
        <f>"RUE DES SAPINS"</f>
        <v>RUE DES SAPINS</v>
      </c>
      <c r="O2685" s="2" t="s">
        <v>11725</v>
      </c>
      <c r="P2685" s="9" t="str">
        <f>VLOOKUP($O2685,'Liste des Villes'!$B$2:$B$1128,1,FALSE)</f>
        <v>Saint-Colomban</v>
      </c>
      <c r="Q2685" s="9" t="str">
        <f>IFERROR($P2685,PROPER(VLOOKUP($O2685,'Villes en erreur'!$A$2:$B$72,2,FALSE)))</f>
        <v>Saint-Colomban</v>
      </c>
      <c r="R2685" s="9" t="s">
        <v>11726</v>
      </c>
      <c r="S2685" s="9" t="str">
        <f>IF(ISBLANK($R2685),"",VLOOKUP($R2685,'Liste des Villes'!$B$2:$H$1128,4,FALSE))</f>
        <v>Laurentides</v>
      </c>
      <c r="T2685" s="2" t="s">
        <v>12296</v>
      </c>
      <c r="U2685" s="2" t="s">
        <v>39</v>
      </c>
      <c r="V2685" s="2" t="s">
        <v>40</v>
      </c>
      <c r="W2685" s="2" t="s">
        <v>12297</v>
      </c>
      <c r="X2685" s="2"/>
      <c r="Y2685" s="2"/>
      <c r="Z2685" s="2"/>
      <c r="AA2685" s="2" t="s">
        <v>606</v>
      </c>
      <c r="AB2685" s="2" t="s">
        <v>161</v>
      </c>
      <c r="AC2685" s="4" t="s">
        <v>44</v>
      </c>
    </row>
    <row r="2686" spans="1:29" x14ac:dyDescent="0.25">
      <c r="A2686" s="1">
        <v>3509</v>
      </c>
      <c r="B2686" s="17" t="s">
        <v>12298</v>
      </c>
      <c r="C2686" s="2" t="s">
        <v>12299</v>
      </c>
      <c r="D2686" s="15" t="s">
        <v>1169</v>
      </c>
      <c r="E2686" s="9" t="s">
        <v>12300</v>
      </c>
      <c r="F2686" s="9" t="s">
        <v>12301</v>
      </c>
      <c r="G2686" s="9" t="s">
        <v>509</v>
      </c>
      <c r="H2686" s="2" t="s">
        <v>60</v>
      </c>
      <c r="I2686" s="3">
        <v>36865</v>
      </c>
      <c r="J2686" s="9" t="str">
        <f t="shared" ca="1" si="43"/>
        <v>22 ans</v>
      </c>
      <c r="K2686" s="2" t="s">
        <v>68</v>
      </c>
      <c r="L2686" s="2" t="str">
        <f>"835"</f>
        <v>835</v>
      </c>
      <c r="M2686" s="2"/>
      <c r="N2686" s="2" t="str">
        <f>"RUE DES PRUCHES"</f>
        <v>RUE DES PRUCHES</v>
      </c>
      <c r="O2686" s="2" t="s">
        <v>11725</v>
      </c>
      <c r="P2686" s="9" t="str">
        <f>VLOOKUP($O2686,'Liste des Villes'!$B$2:$B$1128,1,FALSE)</f>
        <v>Saint-Colomban</v>
      </c>
      <c r="Q2686" s="9" t="str">
        <f>IFERROR($P2686,PROPER(VLOOKUP($O2686,'Villes en erreur'!$A$2:$B$72,2,FALSE)))</f>
        <v>Saint-Colomban</v>
      </c>
      <c r="R2686" s="9" t="s">
        <v>11726</v>
      </c>
      <c r="S2686" s="9" t="str">
        <f>IF(ISBLANK($R2686),"",VLOOKUP($R2686,'Liste des Villes'!$B$2:$H$1128,4,FALSE))</f>
        <v>Laurentides</v>
      </c>
      <c r="T2686" s="2" t="s">
        <v>11890</v>
      </c>
      <c r="U2686" s="2" t="s">
        <v>39</v>
      </c>
      <c r="V2686" s="2" t="s">
        <v>40</v>
      </c>
      <c r="W2686" s="2" t="s">
        <v>12302</v>
      </c>
      <c r="X2686" s="2"/>
      <c r="Y2686" s="2"/>
      <c r="Z2686" s="2"/>
      <c r="AA2686" s="2" t="s">
        <v>606</v>
      </c>
      <c r="AB2686" s="2" t="s">
        <v>161</v>
      </c>
      <c r="AC2686" s="4" t="s">
        <v>44</v>
      </c>
    </row>
    <row r="2687" spans="1:29" x14ac:dyDescent="0.25">
      <c r="A2687" s="1">
        <v>2436</v>
      </c>
      <c r="B2687" s="17" t="s">
        <v>12303</v>
      </c>
      <c r="C2687" s="2" t="s">
        <v>12304</v>
      </c>
      <c r="D2687" s="15" t="s">
        <v>1479</v>
      </c>
      <c r="E2687" s="9" t="s">
        <v>9308</v>
      </c>
      <c r="F2687" s="9" t="s">
        <v>1477</v>
      </c>
      <c r="G2687" s="9" t="s">
        <v>12305</v>
      </c>
      <c r="H2687" s="2" t="s">
        <v>60</v>
      </c>
      <c r="I2687" s="3">
        <v>36857</v>
      </c>
      <c r="J2687" s="9" t="str">
        <f t="shared" ca="1" si="43"/>
        <v>22 ans</v>
      </c>
      <c r="K2687" s="2" t="s">
        <v>68</v>
      </c>
      <c r="L2687" s="2" t="str">
        <f>"817"</f>
        <v>817</v>
      </c>
      <c r="M2687" s="2"/>
      <c r="N2687" s="2" t="str">
        <f>"RUE DES POMMETIERS"</f>
        <v>RUE DES POMMETIERS</v>
      </c>
      <c r="O2687" s="2" t="s">
        <v>11725</v>
      </c>
      <c r="P2687" s="9" t="str">
        <f>VLOOKUP($O2687,'Liste des Villes'!$B$2:$B$1128,1,FALSE)</f>
        <v>Saint-Colomban</v>
      </c>
      <c r="Q2687" s="9" t="str">
        <f>IFERROR($P2687,PROPER(VLOOKUP($O2687,'Villes en erreur'!$A$2:$B$72,2,FALSE)))</f>
        <v>Saint-Colomban</v>
      </c>
      <c r="R2687" s="9" t="s">
        <v>11726</v>
      </c>
      <c r="S2687" s="9" t="str">
        <f>IF(ISBLANK($R2687),"",VLOOKUP($R2687,'Liste des Villes'!$B$2:$H$1128,4,FALSE))</f>
        <v>Laurentides</v>
      </c>
      <c r="T2687" s="2" t="s">
        <v>12306</v>
      </c>
      <c r="U2687" s="2" t="s">
        <v>39</v>
      </c>
      <c r="V2687" s="2" t="s">
        <v>40</v>
      </c>
      <c r="W2687" s="2" t="s">
        <v>12307</v>
      </c>
      <c r="X2687" s="2"/>
      <c r="Y2687" s="2"/>
      <c r="Z2687" s="2"/>
      <c r="AA2687" s="2" t="s">
        <v>606</v>
      </c>
      <c r="AB2687" s="2" t="s">
        <v>161</v>
      </c>
      <c r="AC2687" s="4" t="s">
        <v>44</v>
      </c>
    </row>
    <row r="2688" spans="1:29" x14ac:dyDescent="0.25">
      <c r="A2688" s="1">
        <v>4571</v>
      </c>
      <c r="B2688" s="17" t="s">
        <v>12308</v>
      </c>
      <c r="C2688" s="2" t="s">
        <v>12309</v>
      </c>
      <c r="D2688" s="15" t="s">
        <v>4142</v>
      </c>
      <c r="E2688" s="9" t="s">
        <v>4942</v>
      </c>
      <c r="F2688" s="9" t="s">
        <v>4141</v>
      </c>
      <c r="G2688" s="9" t="s">
        <v>7662</v>
      </c>
      <c r="H2688" s="2" t="s">
        <v>35</v>
      </c>
      <c r="I2688" s="3">
        <v>36822</v>
      </c>
      <c r="J2688" s="9" t="str">
        <f t="shared" ca="1" si="43"/>
        <v>22 ans</v>
      </c>
      <c r="K2688" s="2" t="s">
        <v>68</v>
      </c>
      <c r="L2688" s="2" t="str">
        <f>"754"</f>
        <v>754</v>
      </c>
      <c r="M2688" s="2"/>
      <c r="N2688" s="2" t="str">
        <f>"RUE DES MÉANDRES"</f>
        <v>RUE DES MÉANDRES</v>
      </c>
      <c r="O2688" s="2" t="s">
        <v>11725</v>
      </c>
      <c r="P2688" s="9" t="str">
        <f>VLOOKUP($O2688,'Liste des Villes'!$B$2:$B$1128,1,FALSE)</f>
        <v>Saint-Colomban</v>
      </c>
      <c r="Q2688" s="9" t="str">
        <f>IFERROR($P2688,PROPER(VLOOKUP($O2688,'Villes en erreur'!$A$2:$B$72,2,FALSE)))</f>
        <v>Saint-Colomban</v>
      </c>
      <c r="R2688" s="9" t="s">
        <v>11726</v>
      </c>
      <c r="S2688" s="9" t="str">
        <f>IF(ISBLANK($R2688),"",VLOOKUP($R2688,'Liste des Villes'!$B$2:$H$1128,4,FALSE))</f>
        <v>Laurentides</v>
      </c>
      <c r="T2688" s="2" t="s">
        <v>12310</v>
      </c>
      <c r="U2688" s="2" t="s">
        <v>39</v>
      </c>
      <c r="V2688" s="2" t="s">
        <v>40</v>
      </c>
      <c r="W2688" s="2" t="s">
        <v>12311</v>
      </c>
      <c r="X2688" s="2"/>
      <c r="Y2688" s="2"/>
      <c r="Z2688" s="2"/>
      <c r="AA2688" s="2" t="s">
        <v>72</v>
      </c>
      <c r="AB2688" s="2" t="s">
        <v>11733</v>
      </c>
      <c r="AC2688" s="4" t="s">
        <v>44</v>
      </c>
    </row>
    <row r="2689" spans="1:29" x14ac:dyDescent="0.25">
      <c r="A2689" s="1">
        <v>2328</v>
      </c>
      <c r="B2689" s="17" t="s">
        <v>12312</v>
      </c>
      <c r="C2689" s="2" t="s">
        <v>12313</v>
      </c>
      <c r="D2689" s="15" t="s">
        <v>1342</v>
      </c>
      <c r="E2689" s="9" t="s">
        <v>996</v>
      </c>
      <c r="F2689" s="9" t="s">
        <v>7027</v>
      </c>
      <c r="G2689" s="9" t="s">
        <v>3705</v>
      </c>
      <c r="H2689" s="2" t="s">
        <v>35</v>
      </c>
      <c r="I2689" s="3">
        <v>36845</v>
      </c>
      <c r="J2689" s="9" t="str">
        <f t="shared" ca="1" si="43"/>
        <v>22 ans</v>
      </c>
      <c r="K2689" s="2" t="s">
        <v>68</v>
      </c>
      <c r="L2689" s="2" t="str">
        <f>"789"</f>
        <v>789</v>
      </c>
      <c r="M2689" s="2"/>
      <c r="N2689" s="2" t="str">
        <f>"RUE DES PERDRIX"</f>
        <v>RUE DES PERDRIX</v>
      </c>
      <c r="O2689" s="2" t="s">
        <v>11725</v>
      </c>
      <c r="P2689" s="9" t="str">
        <f>VLOOKUP($O2689,'Liste des Villes'!$B$2:$B$1128,1,FALSE)</f>
        <v>Saint-Colomban</v>
      </c>
      <c r="Q2689" s="9" t="str">
        <f>IFERROR($P2689,PROPER(VLOOKUP($O2689,'Villes en erreur'!$A$2:$B$72,2,FALSE)))</f>
        <v>Saint-Colomban</v>
      </c>
      <c r="R2689" s="9" t="s">
        <v>11726</v>
      </c>
      <c r="S2689" s="9" t="str">
        <f>IF(ISBLANK($R2689),"",VLOOKUP($R2689,'Liste des Villes'!$B$2:$H$1128,4,FALSE))</f>
        <v>Laurentides</v>
      </c>
      <c r="T2689" s="2" t="s">
        <v>12314</v>
      </c>
      <c r="U2689" s="2" t="s">
        <v>39</v>
      </c>
      <c r="V2689" s="2" t="s">
        <v>40</v>
      </c>
      <c r="W2689" s="2" t="s">
        <v>12315</v>
      </c>
      <c r="X2689" s="2"/>
      <c r="Y2689" s="2"/>
      <c r="Z2689" s="2"/>
      <c r="AA2689" s="2" t="s">
        <v>606</v>
      </c>
      <c r="AB2689" s="2" t="s">
        <v>11748</v>
      </c>
      <c r="AC2689" s="4" t="s">
        <v>44</v>
      </c>
    </row>
    <row r="2690" spans="1:29" x14ac:dyDescent="0.25">
      <c r="A2690" s="1">
        <v>3812</v>
      </c>
      <c r="B2690" s="17" t="s">
        <v>12316</v>
      </c>
      <c r="C2690" s="2" t="s">
        <v>46</v>
      </c>
      <c r="D2690" s="15" t="s">
        <v>47</v>
      </c>
      <c r="E2690" s="9" t="s">
        <v>48</v>
      </c>
      <c r="F2690" s="9" t="s">
        <v>3729</v>
      </c>
      <c r="G2690" s="9" t="s">
        <v>7662</v>
      </c>
      <c r="H2690" s="2" t="s">
        <v>35</v>
      </c>
      <c r="I2690" s="3">
        <v>36823</v>
      </c>
      <c r="J2690" s="9" t="str">
        <f t="shared" ref="J2690:J2753" ca="1" si="44">_xlfn.CONCAT(INT((TODAY()-$I2690)/365.25)," ans")</f>
        <v>22 ans</v>
      </c>
      <c r="K2690" s="2" t="s">
        <v>68</v>
      </c>
      <c r="L2690" s="2" t="str">
        <f>"755"</f>
        <v>755</v>
      </c>
      <c r="M2690" s="2"/>
      <c r="N2690" s="2" t="str">
        <f>"RUE DES MÉANDRES"</f>
        <v>RUE DES MÉANDRES</v>
      </c>
      <c r="O2690" s="2" t="s">
        <v>11725</v>
      </c>
      <c r="P2690" s="9" t="str">
        <f>VLOOKUP($O2690,'Liste des Villes'!$B$2:$B$1128,1,FALSE)</f>
        <v>Saint-Colomban</v>
      </c>
      <c r="Q2690" s="9" t="str">
        <f>IFERROR($P2690,PROPER(VLOOKUP($O2690,'Villes en erreur'!$A$2:$B$72,2,FALSE)))</f>
        <v>Saint-Colomban</v>
      </c>
      <c r="R2690" s="9" t="s">
        <v>11726</v>
      </c>
      <c r="S2690" s="9" t="str">
        <f>IF(ISBLANK($R2690),"",VLOOKUP($R2690,'Liste des Villes'!$B$2:$H$1128,4,FALSE))</f>
        <v>Laurentides</v>
      </c>
      <c r="T2690" s="2" t="s">
        <v>12317</v>
      </c>
      <c r="U2690" s="2" t="s">
        <v>39</v>
      </c>
      <c r="V2690" s="2" t="s">
        <v>40</v>
      </c>
      <c r="W2690" s="2" t="s">
        <v>12318</v>
      </c>
      <c r="X2690" s="2"/>
      <c r="Y2690" s="2"/>
      <c r="Z2690" s="2"/>
      <c r="AA2690" s="2" t="s">
        <v>72</v>
      </c>
      <c r="AB2690" s="2" t="s">
        <v>11733</v>
      </c>
      <c r="AC2690" s="4" t="s">
        <v>44</v>
      </c>
    </row>
    <row r="2691" spans="1:29" x14ac:dyDescent="0.25">
      <c r="A2691" s="1">
        <v>783</v>
      </c>
      <c r="B2691" s="17" t="s">
        <v>12319</v>
      </c>
      <c r="C2691" s="2" t="s">
        <v>12320</v>
      </c>
      <c r="D2691" s="15" t="s">
        <v>5515</v>
      </c>
      <c r="E2691" s="9" t="s">
        <v>2381</v>
      </c>
      <c r="F2691" s="9" t="s">
        <v>675</v>
      </c>
      <c r="G2691" s="9" t="s">
        <v>1257</v>
      </c>
      <c r="H2691" s="2" t="s">
        <v>60</v>
      </c>
      <c r="I2691" s="3">
        <v>36859</v>
      </c>
      <c r="J2691" s="9" t="str">
        <f t="shared" ca="1" si="44"/>
        <v>22 ans</v>
      </c>
      <c r="K2691" s="2" t="s">
        <v>68</v>
      </c>
      <c r="L2691" s="2" t="str">
        <f>"820"</f>
        <v>820</v>
      </c>
      <c r="M2691" s="2"/>
      <c r="N2691" s="2" t="str">
        <f>"RUE DES POMMIERS"</f>
        <v>RUE DES POMMIERS</v>
      </c>
      <c r="O2691" s="2" t="s">
        <v>11725</v>
      </c>
      <c r="P2691" s="9" t="str">
        <f>VLOOKUP($O2691,'Liste des Villes'!$B$2:$B$1128,1,FALSE)</f>
        <v>Saint-Colomban</v>
      </c>
      <c r="Q2691" s="9" t="str">
        <f>IFERROR($P2691,PROPER(VLOOKUP($O2691,'Villes en erreur'!$A$2:$B$72,2,FALSE)))</f>
        <v>Saint-Colomban</v>
      </c>
      <c r="R2691" s="9" t="s">
        <v>11726</v>
      </c>
      <c r="S2691" s="9" t="str">
        <f>IF(ISBLANK($R2691),"",VLOOKUP($R2691,'Liste des Villes'!$B$2:$H$1128,4,FALSE))</f>
        <v>Laurentides</v>
      </c>
      <c r="T2691" s="2" t="s">
        <v>12114</v>
      </c>
      <c r="U2691" s="2" t="s">
        <v>39</v>
      </c>
      <c r="V2691" s="2" t="s">
        <v>40</v>
      </c>
      <c r="W2691" s="2" t="s">
        <v>12321</v>
      </c>
      <c r="X2691" s="2"/>
      <c r="Y2691" s="2"/>
      <c r="Z2691" s="2"/>
      <c r="AA2691" s="2" t="s">
        <v>606</v>
      </c>
      <c r="AB2691" s="2" t="s">
        <v>161</v>
      </c>
      <c r="AC2691" s="4" t="s">
        <v>44</v>
      </c>
    </row>
    <row r="2692" spans="1:29" x14ac:dyDescent="0.25">
      <c r="A2692" s="1">
        <v>2467</v>
      </c>
      <c r="B2692" s="17" t="s">
        <v>12322</v>
      </c>
      <c r="C2692" s="2" t="s">
        <v>12323</v>
      </c>
      <c r="D2692" s="15" t="s">
        <v>12324</v>
      </c>
      <c r="E2692" s="9" t="s">
        <v>685</v>
      </c>
      <c r="F2692" s="9" t="s">
        <v>130</v>
      </c>
      <c r="G2692" s="9" t="s">
        <v>3792</v>
      </c>
      <c r="H2692" s="2" t="s">
        <v>60</v>
      </c>
      <c r="I2692" s="3">
        <v>36769</v>
      </c>
      <c r="J2692" s="9" t="str">
        <f t="shared" ca="1" si="44"/>
        <v>22 ans</v>
      </c>
      <c r="K2692" s="2" t="s">
        <v>68</v>
      </c>
      <c r="L2692" s="2" t="str">
        <f>"681"</f>
        <v>681</v>
      </c>
      <c r="M2692" s="2"/>
      <c r="N2692" s="2" t="str">
        <f>"RUE DES ÉRABLES"</f>
        <v>RUE DES ÉRABLES</v>
      </c>
      <c r="O2692" s="2" t="s">
        <v>11725</v>
      </c>
      <c r="P2692" s="9" t="str">
        <f>VLOOKUP($O2692,'Liste des Villes'!$B$2:$B$1128,1,FALSE)</f>
        <v>Saint-Colomban</v>
      </c>
      <c r="Q2692" s="9" t="str">
        <f>IFERROR($P2692,PROPER(VLOOKUP($O2692,'Villes en erreur'!$A$2:$B$72,2,FALSE)))</f>
        <v>Saint-Colomban</v>
      </c>
      <c r="R2692" s="9" t="s">
        <v>11726</v>
      </c>
      <c r="S2692" s="9" t="str">
        <f>IF(ISBLANK($R2692),"",VLOOKUP($R2692,'Liste des Villes'!$B$2:$H$1128,4,FALSE))</f>
        <v>Laurentides</v>
      </c>
      <c r="T2692" s="2" t="s">
        <v>12325</v>
      </c>
      <c r="U2692" s="2" t="s">
        <v>39</v>
      </c>
      <c r="V2692" s="2" t="s">
        <v>40</v>
      </c>
      <c r="W2692" s="2" t="s">
        <v>12326</v>
      </c>
      <c r="X2692" s="2"/>
      <c r="Y2692" s="2"/>
      <c r="Z2692" s="2"/>
      <c r="AA2692" s="2" t="s">
        <v>72</v>
      </c>
      <c r="AB2692" s="2" t="s">
        <v>192</v>
      </c>
      <c r="AC2692" s="4" t="s">
        <v>44</v>
      </c>
    </row>
    <row r="2693" spans="1:29" x14ac:dyDescent="0.25">
      <c r="A2693" s="1">
        <v>3322</v>
      </c>
      <c r="B2693" s="17" t="s">
        <v>12327</v>
      </c>
      <c r="C2693" s="2" t="s">
        <v>493</v>
      </c>
      <c r="D2693" s="15" t="s">
        <v>494</v>
      </c>
      <c r="E2693" s="9" t="s">
        <v>495</v>
      </c>
      <c r="F2693" s="9" t="s">
        <v>496</v>
      </c>
      <c r="G2693" s="9" t="s">
        <v>348</v>
      </c>
      <c r="H2693" s="2" t="s">
        <v>60</v>
      </c>
      <c r="I2693" s="3">
        <v>36796</v>
      </c>
      <c r="J2693" s="9" t="str">
        <f t="shared" ca="1" si="44"/>
        <v>22 ans</v>
      </c>
      <c r="K2693" s="2" t="s">
        <v>68</v>
      </c>
      <c r="L2693" s="2" t="str">
        <f>"712"</f>
        <v>712</v>
      </c>
      <c r="M2693" s="2"/>
      <c r="N2693" s="2" t="str">
        <f>"RUE DES HAUTBOIS"</f>
        <v>RUE DES HAUTBOIS</v>
      </c>
      <c r="O2693" s="2" t="s">
        <v>11725</v>
      </c>
      <c r="P2693" s="9" t="str">
        <f>VLOOKUP($O2693,'Liste des Villes'!$B$2:$B$1128,1,FALSE)</f>
        <v>Saint-Colomban</v>
      </c>
      <c r="Q2693" s="9" t="str">
        <f>IFERROR($P2693,PROPER(VLOOKUP($O2693,'Villes en erreur'!$A$2:$B$72,2,FALSE)))</f>
        <v>Saint-Colomban</v>
      </c>
      <c r="R2693" s="9" t="s">
        <v>11726</v>
      </c>
      <c r="S2693" s="9" t="str">
        <f>IF(ISBLANK($R2693),"",VLOOKUP($R2693,'Liste des Villes'!$B$2:$H$1128,4,FALSE))</f>
        <v>Laurentides</v>
      </c>
      <c r="T2693" s="2" t="s">
        <v>12328</v>
      </c>
      <c r="U2693" s="2" t="s">
        <v>39</v>
      </c>
      <c r="V2693" s="2" t="s">
        <v>40</v>
      </c>
      <c r="W2693" s="2" t="s">
        <v>12329</v>
      </c>
      <c r="X2693" s="2"/>
      <c r="Y2693" s="2"/>
      <c r="Z2693" s="2"/>
      <c r="AA2693" s="2" t="s">
        <v>72</v>
      </c>
      <c r="AB2693" s="2" t="s">
        <v>192</v>
      </c>
      <c r="AC2693" s="4" t="s">
        <v>44</v>
      </c>
    </row>
    <row r="2694" spans="1:29" x14ac:dyDescent="0.25">
      <c r="A2694" s="1">
        <v>395</v>
      </c>
      <c r="B2694" s="17" t="s">
        <v>12330</v>
      </c>
      <c r="C2694" s="2" t="s">
        <v>12331</v>
      </c>
      <c r="D2694" s="15" t="s">
        <v>12332</v>
      </c>
      <c r="E2694" s="9" t="s">
        <v>271</v>
      </c>
      <c r="F2694" s="9" t="s">
        <v>4256</v>
      </c>
      <c r="G2694" s="9" t="s">
        <v>8399</v>
      </c>
      <c r="H2694" s="2" t="s">
        <v>35</v>
      </c>
      <c r="I2694" s="3">
        <v>36857</v>
      </c>
      <c r="J2694" s="9" t="str">
        <f t="shared" ca="1" si="44"/>
        <v>22 ans</v>
      </c>
      <c r="K2694" s="2" t="s">
        <v>68</v>
      </c>
      <c r="L2694" s="2" t="str">
        <f>"816"</f>
        <v>816</v>
      </c>
      <c r="M2694" s="2"/>
      <c r="N2694" s="2" t="str">
        <f>"RUE DES PLAINES"</f>
        <v>RUE DES PLAINES</v>
      </c>
      <c r="O2694" s="2" t="s">
        <v>11725</v>
      </c>
      <c r="P2694" s="9" t="str">
        <f>VLOOKUP($O2694,'Liste des Villes'!$B$2:$B$1128,1,FALSE)</f>
        <v>Saint-Colomban</v>
      </c>
      <c r="Q2694" s="9" t="str">
        <f>IFERROR($P2694,PROPER(VLOOKUP($O2694,'Villes en erreur'!$A$2:$B$72,2,FALSE)))</f>
        <v>Saint-Colomban</v>
      </c>
      <c r="R2694" s="9" t="s">
        <v>11726</v>
      </c>
      <c r="S2694" s="9" t="str">
        <f>IF(ISBLANK($R2694),"",VLOOKUP($R2694,'Liste des Villes'!$B$2:$H$1128,4,FALSE))</f>
        <v>Laurentides</v>
      </c>
      <c r="T2694" s="2" t="s">
        <v>12333</v>
      </c>
      <c r="U2694" s="2" t="s">
        <v>39</v>
      </c>
      <c r="V2694" s="2" t="s">
        <v>40</v>
      </c>
      <c r="W2694" s="2" t="s">
        <v>12334</v>
      </c>
      <c r="X2694" s="2"/>
      <c r="Y2694" s="2"/>
      <c r="Z2694" s="2"/>
      <c r="AA2694" s="2" t="s">
        <v>606</v>
      </c>
      <c r="AB2694" s="2" t="s">
        <v>161</v>
      </c>
      <c r="AC2694" s="4" t="s">
        <v>44</v>
      </c>
    </row>
    <row r="2695" spans="1:29" x14ac:dyDescent="0.25">
      <c r="A2695" s="1">
        <v>3635</v>
      </c>
      <c r="B2695" s="17" t="s">
        <v>12335</v>
      </c>
      <c r="C2695" s="2" t="s">
        <v>12336</v>
      </c>
      <c r="D2695" s="15" t="s">
        <v>12337</v>
      </c>
      <c r="E2695" s="9" t="s">
        <v>3668</v>
      </c>
      <c r="F2695" s="9" t="s">
        <v>6083</v>
      </c>
      <c r="G2695" s="9" t="s">
        <v>7804</v>
      </c>
      <c r="H2695" s="2" t="s">
        <v>60</v>
      </c>
      <c r="I2695" s="3">
        <v>36851</v>
      </c>
      <c r="J2695" s="9" t="str">
        <f t="shared" ca="1" si="44"/>
        <v>22 ans</v>
      </c>
      <c r="K2695" s="2" t="s">
        <v>68</v>
      </c>
      <c r="L2695" s="2" t="str">
        <f>"807"</f>
        <v>807</v>
      </c>
      <c r="M2695" s="2"/>
      <c r="N2695" s="2" t="str">
        <f>"RUE DES PINSONS"</f>
        <v>RUE DES PINSONS</v>
      </c>
      <c r="O2695" s="2" t="s">
        <v>11725</v>
      </c>
      <c r="P2695" s="9" t="str">
        <f>VLOOKUP($O2695,'Liste des Villes'!$B$2:$B$1128,1,FALSE)</f>
        <v>Saint-Colomban</v>
      </c>
      <c r="Q2695" s="9" t="str">
        <f>IFERROR($P2695,PROPER(VLOOKUP($O2695,'Villes en erreur'!$A$2:$B$72,2,FALSE)))</f>
        <v>Saint-Colomban</v>
      </c>
      <c r="R2695" s="9" t="s">
        <v>11726</v>
      </c>
      <c r="S2695" s="9" t="str">
        <f>IF(ISBLANK($R2695),"",VLOOKUP($R2695,'Liste des Villes'!$B$2:$H$1128,4,FALSE))</f>
        <v>Laurentides</v>
      </c>
      <c r="T2695" s="2" t="s">
        <v>12338</v>
      </c>
      <c r="U2695" s="2" t="s">
        <v>39</v>
      </c>
      <c r="V2695" s="2" t="s">
        <v>40</v>
      </c>
      <c r="W2695" s="2" t="s">
        <v>12339</v>
      </c>
      <c r="X2695" s="2"/>
      <c r="Y2695" s="2"/>
      <c r="Z2695" s="2"/>
      <c r="AA2695" s="2" t="s">
        <v>606</v>
      </c>
      <c r="AB2695" s="2" t="s">
        <v>11748</v>
      </c>
      <c r="AC2695" s="4" t="s">
        <v>44</v>
      </c>
    </row>
    <row r="2696" spans="1:29" x14ac:dyDescent="0.25">
      <c r="A2696" s="1">
        <v>101</v>
      </c>
      <c r="B2696" s="17" t="s">
        <v>12340</v>
      </c>
      <c r="C2696" s="2" t="s">
        <v>3848</v>
      </c>
      <c r="D2696" s="15" t="s">
        <v>839</v>
      </c>
      <c r="E2696" s="9" t="s">
        <v>3849</v>
      </c>
      <c r="F2696" s="9" t="s">
        <v>1076</v>
      </c>
      <c r="G2696" s="9" t="s">
        <v>120</v>
      </c>
      <c r="H2696" s="2" t="s">
        <v>35</v>
      </c>
      <c r="I2696" s="3">
        <v>36808</v>
      </c>
      <c r="J2696" s="9" t="str">
        <f t="shared" ca="1" si="44"/>
        <v>22 ans</v>
      </c>
      <c r="K2696" s="2" t="s">
        <v>68</v>
      </c>
      <c r="L2696" s="2" t="str">
        <f>"735"</f>
        <v>735</v>
      </c>
      <c r="M2696" s="2"/>
      <c r="N2696" s="2" t="str">
        <f>"RUE DES LIARDS"</f>
        <v>RUE DES LIARDS</v>
      </c>
      <c r="O2696" s="2" t="s">
        <v>11725</v>
      </c>
      <c r="P2696" s="9" t="str">
        <f>VLOOKUP($O2696,'Liste des Villes'!$B$2:$B$1128,1,FALSE)</f>
        <v>Saint-Colomban</v>
      </c>
      <c r="Q2696" s="9" t="str">
        <f>IFERROR($P2696,PROPER(VLOOKUP($O2696,'Villes en erreur'!$A$2:$B$72,2,FALSE)))</f>
        <v>Saint-Colomban</v>
      </c>
      <c r="R2696" s="9" t="s">
        <v>11726</v>
      </c>
      <c r="S2696" s="9" t="str">
        <f>IF(ISBLANK($R2696),"",VLOOKUP($R2696,'Liste des Villes'!$B$2:$H$1128,4,FALSE))</f>
        <v>Laurentides</v>
      </c>
      <c r="T2696" s="2" t="s">
        <v>12341</v>
      </c>
      <c r="U2696" s="2" t="s">
        <v>39</v>
      </c>
      <c r="V2696" s="2" t="s">
        <v>40</v>
      </c>
      <c r="W2696" s="2" t="s">
        <v>12342</v>
      </c>
      <c r="X2696" s="2"/>
      <c r="Y2696" s="2"/>
      <c r="Z2696" s="2"/>
      <c r="AA2696" s="2" t="s">
        <v>72</v>
      </c>
      <c r="AB2696" s="2" t="s">
        <v>11733</v>
      </c>
      <c r="AC2696" s="4" t="s">
        <v>44</v>
      </c>
    </row>
    <row r="2697" spans="1:29" x14ac:dyDescent="0.25">
      <c r="A2697" s="1">
        <v>3473</v>
      </c>
      <c r="B2697" s="17" t="s">
        <v>12343</v>
      </c>
      <c r="C2697" s="2" t="s">
        <v>12344</v>
      </c>
      <c r="D2697" s="15" t="s">
        <v>12345</v>
      </c>
      <c r="E2697" s="9" t="s">
        <v>12346</v>
      </c>
      <c r="F2697" s="9" t="s">
        <v>1245</v>
      </c>
      <c r="G2697" s="9" t="s">
        <v>12347</v>
      </c>
      <c r="H2697" s="2" t="s">
        <v>60</v>
      </c>
      <c r="I2697" s="3">
        <v>36859</v>
      </c>
      <c r="J2697" s="9" t="str">
        <f t="shared" ca="1" si="44"/>
        <v>22 ans</v>
      </c>
      <c r="K2697" s="2" t="s">
        <v>68</v>
      </c>
      <c r="L2697" s="2" t="str">
        <f>"821"</f>
        <v>821</v>
      </c>
      <c r="M2697" s="2"/>
      <c r="N2697" s="2" t="str">
        <f>"RUE DES PRAIRIES"</f>
        <v>RUE DES PRAIRIES</v>
      </c>
      <c r="O2697" s="2" t="s">
        <v>11725</v>
      </c>
      <c r="P2697" s="9" t="str">
        <f>VLOOKUP($O2697,'Liste des Villes'!$B$2:$B$1128,1,FALSE)</f>
        <v>Saint-Colomban</v>
      </c>
      <c r="Q2697" s="9" t="str">
        <f>IFERROR($P2697,PROPER(VLOOKUP($O2697,'Villes en erreur'!$A$2:$B$72,2,FALSE)))</f>
        <v>Saint-Colomban</v>
      </c>
      <c r="R2697" s="9" t="s">
        <v>11726</v>
      </c>
      <c r="S2697" s="9" t="str">
        <f>IF(ISBLANK($R2697),"",VLOOKUP($R2697,'Liste des Villes'!$B$2:$H$1128,4,FALSE))</f>
        <v>Laurentides</v>
      </c>
      <c r="T2697" s="2" t="s">
        <v>12247</v>
      </c>
      <c r="U2697" s="2" t="s">
        <v>39</v>
      </c>
      <c r="V2697" s="2" t="s">
        <v>40</v>
      </c>
      <c r="W2697" s="2" t="s">
        <v>12348</v>
      </c>
      <c r="X2697" s="2"/>
      <c r="Y2697" s="2"/>
      <c r="Z2697" s="2"/>
      <c r="AA2697" s="2" t="s">
        <v>606</v>
      </c>
      <c r="AB2697" s="2" t="s">
        <v>161</v>
      </c>
      <c r="AC2697" s="4" t="s">
        <v>44</v>
      </c>
    </row>
    <row r="2698" spans="1:29" x14ac:dyDescent="0.25">
      <c r="A2698" s="1">
        <v>15</v>
      </c>
      <c r="B2698" s="17" t="s">
        <v>12349</v>
      </c>
      <c r="C2698" s="2" t="s">
        <v>12350</v>
      </c>
      <c r="D2698" s="15" t="s">
        <v>12351</v>
      </c>
      <c r="E2698" s="9" t="s">
        <v>12352</v>
      </c>
      <c r="F2698" s="9" t="s">
        <v>12353</v>
      </c>
      <c r="G2698" s="9" t="s">
        <v>293</v>
      </c>
      <c r="H2698" s="2" t="s">
        <v>60</v>
      </c>
      <c r="I2698" s="3">
        <v>36847</v>
      </c>
      <c r="J2698" s="9" t="str">
        <f t="shared" ca="1" si="44"/>
        <v>22 ans</v>
      </c>
      <c r="K2698" s="2" t="s">
        <v>68</v>
      </c>
      <c r="L2698" s="2" t="str">
        <f>"793"</f>
        <v>793</v>
      </c>
      <c r="M2698" s="2"/>
      <c r="N2698" s="2" t="str">
        <f>"RUE DES PEUPLIERS"</f>
        <v>RUE DES PEUPLIERS</v>
      </c>
      <c r="O2698" s="2" t="s">
        <v>11725</v>
      </c>
      <c r="P2698" s="9" t="str">
        <f>VLOOKUP($O2698,'Liste des Villes'!$B$2:$B$1128,1,FALSE)</f>
        <v>Saint-Colomban</v>
      </c>
      <c r="Q2698" s="9" t="str">
        <f>IFERROR($P2698,PROPER(VLOOKUP($O2698,'Villes en erreur'!$A$2:$B$72,2,FALSE)))</f>
        <v>Saint-Colomban</v>
      </c>
      <c r="R2698" s="9" t="s">
        <v>11726</v>
      </c>
      <c r="S2698" s="9" t="str">
        <f>IF(ISBLANK($R2698),"",VLOOKUP($R2698,'Liste des Villes'!$B$2:$H$1128,4,FALSE))</f>
        <v>Laurentides</v>
      </c>
      <c r="T2698" s="2" t="s">
        <v>12354</v>
      </c>
      <c r="U2698" s="2" t="s">
        <v>39</v>
      </c>
      <c r="V2698" s="2" t="s">
        <v>40</v>
      </c>
      <c r="W2698" s="2" t="s">
        <v>12355</v>
      </c>
      <c r="X2698" s="2"/>
      <c r="Y2698" s="2"/>
      <c r="Z2698" s="2"/>
      <c r="AA2698" s="2" t="s">
        <v>606</v>
      </c>
      <c r="AB2698" s="2" t="s">
        <v>11748</v>
      </c>
      <c r="AC2698" s="4" t="s">
        <v>44</v>
      </c>
    </row>
    <row r="2699" spans="1:29" x14ac:dyDescent="0.25">
      <c r="A2699" s="1">
        <v>2865</v>
      </c>
      <c r="B2699" s="17" t="s">
        <v>12356</v>
      </c>
      <c r="C2699" s="2" t="s">
        <v>12357</v>
      </c>
      <c r="D2699" s="15" t="s">
        <v>4256</v>
      </c>
      <c r="E2699" s="9" t="s">
        <v>11670</v>
      </c>
      <c r="F2699" s="9" t="s">
        <v>12332</v>
      </c>
      <c r="G2699" s="9" t="s">
        <v>2069</v>
      </c>
      <c r="H2699" s="2" t="s">
        <v>35</v>
      </c>
      <c r="I2699" s="3">
        <v>36771</v>
      </c>
      <c r="J2699" s="9" t="str">
        <f t="shared" ca="1" si="44"/>
        <v>22 ans</v>
      </c>
      <c r="K2699" s="2" t="s">
        <v>68</v>
      </c>
      <c r="L2699" s="2" t="str">
        <f>"682"</f>
        <v>682</v>
      </c>
      <c r="M2699" s="2"/>
      <c r="N2699" s="2" t="str">
        <f>"RUE DES ÉRABLES"</f>
        <v>RUE DES ÉRABLES</v>
      </c>
      <c r="O2699" s="2" t="s">
        <v>11725</v>
      </c>
      <c r="P2699" s="9" t="str">
        <f>VLOOKUP($O2699,'Liste des Villes'!$B$2:$B$1128,1,FALSE)</f>
        <v>Saint-Colomban</v>
      </c>
      <c r="Q2699" s="9" t="str">
        <f>IFERROR($P2699,PROPER(VLOOKUP($O2699,'Villes en erreur'!$A$2:$B$72,2,FALSE)))</f>
        <v>Saint-Colomban</v>
      </c>
      <c r="R2699" s="9" t="s">
        <v>11726</v>
      </c>
      <c r="S2699" s="9" t="str">
        <f>IF(ISBLANK($R2699),"",VLOOKUP($R2699,'Liste des Villes'!$B$2:$H$1128,4,FALSE))</f>
        <v>Laurentides</v>
      </c>
      <c r="T2699" s="2" t="s">
        <v>12358</v>
      </c>
      <c r="U2699" s="2" t="s">
        <v>39</v>
      </c>
      <c r="V2699" s="2" t="s">
        <v>40</v>
      </c>
      <c r="W2699" s="2" t="s">
        <v>12359</v>
      </c>
      <c r="X2699" s="2"/>
      <c r="Y2699" s="2"/>
      <c r="Z2699" s="2"/>
      <c r="AA2699" s="2" t="s">
        <v>72</v>
      </c>
      <c r="AB2699" s="2" t="s">
        <v>192</v>
      </c>
      <c r="AC2699" s="4" t="s">
        <v>44</v>
      </c>
    </row>
    <row r="2700" spans="1:29" x14ac:dyDescent="0.25">
      <c r="A2700" s="1">
        <v>1057</v>
      </c>
      <c r="B2700" s="17" t="s">
        <v>12360</v>
      </c>
      <c r="C2700" s="2" t="s">
        <v>696</v>
      </c>
      <c r="D2700" s="15" t="s">
        <v>697</v>
      </c>
      <c r="E2700" s="9" t="s">
        <v>698</v>
      </c>
      <c r="F2700" s="9" t="s">
        <v>699</v>
      </c>
      <c r="G2700" s="9" t="s">
        <v>3211</v>
      </c>
      <c r="H2700" s="2" t="s">
        <v>35</v>
      </c>
      <c r="I2700" s="3">
        <v>36768</v>
      </c>
      <c r="J2700" s="9" t="str">
        <f t="shared" ca="1" si="44"/>
        <v>22 ans</v>
      </c>
      <c r="K2700" s="2" t="s">
        <v>68</v>
      </c>
      <c r="L2700" s="2" t="str">
        <f>"680"</f>
        <v>680</v>
      </c>
      <c r="M2700" s="2"/>
      <c r="N2700" s="2" t="str">
        <f>"RUE DES ÉRABLES"</f>
        <v>RUE DES ÉRABLES</v>
      </c>
      <c r="O2700" s="2" t="s">
        <v>11725</v>
      </c>
      <c r="P2700" s="9" t="str">
        <f>VLOOKUP($O2700,'Liste des Villes'!$B$2:$B$1128,1,FALSE)</f>
        <v>Saint-Colomban</v>
      </c>
      <c r="Q2700" s="9" t="str">
        <f>IFERROR($P2700,PROPER(VLOOKUP($O2700,'Villes en erreur'!$A$2:$B$72,2,FALSE)))</f>
        <v>Saint-Colomban</v>
      </c>
      <c r="R2700" s="9" t="s">
        <v>11726</v>
      </c>
      <c r="S2700" s="9" t="str">
        <f>IF(ISBLANK($R2700),"",VLOOKUP($R2700,'Liste des Villes'!$B$2:$H$1128,4,FALSE))</f>
        <v>Laurentides</v>
      </c>
      <c r="T2700" s="2" t="s">
        <v>12361</v>
      </c>
      <c r="U2700" s="2" t="s">
        <v>39</v>
      </c>
      <c r="V2700" s="2" t="s">
        <v>40</v>
      </c>
      <c r="W2700" s="2" t="s">
        <v>12362</v>
      </c>
      <c r="X2700" s="2"/>
      <c r="Y2700" s="2"/>
      <c r="Z2700" s="2"/>
      <c r="AA2700" s="2" t="s">
        <v>72</v>
      </c>
      <c r="AB2700" s="2" t="s">
        <v>192</v>
      </c>
      <c r="AC2700" s="4" t="s">
        <v>44</v>
      </c>
    </row>
    <row r="2701" spans="1:29" x14ac:dyDescent="0.25">
      <c r="A2701" s="1">
        <v>4092</v>
      </c>
      <c r="B2701" s="17" t="s">
        <v>12363</v>
      </c>
      <c r="C2701" s="2" t="s">
        <v>12364</v>
      </c>
      <c r="D2701" s="15" t="s">
        <v>12365</v>
      </c>
      <c r="E2701" s="9" t="s">
        <v>114</v>
      </c>
      <c r="F2701" s="9" t="s">
        <v>12366</v>
      </c>
      <c r="G2701" s="9" t="s">
        <v>751</v>
      </c>
      <c r="H2701" s="2" t="s">
        <v>35</v>
      </c>
      <c r="I2701" s="3">
        <v>36822</v>
      </c>
      <c r="J2701" s="9" t="str">
        <f t="shared" ca="1" si="44"/>
        <v>22 ans</v>
      </c>
      <c r="K2701" s="2" t="s">
        <v>68</v>
      </c>
      <c r="L2701" s="2" t="str">
        <f>"752"</f>
        <v>752</v>
      </c>
      <c r="M2701" s="2"/>
      <c r="N2701" s="2" t="str">
        <f>"RUE DES MARRONNIERS"</f>
        <v>RUE DES MARRONNIERS</v>
      </c>
      <c r="O2701" s="2" t="s">
        <v>11725</v>
      </c>
      <c r="P2701" s="9" t="str">
        <f>VLOOKUP($O2701,'Liste des Villes'!$B$2:$B$1128,1,FALSE)</f>
        <v>Saint-Colomban</v>
      </c>
      <c r="Q2701" s="9" t="str">
        <f>IFERROR($P2701,PROPER(VLOOKUP($O2701,'Villes en erreur'!$A$2:$B$72,2,FALSE)))</f>
        <v>Saint-Colomban</v>
      </c>
      <c r="R2701" s="9" t="s">
        <v>11726</v>
      </c>
      <c r="S2701" s="9" t="str">
        <f>IF(ISBLANK($R2701),"",VLOOKUP($R2701,'Liste des Villes'!$B$2:$H$1128,4,FALSE))</f>
        <v>Laurentides</v>
      </c>
      <c r="T2701" s="2" t="s">
        <v>12367</v>
      </c>
      <c r="U2701" s="2" t="s">
        <v>39</v>
      </c>
      <c r="V2701" s="2" t="s">
        <v>40</v>
      </c>
      <c r="W2701" s="2" t="s">
        <v>12139</v>
      </c>
      <c r="X2701" s="2"/>
      <c r="Y2701" s="2"/>
      <c r="Z2701" s="2"/>
      <c r="AA2701" s="2" t="s">
        <v>72</v>
      </c>
      <c r="AB2701" s="2" t="s">
        <v>11733</v>
      </c>
      <c r="AC2701" s="4" t="s">
        <v>44</v>
      </c>
    </row>
    <row r="2702" spans="1:29" x14ac:dyDescent="0.25">
      <c r="A2702" s="1">
        <v>1035</v>
      </c>
      <c r="B2702" s="17" t="s">
        <v>12368</v>
      </c>
      <c r="C2702" s="2" t="s">
        <v>12369</v>
      </c>
      <c r="D2702" s="15" t="s">
        <v>562</v>
      </c>
      <c r="E2702" s="9" t="s">
        <v>12370</v>
      </c>
      <c r="F2702" s="9" t="s">
        <v>3374</v>
      </c>
      <c r="G2702" s="9" t="s">
        <v>509</v>
      </c>
      <c r="H2702" s="2" t="s">
        <v>60</v>
      </c>
      <c r="I2702" s="3">
        <v>36864</v>
      </c>
      <c r="J2702" s="9" t="str">
        <f t="shared" ca="1" si="44"/>
        <v>22 ans</v>
      </c>
      <c r="K2702" s="2" t="s">
        <v>68</v>
      </c>
      <c r="L2702" s="2" t="str">
        <f>"833"</f>
        <v>833</v>
      </c>
      <c r="M2702" s="2"/>
      <c r="N2702" s="2" t="str">
        <f>"RUE DES PRIMEROSES"</f>
        <v>RUE DES PRIMEROSES</v>
      </c>
      <c r="O2702" s="2" t="s">
        <v>11725</v>
      </c>
      <c r="P2702" s="9" t="str">
        <f>VLOOKUP($O2702,'Liste des Villes'!$B$2:$B$1128,1,FALSE)</f>
        <v>Saint-Colomban</v>
      </c>
      <c r="Q2702" s="9" t="str">
        <f>IFERROR($P2702,PROPER(VLOOKUP($O2702,'Villes en erreur'!$A$2:$B$72,2,FALSE)))</f>
        <v>Saint-Colomban</v>
      </c>
      <c r="R2702" s="9" t="s">
        <v>11726</v>
      </c>
      <c r="S2702" s="9" t="str">
        <f>IF(ISBLANK($R2702),"",VLOOKUP($R2702,'Liste des Villes'!$B$2:$H$1128,4,FALSE))</f>
        <v>Laurentides</v>
      </c>
      <c r="T2702" s="2" t="s">
        <v>12371</v>
      </c>
      <c r="U2702" s="2" t="s">
        <v>39</v>
      </c>
      <c r="V2702" s="2" t="s">
        <v>40</v>
      </c>
      <c r="W2702" s="2" t="s">
        <v>12372</v>
      </c>
      <c r="X2702" s="2"/>
      <c r="Y2702" s="2"/>
      <c r="Z2702" s="2"/>
      <c r="AA2702" s="2" t="s">
        <v>606</v>
      </c>
      <c r="AB2702" s="2" t="s">
        <v>161</v>
      </c>
      <c r="AC2702" s="4" t="s">
        <v>44</v>
      </c>
    </row>
    <row r="2703" spans="1:29" x14ac:dyDescent="0.25">
      <c r="A2703" s="1">
        <v>1617</v>
      </c>
      <c r="B2703" s="17" t="s">
        <v>12373</v>
      </c>
      <c r="C2703" s="2" t="s">
        <v>12374</v>
      </c>
      <c r="D2703" s="15" t="s">
        <v>12375</v>
      </c>
      <c r="E2703" s="9" t="s">
        <v>698</v>
      </c>
      <c r="F2703" s="9" t="s">
        <v>1117</v>
      </c>
      <c r="G2703" s="9" t="s">
        <v>348</v>
      </c>
      <c r="H2703" s="2" t="s">
        <v>60</v>
      </c>
      <c r="I2703" s="3">
        <v>36789</v>
      </c>
      <c r="J2703" s="9" t="str">
        <f t="shared" ca="1" si="44"/>
        <v>22 ans</v>
      </c>
      <c r="K2703" s="2" t="s">
        <v>68</v>
      </c>
      <c r="L2703" s="2" t="str">
        <f>"705"</f>
        <v>705</v>
      </c>
      <c r="M2703" s="2"/>
      <c r="N2703" s="2" t="str">
        <f>"RUE DES GOUVERNEURS"</f>
        <v>RUE DES GOUVERNEURS</v>
      </c>
      <c r="O2703" s="2" t="s">
        <v>11725</v>
      </c>
      <c r="P2703" s="9" t="str">
        <f>VLOOKUP($O2703,'Liste des Villes'!$B$2:$B$1128,1,FALSE)</f>
        <v>Saint-Colomban</v>
      </c>
      <c r="Q2703" s="9" t="str">
        <f>IFERROR($P2703,PROPER(VLOOKUP($O2703,'Villes en erreur'!$A$2:$B$72,2,FALSE)))</f>
        <v>Saint-Colomban</v>
      </c>
      <c r="R2703" s="9" t="s">
        <v>11726</v>
      </c>
      <c r="S2703" s="9" t="str">
        <f>IF(ISBLANK($R2703),"",VLOOKUP($R2703,'Liste des Villes'!$B$2:$H$1128,4,FALSE))</f>
        <v>Laurentides</v>
      </c>
      <c r="T2703" s="2" t="s">
        <v>12106</v>
      </c>
      <c r="U2703" s="2" t="s">
        <v>39</v>
      </c>
      <c r="V2703" s="2" t="s">
        <v>40</v>
      </c>
      <c r="W2703" s="2" t="s">
        <v>12376</v>
      </c>
      <c r="X2703" s="2"/>
      <c r="Y2703" s="2"/>
      <c r="Z2703" s="2"/>
      <c r="AA2703" s="2" t="s">
        <v>72</v>
      </c>
      <c r="AB2703" s="2" t="s">
        <v>192</v>
      </c>
      <c r="AC2703" s="4" t="s">
        <v>44</v>
      </c>
    </row>
    <row r="2704" spans="1:29" x14ac:dyDescent="0.25">
      <c r="A2704" s="1">
        <v>2736</v>
      </c>
      <c r="B2704" s="17" t="s">
        <v>12377</v>
      </c>
      <c r="C2704" s="2" t="s">
        <v>12378</v>
      </c>
      <c r="D2704" s="15" t="s">
        <v>460</v>
      </c>
      <c r="E2704" s="9" t="s">
        <v>6721</v>
      </c>
      <c r="F2704" s="9" t="s">
        <v>462</v>
      </c>
      <c r="G2704" s="9" t="s">
        <v>3066</v>
      </c>
      <c r="H2704" s="2" t="s">
        <v>60</v>
      </c>
      <c r="I2704" s="3">
        <v>36835</v>
      </c>
      <c r="J2704" s="9" t="str">
        <f t="shared" ca="1" si="44"/>
        <v>22 ans</v>
      </c>
      <c r="K2704" s="2" t="s">
        <v>68</v>
      </c>
      <c r="L2704" s="2" t="str">
        <f>"774"</f>
        <v>774</v>
      </c>
      <c r="M2704" s="2"/>
      <c r="N2704" s="2" t="str">
        <f>"RUE DES OUTARDES"</f>
        <v>RUE DES OUTARDES</v>
      </c>
      <c r="O2704" s="2" t="s">
        <v>11725</v>
      </c>
      <c r="P2704" s="9" t="str">
        <f>VLOOKUP($O2704,'Liste des Villes'!$B$2:$B$1128,1,FALSE)</f>
        <v>Saint-Colomban</v>
      </c>
      <c r="Q2704" s="9" t="str">
        <f>IFERROR($P2704,PROPER(VLOOKUP($O2704,'Villes en erreur'!$A$2:$B$72,2,FALSE)))</f>
        <v>Saint-Colomban</v>
      </c>
      <c r="R2704" s="9" t="s">
        <v>11726</v>
      </c>
      <c r="S2704" s="9" t="str">
        <f>IF(ISBLANK($R2704),"",VLOOKUP($R2704,'Liste des Villes'!$B$2:$H$1128,4,FALSE))</f>
        <v>Laurentides</v>
      </c>
      <c r="T2704" s="2" t="s">
        <v>12379</v>
      </c>
      <c r="U2704" s="2" t="s">
        <v>39</v>
      </c>
      <c r="V2704" s="2" t="s">
        <v>40</v>
      </c>
      <c r="W2704" s="2" t="s">
        <v>12380</v>
      </c>
      <c r="X2704" s="2"/>
      <c r="Y2704" s="2"/>
      <c r="Z2704" s="2"/>
      <c r="AA2704" s="2" t="s">
        <v>72</v>
      </c>
      <c r="AB2704" s="2" t="s">
        <v>11748</v>
      </c>
      <c r="AC2704" s="4" t="s">
        <v>44</v>
      </c>
    </row>
    <row r="2705" spans="1:29" x14ac:dyDescent="0.25">
      <c r="A2705" s="1">
        <v>22</v>
      </c>
      <c r="B2705" s="17" t="s">
        <v>12381</v>
      </c>
      <c r="C2705" s="2" t="s">
        <v>3830</v>
      </c>
      <c r="D2705" s="15" t="s">
        <v>3831</v>
      </c>
      <c r="E2705" s="9" t="s">
        <v>114</v>
      </c>
      <c r="F2705" s="9" t="s">
        <v>9395</v>
      </c>
      <c r="G2705" s="9" t="s">
        <v>787</v>
      </c>
      <c r="H2705" s="2" t="s">
        <v>35</v>
      </c>
      <c r="I2705" s="3">
        <v>36814</v>
      </c>
      <c r="J2705" s="9" t="str">
        <f t="shared" ca="1" si="44"/>
        <v>22 ans</v>
      </c>
      <c r="K2705" s="2" t="s">
        <v>68</v>
      </c>
      <c r="L2705" s="2" t="str">
        <f>"743"</f>
        <v>743</v>
      </c>
      <c r="M2705" s="2"/>
      <c r="N2705" s="2" t="str">
        <f>"RUE DES LUCIOLES"</f>
        <v>RUE DES LUCIOLES</v>
      </c>
      <c r="O2705" s="2" t="s">
        <v>11725</v>
      </c>
      <c r="P2705" s="9" t="str">
        <f>VLOOKUP($O2705,'Liste des Villes'!$B$2:$B$1128,1,FALSE)</f>
        <v>Saint-Colomban</v>
      </c>
      <c r="Q2705" s="9" t="str">
        <f>IFERROR($P2705,PROPER(VLOOKUP($O2705,'Villes en erreur'!$A$2:$B$72,2,FALSE)))</f>
        <v>Saint-Colomban</v>
      </c>
      <c r="R2705" s="9" t="s">
        <v>11726</v>
      </c>
      <c r="S2705" s="9" t="str">
        <f>IF(ISBLANK($R2705),"",VLOOKUP($R2705,'Liste des Villes'!$B$2:$H$1128,4,FALSE))</f>
        <v>Laurentides</v>
      </c>
      <c r="T2705" s="2" t="s">
        <v>12382</v>
      </c>
      <c r="U2705" s="2" t="s">
        <v>39</v>
      </c>
      <c r="V2705" s="2" t="s">
        <v>40</v>
      </c>
      <c r="W2705" s="2" t="s">
        <v>12383</v>
      </c>
      <c r="X2705" s="2"/>
      <c r="Y2705" s="2"/>
      <c r="Z2705" s="2"/>
      <c r="AA2705" s="2" t="s">
        <v>72</v>
      </c>
      <c r="AB2705" s="2" t="s">
        <v>11733</v>
      </c>
      <c r="AC2705" s="4" t="s">
        <v>44</v>
      </c>
    </row>
    <row r="2706" spans="1:29" x14ac:dyDescent="0.25">
      <c r="A2706" s="1">
        <v>4590</v>
      </c>
      <c r="B2706" s="17" t="s">
        <v>12384</v>
      </c>
      <c r="C2706" s="2" t="s">
        <v>12385</v>
      </c>
      <c r="D2706" s="15" t="s">
        <v>9794</v>
      </c>
      <c r="E2706" s="9" t="s">
        <v>1341</v>
      </c>
      <c r="F2706" s="9" t="s">
        <v>995</v>
      </c>
      <c r="G2706" s="9" t="s">
        <v>509</v>
      </c>
      <c r="H2706" s="2" t="s">
        <v>60</v>
      </c>
      <c r="I2706" s="3">
        <v>36863</v>
      </c>
      <c r="J2706" s="9" t="str">
        <f t="shared" ca="1" si="44"/>
        <v>22 ans</v>
      </c>
      <c r="K2706" s="2" t="s">
        <v>68</v>
      </c>
      <c r="L2706" s="2" t="str">
        <f>"832"</f>
        <v>832</v>
      </c>
      <c r="M2706" s="2"/>
      <c r="N2706" s="2" t="str">
        <f>"RUE DES PRÉS"</f>
        <v>RUE DES PRÉS</v>
      </c>
      <c r="O2706" s="2" t="s">
        <v>11725</v>
      </c>
      <c r="P2706" s="9" t="str">
        <f>VLOOKUP($O2706,'Liste des Villes'!$B$2:$B$1128,1,FALSE)</f>
        <v>Saint-Colomban</v>
      </c>
      <c r="Q2706" s="9" t="str">
        <f>IFERROR($P2706,PROPER(VLOOKUP($O2706,'Villes en erreur'!$A$2:$B$72,2,FALSE)))</f>
        <v>Saint-Colomban</v>
      </c>
      <c r="R2706" s="9" t="s">
        <v>11726</v>
      </c>
      <c r="S2706" s="9" t="str">
        <f>IF(ISBLANK($R2706),"",VLOOKUP($R2706,'Liste des Villes'!$B$2:$H$1128,4,FALSE))</f>
        <v>Laurentides</v>
      </c>
      <c r="T2706" s="2" t="s">
        <v>12386</v>
      </c>
      <c r="U2706" s="2" t="s">
        <v>39</v>
      </c>
      <c r="V2706" s="2" t="s">
        <v>40</v>
      </c>
      <c r="W2706" s="2" t="s">
        <v>12387</v>
      </c>
      <c r="X2706" s="2"/>
      <c r="Y2706" s="2"/>
      <c r="Z2706" s="2"/>
      <c r="AA2706" s="2" t="s">
        <v>606</v>
      </c>
      <c r="AB2706" s="2" t="s">
        <v>161</v>
      </c>
      <c r="AC2706" s="4" t="s">
        <v>44</v>
      </c>
    </row>
    <row r="2707" spans="1:29" x14ac:dyDescent="0.25">
      <c r="A2707" s="1">
        <v>2273</v>
      </c>
      <c r="B2707" s="17" t="s">
        <v>12388</v>
      </c>
      <c r="C2707" s="2" t="s">
        <v>12389</v>
      </c>
      <c r="D2707" s="15" t="s">
        <v>9556</v>
      </c>
      <c r="E2707" s="9" t="s">
        <v>4760</v>
      </c>
      <c r="F2707" s="9" t="s">
        <v>9555</v>
      </c>
      <c r="G2707" s="9" t="s">
        <v>348</v>
      </c>
      <c r="H2707" s="2" t="s">
        <v>60</v>
      </c>
      <c r="I2707" s="3">
        <v>36796</v>
      </c>
      <c r="J2707" s="9" t="str">
        <f t="shared" ca="1" si="44"/>
        <v>22 ans</v>
      </c>
      <c r="K2707" s="2" t="s">
        <v>68</v>
      </c>
      <c r="L2707" s="2" t="str">
        <f>"710"</f>
        <v>710</v>
      </c>
      <c r="M2707" s="2"/>
      <c r="N2707" s="2" t="str">
        <f>"RUE DES HAUTBOIS"</f>
        <v>RUE DES HAUTBOIS</v>
      </c>
      <c r="O2707" s="2" t="s">
        <v>11725</v>
      </c>
      <c r="P2707" s="9" t="str">
        <f>VLOOKUP($O2707,'Liste des Villes'!$B$2:$B$1128,1,FALSE)</f>
        <v>Saint-Colomban</v>
      </c>
      <c r="Q2707" s="9" t="str">
        <f>IFERROR($P2707,PROPER(VLOOKUP($O2707,'Villes en erreur'!$A$2:$B$72,2,FALSE)))</f>
        <v>Saint-Colomban</v>
      </c>
      <c r="R2707" s="9" t="s">
        <v>11726</v>
      </c>
      <c r="S2707" s="9" t="str">
        <f>IF(ISBLANK($R2707),"",VLOOKUP($R2707,'Liste des Villes'!$B$2:$H$1128,4,FALSE))</f>
        <v>Laurentides</v>
      </c>
      <c r="T2707" s="2" t="s">
        <v>12257</v>
      </c>
      <c r="U2707" s="2" t="s">
        <v>39</v>
      </c>
      <c r="V2707" s="2" t="s">
        <v>40</v>
      </c>
      <c r="W2707" s="2" t="s">
        <v>12390</v>
      </c>
      <c r="X2707" s="2"/>
      <c r="Y2707" s="2"/>
      <c r="Z2707" s="2"/>
      <c r="AA2707" s="2" t="s">
        <v>72</v>
      </c>
      <c r="AB2707" s="2" t="s">
        <v>192</v>
      </c>
      <c r="AC2707" s="4" t="s">
        <v>44</v>
      </c>
    </row>
    <row r="2708" spans="1:29" x14ac:dyDescent="0.25">
      <c r="A2708" s="1">
        <v>1687</v>
      </c>
      <c r="B2708" s="17" t="s">
        <v>12391</v>
      </c>
      <c r="C2708" s="2" t="s">
        <v>5835</v>
      </c>
      <c r="D2708" s="15" t="s">
        <v>5836</v>
      </c>
      <c r="E2708" s="9" t="s">
        <v>2217</v>
      </c>
      <c r="F2708" s="9" t="s">
        <v>5837</v>
      </c>
      <c r="G2708" s="9" t="s">
        <v>2664</v>
      </c>
      <c r="H2708" s="2" t="s">
        <v>35</v>
      </c>
      <c r="I2708" s="3">
        <v>36775</v>
      </c>
      <c r="J2708" s="9" t="str">
        <f t="shared" ca="1" si="44"/>
        <v>22 ans</v>
      </c>
      <c r="K2708" s="2" t="s">
        <v>68</v>
      </c>
      <c r="L2708" s="2" t="str">
        <f>"686"</f>
        <v>686</v>
      </c>
      <c r="M2708" s="2"/>
      <c r="N2708" s="2" t="str">
        <f>"RUE DES FAVOLES"</f>
        <v>RUE DES FAVOLES</v>
      </c>
      <c r="O2708" s="2" t="s">
        <v>11725</v>
      </c>
      <c r="P2708" s="9" t="str">
        <f>VLOOKUP($O2708,'Liste des Villes'!$B$2:$B$1128,1,FALSE)</f>
        <v>Saint-Colomban</v>
      </c>
      <c r="Q2708" s="9" t="str">
        <f>IFERROR($P2708,PROPER(VLOOKUP($O2708,'Villes en erreur'!$A$2:$B$72,2,FALSE)))</f>
        <v>Saint-Colomban</v>
      </c>
      <c r="R2708" s="9" t="s">
        <v>11726</v>
      </c>
      <c r="S2708" s="9" t="str">
        <f>IF(ISBLANK($R2708),"",VLOOKUP($R2708,'Liste des Villes'!$B$2:$H$1128,4,FALSE))</f>
        <v>Laurentides</v>
      </c>
      <c r="T2708" s="2" t="s">
        <v>12392</v>
      </c>
      <c r="U2708" s="2" t="s">
        <v>39</v>
      </c>
      <c r="V2708" s="2" t="s">
        <v>40</v>
      </c>
      <c r="W2708" s="2" t="s">
        <v>12393</v>
      </c>
      <c r="X2708" s="2"/>
      <c r="Y2708" s="2"/>
      <c r="Z2708" s="2"/>
      <c r="AA2708" s="2" t="s">
        <v>72</v>
      </c>
      <c r="AB2708" s="2" t="s">
        <v>192</v>
      </c>
      <c r="AC2708" s="4" t="s">
        <v>44</v>
      </c>
    </row>
    <row r="2709" spans="1:29" x14ac:dyDescent="0.25">
      <c r="A2709" s="1">
        <v>105</v>
      </c>
      <c r="B2709" s="17" t="s">
        <v>12394</v>
      </c>
      <c r="C2709" s="2" t="s">
        <v>4865</v>
      </c>
      <c r="D2709" s="15" t="s">
        <v>1270</v>
      </c>
      <c r="E2709" s="9" t="s">
        <v>996</v>
      </c>
      <c r="F2709" s="9" t="s">
        <v>1268</v>
      </c>
      <c r="G2709" s="9" t="s">
        <v>751</v>
      </c>
      <c r="H2709" s="2" t="s">
        <v>35</v>
      </c>
      <c r="I2709" s="3">
        <v>36818</v>
      </c>
      <c r="J2709" s="9" t="str">
        <f t="shared" ca="1" si="44"/>
        <v>22 ans</v>
      </c>
      <c r="K2709" s="2" t="s">
        <v>68</v>
      </c>
      <c r="L2709" s="2" t="str">
        <f>"747"</f>
        <v>747</v>
      </c>
      <c r="M2709" s="2"/>
      <c r="N2709" s="2" t="str">
        <f>"RUE DES MANDOLINES"</f>
        <v>RUE DES MANDOLINES</v>
      </c>
      <c r="O2709" s="2" t="s">
        <v>11725</v>
      </c>
      <c r="P2709" s="9" t="str">
        <f>VLOOKUP($O2709,'Liste des Villes'!$B$2:$B$1128,1,FALSE)</f>
        <v>Saint-Colomban</v>
      </c>
      <c r="Q2709" s="9" t="str">
        <f>IFERROR($P2709,PROPER(VLOOKUP($O2709,'Villes en erreur'!$A$2:$B$72,2,FALSE)))</f>
        <v>Saint-Colomban</v>
      </c>
      <c r="R2709" s="9" t="s">
        <v>11726</v>
      </c>
      <c r="S2709" s="9" t="str">
        <f>IF(ISBLANK($R2709),"",VLOOKUP($R2709,'Liste des Villes'!$B$2:$H$1128,4,FALSE))</f>
        <v>Laurentides</v>
      </c>
      <c r="T2709" s="2" t="s">
        <v>12395</v>
      </c>
      <c r="U2709" s="2" t="s">
        <v>39</v>
      </c>
      <c r="V2709" s="2" t="s">
        <v>40</v>
      </c>
      <c r="W2709" s="2" t="s">
        <v>12396</v>
      </c>
      <c r="X2709" s="2"/>
      <c r="Y2709" s="2"/>
      <c r="Z2709" s="2"/>
      <c r="AA2709" s="2" t="s">
        <v>72</v>
      </c>
      <c r="AB2709" s="2" t="s">
        <v>11733</v>
      </c>
      <c r="AC2709" s="4" t="s">
        <v>44</v>
      </c>
    </row>
    <row r="2710" spans="1:29" x14ac:dyDescent="0.25">
      <c r="A2710" s="1">
        <v>462</v>
      </c>
      <c r="B2710" s="17" t="s">
        <v>12397</v>
      </c>
      <c r="C2710" s="2" t="s">
        <v>12398</v>
      </c>
      <c r="D2710" s="15" t="s">
        <v>11875</v>
      </c>
      <c r="E2710" s="9" t="s">
        <v>7666</v>
      </c>
      <c r="F2710" s="9" t="s">
        <v>4479</v>
      </c>
      <c r="G2710" s="9" t="s">
        <v>348</v>
      </c>
      <c r="H2710" s="2" t="s">
        <v>60</v>
      </c>
      <c r="I2710" s="3">
        <v>36795</v>
      </c>
      <c r="J2710" s="9" t="str">
        <f t="shared" ca="1" si="44"/>
        <v>22 ans</v>
      </c>
      <c r="K2710" s="2" t="s">
        <v>68</v>
      </c>
      <c r="L2710" s="2" t="str">
        <f>"709"</f>
        <v>709</v>
      </c>
      <c r="M2710" s="2"/>
      <c r="N2710" s="2" t="str">
        <f>"RUE DES GUINÉES"</f>
        <v>RUE DES GUINÉES</v>
      </c>
      <c r="O2710" s="2" t="s">
        <v>11725</v>
      </c>
      <c r="P2710" s="9" t="str">
        <f>VLOOKUP($O2710,'Liste des Villes'!$B$2:$B$1128,1,FALSE)</f>
        <v>Saint-Colomban</v>
      </c>
      <c r="Q2710" s="9" t="str">
        <f>IFERROR($P2710,PROPER(VLOOKUP($O2710,'Villes en erreur'!$A$2:$B$72,2,FALSE)))</f>
        <v>Saint-Colomban</v>
      </c>
      <c r="R2710" s="9" t="s">
        <v>11726</v>
      </c>
      <c r="S2710" s="9" t="str">
        <f>IF(ISBLANK($R2710),"",VLOOKUP($R2710,'Liste des Villes'!$B$2:$H$1128,4,FALSE))</f>
        <v>Laurentides</v>
      </c>
      <c r="T2710" s="2" t="s">
        <v>12399</v>
      </c>
      <c r="U2710" s="2" t="s">
        <v>39</v>
      </c>
      <c r="V2710" s="2" t="s">
        <v>40</v>
      </c>
      <c r="W2710" s="2" t="s">
        <v>12400</v>
      </c>
      <c r="X2710" s="2"/>
      <c r="Y2710" s="2"/>
      <c r="Z2710" s="2"/>
      <c r="AA2710" s="2" t="s">
        <v>72</v>
      </c>
      <c r="AB2710" s="2" t="s">
        <v>192</v>
      </c>
      <c r="AC2710" s="4" t="s">
        <v>44</v>
      </c>
    </row>
    <row r="2711" spans="1:29" x14ac:dyDescent="0.25">
      <c r="A2711" s="1">
        <v>511</v>
      </c>
      <c r="B2711" s="17" t="s">
        <v>12401</v>
      </c>
      <c r="C2711" s="2" t="s">
        <v>12402</v>
      </c>
      <c r="D2711" s="15" t="s">
        <v>5934</v>
      </c>
      <c r="E2711" s="9" t="s">
        <v>1289</v>
      </c>
      <c r="F2711" s="9" t="s">
        <v>599</v>
      </c>
      <c r="G2711" s="9" t="s">
        <v>9574</v>
      </c>
      <c r="H2711" s="2" t="s">
        <v>35</v>
      </c>
      <c r="I2711" s="3">
        <v>36842</v>
      </c>
      <c r="J2711" s="9" t="str">
        <f t="shared" ca="1" si="44"/>
        <v>22 ans</v>
      </c>
      <c r="K2711" s="2" t="s">
        <v>68</v>
      </c>
      <c r="L2711" s="2" t="str">
        <f>"786"</f>
        <v>786</v>
      </c>
      <c r="M2711" s="2"/>
      <c r="N2711" s="2" t="str">
        <f>"RUE DES PÉLICANS"</f>
        <v>RUE DES PÉLICANS</v>
      </c>
      <c r="O2711" s="2" t="s">
        <v>11725</v>
      </c>
      <c r="P2711" s="9" t="str">
        <f>VLOOKUP($O2711,'Liste des Villes'!$B$2:$B$1128,1,FALSE)</f>
        <v>Saint-Colomban</v>
      </c>
      <c r="Q2711" s="9" t="str">
        <f>IFERROR($P2711,PROPER(VLOOKUP($O2711,'Villes en erreur'!$A$2:$B$72,2,FALSE)))</f>
        <v>Saint-Colomban</v>
      </c>
      <c r="R2711" s="9" t="s">
        <v>11726</v>
      </c>
      <c r="S2711" s="9" t="str">
        <f>IF(ISBLANK($R2711),"",VLOOKUP($R2711,'Liste des Villes'!$B$2:$H$1128,4,FALSE))</f>
        <v>Laurentides</v>
      </c>
      <c r="T2711" s="2" t="s">
        <v>12403</v>
      </c>
      <c r="U2711" s="2" t="s">
        <v>39</v>
      </c>
      <c r="V2711" s="2" t="s">
        <v>40</v>
      </c>
      <c r="W2711" s="2" t="s">
        <v>12404</v>
      </c>
      <c r="X2711" s="2"/>
      <c r="Y2711" s="2"/>
      <c r="Z2711" s="2"/>
      <c r="AA2711" s="2" t="s">
        <v>606</v>
      </c>
      <c r="AB2711" s="2" t="s">
        <v>11748</v>
      </c>
      <c r="AC2711" s="4" t="s">
        <v>44</v>
      </c>
    </row>
    <row r="2712" spans="1:29" x14ac:dyDescent="0.25">
      <c r="A2712" s="1">
        <v>3515</v>
      </c>
      <c r="B2712" s="17" t="s">
        <v>12405</v>
      </c>
      <c r="C2712" s="2" t="s">
        <v>12083</v>
      </c>
      <c r="D2712" s="15" t="s">
        <v>1005</v>
      </c>
      <c r="E2712" s="9" t="s">
        <v>5958</v>
      </c>
      <c r="F2712" s="9" t="s">
        <v>6265</v>
      </c>
      <c r="G2712" s="9" t="s">
        <v>120</v>
      </c>
      <c r="H2712" s="2" t="s">
        <v>35</v>
      </c>
      <c r="I2712" s="3">
        <v>36806</v>
      </c>
      <c r="J2712" s="9" t="str">
        <f t="shared" ca="1" si="44"/>
        <v>22 ans</v>
      </c>
      <c r="K2712" s="2" t="s">
        <v>68</v>
      </c>
      <c r="L2712" s="2" t="str">
        <f>"732"</f>
        <v>732</v>
      </c>
      <c r="M2712" s="2"/>
      <c r="N2712" s="2" t="str">
        <f>"RUE DES LACS"</f>
        <v>RUE DES LACS</v>
      </c>
      <c r="O2712" s="2" t="s">
        <v>11725</v>
      </c>
      <c r="P2712" s="9" t="str">
        <f>VLOOKUP($O2712,'Liste des Villes'!$B$2:$B$1128,1,FALSE)</f>
        <v>Saint-Colomban</v>
      </c>
      <c r="Q2712" s="9" t="str">
        <f>IFERROR($P2712,PROPER(VLOOKUP($O2712,'Villes en erreur'!$A$2:$B$72,2,FALSE)))</f>
        <v>Saint-Colomban</v>
      </c>
      <c r="R2712" s="9" t="s">
        <v>11726</v>
      </c>
      <c r="S2712" s="9" t="str">
        <f>IF(ISBLANK($R2712),"",VLOOKUP($R2712,'Liste des Villes'!$B$2:$H$1128,4,FALSE))</f>
        <v>Laurentides</v>
      </c>
      <c r="T2712" s="2" t="s">
        <v>12406</v>
      </c>
      <c r="U2712" s="2" t="s">
        <v>39</v>
      </c>
      <c r="V2712" s="2" t="s">
        <v>40</v>
      </c>
      <c r="W2712" s="2" t="s">
        <v>12407</v>
      </c>
      <c r="X2712" s="2"/>
      <c r="Y2712" s="2"/>
      <c r="Z2712" s="2"/>
      <c r="AA2712" s="2" t="s">
        <v>72</v>
      </c>
      <c r="AB2712" s="2" t="s">
        <v>11733</v>
      </c>
      <c r="AC2712" s="4" t="s">
        <v>44</v>
      </c>
    </row>
    <row r="2713" spans="1:29" x14ac:dyDescent="0.25">
      <c r="A2713" s="1">
        <v>892</v>
      </c>
      <c r="B2713" s="17" t="s">
        <v>12408</v>
      </c>
      <c r="C2713" s="2" t="s">
        <v>12409</v>
      </c>
      <c r="D2713" s="15" t="s">
        <v>3772</v>
      </c>
      <c r="E2713" s="9" t="s">
        <v>4686</v>
      </c>
      <c r="F2713" s="9" t="s">
        <v>3874</v>
      </c>
      <c r="G2713" s="9" t="s">
        <v>5671</v>
      </c>
      <c r="H2713" s="2" t="s">
        <v>35</v>
      </c>
      <c r="I2713" s="3">
        <v>36800</v>
      </c>
      <c r="J2713" s="9" t="str">
        <f t="shared" ca="1" si="44"/>
        <v>22 ans</v>
      </c>
      <c r="K2713" s="2" t="s">
        <v>68</v>
      </c>
      <c r="L2713" s="2" t="str">
        <f>"722"</f>
        <v>722</v>
      </c>
      <c r="M2713" s="2"/>
      <c r="N2713" s="2" t="str">
        <f>"RUE DES JACINTHES"</f>
        <v>RUE DES JACINTHES</v>
      </c>
      <c r="O2713" s="2" t="s">
        <v>11725</v>
      </c>
      <c r="P2713" s="9" t="str">
        <f>VLOOKUP($O2713,'Liste des Villes'!$B$2:$B$1128,1,FALSE)</f>
        <v>Saint-Colomban</v>
      </c>
      <c r="Q2713" s="9" t="str">
        <f>IFERROR($P2713,PROPER(VLOOKUP($O2713,'Villes en erreur'!$A$2:$B$72,2,FALSE)))</f>
        <v>Saint-Colomban</v>
      </c>
      <c r="R2713" s="9" t="s">
        <v>11726</v>
      </c>
      <c r="S2713" s="9" t="str">
        <f>IF(ISBLANK($R2713),"",VLOOKUP($R2713,'Liste des Villes'!$B$2:$H$1128,4,FALSE))</f>
        <v>Laurentides</v>
      </c>
      <c r="T2713" s="2" t="s">
        <v>12410</v>
      </c>
      <c r="U2713" s="2" t="s">
        <v>39</v>
      </c>
      <c r="V2713" s="2" t="s">
        <v>40</v>
      </c>
      <c r="W2713" s="2" t="s">
        <v>12411</v>
      </c>
      <c r="X2713" s="2"/>
      <c r="Y2713" s="2"/>
      <c r="Z2713" s="2"/>
      <c r="AA2713" s="2" t="s">
        <v>72</v>
      </c>
      <c r="AB2713" s="2" t="s">
        <v>11733</v>
      </c>
      <c r="AC2713" s="4" t="s">
        <v>44</v>
      </c>
    </row>
    <row r="2714" spans="1:29" x14ac:dyDescent="0.25">
      <c r="A2714" s="1">
        <v>2622</v>
      </c>
      <c r="B2714" s="17" t="s">
        <v>12412</v>
      </c>
      <c r="C2714" s="2" t="s">
        <v>12413</v>
      </c>
      <c r="D2714" s="15" t="s">
        <v>12414</v>
      </c>
      <c r="E2714" s="9" t="s">
        <v>737</v>
      </c>
      <c r="F2714" s="9" t="s">
        <v>738</v>
      </c>
      <c r="G2714" s="9" t="s">
        <v>120</v>
      </c>
      <c r="H2714" s="2" t="s">
        <v>35</v>
      </c>
      <c r="I2714" s="3">
        <v>36807</v>
      </c>
      <c r="J2714" s="9" t="str">
        <f t="shared" ca="1" si="44"/>
        <v>22 ans</v>
      </c>
      <c r="K2714" s="2" t="s">
        <v>68</v>
      </c>
      <c r="L2714" s="2" t="str">
        <f>"734"</f>
        <v>734</v>
      </c>
      <c r="M2714" s="2"/>
      <c r="N2714" s="2" t="str">
        <f>"RUE DES LACS"</f>
        <v>RUE DES LACS</v>
      </c>
      <c r="O2714" s="2" t="s">
        <v>11725</v>
      </c>
      <c r="P2714" s="9" t="str">
        <f>VLOOKUP($O2714,'Liste des Villes'!$B$2:$B$1128,1,FALSE)</f>
        <v>Saint-Colomban</v>
      </c>
      <c r="Q2714" s="9" t="str">
        <f>IFERROR($P2714,PROPER(VLOOKUP($O2714,'Villes en erreur'!$A$2:$B$72,2,FALSE)))</f>
        <v>Saint-Colomban</v>
      </c>
      <c r="R2714" s="9" t="s">
        <v>11726</v>
      </c>
      <c r="S2714" s="9" t="str">
        <f>IF(ISBLANK($R2714),"",VLOOKUP($R2714,'Liste des Villes'!$B$2:$H$1128,4,FALSE))</f>
        <v>Laurentides</v>
      </c>
      <c r="T2714" s="2" t="s">
        <v>12415</v>
      </c>
      <c r="U2714" s="2" t="s">
        <v>39</v>
      </c>
      <c r="V2714" s="2" t="s">
        <v>40</v>
      </c>
      <c r="W2714" s="2" t="s">
        <v>12416</v>
      </c>
      <c r="X2714" s="2"/>
      <c r="Y2714" s="2"/>
      <c r="Z2714" s="2"/>
      <c r="AA2714" s="2" t="s">
        <v>72</v>
      </c>
      <c r="AB2714" s="2" t="s">
        <v>11733</v>
      </c>
      <c r="AC2714" s="4" t="s">
        <v>44</v>
      </c>
    </row>
    <row r="2715" spans="1:29" x14ac:dyDescent="0.25">
      <c r="A2715" s="1">
        <v>2502</v>
      </c>
      <c r="B2715" s="17" t="s">
        <v>12417</v>
      </c>
      <c r="C2715" s="2" t="s">
        <v>12418</v>
      </c>
      <c r="D2715" s="15" t="s">
        <v>12419</v>
      </c>
      <c r="E2715" s="9" t="s">
        <v>2217</v>
      </c>
      <c r="F2715" s="9" t="s">
        <v>12420</v>
      </c>
      <c r="G2715" s="9" t="s">
        <v>348</v>
      </c>
      <c r="H2715" s="2" t="s">
        <v>60</v>
      </c>
      <c r="I2715" s="3">
        <v>36783</v>
      </c>
      <c r="J2715" s="9" t="str">
        <f t="shared" ca="1" si="44"/>
        <v>22 ans</v>
      </c>
      <c r="K2715" s="2" t="s">
        <v>68</v>
      </c>
      <c r="L2715" s="2" t="str">
        <f>"700"</f>
        <v>700</v>
      </c>
      <c r="M2715" s="2"/>
      <c r="N2715" s="2" t="str">
        <f>"RUE DES GARDÉNIAS"</f>
        <v>RUE DES GARDÉNIAS</v>
      </c>
      <c r="O2715" s="2" t="s">
        <v>11725</v>
      </c>
      <c r="P2715" s="9" t="str">
        <f>VLOOKUP($O2715,'Liste des Villes'!$B$2:$B$1128,1,FALSE)</f>
        <v>Saint-Colomban</v>
      </c>
      <c r="Q2715" s="9" t="str">
        <f>IFERROR($P2715,PROPER(VLOOKUP($O2715,'Villes en erreur'!$A$2:$B$72,2,FALSE)))</f>
        <v>Saint-Colomban</v>
      </c>
      <c r="R2715" s="9" t="s">
        <v>11726</v>
      </c>
      <c r="S2715" s="9" t="str">
        <f>IF(ISBLANK($R2715),"",VLOOKUP($R2715,'Liste des Villes'!$B$2:$H$1128,4,FALSE))</f>
        <v>Laurentides</v>
      </c>
      <c r="T2715" s="2" t="s">
        <v>12421</v>
      </c>
      <c r="U2715" s="2" t="s">
        <v>39</v>
      </c>
      <c r="V2715" s="2" t="s">
        <v>40</v>
      </c>
      <c r="W2715" s="2" t="s">
        <v>12422</v>
      </c>
      <c r="X2715" s="2"/>
      <c r="Y2715" s="2"/>
      <c r="Z2715" s="2"/>
      <c r="AA2715" s="2" t="s">
        <v>72</v>
      </c>
      <c r="AB2715" s="2" t="s">
        <v>192</v>
      </c>
      <c r="AC2715" s="4" t="s">
        <v>44</v>
      </c>
    </row>
    <row r="2716" spans="1:29" x14ac:dyDescent="0.25">
      <c r="A2716" s="1">
        <v>359</v>
      </c>
      <c r="B2716" s="17" t="s">
        <v>12423</v>
      </c>
      <c r="C2716" s="2" t="s">
        <v>12424</v>
      </c>
      <c r="D2716" s="15" t="s">
        <v>1303</v>
      </c>
      <c r="E2716" s="9" t="s">
        <v>3404</v>
      </c>
      <c r="F2716" s="9" t="s">
        <v>11930</v>
      </c>
      <c r="G2716" s="9" t="s">
        <v>120</v>
      </c>
      <c r="H2716" s="2" t="s">
        <v>35</v>
      </c>
      <c r="I2716" s="3">
        <v>36808</v>
      </c>
      <c r="J2716" s="9" t="str">
        <f t="shared" ca="1" si="44"/>
        <v>22 ans</v>
      </c>
      <c r="K2716" s="2" t="s">
        <v>68</v>
      </c>
      <c r="L2716" s="2" t="str">
        <f>"735"</f>
        <v>735</v>
      </c>
      <c r="M2716" s="2"/>
      <c r="N2716" s="2" t="str">
        <f>"RUE DES LIARDS"</f>
        <v>RUE DES LIARDS</v>
      </c>
      <c r="O2716" s="2" t="s">
        <v>11725</v>
      </c>
      <c r="P2716" s="9" t="str">
        <f>VLOOKUP($O2716,'Liste des Villes'!$B$2:$B$1128,1,FALSE)</f>
        <v>Saint-Colomban</v>
      </c>
      <c r="Q2716" s="9" t="str">
        <f>IFERROR($P2716,PROPER(VLOOKUP($O2716,'Villes en erreur'!$A$2:$B$72,2,FALSE)))</f>
        <v>Saint-Colomban</v>
      </c>
      <c r="R2716" s="9" t="s">
        <v>11726</v>
      </c>
      <c r="S2716" s="9" t="str">
        <f>IF(ISBLANK($R2716),"",VLOOKUP($R2716,'Liste des Villes'!$B$2:$H$1128,4,FALSE))</f>
        <v>Laurentides</v>
      </c>
      <c r="T2716" s="2" t="s">
        <v>12425</v>
      </c>
      <c r="U2716" s="2" t="s">
        <v>39</v>
      </c>
      <c r="V2716" s="2" t="s">
        <v>40</v>
      </c>
      <c r="W2716" s="2" t="s">
        <v>12426</v>
      </c>
      <c r="X2716" s="2"/>
      <c r="Y2716" s="2"/>
      <c r="Z2716" s="2"/>
      <c r="AA2716" s="2" t="s">
        <v>72</v>
      </c>
      <c r="AB2716" s="2" t="s">
        <v>11733</v>
      </c>
      <c r="AC2716" s="4" t="s">
        <v>44</v>
      </c>
    </row>
    <row r="2717" spans="1:29" x14ac:dyDescent="0.25">
      <c r="A2717" s="1">
        <v>1787</v>
      </c>
      <c r="B2717" s="17" t="s">
        <v>12427</v>
      </c>
      <c r="C2717" s="2" t="s">
        <v>2954</v>
      </c>
      <c r="D2717" s="15" t="s">
        <v>2724</v>
      </c>
      <c r="E2717" s="9" t="s">
        <v>341</v>
      </c>
      <c r="F2717" s="9" t="s">
        <v>2723</v>
      </c>
      <c r="G2717" s="9" t="s">
        <v>450</v>
      </c>
      <c r="H2717" s="2" t="s">
        <v>60</v>
      </c>
      <c r="I2717" s="3">
        <v>36827</v>
      </c>
      <c r="J2717" s="9" t="str">
        <f t="shared" ca="1" si="44"/>
        <v>22 ans</v>
      </c>
      <c r="K2717" s="2" t="s">
        <v>68</v>
      </c>
      <c r="L2717" s="2" t="str">
        <f>"764"</f>
        <v>764</v>
      </c>
      <c r="M2717" s="2"/>
      <c r="N2717" s="2" t="str">
        <f>"RUE DES MÉSANGES"</f>
        <v>RUE DES MÉSANGES</v>
      </c>
      <c r="O2717" s="2" t="s">
        <v>11725</v>
      </c>
      <c r="P2717" s="9" t="str">
        <f>VLOOKUP($O2717,'Liste des Villes'!$B$2:$B$1128,1,FALSE)</f>
        <v>Saint-Colomban</v>
      </c>
      <c r="Q2717" s="9" t="str">
        <f>IFERROR($P2717,PROPER(VLOOKUP($O2717,'Villes en erreur'!$A$2:$B$72,2,FALSE)))</f>
        <v>Saint-Colomban</v>
      </c>
      <c r="R2717" s="9" t="s">
        <v>11726</v>
      </c>
      <c r="S2717" s="9" t="str">
        <f>IF(ISBLANK($R2717),"",VLOOKUP($R2717,'Liste des Villes'!$B$2:$H$1128,4,FALSE))</f>
        <v>Laurentides</v>
      </c>
      <c r="T2717" s="2" t="s">
        <v>12428</v>
      </c>
      <c r="U2717" s="2" t="s">
        <v>39</v>
      </c>
      <c r="V2717" s="2" t="s">
        <v>40</v>
      </c>
      <c r="W2717" s="2" t="s">
        <v>12429</v>
      </c>
      <c r="X2717" s="2"/>
      <c r="Y2717" s="2"/>
      <c r="Z2717" s="2"/>
      <c r="AA2717" s="2" t="s">
        <v>72</v>
      </c>
      <c r="AB2717" s="2" t="s">
        <v>11733</v>
      </c>
      <c r="AC2717" s="4" t="s">
        <v>44</v>
      </c>
    </row>
    <row r="2718" spans="1:29" x14ac:dyDescent="0.25">
      <c r="A2718" s="1">
        <v>3826</v>
      </c>
      <c r="B2718" s="17" t="s">
        <v>12430</v>
      </c>
      <c r="C2718" s="2" t="s">
        <v>12431</v>
      </c>
      <c r="D2718" s="15" t="s">
        <v>5596</v>
      </c>
      <c r="E2718" s="9" t="s">
        <v>1926</v>
      </c>
      <c r="F2718" s="9" t="s">
        <v>982</v>
      </c>
      <c r="G2718" s="9" t="s">
        <v>450</v>
      </c>
      <c r="H2718" s="2" t="s">
        <v>60</v>
      </c>
      <c r="I2718" s="3">
        <v>36826</v>
      </c>
      <c r="J2718" s="9" t="str">
        <f t="shared" ca="1" si="44"/>
        <v>22 ans</v>
      </c>
      <c r="K2718" s="2" t="s">
        <v>68</v>
      </c>
      <c r="L2718" s="2" t="str">
        <f>"761"</f>
        <v>761</v>
      </c>
      <c r="M2718" s="2"/>
      <c r="N2718" s="2" t="str">
        <f>"RUE DES MÉSANGES"</f>
        <v>RUE DES MÉSANGES</v>
      </c>
      <c r="O2718" s="2" t="s">
        <v>11725</v>
      </c>
      <c r="P2718" s="9" t="str">
        <f>VLOOKUP($O2718,'Liste des Villes'!$B$2:$B$1128,1,FALSE)</f>
        <v>Saint-Colomban</v>
      </c>
      <c r="Q2718" s="9" t="str">
        <f>IFERROR($P2718,PROPER(VLOOKUP($O2718,'Villes en erreur'!$A$2:$B$72,2,FALSE)))</f>
        <v>Saint-Colomban</v>
      </c>
      <c r="R2718" s="9" t="s">
        <v>11726</v>
      </c>
      <c r="S2718" s="9" t="str">
        <f>IF(ISBLANK($R2718),"",VLOOKUP($R2718,'Liste des Villes'!$B$2:$H$1128,4,FALSE))</f>
        <v>Laurentides</v>
      </c>
      <c r="T2718" s="2" t="s">
        <v>11823</v>
      </c>
      <c r="U2718" s="2" t="s">
        <v>39</v>
      </c>
      <c r="V2718" s="2" t="s">
        <v>40</v>
      </c>
      <c r="W2718" s="2" t="s">
        <v>12432</v>
      </c>
      <c r="X2718" s="2"/>
      <c r="Y2718" s="2"/>
      <c r="Z2718" s="2"/>
      <c r="AA2718" s="2" t="s">
        <v>72</v>
      </c>
      <c r="AB2718" s="2" t="s">
        <v>11733</v>
      </c>
      <c r="AC2718" s="4" t="s">
        <v>44</v>
      </c>
    </row>
    <row r="2719" spans="1:29" x14ac:dyDescent="0.25">
      <c r="A2719" s="1">
        <v>3283</v>
      </c>
      <c r="B2719" s="17" t="s">
        <v>12433</v>
      </c>
      <c r="C2719" s="2" t="s">
        <v>12434</v>
      </c>
      <c r="D2719" s="15" t="s">
        <v>12435</v>
      </c>
      <c r="E2719" s="9" t="s">
        <v>6943</v>
      </c>
      <c r="F2719" s="9" t="s">
        <v>2434</v>
      </c>
      <c r="G2719" s="9" t="s">
        <v>348</v>
      </c>
      <c r="H2719" s="2" t="s">
        <v>60</v>
      </c>
      <c r="I2719" s="3">
        <v>36791</v>
      </c>
      <c r="J2719" s="9" t="str">
        <f t="shared" ca="1" si="44"/>
        <v>22 ans</v>
      </c>
      <c r="K2719" s="2" t="s">
        <v>68</v>
      </c>
      <c r="L2719" s="2" t="str">
        <f>"707"</f>
        <v>707</v>
      </c>
      <c r="M2719" s="2"/>
      <c r="N2719" s="2" t="str">
        <f>"RUE DES GRISONS"</f>
        <v>RUE DES GRISONS</v>
      </c>
      <c r="O2719" s="2" t="s">
        <v>11725</v>
      </c>
      <c r="P2719" s="9" t="str">
        <f>VLOOKUP($O2719,'Liste des Villes'!$B$2:$B$1128,1,FALSE)</f>
        <v>Saint-Colomban</v>
      </c>
      <c r="Q2719" s="9" t="str">
        <f>IFERROR($P2719,PROPER(VLOOKUP($O2719,'Villes en erreur'!$A$2:$B$72,2,FALSE)))</f>
        <v>Saint-Colomban</v>
      </c>
      <c r="R2719" s="9" t="s">
        <v>11726</v>
      </c>
      <c r="S2719" s="9" t="str">
        <f>IF(ISBLANK($R2719),"",VLOOKUP($R2719,'Liste des Villes'!$B$2:$H$1128,4,FALSE))</f>
        <v>Laurentides</v>
      </c>
      <c r="T2719" s="2" t="s">
        <v>12436</v>
      </c>
      <c r="U2719" s="2" t="s">
        <v>39</v>
      </c>
      <c r="V2719" s="2" t="s">
        <v>40</v>
      </c>
      <c r="W2719" s="2" t="s">
        <v>12437</v>
      </c>
      <c r="X2719" s="2"/>
      <c r="Y2719" s="2"/>
      <c r="Z2719" s="2"/>
      <c r="AA2719" s="2" t="s">
        <v>72</v>
      </c>
      <c r="AB2719" s="2" t="s">
        <v>192</v>
      </c>
      <c r="AC2719" s="4" t="s">
        <v>44</v>
      </c>
    </row>
    <row r="2720" spans="1:29" x14ac:dyDescent="0.25">
      <c r="A2720" s="1">
        <v>204</v>
      </c>
      <c r="B2720" s="17" t="s">
        <v>12438</v>
      </c>
      <c r="C2720" s="2" t="s">
        <v>8361</v>
      </c>
      <c r="D2720" s="15" t="s">
        <v>2233</v>
      </c>
      <c r="E2720" s="9" t="s">
        <v>137</v>
      </c>
      <c r="F2720" s="9" t="s">
        <v>2232</v>
      </c>
      <c r="G2720" s="9" t="s">
        <v>8590</v>
      </c>
      <c r="H2720" s="2" t="s">
        <v>35</v>
      </c>
      <c r="I2720" s="3">
        <v>36838</v>
      </c>
      <c r="J2720" s="9" t="str">
        <f t="shared" ca="1" si="44"/>
        <v>22 ans</v>
      </c>
      <c r="K2720" s="2" t="s">
        <v>68</v>
      </c>
      <c r="L2720" s="2" t="str">
        <f>"780"</f>
        <v>780</v>
      </c>
      <c r="M2720" s="2"/>
      <c r="N2720" s="2" t="str">
        <f>"RUE DES PATRIOTES"</f>
        <v>RUE DES PATRIOTES</v>
      </c>
      <c r="O2720" s="2" t="s">
        <v>11725</v>
      </c>
      <c r="P2720" s="9" t="str">
        <f>VLOOKUP($O2720,'Liste des Villes'!$B$2:$B$1128,1,FALSE)</f>
        <v>Saint-Colomban</v>
      </c>
      <c r="Q2720" s="9" t="str">
        <f>IFERROR($P2720,PROPER(VLOOKUP($O2720,'Villes en erreur'!$A$2:$B$72,2,FALSE)))</f>
        <v>Saint-Colomban</v>
      </c>
      <c r="R2720" s="9" t="s">
        <v>11726</v>
      </c>
      <c r="S2720" s="9" t="str">
        <f>IF(ISBLANK($R2720),"",VLOOKUP($R2720,'Liste des Villes'!$B$2:$H$1128,4,FALSE))</f>
        <v>Laurentides</v>
      </c>
      <c r="T2720" s="2" t="s">
        <v>12048</v>
      </c>
      <c r="U2720" s="2" t="s">
        <v>39</v>
      </c>
      <c r="V2720" s="2" t="s">
        <v>40</v>
      </c>
      <c r="W2720" s="2" t="s">
        <v>12439</v>
      </c>
      <c r="X2720" s="2"/>
      <c r="Y2720" s="2"/>
      <c r="Z2720" s="2"/>
      <c r="AA2720" s="2" t="s">
        <v>72</v>
      </c>
      <c r="AB2720" s="2" t="s">
        <v>11748</v>
      </c>
      <c r="AC2720" s="4" t="s">
        <v>44</v>
      </c>
    </row>
    <row r="2721" spans="1:29" x14ac:dyDescent="0.25">
      <c r="A2721" s="1">
        <v>3193</v>
      </c>
      <c r="B2721" s="17" t="s">
        <v>12440</v>
      </c>
      <c r="C2721" s="2" t="s">
        <v>3782</v>
      </c>
      <c r="D2721" s="15" t="s">
        <v>3783</v>
      </c>
      <c r="E2721" s="9" t="s">
        <v>179</v>
      </c>
      <c r="F2721" s="9" t="s">
        <v>8089</v>
      </c>
      <c r="G2721" s="9" t="s">
        <v>348</v>
      </c>
      <c r="H2721" s="2" t="s">
        <v>60</v>
      </c>
      <c r="I2721" s="3">
        <v>36789</v>
      </c>
      <c r="J2721" s="9" t="str">
        <f t="shared" ca="1" si="44"/>
        <v>22 ans</v>
      </c>
      <c r="K2721" s="2" t="s">
        <v>68</v>
      </c>
      <c r="L2721" s="2" t="str">
        <f>"704"</f>
        <v>704</v>
      </c>
      <c r="M2721" s="2"/>
      <c r="N2721" s="2" t="str">
        <f>"RUE DES GOÉLANDS"</f>
        <v>RUE DES GOÉLANDS</v>
      </c>
      <c r="O2721" s="2" t="s">
        <v>11725</v>
      </c>
      <c r="P2721" s="9" t="str">
        <f>VLOOKUP($O2721,'Liste des Villes'!$B$2:$B$1128,1,FALSE)</f>
        <v>Saint-Colomban</v>
      </c>
      <c r="Q2721" s="9" t="str">
        <f>IFERROR($P2721,PROPER(VLOOKUP($O2721,'Villes en erreur'!$A$2:$B$72,2,FALSE)))</f>
        <v>Saint-Colomban</v>
      </c>
      <c r="R2721" s="9" t="s">
        <v>11726</v>
      </c>
      <c r="S2721" s="9" t="str">
        <f>IF(ISBLANK($R2721),"",VLOOKUP($R2721,'Liste des Villes'!$B$2:$H$1128,4,FALSE))</f>
        <v>Laurentides</v>
      </c>
      <c r="T2721" s="2" t="s">
        <v>12441</v>
      </c>
      <c r="U2721" s="2" t="s">
        <v>39</v>
      </c>
      <c r="V2721" s="2" t="s">
        <v>40</v>
      </c>
      <c r="W2721" s="2" t="s">
        <v>12442</v>
      </c>
      <c r="X2721" s="2"/>
      <c r="Y2721" s="2"/>
      <c r="Z2721" s="2"/>
      <c r="AA2721" s="2" t="s">
        <v>72</v>
      </c>
      <c r="AB2721" s="2" t="s">
        <v>192</v>
      </c>
      <c r="AC2721" s="4" t="s">
        <v>44</v>
      </c>
    </row>
    <row r="2722" spans="1:29" x14ac:dyDescent="0.25">
      <c r="A2722" s="1">
        <v>4353</v>
      </c>
      <c r="B2722" s="17" t="s">
        <v>12443</v>
      </c>
      <c r="C2722" s="2" t="s">
        <v>12444</v>
      </c>
      <c r="D2722" s="15" t="s">
        <v>12445</v>
      </c>
      <c r="E2722" s="9" t="s">
        <v>277</v>
      </c>
      <c r="F2722" s="9" t="s">
        <v>12446</v>
      </c>
      <c r="G2722" s="9" t="s">
        <v>348</v>
      </c>
      <c r="H2722" s="2" t="s">
        <v>60</v>
      </c>
      <c r="I2722" s="3">
        <v>36781</v>
      </c>
      <c r="J2722" s="9" t="str">
        <f t="shared" ca="1" si="44"/>
        <v>22 ans</v>
      </c>
      <c r="K2722" s="2" t="s">
        <v>68</v>
      </c>
      <c r="L2722" s="2" t="str">
        <f>"698"</f>
        <v>698</v>
      </c>
      <c r="M2722" s="2"/>
      <c r="N2722" s="2" t="str">
        <f>"RUE DES FRANCS-BOURGEOIS"</f>
        <v>RUE DES FRANCS-BOURGEOIS</v>
      </c>
      <c r="O2722" s="2" t="s">
        <v>11725</v>
      </c>
      <c r="P2722" s="9" t="str">
        <f>VLOOKUP($O2722,'Liste des Villes'!$B$2:$B$1128,1,FALSE)</f>
        <v>Saint-Colomban</v>
      </c>
      <c r="Q2722" s="9" t="str">
        <f>IFERROR($P2722,PROPER(VLOOKUP($O2722,'Villes en erreur'!$A$2:$B$72,2,FALSE)))</f>
        <v>Saint-Colomban</v>
      </c>
      <c r="R2722" s="9" t="s">
        <v>11726</v>
      </c>
      <c r="S2722" s="9" t="str">
        <f>IF(ISBLANK($R2722),"",VLOOKUP($R2722,'Liste des Villes'!$B$2:$H$1128,4,FALSE))</f>
        <v>Laurentides</v>
      </c>
      <c r="T2722" s="2" t="s">
        <v>12447</v>
      </c>
      <c r="U2722" s="2" t="s">
        <v>39</v>
      </c>
      <c r="V2722" s="2" t="s">
        <v>40</v>
      </c>
      <c r="W2722" s="2" t="s">
        <v>12448</v>
      </c>
      <c r="X2722" s="2"/>
      <c r="Y2722" s="2"/>
      <c r="Z2722" s="2"/>
      <c r="AA2722" s="2" t="s">
        <v>72</v>
      </c>
      <c r="AB2722" s="2" t="s">
        <v>192</v>
      </c>
      <c r="AC2722" s="4" t="s">
        <v>44</v>
      </c>
    </row>
    <row r="2723" spans="1:29" x14ac:dyDescent="0.25">
      <c r="A2723" s="1">
        <v>481</v>
      </c>
      <c r="B2723" s="17" t="s">
        <v>12449</v>
      </c>
      <c r="C2723" s="2" t="s">
        <v>12450</v>
      </c>
      <c r="D2723" s="15" t="s">
        <v>7085</v>
      </c>
      <c r="E2723" s="9" t="s">
        <v>3463</v>
      </c>
      <c r="F2723" s="9" t="s">
        <v>2841</v>
      </c>
      <c r="G2723" s="9" t="s">
        <v>12451</v>
      </c>
      <c r="H2723" s="2" t="s">
        <v>60</v>
      </c>
      <c r="I2723" s="3">
        <v>36853</v>
      </c>
      <c r="J2723" s="9" t="str">
        <f t="shared" ca="1" si="44"/>
        <v>22 ans</v>
      </c>
      <c r="K2723" s="2" t="s">
        <v>68</v>
      </c>
      <c r="L2723" s="2" t="str">
        <f>"812"</f>
        <v>812</v>
      </c>
      <c r="M2723" s="2"/>
      <c r="N2723" s="2" t="str">
        <f>"RUE DES PIONNIERS"</f>
        <v>RUE DES PIONNIERS</v>
      </c>
      <c r="O2723" s="2" t="s">
        <v>11725</v>
      </c>
      <c r="P2723" s="9" t="str">
        <f>VLOOKUP($O2723,'Liste des Villes'!$B$2:$B$1128,1,FALSE)</f>
        <v>Saint-Colomban</v>
      </c>
      <c r="Q2723" s="9" t="str">
        <f>IFERROR($P2723,PROPER(VLOOKUP($O2723,'Villes en erreur'!$A$2:$B$72,2,FALSE)))</f>
        <v>Saint-Colomban</v>
      </c>
      <c r="R2723" s="9" t="s">
        <v>11726</v>
      </c>
      <c r="S2723" s="9" t="str">
        <f>IF(ISBLANK($R2723),"",VLOOKUP($R2723,'Liste des Villes'!$B$2:$H$1128,4,FALSE))</f>
        <v>Laurentides</v>
      </c>
      <c r="T2723" s="2" t="s">
        <v>12452</v>
      </c>
      <c r="U2723" s="2" t="s">
        <v>39</v>
      </c>
      <c r="V2723" s="2" t="s">
        <v>40</v>
      </c>
      <c r="W2723" s="2" t="s">
        <v>12453</v>
      </c>
      <c r="X2723" s="2"/>
      <c r="Y2723" s="2"/>
      <c r="Z2723" s="2"/>
      <c r="AA2723" s="2" t="s">
        <v>606</v>
      </c>
      <c r="AB2723" s="2" t="s">
        <v>161</v>
      </c>
      <c r="AC2723" s="4" t="s">
        <v>44</v>
      </c>
    </row>
    <row r="2724" spans="1:29" x14ac:dyDescent="0.25">
      <c r="A2724" s="1">
        <v>4341</v>
      </c>
      <c r="B2724" s="17" t="s">
        <v>12454</v>
      </c>
      <c r="C2724" s="2" t="s">
        <v>12455</v>
      </c>
      <c r="D2724" s="15" t="s">
        <v>10898</v>
      </c>
      <c r="E2724" s="9" t="s">
        <v>325</v>
      </c>
      <c r="F2724" s="9" t="s">
        <v>11389</v>
      </c>
      <c r="G2724" s="9" t="s">
        <v>120</v>
      </c>
      <c r="H2724" s="2" t="s">
        <v>35</v>
      </c>
      <c r="I2724" s="3">
        <v>36807</v>
      </c>
      <c r="J2724" s="9" t="str">
        <f t="shared" ca="1" si="44"/>
        <v>22 ans</v>
      </c>
      <c r="K2724" s="2" t="s">
        <v>68</v>
      </c>
      <c r="L2724" s="2" t="str">
        <f>"734"</f>
        <v>734</v>
      </c>
      <c r="M2724" s="2"/>
      <c r="N2724" s="2" t="str">
        <f>"RUE DES LIARDS"</f>
        <v>RUE DES LIARDS</v>
      </c>
      <c r="O2724" s="2" t="s">
        <v>11725</v>
      </c>
      <c r="P2724" s="9" t="str">
        <f>VLOOKUP($O2724,'Liste des Villes'!$B$2:$B$1128,1,FALSE)</f>
        <v>Saint-Colomban</v>
      </c>
      <c r="Q2724" s="9" t="str">
        <f>IFERROR($P2724,PROPER(VLOOKUP($O2724,'Villes en erreur'!$A$2:$B$72,2,FALSE)))</f>
        <v>Saint-Colomban</v>
      </c>
      <c r="R2724" s="9" t="s">
        <v>11726</v>
      </c>
      <c r="S2724" s="9" t="str">
        <f>IF(ISBLANK($R2724),"",VLOOKUP($R2724,'Liste des Villes'!$B$2:$H$1128,4,FALSE))</f>
        <v>Laurentides</v>
      </c>
      <c r="T2724" s="2" t="s">
        <v>12456</v>
      </c>
      <c r="U2724" s="2" t="s">
        <v>39</v>
      </c>
      <c r="V2724" s="2" t="s">
        <v>40</v>
      </c>
      <c r="W2724" s="2" t="s">
        <v>12457</v>
      </c>
      <c r="X2724" s="2"/>
      <c r="Y2724" s="2"/>
      <c r="Z2724" s="2"/>
      <c r="AA2724" s="2" t="s">
        <v>72</v>
      </c>
      <c r="AB2724" s="2" t="s">
        <v>11733</v>
      </c>
      <c r="AC2724" s="4" t="s">
        <v>44</v>
      </c>
    </row>
    <row r="2725" spans="1:29" x14ac:dyDescent="0.25">
      <c r="A2725" s="1">
        <v>2998</v>
      </c>
      <c r="B2725" s="17" t="s">
        <v>12458</v>
      </c>
      <c r="C2725" s="2" t="s">
        <v>12459</v>
      </c>
      <c r="D2725" s="15" t="s">
        <v>8214</v>
      </c>
      <c r="E2725" s="9" t="s">
        <v>3364</v>
      </c>
      <c r="F2725" s="9" t="s">
        <v>8213</v>
      </c>
      <c r="G2725" s="9" t="s">
        <v>3066</v>
      </c>
      <c r="H2725" s="2" t="s">
        <v>60</v>
      </c>
      <c r="I2725" s="3">
        <v>36836</v>
      </c>
      <c r="J2725" s="9" t="str">
        <f t="shared" ca="1" si="44"/>
        <v>22 ans</v>
      </c>
      <c r="K2725" s="2" t="s">
        <v>68</v>
      </c>
      <c r="L2725" s="2" t="str">
        <f>"775"</f>
        <v>775</v>
      </c>
      <c r="M2725" s="2"/>
      <c r="N2725" s="2" t="str">
        <f>"RUE DES OUTARDES"</f>
        <v>RUE DES OUTARDES</v>
      </c>
      <c r="O2725" s="2" t="s">
        <v>11725</v>
      </c>
      <c r="P2725" s="9" t="str">
        <f>VLOOKUP($O2725,'Liste des Villes'!$B$2:$B$1128,1,FALSE)</f>
        <v>Saint-Colomban</v>
      </c>
      <c r="Q2725" s="9" t="str">
        <f>IFERROR($P2725,PROPER(VLOOKUP($O2725,'Villes en erreur'!$A$2:$B$72,2,FALSE)))</f>
        <v>Saint-Colomban</v>
      </c>
      <c r="R2725" s="9" t="s">
        <v>11726</v>
      </c>
      <c r="S2725" s="9" t="str">
        <f>IF(ISBLANK($R2725),"",VLOOKUP($R2725,'Liste des Villes'!$B$2:$H$1128,4,FALSE))</f>
        <v>Laurentides</v>
      </c>
      <c r="T2725" s="2" t="s">
        <v>12224</v>
      </c>
      <c r="U2725" s="2" t="s">
        <v>39</v>
      </c>
      <c r="V2725" s="2" t="s">
        <v>40</v>
      </c>
      <c r="W2725" s="2" t="s">
        <v>12225</v>
      </c>
      <c r="X2725" s="2"/>
      <c r="Y2725" s="2"/>
      <c r="Z2725" s="2"/>
      <c r="AA2725" s="2" t="s">
        <v>72</v>
      </c>
      <c r="AB2725" s="2" t="s">
        <v>11748</v>
      </c>
      <c r="AC2725" s="4" t="s">
        <v>44</v>
      </c>
    </row>
    <row r="2726" spans="1:29" x14ac:dyDescent="0.25">
      <c r="A2726" s="1">
        <v>4337</v>
      </c>
      <c r="B2726" s="17" t="s">
        <v>12460</v>
      </c>
      <c r="C2726" s="2" t="s">
        <v>12461</v>
      </c>
      <c r="D2726" s="15" t="s">
        <v>1990</v>
      </c>
      <c r="E2726" s="9" t="s">
        <v>8738</v>
      </c>
      <c r="F2726" s="9" t="s">
        <v>164</v>
      </c>
      <c r="G2726" s="9" t="s">
        <v>751</v>
      </c>
      <c r="H2726" s="2" t="s">
        <v>35</v>
      </c>
      <c r="I2726" s="3">
        <v>36817</v>
      </c>
      <c r="J2726" s="9" t="str">
        <f t="shared" ca="1" si="44"/>
        <v>22 ans</v>
      </c>
      <c r="K2726" s="2" t="s">
        <v>68</v>
      </c>
      <c r="L2726" s="2" t="str">
        <f>"745"</f>
        <v>745</v>
      </c>
      <c r="M2726" s="2"/>
      <c r="N2726" s="2" t="str">
        <f>"RUE DES MANDOLINES"</f>
        <v>RUE DES MANDOLINES</v>
      </c>
      <c r="O2726" s="2" t="s">
        <v>11725</v>
      </c>
      <c r="P2726" s="9" t="str">
        <f>VLOOKUP($O2726,'Liste des Villes'!$B$2:$B$1128,1,FALSE)</f>
        <v>Saint-Colomban</v>
      </c>
      <c r="Q2726" s="9" t="str">
        <f>IFERROR($P2726,PROPER(VLOOKUP($O2726,'Villes en erreur'!$A$2:$B$72,2,FALSE)))</f>
        <v>Saint-Colomban</v>
      </c>
      <c r="R2726" s="9" t="s">
        <v>11726</v>
      </c>
      <c r="S2726" s="9" t="str">
        <f>IF(ISBLANK($R2726),"",VLOOKUP($R2726,'Liste des Villes'!$B$2:$H$1128,4,FALSE))</f>
        <v>Laurentides</v>
      </c>
      <c r="T2726" s="2" t="s">
        <v>12462</v>
      </c>
      <c r="U2726" s="2" t="s">
        <v>39</v>
      </c>
      <c r="V2726" s="2" t="s">
        <v>40</v>
      </c>
      <c r="W2726" s="2" t="s">
        <v>12463</v>
      </c>
      <c r="X2726" s="2"/>
      <c r="Y2726" s="2"/>
      <c r="Z2726" s="2"/>
      <c r="AA2726" s="2" t="s">
        <v>72</v>
      </c>
      <c r="AB2726" s="2" t="s">
        <v>11733</v>
      </c>
      <c r="AC2726" s="4" t="s">
        <v>44</v>
      </c>
    </row>
    <row r="2727" spans="1:29" x14ac:dyDescent="0.25">
      <c r="A2727" s="1">
        <v>1974</v>
      </c>
      <c r="B2727" s="17" t="s">
        <v>12464</v>
      </c>
      <c r="C2727" s="2" t="s">
        <v>12465</v>
      </c>
      <c r="D2727" s="15" t="s">
        <v>1845</v>
      </c>
      <c r="E2727" s="9" t="s">
        <v>12466</v>
      </c>
      <c r="F2727" s="9" t="s">
        <v>1843</v>
      </c>
      <c r="G2727" s="9" t="s">
        <v>293</v>
      </c>
      <c r="H2727" s="2" t="s">
        <v>60</v>
      </c>
      <c r="I2727" s="3">
        <v>36846</v>
      </c>
      <c r="J2727" s="9" t="str">
        <f t="shared" ca="1" si="44"/>
        <v>22 ans</v>
      </c>
      <c r="K2727" s="2" t="s">
        <v>68</v>
      </c>
      <c r="L2727" s="2" t="str">
        <f>"792"</f>
        <v>792</v>
      </c>
      <c r="M2727" s="2"/>
      <c r="N2727" s="2" t="str">
        <f>"RUE DES PEUPLIERS"</f>
        <v>RUE DES PEUPLIERS</v>
      </c>
      <c r="O2727" s="2" t="s">
        <v>11725</v>
      </c>
      <c r="P2727" s="9" t="str">
        <f>VLOOKUP($O2727,'Liste des Villes'!$B$2:$B$1128,1,FALSE)</f>
        <v>Saint-Colomban</v>
      </c>
      <c r="Q2727" s="9" t="str">
        <f>IFERROR($P2727,PROPER(VLOOKUP($O2727,'Villes en erreur'!$A$2:$B$72,2,FALSE)))</f>
        <v>Saint-Colomban</v>
      </c>
      <c r="R2727" s="9" t="s">
        <v>11726</v>
      </c>
      <c r="S2727" s="9" t="str">
        <f>IF(ISBLANK($R2727),"",VLOOKUP($R2727,'Liste des Villes'!$B$2:$H$1128,4,FALSE))</f>
        <v>Laurentides</v>
      </c>
      <c r="T2727" s="2" t="s">
        <v>12467</v>
      </c>
      <c r="U2727" s="2" t="s">
        <v>39</v>
      </c>
      <c r="V2727" s="2" t="s">
        <v>40</v>
      </c>
      <c r="W2727" s="2" t="s">
        <v>11809</v>
      </c>
      <c r="X2727" s="2"/>
      <c r="Y2727" s="2"/>
      <c r="Z2727" s="2"/>
      <c r="AA2727" s="2" t="s">
        <v>606</v>
      </c>
      <c r="AB2727" s="2" t="s">
        <v>11748</v>
      </c>
      <c r="AC2727" s="4" t="s">
        <v>44</v>
      </c>
    </row>
    <row r="2728" spans="1:29" x14ac:dyDescent="0.25">
      <c r="A2728" s="1">
        <v>562</v>
      </c>
      <c r="B2728" s="17" t="s">
        <v>12468</v>
      </c>
      <c r="C2728" s="2" t="s">
        <v>12469</v>
      </c>
      <c r="D2728" s="15" t="s">
        <v>1923</v>
      </c>
      <c r="E2728" s="9" t="s">
        <v>2872</v>
      </c>
      <c r="F2728" s="9" t="s">
        <v>1446</v>
      </c>
      <c r="G2728" s="9" t="s">
        <v>12470</v>
      </c>
      <c r="H2728" s="2" t="s">
        <v>60</v>
      </c>
      <c r="I2728" s="3">
        <v>36776</v>
      </c>
      <c r="J2728" s="9" t="str">
        <f t="shared" ca="1" si="44"/>
        <v>22 ans</v>
      </c>
      <c r="K2728" s="2" t="s">
        <v>68</v>
      </c>
      <c r="L2728" s="2" t="str">
        <f>"690"</f>
        <v>690</v>
      </c>
      <c r="M2728" s="2"/>
      <c r="N2728" s="2" t="str">
        <f>"RUE DES FOUGÈRES"</f>
        <v>RUE DES FOUGÈRES</v>
      </c>
      <c r="O2728" s="2" t="s">
        <v>11725</v>
      </c>
      <c r="P2728" s="9" t="str">
        <f>VLOOKUP($O2728,'Liste des Villes'!$B$2:$B$1128,1,FALSE)</f>
        <v>Saint-Colomban</v>
      </c>
      <c r="Q2728" s="9" t="str">
        <f>IFERROR($P2728,PROPER(VLOOKUP($O2728,'Villes en erreur'!$A$2:$B$72,2,FALSE)))</f>
        <v>Saint-Colomban</v>
      </c>
      <c r="R2728" s="9" t="s">
        <v>11726</v>
      </c>
      <c r="S2728" s="9" t="str">
        <f>IF(ISBLANK($R2728),"",VLOOKUP($R2728,'Liste des Villes'!$B$2:$H$1128,4,FALSE))</f>
        <v>Laurentides</v>
      </c>
      <c r="T2728" s="2" t="s">
        <v>12471</v>
      </c>
      <c r="U2728" s="2" t="s">
        <v>39</v>
      </c>
      <c r="V2728" s="2" t="s">
        <v>40</v>
      </c>
      <c r="W2728" s="2" t="s">
        <v>12472</v>
      </c>
      <c r="X2728" s="2"/>
      <c r="Y2728" s="2"/>
      <c r="Z2728" s="2"/>
      <c r="AA2728" s="2" t="s">
        <v>72</v>
      </c>
      <c r="AB2728" s="2" t="s">
        <v>192</v>
      </c>
      <c r="AC2728" s="4" t="s">
        <v>44</v>
      </c>
    </row>
    <row r="2729" spans="1:29" x14ac:dyDescent="0.25">
      <c r="A2729" s="1">
        <v>2946</v>
      </c>
      <c r="B2729" s="17" t="s">
        <v>12473</v>
      </c>
      <c r="C2729" s="2" t="s">
        <v>5606</v>
      </c>
      <c r="D2729" s="15" t="s">
        <v>292</v>
      </c>
      <c r="E2729" s="9" t="s">
        <v>5607</v>
      </c>
      <c r="F2729" s="9" t="s">
        <v>1502</v>
      </c>
      <c r="G2729" s="9" t="s">
        <v>751</v>
      </c>
      <c r="H2729" s="2" t="s">
        <v>35</v>
      </c>
      <c r="I2729" s="3">
        <v>36818</v>
      </c>
      <c r="J2729" s="9" t="str">
        <f t="shared" ca="1" si="44"/>
        <v>22 ans</v>
      </c>
      <c r="K2729" s="2" t="s">
        <v>68</v>
      </c>
      <c r="L2729" s="2" t="str">
        <f>"749"</f>
        <v>749</v>
      </c>
      <c r="M2729" s="2"/>
      <c r="N2729" s="2" t="str">
        <f>"RUE DES MANDOLINES"</f>
        <v>RUE DES MANDOLINES</v>
      </c>
      <c r="O2729" s="2" t="s">
        <v>11725</v>
      </c>
      <c r="P2729" s="9" t="str">
        <f>VLOOKUP($O2729,'Liste des Villes'!$B$2:$B$1128,1,FALSE)</f>
        <v>Saint-Colomban</v>
      </c>
      <c r="Q2729" s="9" t="str">
        <f>IFERROR($P2729,PROPER(VLOOKUP($O2729,'Villes en erreur'!$A$2:$B$72,2,FALSE)))</f>
        <v>Saint-Colomban</v>
      </c>
      <c r="R2729" s="9" t="s">
        <v>11726</v>
      </c>
      <c r="S2729" s="9" t="str">
        <f>IF(ISBLANK($R2729),"",VLOOKUP($R2729,'Liste des Villes'!$B$2:$H$1128,4,FALSE))</f>
        <v>Laurentides</v>
      </c>
      <c r="T2729" s="2" t="s">
        <v>12474</v>
      </c>
      <c r="U2729" s="2" t="s">
        <v>39</v>
      </c>
      <c r="V2729" s="2" t="s">
        <v>40</v>
      </c>
      <c r="W2729" s="2" t="s">
        <v>12475</v>
      </c>
      <c r="X2729" s="2"/>
      <c r="Y2729" s="2"/>
      <c r="Z2729" s="2"/>
      <c r="AA2729" s="2" t="s">
        <v>72</v>
      </c>
      <c r="AB2729" s="2" t="s">
        <v>11733</v>
      </c>
      <c r="AC2729" s="4" t="s">
        <v>44</v>
      </c>
    </row>
    <row r="2730" spans="1:29" x14ac:dyDescent="0.25">
      <c r="A2730" s="1">
        <v>3893</v>
      </c>
      <c r="B2730" s="17" t="s">
        <v>12476</v>
      </c>
      <c r="C2730" s="2" t="s">
        <v>6633</v>
      </c>
      <c r="D2730" s="15" t="s">
        <v>6634</v>
      </c>
      <c r="E2730" s="9" t="s">
        <v>775</v>
      </c>
      <c r="F2730" s="9" t="s">
        <v>3765</v>
      </c>
      <c r="G2730" s="9" t="s">
        <v>5334</v>
      </c>
      <c r="H2730" s="2" t="s">
        <v>35</v>
      </c>
      <c r="I2730" s="3">
        <v>36834</v>
      </c>
      <c r="J2730" s="9" t="str">
        <f t="shared" ca="1" si="44"/>
        <v>22 ans</v>
      </c>
      <c r="K2730" s="2" t="s">
        <v>68</v>
      </c>
      <c r="L2730" s="2" t="str">
        <f>"774"</f>
        <v>774</v>
      </c>
      <c r="M2730" s="2"/>
      <c r="N2730" s="2" t="str">
        <f>"RUE DES OUTARDES"</f>
        <v>RUE DES OUTARDES</v>
      </c>
      <c r="O2730" s="2" t="s">
        <v>11725</v>
      </c>
      <c r="P2730" s="9" t="str">
        <f>VLOOKUP($O2730,'Liste des Villes'!$B$2:$B$1128,1,FALSE)</f>
        <v>Saint-Colomban</v>
      </c>
      <c r="Q2730" s="9" t="str">
        <f>IFERROR($P2730,PROPER(VLOOKUP($O2730,'Villes en erreur'!$A$2:$B$72,2,FALSE)))</f>
        <v>Saint-Colomban</v>
      </c>
      <c r="R2730" s="9" t="s">
        <v>11726</v>
      </c>
      <c r="S2730" s="9" t="str">
        <f>IF(ISBLANK($R2730),"",VLOOKUP($R2730,'Liste des Villes'!$B$2:$H$1128,4,FALSE))</f>
        <v>Laurentides</v>
      </c>
      <c r="T2730" s="2" t="s">
        <v>12477</v>
      </c>
      <c r="U2730" s="2" t="s">
        <v>39</v>
      </c>
      <c r="V2730" s="2" t="s">
        <v>40</v>
      </c>
      <c r="W2730" s="2" t="s">
        <v>12478</v>
      </c>
      <c r="X2730" s="2"/>
      <c r="Y2730" s="2"/>
      <c r="Z2730" s="2"/>
      <c r="AA2730" s="2" t="s">
        <v>72</v>
      </c>
      <c r="AB2730" s="2" t="s">
        <v>11748</v>
      </c>
      <c r="AC2730" s="4" t="s">
        <v>44</v>
      </c>
    </row>
    <row r="2731" spans="1:29" x14ac:dyDescent="0.25">
      <c r="A2731" s="1">
        <v>2143</v>
      </c>
      <c r="B2731" s="17" t="s">
        <v>12479</v>
      </c>
      <c r="C2731" s="2" t="s">
        <v>6243</v>
      </c>
      <c r="D2731" s="15" t="s">
        <v>2010</v>
      </c>
      <c r="E2731" s="9" t="s">
        <v>6244</v>
      </c>
      <c r="F2731" s="9" t="s">
        <v>1076</v>
      </c>
      <c r="G2731" s="9" t="s">
        <v>120</v>
      </c>
      <c r="H2731" s="2" t="s">
        <v>35</v>
      </c>
      <c r="I2731" s="3">
        <v>36813</v>
      </c>
      <c r="J2731" s="9" t="str">
        <f t="shared" ca="1" si="44"/>
        <v>22 ans</v>
      </c>
      <c r="K2731" s="2" t="s">
        <v>68</v>
      </c>
      <c r="L2731" s="2" t="str">
        <f>"739"</f>
        <v>739</v>
      </c>
      <c r="M2731" s="2"/>
      <c r="N2731" s="2" t="str">
        <f>"RUE DES LOTUS"</f>
        <v>RUE DES LOTUS</v>
      </c>
      <c r="O2731" s="2" t="s">
        <v>11725</v>
      </c>
      <c r="P2731" s="9" t="str">
        <f>VLOOKUP($O2731,'Liste des Villes'!$B$2:$B$1128,1,FALSE)</f>
        <v>Saint-Colomban</v>
      </c>
      <c r="Q2731" s="9" t="str">
        <f>IFERROR($P2731,PROPER(VLOOKUP($O2731,'Villes en erreur'!$A$2:$B$72,2,FALSE)))</f>
        <v>Saint-Colomban</v>
      </c>
      <c r="R2731" s="9" t="s">
        <v>11726</v>
      </c>
      <c r="S2731" s="9" t="str">
        <f>IF(ISBLANK($R2731),"",VLOOKUP($R2731,'Liste des Villes'!$B$2:$H$1128,4,FALSE))</f>
        <v>Laurentides</v>
      </c>
      <c r="T2731" s="2" t="s">
        <v>12480</v>
      </c>
      <c r="U2731" s="2" t="s">
        <v>39</v>
      </c>
      <c r="V2731" s="2" t="s">
        <v>40</v>
      </c>
      <c r="W2731" s="2" t="s">
        <v>12481</v>
      </c>
      <c r="X2731" s="2"/>
      <c r="Y2731" s="2"/>
      <c r="Z2731" s="2"/>
      <c r="AA2731" s="2" t="s">
        <v>72</v>
      </c>
      <c r="AB2731" s="2" t="s">
        <v>11733</v>
      </c>
      <c r="AC2731" s="4" t="s">
        <v>44</v>
      </c>
    </row>
    <row r="2732" spans="1:29" x14ac:dyDescent="0.25">
      <c r="A2732" s="1">
        <v>182</v>
      </c>
      <c r="B2732" s="17" t="s">
        <v>12482</v>
      </c>
      <c r="C2732" s="2" t="s">
        <v>12483</v>
      </c>
      <c r="D2732" s="15" t="s">
        <v>2410</v>
      </c>
      <c r="E2732" s="9" t="s">
        <v>12484</v>
      </c>
      <c r="F2732" s="9" t="s">
        <v>2409</v>
      </c>
      <c r="G2732" s="9" t="s">
        <v>1236</v>
      </c>
      <c r="H2732" s="2" t="s">
        <v>35</v>
      </c>
      <c r="I2732" s="3">
        <v>36878</v>
      </c>
      <c r="J2732" s="9" t="str">
        <f t="shared" ca="1" si="44"/>
        <v>22 ans</v>
      </c>
      <c r="K2732" s="2" t="s">
        <v>68</v>
      </c>
      <c r="L2732" s="2" t="str">
        <f>"862"</f>
        <v>862</v>
      </c>
      <c r="M2732" s="2"/>
      <c r="N2732" s="2" t="str">
        <f>"RUE DES SARCELLES"</f>
        <v>RUE DES SARCELLES</v>
      </c>
      <c r="O2732" s="2" t="s">
        <v>11725</v>
      </c>
      <c r="P2732" s="9" t="str">
        <f>VLOOKUP($O2732,'Liste des Villes'!$B$2:$B$1128,1,FALSE)</f>
        <v>Saint-Colomban</v>
      </c>
      <c r="Q2732" s="9" t="str">
        <f>IFERROR($P2732,PROPER(VLOOKUP($O2732,'Villes en erreur'!$A$2:$B$72,2,FALSE)))</f>
        <v>Saint-Colomban</v>
      </c>
      <c r="R2732" s="9" t="s">
        <v>11726</v>
      </c>
      <c r="S2732" s="9" t="str">
        <f>IF(ISBLANK($R2732),"",VLOOKUP($R2732,'Liste des Villes'!$B$2:$H$1128,4,FALSE))</f>
        <v>Laurentides</v>
      </c>
      <c r="T2732" s="2" t="s">
        <v>11931</v>
      </c>
      <c r="U2732" s="2" t="s">
        <v>39</v>
      </c>
      <c r="V2732" s="2" t="s">
        <v>40</v>
      </c>
      <c r="W2732" s="2" t="s">
        <v>12485</v>
      </c>
      <c r="X2732" s="2"/>
      <c r="Y2732" s="2"/>
      <c r="Z2732" s="2"/>
      <c r="AA2732" s="2" t="s">
        <v>606</v>
      </c>
      <c r="AB2732" s="2" t="s">
        <v>161</v>
      </c>
      <c r="AC2732" s="4" t="s">
        <v>44</v>
      </c>
    </row>
    <row r="2733" spans="1:29" x14ac:dyDescent="0.25">
      <c r="A2733" s="1">
        <v>2097</v>
      </c>
      <c r="B2733" s="17" t="s">
        <v>12486</v>
      </c>
      <c r="C2733" s="2" t="s">
        <v>8970</v>
      </c>
      <c r="D2733" s="15" t="s">
        <v>8971</v>
      </c>
      <c r="E2733" s="9" t="s">
        <v>1024</v>
      </c>
      <c r="F2733" s="9" t="s">
        <v>9387</v>
      </c>
      <c r="G2733" s="9" t="s">
        <v>4798</v>
      </c>
      <c r="H2733" s="2" t="s">
        <v>60</v>
      </c>
      <c r="I2733" s="3">
        <v>36768</v>
      </c>
      <c r="J2733" s="9" t="str">
        <f t="shared" ca="1" si="44"/>
        <v>22 ans</v>
      </c>
      <c r="K2733" s="2" t="s">
        <v>68</v>
      </c>
      <c r="L2733" s="2" t="str">
        <f>"680"</f>
        <v>680</v>
      </c>
      <c r="M2733" s="2"/>
      <c r="N2733" s="2" t="str">
        <f>"RUE DES ÉRABLES"</f>
        <v>RUE DES ÉRABLES</v>
      </c>
      <c r="O2733" s="2" t="s">
        <v>11725</v>
      </c>
      <c r="P2733" s="9" t="str">
        <f>VLOOKUP($O2733,'Liste des Villes'!$B$2:$B$1128,1,FALSE)</f>
        <v>Saint-Colomban</v>
      </c>
      <c r="Q2733" s="9" t="str">
        <f>IFERROR($P2733,PROPER(VLOOKUP($O2733,'Villes en erreur'!$A$2:$B$72,2,FALSE)))</f>
        <v>Saint-Colomban</v>
      </c>
      <c r="R2733" s="9" t="s">
        <v>11726</v>
      </c>
      <c r="S2733" s="9" t="str">
        <f>IF(ISBLANK($R2733),"",VLOOKUP($R2733,'Liste des Villes'!$B$2:$H$1128,4,FALSE))</f>
        <v>Laurentides</v>
      </c>
      <c r="T2733" s="2" t="s">
        <v>12487</v>
      </c>
      <c r="U2733" s="2" t="s">
        <v>39</v>
      </c>
      <c r="V2733" s="2" t="s">
        <v>40</v>
      </c>
      <c r="W2733" s="2" t="s">
        <v>12488</v>
      </c>
      <c r="X2733" s="2"/>
      <c r="Y2733" s="2"/>
      <c r="Z2733" s="2"/>
      <c r="AA2733" s="2" t="s">
        <v>72</v>
      </c>
      <c r="AB2733" s="2" t="s">
        <v>192</v>
      </c>
      <c r="AC2733" s="4" t="s">
        <v>44</v>
      </c>
    </row>
    <row r="2734" spans="1:29" x14ac:dyDescent="0.25">
      <c r="A2734" s="1">
        <v>4034</v>
      </c>
      <c r="B2734" s="17" t="s">
        <v>12489</v>
      </c>
      <c r="C2734" s="2" t="s">
        <v>12490</v>
      </c>
      <c r="D2734" s="15" t="s">
        <v>12128</v>
      </c>
      <c r="E2734" s="9" t="s">
        <v>114</v>
      </c>
      <c r="F2734" s="9" t="s">
        <v>12127</v>
      </c>
      <c r="G2734" s="9" t="s">
        <v>5607</v>
      </c>
      <c r="H2734" s="2" t="s">
        <v>35</v>
      </c>
      <c r="I2734" s="3">
        <v>36846</v>
      </c>
      <c r="J2734" s="9" t="str">
        <f t="shared" ca="1" si="44"/>
        <v>22 ans</v>
      </c>
      <c r="K2734" s="2" t="s">
        <v>68</v>
      </c>
      <c r="L2734" s="2" t="str">
        <f>"790"</f>
        <v>790</v>
      </c>
      <c r="M2734" s="2"/>
      <c r="N2734" s="2" t="str">
        <f>"RUE DES PEUPLIERS"</f>
        <v>RUE DES PEUPLIERS</v>
      </c>
      <c r="O2734" s="2" t="s">
        <v>11725</v>
      </c>
      <c r="P2734" s="9" t="str">
        <f>VLOOKUP($O2734,'Liste des Villes'!$B$2:$B$1128,1,FALSE)</f>
        <v>Saint-Colomban</v>
      </c>
      <c r="Q2734" s="9" t="str">
        <f>IFERROR($P2734,PROPER(VLOOKUP($O2734,'Villes en erreur'!$A$2:$B$72,2,FALSE)))</f>
        <v>Saint-Colomban</v>
      </c>
      <c r="R2734" s="9" t="s">
        <v>11726</v>
      </c>
      <c r="S2734" s="9" t="str">
        <f>IF(ISBLANK($R2734),"",VLOOKUP($R2734,'Liste des Villes'!$B$2:$H$1128,4,FALSE))</f>
        <v>Laurentides</v>
      </c>
      <c r="T2734" s="2" t="s">
        <v>11808</v>
      </c>
      <c r="U2734" s="2" t="s">
        <v>39</v>
      </c>
      <c r="V2734" s="2" t="s">
        <v>40</v>
      </c>
      <c r="W2734" s="2" t="s">
        <v>12491</v>
      </c>
      <c r="X2734" s="2"/>
      <c r="Y2734" s="2"/>
      <c r="Z2734" s="2"/>
      <c r="AA2734" s="2" t="s">
        <v>606</v>
      </c>
      <c r="AB2734" s="2" t="s">
        <v>11748</v>
      </c>
      <c r="AC2734" s="4" t="s">
        <v>44</v>
      </c>
    </row>
    <row r="2735" spans="1:29" x14ac:dyDescent="0.25">
      <c r="A2735" s="1">
        <v>1466</v>
      </c>
      <c r="B2735" s="17" t="s">
        <v>12492</v>
      </c>
      <c r="C2735" s="2" t="s">
        <v>5552</v>
      </c>
      <c r="D2735" s="15" t="s">
        <v>2898</v>
      </c>
      <c r="E2735" s="9" t="s">
        <v>704</v>
      </c>
      <c r="F2735" s="9" t="s">
        <v>9343</v>
      </c>
      <c r="G2735" s="9" t="s">
        <v>348</v>
      </c>
      <c r="H2735" s="2" t="s">
        <v>60</v>
      </c>
      <c r="I2735" s="3">
        <v>36799</v>
      </c>
      <c r="J2735" s="9" t="str">
        <f t="shared" ca="1" si="44"/>
        <v>22 ans</v>
      </c>
      <c r="K2735" s="2" t="s">
        <v>68</v>
      </c>
      <c r="L2735" s="2" t="str">
        <f>"720"</f>
        <v>720</v>
      </c>
      <c r="M2735" s="2"/>
      <c r="N2735" s="2" t="str">
        <f>"RUE DES HUARDS"</f>
        <v>RUE DES HUARDS</v>
      </c>
      <c r="O2735" s="2" t="s">
        <v>11725</v>
      </c>
      <c r="P2735" s="9" t="str">
        <f>VLOOKUP($O2735,'Liste des Villes'!$B$2:$B$1128,1,FALSE)</f>
        <v>Saint-Colomban</v>
      </c>
      <c r="Q2735" s="9" t="str">
        <f>IFERROR($P2735,PROPER(VLOOKUP($O2735,'Villes en erreur'!$A$2:$B$72,2,FALSE)))</f>
        <v>Saint-Colomban</v>
      </c>
      <c r="R2735" s="9" t="s">
        <v>11726</v>
      </c>
      <c r="S2735" s="9" t="str">
        <f>IF(ISBLANK($R2735),"",VLOOKUP($R2735,'Liste des Villes'!$B$2:$H$1128,4,FALSE))</f>
        <v>Laurentides</v>
      </c>
      <c r="T2735" s="2" t="s">
        <v>12493</v>
      </c>
      <c r="U2735" s="2" t="s">
        <v>39</v>
      </c>
      <c r="V2735" s="2" t="s">
        <v>40</v>
      </c>
      <c r="W2735" s="2" t="s">
        <v>12010</v>
      </c>
      <c r="X2735" s="2"/>
      <c r="Y2735" s="2"/>
      <c r="Z2735" s="2"/>
      <c r="AA2735" s="2" t="s">
        <v>72</v>
      </c>
      <c r="AB2735" s="2" t="s">
        <v>192</v>
      </c>
      <c r="AC2735" s="4" t="s">
        <v>44</v>
      </c>
    </row>
    <row r="2736" spans="1:29" x14ac:dyDescent="0.25">
      <c r="A2736" s="1">
        <v>4573</v>
      </c>
      <c r="B2736" s="17" t="s">
        <v>12494</v>
      </c>
      <c r="C2736" s="2" t="s">
        <v>9722</v>
      </c>
      <c r="D2736" s="15" t="s">
        <v>1466</v>
      </c>
      <c r="E2736" s="9" t="s">
        <v>751</v>
      </c>
      <c r="F2736" s="9" t="s">
        <v>788</v>
      </c>
      <c r="G2736" s="9" t="s">
        <v>2069</v>
      </c>
      <c r="H2736" s="2" t="s">
        <v>60</v>
      </c>
      <c r="I2736" s="3">
        <v>36772</v>
      </c>
      <c r="J2736" s="9" t="str">
        <f t="shared" ca="1" si="44"/>
        <v>22 ans</v>
      </c>
      <c r="K2736" s="2" t="s">
        <v>68</v>
      </c>
      <c r="L2736" s="2" t="str">
        <f>"682"</f>
        <v>682</v>
      </c>
      <c r="M2736" s="2"/>
      <c r="N2736" s="2" t="str">
        <f>"RUE DES ÉRABLES"</f>
        <v>RUE DES ÉRABLES</v>
      </c>
      <c r="O2736" s="2" t="s">
        <v>11725</v>
      </c>
      <c r="P2736" s="9" t="str">
        <f>VLOOKUP($O2736,'Liste des Villes'!$B$2:$B$1128,1,FALSE)</f>
        <v>Saint-Colomban</v>
      </c>
      <c r="Q2736" s="9" t="str">
        <f>IFERROR($P2736,PROPER(VLOOKUP($O2736,'Villes en erreur'!$A$2:$B$72,2,FALSE)))</f>
        <v>Saint-Colomban</v>
      </c>
      <c r="R2736" s="9" t="s">
        <v>11726</v>
      </c>
      <c r="S2736" s="9" t="str">
        <f>IF(ISBLANK($R2736),"",VLOOKUP($R2736,'Liste des Villes'!$B$2:$H$1128,4,FALSE))</f>
        <v>Laurentides</v>
      </c>
      <c r="T2736" s="2" t="s">
        <v>12281</v>
      </c>
      <c r="U2736" s="2" t="s">
        <v>39</v>
      </c>
      <c r="V2736" s="2" t="s">
        <v>40</v>
      </c>
      <c r="W2736" s="2" t="s">
        <v>12495</v>
      </c>
      <c r="X2736" s="2"/>
      <c r="Y2736" s="2"/>
      <c r="Z2736" s="2"/>
      <c r="AA2736" s="2" t="s">
        <v>72</v>
      </c>
      <c r="AB2736" s="2" t="s">
        <v>192</v>
      </c>
      <c r="AC2736" s="4" t="s">
        <v>44</v>
      </c>
    </row>
    <row r="2737" spans="1:29" x14ac:dyDescent="0.25">
      <c r="A2737" s="1">
        <v>2087</v>
      </c>
      <c r="B2737" s="17" t="s">
        <v>12496</v>
      </c>
      <c r="C2737" s="2" t="s">
        <v>11430</v>
      </c>
      <c r="D2737" s="15" t="s">
        <v>4066</v>
      </c>
      <c r="E2737" s="9" t="s">
        <v>101</v>
      </c>
      <c r="F2737" s="9" t="s">
        <v>1577</v>
      </c>
      <c r="G2737" s="9" t="s">
        <v>9170</v>
      </c>
      <c r="H2737" s="2" t="s">
        <v>35</v>
      </c>
      <c r="I2737" s="3">
        <v>36878</v>
      </c>
      <c r="J2737" s="9" t="str">
        <f t="shared" ca="1" si="44"/>
        <v>22 ans</v>
      </c>
      <c r="K2737" s="2" t="s">
        <v>68</v>
      </c>
      <c r="L2737" s="2" t="str">
        <f>"859"</f>
        <v>859</v>
      </c>
      <c r="M2737" s="2"/>
      <c r="N2737" s="2" t="str">
        <f>"RUE DES SAPINS"</f>
        <v>RUE DES SAPINS</v>
      </c>
      <c r="O2737" s="2" t="s">
        <v>11725</v>
      </c>
      <c r="P2737" s="9" t="str">
        <f>VLOOKUP($O2737,'Liste des Villes'!$B$2:$B$1128,1,FALSE)</f>
        <v>Saint-Colomban</v>
      </c>
      <c r="Q2737" s="9" t="str">
        <f>IFERROR($P2737,PROPER(VLOOKUP($O2737,'Villes en erreur'!$A$2:$B$72,2,FALSE)))</f>
        <v>Saint-Colomban</v>
      </c>
      <c r="R2737" s="9" t="s">
        <v>11726</v>
      </c>
      <c r="S2737" s="9" t="str">
        <f>IF(ISBLANK($R2737),"",VLOOKUP($R2737,'Liste des Villes'!$B$2:$H$1128,4,FALSE))</f>
        <v>Laurentides</v>
      </c>
      <c r="T2737" s="2" t="s">
        <v>11931</v>
      </c>
      <c r="U2737" s="2" t="s">
        <v>39</v>
      </c>
      <c r="V2737" s="2" t="s">
        <v>40</v>
      </c>
      <c r="W2737" s="2" t="s">
        <v>12497</v>
      </c>
      <c r="X2737" s="2"/>
      <c r="Y2737" s="2"/>
      <c r="Z2737" s="2"/>
      <c r="AA2737" s="2" t="s">
        <v>606</v>
      </c>
      <c r="AB2737" s="2" t="s">
        <v>161</v>
      </c>
      <c r="AC2737" s="4" t="s">
        <v>44</v>
      </c>
    </row>
    <row r="2738" spans="1:29" x14ac:dyDescent="0.25">
      <c r="A2738" s="1">
        <v>2929</v>
      </c>
      <c r="B2738" s="17" t="s">
        <v>12498</v>
      </c>
      <c r="C2738" s="2" t="s">
        <v>12499</v>
      </c>
      <c r="D2738" s="15" t="s">
        <v>3843</v>
      </c>
      <c r="E2738" s="9" t="s">
        <v>12500</v>
      </c>
      <c r="F2738" s="9" t="s">
        <v>31</v>
      </c>
      <c r="G2738" s="9" t="s">
        <v>12501</v>
      </c>
      <c r="H2738" s="2" t="s">
        <v>35</v>
      </c>
      <c r="I2738" s="3">
        <v>36857</v>
      </c>
      <c r="J2738" s="9" t="str">
        <f t="shared" ca="1" si="44"/>
        <v>22 ans</v>
      </c>
      <c r="K2738" s="2" t="s">
        <v>68</v>
      </c>
      <c r="L2738" s="2" t="str">
        <f>"817"</f>
        <v>817</v>
      </c>
      <c r="M2738" s="2"/>
      <c r="N2738" s="2" t="str">
        <f>"RUE DES POMMETIERS"</f>
        <v>RUE DES POMMETIERS</v>
      </c>
      <c r="O2738" s="2" t="s">
        <v>11725</v>
      </c>
      <c r="P2738" s="9" t="str">
        <f>VLOOKUP($O2738,'Liste des Villes'!$B$2:$B$1128,1,FALSE)</f>
        <v>Saint-Colomban</v>
      </c>
      <c r="Q2738" s="9" t="str">
        <f>IFERROR($P2738,PROPER(VLOOKUP($O2738,'Villes en erreur'!$A$2:$B$72,2,FALSE)))</f>
        <v>Saint-Colomban</v>
      </c>
      <c r="R2738" s="9" t="s">
        <v>11726</v>
      </c>
      <c r="S2738" s="9" t="str">
        <f>IF(ISBLANK($R2738),"",VLOOKUP($R2738,'Liste des Villes'!$B$2:$H$1128,4,FALSE))</f>
        <v>Laurentides</v>
      </c>
      <c r="T2738" s="2" t="s">
        <v>12502</v>
      </c>
      <c r="U2738" s="2" t="s">
        <v>39</v>
      </c>
      <c r="V2738" s="2" t="s">
        <v>40</v>
      </c>
      <c r="W2738" s="2" t="s">
        <v>12503</v>
      </c>
      <c r="X2738" s="2"/>
      <c r="Y2738" s="2"/>
      <c r="Z2738" s="2"/>
      <c r="AA2738" s="2" t="s">
        <v>606</v>
      </c>
      <c r="AB2738" s="2" t="s">
        <v>161</v>
      </c>
      <c r="AC2738" s="4" t="s">
        <v>44</v>
      </c>
    </row>
    <row r="2739" spans="1:29" x14ac:dyDescent="0.25">
      <c r="A2739" s="1">
        <v>2236</v>
      </c>
      <c r="B2739" s="17" t="s">
        <v>12504</v>
      </c>
      <c r="C2739" s="2" t="s">
        <v>12505</v>
      </c>
      <c r="D2739" s="15" t="s">
        <v>2233</v>
      </c>
      <c r="E2739" s="9" t="s">
        <v>10046</v>
      </c>
      <c r="F2739" s="9" t="s">
        <v>2232</v>
      </c>
      <c r="G2739" s="9" t="s">
        <v>509</v>
      </c>
      <c r="H2739" s="2" t="s">
        <v>60</v>
      </c>
      <c r="I2739" s="3">
        <v>36871</v>
      </c>
      <c r="J2739" s="9" t="str">
        <f t="shared" ca="1" si="44"/>
        <v>22 ans</v>
      </c>
      <c r="K2739" s="2" t="s">
        <v>68</v>
      </c>
      <c r="L2739" s="2" t="str">
        <f>"845"</f>
        <v>845</v>
      </c>
      <c r="M2739" s="2"/>
      <c r="N2739" s="2" t="str">
        <f>"RUE DES ROSEAUX"</f>
        <v>RUE DES ROSEAUX</v>
      </c>
      <c r="O2739" s="2" t="s">
        <v>11725</v>
      </c>
      <c r="P2739" s="9" t="str">
        <f>VLOOKUP($O2739,'Liste des Villes'!$B$2:$B$1128,1,FALSE)</f>
        <v>Saint-Colomban</v>
      </c>
      <c r="Q2739" s="9" t="str">
        <f>IFERROR($P2739,PROPER(VLOOKUP($O2739,'Villes en erreur'!$A$2:$B$72,2,FALSE)))</f>
        <v>Saint-Colomban</v>
      </c>
      <c r="R2739" s="9" t="s">
        <v>11726</v>
      </c>
      <c r="S2739" s="9" t="str">
        <f>IF(ISBLANK($R2739),"",VLOOKUP($R2739,'Liste des Villes'!$B$2:$H$1128,4,FALSE))</f>
        <v>Laurentides</v>
      </c>
      <c r="T2739" s="2" t="s">
        <v>12506</v>
      </c>
      <c r="U2739" s="2" t="s">
        <v>39</v>
      </c>
      <c r="V2739" s="2" t="s">
        <v>40</v>
      </c>
      <c r="W2739" s="2" t="s">
        <v>12507</v>
      </c>
      <c r="X2739" s="2"/>
      <c r="Y2739" s="2"/>
      <c r="Z2739" s="2"/>
      <c r="AA2739" s="2" t="s">
        <v>606</v>
      </c>
      <c r="AB2739" s="2" t="s">
        <v>161</v>
      </c>
      <c r="AC2739" s="4" t="s">
        <v>44</v>
      </c>
    </row>
    <row r="2740" spans="1:29" x14ac:dyDescent="0.25">
      <c r="A2740" s="1">
        <v>1512</v>
      </c>
      <c r="B2740" s="17" t="s">
        <v>12508</v>
      </c>
      <c r="C2740" s="2" t="s">
        <v>12509</v>
      </c>
      <c r="D2740" s="15" t="s">
        <v>2321</v>
      </c>
      <c r="E2740" s="9" t="s">
        <v>120</v>
      </c>
      <c r="F2740" s="9" t="s">
        <v>6137</v>
      </c>
      <c r="G2740" s="9" t="s">
        <v>7804</v>
      </c>
      <c r="H2740" s="2" t="s">
        <v>60</v>
      </c>
      <c r="I2740" s="3">
        <v>36851</v>
      </c>
      <c r="J2740" s="9" t="str">
        <f t="shared" ca="1" si="44"/>
        <v>22 ans</v>
      </c>
      <c r="K2740" s="2" t="s">
        <v>68</v>
      </c>
      <c r="L2740" s="2" t="str">
        <f>"805"</f>
        <v>805</v>
      </c>
      <c r="M2740" s="2"/>
      <c r="N2740" s="2" t="str">
        <f>"RUE DES PINS"</f>
        <v>RUE DES PINS</v>
      </c>
      <c r="O2740" s="2" t="s">
        <v>11725</v>
      </c>
      <c r="P2740" s="9" t="str">
        <f>VLOOKUP($O2740,'Liste des Villes'!$B$2:$B$1128,1,FALSE)</f>
        <v>Saint-Colomban</v>
      </c>
      <c r="Q2740" s="9" t="str">
        <f>IFERROR($P2740,PROPER(VLOOKUP($O2740,'Villes en erreur'!$A$2:$B$72,2,FALSE)))</f>
        <v>Saint-Colomban</v>
      </c>
      <c r="R2740" s="9" t="s">
        <v>11726</v>
      </c>
      <c r="S2740" s="9" t="str">
        <f>IF(ISBLANK($R2740),"",VLOOKUP($R2740,'Liste des Villes'!$B$2:$H$1128,4,FALSE))</f>
        <v>Laurentides</v>
      </c>
      <c r="T2740" s="2" t="s">
        <v>11897</v>
      </c>
      <c r="U2740" s="2" t="s">
        <v>39</v>
      </c>
      <c r="V2740" s="2" t="s">
        <v>40</v>
      </c>
      <c r="W2740" s="2" t="s">
        <v>12510</v>
      </c>
      <c r="X2740" s="2"/>
      <c r="Y2740" s="2"/>
      <c r="Z2740" s="2"/>
      <c r="AA2740" s="2" t="s">
        <v>606</v>
      </c>
      <c r="AB2740" s="2" t="s">
        <v>11748</v>
      </c>
      <c r="AC2740" s="4" t="s">
        <v>44</v>
      </c>
    </row>
    <row r="2741" spans="1:29" x14ac:dyDescent="0.25">
      <c r="A2741" s="1">
        <v>242</v>
      </c>
      <c r="B2741" s="17" t="s">
        <v>12511</v>
      </c>
      <c r="C2741" s="2" t="s">
        <v>12512</v>
      </c>
      <c r="D2741" s="15" t="s">
        <v>12513</v>
      </c>
      <c r="E2741" s="9" t="s">
        <v>2404</v>
      </c>
      <c r="F2741" s="9" t="s">
        <v>12514</v>
      </c>
      <c r="G2741" s="9" t="s">
        <v>2069</v>
      </c>
      <c r="H2741" s="2" t="s">
        <v>35</v>
      </c>
      <c r="I2741" s="3">
        <v>36774</v>
      </c>
      <c r="J2741" s="9" t="str">
        <f t="shared" ca="1" si="44"/>
        <v>22 ans</v>
      </c>
      <c r="K2741" s="2" t="s">
        <v>68</v>
      </c>
      <c r="L2741" s="2" t="str">
        <f>"684"</f>
        <v>684</v>
      </c>
      <c r="M2741" s="2"/>
      <c r="N2741" s="2" t="str">
        <f>"RUE DES FAISANS"</f>
        <v>RUE DES FAISANS</v>
      </c>
      <c r="O2741" s="2" t="s">
        <v>11725</v>
      </c>
      <c r="P2741" s="9" t="str">
        <f>VLOOKUP($O2741,'Liste des Villes'!$B$2:$B$1128,1,FALSE)</f>
        <v>Saint-Colomban</v>
      </c>
      <c r="Q2741" s="9" t="str">
        <f>IFERROR($P2741,PROPER(VLOOKUP($O2741,'Villes en erreur'!$A$2:$B$72,2,FALSE)))</f>
        <v>Saint-Colomban</v>
      </c>
      <c r="R2741" s="9" t="s">
        <v>11726</v>
      </c>
      <c r="S2741" s="9" t="str">
        <f>IF(ISBLANK($R2741),"",VLOOKUP($R2741,'Liste des Villes'!$B$2:$H$1128,4,FALSE))</f>
        <v>Laurentides</v>
      </c>
      <c r="T2741" s="2" t="s">
        <v>12515</v>
      </c>
      <c r="U2741" s="2" t="s">
        <v>39</v>
      </c>
      <c r="V2741" s="2" t="s">
        <v>40</v>
      </c>
      <c r="W2741" s="2" t="s">
        <v>12516</v>
      </c>
      <c r="X2741" s="2"/>
      <c r="Y2741" s="2"/>
      <c r="Z2741" s="2"/>
      <c r="AA2741" s="2" t="s">
        <v>72</v>
      </c>
      <c r="AB2741" s="2" t="s">
        <v>192</v>
      </c>
      <c r="AC2741" s="4" t="s">
        <v>44</v>
      </c>
    </row>
    <row r="2742" spans="1:29" x14ac:dyDescent="0.25">
      <c r="A2742" s="1">
        <v>1692</v>
      </c>
      <c r="B2742" s="17" t="s">
        <v>12517</v>
      </c>
      <c r="C2742" s="2" t="s">
        <v>8607</v>
      </c>
      <c r="D2742" s="15" t="s">
        <v>3419</v>
      </c>
      <c r="E2742" s="9" t="s">
        <v>698</v>
      </c>
      <c r="F2742" s="9" t="s">
        <v>3418</v>
      </c>
      <c r="G2742" s="9" t="s">
        <v>12518</v>
      </c>
      <c r="H2742" s="2" t="s">
        <v>60</v>
      </c>
      <c r="I2742" s="3">
        <v>36858</v>
      </c>
      <c r="J2742" s="9" t="str">
        <f t="shared" ca="1" si="44"/>
        <v>22 ans</v>
      </c>
      <c r="K2742" s="2" t="s">
        <v>68</v>
      </c>
      <c r="L2742" s="2" t="str">
        <f>"819"</f>
        <v>819</v>
      </c>
      <c r="M2742" s="2"/>
      <c r="N2742" s="2" t="str">
        <f>"RUE DES POMMETIERS"</f>
        <v>RUE DES POMMETIERS</v>
      </c>
      <c r="O2742" s="2" t="s">
        <v>11725</v>
      </c>
      <c r="P2742" s="9" t="str">
        <f>VLOOKUP($O2742,'Liste des Villes'!$B$2:$B$1128,1,FALSE)</f>
        <v>Saint-Colomban</v>
      </c>
      <c r="Q2742" s="9" t="str">
        <f>IFERROR($P2742,PROPER(VLOOKUP($O2742,'Villes en erreur'!$A$2:$B$72,2,FALSE)))</f>
        <v>Saint-Colomban</v>
      </c>
      <c r="R2742" s="9" t="s">
        <v>11726</v>
      </c>
      <c r="S2742" s="9" t="str">
        <f>IF(ISBLANK($R2742),"",VLOOKUP($R2742,'Liste des Villes'!$B$2:$H$1128,4,FALSE))</f>
        <v>Laurentides</v>
      </c>
      <c r="T2742" s="2" t="s">
        <v>12306</v>
      </c>
      <c r="U2742" s="2" t="s">
        <v>39</v>
      </c>
      <c r="V2742" s="2" t="s">
        <v>40</v>
      </c>
      <c r="W2742" s="2" t="s">
        <v>12519</v>
      </c>
      <c r="X2742" s="2"/>
      <c r="Y2742" s="2"/>
      <c r="Z2742" s="2"/>
      <c r="AA2742" s="2" t="s">
        <v>606</v>
      </c>
      <c r="AB2742" s="2" t="s">
        <v>161</v>
      </c>
      <c r="AC2742" s="4" t="s">
        <v>44</v>
      </c>
    </row>
    <row r="2743" spans="1:29" x14ac:dyDescent="0.25">
      <c r="A2743" s="1">
        <v>1014</v>
      </c>
      <c r="B2743" s="17" t="s">
        <v>12520</v>
      </c>
      <c r="C2743" s="2" t="s">
        <v>12521</v>
      </c>
      <c r="D2743" s="15" t="s">
        <v>12522</v>
      </c>
      <c r="E2743" s="9" t="s">
        <v>7279</v>
      </c>
      <c r="F2743" s="9" t="s">
        <v>12523</v>
      </c>
      <c r="G2743" s="9" t="s">
        <v>9789</v>
      </c>
      <c r="H2743" s="2" t="s">
        <v>35</v>
      </c>
      <c r="I2743" s="3">
        <v>36855</v>
      </c>
      <c r="J2743" s="9" t="str">
        <f t="shared" ca="1" si="44"/>
        <v>22 ans</v>
      </c>
      <c r="K2743" s="2" t="s">
        <v>68</v>
      </c>
      <c r="L2743" s="2" t="str">
        <f>"813"</f>
        <v>813</v>
      </c>
      <c r="M2743" s="2"/>
      <c r="N2743" s="2" t="str">
        <f>"RUE DES PLAINES"</f>
        <v>RUE DES PLAINES</v>
      </c>
      <c r="O2743" s="2" t="s">
        <v>11725</v>
      </c>
      <c r="P2743" s="9" t="str">
        <f>VLOOKUP($O2743,'Liste des Villes'!$B$2:$B$1128,1,FALSE)</f>
        <v>Saint-Colomban</v>
      </c>
      <c r="Q2743" s="9" t="str">
        <f>IFERROR($P2743,PROPER(VLOOKUP($O2743,'Villes en erreur'!$A$2:$B$72,2,FALSE)))</f>
        <v>Saint-Colomban</v>
      </c>
      <c r="R2743" s="9" t="s">
        <v>11726</v>
      </c>
      <c r="S2743" s="9" t="str">
        <f>IF(ISBLANK($R2743),"",VLOOKUP($R2743,'Liste des Villes'!$B$2:$H$1128,4,FALSE))</f>
        <v>Laurentides</v>
      </c>
      <c r="T2743" s="2" t="s">
        <v>12067</v>
      </c>
      <c r="U2743" s="2" t="s">
        <v>39</v>
      </c>
      <c r="V2743" s="2" t="s">
        <v>40</v>
      </c>
      <c r="W2743" s="2" t="s">
        <v>12524</v>
      </c>
      <c r="X2743" s="2"/>
      <c r="Y2743" s="2"/>
      <c r="Z2743" s="2"/>
      <c r="AA2743" s="2" t="s">
        <v>606</v>
      </c>
      <c r="AB2743" s="2" t="s">
        <v>161</v>
      </c>
      <c r="AC2743" s="4" t="s">
        <v>44</v>
      </c>
    </row>
    <row r="2744" spans="1:29" x14ac:dyDescent="0.25">
      <c r="A2744" s="1">
        <v>3197</v>
      </c>
      <c r="B2744" s="17" t="s">
        <v>12525</v>
      </c>
      <c r="C2744" s="2" t="s">
        <v>10697</v>
      </c>
      <c r="D2744" s="15" t="s">
        <v>2862</v>
      </c>
      <c r="E2744" s="9" t="s">
        <v>85</v>
      </c>
      <c r="F2744" s="9" t="s">
        <v>11324</v>
      </c>
      <c r="G2744" s="9" t="s">
        <v>348</v>
      </c>
      <c r="H2744" s="2" t="s">
        <v>60</v>
      </c>
      <c r="I2744" s="3">
        <v>36782</v>
      </c>
      <c r="J2744" s="9" t="str">
        <f t="shared" ca="1" si="44"/>
        <v>22 ans</v>
      </c>
      <c r="K2744" s="2" t="s">
        <v>68</v>
      </c>
      <c r="L2744" s="2" t="str">
        <f>"699"</f>
        <v>699</v>
      </c>
      <c r="M2744" s="2"/>
      <c r="N2744" s="2" t="str">
        <f>"RUE DES FRÊNES"</f>
        <v>RUE DES FRÊNES</v>
      </c>
      <c r="O2744" s="2" t="s">
        <v>11725</v>
      </c>
      <c r="P2744" s="9" t="str">
        <f>VLOOKUP($O2744,'Liste des Villes'!$B$2:$B$1128,1,FALSE)</f>
        <v>Saint-Colomban</v>
      </c>
      <c r="Q2744" s="9" t="str">
        <f>IFERROR($P2744,PROPER(VLOOKUP($O2744,'Villes en erreur'!$A$2:$B$72,2,FALSE)))</f>
        <v>Saint-Colomban</v>
      </c>
      <c r="R2744" s="9" t="s">
        <v>11726</v>
      </c>
      <c r="S2744" s="9" t="str">
        <f>IF(ISBLANK($R2744),"",VLOOKUP($R2744,'Liste des Villes'!$B$2:$H$1128,4,FALSE))</f>
        <v>Laurentides</v>
      </c>
      <c r="T2744" s="2" t="s">
        <v>11886</v>
      </c>
      <c r="U2744" s="2" t="s">
        <v>39</v>
      </c>
      <c r="V2744" s="2" t="s">
        <v>40</v>
      </c>
      <c r="W2744" s="2" t="s">
        <v>12526</v>
      </c>
      <c r="X2744" s="2"/>
      <c r="Y2744" s="2"/>
      <c r="Z2744" s="2"/>
      <c r="AA2744" s="2" t="s">
        <v>72</v>
      </c>
      <c r="AB2744" s="2" t="s">
        <v>192</v>
      </c>
      <c r="AC2744" s="4" t="s">
        <v>44</v>
      </c>
    </row>
    <row r="2745" spans="1:29" x14ac:dyDescent="0.25">
      <c r="A2745" s="1">
        <v>852</v>
      </c>
      <c r="B2745" s="17" t="s">
        <v>12527</v>
      </c>
      <c r="C2745" s="2" t="s">
        <v>4278</v>
      </c>
      <c r="D2745" s="15" t="s">
        <v>4066</v>
      </c>
      <c r="E2745" s="9" t="s">
        <v>167</v>
      </c>
      <c r="F2745" s="9" t="s">
        <v>4279</v>
      </c>
      <c r="G2745" s="9" t="s">
        <v>348</v>
      </c>
      <c r="H2745" s="2" t="s">
        <v>60</v>
      </c>
      <c r="I2745" s="3">
        <v>36797</v>
      </c>
      <c r="J2745" s="9" t="str">
        <f t="shared" ca="1" si="44"/>
        <v>22 ans</v>
      </c>
      <c r="K2745" s="2" t="s">
        <v>68</v>
      </c>
      <c r="L2745" s="2" t="str">
        <f>"714"</f>
        <v>714</v>
      </c>
      <c r="M2745" s="2"/>
      <c r="N2745" s="2" t="str">
        <f>"RUE DES HÊTRES"</f>
        <v>RUE DES HÊTRES</v>
      </c>
      <c r="O2745" s="2" t="s">
        <v>11725</v>
      </c>
      <c r="P2745" s="9" t="str">
        <f>VLOOKUP($O2745,'Liste des Villes'!$B$2:$B$1128,1,FALSE)</f>
        <v>Saint-Colomban</v>
      </c>
      <c r="Q2745" s="9" t="str">
        <f>IFERROR($P2745,PROPER(VLOOKUP($O2745,'Villes en erreur'!$A$2:$B$72,2,FALSE)))</f>
        <v>Saint-Colomban</v>
      </c>
      <c r="R2745" s="9" t="s">
        <v>11726</v>
      </c>
      <c r="S2745" s="9" t="str">
        <f>IF(ISBLANK($R2745),"",VLOOKUP($R2745,'Liste des Villes'!$B$2:$H$1128,4,FALSE))</f>
        <v>Laurentides</v>
      </c>
      <c r="T2745" s="2" t="s">
        <v>12528</v>
      </c>
      <c r="U2745" s="2" t="s">
        <v>39</v>
      </c>
      <c r="V2745" s="2" t="s">
        <v>40</v>
      </c>
      <c r="W2745" s="2" t="s">
        <v>12529</v>
      </c>
      <c r="X2745" s="2"/>
      <c r="Y2745" s="2"/>
      <c r="Z2745" s="2"/>
      <c r="AA2745" s="2" t="s">
        <v>72</v>
      </c>
      <c r="AB2745" s="2" t="s">
        <v>192</v>
      </c>
      <c r="AC2745" s="4" t="s">
        <v>44</v>
      </c>
    </row>
    <row r="2746" spans="1:29" x14ac:dyDescent="0.25">
      <c r="A2746" s="1">
        <v>3008</v>
      </c>
      <c r="B2746" s="17" t="s">
        <v>12530</v>
      </c>
      <c r="C2746" s="2" t="s">
        <v>12531</v>
      </c>
      <c r="D2746" s="15" t="s">
        <v>2690</v>
      </c>
      <c r="E2746" s="9" t="s">
        <v>503</v>
      </c>
      <c r="F2746" s="9" t="s">
        <v>12532</v>
      </c>
      <c r="G2746" s="9" t="s">
        <v>12533</v>
      </c>
      <c r="H2746" s="2" t="s">
        <v>35</v>
      </c>
      <c r="I2746" s="3">
        <v>36846</v>
      </c>
      <c r="J2746" s="9" t="str">
        <f t="shared" ca="1" si="44"/>
        <v>22 ans</v>
      </c>
      <c r="K2746" s="2" t="s">
        <v>68</v>
      </c>
      <c r="L2746" s="2" t="str">
        <f>"790"</f>
        <v>790</v>
      </c>
      <c r="M2746" s="2"/>
      <c r="N2746" s="2" t="str">
        <f>"RUE DES PERVENCHES"</f>
        <v>RUE DES PERVENCHES</v>
      </c>
      <c r="O2746" s="2" t="s">
        <v>11725</v>
      </c>
      <c r="P2746" s="9" t="str">
        <f>VLOOKUP($O2746,'Liste des Villes'!$B$2:$B$1128,1,FALSE)</f>
        <v>Saint-Colomban</v>
      </c>
      <c r="Q2746" s="9" t="str">
        <f>IFERROR($P2746,PROPER(VLOOKUP($O2746,'Villes en erreur'!$A$2:$B$72,2,FALSE)))</f>
        <v>Saint-Colomban</v>
      </c>
      <c r="R2746" s="9" t="s">
        <v>11726</v>
      </c>
      <c r="S2746" s="9" t="str">
        <f>IF(ISBLANK($R2746),"",VLOOKUP($R2746,'Liste des Villes'!$B$2:$H$1128,4,FALSE))</f>
        <v>Laurentides</v>
      </c>
      <c r="T2746" s="2" t="s">
        <v>11808</v>
      </c>
      <c r="U2746" s="2" t="s">
        <v>39</v>
      </c>
      <c r="V2746" s="2" t="s">
        <v>40</v>
      </c>
      <c r="W2746" s="2" t="s">
        <v>12534</v>
      </c>
      <c r="X2746" s="2"/>
      <c r="Y2746" s="2"/>
      <c r="Z2746" s="2"/>
      <c r="AA2746" s="2" t="s">
        <v>606</v>
      </c>
      <c r="AB2746" s="2" t="s">
        <v>11748</v>
      </c>
      <c r="AC2746" s="4" t="s">
        <v>44</v>
      </c>
    </row>
    <row r="2747" spans="1:29" x14ac:dyDescent="0.25">
      <c r="A2747" s="1">
        <v>1725</v>
      </c>
      <c r="B2747" s="17" t="s">
        <v>12535</v>
      </c>
      <c r="C2747" s="2" t="s">
        <v>9712</v>
      </c>
      <c r="D2747" s="15" t="s">
        <v>2927</v>
      </c>
      <c r="E2747" s="9" t="s">
        <v>2049</v>
      </c>
      <c r="F2747" s="9" t="s">
        <v>2926</v>
      </c>
      <c r="G2747" s="9" t="s">
        <v>7804</v>
      </c>
      <c r="H2747" s="2" t="s">
        <v>60</v>
      </c>
      <c r="I2747" s="3">
        <v>36851</v>
      </c>
      <c r="J2747" s="9" t="str">
        <f t="shared" ca="1" si="44"/>
        <v>22 ans</v>
      </c>
      <c r="K2747" s="2" t="s">
        <v>68</v>
      </c>
      <c r="L2747" s="2" t="str">
        <f>"807"</f>
        <v>807</v>
      </c>
      <c r="M2747" s="2"/>
      <c r="N2747" s="2" t="str">
        <f>"RUE DES PINSONS"</f>
        <v>RUE DES PINSONS</v>
      </c>
      <c r="O2747" s="2" t="s">
        <v>11725</v>
      </c>
      <c r="P2747" s="9" t="str">
        <f>VLOOKUP($O2747,'Liste des Villes'!$B$2:$B$1128,1,FALSE)</f>
        <v>Saint-Colomban</v>
      </c>
      <c r="Q2747" s="9" t="str">
        <f>IFERROR($P2747,PROPER(VLOOKUP($O2747,'Villes en erreur'!$A$2:$B$72,2,FALSE)))</f>
        <v>Saint-Colomban</v>
      </c>
      <c r="R2747" s="9" t="s">
        <v>11726</v>
      </c>
      <c r="S2747" s="9" t="str">
        <f>IF(ISBLANK($R2747),"",VLOOKUP($R2747,'Liste des Villes'!$B$2:$H$1128,4,FALSE))</f>
        <v>Laurentides</v>
      </c>
      <c r="T2747" s="2" t="s">
        <v>12536</v>
      </c>
      <c r="U2747" s="2" t="s">
        <v>39</v>
      </c>
      <c r="V2747" s="2" t="s">
        <v>40</v>
      </c>
      <c r="W2747" s="2" t="s">
        <v>12537</v>
      </c>
      <c r="X2747" s="2"/>
      <c r="Y2747" s="2"/>
      <c r="Z2747" s="2"/>
      <c r="AA2747" s="2" t="s">
        <v>606</v>
      </c>
      <c r="AB2747" s="2" t="s">
        <v>11748</v>
      </c>
      <c r="AC2747" s="4" t="s">
        <v>44</v>
      </c>
    </row>
    <row r="2748" spans="1:29" x14ac:dyDescent="0.25">
      <c r="A2748" s="1">
        <v>1047</v>
      </c>
      <c r="B2748" s="17" t="s">
        <v>12538</v>
      </c>
      <c r="C2748" s="2" t="s">
        <v>12539</v>
      </c>
      <c r="D2748" s="15" t="s">
        <v>12540</v>
      </c>
      <c r="E2748" s="9" t="s">
        <v>441</v>
      </c>
      <c r="F2748" s="9" t="s">
        <v>12541</v>
      </c>
      <c r="G2748" s="9" t="s">
        <v>509</v>
      </c>
      <c r="H2748" s="2" t="s">
        <v>60</v>
      </c>
      <c r="I2748" s="3">
        <v>36864</v>
      </c>
      <c r="J2748" s="9" t="str">
        <f t="shared" ca="1" si="44"/>
        <v>22 ans</v>
      </c>
      <c r="K2748" s="2" t="s">
        <v>68</v>
      </c>
      <c r="L2748" s="2" t="str">
        <f>"833"</f>
        <v>833</v>
      </c>
      <c r="M2748" s="2"/>
      <c r="N2748" s="2" t="str">
        <f>"RUE DES PRIMEROSES"</f>
        <v>RUE DES PRIMEROSES</v>
      </c>
      <c r="O2748" s="2" t="s">
        <v>11725</v>
      </c>
      <c r="P2748" s="9" t="str">
        <f>VLOOKUP($O2748,'Liste des Villes'!$B$2:$B$1128,1,FALSE)</f>
        <v>Saint-Colomban</v>
      </c>
      <c r="Q2748" s="9" t="str">
        <f>IFERROR($P2748,PROPER(VLOOKUP($O2748,'Villes en erreur'!$A$2:$B$72,2,FALSE)))</f>
        <v>Saint-Colomban</v>
      </c>
      <c r="R2748" s="9" t="s">
        <v>11726</v>
      </c>
      <c r="S2748" s="9" t="str">
        <f>IF(ISBLANK($R2748),"",VLOOKUP($R2748,'Liste des Villes'!$B$2:$H$1128,4,FALSE))</f>
        <v>Laurentides</v>
      </c>
      <c r="T2748" s="2" t="s">
        <v>12542</v>
      </c>
      <c r="U2748" s="2" t="s">
        <v>39</v>
      </c>
      <c r="V2748" s="2" t="s">
        <v>40</v>
      </c>
      <c r="W2748" s="2" t="s">
        <v>12543</v>
      </c>
      <c r="X2748" s="2"/>
      <c r="Y2748" s="2"/>
      <c r="Z2748" s="2"/>
      <c r="AA2748" s="2" t="s">
        <v>606</v>
      </c>
      <c r="AB2748" s="2" t="s">
        <v>161</v>
      </c>
      <c r="AC2748" s="4" t="s">
        <v>44</v>
      </c>
    </row>
    <row r="2749" spans="1:29" x14ac:dyDescent="0.25">
      <c r="A2749" s="1">
        <v>27</v>
      </c>
      <c r="B2749" s="17" t="s">
        <v>12544</v>
      </c>
      <c r="C2749" s="2" t="s">
        <v>2343</v>
      </c>
      <c r="D2749" s="15" t="s">
        <v>2344</v>
      </c>
      <c r="E2749" s="9" t="s">
        <v>94</v>
      </c>
      <c r="F2749" s="9" t="s">
        <v>9955</v>
      </c>
      <c r="G2749" s="9" t="s">
        <v>348</v>
      </c>
      <c r="H2749" s="2" t="s">
        <v>60</v>
      </c>
      <c r="I2749" s="3">
        <v>36780</v>
      </c>
      <c r="J2749" s="9" t="str">
        <f t="shared" ca="1" si="44"/>
        <v>22 ans</v>
      </c>
      <c r="K2749" s="2" t="s">
        <v>68</v>
      </c>
      <c r="L2749" s="2" t="str">
        <f>"698"</f>
        <v>698</v>
      </c>
      <c r="M2749" s="2"/>
      <c r="N2749" s="2" t="str">
        <f>"RUE DES FRANCS-BOURGEOIS"</f>
        <v>RUE DES FRANCS-BOURGEOIS</v>
      </c>
      <c r="O2749" s="2" t="s">
        <v>11725</v>
      </c>
      <c r="P2749" s="9" t="str">
        <f>VLOOKUP($O2749,'Liste des Villes'!$B$2:$B$1128,1,FALSE)</f>
        <v>Saint-Colomban</v>
      </c>
      <c r="Q2749" s="9" t="str">
        <f>IFERROR($P2749,PROPER(VLOOKUP($O2749,'Villes en erreur'!$A$2:$B$72,2,FALSE)))</f>
        <v>Saint-Colomban</v>
      </c>
      <c r="R2749" s="9" t="s">
        <v>11726</v>
      </c>
      <c r="S2749" s="9" t="str">
        <f>IF(ISBLANK($R2749),"",VLOOKUP($R2749,'Liste des Villes'!$B$2:$H$1128,4,FALSE))</f>
        <v>Laurentides</v>
      </c>
      <c r="T2749" s="2" t="s">
        <v>12545</v>
      </c>
      <c r="U2749" s="2" t="s">
        <v>39</v>
      </c>
      <c r="V2749" s="2" t="s">
        <v>40</v>
      </c>
      <c r="W2749" s="2" t="s">
        <v>12546</v>
      </c>
      <c r="X2749" s="2"/>
      <c r="Y2749" s="2"/>
      <c r="Z2749" s="2"/>
      <c r="AA2749" s="2" t="s">
        <v>72</v>
      </c>
      <c r="AB2749" s="2" t="s">
        <v>192</v>
      </c>
      <c r="AC2749" s="4" t="s">
        <v>44</v>
      </c>
    </row>
    <row r="2750" spans="1:29" x14ac:dyDescent="0.25">
      <c r="A2750" s="1">
        <v>1699</v>
      </c>
      <c r="B2750" s="17" t="s">
        <v>12547</v>
      </c>
      <c r="C2750" s="2" t="s">
        <v>3771</v>
      </c>
      <c r="D2750" s="15" t="s">
        <v>3772</v>
      </c>
      <c r="E2750" s="9" t="s">
        <v>1037</v>
      </c>
      <c r="F2750" s="9" t="s">
        <v>3773</v>
      </c>
      <c r="G2750" s="9" t="s">
        <v>1236</v>
      </c>
      <c r="H2750" s="2" t="s">
        <v>35</v>
      </c>
      <c r="I2750" s="3">
        <v>36879</v>
      </c>
      <c r="J2750" s="9" t="str">
        <f t="shared" ca="1" si="44"/>
        <v>22 ans</v>
      </c>
      <c r="K2750" s="2" t="s">
        <v>68</v>
      </c>
      <c r="L2750" s="2" t="str">
        <f>"863"</f>
        <v>863</v>
      </c>
      <c r="M2750" s="2"/>
      <c r="N2750" s="2" t="str">
        <f>"RUE DES SARCELLES"</f>
        <v>RUE DES SARCELLES</v>
      </c>
      <c r="O2750" s="2" t="s">
        <v>11725</v>
      </c>
      <c r="P2750" s="9" t="str">
        <f>VLOOKUP($O2750,'Liste des Villes'!$B$2:$B$1128,1,FALSE)</f>
        <v>Saint-Colomban</v>
      </c>
      <c r="Q2750" s="9" t="str">
        <f>IFERROR($P2750,PROPER(VLOOKUP($O2750,'Villes en erreur'!$A$2:$B$72,2,FALSE)))</f>
        <v>Saint-Colomban</v>
      </c>
      <c r="R2750" s="9" t="s">
        <v>11726</v>
      </c>
      <c r="S2750" s="9" t="str">
        <f>IF(ISBLANK($R2750),"",VLOOKUP($R2750,'Liste des Villes'!$B$2:$H$1128,4,FALSE))</f>
        <v>Laurentides</v>
      </c>
      <c r="T2750" s="2" t="s">
        <v>12548</v>
      </c>
      <c r="U2750" s="2" t="s">
        <v>39</v>
      </c>
      <c r="V2750" s="2" t="s">
        <v>40</v>
      </c>
      <c r="W2750" s="2" t="s">
        <v>12549</v>
      </c>
      <c r="X2750" s="2"/>
      <c r="Y2750" s="2"/>
      <c r="Z2750" s="2"/>
      <c r="AA2750" s="2" t="s">
        <v>606</v>
      </c>
      <c r="AB2750" s="2" t="s">
        <v>161</v>
      </c>
      <c r="AC2750" s="4" t="s">
        <v>44</v>
      </c>
    </row>
    <row r="2751" spans="1:29" x14ac:dyDescent="0.25">
      <c r="A2751" s="1">
        <v>4405</v>
      </c>
      <c r="B2751" s="17" t="s">
        <v>12550</v>
      </c>
      <c r="C2751" s="2" t="s">
        <v>3681</v>
      </c>
      <c r="D2751" s="15" t="s">
        <v>540</v>
      </c>
      <c r="E2751" s="9" t="s">
        <v>3682</v>
      </c>
      <c r="F2751" s="9" t="s">
        <v>3683</v>
      </c>
      <c r="G2751" s="9" t="s">
        <v>509</v>
      </c>
      <c r="H2751" s="2" t="s">
        <v>60</v>
      </c>
      <c r="I2751" s="3">
        <v>36875</v>
      </c>
      <c r="J2751" s="9" t="str">
        <f t="shared" ca="1" si="44"/>
        <v>22 ans</v>
      </c>
      <c r="K2751" s="2" t="s">
        <v>68</v>
      </c>
      <c r="L2751" s="2" t="str">
        <f>"856"</f>
        <v>856</v>
      </c>
      <c r="M2751" s="2"/>
      <c r="N2751" s="2" t="str">
        <f>"RUE DES ROUGES-GORGES"</f>
        <v>RUE DES ROUGES-GORGES</v>
      </c>
      <c r="O2751" s="2" t="s">
        <v>11725</v>
      </c>
      <c r="P2751" s="9" t="str">
        <f>VLOOKUP($O2751,'Liste des Villes'!$B$2:$B$1128,1,FALSE)</f>
        <v>Saint-Colomban</v>
      </c>
      <c r="Q2751" s="9" t="str">
        <f>IFERROR($P2751,PROPER(VLOOKUP($O2751,'Villes en erreur'!$A$2:$B$72,2,FALSE)))</f>
        <v>Saint-Colomban</v>
      </c>
      <c r="R2751" s="9" t="s">
        <v>11726</v>
      </c>
      <c r="S2751" s="9" t="str">
        <f>IF(ISBLANK($R2751),"",VLOOKUP($R2751,'Liste des Villes'!$B$2:$H$1128,4,FALSE))</f>
        <v>Laurentides</v>
      </c>
      <c r="T2751" s="2" t="s">
        <v>12296</v>
      </c>
      <c r="U2751" s="2" t="s">
        <v>39</v>
      </c>
      <c r="V2751" s="2" t="s">
        <v>40</v>
      </c>
      <c r="W2751" s="2" t="s">
        <v>12551</v>
      </c>
      <c r="X2751" s="2"/>
      <c r="Y2751" s="2"/>
      <c r="Z2751" s="2"/>
      <c r="AA2751" s="2" t="s">
        <v>606</v>
      </c>
      <c r="AB2751" s="2" t="s">
        <v>161</v>
      </c>
      <c r="AC2751" s="4" t="s">
        <v>44</v>
      </c>
    </row>
    <row r="2752" spans="1:29" x14ac:dyDescent="0.25">
      <c r="A2752" s="1">
        <v>3976</v>
      </c>
      <c r="B2752" s="17" t="s">
        <v>12552</v>
      </c>
      <c r="C2752" s="2" t="s">
        <v>2273</v>
      </c>
      <c r="D2752" s="15" t="s">
        <v>582</v>
      </c>
      <c r="E2752" s="9" t="s">
        <v>2274</v>
      </c>
      <c r="F2752" s="9" t="s">
        <v>584</v>
      </c>
      <c r="G2752" s="9" t="s">
        <v>2664</v>
      </c>
      <c r="H2752" s="2" t="s">
        <v>60</v>
      </c>
      <c r="I2752" s="3">
        <v>36775</v>
      </c>
      <c r="J2752" s="9" t="str">
        <f t="shared" ca="1" si="44"/>
        <v>22 ans</v>
      </c>
      <c r="K2752" s="2" t="s">
        <v>68</v>
      </c>
      <c r="L2752" s="2" t="str">
        <f>"686"</f>
        <v>686</v>
      </c>
      <c r="M2752" s="2"/>
      <c r="N2752" s="2" t="str">
        <f>"RUE DES FLORINS"</f>
        <v>RUE DES FLORINS</v>
      </c>
      <c r="O2752" s="2" t="s">
        <v>11725</v>
      </c>
      <c r="P2752" s="9" t="str">
        <f>VLOOKUP($O2752,'Liste des Villes'!$B$2:$B$1128,1,FALSE)</f>
        <v>Saint-Colomban</v>
      </c>
      <c r="Q2752" s="9" t="str">
        <f>IFERROR($P2752,PROPER(VLOOKUP($O2752,'Villes en erreur'!$A$2:$B$72,2,FALSE)))</f>
        <v>Saint-Colomban</v>
      </c>
      <c r="R2752" s="9" t="s">
        <v>11726</v>
      </c>
      <c r="S2752" s="9" t="str">
        <f>IF(ISBLANK($R2752),"",VLOOKUP($R2752,'Liste des Villes'!$B$2:$H$1128,4,FALSE))</f>
        <v>Laurentides</v>
      </c>
      <c r="T2752" s="2" t="s">
        <v>12132</v>
      </c>
      <c r="U2752" s="2" t="s">
        <v>39</v>
      </c>
      <c r="V2752" s="2" t="s">
        <v>40</v>
      </c>
      <c r="W2752" s="2" t="s">
        <v>12553</v>
      </c>
      <c r="X2752" s="2"/>
      <c r="Y2752" s="2"/>
      <c r="Z2752" s="2"/>
      <c r="AA2752" s="2" t="s">
        <v>72</v>
      </c>
      <c r="AB2752" s="2" t="s">
        <v>192</v>
      </c>
      <c r="AC2752" s="4" t="s">
        <v>44</v>
      </c>
    </row>
    <row r="2753" spans="1:29" x14ac:dyDescent="0.25">
      <c r="A2753" s="1">
        <v>40</v>
      </c>
      <c r="B2753" s="17" t="s">
        <v>12554</v>
      </c>
      <c r="C2753" s="2" t="s">
        <v>12555</v>
      </c>
      <c r="D2753" s="15" t="s">
        <v>12556</v>
      </c>
      <c r="E2753" s="9" t="s">
        <v>5793</v>
      </c>
      <c r="F2753" s="9" t="s">
        <v>47</v>
      </c>
      <c r="G2753" s="9" t="s">
        <v>9461</v>
      </c>
      <c r="H2753" s="2" t="s">
        <v>60</v>
      </c>
      <c r="I2753" s="3">
        <v>36850</v>
      </c>
      <c r="J2753" s="9" t="str">
        <f t="shared" ca="1" si="44"/>
        <v>22 ans</v>
      </c>
      <c r="K2753" s="2" t="s">
        <v>68</v>
      </c>
      <c r="L2753" s="2" t="str">
        <f>"804"</f>
        <v>804</v>
      </c>
      <c r="M2753" s="2"/>
      <c r="N2753" s="2" t="str">
        <f>"RUE DES PINS"</f>
        <v>RUE DES PINS</v>
      </c>
      <c r="O2753" s="2" t="s">
        <v>11725</v>
      </c>
      <c r="P2753" s="9" t="str">
        <f>VLOOKUP($O2753,'Liste des Villes'!$B$2:$B$1128,1,FALSE)</f>
        <v>Saint-Colomban</v>
      </c>
      <c r="Q2753" s="9" t="str">
        <f>IFERROR($P2753,PROPER(VLOOKUP($O2753,'Villes en erreur'!$A$2:$B$72,2,FALSE)))</f>
        <v>Saint-Colomban</v>
      </c>
      <c r="R2753" s="9" t="s">
        <v>11726</v>
      </c>
      <c r="S2753" s="9" t="str">
        <f>IF(ISBLANK($R2753),"",VLOOKUP($R2753,'Liste des Villes'!$B$2:$H$1128,4,FALSE))</f>
        <v>Laurentides</v>
      </c>
      <c r="T2753" s="2" t="s">
        <v>11897</v>
      </c>
      <c r="U2753" s="2" t="s">
        <v>39</v>
      </c>
      <c r="V2753" s="2" t="s">
        <v>40</v>
      </c>
      <c r="W2753" s="2" t="s">
        <v>11898</v>
      </c>
      <c r="X2753" s="2"/>
      <c r="Y2753" s="2"/>
      <c r="Z2753" s="2"/>
      <c r="AA2753" s="2" t="s">
        <v>606</v>
      </c>
      <c r="AB2753" s="2" t="s">
        <v>11748</v>
      </c>
      <c r="AC2753" s="4" t="s">
        <v>44</v>
      </c>
    </row>
    <row r="2754" spans="1:29" x14ac:dyDescent="0.25">
      <c r="A2754" s="1">
        <v>3083</v>
      </c>
      <c r="B2754" s="17" t="s">
        <v>12557</v>
      </c>
      <c r="C2754" s="2" t="s">
        <v>12558</v>
      </c>
      <c r="D2754" s="15" t="s">
        <v>12559</v>
      </c>
      <c r="E2754" s="9" t="s">
        <v>3618</v>
      </c>
      <c r="F2754" s="9" t="s">
        <v>2841</v>
      </c>
      <c r="G2754" s="9" t="s">
        <v>509</v>
      </c>
      <c r="H2754" s="2" t="s">
        <v>60</v>
      </c>
      <c r="I2754" s="3">
        <v>36869</v>
      </c>
      <c r="J2754" s="9" t="str">
        <f t="shared" ref="J2754:J2817" ca="1" si="45">_xlfn.CONCAT(INT((TODAY()-$I2754)/365.25)," ans")</f>
        <v>22 ans</v>
      </c>
      <c r="K2754" s="2" t="s">
        <v>68</v>
      </c>
      <c r="L2754" s="2" t="str">
        <f>"842"</f>
        <v>842</v>
      </c>
      <c r="M2754" s="2"/>
      <c r="N2754" s="2" t="str">
        <f>"RUE DES ROSE"</f>
        <v>RUE DES ROSE</v>
      </c>
      <c r="O2754" s="2" t="s">
        <v>11725</v>
      </c>
      <c r="P2754" s="9" t="str">
        <f>VLOOKUP($O2754,'Liste des Villes'!$B$2:$B$1128,1,FALSE)</f>
        <v>Saint-Colomban</v>
      </c>
      <c r="Q2754" s="9" t="str">
        <f>IFERROR($P2754,PROPER(VLOOKUP($O2754,'Villes en erreur'!$A$2:$B$72,2,FALSE)))</f>
        <v>Saint-Colomban</v>
      </c>
      <c r="R2754" s="9" t="s">
        <v>11726</v>
      </c>
      <c r="S2754" s="9" t="str">
        <f>IF(ISBLANK($R2754),"",VLOOKUP($R2754,'Liste des Villes'!$B$2:$H$1128,4,FALSE))</f>
        <v>Laurentides</v>
      </c>
      <c r="T2754" s="2" t="s">
        <v>12560</v>
      </c>
      <c r="U2754" s="2" t="s">
        <v>39</v>
      </c>
      <c r="V2754" s="2" t="s">
        <v>40</v>
      </c>
      <c r="W2754" s="2" t="s">
        <v>12561</v>
      </c>
      <c r="X2754" s="2"/>
      <c r="Y2754" s="2"/>
      <c r="Z2754" s="2"/>
      <c r="AA2754" s="2" t="s">
        <v>606</v>
      </c>
      <c r="AB2754" s="2" t="s">
        <v>161</v>
      </c>
      <c r="AC2754" s="4" t="s">
        <v>44</v>
      </c>
    </row>
    <row r="2755" spans="1:29" x14ac:dyDescent="0.25">
      <c r="A2755" s="1">
        <v>2857</v>
      </c>
      <c r="B2755" s="17" t="s">
        <v>12562</v>
      </c>
      <c r="C2755" s="2" t="s">
        <v>4506</v>
      </c>
      <c r="D2755" s="15" t="s">
        <v>3883</v>
      </c>
      <c r="E2755" s="9" t="s">
        <v>354</v>
      </c>
      <c r="F2755" s="9" t="s">
        <v>3882</v>
      </c>
      <c r="G2755" s="9" t="s">
        <v>348</v>
      </c>
      <c r="H2755" s="2" t="s">
        <v>60</v>
      </c>
      <c r="I2755" s="3">
        <v>36780</v>
      </c>
      <c r="J2755" s="9" t="str">
        <f t="shared" ca="1" si="45"/>
        <v>22 ans</v>
      </c>
      <c r="K2755" s="2" t="s">
        <v>68</v>
      </c>
      <c r="L2755" s="2" t="str">
        <f>"695"</f>
        <v>695</v>
      </c>
      <c r="M2755" s="2"/>
      <c r="N2755" s="2" t="str">
        <f>"RUE DES FOUGÈRES"</f>
        <v>RUE DES FOUGÈRES</v>
      </c>
      <c r="O2755" s="2" t="s">
        <v>11725</v>
      </c>
      <c r="P2755" s="9" t="str">
        <f>VLOOKUP($O2755,'Liste des Villes'!$B$2:$B$1128,1,FALSE)</f>
        <v>Saint-Colomban</v>
      </c>
      <c r="Q2755" s="9" t="str">
        <f>IFERROR($P2755,PROPER(VLOOKUP($O2755,'Villes en erreur'!$A$2:$B$72,2,FALSE)))</f>
        <v>Saint-Colomban</v>
      </c>
      <c r="R2755" s="9" t="s">
        <v>11726</v>
      </c>
      <c r="S2755" s="9" t="str">
        <f>IF(ISBLANK($R2755),"",VLOOKUP($R2755,'Liste des Villes'!$B$2:$H$1128,4,FALSE))</f>
        <v>Laurentides</v>
      </c>
      <c r="T2755" s="2" t="s">
        <v>11763</v>
      </c>
      <c r="U2755" s="2" t="s">
        <v>39</v>
      </c>
      <c r="V2755" s="2" t="s">
        <v>40</v>
      </c>
      <c r="W2755" s="2" t="s">
        <v>12563</v>
      </c>
      <c r="X2755" s="2"/>
      <c r="Y2755" s="2"/>
      <c r="Z2755" s="2"/>
      <c r="AA2755" s="2" t="s">
        <v>72</v>
      </c>
      <c r="AB2755" s="2" t="s">
        <v>192</v>
      </c>
      <c r="AC2755" s="4" t="s">
        <v>44</v>
      </c>
    </row>
    <row r="2756" spans="1:29" x14ac:dyDescent="0.25">
      <c r="A2756" s="1">
        <v>3508</v>
      </c>
      <c r="B2756" s="17" t="s">
        <v>12564</v>
      </c>
      <c r="C2756" s="2" t="s">
        <v>12565</v>
      </c>
      <c r="D2756" s="15" t="s">
        <v>1316</v>
      </c>
      <c r="E2756" s="9" t="s">
        <v>1330</v>
      </c>
      <c r="F2756" s="9" t="s">
        <v>1314</v>
      </c>
      <c r="G2756" s="9" t="s">
        <v>9461</v>
      </c>
      <c r="H2756" s="2" t="s">
        <v>60</v>
      </c>
      <c r="I2756" s="3">
        <v>36850</v>
      </c>
      <c r="J2756" s="9" t="str">
        <f t="shared" ca="1" si="45"/>
        <v>22 ans</v>
      </c>
      <c r="K2756" s="2" t="s">
        <v>68</v>
      </c>
      <c r="L2756" s="2" t="str">
        <f>"803"</f>
        <v>803</v>
      </c>
      <c r="M2756" s="2"/>
      <c r="N2756" s="2" t="str">
        <f>"RUE DES PINS"</f>
        <v>RUE DES PINS</v>
      </c>
      <c r="O2756" s="2" t="s">
        <v>11725</v>
      </c>
      <c r="P2756" s="9" t="str">
        <f>VLOOKUP($O2756,'Liste des Villes'!$B$2:$B$1128,1,FALSE)</f>
        <v>Saint-Colomban</v>
      </c>
      <c r="Q2756" s="9" t="str">
        <f>IFERROR($P2756,PROPER(VLOOKUP($O2756,'Villes en erreur'!$A$2:$B$72,2,FALSE)))</f>
        <v>Saint-Colomban</v>
      </c>
      <c r="R2756" s="9" t="s">
        <v>11726</v>
      </c>
      <c r="S2756" s="9" t="str">
        <f>IF(ISBLANK($R2756),"",VLOOKUP($R2756,'Liste des Villes'!$B$2:$H$1128,4,FALSE))</f>
        <v>Laurentides</v>
      </c>
      <c r="T2756" s="2" t="s">
        <v>12566</v>
      </c>
      <c r="U2756" s="2" t="s">
        <v>39</v>
      </c>
      <c r="V2756" s="2" t="s">
        <v>40</v>
      </c>
      <c r="W2756" s="2" t="s">
        <v>12567</v>
      </c>
      <c r="X2756" s="2"/>
      <c r="Y2756" s="2"/>
      <c r="Z2756" s="2"/>
      <c r="AA2756" s="2" t="s">
        <v>606</v>
      </c>
      <c r="AB2756" s="2" t="s">
        <v>11748</v>
      </c>
      <c r="AC2756" s="4" t="s">
        <v>44</v>
      </c>
    </row>
    <row r="2757" spans="1:29" x14ac:dyDescent="0.25">
      <c r="A2757" s="1">
        <v>688</v>
      </c>
      <c r="B2757" s="17" t="s">
        <v>12568</v>
      </c>
      <c r="C2757" s="2" t="s">
        <v>12569</v>
      </c>
      <c r="D2757" s="15" t="s">
        <v>4736</v>
      </c>
      <c r="E2757" s="9" t="s">
        <v>4153</v>
      </c>
      <c r="F2757" s="9" t="s">
        <v>4735</v>
      </c>
      <c r="G2757" s="9" t="s">
        <v>3066</v>
      </c>
      <c r="H2757" s="2" t="s">
        <v>60</v>
      </c>
      <c r="I2757" s="3">
        <v>36835</v>
      </c>
      <c r="J2757" s="9" t="str">
        <f t="shared" ca="1" si="45"/>
        <v>22 ans</v>
      </c>
      <c r="K2757" s="2" t="s">
        <v>68</v>
      </c>
      <c r="L2757" s="2" t="str">
        <f>"775"</f>
        <v>775</v>
      </c>
      <c r="M2757" s="2"/>
      <c r="N2757" s="2" t="str">
        <f>"RUE DES OUTARDES"</f>
        <v>RUE DES OUTARDES</v>
      </c>
      <c r="O2757" s="2" t="s">
        <v>11725</v>
      </c>
      <c r="P2757" s="9" t="str">
        <f>VLOOKUP($O2757,'Liste des Villes'!$B$2:$B$1128,1,FALSE)</f>
        <v>Saint-Colomban</v>
      </c>
      <c r="Q2757" s="9" t="str">
        <f>IFERROR($P2757,PROPER(VLOOKUP($O2757,'Villes en erreur'!$A$2:$B$72,2,FALSE)))</f>
        <v>Saint-Colomban</v>
      </c>
      <c r="R2757" s="9" t="s">
        <v>11726</v>
      </c>
      <c r="S2757" s="9" t="str">
        <f>IF(ISBLANK($R2757),"",VLOOKUP($R2757,'Liste des Villes'!$B$2:$H$1128,4,FALSE))</f>
        <v>Laurentides</v>
      </c>
      <c r="T2757" s="2" t="s">
        <v>12570</v>
      </c>
      <c r="U2757" s="2" t="s">
        <v>39</v>
      </c>
      <c r="V2757" s="2" t="s">
        <v>40</v>
      </c>
      <c r="W2757" s="2" t="s">
        <v>12571</v>
      </c>
      <c r="X2757" s="2"/>
      <c r="Y2757" s="2"/>
      <c r="Z2757" s="2"/>
      <c r="AA2757" s="2" t="s">
        <v>72</v>
      </c>
      <c r="AB2757" s="2" t="s">
        <v>11748</v>
      </c>
      <c r="AC2757" s="4" t="s">
        <v>44</v>
      </c>
    </row>
    <row r="2758" spans="1:29" x14ac:dyDescent="0.25">
      <c r="A2758" s="1">
        <v>4512</v>
      </c>
      <c r="B2758" s="17" t="s">
        <v>12572</v>
      </c>
      <c r="C2758" s="2" t="s">
        <v>4583</v>
      </c>
      <c r="D2758" s="15" t="s">
        <v>462</v>
      </c>
      <c r="E2758" s="9" t="s">
        <v>4584</v>
      </c>
      <c r="F2758" s="9" t="s">
        <v>460</v>
      </c>
      <c r="G2758" s="9" t="s">
        <v>120</v>
      </c>
      <c r="H2758" s="2" t="s">
        <v>35</v>
      </c>
      <c r="I2758" s="3">
        <v>36802</v>
      </c>
      <c r="J2758" s="9" t="str">
        <f t="shared" ca="1" si="45"/>
        <v>22 ans</v>
      </c>
      <c r="K2758" s="2" t="s">
        <v>68</v>
      </c>
      <c r="L2758" s="2" t="str">
        <f>"725"</f>
        <v>725</v>
      </c>
      <c r="M2758" s="2"/>
      <c r="N2758" s="2" t="str">
        <f>"RUE DES JONCS"</f>
        <v>RUE DES JONCS</v>
      </c>
      <c r="O2758" s="2" t="s">
        <v>11725</v>
      </c>
      <c r="P2758" s="9" t="str">
        <f>VLOOKUP($O2758,'Liste des Villes'!$B$2:$B$1128,1,FALSE)</f>
        <v>Saint-Colomban</v>
      </c>
      <c r="Q2758" s="9" t="str">
        <f>IFERROR($P2758,PROPER(VLOOKUP($O2758,'Villes en erreur'!$A$2:$B$72,2,FALSE)))</f>
        <v>Saint-Colomban</v>
      </c>
      <c r="R2758" s="9" t="s">
        <v>11726</v>
      </c>
      <c r="S2758" s="9" t="str">
        <f>IF(ISBLANK($R2758),"",VLOOKUP($R2758,'Liste des Villes'!$B$2:$H$1128,4,FALSE))</f>
        <v>Laurentides</v>
      </c>
      <c r="T2758" s="2" t="s">
        <v>12573</v>
      </c>
      <c r="U2758" s="2" t="s">
        <v>39</v>
      </c>
      <c r="V2758" s="2" t="s">
        <v>40</v>
      </c>
      <c r="W2758" s="2" t="s">
        <v>12574</v>
      </c>
      <c r="X2758" s="2"/>
      <c r="Y2758" s="2"/>
      <c r="Z2758" s="2"/>
      <c r="AA2758" s="2" t="s">
        <v>72</v>
      </c>
      <c r="AB2758" s="2" t="s">
        <v>11733</v>
      </c>
      <c r="AC2758" s="4" t="s">
        <v>44</v>
      </c>
    </row>
    <row r="2759" spans="1:29" x14ac:dyDescent="0.25">
      <c r="A2759" s="1">
        <v>1263</v>
      </c>
      <c r="B2759" s="17" t="s">
        <v>12575</v>
      </c>
      <c r="C2759" s="2" t="s">
        <v>3842</v>
      </c>
      <c r="D2759" s="15" t="s">
        <v>31</v>
      </c>
      <c r="E2759" s="9" t="s">
        <v>2635</v>
      </c>
      <c r="F2759" s="9" t="s">
        <v>3843</v>
      </c>
      <c r="G2759" s="9" t="s">
        <v>509</v>
      </c>
      <c r="H2759" s="2" t="s">
        <v>60</v>
      </c>
      <c r="I2759" s="3">
        <v>36866</v>
      </c>
      <c r="J2759" s="9" t="str">
        <f t="shared" ca="1" si="45"/>
        <v>22 ans</v>
      </c>
      <c r="K2759" s="2" t="s">
        <v>68</v>
      </c>
      <c r="L2759" s="2" t="str">
        <f>"840"</f>
        <v>840</v>
      </c>
      <c r="M2759" s="2"/>
      <c r="N2759" s="2" t="str">
        <f>"RUE DES QUATRE-SAISONS"</f>
        <v>RUE DES QUATRE-SAISONS</v>
      </c>
      <c r="O2759" s="2" t="s">
        <v>11725</v>
      </c>
      <c r="P2759" s="9" t="str">
        <f>VLOOKUP($O2759,'Liste des Villes'!$B$2:$B$1128,1,FALSE)</f>
        <v>Saint-Colomban</v>
      </c>
      <c r="Q2759" s="9" t="str">
        <f>IFERROR($P2759,PROPER(VLOOKUP($O2759,'Villes en erreur'!$A$2:$B$72,2,FALSE)))</f>
        <v>Saint-Colomban</v>
      </c>
      <c r="R2759" s="9" t="s">
        <v>11726</v>
      </c>
      <c r="S2759" s="9" t="str">
        <f>IF(ISBLANK($R2759),"",VLOOKUP($R2759,'Liste des Villes'!$B$2:$H$1128,4,FALSE))</f>
        <v>Laurentides</v>
      </c>
      <c r="T2759" s="2" t="s">
        <v>11788</v>
      </c>
      <c r="U2759" s="2" t="s">
        <v>39</v>
      </c>
      <c r="V2759" s="2" t="s">
        <v>40</v>
      </c>
      <c r="W2759" s="2" t="s">
        <v>12576</v>
      </c>
      <c r="X2759" s="2"/>
      <c r="Y2759" s="2"/>
      <c r="Z2759" s="2"/>
      <c r="AA2759" s="2" t="s">
        <v>606</v>
      </c>
      <c r="AB2759" s="2" t="s">
        <v>161</v>
      </c>
      <c r="AC2759" s="4" t="s">
        <v>44</v>
      </c>
    </row>
    <row r="2760" spans="1:29" x14ac:dyDescent="0.25">
      <c r="A2760" s="1">
        <v>2583</v>
      </c>
      <c r="B2760" s="17" t="s">
        <v>12577</v>
      </c>
      <c r="C2760" s="2" t="s">
        <v>12578</v>
      </c>
      <c r="D2760" s="15" t="s">
        <v>12579</v>
      </c>
      <c r="E2760" s="9" t="s">
        <v>9574</v>
      </c>
      <c r="F2760" s="9" t="s">
        <v>76</v>
      </c>
      <c r="G2760" s="9" t="s">
        <v>1478</v>
      </c>
      <c r="H2760" s="2" t="s">
        <v>60</v>
      </c>
      <c r="I2760" s="3">
        <v>36834</v>
      </c>
      <c r="J2760" s="9" t="str">
        <f t="shared" ca="1" si="45"/>
        <v>22 ans</v>
      </c>
      <c r="K2760" s="2" t="s">
        <v>68</v>
      </c>
      <c r="L2760" s="2" t="str">
        <f>"774"</f>
        <v>774</v>
      </c>
      <c r="M2760" s="2"/>
      <c r="N2760" s="2" t="str">
        <f>"RUE DES OUTARDES"</f>
        <v>RUE DES OUTARDES</v>
      </c>
      <c r="O2760" s="2" t="s">
        <v>11725</v>
      </c>
      <c r="P2760" s="9" t="str">
        <f>VLOOKUP($O2760,'Liste des Villes'!$B$2:$B$1128,1,FALSE)</f>
        <v>Saint-Colomban</v>
      </c>
      <c r="Q2760" s="9" t="str">
        <f>IFERROR($P2760,PROPER(VLOOKUP($O2760,'Villes en erreur'!$A$2:$B$72,2,FALSE)))</f>
        <v>Saint-Colomban</v>
      </c>
      <c r="R2760" s="9" t="s">
        <v>11726</v>
      </c>
      <c r="S2760" s="9" t="str">
        <f>IF(ISBLANK($R2760),"",VLOOKUP($R2760,'Liste des Villes'!$B$2:$H$1128,4,FALSE))</f>
        <v>Laurentides</v>
      </c>
      <c r="T2760" s="2" t="s">
        <v>12477</v>
      </c>
      <c r="U2760" s="2" t="s">
        <v>39</v>
      </c>
      <c r="V2760" s="2" t="s">
        <v>40</v>
      </c>
      <c r="W2760" s="2" t="s">
        <v>12580</v>
      </c>
      <c r="X2760" s="2"/>
      <c r="Y2760" s="2"/>
      <c r="Z2760" s="2"/>
      <c r="AA2760" s="2" t="s">
        <v>72</v>
      </c>
      <c r="AB2760" s="2" t="s">
        <v>11748</v>
      </c>
      <c r="AC2760" s="4" t="s">
        <v>44</v>
      </c>
    </row>
    <row r="2761" spans="1:29" x14ac:dyDescent="0.25">
      <c r="A2761" s="1">
        <v>4052</v>
      </c>
      <c r="B2761" s="17" t="s">
        <v>12581</v>
      </c>
      <c r="C2761" s="2" t="s">
        <v>12582</v>
      </c>
      <c r="D2761" s="15" t="s">
        <v>164</v>
      </c>
      <c r="E2761" s="9" t="s">
        <v>12583</v>
      </c>
      <c r="F2761" s="9" t="s">
        <v>8266</v>
      </c>
      <c r="G2761" s="9" t="s">
        <v>6880</v>
      </c>
      <c r="H2761" s="2" t="s">
        <v>60</v>
      </c>
      <c r="I2761" s="3">
        <v>36824</v>
      </c>
      <c r="J2761" s="9" t="str">
        <f t="shared" ca="1" si="45"/>
        <v>22 ans</v>
      </c>
      <c r="K2761" s="2" t="s">
        <v>68</v>
      </c>
      <c r="L2761" s="2" t="str">
        <f>"757"</f>
        <v>757</v>
      </c>
      <c r="M2761" s="2"/>
      <c r="N2761" s="2" t="str">
        <f>"RUE DES MÉLÈZES"</f>
        <v>RUE DES MÉLÈZES</v>
      </c>
      <c r="O2761" s="2" t="s">
        <v>11725</v>
      </c>
      <c r="P2761" s="9" t="str">
        <f>VLOOKUP($O2761,'Liste des Villes'!$B$2:$B$1128,1,FALSE)</f>
        <v>Saint-Colomban</v>
      </c>
      <c r="Q2761" s="9" t="str">
        <f>IFERROR($P2761,PROPER(VLOOKUP($O2761,'Villes en erreur'!$A$2:$B$72,2,FALSE)))</f>
        <v>Saint-Colomban</v>
      </c>
      <c r="R2761" s="9" t="s">
        <v>11726</v>
      </c>
      <c r="S2761" s="9" t="str">
        <f>IF(ISBLANK($R2761),"",VLOOKUP($R2761,'Liste des Villes'!$B$2:$H$1128,4,FALSE))</f>
        <v>Laurentides</v>
      </c>
      <c r="T2761" s="2" t="s">
        <v>12584</v>
      </c>
      <c r="U2761" s="2" t="s">
        <v>39</v>
      </c>
      <c r="V2761" s="2" t="s">
        <v>40</v>
      </c>
      <c r="W2761" s="2" t="s">
        <v>12585</v>
      </c>
      <c r="X2761" s="2"/>
      <c r="Y2761" s="2"/>
      <c r="Z2761" s="2"/>
      <c r="AA2761" s="2" t="s">
        <v>72</v>
      </c>
      <c r="AB2761" s="2" t="s">
        <v>11733</v>
      </c>
      <c r="AC2761" s="4" t="s">
        <v>44</v>
      </c>
    </row>
    <row r="2762" spans="1:29" x14ac:dyDescent="0.25">
      <c r="A2762" s="1">
        <v>447</v>
      </c>
      <c r="B2762" s="17" t="s">
        <v>12586</v>
      </c>
      <c r="C2762" s="2" t="s">
        <v>12587</v>
      </c>
      <c r="D2762" s="15" t="s">
        <v>12588</v>
      </c>
      <c r="E2762" s="9" t="s">
        <v>202</v>
      </c>
      <c r="F2762" s="9" t="s">
        <v>203</v>
      </c>
      <c r="G2762" s="9" t="s">
        <v>509</v>
      </c>
      <c r="H2762" s="2" t="s">
        <v>60</v>
      </c>
      <c r="I2762" s="3">
        <v>36871</v>
      </c>
      <c r="J2762" s="9" t="str">
        <f t="shared" ca="1" si="45"/>
        <v>22 ans</v>
      </c>
      <c r="K2762" s="2" t="s">
        <v>68</v>
      </c>
      <c r="L2762" s="2" t="str">
        <f>"843"</f>
        <v>843</v>
      </c>
      <c r="M2762" s="2"/>
      <c r="N2762" s="2" t="str">
        <f>"RUE DES ROSEAUX"</f>
        <v>RUE DES ROSEAUX</v>
      </c>
      <c r="O2762" s="2" t="s">
        <v>11725</v>
      </c>
      <c r="P2762" s="9" t="str">
        <f>VLOOKUP($O2762,'Liste des Villes'!$B$2:$B$1128,1,FALSE)</f>
        <v>Saint-Colomban</v>
      </c>
      <c r="Q2762" s="9" t="str">
        <f>IFERROR($P2762,PROPER(VLOOKUP($O2762,'Villes en erreur'!$A$2:$B$72,2,FALSE)))</f>
        <v>Saint-Colomban</v>
      </c>
      <c r="R2762" s="9" t="s">
        <v>11726</v>
      </c>
      <c r="S2762" s="9" t="str">
        <f>IF(ISBLANK($R2762),"",VLOOKUP($R2762,'Liste des Villes'!$B$2:$H$1128,4,FALSE))</f>
        <v>Laurentides</v>
      </c>
      <c r="T2762" s="2" t="s">
        <v>12506</v>
      </c>
      <c r="U2762" s="2" t="s">
        <v>39</v>
      </c>
      <c r="V2762" s="2" t="s">
        <v>40</v>
      </c>
      <c r="W2762" s="2" t="s">
        <v>12589</v>
      </c>
      <c r="X2762" s="2"/>
      <c r="Y2762" s="2"/>
      <c r="Z2762" s="2"/>
      <c r="AA2762" s="2" t="s">
        <v>606</v>
      </c>
      <c r="AB2762" s="2" t="s">
        <v>161</v>
      </c>
      <c r="AC2762" s="4" t="s">
        <v>44</v>
      </c>
    </row>
    <row r="2763" spans="1:29" x14ac:dyDescent="0.25">
      <c r="A2763" s="1">
        <v>4540</v>
      </c>
      <c r="B2763" s="17" t="s">
        <v>12590</v>
      </c>
      <c r="C2763" s="2" t="s">
        <v>12591</v>
      </c>
      <c r="D2763" s="15" t="s">
        <v>5079</v>
      </c>
      <c r="E2763" s="9" t="s">
        <v>12592</v>
      </c>
      <c r="F2763" s="9" t="s">
        <v>12593</v>
      </c>
      <c r="G2763" s="9" t="s">
        <v>3631</v>
      </c>
      <c r="H2763" s="2" t="s">
        <v>60</v>
      </c>
      <c r="I2763" s="3">
        <v>36776</v>
      </c>
      <c r="J2763" s="9" t="str">
        <f t="shared" ca="1" si="45"/>
        <v>22 ans</v>
      </c>
      <c r="K2763" s="2" t="s">
        <v>68</v>
      </c>
      <c r="L2763" s="2" t="str">
        <f>"687"</f>
        <v>687</v>
      </c>
      <c r="M2763" s="2"/>
      <c r="N2763" s="2" t="str">
        <f>"RUE DES FOUGÈRES"</f>
        <v>RUE DES FOUGÈRES</v>
      </c>
      <c r="O2763" s="2" t="s">
        <v>11725</v>
      </c>
      <c r="P2763" s="9" t="str">
        <f>VLOOKUP($O2763,'Liste des Villes'!$B$2:$B$1128,1,FALSE)</f>
        <v>Saint-Colomban</v>
      </c>
      <c r="Q2763" s="9" t="str">
        <f>IFERROR($P2763,PROPER(VLOOKUP($O2763,'Villes en erreur'!$A$2:$B$72,2,FALSE)))</f>
        <v>Saint-Colomban</v>
      </c>
      <c r="R2763" s="9" t="s">
        <v>11726</v>
      </c>
      <c r="S2763" s="9" t="str">
        <f>IF(ISBLANK($R2763),"",VLOOKUP($R2763,'Liste des Villes'!$B$2:$H$1128,4,FALSE))</f>
        <v>Laurentides</v>
      </c>
      <c r="T2763" s="2" t="s">
        <v>12594</v>
      </c>
      <c r="U2763" s="2" t="s">
        <v>39</v>
      </c>
      <c r="V2763" s="2" t="s">
        <v>40</v>
      </c>
      <c r="W2763" s="2" t="s">
        <v>12595</v>
      </c>
      <c r="X2763" s="2"/>
      <c r="Y2763" s="2"/>
      <c r="Z2763" s="2"/>
      <c r="AA2763" s="2" t="s">
        <v>72</v>
      </c>
      <c r="AB2763" s="2" t="s">
        <v>192</v>
      </c>
      <c r="AC2763" s="4" t="s">
        <v>44</v>
      </c>
    </row>
    <row r="2764" spans="1:29" x14ac:dyDescent="0.25">
      <c r="A2764" s="1">
        <v>865</v>
      </c>
      <c r="B2764" s="17" t="s">
        <v>12596</v>
      </c>
      <c r="C2764" s="2" t="s">
        <v>12597</v>
      </c>
      <c r="D2764" s="15" t="s">
        <v>58</v>
      </c>
      <c r="E2764" s="9" t="s">
        <v>8797</v>
      </c>
      <c r="F2764" s="9" t="s">
        <v>56</v>
      </c>
      <c r="G2764" s="9" t="s">
        <v>12598</v>
      </c>
      <c r="H2764" s="2" t="s">
        <v>60</v>
      </c>
      <c r="I2764" s="3">
        <v>36852</v>
      </c>
      <c r="J2764" s="9" t="str">
        <f t="shared" ca="1" si="45"/>
        <v>22 ans</v>
      </c>
      <c r="K2764" s="2" t="s">
        <v>68</v>
      </c>
      <c r="L2764" s="2" t="str">
        <f>"809"</f>
        <v>809</v>
      </c>
      <c r="M2764" s="2"/>
      <c r="N2764" s="2" t="str">
        <f>"RUE DES PINSONS"</f>
        <v>RUE DES PINSONS</v>
      </c>
      <c r="O2764" s="2" t="s">
        <v>11725</v>
      </c>
      <c r="P2764" s="9" t="str">
        <f>VLOOKUP($O2764,'Liste des Villes'!$B$2:$B$1128,1,FALSE)</f>
        <v>Saint-Colomban</v>
      </c>
      <c r="Q2764" s="9" t="str">
        <f>IFERROR($P2764,PROPER(VLOOKUP($O2764,'Villes en erreur'!$A$2:$B$72,2,FALSE)))</f>
        <v>Saint-Colomban</v>
      </c>
      <c r="R2764" s="9" t="s">
        <v>11726</v>
      </c>
      <c r="S2764" s="9" t="str">
        <f>IF(ISBLANK($R2764),"",VLOOKUP($R2764,'Liste des Villes'!$B$2:$H$1128,4,FALSE))</f>
        <v>Laurentides</v>
      </c>
      <c r="T2764" s="2" t="s">
        <v>12599</v>
      </c>
      <c r="U2764" s="2" t="s">
        <v>39</v>
      </c>
      <c r="V2764" s="2" t="s">
        <v>40</v>
      </c>
      <c r="W2764" s="2" t="s">
        <v>12600</v>
      </c>
      <c r="X2764" s="2"/>
      <c r="Y2764" s="2"/>
      <c r="Z2764" s="2"/>
      <c r="AA2764" s="2" t="s">
        <v>606</v>
      </c>
      <c r="AB2764" s="2" t="s">
        <v>161</v>
      </c>
      <c r="AC2764" s="4" t="s">
        <v>44</v>
      </c>
    </row>
    <row r="2765" spans="1:29" x14ac:dyDescent="0.25">
      <c r="A2765" s="1">
        <v>3733</v>
      </c>
      <c r="B2765" s="17" t="s">
        <v>12601</v>
      </c>
      <c r="C2765" s="2" t="s">
        <v>9965</v>
      </c>
      <c r="D2765" s="15" t="s">
        <v>9966</v>
      </c>
      <c r="E2765" s="9" t="s">
        <v>4474</v>
      </c>
      <c r="F2765" s="9" t="s">
        <v>11860</v>
      </c>
      <c r="G2765" s="9" t="s">
        <v>5671</v>
      </c>
      <c r="H2765" s="2" t="s">
        <v>35</v>
      </c>
      <c r="I2765" s="3">
        <v>36800</v>
      </c>
      <c r="J2765" s="9" t="str">
        <f t="shared" ca="1" si="45"/>
        <v>22 ans</v>
      </c>
      <c r="K2765" s="2" t="s">
        <v>68</v>
      </c>
      <c r="L2765" s="2" t="str">
        <f>"720"</f>
        <v>720</v>
      </c>
      <c r="M2765" s="2"/>
      <c r="N2765" s="2" t="str">
        <f>"RUE DES HUARTS"</f>
        <v>RUE DES HUARTS</v>
      </c>
      <c r="O2765" s="2" t="s">
        <v>11725</v>
      </c>
      <c r="P2765" s="9" t="str">
        <f>VLOOKUP($O2765,'Liste des Villes'!$B$2:$B$1128,1,FALSE)</f>
        <v>Saint-Colomban</v>
      </c>
      <c r="Q2765" s="9" t="str">
        <f>IFERROR($P2765,PROPER(VLOOKUP($O2765,'Villes en erreur'!$A$2:$B$72,2,FALSE)))</f>
        <v>Saint-Colomban</v>
      </c>
      <c r="R2765" s="9" t="s">
        <v>11726</v>
      </c>
      <c r="S2765" s="9" t="str">
        <f>IF(ISBLANK($R2765),"",VLOOKUP($R2765,'Liste des Villes'!$B$2:$H$1128,4,FALSE))</f>
        <v>Laurentides</v>
      </c>
      <c r="T2765" s="2" t="s">
        <v>12602</v>
      </c>
      <c r="U2765" s="2" t="s">
        <v>39</v>
      </c>
      <c r="V2765" s="2" t="s">
        <v>40</v>
      </c>
      <c r="W2765" s="2" t="s">
        <v>12603</v>
      </c>
      <c r="X2765" s="2"/>
      <c r="Y2765" s="2"/>
      <c r="Z2765" s="2"/>
      <c r="AA2765" s="2" t="s">
        <v>72</v>
      </c>
      <c r="AB2765" s="2" t="s">
        <v>11733</v>
      </c>
      <c r="AC2765" s="4" t="s">
        <v>44</v>
      </c>
    </row>
    <row r="2766" spans="1:29" x14ac:dyDescent="0.25">
      <c r="A2766" s="1">
        <v>2556</v>
      </c>
      <c r="B2766" s="17" t="s">
        <v>12604</v>
      </c>
      <c r="C2766" s="2" t="s">
        <v>12605</v>
      </c>
      <c r="D2766" s="15" t="s">
        <v>1649</v>
      </c>
      <c r="E2766" s="9" t="s">
        <v>12606</v>
      </c>
      <c r="F2766" s="9" t="s">
        <v>4730</v>
      </c>
      <c r="G2766" s="9" t="s">
        <v>450</v>
      </c>
      <c r="H2766" s="2" t="s">
        <v>60</v>
      </c>
      <c r="I2766" s="3">
        <v>36828</v>
      </c>
      <c r="J2766" s="9" t="str">
        <f t="shared" ca="1" si="45"/>
        <v>22 ans</v>
      </c>
      <c r="K2766" s="2" t="s">
        <v>68</v>
      </c>
      <c r="L2766" s="2" t="str">
        <f>"765"</f>
        <v>765</v>
      </c>
      <c r="M2766" s="2"/>
      <c r="N2766" s="2" t="str">
        <f>"RUE DES MONTS"</f>
        <v>RUE DES MONTS</v>
      </c>
      <c r="O2766" s="2" t="s">
        <v>11725</v>
      </c>
      <c r="P2766" s="9" t="str">
        <f>VLOOKUP($O2766,'Liste des Villes'!$B$2:$B$1128,1,FALSE)</f>
        <v>Saint-Colomban</v>
      </c>
      <c r="Q2766" s="9" t="str">
        <f>IFERROR($P2766,PROPER(VLOOKUP($O2766,'Villes en erreur'!$A$2:$B$72,2,FALSE)))</f>
        <v>Saint-Colomban</v>
      </c>
      <c r="R2766" s="9" t="s">
        <v>11726</v>
      </c>
      <c r="S2766" s="9" t="str">
        <f>IF(ISBLANK($R2766),"",VLOOKUP($R2766,'Liste des Villes'!$B$2:$H$1128,4,FALSE))</f>
        <v>Laurentides</v>
      </c>
      <c r="T2766" s="2" t="s">
        <v>12171</v>
      </c>
      <c r="U2766" s="2" t="s">
        <v>39</v>
      </c>
      <c r="V2766" s="2" t="s">
        <v>40</v>
      </c>
      <c r="W2766" s="2" t="s">
        <v>12607</v>
      </c>
      <c r="X2766" s="2"/>
      <c r="Y2766" s="2"/>
      <c r="Z2766" s="2"/>
      <c r="AA2766" s="2" t="s">
        <v>72</v>
      </c>
      <c r="AB2766" s="2" t="s">
        <v>11733</v>
      </c>
      <c r="AC2766" s="4" t="s">
        <v>44</v>
      </c>
    </row>
    <row r="2767" spans="1:29" x14ac:dyDescent="0.25">
      <c r="A2767" s="1">
        <v>2447</v>
      </c>
      <c r="B2767" s="17" t="s">
        <v>12608</v>
      </c>
      <c r="C2767" s="2" t="s">
        <v>9876</v>
      </c>
      <c r="D2767" s="15" t="s">
        <v>2070</v>
      </c>
      <c r="E2767" s="9" t="s">
        <v>137</v>
      </c>
      <c r="F2767" s="9" t="s">
        <v>2068</v>
      </c>
      <c r="G2767" s="9" t="s">
        <v>348</v>
      </c>
      <c r="H2767" s="2" t="s">
        <v>60</v>
      </c>
      <c r="I2767" s="3">
        <v>36788</v>
      </c>
      <c r="J2767" s="9" t="str">
        <f t="shared" ca="1" si="45"/>
        <v>22 ans</v>
      </c>
      <c r="K2767" s="2" t="s">
        <v>68</v>
      </c>
      <c r="L2767" s="2" t="str">
        <f>"701"</f>
        <v>701</v>
      </c>
      <c r="M2767" s="2"/>
      <c r="N2767" s="2" t="str">
        <f>"RUE DES GIROLLES"</f>
        <v>RUE DES GIROLLES</v>
      </c>
      <c r="O2767" s="2" t="s">
        <v>11725</v>
      </c>
      <c r="P2767" s="9" t="str">
        <f>VLOOKUP($O2767,'Liste des Villes'!$B$2:$B$1128,1,FALSE)</f>
        <v>Saint-Colomban</v>
      </c>
      <c r="Q2767" s="9" t="str">
        <f>IFERROR($P2767,PROPER(VLOOKUP($O2767,'Villes en erreur'!$A$2:$B$72,2,FALSE)))</f>
        <v>Saint-Colomban</v>
      </c>
      <c r="R2767" s="9" t="s">
        <v>11726</v>
      </c>
      <c r="S2767" s="9" t="str">
        <f>IF(ISBLANK($R2767),"",VLOOKUP($R2767,'Liste des Villes'!$B$2:$H$1128,4,FALSE))</f>
        <v>Laurentides</v>
      </c>
      <c r="T2767" s="2" t="s">
        <v>12609</v>
      </c>
      <c r="U2767" s="2" t="s">
        <v>39</v>
      </c>
      <c r="V2767" s="2" t="s">
        <v>40</v>
      </c>
      <c r="W2767" s="2" t="s">
        <v>12610</v>
      </c>
      <c r="X2767" s="2"/>
      <c r="Y2767" s="2"/>
      <c r="Z2767" s="2"/>
      <c r="AA2767" s="2" t="s">
        <v>72</v>
      </c>
      <c r="AB2767" s="2" t="s">
        <v>192</v>
      </c>
      <c r="AC2767" s="4" t="s">
        <v>44</v>
      </c>
    </row>
    <row r="2768" spans="1:29" x14ac:dyDescent="0.25">
      <c r="A2768" s="1">
        <v>1290</v>
      </c>
      <c r="B2768" s="17" t="s">
        <v>12611</v>
      </c>
      <c r="C2768" s="2" t="s">
        <v>8863</v>
      </c>
      <c r="D2768" s="15" t="s">
        <v>4870</v>
      </c>
      <c r="E2768" s="9" t="s">
        <v>2107</v>
      </c>
      <c r="F2768" s="9" t="s">
        <v>11603</v>
      </c>
      <c r="G2768" s="9" t="s">
        <v>2475</v>
      </c>
      <c r="H2768" s="2" t="s">
        <v>60</v>
      </c>
      <c r="I2768" s="3">
        <v>36850</v>
      </c>
      <c r="J2768" s="9" t="str">
        <f t="shared" ca="1" si="45"/>
        <v>22 ans</v>
      </c>
      <c r="K2768" s="2" t="s">
        <v>68</v>
      </c>
      <c r="L2768" s="2" t="str">
        <f>"799"</f>
        <v>799</v>
      </c>
      <c r="M2768" s="2"/>
      <c r="N2768" s="2" t="str">
        <f>"RUE DES PINS"</f>
        <v>RUE DES PINS</v>
      </c>
      <c r="O2768" s="2" t="s">
        <v>11725</v>
      </c>
      <c r="P2768" s="9" t="str">
        <f>VLOOKUP($O2768,'Liste des Villes'!$B$2:$B$1128,1,FALSE)</f>
        <v>Saint-Colomban</v>
      </c>
      <c r="Q2768" s="9" t="str">
        <f>IFERROR($P2768,PROPER(VLOOKUP($O2768,'Villes en erreur'!$A$2:$B$72,2,FALSE)))</f>
        <v>Saint-Colomban</v>
      </c>
      <c r="R2768" s="9" t="s">
        <v>11726</v>
      </c>
      <c r="S2768" s="9" t="str">
        <f>IF(ISBLANK($R2768),"",VLOOKUP($R2768,'Liste des Villes'!$B$2:$H$1128,4,FALSE))</f>
        <v>Laurentides</v>
      </c>
      <c r="T2768" s="2" t="s">
        <v>12612</v>
      </c>
      <c r="U2768" s="2" t="s">
        <v>39</v>
      </c>
      <c r="V2768" s="2" t="s">
        <v>40</v>
      </c>
      <c r="W2768" s="2" t="s">
        <v>12613</v>
      </c>
      <c r="X2768" s="2"/>
      <c r="Y2768" s="2"/>
      <c r="Z2768" s="2"/>
      <c r="AA2768" s="2" t="s">
        <v>606</v>
      </c>
      <c r="AB2768" s="2" t="s">
        <v>11748</v>
      </c>
      <c r="AC2768" s="4" t="s">
        <v>44</v>
      </c>
    </row>
    <row r="2769" spans="1:29" x14ac:dyDescent="0.25">
      <c r="A2769" s="1">
        <v>1717</v>
      </c>
      <c r="B2769" s="17" t="s">
        <v>12614</v>
      </c>
      <c r="C2769" s="2" t="s">
        <v>12615</v>
      </c>
      <c r="D2769" s="15" t="s">
        <v>1716</v>
      </c>
      <c r="E2769" s="9" t="s">
        <v>12616</v>
      </c>
      <c r="F2769" s="9" t="s">
        <v>363</v>
      </c>
      <c r="G2769" s="9" t="s">
        <v>751</v>
      </c>
      <c r="H2769" s="2" t="s">
        <v>35</v>
      </c>
      <c r="I2769" s="3">
        <v>36816</v>
      </c>
      <c r="J2769" s="9" t="str">
        <f t="shared" ca="1" si="45"/>
        <v>22 ans</v>
      </c>
      <c r="K2769" s="2" t="s">
        <v>68</v>
      </c>
      <c r="L2769" s="2" t="str">
        <f>"745"</f>
        <v>745</v>
      </c>
      <c r="M2769" s="2"/>
      <c r="N2769" s="2" t="str">
        <f>"RUE DES MALARDS"</f>
        <v>RUE DES MALARDS</v>
      </c>
      <c r="O2769" s="2" t="s">
        <v>11725</v>
      </c>
      <c r="P2769" s="9" t="str">
        <f>VLOOKUP($O2769,'Liste des Villes'!$B$2:$B$1128,1,FALSE)</f>
        <v>Saint-Colomban</v>
      </c>
      <c r="Q2769" s="9" t="str">
        <f>IFERROR($P2769,PROPER(VLOOKUP($O2769,'Villes en erreur'!$A$2:$B$72,2,FALSE)))</f>
        <v>Saint-Colomban</v>
      </c>
      <c r="R2769" s="9" t="s">
        <v>11726</v>
      </c>
      <c r="S2769" s="9" t="str">
        <f>IF(ISBLANK($R2769),"",VLOOKUP($R2769,'Liste des Villes'!$B$2:$H$1128,4,FALSE))</f>
        <v>Laurentides</v>
      </c>
      <c r="T2769" s="2" t="s">
        <v>12617</v>
      </c>
      <c r="U2769" s="2" t="s">
        <v>39</v>
      </c>
      <c r="V2769" s="2" t="s">
        <v>40</v>
      </c>
      <c r="W2769" s="2" t="s">
        <v>12618</v>
      </c>
      <c r="X2769" s="2"/>
      <c r="Y2769" s="2"/>
      <c r="Z2769" s="2"/>
      <c r="AA2769" s="2" t="s">
        <v>72</v>
      </c>
      <c r="AB2769" s="2" t="s">
        <v>11733</v>
      </c>
      <c r="AC2769" s="4" t="s">
        <v>44</v>
      </c>
    </row>
    <row r="2770" spans="1:29" x14ac:dyDescent="0.25">
      <c r="A2770" s="1">
        <v>1251</v>
      </c>
      <c r="B2770" s="17" t="s">
        <v>12619</v>
      </c>
      <c r="C2770" s="2" t="s">
        <v>12620</v>
      </c>
      <c r="D2770" s="15" t="s">
        <v>12621</v>
      </c>
      <c r="E2770" s="9" t="s">
        <v>1560</v>
      </c>
      <c r="F2770" s="9" t="s">
        <v>3659</v>
      </c>
      <c r="G2770" s="9" t="s">
        <v>348</v>
      </c>
      <c r="H2770" s="2" t="s">
        <v>60</v>
      </c>
      <c r="I2770" s="3">
        <v>36782</v>
      </c>
      <c r="J2770" s="9" t="str">
        <f t="shared" ca="1" si="45"/>
        <v>22 ans</v>
      </c>
      <c r="K2770" s="2" t="s">
        <v>68</v>
      </c>
      <c r="L2770" s="2" t="str">
        <f>"700"</f>
        <v>700</v>
      </c>
      <c r="M2770" s="2"/>
      <c r="N2770" s="2" t="str">
        <f>"RUE DES FRÊNES"</f>
        <v>RUE DES FRÊNES</v>
      </c>
      <c r="O2770" s="2" t="s">
        <v>11725</v>
      </c>
      <c r="P2770" s="9" t="str">
        <f>VLOOKUP($O2770,'Liste des Villes'!$B$2:$B$1128,1,FALSE)</f>
        <v>Saint-Colomban</v>
      </c>
      <c r="Q2770" s="9" t="str">
        <f>IFERROR($P2770,PROPER(VLOOKUP($O2770,'Villes en erreur'!$A$2:$B$72,2,FALSE)))</f>
        <v>Saint-Colomban</v>
      </c>
      <c r="R2770" s="9" t="s">
        <v>11726</v>
      </c>
      <c r="S2770" s="9" t="str">
        <f>IF(ISBLANK($R2770),"",VLOOKUP($R2770,'Liste des Villes'!$B$2:$H$1128,4,FALSE))</f>
        <v>Laurentides</v>
      </c>
      <c r="T2770" s="2" t="s">
        <v>12622</v>
      </c>
      <c r="U2770" s="2" t="s">
        <v>39</v>
      </c>
      <c r="V2770" s="2" t="s">
        <v>40</v>
      </c>
      <c r="W2770" s="2" t="s">
        <v>12623</v>
      </c>
      <c r="X2770" s="2"/>
      <c r="Y2770" s="2"/>
      <c r="Z2770" s="2"/>
      <c r="AA2770" s="2" t="s">
        <v>72</v>
      </c>
      <c r="AB2770" s="2" t="s">
        <v>192</v>
      </c>
      <c r="AC2770" s="4" t="s">
        <v>44</v>
      </c>
    </row>
    <row r="2771" spans="1:29" x14ac:dyDescent="0.25">
      <c r="A2771" s="1">
        <v>974</v>
      </c>
      <c r="B2771" s="17" t="s">
        <v>12624</v>
      </c>
      <c r="C2771" s="2" t="s">
        <v>12625</v>
      </c>
      <c r="D2771" s="15" t="s">
        <v>12626</v>
      </c>
      <c r="E2771" s="9" t="s">
        <v>503</v>
      </c>
      <c r="F2771" s="9" t="s">
        <v>504</v>
      </c>
      <c r="G2771" s="9" t="s">
        <v>509</v>
      </c>
      <c r="H2771" s="2" t="s">
        <v>60</v>
      </c>
      <c r="I2771" s="3">
        <v>36867</v>
      </c>
      <c r="J2771" s="9" t="str">
        <f t="shared" ca="1" si="45"/>
        <v>22 ans</v>
      </c>
      <c r="K2771" s="2" t="s">
        <v>68</v>
      </c>
      <c r="L2771" s="2" t="str">
        <f>"841"</f>
        <v>841</v>
      </c>
      <c r="M2771" s="2"/>
      <c r="N2771" s="2" t="str">
        <f>"RUE DES RÊVES"</f>
        <v>RUE DES RÊVES</v>
      </c>
      <c r="O2771" s="2" t="s">
        <v>11725</v>
      </c>
      <c r="P2771" s="9" t="str">
        <f>VLOOKUP($O2771,'Liste des Villes'!$B$2:$B$1128,1,FALSE)</f>
        <v>Saint-Colomban</v>
      </c>
      <c r="Q2771" s="9" t="str">
        <f>IFERROR($P2771,PROPER(VLOOKUP($O2771,'Villes en erreur'!$A$2:$B$72,2,FALSE)))</f>
        <v>Saint-Colomban</v>
      </c>
      <c r="R2771" s="9" t="s">
        <v>11726</v>
      </c>
      <c r="S2771" s="9" t="str">
        <f>IF(ISBLANK($R2771),"",VLOOKUP($R2771,'Liste des Villes'!$B$2:$H$1128,4,FALSE))</f>
        <v>Laurentides</v>
      </c>
      <c r="T2771" s="2" t="s">
        <v>11792</v>
      </c>
      <c r="U2771" s="2" t="s">
        <v>39</v>
      </c>
      <c r="V2771" s="2" t="s">
        <v>40</v>
      </c>
      <c r="W2771" s="2" t="s">
        <v>11793</v>
      </c>
      <c r="X2771" s="2"/>
      <c r="Y2771" s="2"/>
      <c r="Z2771" s="2"/>
      <c r="AA2771" s="2" t="s">
        <v>606</v>
      </c>
      <c r="AB2771" s="2" t="s">
        <v>161</v>
      </c>
      <c r="AC2771" s="4" t="s">
        <v>44</v>
      </c>
    </row>
    <row r="2772" spans="1:29" x14ac:dyDescent="0.25">
      <c r="A2772" s="1">
        <v>2604</v>
      </c>
      <c r="B2772" s="17" t="s">
        <v>12627</v>
      </c>
      <c r="C2772" s="2" t="s">
        <v>5696</v>
      </c>
      <c r="D2772" s="15" t="s">
        <v>197</v>
      </c>
      <c r="E2772" s="9" t="s">
        <v>495</v>
      </c>
      <c r="F2772" s="9" t="s">
        <v>5021</v>
      </c>
      <c r="G2772" s="9" t="s">
        <v>120</v>
      </c>
      <c r="H2772" s="2" t="s">
        <v>35</v>
      </c>
      <c r="I2772" s="3">
        <v>36804</v>
      </c>
      <c r="J2772" s="9" t="str">
        <f t="shared" ca="1" si="45"/>
        <v>22 ans</v>
      </c>
      <c r="K2772" s="2" t="s">
        <v>68</v>
      </c>
      <c r="L2772" s="2" t="str">
        <f>"730"</f>
        <v>730</v>
      </c>
      <c r="M2772" s="2"/>
      <c r="N2772" s="2" t="str">
        <f>"RUE DES JONQUILLES"</f>
        <v>RUE DES JONQUILLES</v>
      </c>
      <c r="O2772" s="2" t="s">
        <v>11725</v>
      </c>
      <c r="P2772" s="9" t="str">
        <f>VLOOKUP($O2772,'Liste des Villes'!$B$2:$B$1128,1,FALSE)</f>
        <v>Saint-Colomban</v>
      </c>
      <c r="Q2772" s="9" t="str">
        <f>IFERROR($P2772,PROPER(VLOOKUP($O2772,'Villes en erreur'!$A$2:$B$72,2,FALSE)))</f>
        <v>Saint-Colomban</v>
      </c>
      <c r="R2772" s="9" t="s">
        <v>11726</v>
      </c>
      <c r="S2772" s="9" t="str">
        <f>IF(ISBLANK($R2772),"",VLOOKUP($R2772,'Liste des Villes'!$B$2:$H$1128,4,FALSE))</f>
        <v>Laurentides</v>
      </c>
      <c r="T2772" s="2" t="s">
        <v>12628</v>
      </c>
      <c r="U2772" s="2" t="s">
        <v>39</v>
      </c>
      <c r="V2772" s="2" t="s">
        <v>40</v>
      </c>
      <c r="W2772" s="2" t="s">
        <v>11879</v>
      </c>
      <c r="X2772" s="2"/>
      <c r="Y2772" s="2"/>
      <c r="Z2772" s="2"/>
      <c r="AA2772" s="2" t="s">
        <v>72</v>
      </c>
      <c r="AB2772" s="2" t="s">
        <v>11733</v>
      </c>
      <c r="AC2772" s="4" t="s">
        <v>44</v>
      </c>
    </row>
    <row r="2773" spans="1:29" x14ac:dyDescent="0.25">
      <c r="A2773" s="1">
        <v>4338</v>
      </c>
      <c r="B2773" s="17" t="s">
        <v>12629</v>
      </c>
      <c r="C2773" s="2" t="s">
        <v>12630</v>
      </c>
      <c r="D2773" s="15" t="s">
        <v>738</v>
      </c>
      <c r="E2773" s="9" t="s">
        <v>4551</v>
      </c>
      <c r="F2773" s="9" t="s">
        <v>11915</v>
      </c>
      <c r="G2773" s="9" t="s">
        <v>509</v>
      </c>
      <c r="H2773" s="2" t="s">
        <v>60</v>
      </c>
      <c r="I2773" s="3">
        <v>36874</v>
      </c>
      <c r="J2773" s="9" t="str">
        <f t="shared" ca="1" si="45"/>
        <v>22 ans</v>
      </c>
      <c r="K2773" s="2" t="s">
        <v>68</v>
      </c>
      <c r="L2773" s="2" t="str">
        <f>"853"</f>
        <v>853</v>
      </c>
      <c r="M2773" s="2"/>
      <c r="N2773" s="2" t="str">
        <f>"RUE DES ROUGES GORGES"</f>
        <v>RUE DES ROUGES GORGES</v>
      </c>
      <c r="O2773" s="2" t="s">
        <v>11725</v>
      </c>
      <c r="P2773" s="9" t="str">
        <f>VLOOKUP($O2773,'Liste des Villes'!$B$2:$B$1128,1,FALSE)</f>
        <v>Saint-Colomban</v>
      </c>
      <c r="Q2773" s="9" t="str">
        <f>IFERROR($P2773,PROPER(VLOOKUP($O2773,'Villes en erreur'!$A$2:$B$72,2,FALSE)))</f>
        <v>Saint-Colomban</v>
      </c>
      <c r="R2773" s="9" t="s">
        <v>11726</v>
      </c>
      <c r="S2773" s="9" t="str">
        <f>IF(ISBLANK($R2773),"",VLOOKUP($R2773,'Liste des Villes'!$B$2:$H$1128,4,FALSE))</f>
        <v>Laurentides</v>
      </c>
      <c r="T2773" s="2" t="s">
        <v>12631</v>
      </c>
      <c r="U2773" s="2" t="s">
        <v>39</v>
      </c>
      <c r="V2773" s="2" t="s">
        <v>40</v>
      </c>
      <c r="W2773" s="2" t="s">
        <v>12632</v>
      </c>
      <c r="X2773" s="2"/>
      <c r="Y2773" s="2"/>
      <c r="Z2773" s="2"/>
      <c r="AA2773" s="2" t="s">
        <v>606</v>
      </c>
      <c r="AB2773" s="2" t="s">
        <v>161</v>
      </c>
      <c r="AC2773" s="4" t="s">
        <v>44</v>
      </c>
    </row>
    <row r="2774" spans="1:29" x14ac:dyDescent="0.25">
      <c r="A2774" s="1">
        <v>2762</v>
      </c>
      <c r="B2774" s="17" t="s">
        <v>12633</v>
      </c>
      <c r="C2774" s="2" t="s">
        <v>12634</v>
      </c>
      <c r="D2774" s="15" t="s">
        <v>5080</v>
      </c>
      <c r="E2774" s="9" t="s">
        <v>1410</v>
      </c>
      <c r="F2774" s="9" t="s">
        <v>5079</v>
      </c>
      <c r="G2774" s="9" t="s">
        <v>509</v>
      </c>
      <c r="H2774" s="2" t="s">
        <v>60</v>
      </c>
      <c r="I2774" s="3">
        <v>36874</v>
      </c>
      <c r="J2774" s="9" t="str">
        <f t="shared" ca="1" si="45"/>
        <v>22 ans</v>
      </c>
      <c r="K2774" s="2" t="s">
        <v>68</v>
      </c>
      <c r="L2774" s="2" t="str">
        <f>"850"</f>
        <v>850</v>
      </c>
      <c r="M2774" s="2"/>
      <c r="N2774" s="2" t="str">
        <f>"RUE DES ROSSIGNOLS"</f>
        <v>RUE DES ROSSIGNOLS</v>
      </c>
      <c r="O2774" s="2" t="s">
        <v>11725</v>
      </c>
      <c r="P2774" s="9" t="str">
        <f>VLOOKUP($O2774,'Liste des Villes'!$B$2:$B$1128,1,FALSE)</f>
        <v>Saint-Colomban</v>
      </c>
      <c r="Q2774" s="9" t="str">
        <f>IFERROR($P2774,PROPER(VLOOKUP($O2774,'Villes en erreur'!$A$2:$B$72,2,FALSE)))</f>
        <v>Saint-Colomban</v>
      </c>
      <c r="R2774" s="9" t="s">
        <v>11726</v>
      </c>
      <c r="S2774" s="9" t="str">
        <f>IF(ISBLANK($R2774),"",VLOOKUP($R2774,'Liste des Villes'!$B$2:$H$1128,4,FALSE))</f>
        <v>Laurentides</v>
      </c>
      <c r="T2774" s="2" t="s">
        <v>11934</v>
      </c>
      <c r="U2774" s="2" t="s">
        <v>39</v>
      </c>
      <c r="V2774" s="2" t="s">
        <v>40</v>
      </c>
      <c r="W2774" s="2" t="s">
        <v>12635</v>
      </c>
      <c r="X2774" s="2"/>
      <c r="Y2774" s="2"/>
      <c r="Z2774" s="2"/>
      <c r="AA2774" s="2" t="s">
        <v>606</v>
      </c>
      <c r="AB2774" s="2" t="s">
        <v>161</v>
      </c>
      <c r="AC2774" s="4" t="s">
        <v>44</v>
      </c>
    </row>
    <row r="2775" spans="1:29" x14ac:dyDescent="0.25">
      <c r="A2775" s="1">
        <v>33</v>
      </c>
      <c r="B2775" s="17" t="s">
        <v>12636</v>
      </c>
      <c r="C2775" s="2" t="s">
        <v>4274</v>
      </c>
      <c r="D2775" s="15" t="s">
        <v>2423</v>
      </c>
      <c r="E2775" s="9" t="s">
        <v>495</v>
      </c>
      <c r="F2775" s="9" t="s">
        <v>6235</v>
      </c>
      <c r="G2775" s="9" t="s">
        <v>509</v>
      </c>
      <c r="H2775" s="2" t="s">
        <v>60</v>
      </c>
      <c r="I2775" s="3">
        <v>36877</v>
      </c>
      <c r="J2775" s="9" t="str">
        <f t="shared" ca="1" si="45"/>
        <v>22 ans</v>
      </c>
      <c r="K2775" s="2" t="s">
        <v>68</v>
      </c>
      <c r="L2775" s="2" t="str">
        <f>"856"</f>
        <v>856</v>
      </c>
      <c r="M2775" s="2"/>
      <c r="N2775" s="2" t="str">
        <f>"RUE DES SABLES"</f>
        <v>RUE DES SABLES</v>
      </c>
      <c r="O2775" s="2" t="s">
        <v>11725</v>
      </c>
      <c r="P2775" s="9" t="str">
        <f>VLOOKUP($O2775,'Liste des Villes'!$B$2:$B$1128,1,FALSE)</f>
        <v>Saint-Colomban</v>
      </c>
      <c r="Q2775" s="9" t="str">
        <f>IFERROR($P2775,PROPER(VLOOKUP($O2775,'Villes en erreur'!$A$2:$B$72,2,FALSE)))</f>
        <v>Saint-Colomban</v>
      </c>
      <c r="R2775" s="9" t="s">
        <v>11726</v>
      </c>
      <c r="S2775" s="9" t="str">
        <f>IF(ISBLANK($R2775),"",VLOOKUP($R2775,'Liste des Villes'!$B$2:$H$1128,4,FALSE))</f>
        <v>Laurentides</v>
      </c>
      <c r="T2775" s="2" t="s">
        <v>12296</v>
      </c>
      <c r="U2775" s="2" t="s">
        <v>39</v>
      </c>
      <c r="V2775" s="2" t="s">
        <v>40</v>
      </c>
      <c r="W2775" s="2" t="s">
        <v>12637</v>
      </c>
      <c r="X2775" s="2"/>
      <c r="Y2775" s="2"/>
      <c r="Z2775" s="2"/>
      <c r="AA2775" s="2" t="s">
        <v>606</v>
      </c>
      <c r="AB2775" s="2" t="s">
        <v>161</v>
      </c>
      <c r="AC2775" s="4" t="s">
        <v>44</v>
      </c>
    </row>
    <row r="2776" spans="1:29" x14ac:dyDescent="0.25">
      <c r="A2776" s="1">
        <v>1605</v>
      </c>
      <c r="B2776" s="17" t="s">
        <v>12638</v>
      </c>
      <c r="C2776" s="2" t="s">
        <v>12639</v>
      </c>
      <c r="D2776" s="15" t="s">
        <v>12640</v>
      </c>
      <c r="E2776" s="9" t="s">
        <v>2842</v>
      </c>
      <c r="F2776" s="9" t="s">
        <v>7085</v>
      </c>
      <c r="G2776" s="9" t="s">
        <v>120</v>
      </c>
      <c r="H2776" s="2" t="s">
        <v>35</v>
      </c>
      <c r="I2776" s="3">
        <v>36802</v>
      </c>
      <c r="J2776" s="9" t="str">
        <f t="shared" ca="1" si="45"/>
        <v>22 ans</v>
      </c>
      <c r="K2776" s="2" t="s">
        <v>68</v>
      </c>
      <c r="L2776" s="2" t="str">
        <f>"724"</f>
        <v>724</v>
      </c>
      <c r="M2776" s="2"/>
      <c r="N2776" s="2" t="str">
        <f>"RUE DES JONCS"</f>
        <v>RUE DES JONCS</v>
      </c>
      <c r="O2776" s="2" t="s">
        <v>11725</v>
      </c>
      <c r="P2776" s="9" t="str">
        <f>VLOOKUP($O2776,'Liste des Villes'!$B$2:$B$1128,1,FALSE)</f>
        <v>Saint-Colomban</v>
      </c>
      <c r="Q2776" s="9" t="str">
        <f>IFERROR($P2776,PROPER(VLOOKUP($O2776,'Villes en erreur'!$A$2:$B$72,2,FALSE)))</f>
        <v>Saint-Colomban</v>
      </c>
      <c r="R2776" s="9" t="s">
        <v>11726</v>
      </c>
      <c r="S2776" s="9" t="str">
        <f>IF(ISBLANK($R2776),"",VLOOKUP($R2776,'Liste des Villes'!$B$2:$H$1128,4,FALSE))</f>
        <v>Laurentides</v>
      </c>
      <c r="T2776" s="2" t="s">
        <v>12641</v>
      </c>
      <c r="U2776" s="2" t="s">
        <v>39</v>
      </c>
      <c r="V2776" s="2" t="s">
        <v>40</v>
      </c>
      <c r="W2776" s="2" t="s">
        <v>12642</v>
      </c>
      <c r="X2776" s="2"/>
      <c r="Y2776" s="2"/>
      <c r="Z2776" s="2"/>
      <c r="AA2776" s="2" t="s">
        <v>72</v>
      </c>
      <c r="AB2776" s="2" t="s">
        <v>11733</v>
      </c>
      <c r="AC2776" s="4" t="s">
        <v>44</v>
      </c>
    </row>
    <row r="2777" spans="1:29" x14ac:dyDescent="0.25">
      <c r="A2777" s="1">
        <v>1449</v>
      </c>
      <c r="B2777" s="17" t="s">
        <v>12643</v>
      </c>
      <c r="C2777" s="2" t="s">
        <v>12644</v>
      </c>
      <c r="D2777" s="15" t="s">
        <v>5032</v>
      </c>
      <c r="E2777" s="9" t="s">
        <v>12645</v>
      </c>
      <c r="F2777" s="9" t="s">
        <v>5031</v>
      </c>
      <c r="G2777" s="9" t="s">
        <v>12646</v>
      </c>
      <c r="H2777" s="2" t="s">
        <v>60</v>
      </c>
      <c r="I2777" s="3">
        <v>36856</v>
      </c>
      <c r="J2777" s="9" t="str">
        <f t="shared" ca="1" si="45"/>
        <v>22 ans</v>
      </c>
      <c r="K2777" s="2" t="s">
        <v>68</v>
      </c>
      <c r="L2777" s="2" t="str">
        <f>"813"</f>
        <v>813</v>
      </c>
      <c r="M2777" s="2"/>
      <c r="N2777" s="2" t="str">
        <f>"RUE DES PLAINES"</f>
        <v>RUE DES PLAINES</v>
      </c>
      <c r="O2777" s="2" t="s">
        <v>11725</v>
      </c>
      <c r="P2777" s="9" t="str">
        <f>VLOOKUP($O2777,'Liste des Villes'!$B$2:$B$1128,1,FALSE)</f>
        <v>Saint-Colomban</v>
      </c>
      <c r="Q2777" s="9" t="str">
        <f>IFERROR($P2777,PROPER(VLOOKUP($O2777,'Villes en erreur'!$A$2:$B$72,2,FALSE)))</f>
        <v>Saint-Colomban</v>
      </c>
      <c r="R2777" s="9" t="s">
        <v>11726</v>
      </c>
      <c r="S2777" s="9" t="str">
        <f>IF(ISBLANK($R2777),"",VLOOKUP($R2777,'Liste des Villes'!$B$2:$H$1128,4,FALSE))</f>
        <v>Laurentides</v>
      </c>
      <c r="T2777" s="2" t="s">
        <v>12647</v>
      </c>
      <c r="U2777" s="2" t="s">
        <v>39</v>
      </c>
      <c r="V2777" s="2" t="s">
        <v>40</v>
      </c>
      <c r="W2777" s="2" t="s">
        <v>12648</v>
      </c>
      <c r="X2777" s="2"/>
      <c r="Y2777" s="2"/>
      <c r="Z2777" s="2"/>
      <c r="AA2777" s="2" t="s">
        <v>606</v>
      </c>
      <c r="AB2777" s="2" t="s">
        <v>161</v>
      </c>
      <c r="AC2777" s="4" t="s">
        <v>44</v>
      </c>
    </row>
    <row r="2778" spans="1:29" x14ac:dyDescent="0.25">
      <c r="A2778" s="1">
        <v>1314</v>
      </c>
      <c r="B2778" s="17" t="s">
        <v>12649</v>
      </c>
      <c r="C2778" s="2" t="s">
        <v>2215</v>
      </c>
      <c r="D2778" s="15" t="s">
        <v>2216</v>
      </c>
      <c r="E2778" s="9" t="s">
        <v>2217</v>
      </c>
      <c r="F2778" s="9" t="s">
        <v>12650</v>
      </c>
      <c r="G2778" s="9" t="s">
        <v>3552</v>
      </c>
      <c r="H2778" s="2" t="s">
        <v>60</v>
      </c>
      <c r="I2778" s="3">
        <v>36852</v>
      </c>
      <c r="J2778" s="9" t="str">
        <f t="shared" ca="1" si="45"/>
        <v>22 ans</v>
      </c>
      <c r="K2778" s="2" t="s">
        <v>68</v>
      </c>
      <c r="L2778" s="2" t="str">
        <f>"809"</f>
        <v>809</v>
      </c>
      <c r="M2778" s="2"/>
      <c r="N2778" s="2" t="str">
        <f>"RUE DES PINSONS"</f>
        <v>RUE DES PINSONS</v>
      </c>
      <c r="O2778" s="2" t="s">
        <v>11725</v>
      </c>
      <c r="P2778" s="9" t="str">
        <f>VLOOKUP($O2778,'Liste des Villes'!$B$2:$B$1128,1,FALSE)</f>
        <v>Saint-Colomban</v>
      </c>
      <c r="Q2778" s="9" t="str">
        <f>IFERROR($P2778,PROPER(VLOOKUP($O2778,'Villes en erreur'!$A$2:$B$72,2,FALSE)))</f>
        <v>Saint-Colomban</v>
      </c>
      <c r="R2778" s="9" t="s">
        <v>11726</v>
      </c>
      <c r="S2778" s="9" t="str">
        <f>IF(ISBLANK($R2778),"",VLOOKUP($R2778,'Liste des Villes'!$B$2:$H$1128,4,FALSE))</f>
        <v>Laurentides</v>
      </c>
      <c r="T2778" s="2" t="s">
        <v>11902</v>
      </c>
      <c r="U2778" s="2" t="s">
        <v>39</v>
      </c>
      <c r="V2778" s="2" t="s">
        <v>40</v>
      </c>
      <c r="W2778" s="2" t="s">
        <v>12651</v>
      </c>
      <c r="X2778" s="2"/>
      <c r="Y2778" s="2"/>
      <c r="Z2778" s="2"/>
      <c r="AA2778" s="2" t="s">
        <v>606</v>
      </c>
      <c r="AB2778" s="2" t="s">
        <v>161</v>
      </c>
      <c r="AC2778" s="4" t="s">
        <v>44</v>
      </c>
    </row>
    <row r="2779" spans="1:29" x14ac:dyDescent="0.25">
      <c r="A2779" s="1">
        <v>4542</v>
      </c>
      <c r="B2779" s="17" t="s">
        <v>12652</v>
      </c>
      <c r="C2779" s="2" t="s">
        <v>5297</v>
      </c>
      <c r="D2779" s="15" t="s">
        <v>533</v>
      </c>
      <c r="E2779" s="9" t="s">
        <v>495</v>
      </c>
      <c r="F2779" s="9" t="s">
        <v>531</v>
      </c>
      <c r="G2779" s="9" t="s">
        <v>120</v>
      </c>
      <c r="H2779" s="2" t="s">
        <v>35</v>
      </c>
      <c r="I2779" s="3">
        <v>36803</v>
      </c>
      <c r="J2779" s="9" t="str">
        <f t="shared" ca="1" si="45"/>
        <v>22 ans</v>
      </c>
      <c r="K2779" s="2" t="s">
        <v>68</v>
      </c>
      <c r="L2779" s="2" t="str">
        <f>"728"</f>
        <v>728</v>
      </c>
      <c r="M2779" s="2"/>
      <c r="N2779" s="2" t="str">
        <f>"RUE DES JONQUILLES"</f>
        <v>RUE DES JONQUILLES</v>
      </c>
      <c r="O2779" s="2" t="s">
        <v>11725</v>
      </c>
      <c r="P2779" s="9" t="str">
        <f>VLOOKUP($O2779,'Liste des Villes'!$B$2:$B$1128,1,FALSE)</f>
        <v>Saint-Colomban</v>
      </c>
      <c r="Q2779" s="9" t="str">
        <f>IFERROR($P2779,PROPER(VLOOKUP($O2779,'Villes en erreur'!$A$2:$B$72,2,FALSE)))</f>
        <v>Saint-Colomban</v>
      </c>
      <c r="R2779" s="9" t="s">
        <v>11726</v>
      </c>
      <c r="S2779" s="9" t="str">
        <f>IF(ISBLANK($R2779),"",VLOOKUP($R2779,'Liste des Villes'!$B$2:$H$1128,4,FALSE))</f>
        <v>Laurentides</v>
      </c>
      <c r="T2779" s="2" t="s">
        <v>12653</v>
      </c>
      <c r="U2779" s="2" t="s">
        <v>39</v>
      </c>
      <c r="V2779" s="2" t="s">
        <v>40</v>
      </c>
      <c r="W2779" s="2" t="s">
        <v>12654</v>
      </c>
      <c r="X2779" s="2"/>
      <c r="Y2779" s="2"/>
      <c r="Z2779" s="2"/>
      <c r="AA2779" s="2" t="s">
        <v>72</v>
      </c>
      <c r="AB2779" s="2" t="s">
        <v>11733</v>
      </c>
      <c r="AC2779" s="4" t="s">
        <v>44</v>
      </c>
    </row>
    <row r="2780" spans="1:29" x14ac:dyDescent="0.25">
      <c r="A2780" s="1">
        <v>2469</v>
      </c>
      <c r="B2780" s="17" t="s">
        <v>12655</v>
      </c>
      <c r="C2780" s="2" t="s">
        <v>12656</v>
      </c>
      <c r="D2780" s="15" t="s">
        <v>2361</v>
      </c>
      <c r="E2780" s="9" t="s">
        <v>10970</v>
      </c>
      <c r="F2780" s="9" t="s">
        <v>2115</v>
      </c>
      <c r="G2780" s="9" t="s">
        <v>12079</v>
      </c>
      <c r="H2780" s="2" t="s">
        <v>35</v>
      </c>
      <c r="I2780" s="3">
        <v>36832</v>
      </c>
      <c r="J2780" s="9" t="str">
        <f t="shared" ca="1" si="45"/>
        <v>22 ans</v>
      </c>
      <c r="K2780" s="2" t="s">
        <v>68</v>
      </c>
      <c r="L2780" s="2" t="str">
        <f>"770"</f>
        <v>770</v>
      </c>
      <c r="M2780" s="2"/>
      <c r="N2780" s="2" t="str">
        <f>"RUE DES NOISETIERS"</f>
        <v>RUE DES NOISETIERS</v>
      </c>
      <c r="O2780" s="2" t="s">
        <v>11725</v>
      </c>
      <c r="P2780" s="9" t="str">
        <f>VLOOKUP($O2780,'Liste des Villes'!$B$2:$B$1128,1,FALSE)</f>
        <v>Saint-Colomban</v>
      </c>
      <c r="Q2780" s="9" t="str">
        <f>IFERROR($P2780,PROPER(VLOOKUP($O2780,'Villes en erreur'!$A$2:$B$72,2,FALSE)))</f>
        <v>Saint-Colomban</v>
      </c>
      <c r="R2780" s="9" t="s">
        <v>11726</v>
      </c>
      <c r="S2780" s="9" t="str">
        <f>IF(ISBLANK($R2780),"",VLOOKUP($R2780,'Liste des Villes'!$B$2:$H$1128,4,FALSE))</f>
        <v>Laurentides</v>
      </c>
      <c r="T2780" s="2" t="s">
        <v>12657</v>
      </c>
      <c r="U2780" s="2" t="s">
        <v>39</v>
      </c>
      <c r="V2780" s="2" t="s">
        <v>40</v>
      </c>
      <c r="W2780" s="2" t="s">
        <v>12658</v>
      </c>
      <c r="X2780" s="2"/>
      <c r="Y2780" s="2"/>
      <c r="Z2780" s="2"/>
      <c r="AA2780" s="2" t="s">
        <v>72</v>
      </c>
      <c r="AB2780" s="2" t="s">
        <v>11733</v>
      </c>
      <c r="AC2780" s="4" t="s">
        <v>44</v>
      </c>
    </row>
    <row r="2781" spans="1:29" x14ac:dyDescent="0.25">
      <c r="A2781" s="1">
        <v>12</v>
      </c>
      <c r="B2781" s="17" t="s">
        <v>12659</v>
      </c>
      <c r="C2781" s="2" t="s">
        <v>12660</v>
      </c>
      <c r="D2781" s="15" t="s">
        <v>3385</v>
      </c>
      <c r="E2781" s="9" t="s">
        <v>5652</v>
      </c>
      <c r="F2781" s="9" t="s">
        <v>1264</v>
      </c>
      <c r="G2781" s="9" t="s">
        <v>348</v>
      </c>
      <c r="H2781" s="2" t="s">
        <v>60</v>
      </c>
      <c r="I2781" s="3">
        <v>36780</v>
      </c>
      <c r="J2781" s="9" t="str">
        <f t="shared" ca="1" si="45"/>
        <v>22 ans</v>
      </c>
      <c r="K2781" s="2" t="s">
        <v>68</v>
      </c>
      <c r="L2781" s="2" t="str">
        <f>"696"</f>
        <v>696</v>
      </c>
      <c r="M2781" s="2"/>
      <c r="N2781" s="2" t="str">
        <f>"RUE DES FOUGÈRES"</f>
        <v>RUE DES FOUGÈRES</v>
      </c>
      <c r="O2781" s="2" t="s">
        <v>11725</v>
      </c>
      <c r="P2781" s="9" t="str">
        <f>VLOOKUP($O2781,'Liste des Villes'!$B$2:$B$1128,1,FALSE)</f>
        <v>Saint-Colomban</v>
      </c>
      <c r="Q2781" s="9" t="str">
        <f>IFERROR($P2781,PROPER(VLOOKUP($O2781,'Villes en erreur'!$A$2:$B$72,2,FALSE)))</f>
        <v>Saint-Colomban</v>
      </c>
      <c r="R2781" s="9" t="s">
        <v>11726</v>
      </c>
      <c r="S2781" s="9" t="str">
        <f>IF(ISBLANK($R2781),"",VLOOKUP($R2781,'Liste des Villes'!$B$2:$H$1128,4,FALSE))</f>
        <v>Laurentides</v>
      </c>
      <c r="T2781" s="2" t="s">
        <v>12661</v>
      </c>
      <c r="U2781" s="2" t="s">
        <v>39</v>
      </c>
      <c r="V2781" s="2" t="s">
        <v>40</v>
      </c>
      <c r="W2781" s="2" t="s">
        <v>12662</v>
      </c>
      <c r="X2781" s="2"/>
      <c r="Y2781" s="2"/>
      <c r="Z2781" s="2"/>
      <c r="AA2781" s="2" t="s">
        <v>72</v>
      </c>
      <c r="AB2781" s="2" t="s">
        <v>192</v>
      </c>
      <c r="AC2781" s="4" t="s">
        <v>44</v>
      </c>
    </row>
    <row r="2782" spans="1:29" x14ac:dyDescent="0.25">
      <c r="A2782" s="1">
        <v>3480</v>
      </c>
      <c r="B2782" s="17" t="s">
        <v>12663</v>
      </c>
      <c r="C2782" s="2" t="s">
        <v>12664</v>
      </c>
      <c r="D2782" s="15" t="s">
        <v>12665</v>
      </c>
      <c r="E2782" s="9" t="s">
        <v>341</v>
      </c>
      <c r="F2782" s="9" t="s">
        <v>6612</v>
      </c>
      <c r="G2782" s="9" t="s">
        <v>9043</v>
      </c>
      <c r="H2782" s="2" t="s">
        <v>35</v>
      </c>
      <c r="I2782" s="3">
        <v>36834</v>
      </c>
      <c r="J2782" s="9" t="str">
        <f t="shared" ca="1" si="45"/>
        <v>22 ans</v>
      </c>
      <c r="K2782" s="2" t="s">
        <v>68</v>
      </c>
      <c r="L2782" s="2" t="str">
        <f>"773"</f>
        <v>773</v>
      </c>
      <c r="M2782" s="2"/>
      <c r="N2782" s="2" t="str">
        <f>"RUE DES OUTARDES"</f>
        <v>RUE DES OUTARDES</v>
      </c>
      <c r="O2782" s="2" t="s">
        <v>11725</v>
      </c>
      <c r="P2782" s="9" t="str">
        <f>VLOOKUP($O2782,'Liste des Villes'!$B$2:$B$1128,1,FALSE)</f>
        <v>Saint-Colomban</v>
      </c>
      <c r="Q2782" s="9" t="str">
        <f>IFERROR($P2782,PROPER(VLOOKUP($O2782,'Villes en erreur'!$A$2:$B$72,2,FALSE)))</f>
        <v>Saint-Colomban</v>
      </c>
      <c r="R2782" s="9" t="s">
        <v>11726</v>
      </c>
      <c r="S2782" s="9" t="str">
        <f>IF(ISBLANK($R2782),"",VLOOKUP($R2782,'Liste des Villes'!$B$2:$H$1128,4,FALSE))</f>
        <v>Laurentides</v>
      </c>
      <c r="T2782" s="2" t="s">
        <v>12477</v>
      </c>
      <c r="U2782" s="2" t="s">
        <v>39</v>
      </c>
      <c r="V2782" s="2" t="s">
        <v>40</v>
      </c>
      <c r="W2782" s="2" t="s">
        <v>12666</v>
      </c>
      <c r="X2782" s="2"/>
      <c r="Y2782" s="2"/>
      <c r="Z2782" s="2"/>
      <c r="AA2782" s="2" t="s">
        <v>72</v>
      </c>
      <c r="AB2782" s="2" t="s">
        <v>11733</v>
      </c>
      <c r="AC2782" s="4" t="s">
        <v>44</v>
      </c>
    </row>
    <row r="2783" spans="1:29" x14ac:dyDescent="0.25">
      <c r="A2783" s="1">
        <v>1074</v>
      </c>
      <c r="B2783" s="17" t="s">
        <v>12667</v>
      </c>
      <c r="C2783" s="2" t="s">
        <v>2925</v>
      </c>
      <c r="D2783" s="15" t="s">
        <v>2926</v>
      </c>
      <c r="E2783" s="9" t="s">
        <v>1024</v>
      </c>
      <c r="F2783" s="9" t="s">
        <v>2927</v>
      </c>
      <c r="G2783" s="9" t="s">
        <v>348</v>
      </c>
      <c r="H2783" s="2" t="s">
        <v>60</v>
      </c>
      <c r="I2783" s="3">
        <v>36777</v>
      </c>
      <c r="J2783" s="9" t="str">
        <f t="shared" ca="1" si="45"/>
        <v>22 ans</v>
      </c>
      <c r="K2783" s="2" t="s">
        <v>68</v>
      </c>
      <c r="L2783" s="2" t="str">
        <f>"690"</f>
        <v>690</v>
      </c>
      <c r="M2783" s="2"/>
      <c r="N2783" s="2" t="str">
        <f>"RUE DES FOUGÈRES"</f>
        <v>RUE DES FOUGÈRES</v>
      </c>
      <c r="O2783" s="2" t="s">
        <v>11725</v>
      </c>
      <c r="P2783" s="9" t="str">
        <f>VLOOKUP($O2783,'Liste des Villes'!$B$2:$B$1128,1,FALSE)</f>
        <v>Saint-Colomban</v>
      </c>
      <c r="Q2783" s="9" t="str">
        <f>IFERROR($P2783,PROPER(VLOOKUP($O2783,'Villes en erreur'!$A$2:$B$72,2,FALSE)))</f>
        <v>Saint-Colomban</v>
      </c>
      <c r="R2783" s="9" t="s">
        <v>11726</v>
      </c>
      <c r="S2783" s="9" t="str">
        <f>IF(ISBLANK($R2783),"",VLOOKUP($R2783,'Liste des Villes'!$B$2:$H$1128,4,FALSE))</f>
        <v>Laurentides</v>
      </c>
      <c r="T2783" s="2" t="s">
        <v>12668</v>
      </c>
      <c r="U2783" s="2" t="s">
        <v>39</v>
      </c>
      <c r="V2783" s="2" t="s">
        <v>40</v>
      </c>
      <c r="W2783" s="2" t="s">
        <v>12669</v>
      </c>
      <c r="X2783" s="2"/>
      <c r="Y2783" s="2"/>
      <c r="Z2783" s="2"/>
      <c r="AA2783" s="2" t="s">
        <v>72</v>
      </c>
      <c r="AB2783" s="2" t="s">
        <v>192</v>
      </c>
      <c r="AC2783" s="4" t="s">
        <v>44</v>
      </c>
    </row>
    <row r="2784" spans="1:29" x14ac:dyDescent="0.25">
      <c r="A2784" s="1">
        <v>2422</v>
      </c>
      <c r="B2784" s="17" t="s">
        <v>12670</v>
      </c>
      <c r="C2784" s="2" t="s">
        <v>12304</v>
      </c>
      <c r="D2784" s="15" t="s">
        <v>1479</v>
      </c>
      <c r="E2784" s="9" t="s">
        <v>9308</v>
      </c>
      <c r="F2784" s="9" t="s">
        <v>1477</v>
      </c>
      <c r="G2784" s="9" t="s">
        <v>293</v>
      </c>
      <c r="H2784" s="2" t="s">
        <v>60</v>
      </c>
      <c r="I2784" s="3">
        <v>36848</v>
      </c>
      <c r="J2784" s="9" t="str">
        <f t="shared" ca="1" si="45"/>
        <v>22 ans</v>
      </c>
      <c r="K2784" s="2" t="s">
        <v>68</v>
      </c>
      <c r="L2784" s="2" t="str">
        <f>"795"</f>
        <v>795</v>
      </c>
      <c r="M2784" s="2"/>
      <c r="N2784" s="2" t="str">
        <f>"RUE DES PINS"</f>
        <v>RUE DES PINS</v>
      </c>
      <c r="O2784" s="2" t="s">
        <v>11725</v>
      </c>
      <c r="P2784" s="9" t="str">
        <f>VLOOKUP($O2784,'Liste des Villes'!$B$2:$B$1128,1,FALSE)</f>
        <v>Saint-Colomban</v>
      </c>
      <c r="Q2784" s="9" t="str">
        <f>IFERROR($P2784,PROPER(VLOOKUP($O2784,'Villes en erreur'!$A$2:$B$72,2,FALSE)))</f>
        <v>Saint-Colomban</v>
      </c>
      <c r="R2784" s="9" t="s">
        <v>11726</v>
      </c>
      <c r="S2784" s="9" t="str">
        <f>IF(ISBLANK($R2784),"",VLOOKUP($R2784,'Liste des Villes'!$B$2:$H$1128,4,FALSE))</f>
        <v>Laurentides</v>
      </c>
      <c r="T2784" s="2" t="s">
        <v>12671</v>
      </c>
      <c r="U2784" s="2" t="s">
        <v>39</v>
      </c>
      <c r="V2784" s="2" t="s">
        <v>40</v>
      </c>
      <c r="W2784" s="2" t="s">
        <v>12672</v>
      </c>
      <c r="X2784" s="2"/>
      <c r="Y2784" s="2"/>
      <c r="Z2784" s="2"/>
      <c r="AA2784" s="2" t="s">
        <v>606</v>
      </c>
      <c r="AB2784" s="2" t="s">
        <v>11748</v>
      </c>
      <c r="AC2784" s="4" t="s">
        <v>44</v>
      </c>
    </row>
    <row r="2785" spans="1:29" x14ac:dyDescent="0.25">
      <c r="A2785" s="1">
        <v>1683</v>
      </c>
      <c r="B2785" s="17" t="s">
        <v>12673</v>
      </c>
      <c r="C2785" s="2" t="s">
        <v>12026</v>
      </c>
      <c r="D2785" s="15" t="s">
        <v>1098</v>
      </c>
      <c r="E2785" s="9" t="s">
        <v>11554</v>
      </c>
      <c r="F2785" s="9" t="s">
        <v>5623</v>
      </c>
      <c r="G2785" s="9" t="s">
        <v>509</v>
      </c>
      <c r="H2785" s="2" t="s">
        <v>60</v>
      </c>
      <c r="I2785" s="3">
        <v>36860</v>
      </c>
      <c r="J2785" s="9" t="str">
        <f t="shared" ca="1" si="45"/>
        <v>22 ans</v>
      </c>
      <c r="K2785" s="2" t="s">
        <v>68</v>
      </c>
      <c r="L2785" s="2" t="str">
        <f>"829"</f>
        <v>829</v>
      </c>
      <c r="M2785" s="2"/>
      <c r="N2785" s="2" t="str">
        <f>"RUE DES PRÉS"</f>
        <v>RUE DES PRÉS</v>
      </c>
      <c r="O2785" s="2" t="s">
        <v>11725</v>
      </c>
      <c r="P2785" s="9" t="str">
        <f>VLOOKUP($O2785,'Liste des Villes'!$B$2:$B$1128,1,FALSE)</f>
        <v>Saint-Colomban</v>
      </c>
      <c r="Q2785" s="9" t="str">
        <f>IFERROR($P2785,PROPER(VLOOKUP($O2785,'Villes en erreur'!$A$2:$B$72,2,FALSE)))</f>
        <v>Saint-Colomban</v>
      </c>
      <c r="R2785" s="9" t="s">
        <v>11726</v>
      </c>
      <c r="S2785" s="9" t="str">
        <f>IF(ISBLANK($R2785),"",VLOOKUP($R2785,'Liste des Villes'!$B$2:$H$1128,4,FALSE))</f>
        <v>Laurentides</v>
      </c>
      <c r="T2785" s="2" t="s">
        <v>12674</v>
      </c>
      <c r="U2785" s="2" t="s">
        <v>39</v>
      </c>
      <c r="V2785" s="2" t="s">
        <v>40</v>
      </c>
      <c r="W2785" s="2" t="s">
        <v>12675</v>
      </c>
      <c r="X2785" s="2"/>
      <c r="Y2785" s="2"/>
      <c r="Z2785" s="2"/>
      <c r="AA2785" s="2" t="s">
        <v>606</v>
      </c>
      <c r="AB2785" s="2" t="s">
        <v>161</v>
      </c>
      <c r="AC2785" s="4" t="s">
        <v>44</v>
      </c>
    </row>
    <row r="2786" spans="1:29" x14ac:dyDescent="0.25">
      <c r="A2786" s="1">
        <v>3576</v>
      </c>
      <c r="B2786" s="17" t="s">
        <v>12676</v>
      </c>
      <c r="C2786" s="2" t="s">
        <v>46</v>
      </c>
      <c r="D2786" s="15" t="s">
        <v>47</v>
      </c>
      <c r="E2786" s="9" t="s">
        <v>48</v>
      </c>
      <c r="F2786" s="9" t="s">
        <v>49</v>
      </c>
      <c r="G2786" s="9" t="s">
        <v>293</v>
      </c>
      <c r="H2786" s="2" t="s">
        <v>60</v>
      </c>
      <c r="I2786" s="3">
        <v>36848</v>
      </c>
      <c r="J2786" s="9" t="str">
        <f t="shared" ca="1" si="45"/>
        <v>22 ans</v>
      </c>
      <c r="K2786" s="2" t="s">
        <v>68</v>
      </c>
      <c r="L2786" s="2" t="str">
        <f>"794"</f>
        <v>794</v>
      </c>
      <c r="M2786" s="2"/>
      <c r="N2786" s="2" t="str">
        <f>"RUE DES PIERRAILLES"</f>
        <v>RUE DES PIERRAILLES</v>
      </c>
      <c r="O2786" s="2" t="s">
        <v>11725</v>
      </c>
      <c r="P2786" s="9" t="str">
        <f>VLOOKUP($O2786,'Liste des Villes'!$B$2:$B$1128,1,FALSE)</f>
        <v>Saint-Colomban</v>
      </c>
      <c r="Q2786" s="9" t="str">
        <f>IFERROR($P2786,PROPER(VLOOKUP($O2786,'Villes en erreur'!$A$2:$B$72,2,FALSE)))</f>
        <v>Saint-Colomban</v>
      </c>
      <c r="R2786" s="9" t="s">
        <v>11726</v>
      </c>
      <c r="S2786" s="9" t="str">
        <f>IF(ISBLANK($R2786),"",VLOOKUP($R2786,'Liste des Villes'!$B$2:$H$1128,4,FALSE))</f>
        <v>Laurentides</v>
      </c>
      <c r="T2786" s="2" t="s">
        <v>12677</v>
      </c>
      <c r="U2786" s="2" t="s">
        <v>39</v>
      </c>
      <c r="V2786" s="2" t="s">
        <v>40</v>
      </c>
      <c r="W2786" s="2" t="s">
        <v>12678</v>
      </c>
      <c r="X2786" s="2"/>
      <c r="Y2786" s="2"/>
      <c r="Z2786" s="2"/>
      <c r="AA2786" s="2" t="s">
        <v>606</v>
      </c>
      <c r="AB2786" s="2" t="s">
        <v>11748</v>
      </c>
      <c r="AC2786" s="4" t="s">
        <v>44</v>
      </c>
    </row>
    <row r="2787" spans="1:29" x14ac:dyDescent="0.25">
      <c r="A2787" s="1">
        <v>2859</v>
      </c>
      <c r="B2787" s="17" t="s">
        <v>12679</v>
      </c>
      <c r="C2787" s="2" t="s">
        <v>844</v>
      </c>
      <c r="D2787" s="15" t="s">
        <v>845</v>
      </c>
      <c r="E2787" s="9" t="s">
        <v>509</v>
      </c>
      <c r="F2787" s="9" t="s">
        <v>846</v>
      </c>
      <c r="G2787" s="9" t="s">
        <v>450</v>
      </c>
      <c r="H2787" s="2" t="s">
        <v>60</v>
      </c>
      <c r="I2787" s="3">
        <v>36826</v>
      </c>
      <c r="J2787" s="9" t="str">
        <f t="shared" ca="1" si="45"/>
        <v>22 ans</v>
      </c>
      <c r="K2787" s="2" t="s">
        <v>68</v>
      </c>
      <c r="L2787" s="2" t="str">
        <f>"761"</f>
        <v>761</v>
      </c>
      <c r="M2787" s="2"/>
      <c r="N2787" s="2" t="str">
        <f>"RUE DES MERISIERS"</f>
        <v>RUE DES MERISIERS</v>
      </c>
      <c r="O2787" s="2" t="s">
        <v>11725</v>
      </c>
      <c r="P2787" s="9" t="str">
        <f>VLOOKUP($O2787,'Liste des Villes'!$B$2:$B$1128,1,FALSE)</f>
        <v>Saint-Colomban</v>
      </c>
      <c r="Q2787" s="9" t="str">
        <f>IFERROR($P2787,PROPER(VLOOKUP($O2787,'Villes en erreur'!$A$2:$B$72,2,FALSE)))</f>
        <v>Saint-Colomban</v>
      </c>
      <c r="R2787" s="9" t="s">
        <v>11726</v>
      </c>
      <c r="S2787" s="9" t="str">
        <f>IF(ISBLANK($R2787),"",VLOOKUP($R2787,'Liste des Villes'!$B$2:$H$1128,4,FALSE))</f>
        <v>Laurentides</v>
      </c>
      <c r="T2787" s="2" t="s">
        <v>12680</v>
      </c>
      <c r="U2787" s="2" t="s">
        <v>39</v>
      </c>
      <c r="V2787" s="2" t="s">
        <v>40</v>
      </c>
      <c r="W2787" s="2" t="s">
        <v>12681</v>
      </c>
      <c r="X2787" s="2"/>
      <c r="Y2787" s="2"/>
      <c r="Z2787" s="2"/>
      <c r="AA2787" s="2" t="s">
        <v>72</v>
      </c>
      <c r="AB2787" s="2" t="s">
        <v>11733</v>
      </c>
      <c r="AC2787" s="4" t="s">
        <v>44</v>
      </c>
    </row>
    <row r="2788" spans="1:29" x14ac:dyDescent="0.25">
      <c r="A2788" s="1">
        <v>2251</v>
      </c>
      <c r="B2788" s="17" t="s">
        <v>12682</v>
      </c>
      <c r="C2788" s="2" t="s">
        <v>9757</v>
      </c>
      <c r="D2788" s="15" t="s">
        <v>4932</v>
      </c>
      <c r="E2788" s="9" t="s">
        <v>3218</v>
      </c>
      <c r="F2788" s="9" t="s">
        <v>12683</v>
      </c>
      <c r="G2788" s="9" t="s">
        <v>2069</v>
      </c>
      <c r="H2788" s="2" t="s">
        <v>60</v>
      </c>
      <c r="I2788" s="3">
        <v>36773</v>
      </c>
      <c r="J2788" s="9" t="str">
        <f t="shared" ca="1" si="45"/>
        <v>22 ans</v>
      </c>
      <c r="K2788" s="2" t="s">
        <v>68</v>
      </c>
      <c r="L2788" s="2" t="str">
        <f>"683"</f>
        <v>683</v>
      </c>
      <c r="M2788" s="2"/>
      <c r="N2788" s="2" t="str">
        <f>"RUE DES FAISANS"</f>
        <v>RUE DES FAISANS</v>
      </c>
      <c r="O2788" s="2" t="s">
        <v>11725</v>
      </c>
      <c r="P2788" s="9" t="str">
        <f>VLOOKUP($O2788,'Liste des Villes'!$B$2:$B$1128,1,FALSE)</f>
        <v>Saint-Colomban</v>
      </c>
      <c r="Q2788" s="9" t="str">
        <f>IFERROR($P2788,PROPER(VLOOKUP($O2788,'Villes en erreur'!$A$2:$B$72,2,FALSE)))</f>
        <v>Saint-Colomban</v>
      </c>
      <c r="R2788" s="9" t="s">
        <v>11726</v>
      </c>
      <c r="S2788" s="9" t="str">
        <f>IF(ISBLANK($R2788),"",VLOOKUP($R2788,'Liste des Villes'!$B$2:$H$1128,4,FALSE))</f>
        <v>Laurentides</v>
      </c>
      <c r="T2788" s="2" t="s">
        <v>12684</v>
      </c>
      <c r="U2788" s="2" t="s">
        <v>39</v>
      </c>
      <c r="V2788" s="2" t="s">
        <v>40</v>
      </c>
      <c r="W2788" s="2" t="s">
        <v>12685</v>
      </c>
      <c r="X2788" s="2"/>
      <c r="Y2788" s="2"/>
      <c r="Z2788" s="2"/>
      <c r="AA2788" s="2" t="s">
        <v>72</v>
      </c>
      <c r="AB2788" s="2" t="s">
        <v>192</v>
      </c>
      <c r="AC2788" s="4" t="s">
        <v>44</v>
      </c>
    </row>
    <row r="2789" spans="1:29" x14ac:dyDescent="0.25">
      <c r="A2789" s="1">
        <v>624</v>
      </c>
      <c r="B2789" s="17" t="s">
        <v>12686</v>
      </c>
      <c r="C2789" s="2" t="s">
        <v>954</v>
      </c>
      <c r="D2789" s="15" t="s">
        <v>955</v>
      </c>
      <c r="E2789" s="9" t="s">
        <v>956</v>
      </c>
      <c r="F2789" s="9" t="s">
        <v>8201</v>
      </c>
      <c r="G2789" s="9" t="s">
        <v>9868</v>
      </c>
      <c r="H2789" s="2" t="s">
        <v>60</v>
      </c>
      <c r="I2789" s="3">
        <v>36850</v>
      </c>
      <c r="J2789" s="9" t="str">
        <f t="shared" ca="1" si="45"/>
        <v>22 ans</v>
      </c>
      <c r="K2789" s="2" t="s">
        <v>68</v>
      </c>
      <c r="L2789" s="2" t="str">
        <f>"801"</f>
        <v>801</v>
      </c>
      <c r="M2789" s="2"/>
      <c r="N2789" s="2" t="str">
        <f>"RUE DES PINS"</f>
        <v>RUE DES PINS</v>
      </c>
      <c r="O2789" s="2" t="s">
        <v>11725</v>
      </c>
      <c r="P2789" s="9" t="str">
        <f>VLOOKUP($O2789,'Liste des Villes'!$B$2:$B$1128,1,FALSE)</f>
        <v>Saint-Colomban</v>
      </c>
      <c r="Q2789" s="9" t="str">
        <f>IFERROR($P2789,PROPER(VLOOKUP($O2789,'Villes en erreur'!$A$2:$B$72,2,FALSE)))</f>
        <v>Saint-Colomban</v>
      </c>
      <c r="R2789" s="9" t="s">
        <v>11726</v>
      </c>
      <c r="S2789" s="9" t="str">
        <f>IF(ISBLANK($R2789),"",VLOOKUP($R2789,'Liste des Villes'!$B$2:$H$1128,4,FALSE))</f>
        <v>Laurentides</v>
      </c>
      <c r="T2789" s="2" t="s">
        <v>12612</v>
      </c>
      <c r="U2789" s="2" t="s">
        <v>39</v>
      </c>
      <c r="V2789" s="2" t="s">
        <v>40</v>
      </c>
      <c r="W2789" s="2" t="s">
        <v>12687</v>
      </c>
      <c r="X2789" s="2"/>
      <c r="Y2789" s="2"/>
      <c r="Z2789" s="2"/>
      <c r="AA2789" s="2" t="s">
        <v>606</v>
      </c>
      <c r="AB2789" s="2" t="s">
        <v>11748</v>
      </c>
      <c r="AC2789" s="4" t="s">
        <v>44</v>
      </c>
    </row>
    <row r="2790" spans="1:29" x14ac:dyDescent="0.25">
      <c r="A2790" s="1">
        <v>1148</v>
      </c>
      <c r="B2790" s="17" t="s">
        <v>12688</v>
      </c>
      <c r="C2790" s="2" t="s">
        <v>12689</v>
      </c>
      <c r="D2790" s="15" t="s">
        <v>7142</v>
      </c>
      <c r="E2790" s="9" t="s">
        <v>3503</v>
      </c>
      <c r="F2790" s="9" t="s">
        <v>12690</v>
      </c>
      <c r="G2790" s="9" t="s">
        <v>1236</v>
      </c>
      <c r="H2790" s="2" t="s">
        <v>35</v>
      </c>
      <c r="I2790" s="3">
        <v>36879</v>
      </c>
      <c r="J2790" s="9" t="str">
        <f t="shared" ca="1" si="45"/>
        <v>22 ans</v>
      </c>
      <c r="K2790" s="2" t="s">
        <v>68</v>
      </c>
      <c r="L2790" s="2" t="str">
        <f>"863"</f>
        <v>863</v>
      </c>
      <c r="M2790" s="2"/>
      <c r="N2790" s="2" t="str">
        <f>"RUE DES SARCELLES"</f>
        <v>RUE DES SARCELLES</v>
      </c>
      <c r="O2790" s="2" t="s">
        <v>12691</v>
      </c>
      <c r="P2790" s="9" t="str">
        <f>VLOOKUP($O2790,'Liste des Villes'!$B$2:$B$1128,1,FALSE)</f>
        <v>Saint-Clet</v>
      </c>
      <c r="Q2790" s="9" t="str">
        <f>IFERROR($P2790,PROPER(VLOOKUP($O2790,'Villes en erreur'!$A$2:$B$72,2,FALSE)))</f>
        <v>Saint-Clet</v>
      </c>
      <c r="R2790" s="9" t="s">
        <v>12692</v>
      </c>
      <c r="S2790" s="9" t="str">
        <f>IF(ISBLANK($R2790),"",VLOOKUP($R2790,'Liste des Villes'!$B$2:$H$1128,4,FALSE))</f>
        <v>Montérégie</v>
      </c>
      <c r="T2790" s="2" t="s">
        <v>12693</v>
      </c>
      <c r="U2790" s="2" t="s">
        <v>39</v>
      </c>
      <c r="V2790" s="2" t="s">
        <v>40</v>
      </c>
      <c r="W2790" s="2" t="s">
        <v>12694</v>
      </c>
      <c r="X2790" s="2"/>
      <c r="Y2790" s="2"/>
      <c r="Z2790" s="2"/>
      <c r="AA2790" s="2" t="s">
        <v>606</v>
      </c>
      <c r="AB2790" s="2" t="s">
        <v>161</v>
      </c>
      <c r="AC2790" s="4" t="s">
        <v>44</v>
      </c>
    </row>
    <row r="2791" spans="1:29" x14ac:dyDescent="0.25">
      <c r="A2791" s="1">
        <v>4360</v>
      </c>
      <c r="B2791" s="17" t="s">
        <v>12695</v>
      </c>
      <c r="C2791" s="2" t="s">
        <v>1733</v>
      </c>
      <c r="D2791" s="15" t="s">
        <v>100</v>
      </c>
      <c r="E2791" s="9" t="s">
        <v>122</v>
      </c>
      <c r="F2791" s="9" t="s">
        <v>1085</v>
      </c>
      <c r="G2791" s="9" t="s">
        <v>1236</v>
      </c>
      <c r="H2791" s="2" t="s">
        <v>35</v>
      </c>
      <c r="I2791" s="3">
        <v>36879</v>
      </c>
      <c r="J2791" s="9" t="str">
        <f t="shared" ca="1" si="45"/>
        <v>22 ans</v>
      </c>
      <c r="K2791" s="2" t="s">
        <v>68</v>
      </c>
      <c r="L2791" s="2" t="str">
        <f>"865"</f>
        <v>865</v>
      </c>
      <c r="M2791" s="2"/>
      <c r="N2791" s="2" t="str">
        <f>"RUE DES SARCELLES"</f>
        <v>RUE DES SARCELLES</v>
      </c>
      <c r="O2791" s="2" t="s">
        <v>12696</v>
      </c>
      <c r="P2791" s="9" t="str">
        <f>VLOOKUP($O2791,'Liste des Villes'!$B$2:$B$1128,1,FALSE)</f>
        <v>Saint-Charles-Borromée</v>
      </c>
      <c r="Q2791" s="9" t="str">
        <f>IFERROR($P2791,PROPER(VLOOKUP($O2791,'Villes en erreur'!$A$2:$B$72,2,FALSE)))</f>
        <v>Saint-Charles-Borromée</v>
      </c>
      <c r="R2791" s="9" t="s">
        <v>12697</v>
      </c>
      <c r="S2791" s="9" t="str">
        <f>IF(ISBLANK($R2791),"",VLOOKUP($R2791,'Liste des Villes'!$B$2:$H$1128,4,FALSE))</f>
        <v>Lanaudière</v>
      </c>
      <c r="T2791" s="2" t="s">
        <v>12698</v>
      </c>
      <c r="U2791" s="2" t="s">
        <v>39</v>
      </c>
      <c r="V2791" s="2" t="s">
        <v>40</v>
      </c>
      <c r="W2791" s="2" t="s">
        <v>12699</v>
      </c>
      <c r="X2791" s="2"/>
      <c r="Y2791" s="2"/>
      <c r="Z2791" s="2"/>
      <c r="AA2791" s="2" t="s">
        <v>606</v>
      </c>
      <c r="AB2791" s="2" t="s">
        <v>161</v>
      </c>
      <c r="AC2791" s="4" t="s">
        <v>44</v>
      </c>
    </row>
    <row r="2792" spans="1:29" x14ac:dyDescent="0.25">
      <c r="A2792" s="1">
        <v>3430</v>
      </c>
      <c r="B2792" s="17" t="s">
        <v>12700</v>
      </c>
      <c r="C2792" s="2" t="s">
        <v>8979</v>
      </c>
      <c r="D2792" s="15" t="s">
        <v>2422</v>
      </c>
      <c r="E2792" s="9" t="s">
        <v>101</v>
      </c>
      <c r="F2792" s="9" t="s">
        <v>3142</v>
      </c>
      <c r="G2792" s="9" t="s">
        <v>1236</v>
      </c>
      <c r="H2792" s="2" t="s">
        <v>35</v>
      </c>
      <c r="I2792" s="3">
        <v>36880</v>
      </c>
      <c r="J2792" s="9" t="str">
        <f t="shared" ca="1" si="45"/>
        <v>22 ans</v>
      </c>
      <c r="K2792" s="2" t="s">
        <v>68</v>
      </c>
      <c r="L2792" s="2" t="str">
        <f>"871"</f>
        <v>871</v>
      </c>
      <c r="M2792" s="2"/>
      <c r="N2792" s="2" t="str">
        <f>"RUE DES SAULES"</f>
        <v>RUE DES SAULES</v>
      </c>
      <c r="O2792" s="2" t="s">
        <v>12696</v>
      </c>
      <c r="P2792" s="9" t="str">
        <f>VLOOKUP($O2792,'Liste des Villes'!$B$2:$B$1128,1,FALSE)</f>
        <v>Saint-Charles-Borromée</v>
      </c>
      <c r="Q2792" s="9" t="str">
        <f>IFERROR($P2792,PROPER(VLOOKUP($O2792,'Villes en erreur'!$A$2:$B$72,2,FALSE)))</f>
        <v>Saint-Charles-Borromée</v>
      </c>
      <c r="R2792" s="9" t="s">
        <v>12697</v>
      </c>
      <c r="S2792" s="9" t="str">
        <f>IF(ISBLANK($R2792),"",VLOOKUP($R2792,'Liste des Villes'!$B$2:$H$1128,4,FALSE))</f>
        <v>Lanaudière</v>
      </c>
      <c r="T2792" s="2" t="s">
        <v>12701</v>
      </c>
      <c r="U2792" s="2" t="s">
        <v>39</v>
      </c>
      <c r="V2792" s="2" t="s">
        <v>40</v>
      </c>
      <c r="W2792" s="2" t="s">
        <v>12702</v>
      </c>
      <c r="X2792" s="2"/>
      <c r="Y2792" s="2"/>
      <c r="Z2792" s="2"/>
      <c r="AA2792" s="2" t="s">
        <v>606</v>
      </c>
      <c r="AB2792" s="2" t="s">
        <v>161</v>
      </c>
      <c r="AC2792" s="4" t="s">
        <v>44</v>
      </c>
    </row>
    <row r="2793" spans="1:29" x14ac:dyDescent="0.25">
      <c r="A2793" s="1">
        <v>3281</v>
      </c>
      <c r="B2793" s="17" t="s">
        <v>12703</v>
      </c>
      <c r="C2793" s="2" t="s">
        <v>12704</v>
      </c>
      <c r="D2793" s="15" t="s">
        <v>10310</v>
      </c>
      <c r="E2793" s="9" t="s">
        <v>10409</v>
      </c>
      <c r="F2793" s="9" t="s">
        <v>10308</v>
      </c>
      <c r="G2793" s="9" t="s">
        <v>1236</v>
      </c>
      <c r="H2793" s="2" t="s">
        <v>35</v>
      </c>
      <c r="I2793" s="3">
        <v>36879</v>
      </c>
      <c r="J2793" s="9" t="str">
        <f t="shared" ca="1" si="45"/>
        <v>22 ans</v>
      </c>
      <c r="K2793" s="2" t="s">
        <v>68</v>
      </c>
      <c r="L2793" s="2" t="str">
        <f>"870"</f>
        <v>870</v>
      </c>
      <c r="M2793" s="2"/>
      <c r="N2793" s="2" t="str">
        <f>"RUE DES SAULES"</f>
        <v>RUE DES SAULES</v>
      </c>
      <c r="O2793" s="2" t="s">
        <v>12696</v>
      </c>
      <c r="P2793" s="9" t="str">
        <f>VLOOKUP($O2793,'Liste des Villes'!$B$2:$B$1128,1,FALSE)</f>
        <v>Saint-Charles-Borromée</v>
      </c>
      <c r="Q2793" s="9" t="str">
        <f>IFERROR($P2793,PROPER(VLOOKUP($O2793,'Villes en erreur'!$A$2:$B$72,2,FALSE)))</f>
        <v>Saint-Charles-Borromée</v>
      </c>
      <c r="R2793" s="9" t="s">
        <v>12697</v>
      </c>
      <c r="S2793" s="9" t="str">
        <f>IF(ISBLANK($R2793),"",VLOOKUP($R2793,'Liste des Villes'!$B$2:$H$1128,4,FALSE))</f>
        <v>Lanaudière</v>
      </c>
      <c r="T2793" s="2" t="s">
        <v>12705</v>
      </c>
      <c r="U2793" s="2" t="s">
        <v>39</v>
      </c>
      <c r="V2793" s="2" t="s">
        <v>40</v>
      </c>
      <c r="W2793" s="2" t="s">
        <v>12706</v>
      </c>
      <c r="X2793" s="2"/>
      <c r="Y2793" s="2"/>
      <c r="Z2793" s="2"/>
      <c r="AA2793" s="2" t="s">
        <v>606</v>
      </c>
      <c r="AB2793" s="2" t="s">
        <v>161</v>
      </c>
      <c r="AC2793" s="4" t="s">
        <v>44</v>
      </c>
    </row>
    <row r="2794" spans="1:29" x14ac:dyDescent="0.25">
      <c r="A2794" s="1">
        <v>1966</v>
      </c>
      <c r="B2794" s="17" t="s">
        <v>12707</v>
      </c>
      <c r="C2794" s="2" t="s">
        <v>8150</v>
      </c>
      <c r="D2794" s="15" t="s">
        <v>8151</v>
      </c>
      <c r="E2794" s="9" t="s">
        <v>683</v>
      </c>
      <c r="F2794" s="9" t="s">
        <v>8152</v>
      </c>
      <c r="G2794" s="9" t="s">
        <v>1236</v>
      </c>
      <c r="H2794" s="2" t="s">
        <v>35</v>
      </c>
      <c r="I2794" s="3">
        <v>36880</v>
      </c>
      <c r="J2794" s="9" t="str">
        <f t="shared" ca="1" si="45"/>
        <v>22 ans</v>
      </c>
      <c r="K2794" s="2" t="s">
        <v>68</v>
      </c>
      <c r="L2794" s="2" t="str">
        <f>"871"</f>
        <v>871</v>
      </c>
      <c r="M2794" s="2"/>
      <c r="N2794" s="2" t="str">
        <f>"RUE DES SAULES"</f>
        <v>RUE DES SAULES</v>
      </c>
      <c r="O2794" s="2" t="s">
        <v>12696</v>
      </c>
      <c r="P2794" s="9" t="str">
        <f>VLOOKUP($O2794,'Liste des Villes'!$B$2:$B$1128,1,FALSE)</f>
        <v>Saint-Charles-Borromée</v>
      </c>
      <c r="Q2794" s="9" t="str">
        <f>IFERROR($P2794,PROPER(VLOOKUP($O2794,'Villes en erreur'!$A$2:$B$72,2,FALSE)))</f>
        <v>Saint-Charles-Borromée</v>
      </c>
      <c r="R2794" s="9" t="s">
        <v>12697</v>
      </c>
      <c r="S2794" s="9" t="str">
        <f>IF(ISBLANK($R2794),"",VLOOKUP($R2794,'Liste des Villes'!$B$2:$H$1128,4,FALSE))</f>
        <v>Lanaudière</v>
      </c>
      <c r="T2794" s="2" t="s">
        <v>12708</v>
      </c>
      <c r="U2794" s="2" t="s">
        <v>39</v>
      </c>
      <c r="V2794" s="2" t="s">
        <v>40</v>
      </c>
      <c r="W2794" s="2" t="s">
        <v>12709</v>
      </c>
      <c r="X2794" s="2"/>
      <c r="Y2794" s="2"/>
      <c r="Z2794" s="2"/>
      <c r="AA2794" s="2" t="s">
        <v>606</v>
      </c>
      <c r="AB2794" s="2" t="s">
        <v>161</v>
      </c>
      <c r="AC2794" s="4" t="s">
        <v>44</v>
      </c>
    </row>
    <row r="2795" spans="1:29" x14ac:dyDescent="0.25">
      <c r="A2795" s="1">
        <v>523</v>
      </c>
      <c r="B2795" s="17" t="s">
        <v>12710</v>
      </c>
      <c r="C2795" s="2" t="s">
        <v>5393</v>
      </c>
      <c r="D2795" s="15" t="s">
        <v>2698</v>
      </c>
      <c r="E2795" s="9" t="s">
        <v>4988</v>
      </c>
      <c r="F2795" s="9" t="s">
        <v>1070</v>
      </c>
      <c r="G2795" s="9" t="s">
        <v>1236</v>
      </c>
      <c r="H2795" s="2" t="s">
        <v>35</v>
      </c>
      <c r="I2795" s="3">
        <v>36879</v>
      </c>
      <c r="J2795" s="9" t="str">
        <f t="shared" ca="1" si="45"/>
        <v>22 ans</v>
      </c>
      <c r="K2795" s="2" t="s">
        <v>68</v>
      </c>
      <c r="L2795" s="2" t="str">
        <f>"867"</f>
        <v>867</v>
      </c>
      <c r="M2795" s="2"/>
      <c r="N2795" s="2" t="str">
        <f>"RUE DES SAULES"</f>
        <v>RUE DES SAULES</v>
      </c>
      <c r="O2795" s="2" t="s">
        <v>12696</v>
      </c>
      <c r="P2795" s="9" t="str">
        <f>VLOOKUP($O2795,'Liste des Villes'!$B$2:$B$1128,1,FALSE)</f>
        <v>Saint-Charles-Borromée</v>
      </c>
      <c r="Q2795" s="9" t="str">
        <f>IFERROR($P2795,PROPER(VLOOKUP($O2795,'Villes en erreur'!$A$2:$B$72,2,FALSE)))</f>
        <v>Saint-Charles-Borromée</v>
      </c>
      <c r="R2795" s="9" t="s">
        <v>12697</v>
      </c>
      <c r="S2795" s="9" t="str">
        <f>IF(ISBLANK($R2795),"",VLOOKUP($R2795,'Liste des Villes'!$B$2:$H$1128,4,FALSE))</f>
        <v>Lanaudière</v>
      </c>
      <c r="T2795" s="2" t="s">
        <v>12711</v>
      </c>
      <c r="U2795" s="2" t="s">
        <v>39</v>
      </c>
      <c r="V2795" s="2" t="s">
        <v>40</v>
      </c>
      <c r="W2795" s="2" t="s">
        <v>12712</v>
      </c>
      <c r="X2795" s="2"/>
      <c r="Y2795" s="2"/>
      <c r="Z2795" s="2"/>
      <c r="AA2795" s="2" t="s">
        <v>606</v>
      </c>
      <c r="AB2795" s="2" t="s">
        <v>161</v>
      </c>
      <c r="AC2795" s="4" t="s">
        <v>44</v>
      </c>
    </row>
    <row r="2796" spans="1:29" x14ac:dyDescent="0.25">
      <c r="A2796" s="1">
        <v>330</v>
      </c>
      <c r="B2796" s="17" t="s">
        <v>12713</v>
      </c>
      <c r="C2796" s="2" t="s">
        <v>12714</v>
      </c>
      <c r="D2796" s="15" t="s">
        <v>2018</v>
      </c>
      <c r="E2796" s="9" t="s">
        <v>4167</v>
      </c>
      <c r="F2796" s="9" t="s">
        <v>11315</v>
      </c>
      <c r="G2796" s="9" t="s">
        <v>1236</v>
      </c>
      <c r="H2796" s="2" t="s">
        <v>35</v>
      </c>
      <c r="I2796" s="3">
        <v>36883</v>
      </c>
      <c r="J2796" s="9" t="str">
        <f t="shared" ca="1" si="45"/>
        <v>22 ans</v>
      </c>
      <c r="K2796" s="2" t="s">
        <v>68</v>
      </c>
      <c r="L2796" s="2" t="str">
        <f>"873"</f>
        <v>873</v>
      </c>
      <c r="M2796" s="2"/>
      <c r="N2796" s="2" t="str">
        <f>"RUE DES SESTERCES"</f>
        <v>RUE DES SESTERCES</v>
      </c>
      <c r="O2796" s="2" t="s">
        <v>12715</v>
      </c>
      <c r="P2796" s="9" t="str">
        <f>VLOOKUP($O2796,'Liste des Villes'!$B$2:$B$1128,1,FALSE)</f>
        <v>Saint-Calixte</v>
      </c>
      <c r="Q2796" s="9" t="str">
        <f>IFERROR($P2796,PROPER(VLOOKUP($O2796,'Villes en erreur'!$A$2:$B$72,2,FALSE)))</f>
        <v>Saint-Calixte</v>
      </c>
      <c r="R2796" s="9" t="s">
        <v>12716</v>
      </c>
      <c r="S2796" s="9" t="str">
        <f>IF(ISBLANK($R2796),"",VLOOKUP($R2796,'Liste des Villes'!$B$2:$H$1128,4,FALSE))</f>
        <v>Lanaudière</v>
      </c>
      <c r="T2796" s="2" t="s">
        <v>12717</v>
      </c>
      <c r="U2796" s="2" t="s">
        <v>39</v>
      </c>
      <c r="V2796" s="2" t="s">
        <v>40</v>
      </c>
      <c r="W2796" s="2" t="s">
        <v>12718</v>
      </c>
      <c r="X2796" s="2"/>
      <c r="Y2796" s="2"/>
      <c r="Z2796" s="2"/>
      <c r="AA2796" s="2" t="s">
        <v>606</v>
      </c>
      <c r="AB2796" s="2" t="s">
        <v>161</v>
      </c>
      <c r="AC2796" s="4" t="s">
        <v>44</v>
      </c>
    </row>
    <row r="2797" spans="1:29" x14ac:dyDescent="0.25">
      <c r="A2797" s="1">
        <v>1688</v>
      </c>
      <c r="B2797" s="17" t="s">
        <v>12719</v>
      </c>
      <c r="C2797" s="2" t="s">
        <v>12720</v>
      </c>
      <c r="D2797" s="15" t="s">
        <v>12721</v>
      </c>
      <c r="E2797" s="9" t="s">
        <v>5379</v>
      </c>
      <c r="F2797" s="9" t="s">
        <v>12722</v>
      </c>
      <c r="G2797" s="9" t="s">
        <v>165</v>
      </c>
      <c r="H2797" s="2" t="s">
        <v>60</v>
      </c>
      <c r="I2797" s="3">
        <v>36890</v>
      </c>
      <c r="J2797" s="9" t="str">
        <f t="shared" ca="1" si="45"/>
        <v>22 ans</v>
      </c>
      <c r="K2797" s="2" t="s">
        <v>68</v>
      </c>
      <c r="L2797" s="2" t="str">
        <f>"883"</f>
        <v>883</v>
      </c>
      <c r="M2797" s="2"/>
      <c r="N2797" s="2" t="str">
        <f>"RUE DES SOUS BOIS"</f>
        <v>RUE DES SOUS BOIS</v>
      </c>
      <c r="O2797" s="2" t="s">
        <v>12715</v>
      </c>
      <c r="P2797" s="9" t="str">
        <f>VLOOKUP($O2797,'Liste des Villes'!$B$2:$B$1128,1,FALSE)</f>
        <v>Saint-Calixte</v>
      </c>
      <c r="Q2797" s="9" t="str">
        <f>IFERROR($P2797,PROPER(VLOOKUP($O2797,'Villes en erreur'!$A$2:$B$72,2,FALSE)))</f>
        <v>Saint-Calixte</v>
      </c>
      <c r="R2797" s="9" t="s">
        <v>12716</v>
      </c>
      <c r="S2797" s="9" t="str">
        <f>IF(ISBLANK($R2797),"",VLOOKUP($R2797,'Liste des Villes'!$B$2:$H$1128,4,FALSE))</f>
        <v>Lanaudière</v>
      </c>
      <c r="T2797" s="2" t="s">
        <v>12723</v>
      </c>
      <c r="U2797" s="2" t="s">
        <v>39</v>
      </c>
      <c r="V2797" s="2" t="s">
        <v>40</v>
      </c>
      <c r="W2797" s="2" t="s">
        <v>12724</v>
      </c>
      <c r="X2797" s="2"/>
      <c r="Y2797" s="2"/>
      <c r="Z2797" s="2"/>
      <c r="AA2797" s="2" t="s">
        <v>606</v>
      </c>
      <c r="AB2797" s="2" t="s">
        <v>161</v>
      </c>
      <c r="AC2797" s="4" t="s">
        <v>44</v>
      </c>
    </row>
    <row r="2798" spans="1:29" x14ac:dyDescent="0.25">
      <c r="A2798" s="1">
        <v>4478</v>
      </c>
      <c r="B2798" s="17" t="s">
        <v>12725</v>
      </c>
      <c r="C2798" s="2" t="s">
        <v>12726</v>
      </c>
      <c r="D2798" s="15" t="s">
        <v>8556</v>
      </c>
      <c r="E2798" s="9" t="s">
        <v>1416</v>
      </c>
      <c r="F2798" s="9" t="s">
        <v>12727</v>
      </c>
      <c r="G2798" s="9" t="s">
        <v>165</v>
      </c>
      <c r="H2798" s="2" t="s">
        <v>60</v>
      </c>
      <c r="I2798" s="3">
        <v>36888</v>
      </c>
      <c r="J2798" s="9" t="str">
        <f t="shared" ca="1" si="45"/>
        <v>22 ans</v>
      </c>
      <c r="K2798" s="2" t="s">
        <v>68</v>
      </c>
      <c r="L2798" s="2" t="str">
        <f>"881"</f>
        <v>881</v>
      </c>
      <c r="M2798" s="2"/>
      <c r="N2798" s="2" t="str">
        <f>"RUE DES SOURCES"</f>
        <v>RUE DES SOURCES</v>
      </c>
      <c r="O2798" s="2" t="s">
        <v>12715</v>
      </c>
      <c r="P2798" s="9" t="str">
        <f>VLOOKUP($O2798,'Liste des Villes'!$B$2:$B$1128,1,FALSE)</f>
        <v>Saint-Calixte</v>
      </c>
      <c r="Q2798" s="9" t="str">
        <f>IFERROR($P2798,PROPER(VLOOKUP($O2798,'Villes en erreur'!$A$2:$B$72,2,FALSE)))</f>
        <v>Saint-Calixte</v>
      </c>
      <c r="R2798" s="9" t="s">
        <v>12716</v>
      </c>
      <c r="S2798" s="9" t="str">
        <f>IF(ISBLANK($R2798),"",VLOOKUP($R2798,'Liste des Villes'!$B$2:$H$1128,4,FALSE))</f>
        <v>Lanaudière</v>
      </c>
      <c r="T2798" s="2" t="s">
        <v>12728</v>
      </c>
      <c r="U2798" s="2" t="s">
        <v>39</v>
      </c>
      <c r="V2798" s="2" t="s">
        <v>40</v>
      </c>
      <c r="W2798" s="2" t="s">
        <v>12729</v>
      </c>
      <c r="X2798" s="2"/>
      <c r="Y2798" s="2"/>
      <c r="Z2798" s="2"/>
      <c r="AA2798" s="2" t="s">
        <v>606</v>
      </c>
      <c r="AB2798" s="2" t="s">
        <v>161</v>
      </c>
      <c r="AC2798" s="4" t="s">
        <v>44</v>
      </c>
    </row>
    <row r="2799" spans="1:29" x14ac:dyDescent="0.25">
      <c r="A2799" s="1">
        <v>4227</v>
      </c>
      <c r="B2799" s="17" t="s">
        <v>12730</v>
      </c>
      <c r="C2799" s="2" t="s">
        <v>12731</v>
      </c>
      <c r="D2799" s="15" t="s">
        <v>12732</v>
      </c>
      <c r="E2799" s="9" t="s">
        <v>271</v>
      </c>
      <c r="F2799" s="9" t="s">
        <v>4256</v>
      </c>
      <c r="G2799" s="9" t="s">
        <v>165</v>
      </c>
      <c r="H2799" s="2" t="s">
        <v>60</v>
      </c>
      <c r="I2799" s="3">
        <v>36888</v>
      </c>
      <c r="J2799" s="9" t="str">
        <f t="shared" ca="1" si="45"/>
        <v>22 ans</v>
      </c>
      <c r="K2799" s="2" t="s">
        <v>68</v>
      </c>
      <c r="L2799" s="2" t="str">
        <f>"883"</f>
        <v>883</v>
      </c>
      <c r="M2799" s="2"/>
      <c r="N2799" s="2" t="str">
        <f>"RUE DES SOUS BOIS"</f>
        <v>RUE DES SOUS BOIS</v>
      </c>
      <c r="O2799" s="2" t="s">
        <v>12715</v>
      </c>
      <c r="P2799" s="9" t="str">
        <f>VLOOKUP($O2799,'Liste des Villes'!$B$2:$B$1128,1,FALSE)</f>
        <v>Saint-Calixte</v>
      </c>
      <c r="Q2799" s="9" t="str">
        <f>IFERROR($P2799,PROPER(VLOOKUP($O2799,'Villes en erreur'!$A$2:$B$72,2,FALSE)))</f>
        <v>Saint-Calixte</v>
      </c>
      <c r="R2799" s="9" t="s">
        <v>12716</v>
      </c>
      <c r="S2799" s="9" t="str">
        <f>IF(ISBLANK($R2799),"",VLOOKUP($R2799,'Liste des Villes'!$B$2:$H$1128,4,FALSE))</f>
        <v>Lanaudière</v>
      </c>
      <c r="T2799" s="2" t="s">
        <v>12723</v>
      </c>
      <c r="U2799" s="2" t="s">
        <v>39</v>
      </c>
      <c r="V2799" s="2" t="s">
        <v>40</v>
      </c>
      <c r="W2799" s="2" t="s">
        <v>12733</v>
      </c>
      <c r="X2799" s="2"/>
      <c r="Y2799" s="2"/>
      <c r="Z2799" s="2"/>
      <c r="AA2799" s="2" t="s">
        <v>606</v>
      </c>
      <c r="AB2799" s="2" t="s">
        <v>161</v>
      </c>
      <c r="AC2799" s="4" t="s">
        <v>44</v>
      </c>
    </row>
    <row r="2800" spans="1:29" x14ac:dyDescent="0.25">
      <c r="A2800" s="1">
        <v>2818</v>
      </c>
      <c r="B2800" s="17" t="s">
        <v>12734</v>
      </c>
      <c r="C2800" s="2" t="s">
        <v>12735</v>
      </c>
      <c r="D2800" s="15" t="s">
        <v>12736</v>
      </c>
      <c r="E2800" s="9" t="s">
        <v>341</v>
      </c>
      <c r="F2800" s="9" t="s">
        <v>12737</v>
      </c>
      <c r="G2800" s="9" t="s">
        <v>8852</v>
      </c>
      <c r="H2800" s="2" t="s">
        <v>60</v>
      </c>
      <c r="I2800" s="3">
        <v>36887</v>
      </c>
      <c r="J2800" s="9" t="str">
        <f t="shared" ca="1" si="45"/>
        <v>22 ans</v>
      </c>
      <c r="K2800" s="2" t="s">
        <v>68</v>
      </c>
      <c r="L2800" s="2" t="str">
        <f>"878"</f>
        <v>878</v>
      </c>
      <c r="M2800" s="2"/>
      <c r="N2800" s="2" t="str">
        <f>"RUE DES SITTELLES"</f>
        <v>RUE DES SITTELLES</v>
      </c>
      <c r="O2800" s="2" t="s">
        <v>12715</v>
      </c>
      <c r="P2800" s="9" t="str">
        <f>VLOOKUP($O2800,'Liste des Villes'!$B$2:$B$1128,1,FALSE)</f>
        <v>Saint-Calixte</v>
      </c>
      <c r="Q2800" s="9" t="str">
        <f>IFERROR($P2800,PROPER(VLOOKUP($O2800,'Villes en erreur'!$A$2:$B$72,2,FALSE)))</f>
        <v>Saint-Calixte</v>
      </c>
      <c r="R2800" s="9" t="s">
        <v>12716</v>
      </c>
      <c r="S2800" s="9" t="str">
        <f>IF(ISBLANK($R2800),"",VLOOKUP($R2800,'Liste des Villes'!$B$2:$H$1128,4,FALSE))</f>
        <v>Lanaudière</v>
      </c>
      <c r="T2800" s="2" t="s">
        <v>12738</v>
      </c>
      <c r="U2800" s="2" t="s">
        <v>39</v>
      </c>
      <c r="V2800" s="2" t="s">
        <v>40</v>
      </c>
      <c r="W2800" s="2" t="s">
        <v>12739</v>
      </c>
      <c r="X2800" s="2"/>
      <c r="Y2800" s="2"/>
      <c r="Z2800" s="2"/>
      <c r="AA2800" s="2" t="s">
        <v>606</v>
      </c>
      <c r="AB2800" s="2" t="s">
        <v>161</v>
      </c>
      <c r="AC2800" s="4" t="s">
        <v>44</v>
      </c>
    </row>
    <row r="2801" spans="1:29" x14ac:dyDescent="0.25">
      <c r="A2801" s="1">
        <v>3755</v>
      </c>
      <c r="B2801" s="17" t="s">
        <v>12740</v>
      </c>
      <c r="C2801" s="2" t="s">
        <v>6243</v>
      </c>
      <c r="D2801" s="15" t="s">
        <v>2010</v>
      </c>
      <c r="E2801" s="9" t="s">
        <v>6244</v>
      </c>
      <c r="F2801" s="9" t="s">
        <v>1076</v>
      </c>
      <c r="G2801" s="9" t="s">
        <v>1236</v>
      </c>
      <c r="H2801" s="2" t="s">
        <v>35</v>
      </c>
      <c r="I2801" s="3">
        <v>36883</v>
      </c>
      <c r="J2801" s="9" t="str">
        <f t="shared" ca="1" si="45"/>
        <v>22 ans</v>
      </c>
      <c r="K2801" s="2" t="s">
        <v>68</v>
      </c>
      <c r="L2801" s="2" t="str">
        <f>"872"</f>
        <v>872</v>
      </c>
      <c r="M2801" s="2"/>
      <c r="N2801" s="2" t="str">
        <f>"RUE DES SEMAILLES"</f>
        <v>RUE DES SEMAILLES</v>
      </c>
      <c r="O2801" s="2" t="s">
        <v>12715</v>
      </c>
      <c r="P2801" s="9" t="str">
        <f>VLOOKUP($O2801,'Liste des Villes'!$B$2:$B$1128,1,FALSE)</f>
        <v>Saint-Calixte</v>
      </c>
      <c r="Q2801" s="9" t="str">
        <f>IFERROR($P2801,PROPER(VLOOKUP($O2801,'Villes en erreur'!$A$2:$B$72,2,FALSE)))</f>
        <v>Saint-Calixte</v>
      </c>
      <c r="R2801" s="9" t="s">
        <v>12716</v>
      </c>
      <c r="S2801" s="9" t="str">
        <f>IF(ISBLANK($R2801),"",VLOOKUP($R2801,'Liste des Villes'!$B$2:$H$1128,4,FALSE))</f>
        <v>Lanaudière</v>
      </c>
      <c r="T2801" s="2" t="s">
        <v>12708</v>
      </c>
      <c r="U2801" s="2" t="s">
        <v>39</v>
      </c>
      <c r="V2801" s="2" t="s">
        <v>40</v>
      </c>
      <c r="W2801" s="2" t="s">
        <v>12741</v>
      </c>
      <c r="X2801" s="2"/>
      <c r="Y2801" s="2"/>
      <c r="Z2801" s="2"/>
      <c r="AA2801" s="2" t="s">
        <v>606</v>
      </c>
      <c r="AB2801" s="2" t="s">
        <v>161</v>
      </c>
      <c r="AC2801" s="4" t="s">
        <v>44</v>
      </c>
    </row>
    <row r="2802" spans="1:29" x14ac:dyDescent="0.25">
      <c r="A2802" s="1">
        <v>3272</v>
      </c>
      <c r="B2802" s="17" t="s">
        <v>12742</v>
      </c>
      <c r="C2802" s="2" t="s">
        <v>1359</v>
      </c>
      <c r="D2802" s="15" t="s">
        <v>1360</v>
      </c>
      <c r="E2802" s="9" t="s">
        <v>1361</v>
      </c>
      <c r="F2802" s="9" t="s">
        <v>1362</v>
      </c>
      <c r="G2802" s="9" t="s">
        <v>10571</v>
      </c>
      <c r="H2802" s="2" t="s">
        <v>60</v>
      </c>
      <c r="I2802" s="3">
        <v>36886</v>
      </c>
      <c r="J2802" s="9" t="str">
        <f t="shared" ca="1" si="45"/>
        <v>22 ans</v>
      </c>
      <c r="K2802" s="2" t="s">
        <v>68</v>
      </c>
      <c r="L2802" s="2" t="str">
        <f>"877"</f>
        <v>877</v>
      </c>
      <c r="M2802" s="2"/>
      <c r="N2802" s="2" t="str">
        <f>"RUE DES SITTELLES"</f>
        <v>RUE DES SITTELLES</v>
      </c>
      <c r="O2802" s="2" t="s">
        <v>12715</v>
      </c>
      <c r="P2802" s="9" t="str">
        <f>VLOOKUP($O2802,'Liste des Villes'!$B$2:$B$1128,1,FALSE)</f>
        <v>Saint-Calixte</v>
      </c>
      <c r="Q2802" s="9" t="str">
        <f>IFERROR($P2802,PROPER(VLOOKUP($O2802,'Villes en erreur'!$A$2:$B$72,2,FALSE)))</f>
        <v>Saint-Calixte</v>
      </c>
      <c r="R2802" s="9" t="s">
        <v>12716</v>
      </c>
      <c r="S2802" s="9" t="str">
        <f>IF(ISBLANK($R2802),"",VLOOKUP($R2802,'Liste des Villes'!$B$2:$H$1128,4,FALSE))</f>
        <v>Lanaudière</v>
      </c>
      <c r="T2802" s="2" t="s">
        <v>12743</v>
      </c>
      <c r="U2802" s="2" t="s">
        <v>39</v>
      </c>
      <c r="V2802" s="2" t="s">
        <v>40</v>
      </c>
      <c r="W2802" s="2" t="s">
        <v>12744</v>
      </c>
      <c r="X2802" s="2"/>
      <c r="Y2802" s="2"/>
      <c r="Z2802" s="2"/>
      <c r="AA2802" s="2" t="s">
        <v>606</v>
      </c>
      <c r="AB2802" s="2" t="s">
        <v>161</v>
      </c>
      <c r="AC2802" s="4" t="s">
        <v>44</v>
      </c>
    </row>
    <row r="2803" spans="1:29" x14ac:dyDescent="0.25">
      <c r="A2803" s="1">
        <v>1642</v>
      </c>
      <c r="B2803" s="17" t="s">
        <v>12745</v>
      </c>
      <c r="C2803" s="2" t="s">
        <v>12746</v>
      </c>
      <c r="D2803" s="15" t="s">
        <v>12747</v>
      </c>
      <c r="E2803" s="9" t="s">
        <v>9713</v>
      </c>
      <c r="F2803" s="9" t="s">
        <v>1477</v>
      </c>
      <c r="G2803" s="9" t="s">
        <v>12748</v>
      </c>
      <c r="H2803" s="2" t="s">
        <v>35</v>
      </c>
      <c r="I2803" s="3">
        <v>36887</v>
      </c>
      <c r="J2803" s="9" t="str">
        <f t="shared" ca="1" si="45"/>
        <v>22 ans</v>
      </c>
      <c r="K2803" s="2" t="s">
        <v>68</v>
      </c>
      <c r="L2803" s="2" t="str">
        <f>"879"</f>
        <v>879</v>
      </c>
      <c r="M2803" s="2"/>
      <c r="N2803" s="2" t="str">
        <f>"RUE DES SOURCES"</f>
        <v>RUE DES SOURCES</v>
      </c>
      <c r="O2803" s="2" t="s">
        <v>12715</v>
      </c>
      <c r="P2803" s="9" t="str">
        <f>VLOOKUP($O2803,'Liste des Villes'!$B$2:$B$1128,1,FALSE)</f>
        <v>Saint-Calixte</v>
      </c>
      <c r="Q2803" s="9" t="str">
        <f>IFERROR($P2803,PROPER(VLOOKUP($O2803,'Villes en erreur'!$A$2:$B$72,2,FALSE)))</f>
        <v>Saint-Calixte</v>
      </c>
      <c r="R2803" s="9" t="s">
        <v>12716</v>
      </c>
      <c r="S2803" s="9" t="str">
        <f>IF(ISBLANK($R2803),"",VLOOKUP($R2803,'Liste des Villes'!$B$2:$H$1128,4,FALSE))</f>
        <v>Lanaudière</v>
      </c>
      <c r="T2803" s="2" t="s">
        <v>12749</v>
      </c>
      <c r="U2803" s="2" t="s">
        <v>39</v>
      </c>
      <c r="V2803" s="2" t="s">
        <v>40</v>
      </c>
      <c r="W2803" s="2" t="s">
        <v>12750</v>
      </c>
      <c r="X2803" s="2"/>
      <c r="Y2803" s="2"/>
      <c r="Z2803" s="2"/>
      <c r="AA2803" s="2" t="s">
        <v>606</v>
      </c>
      <c r="AB2803" s="2" t="s">
        <v>161</v>
      </c>
      <c r="AC2803" s="4" t="s">
        <v>44</v>
      </c>
    </row>
    <row r="2804" spans="1:29" x14ac:dyDescent="0.25">
      <c r="A2804" s="1">
        <v>1368</v>
      </c>
      <c r="B2804" s="17" t="s">
        <v>12751</v>
      </c>
      <c r="C2804" s="2" t="s">
        <v>12752</v>
      </c>
      <c r="D2804" s="15" t="s">
        <v>1959</v>
      </c>
      <c r="E2804" s="9" t="s">
        <v>4231</v>
      </c>
      <c r="F2804" s="9" t="s">
        <v>1957</v>
      </c>
      <c r="G2804" s="9" t="s">
        <v>165</v>
      </c>
      <c r="H2804" s="2" t="s">
        <v>60</v>
      </c>
      <c r="I2804" s="3">
        <v>36894</v>
      </c>
      <c r="J2804" s="9" t="str">
        <f t="shared" ca="1" si="45"/>
        <v>22 ans</v>
      </c>
      <c r="K2804" s="2" t="s">
        <v>68</v>
      </c>
      <c r="L2804" s="2" t="str">
        <f>"887"</f>
        <v>887</v>
      </c>
      <c r="M2804" s="2"/>
      <c r="N2804" s="2" t="str">
        <f>"RUE DES TAËLS"</f>
        <v>RUE DES TAËLS</v>
      </c>
      <c r="O2804" s="2" t="s">
        <v>12715</v>
      </c>
      <c r="P2804" s="9" t="str">
        <f>VLOOKUP($O2804,'Liste des Villes'!$B$2:$B$1128,1,FALSE)</f>
        <v>Saint-Calixte</v>
      </c>
      <c r="Q2804" s="9" t="str">
        <f>IFERROR($P2804,PROPER(VLOOKUP($O2804,'Villes en erreur'!$A$2:$B$72,2,FALSE)))</f>
        <v>Saint-Calixte</v>
      </c>
      <c r="R2804" s="9" t="s">
        <v>12716</v>
      </c>
      <c r="S2804" s="9" t="str">
        <f>IF(ISBLANK($R2804),"",VLOOKUP($R2804,'Liste des Villes'!$B$2:$H$1128,4,FALSE))</f>
        <v>Lanaudière</v>
      </c>
      <c r="T2804" s="2" t="s">
        <v>12753</v>
      </c>
      <c r="U2804" s="2" t="s">
        <v>39</v>
      </c>
      <c r="V2804" s="2" t="s">
        <v>40</v>
      </c>
      <c r="W2804" s="2" t="s">
        <v>12754</v>
      </c>
      <c r="X2804" s="2"/>
      <c r="Y2804" s="2"/>
      <c r="Z2804" s="2"/>
      <c r="AA2804" s="2" t="s">
        <v>606</v>
      </c>
      <c r="AB2804" s="2" t="s">
        <v>161</v>
      </c>
      <c r="AC2804" s="4" t="s">
        <v>44</v>
      </c>
    </row>
    <row r="2805" spans="1:29" x14ac:dyDescent="0.25">
      <c r="A2805" s="1">
        <v>1190</v>
      </c>
      <c r="B2805" s="17" t="s">
        <v>12755</v>
      </c>
      <c r="C2805" s="2" t="s">
        <v>12756</v>
      </c>
      <c r="D2805" s="15" t="s">
        <v>5214</v>
      </c>
      <c r="E2805" s="9" t="s">
        <v>6922</v>
      </c>
      <c r="F2805" s="9" t="s">
        <v>5213</v>
      </c>
      <c r="G2805" s="9" t="s">
        <v>165</v>
      </c>
      <c r="H2805" s="2" t="s">
        <v>60</v>
      </c>
      <c r="I2805" s="3">
        <v>36894</v>
      </c>
      <c r="J2805" s="9" t="str">
        <f t="shared" ca="1" si="45"/>
        <v>22 ans</v>
      </c>
      <c r="K2805" s="2" t="s">
        <v>68</v>
      </c>
      <c r="L2805" s="2" t="str">
        <f>"886"</f>
        <v>886</v>
      </c>
      <c r="M2805" s="2"/>
      <c r="N2805" s="2" t="str">
        <f>"RUE DES TAËLS"</f>
        <v>RUE DES TAËLS</v>
      </c>
      <c r="O2805" s="2" t="s">
        <v>12715</v>
      </c>
      <c r="P2805" s="9" t="str">
        <f>VLOOKUP($O2805,'Liste des Villes'!$B$2:$B$1128,1,FALSE)</f>
        <v>Saint-Calixte</v>
      </c>
      <c r="Q2805" s="9" t="str">
        <f>IFERROR($P2805,PROPER(VLOOKUP($O2805,'Villes en erreur'!$A$2:$B$72,2,FALSE)))</f>
        <v>Saint-Calixte</v>
      </c>
      <c r="R2805" s="9" t="s">
        <v>12716</v>
      </c>
      <c r="S2805" s="9" t="str">
        <f>IF(ISBLANK($R2805),"",VLOOKUP($R2805,'Liste des Villes'!$B$2:$H$1128,4,FALSE))</f>
        <v>Lanaudière</v>
      </c>
      <c r="T2805" s="2" t="s">
        <v>12753</v>
      </c>
      <c r="U2805" s="2" t="s">
        <v>39</v>
      </c>
      <c r="V2805" s="2" t="s">
        <v>40</v>
      </c>
      <c r="W2805" s="2" t="s">
        <v>12757</v>
      </c>
      <c r="X2805" s="2"/>
      <c r="Y2805" s="2"/>
      <c r="Z2805" s="2"/>
      <c r="AA2805" s="2" t="s">
        <v>606</v>
      </c>
      <c r="AB2805" s="2" t="s">
        <v>161</v>
      </c>
      <c r="AC2805" s="4" t="s">
        <v>44</v>
      </c>
    </row>
    <row r="2806" spans="1:29" x14ac:dyDescent="0.25">
      <c r="A2806" s="1">
        <v>360</v>
      </c>
      <c r="B2806" s="17" t="s">
        <v>12758</v>
      </c>
      <c r="C2806" s="2" t="s">
        <v>1103</v>
      </c>
      <c r="D2806" s="15" t="s">
        <v>1104</v>
      </c>
      <c r="E2806" s="9" t="s">
        <v>277</v>
      </c>
      <c r="F2806" s="9" t="s">
        <v>1519</v>
      </c>
      <c r="G2806" s="9" t="s">
        <v>165</v>
      </c>
      <c r="H2806" s="2" t="s">
        <v>60</v>
      </c>
      <c r="I2806" s="3">
        <v>36893</v>
      </c>
      <c r="J2806" s="9" t="str">
        <f t="shared" ca="1" si="45"/>
        <v>22 ans</v>
      </c>
      <c r="K2806" s="2" t="s">
        <v>68</v>
      </c>
      <c r="L2806" s="2" t="str">
        <f>"885"</f>
        <v>885</v>
      </c>
      <c r="M2806" s="2"/>
      <c r="N2806" s="2" t="str">
        <f>"rue Des Suisses"</f>
        <v>rue Des Suisses</v>
      </c>
      <c r="O2806" s="2" t="s">
        <v>12715</v>
      </c>
      <c r="P2806" s="9" t="str">
        <f>VLOOKUP($O2806,'Liste des Villes'!$B$2:$B$1128,1,FALSE)</f>
        <v>Saint-Calixte</v>
      </c>
      <c r="Q2806" s="9" t="str">
        <f>IFERROR($P2806,PROPER(VLOOKUP($O2806,'Villes en erreur'!$A$2:$B$72,2,FALSE)))</f>
        <v>Saint-Calixte</v>
      </c>
      <c r="R2806" s="9" t="s">
        <v>12716</v>
      </c>
      <c r="S2806" s="9" t="str">
        <f>IF(ISBLANK($R2806),"",VLOOKUP($R2806,'Liste des Villes'!$B$2:$H$1128,4,FALSE))</f>
        <v>Lanaudière</v>
      </c>
      <c r="T2806" s="2" t="s">
        <v>12759</v>
      </c>
      <c r="U2806" s="2" t="s">
        <v>39</v>
      </c>
      <c r="V2806" s="2" t="s">
        <v>40</v>
      </c>
      <c r="W2806" s="2" t="s">
        <v>12760</v>
      </c>
      <c r="X2806" s="2"/>
      <c r="Y2806" s="2"/>
      <c r="Z2806" s="2"/>
      <c r="AA2806" s="2" t="s">
        <v>606</v>
      </c>
      <c r="AB2806" s="2" t="s">
        <v>161</v>
      </c>
      <c r="AC2806" s="4" t="s">
        <v>44</v>
      </c>
    </row>
    <row r="2807" spans="1:29" x14ac:dyDescent="0.25">
      <c r="A2807" s="1">
        <v>2293</v>
      </c>
      <c r="B2807" s="17" t="s">
        <v>12761</v>
      </c>
      <c r="C2807" s="2" t="s">
        <v>12762</v>
      </c>
      <c r="D2807" s="15" t="s">
        <v>12763</v>
      </c>
      <c r="E2807" s="9" t="s">
        <v>2334</v>
      </c>
      <c r="F2807" s="9" t="s">
        <v>4453</v>
      </c>
      <c r="G2807" s="9" t="s">
        <v>1236</v>
      </c>
      <c r="H2807" s="2" t="s">
        <v>35</v>
      </c>
      <c r="I2807" s="3">
        <v>36882</v>
      </c>
      <c r="J2807" s="9" t="str">
        <f t="shared" ca="1" si="45"/>
        <v>22 ans</v>
      </c>
      <c r="K2807" s="2" t="s">
        <v>68</v>
      </c>
      <c r="L2807" s="2" t="str">
        <f>"871"</f>
        <v>871</v>
      </c>
      <c r="M2807" s="2"/>
      <c r="N2807" s="2" t="str">
        <f>"RUE DES SCARABÉES"</f>
        <v>RUE DES SCARABÉES</v>
      </c>
      <c r="O2807" s="2" t="s">
        <v>12715</v>
      </c>
      <c r="P2807" s="9" t="str">
        <f>VLOOKUP($O2807,'Liste des Villes'!$B$2:$B$1128,1,FALSE)</f>
        <v>Saint-Calixte</v>
      </c>
      <c r="Q2807" s="9" t="str">
        <f>IFERROR($P2807,PROPER(VLOOKUP($O2807,'Villes en erreur'!$A$2:$B$72,2,FALSE)))</f>
        <v>Saint-Calixte</v>
      </c>
      <c r="R2807" s="9" t="s">
        <v>12716</v>
      </c>
      <c r="S2807" s="9" t="str">
        <f>IF(ISBLANK($R2807),"",VLOOKUP($R2807,'Liste des Villes'!$B$2:$H$1128,4,FALSE))</f>
        <v>Lanaudière</v>
      </c>
      <c r="T2807" s="2" t="s">
        <v>12708</v>
      </c>
      <c r="U2807" s="2" t="s">
        <v>39</v>
      </c>
      <c r="V2807" s="2" t="s">
        <v>40</v>
      </c>
      <c r="W2807" s="2" t="s">
        <v>12764</v>
      </c>
      <c r="X2807" s="2"/>
      <c r="Y2807" s="2"/>
      <c r="Z2807" s="2"/>
      <c r="AA2807" s="2" t="s">
        <v>606</v>
      </c>
      <c r="AB2807" s="2" t="s">
        <v>161</v>
      </c>
      <c r="AC2807" s="4" t="s">
        <v>44</v>
      </c>
    </row>
    <row r="2808" spans="1:29" x14ac:dyDescent="0.25">
      <c r="A2808" s="1">
        <v>2287</v>
      </c>
      <c r="B2808" s="17" t="s">
        <v>12765</v>
      </c>
      <c r="C2808" s="2" t="s">
        <v>3430</v>
      </c>
      <c r="D2808" s="15" t="s">
        <v>3431</v>
      </c>
      <c r="E2808" s="9" t="s">
        <v>3432</v>
      </c>
      <c r="F2808" s="9" t="s">
        <v>12166</v>
      </c>
      <c r="G2808" s="9" t="s">
        <v>3982</v>
      </c>
      <c r="H2808" s="2" t="s">
        <v>35</v>
      </c>
      <c r="I2808" s="3">
        <v>36894</v>
      </c>
      <c r="J2808" s="9" t="str">
        <f t="shared" ca="1" si="45"/>
        <v>22 ans</v>
      </c>
      <c r="K2808" s="2" t="s">
        <v>68</v>
      </c>
      <c r="L2808" s="2" t="str">
        <f>"887"</f>
        <v>887</v>
      </c>
      <c r="M2808" s="2"/>
      <c r="N2808" s="2" t="str">
        <f>"RUE DES TANGARAS"</f>
        <v>RUE DES TANGARAS</v>
      </c>
      <c r="O2808" s="2" t="s">
        <v>12715</v>
      </c>
      <c r="P2808" s="9" t="str">
        <f>VLOOKUP($O2808,'Liste des Villes'!$B$2:$B$1128,1,FALSE)</f>
        <v>Saint-Calixte</v>
      </c>
      <c r="Q2808" s="9" t="str">
        <f>IFERROR($P2808,PROPER(VLOOKUP($O2808,'Villes en erreur'!$A$2:$B$72,2,FALSE)))</f>
        <v>Saint-Calixte</v>
      </c>
      <c r="R2808" s="9" t="s">
        <v>12716</v>
      </c>
      <c r="S2808" s="9" t="str">
        <f>IF(ISBLANK($R2808),"",VLOOKUP($R2808,'Liste des Villes'!$B$2:$H$1128,4,FALSE))</f>
        <v>Lanaudière</v>
      </c>
      <c r="T2808" s="2" t="s">
        <v>12766</v>
      </c>
      <c r="U2808" s="2" t="s">
        <v>39</v>
      </c>
      <c r="V2808" s="2" t="s">
        <v>40</v>
      </c>
      <c r="W2808" s="2" t="s">
        <v>12767</v>
      </c>
      <c r="X2808" s="2"/>
      <c r="Y2808" s="2"/>
      <c r="Z2808" s="2"/>
      <c r="AA2808" s="2" t="s">
        <v>606</v>
      </c>
      <c r="AB2808" s="2" t="s">
        <v>161</v>
      </c>
      <c r="AC2808" s="4" t="s">
        <v>44</v>
      </c>
    </row>
    <row r="2809" spans="1:29" x14ac:dyDescent="0.25">
      <c r="A2809" s="1">
        <v>2519</v>
      </c>
      <c r="B2809" s="17" t="s">
        <v>12768</v>
      </c>
      <c r="C2809" s="2" t="s">
        <v>11856</v>
      </c>
      <c r="D2809" s="15" t="s">
        <v>3341</v>
      </c>
      <c r="E2809" s="9" t="s">
        <v>172</v>
      </c>
      <c r="F2809" s="9" t="s">
        <v>4447</v>
      </c>
      <c r="G2809" s="9" t="s">
        <v>10571</v>
      </c>
      <c r="H2809" s="2" t="s">
        <v>60</v>
      </c>
      <c r="I2809" s="3">
        <v>36886</v>
      </c>
      <c r="J2809" s="9" t="str">
        <f t="shared" ca="1" si="45"/>
        <v>22 ans</v>
      </c>
      <c r="K2809" s="2" t="s">
        <v>68</v>
      </c>
      <c r="L2809" s="2" t="str">
        <f>"877"</f>
        <v>877</v>
      </c>
      <c r="M2809" s="2"/>
      <c r="N2809" s="2" t="str">
        <f>"RUE DES SITTELLES"</f>
        <v>RUE DES SITTELLES</v>
      </c>
      <c r="O2809" s="2" t="s">
        <v>12715</v>
      </c>
      <c r="P2809" s="9" t="str">
        <f>VLOOKUP($O2809,'Liste des Villes'!$B$2:$B$1128,1,FALSE)</f>
        <v>Saint-Calixte</v>
      </c>
      <c r="Q2809" s="9" t="str">
        <f>IFERROR($P2809,PROPER(VLOOKUP($O2809,'Villes en erreur'!$A$2:$B$72,2,FALSE)))</f>
        <v>Saint-Calixte</v>
      </c>
      <c r="R2809" s="9" t="s">
        <v>12716</v>
      </c>
      <c r="S2809" s="9" t="str">
        <f>IF(ISBLANK($R2809),"",VLOOKUP($R2809,'Liste des Villes'!$B$2:$H$1128,4,FALSE))</f>
        <v>Lanaudière</v>
      </c>
      <c r="T2809" s="2" t="s">
        <v>12769</v>
      </c>
      <c r="U2809" s="2" t="s">
        <v>39</v>
      </c>
      <c r="V2809" s="2" t="s">
        <v>40</v>
      </c>
      <c r="W2809" s="2" t="s">
        <v>12770</v>
      </c>
      <c r="X2809" s="2"/>
      <c r="Y2809" s="2"/>
      <c r="Z2809" s="2"/>
      <c r="AA2809" s="2" t="s">
        <v>606</v>
      </c>
      <c r="AB2809" s="2" t="s">
        <v>161</v>
      </c>
      <c r="AC2809" s="4" t="s">
        <v>44</v>
      </c>
    </row>
    <row r="2810" spans="1:29" x14ac:dyDescent="0.25">
      <c r="A2810" s="1">
        <v>4587</v>
      </c>
      <c r="B2810" s="17" t="s">
        <v>12771</v>
      </c>
      <c r="C2810" s="2" t="s">
        <v>12772</v>
      </c>
      <c r="D2810" s="15" t="s">
        <v>3784</v>
      </c>
      <c r="E2810" s="9" t="s">
        <v>3626</v>
      </c>
      <c r="F2810" s="9" t="s">
        <v>3783</v>
      </c>
      <c r="G2810" s="9" t="s">
        <v>12773</v>
      </c>
      <c r="H2810" s="2" t="s">
        <v>35</v>
      </c>
      <c r="I2810" s="3">
        <v>36886</v>
      </c>
      <c r="J2810" s="9" t="str">
        <f t="shared" ca="1" si="45"/>
        <v>22 ans</v>
      </c>
      <c r="K2810" s="2" t="s">
        <v>68</v>
      </c>
      <c r="L2810" s="2" t="str">
        <f>"876"</f>
        <v>876</v>
      </c>
      <c r="M2810" s="2"/>
      <c r="N2810" s="2" t="str">
        <f>"RUE DES SITTELLES"</f>
        <v>RUE DES SITTELLES</v>
      </c>
      <c r="O2810" s="2" t="s">
        <v>12715</v>
      </c>
      <c r="P2810" s="9" t="str">
        <f>VLOOKUP($O2810,'Liste des Villes'!$B$2:$B$1128,1,FALSE)</f>
        <v>Saint-Calixte</v>
      </c>
      <c r="Q2810" s="9" t="str">
        <f>IFERROR($P2810,PROPER(VLOOKUP($O2810,'Villes en erreur'!$A$2:$B$72,2,FALSE)))</f>
        <v>Saint-Calixte</v>
      </c>
      <c r="R2810" s="9" t="s">
        <v>12716</v>
      </c>
      <c r="S2810" s="9" t="str">
        <f>IF(ISBLANK($R2810),"",VLOOKUP($R2810,'Liste des Villes'!$B$2:$H$1128,4,FALSE))</f>
        <v>Lanaudière</v>
      </c>
      <c r="T2810" s="2" t="s">
        <v>12774</v>
      </c>
      <c r="U2810" s="2" t="s">
        <v>39</v>
      </c>
      <c r="V2810" s="2" t="s">
        <v>40</v>
      </c>
      <c r="W2810" s="2" t="s">
        <v>12775</v>
      </c>
      <c r="X2810" s="2"/>
      <c r="Y2810" s="2"/>
      <c r="Z2810" s="2"/>
      <c r="AA2810" s="2" t="s">
        <v>606</v>
      </c>
      <c r="AB2810" s="2" t="s">
        <v>161</v>
      </c>
      <c r="AC2810" s="4" t="s">
        <v>44</v>
      </c>
    </row>
    <row r="2811" spans="1:29" x14ac:dyDescent="0.25">
      <c r="A2811" s="1">
        <v>1774</v>
      </c>
      <c r="B2811" s="17" t="s">
        <v>12776</v>
      </c>
      <c r="C2811" s="2" t="s">
        <v>12777</v>
      </c>
      <c r="D2811" s="15" t="s">
        <v>2677</v>
      </c>
      <c r="E2811" s="9" t="s">
        <v>1642</v>
      </c>
      <c r="F2811" s="9" t="s">
        <v>11362</v>
      </c>
      <c r="G2811" s="9" t="s">
        <v>1236</v>
      </c>
      <c r="H2811" s="2" t="s">
        <v>35</v>
      </c>
      <c r="I2811" s="3">
        <v>36884</v>
      </c>
      <c r="J2811" s="9" t="str">
        <f t="shared" ca="1" si="45"/>
        <v>22 ans</v>
      </c>
      <c r="K2811" s="2" t="s">
        <v>68</v>
      </c>
      <c r="L2811" s="2" t="str">
        <f>"874"</f>
        <v>874</v>
      </c>
      <c r="M2811" s="2"/>
      <c r="N2811" s="2" t="str">
        <f>"RUE DES SESTERCES"</f>
        <v>RUE DES SESTERCES</v>
      </c>
      <c r="O2811" s="2" t="s">
        <v>12715</v>
      </c>
      <c r="P2811" s="9" t="str">
        <f>VLOOKUP($O2811,'Liste des Villes'!$B$2:$B$1128,1,FALSE)</f>
        <v>Saint-Calixte</v>
      </c>
      <c r="Q2811" s="9" t="str">
        <f>IFERROR($P2811,PROPER(VLOOKUP($O2811,'Villes en erreur'!$A$2:$B$72,2,FALSE)))</f>
        <v>Saint-Calixte</v>
      </c>
      <c r="R2811" s="9" t="s">
        <v>12716</v>
      </c>
      <c r="S2811" s="9" t="str">
        <f>IF(ISBLANK($R2811),"",VLOOKUP($R2811,'Liste des Villes'!$B$2:$H$1128,4,FALSE))</f>
        <v>Lanaudière</v>
      </c>
      <c r="T2811" s="2" t="s">
        <v>12774</v>
      </c>
      <c r="U2811" s="2" t="s">
        <v>39</v>
      </c>
      <c r="V2811" s="2" t="s">
        <v>40</v>
      </c>
      <c r="W2811" s="2" t="s">
        <v>12778</v>
      </c>
      <c r="X2811" s="2"/>
      <c r="Y2811" s="2"/>
      <c r="Z2811" s="2"/>
      <c r="AA2811" s="2" t="s">
        <v>606</v>
      </c>
      <c r="AB2811" s="2" t="s">
        <v>161</v>
      </c>
      <c r="AC2811" s="4" t="s">
        <v>44</v>
      </c>
    </row>
    <row r="2812" spans="1:29" x14ac:dyDescent="0.25">
      <c r="A2812" s="1">
        <v>1634</v>
      </c>
      <c r="B2812" s="17" t="s">
        <v>12779</v>
      </c>
      <c r="C2812" s="2" t="s">
        <v>12780</v>
      </c>
      <c r="D2812" s="15" t="s">
        <v>12781</v>
      </c>
      <c r="E2812" s="9" t="s">
        <v>59</v>
      </c>
      <c r="F2812" s="9" t="s">
        <v>657</v>
      </c>
      <c r="G2812" s="9" t="s">
        <v>165</v>
      </c>
      <c r="H2812" s="2" t="s">
        <v>60</v>
      </c>
      <c r="I2812" s="3">
        <v>36891</v>
      </c>
      <c r="J2812" s="9" t="str">
        <f t="shared" ca="1" si="45"/>
        <v>22 ans</v>
      </c>
      <c r="K2812" s="2" t="s">
        <v>68</v>
      </c>
      <c r="L2812" s="2" t="str">
        <f>"883"</f>
        <v>883</v>
      </c>
      <c r="M2812" s="2"/>
      <c r="N2812" s="2" t="str">
        <f>"RUE DES SOUS-BOIS"</f>
        <v>RUE DES SOUS-BOIS</v>
      </c>
      <c r="O2812" s="2" t="s">
        <v>12715</v>
      </c>
      <c r="P2812" s="9" t="str">
        <f>VLOOKUP($O2812,'Liste des Villes'!$B$2:$B$1128,1,FALSE)</f>
        <v>Saint-Calixte</v>
      </c>
      <c r="Q2812" s="9" t="str">
        <f>IFERROR($P2812,PROPER(VLOOKUP($O2812,'Villes en erreur'!$A$2:$B$72,2,FALSE)))</f>
        <v>Saint-Calixte</v>
      </c>
      <c r="R2812" s="9" t="s">
        <v>12716</v>
      </c>
      <c r="S2812" s="9" t="str">
        <f>IF(ISBLANK($R2812),"",VLOOKUP($R2812,'Liste des Villes'!$B$2:$H$1128,4,FALSE))</f>
        <v>Lanaudière</v>
      </c>
      <c r="T2812" s="2" t="s">
        <v>12782</v>
      </c>
      <c r="U2812" s="2" t="s">
        <v>39</v>
      </c>
      <c r="V2812" s="2" t="s">
        <v>40</v>
      </c>
      <c r="W2812" s="2" t="s">
        <v>12783</v>
      </c>
      <c r="X2812" s="2"/>
      <c r="Y2812" s="2"/>
      <c r="Z2812" s="2"/>
      <c r="AA2812" s="2" t="s">
        <v>606</v>
      </c>
      <c r="AB2812" s="2" t="s">
        <v>161</v>
      </c>
      <c r="AC2812" s="4" t="s">
        <v>44</v>
      </c>
    </row>
    <row r="2813" spans="1:29" x14ac:dyDescent="0.25">
      <c r="A2813" s="1">
        <v>2246</v>
      </c>
      <c r="B2813" s="17" t="s">
        <v>12784</v>
      </c>
      <c r="C2813" s="2" t="s">
        <v>12785</v>
      </c>
      <c r="D2813" s="15" t="s">
        <v>4370</v>
      </c>
      <c r="E2813" s="9" t="s">
        <v>1024</v>
      </c>
      <c r="F2813" s="9" t="s">
        <v>4369</v>
      </c>
      <c r="G2813" s="9" t="s">
        <v>165</v>
      </c>
      <c r="H2813" s="2" t="s">
        <v>60</v>
      </c>
      <c r="I2813" s="3">
        <v>36892</v>
      </c>
      <c r="J2813" s="9" t="str">
        <f t="shared" ca="1" si="45"/>
        <v>22 ans</v>
      </c>
      <c r="K2813" s="2" t="s">
        <v>68</v>
      </c>
      <c r="L2813" s="2" t="str">
        <f>"884"</f>
        <v>884</v>
      </c>
      <c r="M2813" s="2"/>
      <c r="N2813" s="2" t="str">
        <f>"RUE DES SPORTS"</f>
        <v>RUE DES SPORTS</v>
      </c>
      <c r="O2813" s="2" t="s">
        <v>12715</v>
      </c>
      <c r="P2813" s="9" t="str">
        <f>VLOOKUP($O2813,'Liste des Villes'!$B$2:$B$1128,1,FALSE)</f>
        <v>Saint-Calixte</v>
      </c>
      <c r="Q2813" s="9" t="str">
        <f>IFERROR($P2813,PROPER(VLOOKUP($O2813,'Villes en erreur'!$A$2:$B$72,2,FALSE)))</f>
        <v>Saint-Calixte</v>
      </c>
      <c r="R2813" s="9" t="s">
        <v>12716</v>
      </c>
      <c r="S2813" s="9" t="str">
        <f>IF(ISBLANK($R2813),"",VLOOKUP($R2813,'Liste des Villes'!$B$2:$H$1128,4,FALSE))</f>
        <v>Lanaudière</v>
      </c>
      <c r="T2813" s="2" t="s">
        <v>12786</v>
      </c>
      <c r="U2813" s="2" t="s">
        <v>39</v>
      </c>
      <c r="V2813" s="2" t="s">
        <v>40</v>
      </c>
      <c r="W2813" s="2" t="s">
        <v>12787</v>
      </c>
      <c r="X2813" s="2"/>
      <c r="Y2813" s="2"/>
      <c r="Z2813" s="2"/>
      <c r="AA2813" s="2" t="s">
        <v>606</v>
      </c>
      <c r="AB2813" s="2" t="s">
        <v>161</v>
      </c>
      <c r="AC2813" s="4" t="s">
        <v>44</v>
      </c>
    </row>
    <row r="2814" spans="1:29" x14ac:dyDescent="0.25">
      <c r="A2814" s="1">
        <v>1940</v>
      </c>
      <c r="B2814" s="17" t="s">
        <v>12788</v>
      </c>
      <c r="C2814" s="2" t="s">
        <v>786</v>
      </c>
      <c r="D2814" s="15" t="s">
        <v>750</v>
      </c>
      <c r="E2814" s="9" t="s">
        <v>787</v>
      </c>
      <c r="F2814" s="9" t="s">
        <v>5398</v>
      </c>
      <c r="G2814" s="9" t="s">
        <v>1236</v>
      </c>
      <c r="H2814" s="2" t="s">
        <v>35</v>
      </c>
      <c r="I2814" s="3">
        <v>36883</v>
      </c>
      <c r="J2814" s="9" t="str">
        <f t="shared" ca="1" si="45"/>
        <v>22 ans</v>
      </c>
      <c r="K2814" s="2" t="s">
        <v>68</v>
      </c>
      <c r="L2814" s="2" t="str">
        <f>"873"</f>
        <v>873</v>
      </c>
      <c r="M2814" s="2"/>
      <c r="N2814" s="2" t="str">
        <f>"RUE DES SESTERCES"</f>
        <v>RUE DES SESTERCES</v>
      </c>
      <c r="O2814" s="2" t="s">
        <v>12715</v>
      </c>
      <c r="P2814" s="9" t="str">
        <f>VLOOKUP($O2814,'Liste des Villes'!$B$2:$B$1128,1,FALSE)</f>
        <v>Saint-Calixte</v>
      </c>
      <c r="Q2814" s="9" t="str">
        <f>IFERROR($P2814,PROPER(VLOOKUP($O2814,'Villes en erreur'!$A$2:$B$72,2,FALSE)))</f>
        <v>Saint-Calixte</v>
      </c>
      <c r="R2814" s="9" t="s">
        <v>12716</v>
      </c>
      <c r="S2814" s="9" t="str">
        <f>IF(ISBLANK($R2814),"",VLOOKUP($R2814,'Liste des Villes'!$B$2:$H$1128,4,FALSE))</f>
        <v>Lanaudière</v>
      </c>
      <c r="T2814" s="2" t="s">
        <v>12789</v>
      </c>
      <c r="U2814" s="2" t="s">
        <v>39</v>
      </c>
      <c r="V2814" s="2" t="s">
        <v>40</v>
      </c>
      <c r="W2814" s="2" t="s">
        <v>12790</v>
      </c>
      <c r="X2814" s="2"/>
      <c r="Y2814" s="2"/>
      <c r="Z2814" s="2"/>
      <c r="AA2814" s="2" t="s">
        <v>606</v>
      </c>
      <c r="AB2814" s="2" t="s">
        <v>161</v>
      </c>
      <c r="AC2814" s="4" t="s">
        <v>44</v>
      </c>
    </row>
    <row r="2815" spans="1:29" x14ac:dyDescent="0.25">
      <c r="A2815" s="1">
        <v>3221</v>
      </c>
      <c r="B2815" s="17" t="s">
        <v>12791</v>
      </c>
      <c r="C2815" s="2" t="s">
        <v>8837</v>
      </c>
      <c r="D2815" s="15" t="s">
        <v>3080</v>
      </c>
      <c r="E2815" s="9" t="s">
        <v>188</v>
      </c>
      <c r="F2815" s="9" t="s">
        <v>12792</v>
      </c>
      <c r="G2815" s="9" t="s">
        <v>602</v>
      </c>
      <c r="H2815" s="2" t="s">
        <v>35</v>
      </c>
      <c r="I2815" s="3">
        <v>36898</v>
      </c>
      <c r="J2815" s="9" t="str">
        <f t="shared" ca="1" si="45"/>
        <v>22 ans</v>
      </c>
      <c r="K2815" s="2" t="s">
        <v>68</v>
      </c>
      <c r="L2815" s="2" t="str">
        <f>"888"</f>
        <v>888</v>
      </c>
      <c r="M2815" s="2"/>
      <c r="N2815" s="2" t="str">
        <f>"RUE DES TILLEULS"</f>
        <v>RUE DES TILLEULS</v>
      </c>
      <c r="O2815" s="2" t="s">
        <v>12715</v>
      </c>
      <c r="P2815" s="9" t="str">
        <f>VLOOKUP($O2815,'Liste des Villes'!$B$2:$B$1128,1,FALSE)</f>
        <v>Saint-Calixte</v>
      </c>
      <c r="Q2815" s="9" t="str">
        <f>IFERROR($P2815,PROPER(VLOOKUP($O2815,'Villes en erreur'!$A$2:$B$72,2,FALSE)))</f>
        <v>Saint-Calixte</v>
      </c>
      <c r="R2815" s="9" t="s">
        <v>12716</v>
      </c>
      <c r="S2815" s="9" t="str">
        <f>IF(ISBLANK($R2815),"",VLOOKUP($R2815,'Liste des Villes'!$B$2:$H$1128,4,FALSE))</f>
        <v>Lanaudière</v>
      </c>
      <c r="T2815" s="2" t="s">
        <v>12793</v>
      </c>
      <c r="U2815" s="2" t="s">
        <v>39</v>
      </c>
      <c r="V2815" s="2" t="s">
        <v>40</v>
      </c>
      <c r="W2815" s="2" t="s">
        <v>12794</v>
      </c>
      <c r="X2815" s="2"/>
      <c r="Y2815" s="2"/>
      <c r="Z2815" s="2"/>
      <c r="AA2815" s="2" t="s">
        <v>606</v>
      </c>
      <c r="AB2815" s="2" t="s">
        <v>161</v>
      </c>
      <c r="AC2815" s="4" t="s">
        <v>44</v>
      </c>
    </row>
    <row r="2816" spans="1:29" x14ac:dyDescent="0.25">
      <c r="A2816" s="1">
        <v>4599</v>
      </c>
      <c r="B2816" s="17" t="s">
        <v>12795</v>
      </c>
      <c r="C2816" s="2" t="s">
        <v>12796</v>
      </c>
      <c r="D2816" s="15" t="s">
        <v>2642</v>
      </c>
      <c r="E2816" s="9" t="s">
        <v>101</v>
      </c>
      <c r="F2816" s="9" t="s">
        <v>2640</v>
      </c>
      <c r="G2816" s="9" t="s">
        <v>165</v>
      </c>
      <c r="H2816" s="2" t="s">
        <v>60</v>
      </c>
      <c r="I2816" s="3">
        <v>36888</v>
      </c>
      <c r="J2816" s="9" t="str">
        <f t="shared" ca="1" si="45"/>
        <v>22 ans</v>
      </c>
      <c r="K2816" s="2" t="s">
        <v>68</v>
      </c>
      <c r="L2816" s="2" t="str">
        <f>"882"</f>
        <v>882</v>
      </c>
      <c r="M2816" s="2"/>
      <c r="N2816" s="2" t="str">
        <f>"RUE DES SOUS BOIS"</f>
        <v>RUE DES SOUS BOIS</v>
      </c>
      <c r="O2816" s="2" t="s">
        <v>12715</v>
      </c>
      <c r="P2816" s="9" t="str">
        <f>VLOOKUP($O2816,'Liste des Villes'!$B$2:$B$1128,1,FALSE)</f>
        <v>Saint-Calixte</v>
      </c>
      <c r="Q2816" s="9" t="str">
        <f>IFERROR($P2816,PROPER(VLOOKUP($O2816,'Villes en erreur'!$A$2:$B$72,2,FALSE)))</f>
        <v>Saint-Calixte</v>
      </c>
      <c r="R2816" s="9" t="s">
        <v>12716</v>
      </c>
      <c r="S2816" s="9" t="str">
        <f>IF(ISBLANK($R2816),"",VLOOKUP($R2816,'Liste des Villes'!$B$2:$H$1128,4,FALSE))</f>
        <v>Lanaudière</v>
      </c>
      <c r="T2816" s="2" t="s">
        <v>12728</v>
      </c>
      <c r="U2816" s="2" t="s">
        <v>39</v>
      </c>
      <c r="V2816" s="2" t="s">
        <v>40</v>
      </c>
      <c r="W2816" s="2" t="s">
        <v>12797</v>
      </c>
      <c r="X2816" s="2"/>
      <c r="Y2816" s="2"/>
      <c r="Z2816" s="2"/>
      <c r="AA2816" s="2" t="s">
        <v>606</v>
      </c>
      <c r="AB2816" s="2" t="s">
        <v>161</v>
      </c>
      <c r="AC2816" s="4" t="s">
        <v>44</v>
      </c>
    </row>
    <row r="2817" spans="1:29" x14ac:dyDescent="0.25">
      <c r="A2817" s="1">
        <v>1059</v>
      </c>
      <c r="B2817" s="17" t="s">
        <v>12798</v>
      </c>
      <c r="C2817" s="2" t="s">
        <v>3483</v>
      </c>
      <c r="D2817" s="15" t="s">
        <v>3484</v>
      </c>
      <c r="E2817" s="9" t="s">
        <v>3485</v>
      </c>
      <c r="F2817" s="9" t="s">
        <v>7332</v>
      </c>
      <c r="G2817" s="9" t="s">
        <v>1236</v>
      </c>
      <c r="H2817" s="2" t="s">
        <v>35</v>
      </c>
      <c r="I2817" s="3">
        <v>36885</v>
      </c>
      <c r="J2817" s="9" t="str">
        <f t="shared" ca="1" si="45"/>
        <v>22 ans</v>
      </c>
      <c r="K2817" s="2" t="s">
        <v>68</v>
      </c>
      <c r="L2817" s="2" t="str">
        <f>"875"</f>
        <v>875</v>
      </c>
      <c r="M2817" s="2"/>
      <c r="N2817" s="2" t="str">
        <f>"RUE DES SIOUX"</f>
        <v>RUE DES SIOUX</v>
      </c>
      <c r="O2817" s="2" t="s">
        <v>12715</v>
      </c>
      <c r="P2817" s="9" t="str">
        <f>VLOOKUP($O2817,'Liste des Villes'!$B$2:$B$1128,1,FALSE)</f>
        <v>Saint-Calixte</v>
      </c>
      <c r="Q2817" s="9" t="str">
        <f>IFERROR($P2817,PROPER(VLOOKUP($O2817,'Villes en erreur'!$A$2:$B$72,2,FALSE)))</f>
        <v>Saint-Calixte</v>
      </c>
      <c r="R2817" s="9" t="s">
        <v>12716</v>
      </c>
      <c r="S2817" s="9" t="str">
        <f>IF(ISBLANK($R2817),"",VLOOKUP($R2817,'Liste des Villes'!$B$2:$H$1128,4,FALSE))</f>
        <v>Lanaudière</v>
      </c>
      <c r="T2817" s="2" t="s">
        <v>12774</v>
      </c>
      <c r="U2817" s="2" t="s">
        <v>39</v>
      </c>
      <c r="V2817" s="2" t="s">
        <v>40</v>
      </c>
      <c r="W2817" s="2" t="s">
        <v>12799</v>
      </c>
      <c r="X2817" s="2"/>
      <c r="Y2817" s="2"/>
      <c r="Z2817" s="2"/>
      <c r="AA2817" s="2" t="s">
        <v>606</v>
      </c>
      <c r="AB2817" s="2" t="s">
        <v>161</v>
      </c>
      <c r="AC2817" s="4" t="s">
        <v>44</v>
      </c>
    </row>
    <row r="2818" spans="1:29" x14ac:dyDescent="0.25">
      <c r="A2818" s="1">
        <v>2304</v>
      </c>
      <c r="B2818" s="17" t="s">
        <v>12800</v>
      </c>
      <c r="C2818" s="2" t="s">
        <v>12801</v>
      </c>
      <c r="D2818" s="15" t="s">
        <v>3113</v>
      </c>
      <c r="E2818" s="9" t="s">
        <v>1037</v>
      </c>
      <c r="F2818" s="9" t="s">
        <v>3112</v>
      </c>
      <c r="G2818" s="9" t="s">
        <v>165</v>
      </c>
      <c r="H2818" s="2" t="s">
        <v>60</v>
      </c>
      <c r="I2818" s="3">
        <v>36892</v>
      </c>
      <c r="J2818" s="9" t="str">
        <f t="shared" ref="J2818:J2881" ca="1" si="46">_xlfn.CONCAT(INT((TODAY()-$I2818)/365.25)," ans")</f>
        <v>22 ans</v>
      </c>
      <c r="K2818" s="2" t="s">
        <v>68</v>
      </c>
      <c r="L2818" s="2" t="str">
        <f>"883"</f>
        <v>883</v>
      </c>
      <c r="M2818" s="2"/>
      <c r="N2818" s="2" t="str">
        <f>"RUE DES SOUS-BOIS"</f>
        <v>RUE DES SOUS-BOIS</v>
      </c>
      <c r="O2818" s="2" t="s">
        <v>12715</v>
      </c>
      <c r="P2818" s="9" t="str">
        <f>VLOOKUP($O2818,'Liste des Villes'!$B$2:$B$1128,1,FALSE)</f>
        <v>Saint-Calixte</v>
      </c>
      <c r="Q2818" s="9" t="str">
        <f>IFERROR($P2818,PROPER(VLOOKUP($O2818,'Villes en erreur'!$A$2:$B$72,2,FALSE)))</f>
        <v>Saint-Calixte</v>
      </c>
      <c r="R2818" s="9" t="s">
        <v>12716</v>
      </c>
      <c r="S2818" s="9" t="str">
        <f>IF(ISBLANK($R2818),"",VLOOKUP($R2818,'Liste des Villes'!$B$2:$H$1128,4,FALSE))</f>
        <v>Lanaudière</v>
      </c>
      <c r="T2818" s="2" t="s">
        <v>12802</v>
      </c>
      <c r="U2818" s="2" t="s">
        <v>39</v>
      </c>
      <c r="V2818" s="2" t="s">
        <v>40</v>
      </c>
      <c r="W2818" s="2" t="s">
        <v>12803</v>
      </c>
      <c r="X2818" s="2"/>
      <c r="Y2818" s="2"/>
      <c r="Z2818" s="2"/>
      <c r="AA2818" s="2" t="s">
        <v>606</v>
      </c>
      <c r="AB2818" s="2" t="s">
        <v>161</v>
      </c>
      <c r="AC2818" s="4" t="s">
        <v>44</v>
      </c>
    </row>
    <row r="2819" spans="1:29" x14ac:dyDescent="0.25">
      <c r="A2819" s="1">
        <v>460</v>
      </c>
      <c r="B2819" s="17" t="s">
        <v>12804</v>
      </c>
      <c r="C2819" s="2" t="s">
        <v>12805</v>
      </c>
      <c r="D2819" s="15" t="s">
        <v>12806</v>
      </c>
      <c r="E2819" s="9" t="s">
        <v>610</v>
      </c>
      <c r="F2819" s="9" t="s">
        <v>12807</v>
      </c>
      <c r="G2819" s="9" t="s">
        <v>12808</v>
      </c>
      <c r="H2819" s="2" t="s">
        <v>35</v>
      </c>
      <c r="I2819" s="3">
        <v>36887</v>
      </c>
      <c r="J2819" s="9" t="str">
        <f t="shared" ca="1" si="46"/>
        <v>22 ans</v>
      </c>
      <c r="K2819" s="2" t="s">
        <v>68</v>
      </c>
      <c r="L2819" s="2" t="str">
        <f>"879"</f>
        <v>879</v>
      </c>
      <c r="M2819" s="2"/>
      <c r="N2819" s="2" t="str">
        <f>"RUE DES SOURCES"</f>
        <v>RUE DES SOURCES</v>
      </c>
      <c r="O2819" s="2" t="s">
        <v>12715</v>
      </c>
      <c r="P2819" s="9" t="str">
        <f>VLOOKUP($O2819,'Liste des Villes'!$B$2:$B$1128,1,FALSE)</f>
        <v>Saint-Calixte</v>
      </c>
      <c r="Q2819" s="9" t="str">
        <f>IFERROR($P2819,PROPER(VLOOKUP($O2819,'Villes en erreur'!$A$2:$B$72,2,FALSE)))</f>
        <v>Saint-Calixte</v>
      </c>
      <c r="R2819" s="9" t="s">
        <v>12716</v>
      </c>
      <c r="S2819" s="9" t="str">
        <f>IF(ISBLANK($R2819),"",VLOOKUP($R2819,'Liste des Villes'!$B$2:$H$1128,4,FALSE))</f>
        <v>Lanaudière</v>
      </c>
      <c r="T2819" s="2" t="s">
        <v>12738</v>
      </c>
      <c r="U2819" s="2" t="s">
        <v>39</v>
      </c>
      <c r="V2819" s="2" t="s">
        <v>40</v>
      </c>
      <c r="W2819" s="2" t="s">
        <v>12809</v>
      </c>
      <c r="X2819" s="2"/>
      <c r="Y2819" s="2"/>
      <c r="Z2819" s="2"/>
      <c r="AA2819" s="2" t="s">
        <v>606</v>
      </c>
      <c r="AB2819" s="2" t="s">
        <v>161</v>
      </c>
      <c r="AC2819" s="4" t="s">
        <v>44</v>
      </c>
    </row>
    <row r="2820" spans="1:29" x14ac:dyDescent="0.25">
      <c r="A2820" s="1">
        <v>2064</v>
      </c>
      <c r="B2820" s="17" t="s">
        <v>12810</v>
      </c>
      <c r="C2820" s="2" t="s">
        <v>3900</v>
      </c>
      <c r="D2820" s="15" t="s">
        <v>1489</v>
      </c>
      <c r="E2820" s="9" t="s">
        <v>3531</v>
      </c>
      <c r="F2820" s="9" t="s">
        <v>7788</v>
      </c>
      <c r="G2820" s="9" t="s">
        <v>602</v>
      </c>
      <c r="H2820" s="2" t="s">
        <v>35</v>
      </c>
      <c r="I2820" s="3">
        <v>36896</v>
      </c>
      <c r="J2820" s="9" t="str">
        <f t="shared" ca="1" si="46"/>
        <v>22 ans</v>
      </c>
      <c r="K2820" s="2" t="s">
        <v>68</v>
      </c>
      <c r="L2820" s="2" t="str">
        <f>"887"</f>
        <v>887</v>
      </c>
      <c r="M2820" s="2"/>
      <c r="N2820" s="2" t="str">
        <f>"RUE DES TANGARAS"</f>
        <v>RUE DES TANGARAS</v>
      </c>
      <c r="O2820" s="2" t="s">
        <v>12715</v>
      </c>
      <c r="P2820" s="9" t="str">
        <f>VLOOKUP($O2820,'Liste des Villes'!$B$2:$B$1128,1,FALSE)</f>
        <v>Saint-Calixte</v>
      </c>
      <c r="Q2820" s="9" t="str">
        <f>IFERROR($P2820,PROPER(VLOOKUP($O2820,'Villes en erreur'!$A$2:$B$72,2,FALSE)))</f>
        <v>Saint-Calixte</v>
      </c>
      <c r="R2820" s="9" t="s">
        <v>12716</v>
      </c>
      <c r="S2820" s="9" t="str">
        <f>IF(ISBLANK($R2820),"",VLOOKUP($R2820,'Liste des Villes'!$B$2:$H$1128,4,FALSE))</f>
        <v>Lanaudière</v>
      </c>
      <c r="T2820" s="2" t="s">
        <v>12766</v>
      </c>
      <c r="U2820" s="2" t="s">
        <v>39</v>
      </c>
      <c r="V2820" s="2" t="s">
        <v>40</v>
      </c>
      <c r="W2820" s="2" t="s">
        <v>12811</v>
      </c>
      <c r="X2820" s="2"/>
      <c r="Y2820" s="2"/>
      <c r="Z2820" s="2"/>
      <c r="AA2820" s="2" t="s">
        <v>606</v>
      </c>
      <c r="AB2820" s="2" t="s">
        <v>161</v>
      </c>
      <c r="AC2820" s="4" t="s">
        <v>44</v>
      </c>
    </row>
    <row r="2821" spans="1:29" x14ac:dyDescent="0.25">
      <c r="A2821" s="1">
        <v>3749</v>
      </c>
      <c r="B2821" s="17" t="s">
        <v>12812</v>
      </c>
      <c r="C2821" s="2" t="s">
        <v>2119</v>
      </c>
      <c r="D2821" s="15" t="s">
        <v>684</v>
      </c>
      <c r="E2821" s="9" t="s">
        <v>348</v>
      </c>
      <c r="F2821" s="9" t="s">
        <v>682</v>
      </c>
      <c r="G2821" s="9" t="s">
        <v>165</v>
      </c>
      <c r="H2821" s="2" t="s">
        <v>60</v>
      </c>
      <c r="I2821" s="3">
        <v>36892</v>
      </c>
      <c r="J2821" s="9" t="str">
        <f t="shared" ca="1" si="46"/>
        <v>22 ans</v>
      </c>
      <c r="K2821" s="2" t="s">
        <v>68</v>
      </c>
      <c r="L2821" s="2" t="str">
        <f>"884"</f>
        <v>884</v>
      </c>
      <c r="M2821" s="2"/>
      <c r="N2821" s="2" t="str">
        <f>"RUE DES SOUVERAINS"</f>
        <v>RUE DES SOUVERAINS</v>
      </c>
      <c r="O2821" s="2" t="s">
        <v>12715</v>
      </c>
      <c r="P2821" s="9" t="str">
        <f>VLOOKUP($O2821,'Liste des Villes'!$B$2:$B$1128,1,FALSE)</f>
        <v>Saint-Calixte</v>
      </c>
      <c r="Q2821" s="9" t="str">
        <f>IFERROR($P2821,PROPER(VLOOKUP($O2821,'Villes en erreur'!$A$2:$B$72,2,FALSE)))</f>
        <v>Saint-Calixte</v>
      </c>
      <c r="R2821" s="9" t="s">
        <v>12716</v>
      </c>
      <c r="S2821" s="9" t="str">
        <f>IF(ISBLANK($R2821),"",VLOOKUP($R2821,'Liste des Villes'!$B$2:$H$1128,4,FALSE))</f>
        <v>Lanaudière</v>
      </c>
      <c r="T2821" s="2" t="s">
        <v>12786</v>
      </c>
      <c r="U2821" s="2" t="s">
        <v>39</v>
      </c>
      <c r="V2821" s="2" t="s">
        <v>40</v>
      </c>
      <c r="W2821" s="2" t="s">
        <v>12813</v>
      </c>
      <c r="X2821" s="2"/>
      <c r="Y2821" s="2"/>
      <c r="Z2821" s="2"/>
      <c r="AA2821" s="2" t="s">
        <v>606</v>
      </c>
      <c r="AB2821" s="2" t="s">
        <v>161</v>
      </c>
      <c r="AC2821" s="4" t="s">
        <v>44</v>
      </c>
    </row>
    <row r="2822" spans="1:29" x14ac:dyDescent="0.25">
      <c r="A2822" s="1">
        <v>2171</v>
      </c>
      <c r="B2822" s="17" t="s">
        <v>12814</v>
      </c>
      <c r="C2822" s="2" t="s">
        <v>12815</v>
      </c>
      <c r="D2822" s="15" t="s">
        <v>12816</v>
      </c>
      <c r="E2822" s="9" t="s">
        <v>495</v>
      </c>
      <c r="F2822" s="9" t="s">
        <v>5021</v>
      </c>
      <c r="G2822" s="9" t="s">
        <v>602</v>
      </c>
      <c r="H2822" s="2" t="s">
        <v>35</v>
      </c>
      <c r="I2822" s="3">
        <v>36899</v>
      </c>
      <c r="J2822" s="9" t="str">
        <f t="shared" ca="1" si="46"/>
        <v>22 ans</v>
      </c>
      <c r="K2822" s="2" t="s">
        <v>68</v>
      </c>
      <c r="L2822" s="2" t="str">
        <f>"888"</f>
        <v>888</v>
      </c>
      <c r="M2822" s="2"/>
      <c r="N2822" s="2" t="str">
        <f>"RUE DES TOURELLES"</f>
        <v>RUE DES TOURELLES</v>
      </c>
      <c r="O2822" s="2" t="s">
        <v>12817</v>
      </c>
      <c r="P2822" s="9" t="str">
        <f>VLOOKUP($O2822,'Liste des Villes'!$B$2:$B$1128,1,FALSE)</f>
        <v>Saint-Boniface</v>
      </c>
      <c r="Q2822" s="9" t="str">
        <f>IFERROR($P2822,PROPER(VLOOKUP($O2822,'Villes en erreur'!$A$2:$B$72,2,FALSE)))</f>
        <v>Saint-Boniface</v>
      </c>
      <c r="R2822" s="9" t="s">
        <v>12818</v>
      </c>
      <c r="S2822" s="9" t="str">
        <f>IF(ISBLANK($R2822),"",VLOOKUP($R2822,'Liste des Villes'!$B$2:$H$1128,4,FALSE))</f>
        <v>Mauricie</v>
      </c>
      <c r="T2822" s="2" t="s">
        <v>12819</v>
      </c>
      <c r="U2822" s="2" t="s">
        <v>39</v>
      </c>
      <c r="V2822" s="2" t="s">
        <v>40</v>
      </c>
      <c r="W2822" s="2" t="s">
        <v>12820</v>
      </c>
      <c r="X2822" s="2"/>
      <c r="Y2822" s="2"/>
      <c r="Z2822" s="2"/>
      <c r="AA2822" s="2" t="s">
        <v>606</v>
      </c>
      <c r="AB2822" s="2" t="s">
        <v>161</v>
      </c>
      <c r="AC2822" s="4" t="s">
        <v>44</v>
      </c>
    </row>
    <row r="2823" spans="1:29" x14ac:dyDescent="0.25">
      <c r="A2823" s="1">
        <v>1859</v>
      </c>
      <c r="B2823" s="17" t="s">
        <v>12821</v>
      </c>
      <c r="C2823" s="2" t="s">
        <v>12822</v>
      </c>
      <c r="D2823" s="15" t="s">
        <v>1536</v>
      </c>
      <c r="E2823" s="9" t="s">
        <v>3114</v>
      </c>
      <c r="F2823" s="9" t="s">
        <v>7270</v>
      </c>
      <c r="G2823" s="9" t="s">
        <v>602</v>
      </c>
      <c r="H2823" s="2" t="s">
        <v>35</v>
      </c>
      <c r="I2823" s="3">
        <v>36899</v>
      </c>
      <c r="J2823" s="9" t="str">
        <f t="shared" ca="1" si="46"/>
        <v>22 ans</v>
      </c>
      <c r="K2823" s="2" t="s">
        <v>68</v>
      </c>
      <c r="L2823" s="2" t="str">
        <f>"893"</f>
        <v>893</v>
      </c>
      <c r="M2823" s="2"/>
      <c r="N2823" s="2" t="str">
        <f>"RUE DES TOURELLES"</f>
        <v>RUE DES TOURELLES</v>
      </c>
      <c r="O2823" s="2" t="s">
        <v>12823</v>
      </c>
      <c r="P2823" s="9" t="str">
        <f>VLOOKUP($O2823,'Liste des Villes'!$B$2:$B$1128,1,FALSE)</f>
        <v>Saint-Augustin-de-Desmaures</v>
      </c>
      <c r="Q2823" s="9" t="str">
        <f>IFERROR($P2823,PROPER(VLOOKUP($O2823,'Villes en erreur'!$A$2:$B$72,2,FALSE)))</f>
        <v>Saint-Augustin-de-Desmaures</v>
      </c>
      <c r="R2823" s="9" t="s">
        <v>12824</v>
      </c>
      <c r="S2823" s="9" t="str">
        <f>IF(ISBLANK($R2823),"",VLOOKUP($R2823,'Liste des Villes'!$B$2:$H$1128,4,FALSE))</f>
        <v>Capitale-Nationale</v>
      </c>
      <c r="T2823" s="2" t="s">
        <v>12819</v>
      </c>
      <c r="U2823" s="2" t="s">
        <v>39</v>
      </c>
      <c r="V2823" s="2" t="s">
        <v>40</v>
      </c>
      <c r="W2823" s="2" t="s">
        <v>12825</v>
      </c>
      <c r="X2823" s="2"/>
      <c r="Y2823" s="2"/>
      <c r="Z2823" s="2"/>
      <c r="AA2823" s="2" t="s">
        <v>606</v>
      </c>
      <c r="AB2823" s="2" t="s">
        <v>161</v>
      </c>
      <c r="AC2823" s="4" t="s">
        <v>44</v>
      </c>
    </row>
    <row r="2824" spans="1:29" x14ac:dyDescent="0.25">
      <c r="A2824" s="1">
        <v>1522</v>
      </c>
      <c r="B2824" s="17" t="s">
        <v>12826</v>
      </c>
      <c r="C2824" s="2" t="s">
        <v>795</v>
      </c>
      <c r="D2824" s="15" t="s">
        <v>304</v>
      </c>
      <c r="E2824" s="9" t="s">
        <v>796</v>
      </c>
      <c r="F2824" s="9" t="s">
        <v>11410</v>
      </c>
      <c r="G2824" s="9" t="s">
        <v>12827</v>
      </c>
      <c r="H2824" s="2" t="s">
        <v>60</v>
      </c>
      <c r="I2824" s="3">
        <v>36901</v>
      </c>
      <c r="J2824" s="9" t="str">
        <f t="shared" ca="1" si="46"/>
        <v>22 ans</v>
      </c>
      <c r="K2824" s="2" t="s">
        <v>68</v>
      </c>
      <c r="L2824" s="2" t="str">
        <f>"894"</f>
        <v>894</v>
      </c>
      <c r="M2824" s="2"/>
      <c r="N2824" s="2" t="str">
        <f>"RUE DES TOURNESOLS"</f>
        <v>RUE DES TOURNESOLS</v>
      </c>
      <c r="O2824" s="2" t="s">
        <v>12828</v>
      </c>
      <c r="P2824" s="9" t="str">
        <f>VLOOKUP($O2824,'Liste des Villes'!$B$2:$B$1128,1,FALSE)</f>
        <v>Saint-André-d'Argenteuil</v>
      </c>
      <c r="Q2824" s="9" t="str">
        <f>IFERROR($P2824,PROPER(VLOOKUP($O2824,'Villes en erreur'!$A$2:$B$72,2,FALSE)))</f>
        <v>Saint-André-d'Argenteuil</v>
      </c>
      <c r="R2824" s="9" t="s">
        <v>12829</v>
      </c>
      <c r="S2824" s="9" t="str">
        <f>IF(ISBLANK($R2824),"",VLOOKUP($R2824,'Liste des Villes'!$B$2:$H$1128,4,FALSE))</f>
        <v>Laurentides</v>
      </c>
      <c r="T2824" s="2" t="s">
        <v>12830</v>
      </c>
      <c r="U2824" s="2" t="s">
        <v>39</v>
      </c>
      <c r="V2824" s="2" t="s">
        <v>40</v>
      </c>
      <c r="W2824" s="2" t="s">
        <v>12831</v>
      </c>
      <c r="X2824" s="2"/>
      <c r="Y2824" s="2"/>
      <c r="Z2824" s="2"/>
      <c r="AA2824" s="2" t="s">
        <v>606</v>
      </c>
      <c r="AB2824" s="2" t="s">
        <v>161</v>
      </c>
      <c r="AC2824" s="4" t="s">
        <v>44</v>
      </c>
    </row>
    <row r="2825" spans="1:29" x14ac:dyDescent="0.25">
      <c r="A2825" s="1">
        <v>194</v>
      </c>
      <c r="B2825" s="17" t="s">
        <v>12832</v>
      </c>
      <c r="C2825" s="2" t="s">
        <v>8491</v>
      </c>
      <c r="D2825" s="15" t="s">
        <v>3350</v>
      </c>
      <c r="E2825" s="9" t="s">
        <v>2175</v>
      </c>
      <c r="F2825" s="9" t="s">
        <v>164</v>
      </c>
      <c r="G2825" s="9" t="s">
        <v>12833</v>
      </c>
      <c r="H2825" s="2" t="s">
        <v>60</v>
      </c>
      <c r="I2825" s="3">
        <v>36903</v>
      </c>
      <c r="J2825" s="9" t="str">
        <f t="shared" ca="1" si="46"/>
        <v>22 ans</v>
      </c>
      <c r="K2825" s="2" t="s">
        <v>68</v>
      </c>
      <c r="L2825" s="2" t="str">
        <f>"901"</f>
        <v>901</v>
      </c>
      <c r="M2825" s="2"/>
      <c r="N2825" s="2" t="str">
        <f>"rue Des Tourterelles"</f>
        <v>rue Des Tourterelles</v>
      </c>
      <c r="O2825" s="2" t="s">
        <v>12828</v>
      </c>
      <c r="P2825" s="9" t="str">
        <f>VLOOKUP($O2825,'Liste des Villes'!$B$2:$B$1128,1,FALSE)</f>
        <v>Saint-André-d'Argenteuil</v>
      </c>
      <c r="Q2825" s="9" t="str">
        <f>IFERROR($P2825,PROPER(VLOOKUP($O2825,'Villes en erreur'!$A$2:$B$72,2,FALSE)))</f>
        <v>Saint-André-d'Argenteuil</v>
      </c>
      <c r="R2825" s="9" t="s">
        <v>12829</v>
      </c>
      <c r="S2825" s="9" t="str">
        <f>IF(ISBLANK($R2825),"",VLOOKUP($R2825,'Liste des Villes'!$B$2:$H$1128,4,FALSE))</f>
        <v>Laurentides</v>
      </c>
      <c r="T2825" s="2" t="s">
        <v>12834</v>
      </c>
      <c r="U2825" s="2" t="s">
        <v>39</v>
      </c>
      <c r="V2825" s="2" t="s">
        <v>40</v>
      </c>
      <c r="W2825" s="2" t="s">
        <v>12835</v>
      </c>
      <c r="X2825" s="2"/>
      <c r="Y2825" s="2"/>
      <c r="Z2825" s="2"/>
      <c r="AA2825" s="2" t="s">
        <v>12836</v>
      </c>
      <c r="AB2825" s="2" t="s">
        <v>161</v>
      </c>
      <c r="AC2825" s="4" t="s">
        <v>44</v>
      </c>
    </row>
    <row r="2826" spans="1:29" x14ac:dyDescent="0.25">
      <c r="A2826" s="1">
        <v>4018</v>
      </c>
      <c r="B2826" s="17" t="s">
        <v>12837</v>
      </c>
      <c r="C2826" s="2" t="s">
        <v>12838</v>
      </c>
      <c r="D2826" s="15" t="s">
        <v>9182</v>
      </c>
      <c r="E2826" s="9" t="s">
        <v>3668</v>
      </c>
      <c r="F2826" s="9" t="s">
        <v>4835</v>
      </c>
      <c r="G2826" s="9" t="s">
        <v>12839</v>
      </c>
      <c r="H2826" s="2" t="s">
        <v>60</v>
      </c>
      <c r="I2826" s="3">
        <v>36902</v>
      </c>
      <c r="J2826" s="9" t="str">
        <f t="shared" ca="1" si="46"/>
        <v>22 ans</v>
      </c>
      <c r="K2826" s="2" t="s">
        <v>68</v>
      </c>
      <c r="L2826" s="2" t="str">
        <f>"900"</f>
        <v>900</v>
      </c>
      <c r="M2826" s="2"/>
      <c r="N2826" s="2" t="str">
        <f>"RUE DES TOURTERELLES"</f>
        <v>RUE DES TOURTERELLES</v>
      </c>
      <c r="O2826" s="2" t="s">
        <v>12828</v>
      </c>
      <c r="P2826" s="9" t="str">
        <f>VLOOKUP($O2826,'Liste des Villes'!$B$2:$B$1128,1,FALSE)</f>
        <v>Saint-André-d'Argenteuil</v>
      </c>
      <c r="Q2826" s="9" t="str">
        <f>IFERROR($P2826,PROPER(VLOOKUP($O2826,'Villes en erreur'!$A$2:$B$72,2,FALSE)))</f>
        <v>Saint-André-d'Argenteuil</v>
      </c>
      <c r="R2826" s="9" t="s">
        <v>12829</v>
      </c>
      <c r="S2826" s="9" t="str">
        <f>IF(ISBLANK($R2826),"",VLOOKUP($R2826,'Liste des Villes'!$B$2:$H$1128,4,FALSE))</f>
        <v>Laurentides</v>
      </c>
      <c r="T2826" s="2" t="s">
        <v>12840</v>
      </c>
      <c r="U2826" s="2" t="s">
        <v>39</v>
      </c>
      <c r="V2826" s="2" t="s">
        <v>40</v>
      </c>
      <c r="W2826" s="2" t="s">
        <v>12841</v>
      </c>
      <c r="X2826" s="2"/>
      <c r="Y2826" s="2"/>
      <c r="Z2826" s="2"/>
      <c r="AA2826" s="2" t="s">
        <v>606</v>
      </c>
      <c r="AB2826" s="2" t="s">
        <v>161</v>
      </c>
      <c r="AC2826" s="4" t="s">
        <v>44</v>
      </c>
    </row>
    <row r="2827" spans="1:29" x14ac:dyDescent="0.25">
      <c r="A2827" s="1">
        <v>2724</v>
      </c>
      <c r="B2827" s="17" t="s">
        <v>12842</v>
      </c>
      <c r="C2827" s="2" t="s">
        <v>12843</v>
      </c>
      <c r="D2827" s="15" t="s">
        <v>7457</v>
      </c>
      <c r="E2827" s="9" t="s">
        <v>92</v>
      </c>
      <c r="F2827" s="9" t="s">
        <v>7456</v>
      </c>
      <c r="G2827" s="9" t="s">
        <v>6686</v>
      </c>
      <c r="H2827" s="2" t="s">
        <v>60</v>
      </c>
      <c r="I2827" s="3">
        <v>36902</v>
      </c>
      <c r="J2827" s="9" t="str">
        <f t="shared" ca="1" si="46"/>
        <v>22 ans</v>
      </c>
      <c r="K2827" s="2" t="s">
        <v>68</v>
      </c>
      <c r="L2827" s="2" t="str">
        <f>"898"</f>
        <v>898</v>
      </c>
      <c r="M2827" s="2"/>
      <c r="N2827" s="2" t="str">
        <f>"RUE DES TOURNOIS"</f>
        <v>RUE DES TOURNOIS</v>
      </c>
      <c r="O2827" s="2" t="s">
        <v>12828</v>
      </c>
      <c r="P2827" s="9" t="str">
        <f>VLOOKUP($O2827,'Liste des Villes'!$B$2:$B$1128,1,FALSE)</f>
        <v>Saint-André-d'Argenteuil</v>
      </c>
      <c r="Q2827" s="9" t="str">
        <f>IFERROR($P2827,PROPER(VLOOKUP($O2827,'Villes en erreur'!$A$2:$B$72,2,FALSE)))</f>
        <v>Saint-André-d'Argenteuil</v>
      </c>
      <c r="R2827" s="9" t="s">
        <v>12829</v>
      </c>
      <c r="S2827" s="9" t="str">
        <f>IF(ISBLANK($R2827),"",VLOOKUP($R2827,'Liste des Villes'!$B$2:$H$1128,4,FALSE))</f>
        <v>Laurentides</v>
      </c>
      <c r="T2827" s="2" t="s">
        <v>12840</v>
      </c>
      <c r="U2827" s="2" t="s">
        <v>39</v>
      </c>
      <c r="V2827" s="2" t="s">
        <v>40</v>
      </c>
      <c r="W2827" s="2" t="s">
        <v>12844</v>
      </c>
      <c r="X2827" s="2"/>
      <c r="Y2827" s="2"/>
      <c r="Z2827" s="2"/>
      <c r="AA2827" s="2" t="s">
        <v>606</v>
      </c>
      <c r="AB2827" s="2" t="s">
        <v>161</v>
      </c>
      <c r="AC2827" s="4" t="s">
        <v>44</v>
      </c>
    </row>
    <row r="2828" spans="1:29" x14ac:dyDescent="0.25">
      <c r="A2828" s="1">
        <v>1244</v>
      </c>
      <c r="B2828" s="17" t="s">
        <v>12845</v>
      </c>
      <c r="C2828" s="2" t="s">
        <v>12846</v>
      </c>
      <c r="D2828" s="15" t="s">
        <v>333</v>
      </c>
      <c r="E2828" s="9" t="s">
        <v>3849</v>
      </c>
      <c r="F2828" s="9" t="s">
        <v>331</v>
      </c>
      <c r="G2828" s="9" t="s">
        <v>12847</v>
      </c>
      <c r="H2828" s="2" t="s">
        <v>35</v>
      </c>
      <c r="I2828" s="3">
        <v>36902</v>
      </c>
      <c r="J2828" s="9" t="str">
        <f t="shared" ca="1" si="46"/>
        <v>22 ans</v>
      </c>
      <c r="K2828" s="2" t="s">
        <v>68</v>
      </c>
      <c r="L2828" s="2" t="str">
        <f>"900"</f>
        <v>900</v>
      </c>
      <c r="M2828" s="2"/>
      <c r="N2828" s="2" t="str">
        <f>"RUE DES TOURTERELLES"</f>
        <v>RUE DES TOURTERELLES</v>
      </c>
      <c r="O2828" s="2" t="s">
        <v>12828</v>
      </c>
      <c r="P2828" s="9" t="str">
        <f>VLOOKUP($O2828,'Liste des Villes'!$B$2:$B$1128,1,FALSE)</f>
        <v>Saint-André-d'Argenteuil</v>
      </c>
      <c r="Q2828" s="9" t="str">
        <f>IFERROR($P2828,PROPER(VLOOKUP($O2828,'Villes en erreur'!$A$2:$B$72,2,FALSE)))</f>
        <v>Saint-André-d'Argenteuil</v>
      </c>
      <c r="R2828" s="9" t="s">
        <v>12829</v>
      </c>
      <c r="S2828" s="9" t="str">
        <f>IF(ISBLANK($R2828),"",VLOOKUP($R2828,'Liste des Villes'!$B$2:$H$1128,4,FALSE))</f>
        <v>Laurentides</v>
      </c>
      <c r="T2828" s="2" t="s">
        <v>12848</v>
      </c>
      <c r="U2828" s="2" t="s">
        <v>39</v>
      </c>
      <c r="V2828" s="2" t="s">
        <v>40</v>
      </c>
      <c r="W2828" s="2" t="s">
        <v>12849</v>
      </c>
      <c r="X2828" s="2"/>
      <c r="Y2828" s="2"/>
      <c r="Z2828" s="2"/>
      <c r="AA2828" s="2" t="s">
        <v>606</v>
      </c>
      <c r="AB2828" s="2" t="s">
        <v>161</v>
      </c>
      <c r="AC2828" s="4" t="s">
        <v>44</v>
      </c>
    </row>
    <row r="2829" spans="1:29" x14ac:dyDescent="0.25">
      <c r="A2829" s="1">
        <v>76</v>
      </c>
      <c r="B2829" s="17" t="s">
        <v>12850</v>
      </c>
      <c r="C2829" s="2" t="s">
        <v>12851</v>
      </c>
      <c r="D2829" s="15" t="s">
        <v>867</v>
      </c>
      <c r="E2829" s="9" t="s">
        <v>12852</v>
      </c>
      <c r="F2829" s="9" t="s">
        <v>6926</v>
      </c>
      <c r="G2829" s="9" t="s">
        <v>154</v>
      </c>
      <c r="H2829" s="2" t="s">
        <v>35</v>
      </c>
      <c r="I2829" s="3">
        <v>36904</v>
      </c>
      <c r="J2829" s="9" t="str">
        <f t="shared" ca="1" si="46"/>
        <v>22 ans</v>
      </c>
      <c r="K2829" s="2" t="s">
        <v>68</v>
      </c>
      <c r="L2829" s="2" t="str">
        <f>"905"</f>
        <v>905</v>
      </c>
      <c r="M2829" s="2"/>
      <c r="N2829" s="2" t="str">
        <f>"RUE DES TOURTERELLES"</f>
        <v>RUE DES TOURTERELLES</v>
      </c>
      <c r="O2829" s="2" t="s">
        <v>12828</v>
      </c>
      <c r="P2829" s="9" t="str">
        <f>VLOOKUP($O2829,'Liste des Villes'!$B$2:$B$1128,1,FALSE)</f>
        <v>Saint-André-d'Argenteuil</v>
      </c>
      <c r="Q2829" s="9" t="str">
        <f>IFERROR($P2829,PROPER(VLOOKUP($O2829,'Villes en erreur'!$A$2:$B$72,2,FALSE)))</f>
        <v>Saint-André-d'Argenteuil</v>
      </c>
      <c r="R2829" s="9" t="s">
        <v>12829</v>
      </c>
      <c r="S2829" s="9" t="str">
        <f>IF(ISBLANK($R2829),"",VLOOKUP($R2829,'Liste des Villes'!$B$2:$H$1128,4,FALSE))</f>
        <v>Laurentides</v>
      </c>
      <c r="T2829" s="2" t="s">
        <v>12853</v>
      </c>
      <c r="U2829" s="2" t="s">
        <v>39</v>
      </c>
      <c r="V2829" s="2" t="s">
        <v>40</v>
      </c>
      <c r="W2829" s="2" t="s">
        <v>12854</v>
      </c>
      <c r="X2829" s="2"/>
      <c r="Y2829" s="2"/>
      <c r="Z2829" s="2"/>
      <c r="AA2829" s="2" t="s">
        <v>12836</v>
      </c>
      <c r="AB2829" s="2" t="s">
        <v>161</v>
      </c>
      <c r="AC2829" s="4" t="s">
        <v>44</v>
      </c>
    </row>
    <row r="2830" spans="1:29" x14ac:dyDescent="0.25">
      <c r="A2830" s="1">
        <v>2373</v>
      </c>
      <c r="B2830" s="17" t="s">
        <v>12855</v>
      </c>
      <c r="C2830" s="2" t="s">
        <v>12856</v>
      </c>
      <c r="D2830" s="15" t="s">
        <v>12857</v>
      </c>
      <c r="E2830" s="9" t="s">
        <v>796</v>
      </c>
      <c r="F2830" s="9" t="s">
        <v>12858</v>
      </c>
      <c r="G2830" s="9" t="s">
        <v>154</v>
      </c>
      <c r="H2830" s="2" t="s">
        <v>35</v>
      </c>
      <c r="I2830" s="3">
        <v>36907</v>
      </c>
      <c r="J2830" s="9" t="str">
        <f t="shared" ca="1" si="46"/>
        <v>22 ans</v>
      </c>
      <c r="K2830" s="2" t="s">
        <v>68</v>
      </c>
      <c r="L2830" s="2" t="str">
        <f>"906"</f>
        <v>906</v>
      </c>
      <c r="M2830" s="2"/>
      <c r="N2830" s="2" t="str">
        <f>"RUE DES TREMBLES"</f>
        <v>RUE DES TREMBLES</v>
      </c>
      <c r="O2830" s="2" t="s">
        <v>12828</v>
      </c>
      <c r="P2830" s="9" t="str">
        <f>VLOOKUP($O2830,'Liste des Villes'!$B$2:$B$1128,1,FALSE)</f>
        <v>Saint-André-d'Argenteuil</v>
      </c>
      <c r="Q2830" s="9" t="str">
        <f>IFERROR($P2830,PROPER(VLOOKUP($O2830,'Villes en erreur'!$A$2:$B$72,2,FALSE)))</f>
        <v>Saint-André-d'Argenteuil</v>
      </c>
      <c r="R2830" s="9" t="s">
        <v>12829</v>
      </c>
      <c r="S2830" s="9" t="str">
        <f>IF(ISBLANK($R2830),"",VLOOKUP($R2830,'Liste des Villes'!$B$2:$H$1128,4,FALSE))</f>
        <v>Laurentides</v>
      </c>
      <c r="T2830" s="2" t="s">
        <v>12859</v>
      </c>
      <c r="U2830" s="2" t="s">
        <v>39</v>
      </c>
      <c r="V2830" s="2" t="s">
        <v>40</v>
      </c>
      <c r="W2830" s="2" t="s">
        <v>12860</v>
      </c>
      <c r="X2830" s="2"/>
      <c r="Y2830" s="2"/>
      <c r="Z2830" s="2"/>
      <c r="AA2830" s="2" t="s">
        <v>12836</v>
      </c>
      <c r="AB2830" s="2" t="s">
        <v>161</v>
      </c>
      <c r="AC2830" s="4" t="s">
        <v>44</v>
      </c>
    </row>
    <row r="2831" spans="1:29" x14ac:dyDescent="0.25">
      <c r="A2831" s="1">
        <v>1922</v>
      </c>
      <c r="B2831" s="17" t="s">
        <v>12861</v>
      </c>
      <c r="C2831" s="2" t="s">
        <v>12862</v>
      </c>
      <c r="D2831" s="15" t="s">
        <v>2675</v>
      </c>
      <c r="E2831" s="9" t="s">
        <v>12863</v>
      </c>
      <c r="F2831" s="9" t="s">
        <v>11758</v>
      </c>
      <c r="G2831" s="9" t="s">
        <v>12864</v>
      </c>
      <c r="H2831" s="2" t="s">
        <v>60</v>
      </c>
      <c r="I2831" s="3">
        <v>36901</v>
      </c>
      <c r="J2831" s="9" t="str">
        <f t="shared" ca="1" si="46"/>
        <v>22 ans</v>
      </c>
      <c r="K2831" s="2" t="s">
        <v>68</v>
      </c>
      <c r="L2831" s="2" t="str">
        <f>"896"</f>
        <v>896</v>
      </c>
      <c r="M2831" s="2"/>
      <c r="N2831" s="2" t="str">
        <f>"RUE DES TOURNOIS"</f>
        <v>RUE DES TOURNOIS</v>
      </c>
      <c r="O2831" s="2" t="s">
        <v>12828</v>
      </c>
      <c r="P2831" s="9" t="str">
        <f>VLOOKUP($O2831,'Liste des Villes'!$B$2:$B$1128,1,FALSE)</f>
        <v>Saint-André-d'Argenteuil</v>
      </c>
      <c r="Q2831" s="9" t="str">
        <f>IFERROR($P2831,PROPER(VLOOKUP($O2831,'Villes en erreur'!$A$2:$B$72,2,FALSE)))</f>
        <v>Saint-André-d'Argenteuil</v>
      </c>
      <c r="R2831" s="9" t="s">
        <v>12829</v>
      </c>
      <c r="S2831" s="9" t="str">
        <f>IF(ISBLANK($R2831),"",VLOOKUP($R2831,'Liste des Villes'!$B$2:$H$1128,4,FALSE))</f>
        <v>Laurentides</v>
      </c>
      <c r="T2831" s="2" t="s">
        <v>12830</v>
      </c>
      <c r="U2831" s="2" t="s">
        <v>39</v>
      </c>
      <c r="V2831" s="2" t="s">
        <v>40</v>
      </c>
      <c r="W2831" s="2" t="s">
        <v>12865</v>
      </c>
      <c r="X2831" s="2"/>
      <c r="Y2831" s="2"/>
      <c r="Z2831" s="2"/>
      <c r="AA2831" s="2" t="s">
        <v>606</v>
      </c>
      <c r="AB2831" s="2" t="s">
        <v>161</v>
      </c>
      <c r="AC2831" s="4" t="s">
        <v>44</v>
      </c>
    </row>
    <row r="2832" spans="1:29" x14ac:dyDescent="0.25">
      <c r="A2832" s="1">
        <v>2221</v>
      </c>
      <c r="B2832" s="17" t="s">
        <v>12866</v>
      </c>
      <c r="C2832" s="2" t="s">
        <v>12867</v>
      </c>
      <c r="D2832" s="15" t="s">
        <v>76</v>
      </c>
      <c r="E2832" s="9" t="s">
        <v>9217</v>
      </c>
      <c r="F2832" s="9" t="s">
        <v>2718</v>
      </c>
      <c r="G2832" s="9" t="s">
        <v>9718</v>
      </c>
      <c r="H2832" s="2" t="s">
        <v>35</v>
      </c>
      <c r="I2832" s="3">
        <v>36903</v>
      </c>
      <c r="J2832" s="9" t="str">
        <f t="shared" ca="1" si="46"/>
        <v>22 ans</v>
      </c>
      <c r="K2832" s="2" t="s">
        <v>68</v>
      </c>
      <c r="L2832" s="2" t="str">
        <f>"903"</f>
        <v>903</v>
      </c>
      <c r="M2832" s="2"/>
      <c r="N2832" s="2" t="str">
        <f>"RUE DES TOURTERELLES"</f>
        <v>RUE DES TOURTERELLES</v>
      </c>
      <c r="O2832" s="2" t="s">
        <v>12828</v>
      </c>
      <c r="P2832" s="9" t="str">
        <f>VLOOKUP($O2832,'Liste des Villes'!$B$2:$B$1128,1,FALSE)</f>
        <v>Saint-André-d'Argenteuil</v>
      </c>
      <c r="Q2832" s="9" t="str">
        <f>IFERROR($P2832,PROPER(VLOOKUP($O2832,'Villes en erreur'!$A$2:$B$72,2,FALSE)))</f>
        <v>Saint-André-d'Argenteuil</v>
      </c>
      <c r="R2832" s="9" t="s">
        <v>12829</v>
      </c>
      <c r="S2832" s="9" t="str">
        <f>IF(ISBLANK($R2832),"",VLOOKUP($R2832,'Liste des Villes'!$B$2:$H$1128,4,FALSE))</f>
        <v>Laurentides</v>
      </c>
      <c r="T2832" s="2" t="s">
        <v>12834</v>
      </c>
      <c r="U2832" s="2" t="s">
        <v>39</v>
      </c>
      <c r="V2832" s="2" t="s">
        <v>40</v>
      </c>
      <c r="W2832" s="2" t="s">
        <v>12868</v>
      </c>
      <c r="X2832" s="2"/>
      <c r="Y2832" s="2"/>
      <c r="Z2832" s="2"/>
      <c r="AA2832" s="2" t="s">
        <v>12836</v>
      </c>
      <c r="AB2832" s="2" t="s">
        <v>161</v>
      </c>
      <c r="AC2832" s="4" t="s">
        <v>44</v>
      </c>
    </row>
    <row r="2833" spans="1:29" x14ac:dyDescent="0.25">
      <c r="A2833" s="1">
        <v>2624</v>
      </c>
      <c r="B2833" s="17" t="s">
        <v>12869</v>
      </c>
      <c r="C2833" s="2" t="s">
        <v>12870</v>
      </c>
      <c r="D2833" s="15" t="s">
        <v>6794</v>
      </c>
      <c r="E2833" s="9" t="s">
        <v>8888</v>
      </c>
      <c r="F2833" s="9" t="s">
        <v>56</v>
      </c>
      <c r="G2833" s="9" t="s">
        <v>12583</v>
      </c>
      <c r="H2833" s="2" t="s">
        <v>60</v>
      </c>
      <c r="I2833" s="3">
        <v>36900</v>
      </c>
      <c r="J2833" s="9" t="str">
        <f t="shared" ca="1" si="46"/>
        <v>22 ans</v>
      </c>
      <c r="K2833" s="2" t="s">
        <v>68</v>
      </c>
      <c r="L2833" s="2" t="str">
        <f>"893"</f>
        <v>893</v>
      </c>
      <c r="M2833" s="2"/>
      <c r="N2833" s="2" t="str">
        <f>"RUE DES TOURNESOLS"</f>
        <v>RUE DES TOURNESOLS</v>
      </c>
      <c r="O2833" s="2" t="s">
        <v>12828</v>
      </c>
      <c r="P2833" s="9" t="str">
        <f>VLOOKUP($O2833,'Liste des Villes'!$B$2:$B$1128,1,FALSE)</f>
        <v>Saint-André-d'Argenteuil</v>
      </c>
      <c r="Q2833" s="9" t="str">
        <f>IFERROR($P2833,PROPER(VLOOKUP($O2833,'Villes en erreur'!$A$2:$B$72,2,FALSE)))</f>
        <v>Saint-André-d'Argenteuil</v>
      </c>
      <c r="R2833" s="9" t="s">
        <v>12829</v>
      </c>
      <c r="S2833" s="9" t="str">
        <f>IF(ISBLANK($R2833),"",VLOOKUP($R2833,'Liste des Villes'!$B$2:$H$1128,4,FALSE))</f>
        <v>Laurentides</v>
      </c>
      <c r="T2833" s="2" t="s">
        <v>12871</v>
      </c>
      <c r="U2833" s="2" t="s">
        <v>39</v>
      </c>
      <c r="V2833" s="2" t="s">
        <v>40</v>
      </c>
      <c r="W2833" s="2" t="s">
        <v>12872</v>
      </c>
      <c r="X2833" s="2"/>
      <c r="Y2833" s="2"/>
      <c r="Z2833" s="2"/>
      <c r="AA2833" s="2" t="s">
        <v>606</v>
      </c>
      <c r="AB2833" s="2" t="s">
        <v>161</v>
      </c>
      <c r="AC2833" s="4" t="s">
        <v>44</v>
      </c>
    </row>
    <row r="2834" spans="1:29" x14ac:dyDescent="0.25">
      <c r="A2834" s="1">
        <v>938</v>
      </c>
      <c r="B2834" s="17" t="s">
        <v>12873</v>
      </c>
      <c r="C2834" s="2" t="s">
        <v>177</v>
      </c>
      <c r="D2834" s="15" t="s">
        <v>178</v>
      </c>
      <c r="E2834" s="9" t="s">
        <v>179</v>
      </c>
      <c r="F2834" s="9" t="s">
        <v>180</v>
      </c>
      <c r="G2834" s="9" t="s">
        <v>10007</v>
      </c>
      <c r="H2834" s="2" t="s">
        <v>60</v>
      </c>
      <c r="I2834" s="3">
        <v>36903</v>
      </c>
      <c r="J2834" s="9" t="str">
        <f t="shared" ca="1" si="46"/>
        <v>22 ans</v>
      </c>
      <c r="K2834" s="2" t="s">
        <v>68</v>
      </c>
      <c r="L2834" s="2" t="str">
        <f>"900"</f>
        <v>900</v>
      </c>
      <c r="M2834" s="2"/>
      <c r="N2834" s="2" t="str">
        <f>"RUE DES TOURTERELLES"</f>
        <v>RUE DES TOURTERELLES</v>
      </c>
      <c r="O2834" s="2" t="s">
        <v>12828</v>
      </c>
      <c r="P2834" s="9" t="str">
        <f>VLOOKUP($O2834,'Liste des Villes'!$B$2:$B$1128,1,FALSE)</f>
        <v>Saint-André-d'Argenteuil</v>
      </c>
      <c r="Q2834" s="9" t="str">
        <f>IFERROR($P2834,PROPER(VLOOKUP($O2834,'Villes en erreur'!$A$2:$B$72,2,FALSE)))</f>
        <v>Saint-André-d'Argenteuil</v>
      </c>
      <c r="R2834" s="9" t="s">
        <v>12829</v>
      </c>
      <c r="S2834" s="9" t="str">
        <f>IF(ISBLANK($R2834),"",VLOOKUP($R2834,'Liste des Villes'!$B$2:$H$1128,4,FALSE))</f>
        <v>Laurentides</v>
      </c>
      <c r="T2834" s="2" t="s">
        <v>12834</v>
      </c>
      <c r="U2834" s="2" t="s">
        <v>39</v>
      </c>
      <c r="V2834" s="2" t="s">
        <v>40</v>
      </c>
      <c r="W2834" s="2" t="s">
        <v>12874</v>
      </c>
      <c r="X2834" s="2"/>
      <c r="Y2834" s="2"/>
      <c r="Z2834" s="2"/>
      <c r="AA2834" s="2" t="s">
        <v>12836</v>
      </c>
      <c r="AB2834" s="2" t="s">
        <v>161</v>
      </c>
      <c r="AC2834" s="4" t="s">
        <v>44</v>
      </c>
    </row>
    <row r="2835" spans="1:29" x14ac:dyDescent="0.25">
      <c r="A2835" s="1">
        <v>746</v>
      </c>
      <c r="B2835" s="17" t="s">
        <v>12875</v>
      </c>
      <c r="C2835" s="2" t="s">
        <v>12876</v>
      </c>
      <c r="D2835" s="15" t="s">
        <v>5616</v>
      </c>
      <c r="E2835" s="9" t="s">
        <v>4073</v>
      </c>
      <c r="F2835" s="9" t="s">
        <v>1324</v>
      </c>
      <c r="G2835" s="9" t="s">
        <v>154</v>
      </c>
      <c r="H2835" s="2" t="s">
        <v>35</v>
      </c>
      <c r="I2835" s="3">
        <v>36907</v>
      </c>
      <c r="J2835" s="9" t="str">
        <f t="shared" ca="1" si="46"/>
        <v>22 ans</v>
      </c>
      <c r="K2835" s="2" t="s">
        <v>68</v>
      </c>
      <c r="L2835" s="2" t="str">
        <f>"905"</f>
        <v>905</v>
      </c>
      <c r="M2835" s="2"/>
      <c r="N2835" s="2" t="str">
        <f>"RUE DES TOURTERELLES"</f>
        <v>RUE DES TOURTERELLES</v>
      </c>
      <c r="O2835" s="2" t="s">
        <v>12828</v>
      </c>
      <c r="P2835" s="9" t="str">
        <f>VLOOKUP($O2835,'Liste des Villes'!$B$2:$B$1128,1,FALSE)</f>
        <v>Saint-André-d'Argenteuil</v>
      </c>
      <c r="Q2835" s="9" t="str">
        <f>IFERROR($P2835,PROPER(VLOOKUP($O2835,'Villes en erreur'!$A$2:$B$72,2,FALSE)))</f>
        <v>Saint-André-d'Argenteuil</v>
      </c>
      <c r="R2835" s="9" t="s">
        <v>12829</v>
      </c>
      <c r="S2835" s="9" t="str">
        <f>IF(ISBLANK($R2835),"",VLOOKUP($R2835,'Liste des Villes'!$B$2:$H$1128,4,FALSE))</f>
        <v>Laurentides</v>
      </c>
      <c r="T2835" s="2" t="s">
        <v>12877</v>
      </c>
      <c r="U2835" s="2" t="s">
        <v>39</v>
      </c>
      <c r="V2835" s="2" t="s">
        <v>40</v>
      </c>
      <c r="W2835" s="2" t="s">
        <v>12878</v>
      </c>
      <c r="X2835" s="2"/>
      <c r="Y2835" s="2"/>
      <c r="Z2835" s="2"/>
      <c r="AA2835" s="2" t="s">
        <v>12836</v>
      </c>
      <c r="AB2835" s="2" t="s">
        <v>161</v>
      </c>
      <c r="AC2835" s="4" t="s">
        <v>44</v>
      </c>
    </row>
    <row r="2836" spans="1:29" x14ac:dyDescent="0.25">
      <c r="A2836" s="1">
        <v>3681</v>
      </c>
      <c r="B2836" s="17" t="s">
        <v>12879</v>
      </c>
      <c r="C2836" s="2" t="s">
        <v>3102</v>
      </c>
      <c r="D2836" s="15" t="s">
        <v>657</v>
      </c>
      <c r="E2836" s="9" t="s">
        <v>452</v>
      </c>
      <c r="F2836" s="9" t="s">
        <v>10468</v>
      </c>
      <c r="G2836" s="9" t="s">
        <v>154</v>
      </c>
      <c r="H2836" s="2" t="s">
        <v>35</v>
      </c>
      <c r="I2836" s="3">
        <v>36908</v>
      </c>
      <c r="J2836" s="9" t="str">
        <f t="shared" ca="1" si="46"/>
        <v>22 ans</v>
      </c>
      <c r="K2836" s="2" t="s">
        <v>68</v>
      </c>
      <c r="L2836" s="2" t="str">
        <f>"907"</f>
        <v>907</v>
      </c>
      <c r="M2836" s="2"/>
      <c r="N2836" s="2" t="str">
        <f>"RUE DES TREMBLES"</f>
        <v>RUE DES TREMBLES</v>
      </c>
      <c r="O2836" s="2" t="s">
        <v>12880</v>
      </c>
      <c r="P2836" s="9" t="str">
        <f>VLOOKUP($O2836,'Liste des Villes'!$B$2:$B$1128,1,FALSE)</f>
        <v>Saint-André-Avellin</v>
      </c>
      <c r="Q2836" s="9" t="str">
        <f>IFERROR($P2836,PROPER(VLOOKUP($O2836,'Villes en erreur'!$A$2:$B$72,2,FALSE)))</f>
        <v>Saint-André-Avellin</v>
      </c>
      <c r="R2836" s="9" t="s">
        <v>12881</v>
      </c>
      <c r="S2836" s="9" t="str">
        <f>IF(ISBLANK($R2836),"",VLOOKUP($R2836,'Liste des Villes'!$B$2:$H$1128,4,FALSE))</f>
        <v>Outaouais</v>
      </c>
      <c r="T2836" s="2" t="s">
        <v>12882</v>
      </c>
      <c r="U2836" s="2" t="s">
        <v>39</v>
      </c>
      <c r="V2836" s="2" t="s">
        <v>40</v>
      </c>
      <c r="W2836" s="2" t="s">
        <v>12883</v>
      </c>
      <c r="X2836" s="2"/>
      <c r="Y2836" s="2"/>
      <c r="Z2836" s="2"/>
      <c r="AA2836" s="2" t="s">
        <v>299</v>
      </c>
      <c r="AB2836" s="2" t="s">
        <v>161</v>
      </c>
      <c r="AC2836" s="4" t="s">
        <v>44</v>
      </c>
    </row>
    <row r="2837" spans="1:29" x14ac:dyDescent="0.25">
      <c r="A2837" s="1">
        <v>4117</v>
      </c>
      <c r="B2837" s="17" t="s">
        <v>12884</v>
      </c>
      <c r="C2837" s="2" t="s">
        <v>2542</v>
      </c>
      <c r="D2837" s="15" t="s">
        <v>34</v>
      </c>
      <c r="E2837" s="9" t="s">
        <v>341</v>
      </c>
      <c r="F2837" s="9" t="s">
        <v>782</v>
      </c>
      <c r="G2837" s="9" t="s">
        <v>154</v>
      </c>
      <c r="H2837" s="2" t="s">
        <v>35</v>
      </c>
      <c r="I2837" s="3">
        <v>36907</v>
      </c>
      <c r="J2837" s="9" t="str">
        <f t="shared" ca="1" si="46"/>
        <v>22 ans</v>
      </c>
      <c r="K2837" s="2" t="s">
        <v>68</v>
      </c>
      <c r="L2837" s="2" t="str">
        <f>"906"</f>
        <v>906</v>
      </c>
      <c r="M2837" s="2"/>
      <c r="N2837" s="2" t="str">
        <f>"RUE DES TREMBLES"</f>
        <v>RUE DES TREMBLES</v>
      </c>
      <c r="O2837" s="2" t="s">
        <v>12880</v>
      </c>
      <c r="P2837" s="9" t="str">
        <f>VLOOKUP($O2837,'Liste des Villes'!$B$2:$B$1128,1,FALSE)</f>
        <v>Saint-André-Avellin</v>
      </c>
      <c r="Q2837" s="9" t="str">
        <f>IFERROR($P2837,PROPER(VLOOKUP($O2837,'Villes en erreur'!$A$2:$B$72,2,FALSE)))</f>
        <v>Saint-André-Avellin</v>
      </c>
      <c r="R2837" s="9" t="s">
        <v>12881</v>
      </c>
      <c r="S2837" s="9" t="str">
        <f>IF(ISBLANK($R2837),"",VLOOKUP($R2837,'Liste des Villes'!$B$2:$H$1128,4,FALSE))</f>
        <v>Outaouais</v>
      </c>
      <c r="T2837" s="2" t="s">
        <v>12885</v>
      </c>
      <c r="U2837" s="2" t="s">
        <v>39</v>
      </c>
      <c r="V2837" s="2" t="s">
        <v>40</v>
      </c>
      <c r="W2837" s="2" t="s">
        <v>12886</v>
      </c>
      <c r="X2837" s="2"/>
      <c r="Y2837" s="2"/>
      <c r="Z2837" s="2"/>
      <c r="AA2837" s="2" t="s">
        <v>299</v>
      </c>
      <c r="AB2837" s="2" t="s">
        <v>161</v>
      </c>
      <c r="AC2837" s="4" t="s">
        <v>44</v>
      </c>
    </row>
    <row r="2838" spans="1:29" x14ac:dyDescent="0.25">
      <c r="A2838" s="1">
        <v>3841</v>
      </c>
      <c r="B2838" s="17" t="s">
        <v>12887</v>
      </c>
      <c r="C2838" s="2" t="s">
        <v>12888</v>
      </c>
      <c r="D2838" s="15" t="s">
        <v>12889</v>
      </c>
      <c r="E2838" s="9" t="s">
        <v>9125</v>
      </c>
      <c r="F2838" s="9" t="s">
        <v>56</v>
      </c>
      <c r="G2838" s="9" t="s">
        <v>154</v>
      </c>
      <c r="H2838" s="2" t="s">
        <v>35</v>
      </c>
      <c r="I2838" s="3">
        <v>36908</v>
      </c>
      <c r="J2838" s="9" t="str">
        <f t="shared" ca="1" si="46"/>
        <v>22 ans</v>
      </c>
      <c r="K2838" s="2" t="s">
        <v>68</v>
      </c>
      <c r="L2838" s="2" t="str">
        <f>"907"</f>
        <v>907</v>
      </c>
      <c r="M2838" s="2"/>
      <c r="N2838" s="2" t="str">
        <f>"RUE DES TREMBLES"</f>
        <v>RUE DES TREMBLES</v>
      </c>
      <c r="O2838" s="2" t="s">
        <v>12890</v>
      </c>
      <c r="P2838" s="9" t="str">
        <f>VLOOKUP($O2838,'Liste des Villes'!$B$2:$B$1128,1,FALSE)</f>
        <v>Saint-Alphonse-Rodriguez</v>
      </c>
      <c r="Q2838" s="9" t="str">
        <f>IFERROR($P2838,PROPER(VLOOKUP($O2838,'Villes en erreur'!$A$2:$B$72,2,FALSE)))</f>
        <v>Saint-Alphonse-Rodriguez</v>
      </c>
      <c r="R2838" s="9" t="s">
        <v>12891</v>
      </c>
      <c r="S2838" s="9" t="str">
        <f>IF(ISBLANK($R2838),"",VLOOKUP($R2838,'Liste des Villes'!$B$2:$H$1128,4,FALSE))</f>
        <v>Lanaudière</v>
      </c>
      <c r="T2838" s="2" t="s">
        <v>12882</v>
      </c>
      <c r="U2838" s="2" t="s">
        <v>39</v>
      </c>
      <c r="V2838" s="2" t="s">
        <v>40</v>
      </c>
      <c r="W2838" s="2" t="s">
        <v>12892</v>
      </c>
      <c r="X2838" s="2"/>
      <c r="Y2838" s="2"/>
      <c r="Z2838" s="2"/>
      <c r="AA2838" s="2" t="s">
        <v>299</v>
      </c>
      <c r="AB2838" s="2" t="s">
        <v>161</v>
      </c>
      <c r="AC2838" s="4" t="s">
        <v>44</v>
      </c>
    </row>
    <row r="2839" spans="1:29" x14ac:dyDescent="0.25">
      <c r="A2839" s="1">
        <v>1533</v>
      </c>
      <c r="B2839" s="17" t="s">
        <v>12893</v>
      </c>
      <c r="C2839" s="2" t="s">
        <v>163</v>
      </c>
      <c r="D2839" s="15" t="s">
        <v>164</v>
      </c>
      <c r="E2839" s="9" t="s">
        <v>165</v>
      </c>
      <c r="F2839" s="9" t="s">
        <v>3350</v>
      </c>
      <c r="G2839" s="9" t="s">
        <v>154</v>
      </c>
      <c r="H2839" s="2" t="s">
        <v>35</v>
      </c>
      <c r="I2839" s="3">
        <v>36909</v>
      </c>
      <c r="J2839" s="9" t="str">
        <f t="shared" ca="1" si="46"/>
        <v>22 ans</v>
      </c>
      <c r="K2839" s="2" t="s">
        <v>68</v>
      </c>
      <c r="L2839" s="2" t="str">
        <f>"909"</f>
        <v>909</v>
      </c>
      <c r="M2839" s="2"/>
      <c r="N2839" s="2" t="str">
        <f>"RUE DES TREMBLES"</f>
        <v>RUE DES TREMBLES</v>
      </c>
      <c r="O2839" s="2" t="s">
        <v>12894</v>
      </c>
      <c r="P2839" s="9" t="str">
        <f>VLOOKUP($O2839,'Liste des Villes'!$B$2:$B$1128,1,FALSE)</f>
        <v>Saint-Alexis</v>
      </c>
      <c r="Q2839" s="9" t="str">
        <f>IFERROR($P2839,PROPER(VLOOKUP($O2839,'Villes en erreur'!$A$2:$B$72,2,FALSE)))</f>
        <v>Saint-Alexis</v>
      </c>
      <c r="R2839" s="9" t="s">
        <v>12895</v>
      </c>
      <c r="S2839" s="9" t="str">
        <f>IF(ISBLANK($R2839),"",VLOOKUP($R2839,'Liste des Villes'!$B$2:$H$1128,4,FALSE))</f>
        <v>Lanaudière</v>
      </c>
      <c r="T2839" s="2" t="s">
        <v>12896</v>
      </c>
      <c r="U2839" s="2" t="s">
        <v>39</v>
      </c>
      <c r="V2839" s="2" t="s">
        <v>40</v>
      </c>
      <c r="W2839" s="2" t="s">
        <v>12892</v>
      </c>
      <c r="X2839" s="2"/>
      <c r="Y2839" s="2"/>
      <c r="Z2839" s="2"/>
      <c r="AA2839" s="2" t="s">
        <v>299</v>
      </c>
      <c r="AB2839" s="2" t="s">
        <v>161</v>
      </c>
      <c r="AC2839" s="4" t="s">
        <v>44</v>
      </c>
    </row>
    <row r="2840" spans="1:29" x14ac:dyDescent="0.25">
      <c r="A2840" s="1">
        <v>1212</v>
      </c>
      <c r="B2840" s="17" t="s">
        <v>12897</v>
      </c>
      <c r="C2840" s="2" t="s">
        <v>2836</v>
      </c>
      <c r="D2840" s="15" t="s">
        <v>2837</v>
      </c>
      <c r="E2840" s="9" t="s">
        <v>509</v>
      </c>
      <c r="F2840" s="9" t="s">
        <v>12898</v>
      </c>
      <c r="G2840" s="9" t="s">
        <v>154</v>
      </c>
      <c r="H2840" s="2" t="s">
        <v>35</v>
      </c>
      <c r="I2840" s="3">
        <v>36909</v>
      </c>
      <c r="J2840" s="9" t="str">
        <f t="shared" ca="1" si="46"/>
        <v>22 ans</v>
      </c>
      <c r="K2840" s="2" t="s">
        <v>156</v>
      </c>
      <c r="L2840" s="2" t="str">
        <f>"910"</f>
        <v>910</v>
      </c>
      <c r="M2840" s="2"/>
      <c r="N2840" s="2" t="str">
        <f>"RUE DES TRILLES"</f>
        <v>RUE DES TRILLES</v>
      </c>
      <c r="O2840" s="2" t="s">
        <v>12899</v>
      </c>
      <c r="P2840" s="9" t="str">
        <f>VLOOKUP($O2840,'Liste des Villes'!$B$2:$B$1128,1,FALSE)</f>
        <v>Saint-Aimé-du-Lac-des-Îles</v>
      </c>
      <c r="Q2840" s="9" t="str">
        <f>IFERROR($P2840,PROPER(VLOOKUP($O2840,'Villes en erreur'!$A$2:$B$72,2,FALSE)))</f>
        <v>Saint-Aimé-du-Lac-des-Îles</v>
      </c>
      <c r="R2840" s="9" t="s">
        <v>12900</v>
      </c>
      <c r="S2840" s="9" t="str">
        <f>IF(ISBLANK($R2840),"",VLOOKUP($R2840,'Liste des Villes'!$B$2:$H$1128,4,FALSE))</f>
        <v>Laurentides</v>
      </c>
      <c r="T2840" s="2" t="s">
        <v>12901</v>
      </c>
      <c r="U2840" s="2" t="s">
        <v>39</v>
      </c>
      <c r="V2840" s="2" t="s">
        <v>40</v>
      </c>
      <c r="W2840" s="2" t="s">
        <v>12902</v>
      </c>
      <c r="X2840" s="2"/>
      <c r="Y2840" s="2"/>
      <c r="Z2840" s="2"/>
      <c r="AA2840" s="2" t="s">
        <v>299</v>
      </c>
      <c r="AB2840" s="2" t="s">
        <v>161</v>
      </c>
      <c r="AC2840" s="4" t="s">
        <v>44</v>
      </c>
    </row>
    <row r="2841" spans="1:29" x14ac:dyDescent="0.25">
      <c r="A2841" s="1">
        <v>1731</v>
      </c>
      <c r="B2841" s="17" t="s">
        <v>12903</v>
      </c>
      <c r="C2841" s="2" t="s">
        <v>12904</v>
      </c>
      <c r="D2841" s="15" t="s">
        <v>9124</v>
      </c>
      <c r="E2841" s="9" t="s">
        <v>12905</v>
      </c>
      <c r="F2841" s="9" t="s">
        <v>1773</v>
      </c>
      <c r="G2841" s="9" t="s">
        <v>154</v>
      </c>
      <c r="H2841" s="2" t="s">
        <v>35</v>
      </c>
      <c r="I2841" s="3">
        <v>36909</v>
      </c>
      <c r="J2841" s="9" t="str">
        <f t="shared" ca="1" si="46"/>
        <v>22 ans</v>
      </c>
      <c r="K2841" s="2" t="s">
        <v>156</v>
      </c>
      <c r="L2841" s="2" t="str">
        <f>"910"</f>
        <v>910</v>
      </c>
      <c r="M2841" s="2"/>
      <c r="N2841" s="2" t="str">
        <f>"RUE DES TRILLES"</f>
        <v>RUE DES TRILLES</v>
      </c>
      <c r="O2841" s="2" t="s">
        <v>12899</v>
      </c>
      <c r="P2841" s="9" t="str">
        <f>VLOOKUP($O2841,'Liste des Villes'!$B$2:$B$1128,1,FALSE)</f>
        <v>Saint-Aimé-du-Lac-des-Îles</v>
      </c>
      <c r="Q2841" s="9" t="str">
        <f>IFERROR($P2841,PROPER(VLOOKUP($O2841,'Villes en erreur'!$A$2:$B$72,2,FALSE)))</f>
        <v>Saint-Aimé-du-Lac-des-Îles</v>
      </c>
      <c r="R2841" s="9" t="s">
        <v>12900</v>
      </c>
      <c r="S2841" s="9" t="str">
        <f>IF(ISBLANK($R2841),"",VLOOKUP($R2841,'Liste des Villes'!$B$2:$H$1128,4,FALSE))</f>
        <v>Laurentides</v>
      </c>
      <c r="T2841" s="2" t="s">
        <v>12906</v>
      </c>
      <c r="U2841" s="2" t="s">
        <v>39</v>
      </c>
      <c r="V2841" s="2" t="s">
        <v>40</v>
      </c>
      <c r="W2841" s="2" t="s">
        <v>12907</v>
      </c>
      <c r="X2841" s="2"/>
      <c r="Y2841" s="2"/>
      <c r="Z2841" s="2"/>
      <c r="AA2841" s="2" t="s">
        <v>299</v>
      </c>
      <c r="AB2841" s="2" t="s">
        <v>161</v>
      </c>
      <c r="AC2841" s="4" t="s">
        <v>44</v>
      </c>
    </row>
    <row r="2842" spans="1:29" x14ac:dyDescent="0.25">
      <c r="A2842" s="1">
        <v>2513</v>
      </c>
      <c r="B2842" s="17" t="s">
        <v>12908</v>
      </c>
      <c r="C2842" s="2" t="s">
        <v>9722</v>
      </c>
      <c r="D2842" s="15" t="s">
        <v>1466</v>
      </c>
      <c r="E2842" s="9" t="s">
        <v>751</v>
      </c>
      <c r="F2842" s="9" t="s">
        <v>788</v>
      </c>
      <c r="G2842" s="9" t="s">
        <v>6793</v>
      </c>
      <c r="H2842" s="2" t="s">
        <v>60</v>
      </c>
      <c r="I2842" s="3">
        <v>36915</v>
      </c>
      <c r="J2842" s="9" t="str">
        <f t="shared" ca="1" si="46"/>
        <v>22 ans</v>
      </c>
      <c r="K2842" s="2" t="s">
        <v>156</v>
      </c>
      <c r="L2842" s="2" t="str">
        <f>"919"</f>
        <v>919</v>
      </c>
      <c r="M2842" s="2"/>
      <c r="N2842" s="2" t="str">
        <f>"RUE DESCHATELETS"</f>
        <v>RUE DESCHATELETS</v>
      </c>
      <c r="O2842" s="2" t="s">
        <v>12909</v>
      </c>
      <c r="P2842" s="9" t="str">
        <f>VLOOKUP($O2842,'Liste des Villes'!$B$2:$B$1128,1,FALSE)</f>
        <v>Saint-Adolphe-d'Howard</v>
      </c>
      <c r="Q2842" s="9" t="str">
        <f>IFERROR($P2842,PROPER(VLOOKUP($O2842,'Villes en erreur'!$A$2:$B$72,2,FALSE)))</f>
        <v>Saint-Adolphe-d'Howard</v>
      </c>
      <c r="R2842" s="9" t="s">
        <v>12910</v>
      </c>
      <c r="S2842" s="9" t="str">
        <f>IF(ISBLANK($R2842),"",VLOOKUP($R2842,'Liste des Villes'!$B$2:$H$1128,4,FALSE))</f>
        <v>Laurentides</v>
      </c>
      <c r="T2842" s="2" t="s">
        <v>12911</v>
      </c>
      <c r="U2842" s="2" t="s">
        <v>39</v>
      </c>
      <c r="V2842" s="2" t="s">
        <v>40</v>
      </c>
      <c r="W2842" s="2" t="s">
        <v>12912</v>
      </c>
      <c r="X2842" s="2"/>
      <c r="Y2842" s="2"/>
      <c r="Z2842" s="2"/>
      <c r="AA2842" s="2" t="s">
        <v>299</v>
      </c>
      <c r="AB2842" s="2" t="s">
        <v>161</v>
      </c>
      <c r="AC2842" s="4" t="s">
        <v>44</v>
      </c>
    </row>
    <row r="2843" spans="1:29" x14ac:dyDescent="0.25">
      <c r="A2843" s="1">
        <v>2456</v>
      </c>
      <c r="B2843" s="17" t="s">
        <v>12913</v>
      </c>
      <c r="C2843" s="2" t="s">
        <v>1359</v>
      </c>
      <c r="D2843" s="15" t="s">
        <v>1360</v>
      </c>
      <c r="E2843" s="9" t="s">
        <v>1361</v>
      </c>
      <c r="F2843" s="9" t="s">
        <v>2344</v>
      </c>
      <c r="G2843" s="9" t="s">
        <v>12914</v>
      </c>
      <c r="H2843" s="2" t="s">
        <v>60</v>
      </c>
      <c r="I2843" s="3">
        <v>36912</v>
      </c>
      <c r="J2843" s="9" t="str">
        <f t="shared" ca="1" si="46"/>
        <v>22 ans</v>
      </c>
      <c r="K2843" s="2" t="s">
        <v>156</v>
      </c>
      <c r="L2843" s="2" t="str">
        <f>"916"</f>
        <v>916</v>
      </c>
      <c r="M2843" s="2"/>
      <c r="N2843" s="2" t="str">
        <f>"RUE DES VIOLONCELLES"</f>
        <v>RUE DES VIOLONCELLES</v>
      </c>
      <c r="O2843" s="2" t="s">
        <v>12909</v>
      </c>
      <c r="P2843" s="9" t="str">
        <f>VLOOKUP($O2843,'Liste des Villes'!$B$2:$B$1128,1,FALSE)</f>
        <v>Saint-Adolphe-d'Howard</v>
      </c>
      <c r="Q2843" s="9" t="str">
        <f>IFERROR($P2843,PROPER(VLOOKUP($O2843,'Villes en erreur'!$A$2:$B$72,2,FALSE)))</f>
        <v>Saint-Adolphe-d'Howard</v>
      </c>
      <c r="R2843" s="9" t="s">
        <v>12910</v>
      </c>
      <c r="S2843" s="9" t="str">
        <f>IF(ISBLANK($R2843),"",VLOOKUP($R2843,'Liste des Villes'!$B$2:$H$1128,4,FALSE))</f>
        <v>Laurentides</v>
      </c>
      <c r="T2843" s="2" t="s">
        <v>12915</v>
      </c>
      <c r="U2843" s="2" t="s">
        <v>39</v>
      </c>
      <c r="V2843" s="2" t="s">
        <v>40</v>
      </c>
      <c r="W2843" s="2" t="s">
        <v>12916</v>
      </c>
      <c r="X2843" s="2"/>
      <c r="Y2843" s="2"/>
      <c r="Z2843" s="2"/>
      <c r="AA2843" s="2" t="s">
        <v>299</v>
      </c>
      <c r="AB2843" s="2" t="s">
        <v>161</v>
      </c>
      <c r="AC2843" s="4" t="s">
        <v>44</v>
      </c>
    </row>
    <row r="2844" spans="1:29" x14ac:dyDescent="0.25">
      <c r="A2844" s="1">
        <v>1168</v>
      </c>
      <c r="B2844" s="17" t="s">
        <v>12917</v>
      </c>
      <c r="C2844" s="2" t="s">
        <v>12918</v>
      </c>
      <c r="D2844" s="15" t="s">
        <v>1452</v>
      </c>
      <c r="E2844" s="9" t="s">
        <v>12919</v>
      </c>
      <c r="F2844" s="9" t="s">
        <v>7681</v>
      </c>
      <c r="G2844" s="9" t="s">
        <v>7073</v>
      </c>
      <c r="H2844" s="2" t="s">
        <v>35</v>
      </c>
      <c r="I2844" s="3">
        <v>36909</v>
      </c>
      <c r="J2844" s="9" t="str">
        <f t="shared" ca="1" si="46"/>
        <v>22 ans</v>
      </c>
      <c r="K2844" s="2" t="s">
        <v>156</v>
      </c>
      <c r="L2844" s="2" t="str">
        <f>"910"</f>
        <v>910</v>
      </c>
      <c r="M2844" s="2"/>
      <c r="N2844" s="2" t="str">
        <f>"RUE DES VERDIERS"</f>
        <v>RUE DES VERDIERS</v>
      </c>
      <c r="O2844" s="2" t="s">
        <v>12909</v>
      </c>
      <c r="P2844" s="9" t="str">
        <f>VLOOKUP($O2844,'Liste des Villes'!$B$2:$B$1128,1,FALSE)</f>
        <v>Saint-Adolphe-d'Howard</v>
      </c>
      <c r="Q2844" s="9" t="str">
        <f>IFERROR($P2844,PROPER(VLOOKUP($O2844,'Villes en erreur'!$A$2:$B$72,2,FALSE)))</f>
        <v>Saint-Adolphe-d'Howard</v>
      </c>
      <c r="R2844" s="9" t="s">
        <v>12910</v>
      </c>
      <c r="S2844" s="9" t="str">
        <f>IF(ISBLANK($R2844),"",VLOOKUP($R2844,'Liste des Villes'!$B$2:$H$1128,4,FALSE))</f>
        <v>Laurentides</v>
      </c>
      <c r="T2844" s="2" t="s">
        <v>12920</v>
      </c>
      <c r="U2844" s="2" t="s">
        <v>39</v>
      </c>
      <c r="V2844" s="2" t="s">
        <v>40</v>
      </c>
      <c r="W2844" s="2" t="s">
        <v>12921</v>
      </c>
      <c r="X2844" s="2"/>
      <c r="Y2844" s="2"/>
      <c r="Z2844" s="2"/>
      <c r="AA2844" s="2" t="s">
        <v>299</v>
      </c>
      <c r="AB2844" s="2" t="s">
        <v>161</v>
      </c>
      <c r="AC2844" s="4" t="s">
        <v>44</v>
      </c>
    </row>
    <row r="2845" spans="1:29" x14ac:dyDescent="0.25">
      <c r="A2845" s="1">
        <v>3771</v>
      </c>
      <c r="B2845" s="17" t="s">
        <v>12922</v>
      </c>
      <c r="C2845" s="2" t="s">
        <v>12923</v>
      </c>
      <c r="D2845" s="15" t="s">
        <v>56</v>
      </c>
      <c r="E2845" s="9" t="s">
        <v>12914</v>
      </c>
      <c r="F2845" s="9" t="s">
        <v>5252</v>
      </c>
      <c r="G2845" s="9" t="s">
        <v>7089</v>
      </c>
      <c r="H2845" s="2" t="s">
        <v>60</v>
      </c>
      <c r="I2845" s="3">
        <v>36914</v>
      </c>
      <c r="J2845" s="9" t="str">
        <f t="shared" ca="1" si="46"/>
        <v>22 ans</v>
      </c>
      <c r="K2845" s="2" t="s">
        <v>156</v>
      </c>
      <c r="L2845" s="2" t="str">
        <f>"916"</f>
        <v>916</v>
      </c>
      <c r="M2845" s="2"/>
      <c r="N2845" s="2" t="str">
        <f>"RUE DESCHAMBAULT"</f>
        <v>RUE DESCHAMBAULT</v>
      </c>
      <c r="O2845" s="2" t="s">
        <v>12909</v>
      </c>
      <c r="P2845" s="9" t="str">
        <f>VLOOKUP($O2845,'Liste des Villes'!$B$2:$B$1128,1,FALSE)</f>
        <v>Saint-Adolphe-d'Howard</v>
      </c>
      <c r="Q2845" s="9" t="str">
        <f>IFERROR($P2845,PROPER(VLOOKUP($O2845,'Villes en erreur'!$A$2:$B$72,2,FALSE)))</f>
        <v>Saint-Adolphe-d'Howard</v>
      </c>
      <c r="R2845" s="9" t="s">
        <v>12910</v>
      </c>
      <c r="S2845" s="9" t="str">
        <f>IF(ISBLANK($R2845),"",VLOOKUP($R2845,'Liste des Villes'!$B$2:$H$1128,4,FALSE))</f>
        <v>Laurentides</v>
      </c>
      <c r="T2845" s="2" t="s">
        <v>12924</v>
      </c>
      <c r="U2845" s="2" t="s">
        <v>39</v>
      </c>
      <c r="V2845" s="2" t="s">
        <v>40</v>
      </c>
      <c r="W2845" s="2" t="s">
        <v>12925</v>
      </c>
      <c r="X2845" s="2"/>
      <c r="Y2845" s="2"/>
      <c r="Z2845" s="2"/>
      <c r="AA2845" s="2" t="s">
        <v>299</v>
      </c>
      <c r="AB2845" s="2" t="s">
        <v>161</v>
      </c>
      <c r="AC2845" s="4" t="s">
        <v>44</v>
      </c>
    </row>
    <row r="2846" spans="1:29" x14ac:dyDescent="0.25">
      <c r="A2846" s="1">
        <v>305</v>
      </c>
      <c r="B2846" s="17" t="s">
        <v>12926</v>
      </c>
      <c r="C2846" s="2" t="s">
        <v>12927</v>
      </c>
      <c r="D2846" s="15" t="s">
        <v>10826</v>
      </c>
      <c r="E2846" s="9" t="s">
        <v>12928</v>
      </c>
      <c r="F2846" s="9" t="s">
        <v>12929</v>
      </c>
      <c r="G2846" s="9" t="s">
        <v>57</v>
      </c>
      <c r="H2846" s="2" t="s">
        <v>35</v>
      </c>
      <c r="I2846" s="3">
        <v>36910</v>
      </c>
      <c r="J2846" s="9" t="str">
        <f t="shared" ca="1" si="46"/>
        <v>22 ans</v>
      </c>
      <c r="K2846" s="2" t="s">
        <v>156</v>
      </c>
      <c r="L2846" s="2" t="str">
        <f>"912"</f>
        <v>912</v>
      </c>
      <c r="M2846" s="2"/>
      <c r="N2846" s="2" t="str">
        <f>"RUE DES VIOLETTES"</f>
        <v>RUE DES VIOLETTES</v>
      </c>
      <c r="O2846" s="2" t="s">
        <v>12909</v>
      </c>
      <c r="P2846" s="9" t="str">
        <f>VLOOKUP($O2846,'Liste des Villes'!$B$2:$B$1128,1,FALSE)</f>
        <v>Saint-Adolphe-d'Howard</v>
      </c>
      <c r="Q2846" s="9" t="str">
        <f>IFERROR($P2846,PROPER(VLOOKUP($O2846,'Villes en erreur'!$A$2:$B$72,2,FALSE)))</f>
        <v>Saint-Adolphe-d'Howard</v>
      </c>
      <c r="R2846" s="9" t="s">
        <v>12910</v>
      </c>
      <c r="S2846" s="9" t="str">
        <f>IF(ISBLANK($R2846),"",VLOOKUP($R2846,'Liste des Villes'!$B$2:$H$1128,4,FALSE))</f>
        <v>Laurentides</v>
      </c>
      <c r="T2846" s="2" t="s">
        <v>12930</v>
      </c>
      <c r="U2846" s="2" t="s">
        <v>39</v>
      </c>
      <c r="V2846" s="2" t="s">
        <v>40</v>
      </c>
      <c r="W2846" s="2" t="s">
        <v>12931</v>
      </c>
      <c r="X2846" s="2"/>
      <c r="Y2846" s="2"/>
      <c r="Z2846" s="2"/>
      <c r="AA2846" s="2" t="s">
        <v>299</v>
      </c>
      <c r="AB2846" s="2" t="s">
        <v>161</v>
      </c>
      <c r="AC2846" s="4" t="s">
        <v>44</v>
      </c>
    </row>
    <row r="2847" spans="1:29" x14ac:dyDescent="0.25">
      <c r="A2847" s="1">
        <v>1814</v>
      </c>
      <c r="B2847" s="17" t="s">
        <v>12932</v>
      </c>
      <c r="C2847" s="2" t="s">
        <v>12933</v>
      </c>
      <c r="D2847" s="15" t="s">
        <v>1489</v>
      </c>
      <c r="E2847" s="9" t="s">
        <v>4604</v>
      </c>
      <c r="F2847" s="9" t="s">
        <v>1175</v>
      </c>
      <c r="G2847" s="9" t="s">
        <v>12934</v>
      </c>
      <c r="H2847" s="2" t="s">
        <v>60</v>
      </c>
      <c r="I2847" s="3">
        <v>36910</v>
      </c>
      <c r="J2847" s="9" t="str">
        <f t="shared" ca="1" si="46"/>
        <v>22 ans</v>
      </c>
      <c r="K2847" s="2" t="s">
        <v>156</v>
      </c>
      <c r="L2847" s="2" t="str">
        <f>"915"</f>
        <v>915</v>
      </c>
      <c r="M2847" s="2"/>
      <c r="N2847" s="2" t="str">
        <f>"RUE DES VIOLETTES"</f>
        <v>RUE DES VIOLETTES</v>
      </c>
      <c r="O2847" s="2" t="s">
        <v>12909</v>
      </c>
      <c r="P2847" s="9" t="str">
        <f>VLOOKUP($O2847,'Liste des Villes'!$B$2:$B$1128,1,FALSE)</f>
        <v>Saint-Adolphe-d'Howard</v>
      </c>
      <c r="Q2847" s="9" t="str">
        <f>IFERROR($P2847,PROPER(VLOOKUP($O2847,'Villes en erreur'!$A$2:$B$72,2,FALSE)))</f>
        <v>Saint-Adolphe-d'Howard</v>
      </c>
      <c r="R2847" s="9" t="s">
        <v>12910</v>
      </c>
      <c r="S2847" s="9" t="str">
        <f>IF(ISBLANK($R2847),"",VLOOKUP($R2847,'Liste des Villes'!$B$2:$H$1128,4,FALSE))</f>
        <v>Laurentides</v>
      </c>
      <c r="T2847" s="2" t="s">
        <v>12935</v>
      </c>
      <c r="U2847" s="2" t="s">
        <v>39</v>
      </c>
      <c r="V2847" s="2" t="s">
        <v>40</v>
      </c>
      <c r="W2847" s="2" t="s">
        <v>12936</v>
      </c>
      <c r="X2847" s="2"/>
      <c r="Y2847" s="2"/>
      <c r="Z2847" s="2"/>
      <c r="AA2847" s="2" t="s">
        <v>299</v>
      </c>
      <c r="AB2847" s="2" t="s">
        <v>161</v>
      </c>
      <c r="AC2847" s="4" t="s">
        <v>44</v>
      </c>
    </row>
    <row r="2848" spans="1:29" x14ac:dyDescent="0.25">
      <c r="A2848" s="1">
        <v>3788</v>
      </c>
      <c r="B2848" s="17" t="s">
        <v>12937</v>
      </c>
      <c r="C2848" s="2" t="s">
        <v>12938</v>
      </c>
      <c r="D2848" s="15" t="s">
        <v>1213</v>
      </c>
      <c r="E2848" s="9" t="s">
        <v>6911</v>
      </c>
      <c r="F2848" s="9" t="s">
        <v>1211</v>
      </c>
      <c r="G2848" s="9" t="s">
        <v>12939</v>
      </c>
      <c r="H2848" s="2" t="s">
        <v>60</v>
      </c>
      <c r="I2848" s="3">
        <v>36913</v>
      </c>
      <c r="J2848" s="9" t="str">
        <f t="shared" ca="1" si="46"/>
        <v>22 ans</v>
      </c>
      <c r="K2848" s="2" t="s">
        <v>156</v>
      </c>
      <c r="L2848" s="2" t="str">
        <f>"916"</f>
        <v>916</v>
      </c>
      <c r="M2848" s="2"/>
      <c r="N2848" s="2" t="str">
        <f>"RUE DES VOLETS"</f>
        <v>RUE DES VOLETS</v>
      </c>
      <c r="O2848" s="2" t="s">
        <v>12909</v>
      </c>
      <c r="P2848" s="9" t="str">
        <f>VLOOKUP($O2848,'Liste des Villes'!$B$2:$B$1128,1,FALSE)</f>
        <v>Saint-Adolphe-d'Howard</v>
      </c>
      <c r="Q2848" s="9" t="str">
        <f>IFERROR($P2848,PROPER(VLOOKUP($O2848,'Villes en erreur'!$A$2:$B$72,2,FALSE)))</f>
        <v>Saint-Adolphe-d'Howard</v>
      </c>
      <c r="R2848" s="9" t="s">
        <v>12910</v>
      </c>
      <c r="S2848" s="9" t="str">
        <f>IF(ISBLANK($R2848),"",VLOOKUP($R2848,'Liste des Villes'!$B$2:$H$1128,4,FALSE))</f>
        <v>Laurentides</v>
      </c>
      <c r="T2848" s="2" t="s">
        <v>12940</v>
      </c>
      <c r="U2848" s="2" t="s">
        <v>39</v>
      </c>
      <c r="V2848" s="2" t="s">
        <v>40</v>
      </c>
      <c r="W2848" s="2" t="s">
        <v>12941</v>
      </c>
      <c r="X2848" s="2"/>
      <c r="Y2848" s="2"/>
      <c r="Z2848" s="2"/>
      <c r="AA2848" s="2" t="s">
        <v>299</v>
      </c>
      <c r="AB2848" s="2" t="s">
        <v>161</v>
      </c>
      <c r="AC2848" s="4" t="s">
        <v>44</v>
      </c>
    </row>
    <row r="2849" spans="1:29" x14ac:dyDescent="0.25">
      <c r="A2849" s="1">
        <v>3380</v>
      </c>
      <c r="B2849" s="17" t="s">
        <v>12942</v>
      </c>
      <c r="C2849" s="2" t="s">
        <v>12943</v>
      </c>
      <c r="D2849" s="15" t="s">
        <v>5713</v>
      </c>
      <c r="E2849" s="9" t="s">
        <v>9894</v>
      </c>
      <c r="F2849" s="9" t="s">
        <v>569</v>
      </c>
      <c r="G2849" s="9" t="s">
        <v>11906</v>
      </c>
      <c r="H2849" s="2" t="s">
        <v>60</v>
      </c>
      <c r="I2849" s="3">
        <v>36913</v>
      </c>
      <c r="J2849" s="9" t="str">
        <f t="shared" ca="1" si="46"/>
        <v>22 ans</v>
      </c>
      <c r="K2849" s="2" t="s">
        <v>156</v>
      </c>
      <c r="L2849" s="2" t="str">
        <f>"916"</f>
        <v>916</v>
      </c>
      <c r="M2849" s="2"/>
      <c r="N2849" s="2" t="str">
        <f>"RUE DES VIOLONCELLES"</f>
        <v>RUE DES VIOLONCELLES</v>
      </c>
      <c r="O2849" s="2" t="s">
        <v>12909</v>
      </c>
      <c r="P2849" s="9" t="str">
        <f>VLOOKUP($O2849,'Liste des Villes'!$B$2:$B$1128,1,FALSE)</f>
        <v>Saint-Adolphe-d'Howard</v>
      </c>
      <c r="Q2849" s="9" t="str">
        <f>IFERROR($P2849,PROPER(VLOOKUP($O2849,'Villes en erreur'!$A$2:$B$72,2,FALSE)))</f>
        <v>Saint-Adolphe-d'Howard</v>
      </c>
      <c r="R2849" s="9" t="s">
        <v>12910</v>
      </c>
      <c r="S2849" s="9" t="str">
        <f>IF(ISBLANK($R2849),"",VLOOKUP($R2849,'Liste des Villes'!$B$2:$H$1128,4,FALSE))</f>
        <v>Laurentides</v>
      </c>
      <c r="T2849" s="2" t="s">
        <v>12915</v>
      </c>
      <c r="U2849" s="2" t="s">
        <v>39</v>
      </c>
      <c r="V2849" s="2" t="s">
        <v>40</v>
      </c>
      <c r="W2849" s="2" t="s">
        <v>12944</v>
      </c>
      <c r="X2849" s="2"/>
      <c r="Y2849" s="2"/>
      <c r="Z2849" s="2"/>
      <c r="AA2849" s="2" t="s">
        <v>299</v>
      </c>
      <c r="AB2849" s="2" t="s">
        <v>161</v>
      </c>
      <c r="AC2849" s="4" t="s">
        <v>44</v>
      </c>
    </row>
    <row r="2850" spans="1:29" x14ac:dyDescent="0.25">
      <c r="A2850" s="1">
        <v>2292</v>
      </c>
      <c r="B2850" s="17" t="s">
        <v>12945</v>
      </c>
      <c r="C2850" s="2" t="s">
        <v>11615</v>
      </c>
      <c r="D2850" s="15" t="s">
        <v>611</v>
      </c>
      <c r="E2850" s="9" t="s">
        <v>3218</v>
      </c>
      <c r="F2850" s="9" t="s">
        <v>10290</v>
      </c>
      <c r="G2850" s="9" t="s">
        <v>7089</v>
      </c>
      <c r="H2850" s="2" t="s">
        <v>60</v>
      </c>
      <c r="I2850" s="3">
        <v>36914</v>
      </c>
      <c r="J2850" s="9" t="str">
        <f t="shared" ca="1" si="46"/>
        <v>22 ans</v>
      </c>
      <c r="K2850" s="2" t="s">
        <v>156</v>
      </c>
      <c r="L2850" s="2" t="str">
        <f>"918"</f>
        <v>918</v>
      </c>
      <c r="M2850" s="2"/>
      <c r="N2850" s="2" t="str">
        <f>"RUE DESCHAMBAULT"</f>
        <v>RUE DESCHAMBAULT</v>
      </c>
      <c r="O2850" s="2" t="s">
        <v>12909</v>
      </c>
      <c r="P2850" s="9" t="str">
        <f>VLOOKUP($O2850,'Liste des Villes'!$B$2:$B$1128,1,FALSE)</f>
        <v>Saint-Adolphe-d'Howard</v>
      </c>
      <c r="Q2850" s="9" t="str">
        <f>IFERROR($P2850,PROPER(VLOOKUP($O2850,'Villes en erreur'!$A$2:$B$72,2,FALSE)))</f>
        <v>Saint-Adolphe-d'Howard</v>
      </c>
      <c r="R2850" s="9" t="s">
        <v>12910</v>
      </c>
      <c r="S2850" s="9" t="str">
        <f>IF(ISBLANK($R2850),"",VLOOKUP($R2850,'Liste des Villes'!$B$2:$H$1128,4,FALSE))</f>
        <v>Laurentides</v>
      </c>
      <c r="T2850" s="2" t="s">
        <v>12946</v>
      </c>
      <c r="U2850" s="2" t="s">
        <v>39</v>
      </c>
      <c r="V2850" s="2" t="s">
        <v>40</v>
      </c>
      <c r="W2850" s="2" t="s">
        <v>12947</v>
      </c>
      <c r="X2850" s="2"/>
      <c r="Y2850" s="2"/>
      <c r="Z2850" s="2"/>
      <c r="AA2850" s="2" t="s">
        <v>299</v>
      </c>
      <c r="AB2850" s="2" t="s">
        <v>161</v>
      </c>
      <c r="AC2850" s="4" t="s">
        <v>44</v>
      </c>
    </row>
    <row r="2851" spans="1:29" x14ac:dyDescent="0.25">
      <c r="A2851" s="1">
        <v>2123</v>
      </c>
      <c r="B2851" s="17" t="s">
        <v>12948</v>
      </c>
      <c r="C2851" s="2" t="s">
        <v>10739</v>
      </c>
      <c r="D2851" s="15" t="s">
        <v>719</v>
      </c>
      <c r="E2851" s="9" t="s">
        <v>853</v>
      </c>
      <c r="F2851" s="9" t="s">
        <v>718</v>
      </c>
      <c r="G2851" s="9" t="s">
        <v>5732</v>
      </c>
      <c r="H2851" s="2" t="s">
        <v>35</v>
      </c>
      <c r="I2851" s="3">
        <v>36910</v>
      </c>
      <c r="J2851" s="9" t="str">
        <f t="shared" ca="1" si="46"/>
        <v>22 ans</v>
      </c>
      <c r="K2851" s="2" t="s">
        <v>156</v>
      </c>
      <c r="L2851" s="2" t="str">
        <f>"915"</f>
        <v>915</v>
      </c>
      <c r="M2851" s="2"/>
      <c r="N2851" s="2" t="str">
        <f>"RUE DES VIOLETTES"</f>
        <v>RUE DES VIOLETTES</v>
      </c>
      <c r="O2851" s="2" t="s">
        <v>12909</v>
      </c>
      <c r="P2851" s="9" t="str">
        <f>VLOOKUP($O2851,'Liste des Villes'!$B$2:$B$1128,1,FALSE)</f>
        <v>Saint-Adolphe-d'Howard</v>
      </c>
      <c r="Q2851" s="9" t="str">
        <f>IFERROR($P2851,PROPER(VLOOKUP($O2851,'Villes en erreur'!$A$2:$B$72,2,FALSE)))</f>
        <v>Saint-Adolphe-d'Howard</v>
      </c>
      <c r="R2851" s="9" t="s">
        <v>12910</v>
      </c>
      <c r="S2851" s="9" t="str">
        <f>IF(ISBLANK($R2851),"",VLOOKUP($R2851,'Liste des Villes'!$B$2:$H$1128,4,FALSE))</f>
        <v>Laurentides</v>
      </c>
      <c r="T2851" s="2" t="s">
        <v>12949</v>
      </c>
      <c r="U2851" s="2" t="s">
        <v>39</v>
      </c>
      <c r="V2851" s="2" t="s">
        <v>40</v>
      </c>
      <c r="W2851" s="2" t="s">
        <v>12950</v>
      </c>
      <c r="X2851" s="2"/>
      <c r="Y2851" s="2"/>
      <c r="Z2851" s="2"/>
      <c r="AA2851" s="2" t="s">
        <v>299</v>
      </c>
      <c r="AB2851" s="2" t="s">
        <v>161</v>
      </c>
      <c r="AC2851" s="4" t="s">
        <v>44</v>
      </c>
    </row>
    <row r="2852" spans="1:29" x14ac:dyDescent="0.25">
      <c r="A2852" s="1">
        <v>1002</v>
      </c>
      <c r="B2852" s="17" t="s">
        <v>12951</v>
      </c>
      <c r="C2852" s="2" t="s">
        <v>12952</v>
      </c>
      <c r="D2852" s="15" t="s">
        <v>12807</v>
      </c>
      <c r="E2852" s="9" t="s">
        <v>3218</v>
      </c>
      <c r="F2852" s="9" t="s">
        <v>12806</v>
      </c>
      <c r="G2852" s="9" t="s">
        <v>6793</v>
      </c>
      <c r="H2852" s="2" t="s">
        <v>60</v>
      </c>
      <c r="I2852" s="3">
        <v>36915</v>
      </c>
      <c r="J2852" s="9" t="str">
        <f t="shared" ca="1" si="46"/>
        <v>22 ans</v>
      </c>
      <c r="K2852" s="2" t="s">
        <v>156</v>
      </c>
      <c r="L2852" s="2" t="str">
        <f>"918"</f>
        <v>918</v>
      </c>
      <c r="M2852" s="2"/>
      <c r="N2852" s="2" t="str">
        <f>"RUE DESCHAMBAULT"</f>
        <v>RUE DESCHAMBAULT</v>
      </c>
      <c r="O2852" s="2" t="s">
        <v>12909</v>
      </c>
      <c r="P2852" s="9" t="str">
        <f>VLOOKUP($O2852,'Liste des Villes'!$B$2:$B$1128,1,FALSE)</f>
        <v>Saint-Adolphe-d'Howard</v>
      </c>
      <c r="Q2852" s="9" t="str">
        <f>IFERROR($P2852,PROPER(VLOOKUP($O2852,'Villes en erreur'!$A$2:$B$72,2,FALSE)))</f>
        <v>Saint-Adolphe-d'Howard</v>
      </c>
      <c r="R2852" s="9" t="s">
        <v>12910</v>
      </c>
      <c r="S2852" s="9" t="str">
        <f>IF(ISBLANK($R2852),"",VLOOKUP($R2852,'Liste des Villes'!$B$2:$H$1128,4,FALSE))</f>
        <v>Laurentides</v>
      </c>
      <c r="T2852" s="2" t="s">
        <v>12953</v>
      </c>
      <c r="U2852" s="2" t="s">
        <v>39</v>
      </c>
      <c r="V2852" s="2" t="s">
        <v>40</v>
      </c>
      <c r="W2852" s="2" t="s">
        <v>12954</v>
      </c>
      <c r="X2852" s="2"/>
      <c r="Y2852" s="2"/>
      <c r="Z2852" s="2"/>
      <c r="AA2852" s="2" t="s">
        <v>299</v>
      </c>
      <c r="AB2852" s="2" t="s">
        <v>161</v>
      </c>
      <c r="AC2852" s="4" t="s">
        <v>44</v>
      </c>
    </row>
    <row r="2853" spans="1:29" x14ac:dyDescent="0.25">
      <c r="A2853" s="1">
        <v>2205</v>
      </c>
      <c r="B2853" s="17" t="s">
        <v>12955</v>
      </c>
      <c r="C2853" s="2" t="s">
        <v>112</v>
      </c>
      <c r="D2853" s="15" t="s">
        <v>113</v>
      </c>
      <c r="E2853" s="9" t="s">
        <v>114</v>
      </c>
      <c r="F2853" s="9" t="s">
        <v>115</v>
      </c>
      <c r="G2853" s="9" t="s">
        <v>6793</v>
      </c>
      <c r="H2853" s="2" t="s">
        <v>60</v>
      </c>
      <c r="I2853" s="3">
        <v>36914</v>
      </c>
      <c r="J2853" s="9" t="str">
        <f t="shared" ca="1" si="46"/>
        <v>22 ans</v>
      </c>
      <c r="K2853" s="2" t="s">
        <v>156</v>
      </c>
      <c r="L2853" s="2" t="str">
        <f>"918"</f>
        <v>918</v>
      </c>
      <c r="M2853" s="2"/>
      <c r="N2853" s="2" t="str">
        <f>"RUE DESCHAMBAULT"</f>
        <v>RUE DESCHAMBAULT</v>
      </c>
      <c r="O2853" s="2" t="s">
        <v>12909</v>
      </c>
      <c r="P2853" s="9" t="str">
        <f>VLOOKUP($O2853,'Liste des Villes'!$B$2:$B$1128,1,FALSE)</f>
        <v>Saint-Adolphe-d'Howard</v>
      </c>
      <c r="Q2853" s="9" t="str">
        <f>IFERROR($P2853,PROPER(VLOOKUP($O2853,'Villes en erreur'!$A$2:$B$72,2,FALSE)))</f>
        <v>Saint-Adolphe-d'Howard</v>
      </c>
      <c r="R2853" s="9" t="s">
        <v>12910</v>
      </c>
      <c r="S2853" s="9" t="str">
        <f>IF(ISBLANK($R2853),"",VLOOKUP($R2853,'Liste des Villes'!$B$2:$H$1128,4,FALSE))</f>
        <v>Laurentides</v>
      </c>
      <c r="T2853" s="2" t="s">
        <v>12956</v>
      </c>
      <c r="U2853" s="2" t="s">
        <v>39</v>
      </c>
      <c r="V2853" s="2" t="s">
        <v>40</v>
      </c>
      <c r="W2853" s="2" t="s">
        <v>12947</v>
      </c>
      <c r="X2853" s="2"/>
      <c r="Y2853" s="2"/>
      <c r="Z2853" s="2"/>
      <c r="AA2853" s="2" t="s">
        <v>299</v>
      </c>
      <c r="AB2853" s="2" t="s">
        <v>161</v>
      </c>
      <c r="AC2853" s="4" t="s">
        <v>44</v>
      </c>
    </row>
    <row r="2854" spans="1:29" x14ac:dyDescent="0.25">
      <c r="A2854" s="1">
        <v>3364</v>
      </c>
      <c r="B2854" s="17" t="s">
        <v>12957</v>
      </c>
      <c r="C2854" s="2" t="s">
        <v>717</v>
      </c>
      <c r="D2854" s="15" t="s">
        <v>718</v>
      </c>
      <c r="E2854" s="9" t="s">
        <v>487</v>
      </c>
      <c r="F2854" s="9" t="s">
        <v>719</v>
      </c>
      <c r="G2854" s="9" t="s">
        <v>1264</v>
      </c>
      <c r="H2854" s="2" t="s">
        <v>35</v>
      </c>
      <c r="I2854" s="3">
        <v>36910</v>
      </c>
      <c r="J2854" s="9" t="str">
        <f t="shared" ca="1" si="46"/>
        <v>22 ans</v>
      </c>
      <c r="K2854" s="2" t="s">
        <v>156</v>
      </c>
      <c r="L2854" s="2" t="str">
        <f>"910"</f>
        <v>910</v>
      </c>
      <c r="M2854" s="2"/>
      <c r="N2854" s="2" t="str">
        <f>"RUE DES VILLAGEOIS"</f>
        <v>RUE DES VILLAGEOIS</v>
      </c>
      <c r="O2854" s="2" t="s">
        <v>12909</v>
      </c>
      <c r="P2854" s="9" t="str">
        <f>VLOOKUP($O2854,'Liste des Villes'!$B$2:$B$1128,1,FALSE)</f>
        <v>Saint-Adolphe-d'Howard</v>
      </c>
      <c r="Q2854" s="9" t="str">
        <f>IFERROR($P2854,PROPER(VLOOKUP($O2854,'Villes en erreur'!$A$2:$B$72,2,FALSE)))</f>
        <v>Saint-Adolphe-d'Howard</v>
      </c>
      <c r="R2854" s="9" t="s">
        <v>12910</v>
      </c>
      <c r="S2854" s="9" t="str">
        <f>IF(ISBLANK($R2854),"",VLOOKUP($R2854,'Liste des Villes'!$B$2:$H$1128,4,FALSE))</f>
        <v>Laurentides</v>
      </c>
      <c r="T2854" s="2" t="s">
        <v>12958</v>
      </c>
      <c r="U2854" s="2" t="s">
        <v>39</v>
      </c>
      <c r="V2854" s="2" t="s">
        <v>40</v>
      </c>
      <c r="W2854" s="2" t="s">
        <v>12959</v>
      </c>
      <c r="X2854" s="2"/>
      <c r="Y2854" s="2"/>
      <c r="Z2854" s="2"/>
      <c r="AA2854" s="2" t="s">
        <v>299</v>
      </c>
      <c r="AB2854" s="2" t="s">
        <v>161</v>
      </c>
      <c r="AC2854" s="4" t="s">
        <v>44</v>
      </c>
    </row>
    <row r="2855" spans="1:29" x14ac:dyDescent="0.25">
      <c r="A2855" s="1">
        <v>3561</v>
      </c>
      <c r="B2855" s="17" t="s">
        <v>12960</v>
      </c>
      <c r="C2855" s="2" t="s">
        <v>12961</v>
      </c>
      <c r="D2855" s="15" t="s">
        <v>12962</v>
      </c>
      <c r="E2855" s="9" t="s">
        <v>12963</v>
      </c>
      <c r="F2855" s="9" t="s">
        <v>12964</v>
      </c>
      <c r="G2855" s="9" t="s">
        <v>1086</v>
      </c>
      <c r="H2855" s="2" t="s">
        <v>60</v>
      </c>
      <c r="I2855" s="3">
        <v>36921</v>
      </c>
      <c r="J2855" s="9" t="str">
        <f t="shared" ca="1" si="46"/>
        <v>22 ans</v>
      </c>
      <c r="K2855" s="2" t="s">
        <v>156</v>
      </c>
      <c r="L2855" s="2" t="str">
        <f>"921"</f>
        <v>921</v>
      </c>
      <c r="M2855" s="2"/>
      <c r="N2855" s="2" t="str">
        <f>"RUE DESJARDINS"</f>
        <v>RUE DESJARDINS</v>
      </c>
      <c r="O2855" s="2" t="s">
        <v>12965</v>
      </c>
      <c r="P2855" s="9" t="str">
        <f>VLOOKUP($O2855,'Liste des Villes'!$B$2:$B$1128,1,FALSE)</f>
        <v>Saguenay</v>
      </c>
      <c r="Q2855" s="9" t="str">
        <f>IFERROR($P2855,PROPER(VLOOKUP($O2855,'Villes en erreur'!$A$2:$B$72,2,FALSE)))</f>
        <v>Saguenay</v>
      </c>
      <c r="R2855" s="9" t="s">
        <v>12966</v>
      </c>
      <c r="S2855" s="9" t="str">
        <f>IF(ISBLANK($R2855),"",VLOOKUP($R2855,'Liste des Villes'!$B$2:$H$1128,4,FALSE))</f>
        <v>Saguenay–Lac-Saint-Jean</v>
      </c>
      <c r="T2855" s="2" t="s">
        <v>12967</v>
      </c>
      <c r="U2855" s="2" t="s">
        <v>39</v>
      </c>
      <c r="V2855" s="2" t="s">
        <v>40</v>
      </c>
      <c r="W2855" s="2" t="s">
        <v>12968</v>
      </c>
      <c r="X2855" s="2"/>
      <c r="Y2855" s="2"/>
      <c r="Z2855" s="2"/>
      <c r="AA2855" s="2" t="s">
        <v>299</v>
      </c>
      <c r="AB2855" s="2" t="s">
        <v>161</v>
      </c>
      <c r="AC2855" s="4" t="s">
        <v>44</v>
      </c>
    </row>
    <row r="2856" spans="1:29" x14ac:dyDescent="0.25">
      <c r="A2856" s="1">
        <v>3382</v>
      </c>
      <c r="B2856" s="17" t="s">
        <v>12969</v>
      </c>
      <c r="C2856" s="2" t="s">
        <v>12970</v>
      </c>
      <c r="D2856" s="15" t="s">
        <v>12971</v>
      </c>
      <c r="E2856" s="9" t="s">
        <v>12470</v>
      </c>
      <c r="F2856" s="9" t="s">
        <v>7742</v>
      </c>
      <c r="G2856" s="9" t="s">
        <v>9932</v>
      </c>
      <c r="H2856" s="2" t="s">
        <v>35</v>
      </c>
      <c r="I2856" s="3">
        <v>36921</v>
      </c>
      <c r="J2856" s="9" t="str">
        <f t="shared" ca="1" si="46"/>
        <v>22 ans</v>
      </c>
      <c r="K2856" s="2" t="s">
        <v>156</v>
      </c>
      <c r="L2856" s="2" t="str">
        <f>"925"</f>
        <v>925</v>
      </c>
      <c r="M2856" s="2"/>
      <c r="N2856" s="2" t="str">
        <f>"RUE DESJARDINS"</f>
        <v>RUE DESJARDINS</v>
      </c>
      <c r="O2856" s="2" t="s">
        <v>12972</v>
      </c>
      <c r="P2856" s="9" t="str">
        <f>VLOOKUP($O2856,'Liste des Villes'!$B$2:$B$1128,1,FALSE)</f>
        <v>Rouyn-Noranda</v>
      </c>
      <c r="Q2856" s="9" t="str">
        <f>IFERROR($P2856,PROPER(VLOOKUP($O2856,'Villes en erreur'!$A$2:$B$72,2,FALSE)))</f>
        <v>Rouyn-Noranda</v>
      </c>
      <c r="R2856" s="9" t="s">
        <v>12973</v>
      </c>
      <c r="S2856" s="9" t="str">
        <f>IF(ISBLANK($R2856),"",VLOOKUP($R2856,'Liste des Villes'!$B$2:$H$1128,4,FALSE))</f>
        <v>Abitibi-Témiscamingue</v>
      </c>
      <c r="T2856" s="2" t="s">
        <v>12974</v>
      </c>
      <c r="U2856" s="2" t="s">
        <v>39</v>
      </c>
      <c r="V2856" s="2" t="s">
        <v>40</v>
      </c>
      <c r="W2856" s="2" t="s">
        <v>12975</v>
      </c>
      <c r="X2856" s="2"/>
      <c r="Y2856" s="2"/>
      <c r="Z2856" s="2"/>
      <c r="AA2856" s="2" t="s">
        <v>299</v>
      </c>
      <c r="AB2856" s="2" t="s">
        <v>161</v>
      </c>
      <c r="AC2856" s="4" t="s">
        <v>44</v>
      </c>
    </row>
    <row r="2857" spans="1:29" x14ac:dyDescent="0.25">
      <c r="A2857" s="1">
        <v>2136</v>
      </c>
      <c r="B2857" s="17" t="s">
        <v>12976</v>
      </c>
      <c r="C2857" s="2" t="s">
        <v>8792</v>
      </c>
      <c r="D2857" s="15" t="s">
        <v>4256</v>
      </c>
      <c r="E2857" s="9" t="s">
        <v>8793</v>
      </c>
      <c r="F2857" s="9" t="s">
        <v>5389</v>
      </c>
      <c r="G2857" s="9" t="s">
        <v>1086</v>
      </c>
      <c r="H2857" s="2" t="s">
        <v>60</v>
      </c>
      <c r="I2857" s="3">
        <v>36921</v>
      </c>
      <c r="J2857" s="9" t="str">
        <f t="shared" ca="1" si="46"/>
        <v>22 ans</v>
      </c>
      <c r="K2857" s="2" t="s">
        <v>156</v>
      </c>
      <c r="L2857" s="2" t="str">
        <f>"925"</f>
        <v>925</v>
      </c>
      <c r="M2857" s="2"/>
      <c r="N2857" s="2" t="str">
        <f>"RUE DESJARDINS"</f>
        <v>RUE DESJARDINS</v>
      </c>
      <c r="O2857" s="2" t="s">
        <v>12972</v>
      </c>
      <c r="P2857" s="9" t="str">
        <f>VLOOKUP($O2857,'Liste des Villes'!$B$2:$B$1128,1,FALSE)</f>
        <v>Rouyn-Noranda</v>
      </c>
      <c r="Q2857" s="9" t="str">
        <f>IFERROR($P2857,PROPER(VLOOKUP($O2857,'Villes en erreur'!$A$2:$B$72,2,FALSE)))</f>
        <v>Rouyn-Noranda</v>
      </c>
      <c r="R2857" s="9" t="s">
        <v>12973</v>
      </c>
      <c r="S2857" s="9" t="str">
        <f>IF(ISBLANK($R2857),"",VLOOKUP($R2857,'Liste des Villes'!$B$2:$H$1128,4,FALSE))</f>
        <v>Abitibi-Témiscamingue</v>
      </c>
      <c r="T2857" s="2" t="s">
        <v>12977</v>
      </c>
      <c r="U2857" s="2" t="s">
        <v>39</v>
      </c>
      <c r="V2857" s="2" t="s">
        <v>40</v>
      </c>
      <c r="W2857" s="2" t="s">
        <v>12975</v>
      </c>
      <c r="X2857" s="2"/>
      <c r="Y2857" s="2"/>
      <c r="Z2857" s="2"/>
      <c r="AA2857" s="2" t="s">
        <v>299</v>
      </c>
      <c r="AB2857" s="2" t="s">
        <v>161</v>
      </c>
      <c r="AC2857" s="4" t="s">
        <v>44</v>
      </c>
    </row>
    <row r="2858" spans="1:29" x14ac:dyDescent="0.25">
      <c r="A2858" s="1">
        <v>731</v>
      </c>
      <c r="B2858" s="17" t="s">
        <v>12978</v>
      </c>
      <c r="C2858" s="2" t="s">
        <v>12979</v>
      </c>
      <c r="D2858" s="15" t="s">
        <v>3284</v>
      </c>
      <c r="E2858" s="9" t="s">
        <v>3218</v>
      </c>
      <c r="F2858" s="9" t="s">
        <v>3283</v>
      </c>
      <c r="G2858" s="9" t="s">
        <v>99</v>
      </c>
      <c r="H2858" s="2" t="s">
        <v>35</v>
      </c>
      <c r="I2858" s="3">
        <v>36928</v>
      </c>
      <c r="J2858" s="9" t="str">
        <f t="shared" ca="1" si="46"/>
        <v>22 ans</v>
      </c>
      <c r="K2858" s="2" t="s">
        <v>156</v>
      </c>
      <c r="L2858" s="2" t="str">
        <f>"940"</f>
        <v>940</v>
      </c>
      <c r="M2858" s="2"/>
      <c r="N2858" s="2" t="str">
        <f>"RUE DIONNE"</f>
        <v>RUE DIONNE</v>
      </c>
      <c r="O2858" s="2" t="s">
        <v>12980</v>
      </c>
      <c r="P2858" s="9" t="str">
        <f>VLOOKUP($O2858,'Liste des Villes'!$B$2:$B$1128,1,FALSE)</f>
        <v>Rosemère</v>
      </c>
      <c r="Q2858" s="9" t="str">
        <f>IFERROR($P2858,PROPER(VLOOKUP($O2858,'Villes en erreur'!$A$2:$B$72,2,FALSE)))</f>
        <v>Rosemère</v>
      </c>
      <c r="R2858" s="9" t="s">
        <v>12981</v>
      </c>
      <c r="S2858" s="9" t="str">
        <f>IF(ISBLANK($R2858),"",VLOOKUP($R2858,'Liste des Villes'!$B$2:$H$1128,4,FALSE))</f>
        <v>Laurentides</v>
      </c>
      <c r="T2858" s="2" t="s">
        <v>12982</v>
      </c>
      <c r="U2858" s="2" t="s">
        <v>39</v>
      </c>
      <c r="V2858" s="2" t="s">
        <v>40</v>
      </c>
      <c r="W2858" s="2" t="s">
        <v>12983</v>
      </c>
      <c r="X2858" s="2"/>
      <c r="Y2858" s="2"/>
      <c r="Z2858" s="2"/>
      <c r="AA2858" s="2" t="s">
        <v>160</v>
      </c>
      <c r="AB2858" s="2" t="s">
        <v>161</v>
      </c>
      <c r="AC2858" s="4" t="s">
        <v>44</v>
      </c>
    </row>
    <row r="2859" spans="1:29" x14ac:dyDescent="0.25">
      <c r="A2859" s="1">
        <v>3719</v>
      </c>
      <c r="B2859" s="17" t="s">
        <v>12984</v>
      </c>
      <c r="C2859" s="2" t="s">
        <v>12985</v>
      </c>
      <c r="D2859" s="15" t="s">
        <v>9272</v>
      </c>
      <c r="E2859" s="9" t="s">
        <v>12986</v>
      </c>
      <c r="F2859" s="9" t="s">
        <v>12987</v>
      </c>
      <c r="G2859" s="9" t="s">
        <v>99</v>
      </c>
      <c r="H2859" s="2" t="s">
        <v>35</v>
      </c>
      <c r="I2859" s="3">
        <v>36926</v>
      </c>
      <c r="J2859" s="9" t="str">
        <f t="shared" ca="1" si="46"/>
        <v>22 ans</v>
      </c>
      <c r="K2859" s="2" t="s">
        <v>156</v>
      </c>
      <c r="L2859" s="2" t="str">
        <f>"933"</f>
        <v>933</v>
      </c>
      <c r="M2859" s="2"/>
      <c r="N2859" s="2" t="str">
        <f>"RUE DIANE"</f>
        <v>RUE DIANE</v>
      </c>
      <c r="O2859" s="2" t="s">
        <v>12980</v>
      </c>
      <c r="P2859" s="9" t="str">
        <f>VLOOKUP($O2859,'Liste des Villes'!$B$2:$B$1128,1,FALSE)</f>
        <v>Rosemère</v>
      </c>
      <c r="Q2859" s="9" t="str">
        <f>IFERROR($P2859,PROPER(VLOOKUP($O2859,'Villes en erreur'!$A$2:$B$72,2,FALSE)))</f>
        <v>Rosemère</v>
      </c>
      <c r="R2859" s="9" t="s">
        <v>12981</v>
      </c>
      <c r="S2859" s="9" t="str">
        <f>IF(ISBLANK($R2859),"",VLOOKUP($R2859,'Liste des Villes'!$B$2:$H$1128,4,FALSE))</f>
        <v>Laurentides</v>
      </c>
      <c r="T2859" s="2" t="s">
        <v>12988</v>
      </c>
      <c r="U2859" s="2" t="s">
        <v>39</v>
      </c>
      <c r="V2859" s="2" t="s">
        <v>40</v>
      </c>
      <c r="W2859" s="2" t="s">
        <v>12989</v>
      </c>
      <c r="X2859" s="2"/>
      <c r="Y2859" s="2"/>
      <c r="Z2859" s="2"/>
      <c r="AA2859" s="2" t="s">
        <v>299</v>
      </c>
      <c r="AB2859" s="2" t="s">
        <v>161</v>
      </c>
      <c r="AC2859" s="4" t="s">
        <v>44</v>
      </c>
    </row>
    <row r="2860" spans="1:29" x14ac:dyDescent="0.25">
      <c r="A2860" s="1">
        <v>2565</v>
      </c>
      <c r="B2860" s="17" t="s">
        <v>12990</v>
      </c>
      <c r="C2860" s="2" t="s">
        <v>12991</v>
      </c>
      <c r="D2860" s="15" t="s">
        <v>469</v>
      </c>
      <c r="E2860" s="9" t="s">
        <v>4243</v>
      </c>
      <c r="F2860" s="9" t="s">
        <v>467</v>
      </c>
      <c r="G2860" s="9" t="s">
        <v>99</v>
      </c>
      <c r="H2860" s="2" t="s">
        <v>35</v>
      </c>
      <c r="I2860" s="3">
        <v>36924</v>
      </c>
      <c r="J2860" s="9" t="str">
        <f t="shared" ca="1" si="46"/>
        <v>22 ans</v>
      </c>
      <c r="K2860" s="2" t="s">
        <v>156</v>
      </c>
      <c r="L2860" s="2" t="str">
        <f>"932"</f>
        <v>932</v>
      </c>
      <c r="M2860" s="2"/>
      <c r="N2860" s="2" t="str">
        <f>"RUE DÉSORMEAUX"</f>
        <v>RUE DÉSORMEAUX</v>
      </c>
      <c r="O2860" s="2" t="s">
        <v>12980</v>
      </c>
      <c r="P2860" s="9" t="str">
        <f>VLOOKUP($O2860,'Liste des Villes'!$B$2:$B$1128,1,FALSE)</f>
        <v>Rosemère</v>
      </c>
      <c r="Q2860" s="9" t="str">
        <f>IFERROR($P2860,PROPER(VLOOKUP($O2860,'Villes en erreur'!$A$2:$B$72,2,FALSE)))</f>
        <v>Rosemère</v>
      </c>
      <c r="R2860" s="9" t="s">
        <v>12981</v>
      </c>
      <c r="S2860" s="9" t="str">
        <f>IF(ISBLANK($R2860),"",VLOOKUP($R2860,'Liste des Villes'!$B$2:$H$1128,4,FALSE))</f>
        <v>Laurentides</v>
      </c>
      <c r="T2860" s="2" t="s">
        <v>12992</v>
      </c>
      <c r="U2860" s="2" t="s">
        <v>39</v>
      </c>
      <c r="V2860" s="2" t="s">
        <v>40</v>
      </c>
      <c r="W2860" s="2" t="s">
        <v>12993</v>
      </c>
      <c r="X2860" s="2"/>
      <c r="Y2860" s="2"/>
      <c r="Z2860" s="2"/>
      <c r="AA2860" s="2" t="s">
        <v>299</v>
      </c>
      <c r="AB2860" s="2" t="s">
        <v>161</v>
      </c>
      <c r="AC2860" s="4" t="s">
        <v>44</v>
      </c>
    </row>
    <row r="2861" spans="1:29" x14ac:dyDescent="0.25">
      <c r="A2861" s="1">
        <v>1661</v>
      </c>
      <c r="B2861" s="17" t="s">
        <v>12994</v>
      </c>
      <c r="C2861" s="2" t="s">
        <v>2348</v>
      </c>
      <c r="D2861" s="15" t="s">
        <v>1523</v>
      </c>
      <c r="E2861" s="9" t="s">
        <v>2349</v>
      </c>
      <c r="F2861" s="9" t="s">
        <v>2350</v>
      </c>
      <c r="G2861" s="9" t="s">
        <v>3637</v>
      </c>
      <c r="H2861" s="2" t="s">
        <v>35</v>
      </c>
      <c r="I2861" s="3">
        <v>36921</v>
      </c>
      <c r="J2861" s="9" t="str">
        <f t="shared" ca="1" si="46"/>
        <v>22 ans</v>
      </c>
      <c r="K2861" s="2" t="s">
        <v>156</v>
      </c>
      <c r="L2861" s="2" t="str">
        <f>"925"</f>
        <v>925</v>
      </c>
      <c r="M2861" s="2"/>
      <c r="N2861" s="2" t="str">
        <f>"RUE DESJARDINS"</f>
        <v>RUE DESJARDINS</v>
      </c>
      <c r="O2861" s="2" t="s">
        <v>12980</v>
      </c>
      <c r="P2861" s="9" t="str">
        <f>VLOOKUP($O2861,'Liste des Villes'!$B$2:$B$1128,1,FALSE)</f>
        <v>Rosemère</v>
      </c>
      <c r="Q2861" s="9" t="str">
        <f>IFERROR($P2861,PROPER(VLOOKUP($O2861,'Villes en erreur'!$A$2:$B$72,2,FALSE)))</f>
        <v>Rosemère</v>
      </c>
      <c r="R2861" s="9" t="s">
        <v>12981</v>
      </c>
      <c r="S2861" s="9" t="str">
        <f>IF(ISBLANK($R2861),"",VLOOKUP($R2861,'Liste des Villes'!$B$2:$H$1128,4,FALSE))</f>
        <v>Laurentides</v>
      </c>
      <c r="T2861" s="2" t="s">
        <v>12995</v>
      </c>
      <c r="U2861" s="2" t="s">
        <v>39</v>
      </c>
      <c r="V2861" s="2" t="s">
        <v>40</v>
      </c>
      <c r="W2861" s="2" t="s">
        <v>12996</v>
      </c>
      <c r="X2861" s="2"/>
      <c r="Y2861" s="2"/>
      <c r="Z2861" s="2"/>
      <c r="AA2861" s="2" t="s">
        <v>299</v>
      </c>
      <c r="AB2861" s="2" t="s">
        <v>161</v>
      </c>
      <c r="AC2861" s="4" t="s">
        <v>44</v>
      </c>
    </row>
    <row r="2862" spans="1:29" x14ac:dyDescent="0.25">
      <c r="A2862" s="1">
        <v>4518</v>
      </c>
      <c r="B2862" s="17" t="s">
        <v>12997</v>
      </c>
      <c r="C2862" s="2" t="s">
        <v>8635</v>
      </c>
      <c r="D2862" s="15" t="s">
        <v>3810</v>
      </c>
      <c r="E2862" s="9" t="s">
        <v>2198</v>
      </c>
      <c r="F2862" s="9" t="s">
        <v>12998</v>
      </c>
      <c r="G2862" s="9" t="s">
        <v>3978</v>
      </c>
      <c r="H2862" s="2" t="s">
        <v>60</v>
      </c>
      <c r="I2862" s="3">
        <v>36922</v>
      </c>
      <c r="J2862" s="9" t="str">
        <f t="shared" ca="1" si="46"/>
        <v>22 ans</v>
      </c>
      <c r="K2862" s="2" t="s">
        <v>156</v>
      </c>
      <c r="L2862" s="2" t="str">
        <f>"927"</f>
        <v>927</v>
      </c>
      <c r="M2862" s="2"/>
      <c r="N2862" s="2" t="str">
        <f>"RUE DESJARDINS"</f>
        <v>RUE DESJARDINS</v>
      </c>
      <c r="O2862" s="2" t="s">
        <v>12980</v>
      </c>
      <c r="P2862" s="9" t="str">
        <f>VLOOKUP($O2862,'Liste des Villes'!$B$2:$B$1128,1,FALSE)</f>
        <v>Rosemère</v>
      </c>
      <c r="Q2862" s="9" t="str">
        <f>IFERROR($P2862,PROPER(VLOOKUP($O2862,'Villes en erreur'!$A$2:$B$72,2,FALSE)))</f>
        <v>Rosemère</v>
      </c>
      <c r="R2862" s="9" t="s">
        <v>12981</v>
      </c>
      <c r="S2862" s="9" t="str">
        <f>IF(ISBLANK($R2862),"",VLOOKUP($R2862,'Liste des Villes'!$B$2:$H$1128,4,FALSE))</f>
        <v>Laurentides</v>
      </c>
      <c r="T2862" s="2" t="s">
        <v>12999</v>
      </c>
      <c r="U2862" s="2" t="s">
        <v>39</v>
      </c>
      <c r="V2862" s="2" t="s">
        <v>40</v>
      </c>
      <c r="W2862" s="2" t="s">
        <v>13000</v>
      </c>
      <c r="X2862" s="2"/>
      <c r="Y2862" s="2"/>
      <c r="Z2862" s="2"/>
      <c r="AA2862" s="2" t="s">
        <v>299</v>
      </c>
      <c r="AB2862" s="2" t="s">
        <v>161</v>
      </c>
      <c r="AC2862" s="4" t="s">
        <v>44</v>
      </c>
    </row>
    <row r="2863" spans="1:29" x14ac:dyDescent="0.25">
      <c r="A2863" s="1">
        <v>4217</v>
      </c>
      <c r="B2863" s="17" t="s">
        <v>13001</v>
      </c>
      <c r="C2863" s="2" t="s">
        <v>13002</v>
      </c>
      <c r="D2863" s="15" t="s">
        <v>285</v>
      </c>
      <c r="E2863" s="9" t="s">
        <v>13003</v>
      </c>
      <c r="F2863" s="9" t="s">
        <v>12031</v>
      </c>
      <c r="G2863" s="9" t="s">
        <v>99</v>
      </c>
      <c r="H2863" s="2" t="s">
        <v>35</v>
      </c>
      <c r="I2863" s="3">
        <v>36928</v>
      </c>
      <c r="J2863" s="9" t="str">
        <f t="shared" ca="1" si="46"/>
        <v>22 ans</v>
      </c>
      <c r="K2863" s="2" t="s">
        <v>156</v>
      </c>
      <c r="L2863" s="2" t="str">
        <f>"939"</f>
        <v>939</v>
      </c>
      <c r="M2863" s="2"/>
      <c r="N2863" s="2" t="str">
        <f>"RUE DION"</f>
        <v>RUE DION</v>
      </c>
      <c r="O2863" s="2" t="s">
        <v>12980</v>
      </c>
      <c r="P2863" s="9" t="str">
        <f>VLOOKUP($O2863,'Liste des Villes'!$B$2:$B$1128,1,FALSE)</f>
        <v>Rosemère</v>
      </c>
      <c r="Q2863" s="9" t="str">
        <f>IFERROR($P2863,PROPER(VLOOKUP($O2863,'Villes en erreur'!$A$2:$B$72,2,FALSE)))</f>
        <v>Rosemère</v>
      </c>
      <c r="R2863" s="9" t="s">
        <v>12981</v>
      </c>
      <c r="S2863" s="9" t="str">
        <f>IF(ISBLANK($R2863),"",VLOOKUP($R2863,'Liste des Villes'!$B$2:$H$1128,4,FALSE))</f>
        <v>Laurentides</v>
      </c>
      <c r="T2863" s="2" t="s">
        <v>13004</v>
      </c>
      <c r="U2863" s="2" t="s">
        <v>39</v>
      </c>
      <c r="V2863" s="2" t="s">
        <v>40</v>
      </c>
      <c r="W2863" s="2" t="s">
        <v>13005</v>
      </c>
      <c r="X2863" s="2"/>
      <c r="Y2863" s="2"/>
      <c r="Z2863" s="2"/>
      <c r="AA2863" s="2" t="s">
        <v>160</v>
      </c>
      <c r="AB2863" s="2" t="s">
        <v>161</v>
      </c>
      <c r="AC2863" s="4" t="s">
        <v>44</v>
      </c>
    </row>
    <row r="2864" spans="1:29" x14ac:dyDescent="0.25">
      <c r="A2864" s="1">
        <v>476</v>
      </c>
      <c r="B2864" s="17" t="s">
        <v>13006</v>
      </c>
      <c r="C2864" s="2" t="s">
        <v>13007</v>
      </c>
      <c r="D2864" s="15" t="s">
        <v>13008</v>
      </c>
      <c r="E2864" s="9" t="s">
        <v>622</v>
      </c>
      <c r="F2864" s="9" t="s">
        <v>2321</v>
      </c>
      <c r="G2864" s="9" t="s">
        <v>99</v>
      </c>
      <c r="H2864" s="2" t="s">
        <v>35</v>
      </c>
      <c r="I2864" s="3">
        <v>36925</v>
      </c>
      <c r="J2864" s="9" t="str">
        <f t="shared" ca="1" si="46"/>
        <v>22 ans</v>
      </c>
      <c r="K2864" s="2" t="s">
        <v>156</v>
      </c>
      <c r="L2864" s="2" t="str">
        <f>"933"</f>
        <v>933</v>
      </c>
      <c r="M2864" s="2"/>
      <c r="N2864" s="2" t="str">
        <f>"RUE DIANE"</f>
        <v>RUE DIANE</v>
      </c>
      <c r="O2864" s="2" t="s">
        <v>12980</v>
      </c>
      <c r="P2864" s="9" t="str">
        <f>VLOOKUP($O2864,'Liste des Villes'!$B$2:$B$1128,1,FALSE)</f>
        <v>Rosemère</v>
      </c>
      <c r="Q2864" s="9" t="str">
        <f>IFERROR($P2864,PROPER(VLOOKUP($O2864,'Villes en erreur'!$A$2:$B$72,2,FALSE)))</f>
        <v>Rosemère</v>
      </c>
      <c r="R2864" s="9" t="s">
        <v>12981</v>
      </c>
      <c r="S2864" s="9" t="str">
        <f>IF(ISBLANK($R2864),"",VLOOKUP($R2864,'Liste des Villes'!$B$2:$H$1128,4,FALSE))</f>
        <v>Laurentides</v>
      </c>
      <c r="T2864" s="2" t="s">
        <v>13009</v>
      </c>
      <c r="U2864" s="2" t="s">
        <v>39</v>
      </c>
      <c r="V2864" s="2" t="s">
        <v>40</v>
      </c>
      <c r="W2864" s="2" t="s">
        <v>13010</v>
      </c>
      <c r="X2864" s="2"/>
      <c r="Y2864" s="2"/>
      <c r="Z2864" s="2"/>
      <c r="AA2864" s="2" t="s">
        <v>299</v>
      </c>
      <c r="AB2864" s="2" t="s">
        <v>161</v>
      </c>
      <c r="AC2864" s="4" t="s">
        <v>44</v>
      </c>
    </row>
    <row r="2865" spans="1:29" x14ac:dyDescent="0.25">
      <c r="A2865" s="1">
        <v>2264</v>
      </c>
      <c r="B2865" s="17" t="s">
        <v>13011</v>
      </c>
      <c r="C2865" s="2" t="s">
        <v>13012</v>
      </c>
      <c r="D2865" s="15" t="s">
        <v>5957</v>
      </c>
      <c r="E2865" s="9" t="s">
        <v>1423</v>
      </c>
      <c r="F2865" s="9" t="s">
        <v>13013</v>
      </c>
      <c r="G2865" s="9" t="s">
        <v>99</v>
      </c>
      <c r="H2865" s="2" t="s">
        <v>35</v>
      </c>
      <c r="I2865" s="3">
        <v>36928</v>
      </c>
      <c r="J2865" s="9" t="str">
        <f t="shared" ca="1" si="46"/>
        <v>22 ans</v>
      </c>
      <c r="K2865" s="2" t="s">
        <v>156</v>
      </c>
      <c r="L2865" s="2" t="str">
        <f>"940"</f>
        <v>940</v>
      </c>
      <c r="M2865" s="2"/>
      <c r="N2865" s="2" t="str">
        <f>"RUE DION"</f>
        <v>RUE DION</v>
      </c>
      <c r="O2865" s="2" t="s">
        <v>12981</v>
      </c>
      <c r="P2865" s="9" t="str">
        <f>VLOOKUP($O2865,'Liste des Villes'!$B$2:$B$1128,1,FALSE)</f>
        <v>Rosemère</v>
      </c>
      <c r="Q2865" s="9" t="str">
        <f>IFERROR($P2865,PROPER(VLOOKUP($O2865,'Villes en erreur'!$A$2:$B$72,2,FALSE)))</f>
        <v>Rosemère</v>
      </c>
      <c r="R2865" s="9" t="s">
        <v>12981</v>
      </c>
      <c r="S2865" s="9" t="str">
        <f>IF(ISBLANK($R2865),"",VLOOKUP($R2865,'Liste des Villes'!$B$2:$H$1128,4,FALSE))</f>
        <v>Laurentides</v>
      </c>
      <c r="T2865" s="2" t="s">
        <v>13014</v>
      </c>
      <c r="U2865" s="2" t="s">
        <v>39</v>
      </c>
      <c r="V2865" s="2" t="s">
        <v>40</v>
      </c>
      <c r="W2865" s="2" t="s">
        <v>13015</v>
      </c>
      <c r="X2865" s="2"/>
      <c r="Y2865" s="2"/>
      <c r="Z2865" s="2"/>
      <c r="AA2865" s="2" t="s">
        <v>160</v>
      </c>
      <c r="AB2865" s="2" t="s">
        <v>161</v>
      </c>
      <c r="AC2865" s="4" t="s">
        <v>44</v>
      </c>
    </row>
    <row r="2866" spans="1:29" x14ac:dyDescent="0.25">
      <c r="A2866" s="1">
        <v>350</v>
      </c>
      <c r="B2866" s="17" t="s">
        <v>13016</v>
      </c>
      <c r="C2866" s="2" t="s">
        <v>13017</v>
      </c>
      <c r="D2866" s="15" t="s">
        <v>2018</v>
      </c>
      <c r="E2866" s="9" t="s">
        <v>13018</v>
      </c>
      <c r="F2866" s="9" t="s">
        <v>11174</v>
      </c>
      <c r="G2866" s="9" t="s">
        <v>5342</v>
      </c>
      <c r="H2866" s="2" t="s">
        <v>35</v>
      </c>
      <c r="I2866" s="3">
        <v>36922</v>
      </c>
      <c r="J2866" s="9" t="str">
        <f t="shared" ca="1" si="46"/>
        <v>22 ans</v>
      </c>
      <c r="K2866" s="2" t="s">
        <v>156</v>
      </c>
      <c r="L2866" s="2" t="str">
        <f>"927"</f>
        <v>927</v>
      </c>
      <c r="M2866" s="2"/>
      <c r="N2866" s="2" t="str">
        <f>"RUE DESJARDINS"</f>
        <v>RUE DESJARDINS</v>
      </c>
      <c r="O2866" s="2" t="s">
        <v>12980</v>
      </c>
      <c r="P2866" s="9" t="str">
        <f>VLOOKUP($O2866,'Liste des Villes'!$B$2:$B$1128,1,FALSE)</f>
        <v>Rosemère</v>
      </c>
      <c r="Q2866" s="9" t="str">
        <f>IFERROR($P2866,PROPER(VLOOKUP($O2866,'Villes en erreur'!$A$2:$B$72,2,FALSE)))</f>
        <v>Rosemère</v>
      </c>
      <c r="R2866" s="9" t="s">
        <v>12981</v>
      </c>
      <c r="S2866" s="9" t="str">
        <f>IF(ISBLANK($R2866),"",VLOOKUP($R2866,'Liste des Villes'!$B$2:$H$1128,4,FALSE))</f>
        <v>Laurentides</v>
      </c>
      <c r="T2866" s="2" t="s">
        <v>13019</v>
      </c>
      <c r="U2866" s="2" t="s">
        <v>39</v>
      </c>
      <c r="V2866" s="2" t="s">
        <v>40</v>
      </c>
      <c r="W2866" s="2" t="s">
        <v>13020</v>
      </c>
      <c r="X2866" s="2"/>
      <c r="Y2866" s="2"/>
      <c r="Z2866" s="2"/>
      <c r="AA2866" s="2" t="s">
        <v>299</v>
      </c>
      <c r="AB2866" s="2" t="s">
        <v>161</v>
      </c>
      <c r="AC2866" s="4" t="s">
        <v>44</v>
      </c>
    </row>
    <row r="2867" spans="1:29" x14ac:dyDescent="0.25">
      <c r="A2867" s="1">
        <v>2692</v>
      </c>
      <c r="B2867" s="17" t="s">
        <v>13021</v>
      </c>
      <c r="C2867" s="2" t="s">
        <v>12030</v>
      </c>
      <c r="D2867" s="15" t="s">
        <v>12031</v>
      </c>
      <c r="E2867" s="9" t="s">
        <v>1037</v>
      </c>
      <c r="F2867" s="9" t="s">
        <v>285</v>
      </c>
      <c r="G2867" s="9" t="s">
        <v>13022</v>
      </c>
      <c r="H2867" s="2" t="s">
        <v>60</v>
      </c>
      <c r="I2867" s="3">
        <v>36922</v>
      </c>
      <c r="J2867" s="9" t="str">
        <f t="shared" ca="1" si="46"/>
        <v>22 ans</v>
      </c>
      <c r="K2867" s="2" t="s">
        <v>156</v>
      </c>
      <c r="L2867" s="2" t="str">
        <f>"930"</f>
        <v>930</v>
      </c>
      <c r="M2867" s="2"/>
      <c r="N2867" s="2" t="str">
        <f>"RUE DESJARDINS"</f>
        <v>RUE DESJARDINS</v>
      </c>
      <c r="O2867" s="2" t="s">
        <v>12980</v>
      </c>
      <c r="P2867" s="9" t="str">
        <f>VLOOKUP($O2867,'Liste des Villes'!$B$2:$B$1128,1,FALSE)</f>
        <v>Rosemère</v>
      </c>
      <c r="Q2867" s="9" t="str">
        <f>IFERROR($P2867,PROPER(VLOOKUP($O2867,'Villes en erreur'!$A$2:$B$72,2,FALSE)))</f>
        <v>Rosemère</v>
      </c>
      <c r="R2867" s="9" t="s">
        <v>12981</v>
      </c>
      <c r="S2867" s="9" t="str">
        <f>IF(ISBLANK($R2867),"",VLOOKUP($R2867,'Liste des Villes'!$B$2:$H$1128,4,FALSE))</f>
        <v>Laurentides</v>
      </c>
      <c r="T2867" s="2" t="s">
        <v>13023</v>
      </c>
      <c r="U2867" s="2" t="s">
        <v>39</v>
      </c>
      <c r="V2867" s="2" t="s">
        <v>40</v>
      </c>
      <c r="W2867" s="2" t="s">
        <v>13024</v>
      </c>
      <c r="X2867" s="2"/>
      <c r="Y2867" s="2"/>
      <c r="Z2867" s="2"/>
      <c r="AA2867" s="2" t="s">
        <v>299</v>
      </c>
      <c r="AB2867" s="2" t="s">
        <v>161</v>
      </c>
      <c r="AC2867" s="4" t="s">
        <v>44</v>
      </c>
    </row>
    <row r="2868" spans="1:29" x14ac:dyDescent="0.25">
      <c r="A2868" s="1">
        <v>714</v>
      </c>
      <c r="B2868" s="17" t="s">
        <v>13025</v>
      </c>
      <c r="C2868" s="2" t="s">
        <v>13026</v>
      </c>
      <c r="D2868" s="15" t="s">
        <v>13027</v>
      </c>
      <c r="E2868" s="9" t="s">
        <v>8961</v>
      </c>
      <c r="F2868" s="9" t="s">
        <v>13028</v>
      </c>
      <c r="G2868" s="9" t="s">
        <v>13029</v>
      </c>
      <c r="H2868" s="2" t="s">
        <v>35</v>
      </c>
      <c r="I2868" s="3">
        <v>36924</v>
      </c>
      <c r="J2868" s="9" t="str">
        <f t="shared" ca="1" si="46"/>
        <v>22 ans</v>
      </c>
      <c r="K2868" s="2" t="s">
        <v>156</v>
      </c>
      <c r="L2868" s="2" t="str">
        <f>"931"</f>
        <v>931</v>
      </c>
      <c r="M2868" s="2"/>
      <c r="N2868" s="2" t="str">
        <f>"RUE DESLAURIERS"</f>
        <v>RUE DESLAURIERS</v>
      </c>
      <c r="O2868" s="2" t="s">
        <v>12980</v>
      </c>
      <c r="P2868" s="9" t="str">
        <f>VLOOKUP($O2868,'Liste des Villes'!$B$2:$B$1128,1,FALSE)</f>
        <v>Rosemère</v>
      </c>
      <c r="Q2868" s="9" t="str">
        <f>IFERROR($P2868,PROPER(VLOOKUP($O2868,'Villes en erreur'!$A$2:$B$72,2,FALSE)))</f>
        <v>Rosemère</v>
      </c>
      <c r="R2868" s="9" t="s">
        <v>12981</v>
      </c>
      <c r="S2868" s="9" t="str">
        <f>IF(ISBLANK($R2868),"",VLOOKUP($R2868,'Liste des Villes'!$B$2:$H$1128,4,FALSE))</f>
        <v>Laurentides</v>
      </c>
      <c r="T2868" s="2" t="s">
        <v>13030</v>
      </c>
      <c r="U2868" s="2" t="s">
        <v>39</v>
      </c>
      <c r="V2868" s="2" t="s">
        <v>40</v>
      </c>
      <c r="W2868" s="2" t="s">
        <v>13031</v>
      </c>
      <c r="X2868" s="2"/>
      <c r="Y2868" s="2"/>
      <c r="Z2868" s="2"/>
      <c r="AA2868" s="2" t="s">
        <v>299</v>
      </c>
      <c r="AB2868" s="2" t="s">
        <v>161</v>
      </c>
      <c r="AC2868" s="4" t="s">
        <v>44</v>
      </c>
    </row>
    <row r="2869" spans="1:29" x14ac:dyDescent="0.25">
      <c r="A2869" s="1">
        <v>1347</v>
      </c>
      <c r="B2869" s="17" t="s">
        <v>13032</v>
      </c>
      <c r="C2869" s="2" t="s">
        <v>13033</v>
      </c>
      <c r="D2869" s="15" t="s">
        <v>2508</v>
      </c>
      <c r="E2869" s="9" t="s">
        <v>643</v>
      </c>
      <c r="F2869" s="9" t="s">
        <v>1104</v>
      </c>
      <c r="G2869" s="9" t="s">
        <v>13034</v>
      </c>
      <c r="H2869" s="2" t="s">
        <v>60</v>
      </c>
      <c r="I2869" s="3">
        <v>36922</v>
      </c>
      <c r="J2869" s="9" t="str">
        <f t="shared" ca="1" si="46"/>
        <v>22 ans</v>
      </c>
      <c r="K2869" s="2" t="s">
        <v>156</v>
      </c>
      <c r="L2869" s="2" t="str">
        <f>"929"</f>
        <v>929</v>
      </c>
      <c r="M2869" s="2"/>
      <c r="N2869" s="2" t="str">
        <f>"RUE DESJARDINS"</f>
        <v>RUE DESJARDINS</v>
      </c>
      <c r="O2869" s="2" t="s">
        <v>12980</v>
      </c>
      <c r="P2869" s="9" t="str">
        <f>VLOOKUP($O2869,'Liste des Villes'!$B$2:$B$1128,1,FALSE)</f>
        <v>Rosemère</v>
      </c>
      <c r="Q2869" s="9" t="str">
        <f>IFERROR($P2869,PROPER(VLOOKUP($O2869,'Villes en erreur'!$A$2:$B$72,2,FALSE)))</f>
        <v>Rosemère</v>
      </c>
      <c r="R2869" s="9" t="s">
        <v>12981</v>
      </c>
      <c r="S2869" s="9" t="str">
        <f>IF(ISBLANK($R2869),"",VLOOKUP($R2869,'Liste des Villes'!$B$2:$H$1128,4,FALSE))</f>
        <v>Laurentides</v>
      </c>
      <c r="T2869" s="2" t="s">
        <v>13035</v>
      </c>
      <c r="U2869" s="2" t="s">
        <v>39</v>
      </c>
      <c r="V2869" s="2" t="s">
        <v>40</v>
      </c>
      <c r="W2869" s="2" t="s">
        <v>13036</v>
      </c>
      <c r="X2869" s="2"/>
      <c r="Y2869" s="2"/>
      <c r="Z2869" s="2"/>
      <c r="AA2869" s="2" t="s">
        <v>299</v>
      </c>
      <c r="AB2869" s="2" t="s">
        <v>161</v>
      </c>
      <c r="AC2869" s="4" t="s">
        <v>44</v>
      </c>
    </row>
    <row r="2870" spans="1:29" x14ac:dyDescent="0.25">
      <c r="A2870" s="1">
        <v>3463</v>
      </c>
      <c r="B2870" s="17" t="s">
        <v>13037</v>
      </c>
      <c r="C2870" s="2" t="s">
        <v>163</v>
      </c>
      <c r="D2870" s="15" t="s">
        <v>164</v>
      </c>
      <c r="E2870" s="9" t="s">
        <v>165</v>
      </c>
      <c r="F2870" s="9" t="s">
        <v>166</v>
      </c>
      <c r="G2870" s="9" t="s">
        <v>99</v>
      </c>
      <c r="H2870" s="2" t="s">
        <v>35</v>
      </c>
      <c r="I2870" s="3">
        <v>36925</v>
      </c>
      <c r="J2870" s="9" t="str">
        <f t="shared" ca="1" si="46"/>
        <v>22 ans</v>
      </c>
      <c r="K2870" s="2" t="s">
        <v>156</v>
      </c>
      <c r="L2870" s="2" t="str">
        <f>"932"</f>
        <v>932</v>
      </c>
      <c r="M2870" s="2"/>
      <c r="N2870" s="2" t="str">
        <f>"RUE DI PATRIA"</f>
        <v>RUE DI PATRIA</v>
      </c>
      <c r="O2870" s="2" t="s">
        <v>12980</v>
      </c>
      <c r="P2870" s="9" t="str">
        <f>VLOOKUP($O2870,'Liste des Villes'!$B$2:$B$1128,1,FALSE)</f>
        <v>Rosemère</v>
      </c>
      <c r="Q2870" s="9" t="str">
        <f>IFERROR($P2870,PROPER(VLOOKUP($O2870,'Villes en erreur'!$A$2:$B$72,2,FALSE)))</f>
        <v>Rosemère</v>
      </c>
      <c r="R2870" s="9" t="s">
        <v>12981</v>
      </c>
      <c r="S2870" s="9" t="str">
        <f>IF(ISBLANK($R2870),"",VLOOKUP($R2870,'Liste des Villes'!$B$2:$H$1128,4,FALSE))</f>
        <v>Laurentides</v>
      </c>
      <c r="T2870" s="2" t="s">
        <v>13038</v>
      </c>
      <c r="U2870" s="2" t="s">
        <v>39</v>
      </c>
      <c r="V2870" s="2" t="s">
        <v>40</v>
      </c>
      <c r="W2870" s="2" t="s">
        <v>13039</v>
      </c>
      <c r="X2870" s="2"/>
      <c r="Y2870" s="2"/>
      <c r="Z2870" s="2"/>
      <c r="AA2870" s="2" t="s">
        <v>299</v>
      </c>
      <c r="AB2870" s="2" t="s">
        <v>161</v>
      </c>
      <c r="AC2870" s="4" t="s">
        <v>44</v>
      </c>
    </row>
    <row r="2871" spans="1:29" x14ac:dyDescent="0.25">
      <c r="A2871" s="1">
        <v>3828</v>
      </c>
      <c r="B2871" s="17" t="s">
        <v>13040</v>
      </c>
      <c r="C2871" s="2" t="s">
        <v>13041</v>
      </c>
      <c r="D2871" s="15" t="s">
        <v>1016</v>
      </c>
      <c r="E2871" s="9" t="s">
        <v>10760</v>
      </c>
      <c r="F2871" s="9" t="s">
        <v>13042</v>
      </c>
      <c r="G2871" s="9" t="s">
        <v>13029</v>
      </c>
      <c r="H2871" s="2" t="s">
        <v>35</v>
      </c>
      <c r="I2871" s="3">
        <v>36924</v>
      </c>
      <c r="J2871" s="9" t="str">
        <f t="shared" ca="1" si="46"/>
        <v>22 ans</v>
      </c>
      <c r="K2871" s="2" t="s">
        <v>156</v>
      </c>
      <c r="L2871" s="2" t="str">
        <f>"930"</f>
        <v>930</v>
      </c>
      <c r="M2871" s="2"/>
      <c r="N2871" s="2" t="str">
        <f>"RUE DESLAURIERS"</f>
        <v>RUE DESLAURIERS</v>
      </c>
      <c r="O2871" s="2" t="s">
        <v>12980</v>
      </c>
      <c r="P2871" s="9" t="str">
        <f>VLOOKUP($O2871,'Liste des Villes'!$B$2:$B$1128,1,FALSE)</f>
        <v>Rosemère</v>
      </c>
      <c r="Q2871" s="9" t="str">
        <f>IFERROR($P2871,PROPER(VLOOKUP($O2871,'Villes en erreur'!$A$2:$B$72,2,FALSE)))</f>
        <v>Rosemère</v>
      </c>
      <c r="R2871" s="9" t="s">
        <v>12981</v>
      </c>
      <c r="S2871" s="9" t="str">
        <f>IF(ISBLANK($R2871),"",VLOOKUP($R2871,'Liste des Villes'!$B$2:$H$1128,4,FALSE))</f>
        <v>Laurentides</v>
      </c>
      <c r="T2871" s="2" t="s">
        <v>13043</v>
      </c>
      <c r="U2871" s="2" t="s">
        <v>39</v>
      </c>
      <c r="V2871" s="2" t="s">
        <v>40</v>
      </c>
      <c r="W2871" s="2" t="s">
        <v>13044</v>
      </c>
      <c r="X2871" s="2"/>
      <c r="Y2871" s="2"/>
      <c r="Z2871" s="2"/>
      <c r="AA2871" s="2" t="s">
        <v>299</v>
      </c>
      <c r="AB2871" s="2" t="s">
        <v>161</v>
      </c>
      <c r="AC2871" s="4" t="s">
        <v>44</v>
      </c>
    </row>
    <row r="2872" spans="1:29" x14ac:dyDescent="0.25">
      <c r="A2872" s="1">
        <v>3783</v>
      </c>
      <c r="B2872" s="17" t="s">
        <v>13045</v>
      </c>
      <c r="C2872" s="2" t="s">
        <v>10384</v>
      </c>
      <c r="D2872" s="15" t="s">
        <v>6513</v>
      </c>
      <c r="E2872" s="9" t="s">
        <v>3682</v>
      </c>
      <c r="F2872" s="9" t="s">
        <v>1349</v>
      </c>
      <c r="G2872" s="9" t="s">
        <v>99</v>
      </c>
      <c r="H2872" s="2" t="s">
        <v>35</v>
      </c>
      <c r="I2872" s="3">
        <v>36927</v>
      </c>
      <c r="J2872" s="9" t="str">
        <f t="shared" ca="1" si="46"/>
        <v>22 ans</v>
      </c>
      <c r="K2872" s="2" t="s">
        <v>156</v>
      </c>
      <c r="L2872" s="2" t="str">
        <f>"935"</f>
        <v>935</v>
      </c>
      <c r="M2872" s="2"/>
      <c r="N2872" s="2" t="str">
        <f>"RUE DIANE-JUSTER"</f>
        <v>RUE DIANE-JUSTER</v>
      </c>
      <c r="O2872" s="2" t="s">
        <v>12980</v>
      </c>
      <c r="P2872" s="9" t="str">
        <f>VLOOKUP($O2872,'Liste des Villes'!$B$2:$B$1128,1,FALSE)</f>
        <v>Rosemère</v>
      </c>
      <c r="Q2872" s="9" t="str">
        <f>IFERROR($P2872,PROPER(VLOOKUP($O2872,'Villes en erreur'!$A$2:$B$72,2,FALSE)))</f>
        <v>Rosemère</v>
      </c>
      <c r="R2872" s="9" t="s">
        <v>12981</v>
      </c>
      <c r="S2872" s="9" t="str">
        <f>IF(ISBLANK($R2872),"",VLOOKUP($R2872,'Liste des Villes'!$B$2:$H$1128,4,FALSE))</f>
        <v>Laurentides</v>
      </c>
      <c r="T2872" s="2" t="s">
        <v>13046</v>
      </c>
      <c r="U2872" s="2" t="s">
        <v>39</v>
      </c>
      <c r="V2872" s="2" t="s">
        <v>40</v>
      </c>
      <c r="W2872" s="2" t="s">
        <v>13047</v>
      </c>
      <c r="X2872" s="2"/>
      <c r="Y2872" s="2"/>
      <c r="Z2872" s="2"/>
      <c r="AA2872" s="2" t="s">
        <v>299</v>
      </c>
      <c r="AB2872" s="2" t="s">
        <v>161</v>
      </c>
      <c r="AC2872" s="4" t="s">
        <v>44</v>
      </c>
    </row>
    <row r="2873" spans="1:29" x14ac:dyDescent="0.25">
      <c r="A2873" s="1">
        <v>142</v>
      </c>
      <c r="B2873" s="17" t="s">
        <v>13048</v>
      </c>
      <c r="C2873" s="2" t="s">
        <v>13049</v>
      </c>
      <c r="D2873" s="15" t="s">
        <v>923</v>
      </c>
      <c r="E2873" s="9" t="s">
        <v>348</v>
      </c>
      <c r="F2873" s="9" t="s">
        <v>921</v>
      </c>
      <c r="G2873" s="9" t="s">
        <v>99</v>
      </c>
      <c r="H2873" s="2" t="s">
        <v>35</v>
      </c>
      <c r="I2873" s="3">
        <v>36924</v>
      </c>
      <c r="J2873" s="9" t="str">
        <f t="shared" ca="1" si="46"/>
        <v>22 ans</v>
      </c>
      <c r="K2873" s="2" t="s">
        <v>156</v>
      </c>
      <c r="L2873" s="2" t="str">
        <f>"931"</f>
        <v>931</v>
      </c>
      <c r="M2873" s="2"/>
      <c r="N2873" s="2" t="str">
        <f>"RUE DÉSORMEAUX"</f>
        <v>RUE DÉSORMEAUX</v>
      </c>
      <c r="O2873" s="2" t="s">
        <v>12980</v>
      </c>
      <c r="P2873" s="9" t="str">
        <f>VLOOKUP($O2873,'Liste des Villes'!$B$2:$B$1128,1,FALSE)</f>
        <v>Rosemère</v>
      </c>
      <c r="Q2873" s="9" t="str">
        <f>IFERROR($P2873,PROPER(VLOOKUP($O2873,'Villes en erreur'!$A$2:$B$72,2,FALSE)))</f>
        <v>Rosemère</v>
      </c>
      <c r="R2873" s="9" t="s">
        <v>12981</v>
      </c>
      <c r="S2873" s="9" t="str">
        <f>IF(ISBLANK($R2873),"",VLOOKUP($R2873,'Liste des Villes'!$B$2:$H$1128,4,FALSE))</f>
        <v>Laurentides</v>
      </c>
      <c r="T2873" s="2" t="s">
        <v>13050</v>
      </c>
      <c r="U2873" s="2" t="s">
        <v>39</v>
      </c>
      <c r="V2873" s="2" t="s">
        <v>40</v>
      </c>
      <c r="W2873" s="2" t="s">
        <v>13051</v>
      </c>
      <c r="X2873" s="2"/>
      <c r="Y2873" s="2"/>
      <c r="Z2873" s="2"/>
      <c r="AA2873" s="2" t="s">
        <v>299</v>
      </c>
      <c r="AB2873" s="2" t="s">
        <v>161</v>
      </c>
      <c r="AC2873" s="4" t="s">
        <v>44</v>
      </c>
    </row>
    <row r="2874" spans="1:29" x14ac:dyDescent="0.25">
      <c r="A2874" s="1">
        <v>2584</v>
      </c>
      <c r="B2874" s="17" t="s">
        <v>13052</v>
      </c>
      <c r="C2874" s="2" t="s">
        <v>1806</v>
      </c>
      <c r="D2874" s="15" t="s">
        <v>1807</v>
      </c>
      <c r="E2874" s="9" t="s">
        <v>1410</v>
      </c>
      <c r="F2874" s="9" t="s">
        <v>3089</v>
      </c>
      <c r="G2874" s="9" t="s">
        <v>99</v>
      </c>
      <c r="H2874" s="2" t="s">
        <v>35</v>
      </c>
      <c r="I2874" s="3">
        <v>36927</v>
      </c>
      <c r="J2874" s="9" t="str">
        <f t="shared" ca="1" si="46"/>
        <v>22 ans</v>
      </c>
      <c r="K2874" s="2" t="s">
        <v>156</v>
      </c>
      <c r="L2874" s="2" t="str">
        <f>"937"</f>
        <v>937</v>
      </c>
      <c r="M2874" s="2"/>
      <c r="N2874" s="2" t="str">
        <f>"RUE D'INTERLAKEN"</f>
        <v>RUE D'INTERLAKEN</v>
      </c>
      <c r="O2874" s="2" t="s">
        <v>12980</v>
      </c>
      <c r="P2874" s="9" t="str">
        <f>VLOOKUP($O2874,'Liste des Villes'!$B$2:$B$1128,1,FALSE)</f>
        <v>Rosemère</v>
      </c>
      <c r="Q2874" s="9" t="str">
        <f>IFERROR($P2874,PROPER(VLOOKUP($O2874,'Villes en erreur'!$A$2:$B$72,2,FALSE)))</f>
        <v>Rosemère</v>
      </c>
      <c r="R2874" s="9" t="s">
        <v>12981</v>
      </c>
      <c r="S2874" s="9" t="str">
        <f>IF(ISBLANK($R2874),"",VLOOKUP($R2874,'Liste des Villes'!$B$2:$H$1128,4,FALSE))</f>
        <v>Laurentides</v>
      </c>
      <c r="T2874" s="2" t="s">
        <v>13053</v>
      </c>
      <c r="U2874" s="2" t="s">
        <v>39</v>
      </c>
      <c r="V2874" s="2" t="s">
        <v>40</v>
      </c>
      <c r="W2874" s="2" t="s">
        <v>13054</v>
      </c>
      <c r="X2874" s="2"/>
      <c r="Y2874" s="2"/>
      <c r="Z2874" s="2"/>
      <c r="AA2874" s="2" t="s">
        <v>160</v>
      </c>
      <c r="AB2874" s="2" t="s">
        <v>161</v>
      </c>
      <c r="AC2874" s="4" t="s">
        <v>44</v>
      </c>
    </row>
    <row r="2875" spans="1:29" x14ac:dyDescent="0.25">
      <c r="A2875" s="1">
        <v>2043</v>
      </c>
      <c r="B2875" s="17" t="s">
        <v>13055</v>
      </c>
      <c r="C2875" s="2" t="s">
        <v>8576</v>
      </c>
      <c r="D2875" s="15" t="s">
        <v>8577</v>
      </c>
      <c r="E2875" s="9" t="s">
        <v>2069</v>
      </c>
      <c r="F2875" s="9" t="s">
        <v>2070</v>
      </c>
      <c r="G2875" s="9" t="s">
        <v>13056</v>
      </c>
      <c r="H2875" s="2" t="s">
        <v>35</v>
      </c>
      <c r="I2875" s="3">
        <v>36922</v>
      </c>
      <c r="J2875" s="9" t="str">
        <f t="shared" ca="1" si="46"/>
        <v>22 ans</v>
      </c>
      <c r="K2875" s="2" t="s">
        <v>156</v>
      </c>
      <c r="L2875" s="2" t="str">
        <f>"927"</f>
        <v>927</v>
      </c>
      <c r="M2875" s="2"/>
      <c r="N2875" s="2" t="str">
        <f>"RUE DESJARDINS"</f>
        <v>RUE DESJARDINS</v>
      </c>
      <c r="O2875" s="2" t="s">
        <v>12980</v>
      </c>
      <c r="P2875" s="9" t="str">
        <f>VLOOKUP($O2875,'Liste des Villes'!$B$2:$B$1128,1,FALSE)</f>
        <v>Rosemère</v>
      </c>
      <c r="Q2875" s="9" t="str">
        <f>IFERROR($P2875,PROPER(VLOOKUP($O2875,'Villes en erreur'!$A$2:$B$72,2,FALSE)))</f>
        <v>Rosemère</v>
      </c>
      <c r="R2875" s="9" t="s">
        <v>12981</v>
      </c>
      <c r="S2875" s="9" t="str">
        <f>IF(ISBLANK($R2875),"",VLOOKUP($R2875,'Liste des Villes'!$B$2:$H$1128,4,FALSE))</f>
        <v>Laurentides</v>
      </c>
      <c r="T2875" s="2" t="s">
        <v>13057</v>
      </c>
      <c r="U2875" s="2" t="s">
        <v>39</v>
      </c>
      <c r="V2875" s="2" t="s">
        <v>40</v>
      </c>
      <c r="W2875" s="2" t="s">
        <v>13058</v>
      </c>
      <c r="X2875" s="2"/>
      <c r="Y2875" s="2"/>
      <c r="Z2875" s="2"/>
      <c r="AA2875" s="2" t="s">
        <v>299</v>
      </c>
      <c r="AB2875" s="2" t="s">
        <v>161</v>
      </c>
      <c r="AC2875" s="4" t="s">
        <v>44</v>
      </c>
    </row>
    <row r="2876" spans="1:29" x14ac:dyDescent="0.25">
      <c r="A2876" s="1">
        <v>3722</v>
      </c>
      <c r="B2876" s="17" t="s">
        <v>13059</v>
      </c>
      <c r="C2876" s="2" t="s">
        <v>2964</v>
      </c>
      <c r="D2876" s="15" t="s">
        <v>2965</v>
      </c>
      <c r="E2876" s="9" t="s">
        <v>219</v>
      </c>
      <c r="F2876" s="9" t="s">
        <v>582</v>
      </c>
      <c r="G2876" s="9" t="s">
        <v>99</v>
      </c>
      <c r="H2876" s="2" t="s">
        <v>35</v>
      </c>
      <c r="I2876" s="3">
        <v>36924</v>
      </c>
      <c r="J2876" s="9" t="str">
        <f t="shared" ca="1" si="46"/>
        <v>22 ans</v>
      </c>
      <c r="K2876" s="2" t="s">
        <v>156</v>
      </c>
      <c r="L2876" s="2" t="str">
        <f>"932"</f>
        <v>932</v>
      </c>
      <c r="M2876" s="2"/>
      <c r="N2876" s="2" t="str">
        <f>"RUE DESROSIERS"</f>
        <v>RUE DESROSIERS</v>
      </c>
      <c r="O2876" s="2" t="s">
        <v>12980</v>
      </c>
      <c r="P2876" s="9" t="str">
        <f>VLOOKUP($O2876,'Liste des Villes'!$B$2:$B$1128,1,FALSE)</f>
        <v>Rosemère</v>
      </c>
      <c r="Q2876" s="9" t="str">
        <f>IFERROR($P2876,PROPER(VLOOKUP($O2876,'Villes en erreur'!$A$2:$B$72,2,FALSE)))</f>
        <v>Rosemère</v>
      </c>
      <c r="R2876" s="9" t="s">
        <v>12981</v>
      </c>
      <c r="S2876" s="9" t="str">
        <f>IF(ISBLANK($R2876),"",VLOOKUP($R2876,'Liste des Villes'!$B$2:$H$1128,4,FALSE))</f>
        <v>Laurentides</v>
      </c>
      <c r="T2876" s="2" t="s">
        <v>13060</v>
      </c>
      <c r="U2876" s="2" t="s">
        <v>39</v>
      </c>
      <c r="V2876" s="2" t="s">
        <v>40</v>
      </c>
      <c r="W2876" s="2" t="s">
        <v>13061</v>
      </c>
      <c r="X2876" s="2"/>
      <c r="Y2876" s="2"/>
      <c r="Z2876" s="2"/>
      <c r="AA2876" s="2" t="s">
        <v>299</v>
      </c>
      <c r="AB2876" s="2" t="s">
        <v>161</v>
      </c>
      <c r="AC2876" s="4" t="s">
        <v>44</v>
      </c>
    </row>
    <row r="2877" spans="1:29" x14ac:dyDescent="0.25">
      <c r="A2877" s="1">
        <v>1173</v>
      </c>
      <c r="B2877" s="17" t="s">
        <v>13062</v>
      </c>
      <c r="C2877" s="2" t="s">
        <v>13063</v>
      </c>
      <c r="D2877" s="15" t="s">
        <v>13064</v>
      </c>
      <c r="E2877" s="9" t="s">
        <v>956</v>
      </c>
      <c r="F2877" s="9" t="s">
        <v>1959</v>
      </c>
      <c r="G2877" s="9" t="s">
        <v>99</v>
      </c>
      <c r="H2877" s="2" t="s">
        <v>35</v>
      </c>
      <c r="I2877" s="3">
        <v>36927</v>
      </c>
      <c r="J2877" s="9" t="str">
        <f t="shared" ca="1" si="46"/>
        <v>22 ans</v>
      </c>
      <c r="K2877" s="2" t="s">
        <v>156</v>
      </c>
      <c r="L2877" s="2" t="str">
        <f>"935"</f>
        <v>935</v>
      </c>
      <c r="M2877" s="2"/>
      <c r="N2877" s="2" t="str">
        <f>"RUE DIDIER"</f>
        <v>RUE DIDIER</v>
      </c>
      <c r="O2877" s="2" t="s">
        <v>12980</v>
      </c>
      <c r="P2877" s="9" t="str">
        <f>VLOOKUP($O2877,'Liste des Villes'!$B$2:$B$1128,1,FALSE)</f>
        <v>Rosemère</v>
      </c>
      <c r="Q2877" s="9" t="str">
        <f>IFERROR($P2877,PROPER(VLOOKUP($O2877,'Villes en erreur'!$A$2:$B$72,2,FALSE)))</f>
        <v>Rosemère</v>
      </c>
      <c r="R2877" s="9" t="s">
        <v>12981</v>
      </c>
      <c r="S2877" s="9" t="str">
        <f>IF(ISBLANK($R2877),"",VLOOKUP($R2877,'Liste des Villes'!$B$2:$H$1128,4,FALSE))</f>
        <v>Laurentides</v>
      </c>
      <c r="T2877" s="2" t="s">
        <v>13065</v>
      </c>
      <c r="U2877" s="2" t="s">
        <v>39</v>
      </c>
      <c r="V2877" s="2" t="s">
        <v>40</v>
      </c>
      <c r="W2877" s="2" t="s">
        <v>13047</v>
      </c>
      <c r="X2877" s="2"/>
      <c r="Y2877" s="2"/>
      <c r="Z2877" s="2"/>
      <c r="AA2877" s="2" t="s">
        <v>299</v>
      </c>
      <c r="AB2877" s="2" t="s">
        <v>161</v>
      </c>
      <c r="AC2877" s="4" t="s">
        <v>44</v>
      </c>
    </row>
    <row r="2878" spans="1:29" x14ac:dyDescent="0.25">
      <c r="A2878" s="1">
        <v>4212</v>
      </c>
      <c r="B2878" s="17" t="s">
        <v>13066</v>
      </c>
      <c r="C2878" s="2" t="s">
        <v>9631</v>
      </c>
      <c r="D2878" s="15" t="s">
        <v>1268</v>
      </c>
      <c r="E2878" s="9" t="s">
        <v>3897</v>
      </c>
      <c r="F2878" s="9" t="s">
        <v>6028</v>
      </c>
      <c r="G2878" s="9" t="s">
        <v>6391</v>
      </c>
      <c r="H2878" s="2" t="s">
        <v>60</v>
      </c>
      <c r="I2878" s="3">
        <v>36923</v>
      </c>
      <c r="J2878" s="9" t="str">
        <f t="shared" ca="1" si="46"/>
        <v>22 ans</v>
      </c>
      <c r="K2878" s="2" t="s">
        <v>156</v>
      </c>
      <c r="L2878" s="2" t="str">
        <f>"930"</f>
        <v>930</v>
      </c>
      <c r="M2878" s="2"/>
      <c r="N2878" s="2" t="str">
        <f>"RUE DESJARDINS"</f>
        <v>RUE DESJARDINS</v>
      </c>
      <c r="O2878" s="2" t="s">
        <v>12980</v>
      </c>
      <c r="P2878" s="9" t="str">
        <f>VLOOKUP($O2878,'Liste des Villes'!$B$2:$B$1128,1,FALSE)</f>
        <v>Rosemère</v>
      </c>
      <c r="Q2878" s="9" t="str">
        <f>IFERROR($P2878,PROPER(VLOOKUP($O2878,'Villes en erreur'!$A$2:$B$72,2,FALSE)))</f>
        <v>Rosemère</v>
      </c>
      <c r="R2878" s="9" t="s">
        <v>12981</v>
      </c>
      <c r="S2878" s="9" t="str">
        <f>IF(ISBLANK($R2878),"",VLOOKUP($R2878,'Liste des Villes'!$B$2:$H$1128,4,FALSE))</f>
        <v>Laurentides</v>
      </c>
      <c r="T2878" s="2" t="s">
        <v>13067</v>
      </c>
      <c r="U2878" s="2" t="s">
        <v>39</v>
      </c>
      <c r="V2878" s="2" t="s">
        <v>40</v>
      </c>
      <c r="W2878" s="2" t="s">
        <v>13068</v>
      </c>
      <c r="X2878" s="2"/>
      <c r="Y2878" s="2"/>
      <c r="Z2878" s="2"/>
      <c r="AA2878" s="2" t="s">
        <v>299</v>
      </c>
      <c r="AB2878" s="2" t="s">
        <v>161</v>
      </c>
      <c r="AC2878" s="4" t="s">
        <v>44</v>
      </c>
    </row>
    <row r="2879" spans="1:29" x14ac:dyDescent="0.25">
      <c r="A2879" s="1">
        <v>157</v>
      </c>
      <c r="B2879" s="17" t="s">
        <v>13069</v>
      </c>
      <c r="C2879" s="2" t="s">
        <v>3417</v>
      </c>
      <c r="D2879" s="15" t="s">
        <v>3418</v>
      </c>
      <c r="E2879" s="9" t="s">
        <v>3274</v>
      </c>
      <c r="F2879" s="9" t="s">
        <v>3419</v>
      </c>
      <c r="G2879" s="9" t="s">
        <v>6953</v>
      </c>
      <c r="H2879" s="2" t="s">
        <v>35</v>
      </c>
      <c r="I2879" s="3">
        <v>36923</v>
      </c>
      <c r="J2879" s="9" t="str">
        <f t="shared" ca="1" si="46"/>
        <v>22 ans</v>
      </c>
      <c r="K2879" s="2" t="s">
        <v>156</v>
      </c>
      <c r="L2879" s="2" t="str">
        <f>"930"</f>
        <v>930</v>
      </c>
      <c r="M2879" s="2"/>
      <c r="N2879" s="2" t="str">
        <f>"RUE DESJARDINS"</f>
        <v>RUE DESJARDINS</v>
      </c>
      <c r="O2879" s="2" t="s">
        <v>12980</v>
      </c>
      <c r="P2879" s="9" t="str">
        <f>VLOOKUP($O2879,'Liste des Villes'!$B$2:$B$1128,1,FALSE)</f>
        <v>Rosemère</v>
      </c>
      <c r="Q2879" s="9" t="str">
        <f>IFERROR($P2879,PROPER(VLOOKUP($O2879,'Villes en erreur'!$A$2:$B$72,2,FALSE)))</f>
        <v>Rosemère</v>
      </c>
      <c r="R2879" s="9" t="s">
        <v>12981</v>
      </c>
      <c r="S2879" s="9" t="str">
        <f>IF(ISBLANK($R2879),"",VLOOKUP($R2879,'Liste des Villes'!$B$2:$H$1128,4,FALSE))</f>
        <v>Laurentides</v>
      </c>
      <c r="T2879" s="2" t="s">
        <v>13070</v>
      </c>
      <c r="U2879" s="2" t="s">
        <v>39</v>
      </c>
      <c r="V2879" s="2" t="s">
        <v>40</v>
      </c>
      <c r="W2879" s="2" t="s">
        <v>13071</v>
      </c>
      <c r="X2879" s="2"/>
      <c r="Y2879" s="2"/>
      <c r="Z2879" s="2"/>
      <c r="AA2879" s="2" t="s">
        <v>299</v>
      </c>
      <c r="AB2879" s="2" t="s">
        <v>161</v>
      </c>
      <c r="AC2879" s="4" t="s">
        <v>44</v>
      </c>
    </row>
    <row r="2880" spans="1:29" x14ac:dyDescent="0.25">
      <c r="A2880" s="1">
        <v>715</v>
      </c>
      <c r="B2880" s="17" t="s">
        <v>13072</v>
      </c>
      <c r="C2880" s="2" t="s">
        <v>13073</v>
      </c>
      <c r="D2880" s="15" t="s">
        <v>13074</v>
      </c>
      <c r="E2880" s="9" t="s">
        <v>13075</v>
      </c>
      <c r="F2880" s="9" t="s">
        <v>584</v>
      </c>
      <c r="G2880" s="9" t="s">
        <v>11356</v>
      </c>
      <c r="H2880" s="2" t="s">
        <v>35</v>
      </c>
      <c r="I2880" s="3">
        <v>36931</v>
      </c>
      <c r="J2880" s="9" t="str">
        <f t="shared" ca="1" si="46"/>
        <v>22 ans</v>
      </c>
      <c r="K2880" s="2" t="s">
        <v>156</v>
      </c>
      <c r="L2880" s="2" t="str">
        <f>"945"</f>
        <v>945</v>
      </c>
      <c r="M2880" s="2"/>
      <c r="N2880" s="2" t="str">
        <f>"RUE DU BARON"</f>
        <v>RUE DU BARON</v>
      </c>
      <c r="O2880" s="2" t="s">
        <v>13076</v>
      </c>
      <c r="P2880" s="9" t="str">
        <f>VLOOKUP($O2880,'Liste des Villes'!$B$2:$B$1128,1,FALSE)</f>
        <v>Rivière-Rouge</v>
      </c>
      <c r="Q2880" s="9" t="str">
        <f>IFERROR($P2880,PROPER(VLOOKUP($O2880,'Villes en erreur'!$A$2:$B$72,2,FALSE)))</f>
        <v>Rivière-Rouge</v>
      </c>
      <c r="R2880" s="9" t="s">
        <v>13077</v>
      </c>
      <c r="S2880" s="9" t="str">
        <f>IF(ISBLANK($R2880),"",VLOOKUP($R2880,'Liste des Villes'!$B$2:$H$1128,4,FALSE))</f>
        <v>Laurentides</v>
      </c>
      <c r="T2880" s="2" t="s">
        <v>13078</v>
      </c>
      <c r="U2880" s="2" t="s">
        <v>39</v>
      </c>
      <c r="V2880" s="2" t="s">
        <v>40</v>
      </c>
      <c r="W2880" s="2" t="s">
        <v>13079</v>
      </c>
      <c r="X2880" s="2"/>
      <c r="Y2880" s="2"/>
      <c r="Z2880" s="2"/>
      <c r="AA2880" s="2" t="s">
        <v>160</v>
      </c>
      <c r="AB2880" s="2" t="s">
        <v>161</v>
      </c>
      <c r="AC2880" s="4" t="s">
        <v>44</v>
      </c>
    </row>
    <row r="2881" spans="1:29" x14ac:dyDescent="0.25">
      <c r="A2881" s="1">
        <v>668</v>
      </c>
      <c r="B2881" s="17" t="s">
        <v>13080</v>
      </c>
      <c r="C2881" s="2" t="s">
        <v>13081</v>
      </c>
      <c r="D2881" s="15" t="s">
        <v>4650</v>
      </c>
      <c r="E2881" s="9" t="s">
        <v>5202</v>
      </c>
      <c r="F2881" s="9" t="s">
        <v>4648</v>
      </c>
      <c r="G2881" s="9" t="s">
        <v>3148</v>
      </c>
      <c r="H2881" s="2" t="s">
        <v>60</v>
      </c>
      <c r="I2881" s="3">
        <v>36932</v>
      </c>
      <c r="J2881" s="9" t="str">
        <f t="shared" ca="1" si="46"/>
        <v>22 ans</v>
      </c>
      <c r="K2881" s="2" t="s">
        <v>156</v>
      </c>
      <c r="L2881" s="2" t="str">
        <f>"947"</f>
        <v>947</v>
      </c>
      <c r="M2881" s="2"/>
      <c r="N2881" s="2" t="str">
        <f>"RUE DU BEAUJOLAIS"</f>
        <v>RUE DU BEAUJOLAIS</v>
      </c>
      <c r="O2881" s="2" t="s">
        <v>13076</v>
      </c>
      <c r="P2881" s="9" t="str">
        <f>VLOOKUP($O2881,'Liste des Villes'!$B$2:$B$1128,1,FALSE)</f>
        <v>Rivière-Rouge</v>
      </c>
      <c r="Q2881" s="9" t="str">
        <f>IFERROR($P2881,PROPER(VLOOKUP($O2881,'Villes en erreur'!$A$2:$B$72,2,FALSE)))</f>
        <v>Rivière-Rouge</v>
      </c>
      <c r="R2881" s="9" t="s">
        <v>13077</v>
      </c>
      <c r="S2881" s="9" t="str">
        <f>IF(ISBLANK($R2881),"",VLOOKUP($R2881,'Liste des Villes'!$B$2:$H$1128,4,FALSE))</f>
        <v>Laurentides</v>
      </c>
      <c r="T2881" s="2" t="s">
        <v>13082</v>
      </c>
      <c r="U2881" s="2" t="s">
        <v>39</v>
      </c>
      <c r="V2881" s="2" t="s">
        <v>40</v>
      </c>
      <c r="W2881" s="2" t="s">
        <v>13083</v>
      </c>
      <c r="X2881" s="2"/>
      <c r="Y2881" s="2"/>
      <c r="Z2881" s="2"/>
      <c r="AA2881" s="2" t="s">
        <v>160</v>
      </c>
      <c r="AB2881" s="2" t="s">
        <v>161</v>
      </c>
      <c r="AC2881" s="4" t="s">
        <v>44</v>
      </c>
    </row>
    <row r="2882" spans="1:29" x14ac:dyDescent="0.25">
      <c r="A2882" s="1">
        <v>2984</v>
      </c>
      <c r="B2882" s="17" t="s">
        <v>13084</v>
      </c>
      <c r="C2882" s="2" t="s">
        <v>13085</v>
      </c>
      <c r="D2882" s="15" t="s">
        <v>8455</v>
      </c>
      <c r="E2882" s="9" t="s">
        <v>271</v>
      </c>
      <c r="F2882" s="9" t="s">
        <v>4256</v>
      </c>
      <c r="G2882" s="9" t="s">
        <v>3568</v>
      </c>
      <c r="H2882" s="2" t="s">
        <v>60</v>
      </c>
      <c r="I2882" s="3">
        <v>36934</v>
      </c>
      <c r="J2882" s="9" t="str">
        <f t="shared" ref="J2882:J2945" ca="1" si="47">_xlfn.CONCAT(INT((TODAY()-$I2882)/365.25)," ans")</f>
        <v>22 ans</v>
      </c>
      <c r="K2882" s="2" t="s">
        <v>156</v>
      </c>
      <c r="L2882" s="2" t="str">
        <f>"954"</f>
        <v>954</v>
      </c>
      <c r="M2882" s="2"/>
      <c r="N2882" s="2" t="str">
        <f>"RUE DU BELVÉDÈRE"</f>
        <v>RUE DU BELVÉDÈRE</v>
      </c>
      <c r="O2882" s="2" t="s">
        <v>13076</v>
      </c>
      <c r="P2882" s="9" t="str">
        <f>VLOOKUP($O2882,'Liste des Villes'!$B$2:$B$1128,1,FALSE)</f>
        <v>Rivière-Rouge</v>
      </c>
      <c r="Q2882" s="9" t="str">
        <f>IFERROR($P2882,PROPER(VLOOKUP($O2882,'Villes en erreur'!$A$2:$B$72,2,FALSE)))</f>
        <v>Rivière-Rouge</v>
      </c>
      <c r="R2882" s="9" t="s">
        <v>13077</v>
      </c>
      <c r="S2882" s="9" t="str">
        <f>IF(ISBLANK($R2882),"",VLOOKUP($R2882,'Liste des Villes'!$B$2:$H$1128,4,FALSE))</f>
        <v>Laurentides</v>
      </c>
      <c r="T2882" s="2" t="s">
        <v>13086</v>
      </c>
      <c r="U2882" s="2" t="s">
        <v>39</v>
      </c>
      <c r="V2882" s="2" t="s">
        <v>40</v>
      </c>
      <c r="W2882" s="2" t="s">
        <v>13087</v>
      </c>
      <c r="X2882" s="2"/>
      <c r="Y2882" s="2"/>
      <c r="Z2882" s="2"/>
      <c r="AA2882" s="2" t="s">
        <v>160</v>
      </c>
      <c r="AB2882" s="2" t="s">
        <v>161</v>
      </c>
      <c r="AC2882" s="4" t="s">
        <v>44</v>
      </c>
    </row>
    <row r="2883" spans="1:29" x14ac:dyDescent="0.25">
      <c r="A2883" s="1">
        <v>814</v>
      </c>
      <c r="B2883" s="17" t="s">
        <v>13088</v>
      </c>
      <c r="C2883" s="2" t="s">
        <v>8815</v>
      </c>
      <c r="D2883" s="15" t="s">
        <v>3424</v>
      </c>
      <c r="E2883" s="9" t="s">
        <v>4968</v>
      </c>
      <c r="F2883" s="9" t="s">
        <v>1098</v>
      </c>
      <c r="G2883" s="9" t="s">
        <v>8650</v>
      </c>
      <c r="H2883" s="2" t="s">
        <v>35</v>
      </c>
      <c r="I2883" s="3">
        <v>36932</v>
      </c>
      <c r="J2883" s="9" t="str">
        <f t="shared" ca="1" si="47"/>
        <v>22 ans</v>
      </c>
      <c r="K2883" s="2" t="s">
        <v>156</v>
      </c>
      <c r="L2883" s="2" t="str">
        <f>"947"</f>
        <v>947</v>
      </c>
      <c r="M2883" s="2"/>
      <c r="N2883" s="2" t="str">
        <f>"RUE DU BEAUJOLAIS"</f>
        <v>RUE DU BEAUJOLAIS</v>
      </c>
      <c r="O2883" s="2" t="s">
        <v>13076</v>
      </c>
      <c r="P2883" s="9" t="str">
        <f>VLOOKUP($O2883,'Liste des Villes'!$B$2:$B$1128,1,FALSE)</f>
        <v>Rivière-Rouge</v>
      </c>
      <c r="Q2883" s="9" t="str">
        <f>IFERROR($P2883,PROPER(VLOOKUP($O2883,'Villes en erreur'!$A$2:$B$72,2,FALSE)))</f>
        <v>Rivière-Rouge</v>
      </c>
      <c r="R2883" s="9" t="s">
        <v>13077</v>
      </c>
      <c r="S2883" s="9" t="str">
        <f>IF(ISBLANK($R2883),"",VLOOKUP($R2883,'Liste des Villes'!$B$2:$H$1128,4,FALSE))</f>
        <v>Laurentides</v>
      </c>
      <c r="T2883" s="2" t="s">
        <v>13089</v>
      </c>
      <c r="U2883" s="2" t="s">
        <v>39</v>
      </c>
      <c r="V2883" s="2" t="s">
        <v>40</v>
      </c>
      <c r="W2883" s="2" t="s">
        <v>13090</v>
      </c>
      <c r="X2883" s="2"/>
      <c r="Y2883" s="2"/>
      <c r="Z2883" s="2"/>
      <c r="AA2883" s="2" t="s">
        <v>160</v>
      </c>
      <c r="AB2883" s="2" t="s">
        <v>161</v>
      </c>
      <c r="AC2883" s="4" t="s">
        <v>44</v>
      </c>
    </row>
    <row r="2884" spans="1:29" x14ac:dyDescent="0.25">
      <c r="A2884" s="1">
        <v>2119</v>
      </c>
      <c r="B2884" s="17" t="s">
        <v>13091</v>
      </c>
      <c r="C2884" s="2" t="s">
        <v>13092</v>
      </c>
      <c r="D2884" s="15" t="s">
        <v>766</v>
      </c>
      <c r="E2884" s="9" t="s">
        <v>11431</v>
      </c>
      <c r="F2884" s="9" t="s">
        <v>825</v>
      </c>
      <c r="G2884" s="9" t="s">
        <v>99</v>
      </c>
      <c r="H2884" s="2" t="s">
        <v>35</v>
      </c>
      <c r="I2884" s="3">
        <v>36930</v>
      </c>
      <c r="J2884" s="9" t="str">
        <f t="shared" ca="1" si="47"/>
        <v>22 ans</v>
      </c>
      <c r="K2884" s="2" t="s">
        <v>156</v>
      </c>
      <c r="L2884" s="2" t="str">
        <f>"942"</f>
        <v>942</v>
      </c>
      <c r="M2884" s="2"/>
      <c r="N2884" s="2" t="str">
        <f>"RUE DORIS"</f>
        <v>RUE DORIS</v>
      </c>
      <c r="O2884" s="2" t="s">
        <v>13076</v>
      </c>
      <c r="P2884" s="9" t="str">
        <f>VLOOKUP($O2884,'Liste des Villes'!$B$2:$B$1128,1,FALSE)</f>
        <v>Rivière-Rouge</v>
      </c>
      <c r="Q2884" s="9" t="str">
        <f>IFERROR($P2884,PROPER(VLOOKUP($O2884,'Villes en erreur'!$A$2:$B$72,2,FALSE)))</f>
        <v>Rivière-Rouge</v>
      </c>
      <c r="R2884" s="9" t="s">
        <v>13077</v>
      </c>
      <c r="S2884" s="9" t="str">
        <f>IF(ISBLANK($R2884),"",VLOOKUP($R2884,'Liste des Villes'!$B$2:$H$1128,4,FALSE))</f>
        <v>Laurentides</v>
      </c>
      <c r="T2884" s="2" t="s">
        <v>13093</v>
      </c>
      <c r="U2884" s="2" t="s">
        <v>39</v>
      </c>
      <c r="V2884" s="2" t="s">
        <v>40</v>
      </c>
      <c r="W2884" s="2" t="s">
        <v>13094</v>
      </c>
      <c r="X2884" s="2"/>
      <c r="Y2884" s="2"/>
      <c r="Z2884" s="2"/>
      <c r="AA2884" s="2" t="s">
        <v>160</v>
      </c>
      <c r="AB2884" s="2" t="s">
        <v>161</v>
      </c>
      <c r="AC2884" s="4" t="s">
        <v>44</v>
      </c>
    </row>
    <row r="2885" spans="1:29" x14ac:dyDescent="0.25">
      <c r="A2885" s="1">
        <v>3590</v>
      </c>
      <c r="B2885" s="17" t="s">
        <v>13095</v>
      </c>
      <c r="C2885" s="2" t="s">
        <v>749</v>
      </c>
      <c r="D2885" s="15" t="s">
        <v>750</v>
      </c>
      <c r="E2885" s="9" t="s">
        <v>751</v>
      </c>
      <c r="F2885" s="9" t="s">
        <v>3838</v>
      </c>
      <c r="G2885" s="9" t="s">
        <v>13096</v>
      </c>
      <c r="H2885" s="2" t="s">
        <v>60</v>
      </c>
      <c r="I2885" s="3">
        <v>36932</v>
      </c>
      <c r="J2885" s="9" t="str">
        <f t="shared" ca="1" si="47"/>
        <v>22 ans</v>
      </c>
      <c r="K2885" s="2" t="s">
        <v>156</v>
      </c>
      <c r="L2885" s="2" t="str">
        <f>"949"</f>
        <v>949</v>
      </c>
      <c r="M2885" s="2"/>
      <c r="N2885" s="2" t="str">
        <f>"RUE DU BELVÉDÈRE"</f>
        <v>RUE DU BELVÉDÈRE</v>
      </c>
      <c r="O2885" s="2" t="s">
        <v>13076</v>
      </c>
      <c r="P2885" s="9" t="str">
        <f>VLOOKUP($O2885,'Liste des Villes'!$B$2:$B$1128,1,FALSE)</f>
        <v>Rivière-Rouge</v>
      </c>
      <c r="Q2885" s="9" t="str">
        <f>IFERROR($P2885,PROPER(VLOOKUP($O2885,'Villes en erreur'!$A$2:$B$72,2,FALSE)))</f>
        <v>Rivière-Rouge</v>
      </c>
      <c r="R2885" s="9" t="s">
        <v>13077</v>
      </c>
      <c r="S2885" s="9" t="str">
        <f>IF(ISBLANK($R2885),"",VLOOKUP($R2885,'Liste des Villes'!$B$2:$H$1128,4,FALSE))</f>
        <v>Laurentides</v>
      </c>
      <c r="T2885" s="2" t="s">
        <v>13089</v>
      </c>
      <c r="U2885" s="2" t="s">
        <v>39</v>
      </c>
      <c r="V2885" s="2" t="s">
        <v>40</v>
      </c>
      <c r="W2885" s="2" t="s">
        <v>13097</v>
      </c>
      <c r="X2885" s="2"/>
      <c r="Y2885" s="2"/>
      <c r="Z2885" s="2"/>
      <c r="AA2885" s="2" t="s">
        <v>160</v>
      </c>
      <c r="AB2885" s="2" t="s">
        <v>161</v>
      </c>
      <c r="AC2885" s="4" t="s">
        <v>44</v>
      </c>
    </row>
    <row r="2886" spans="1:29" x14ac:dyDescent="0.25">
      <c r="A2886" s="1">
        <v>755</v>
      </c>
      <c r="B2886" s="17" t="s">
        <v>13098</v>
      </c>
      <c r="C2886" s="2" t="s">
        <v>1103</v>
      </c>
      <c r="D2886" s="15" t="s">
        <v>1104</v>
      </c>
      <c r="E2886" s="9" t="s">
        <v>277</v>
      </c>
      <c r="F2886" s="9" t="s">
        <v>4782</v>
      </c>
      <c r="G2886" s="9" t="s">
        <v>99</v>
      </c>
      <c r="H2886" s="2" t="s">
        <v>35</v>
      </c>
      <c r="I2886" s="3">
        <v>36931</v>
      </c>
      <c r="J2886" s="9" t="str">
        <f t="shared" ca="1" si="47"/>
        <v>22 ans</v>
      </c>
      <c r="K2886" s="2" t="s">
        <v>156</v>
      </c>
      <c r="L2886" s="2" t="str">
        <f>"944"</f>
        <v>944</v>
      </c>
      <c r="M2886" s="2"/>
      <c r="N2886" s="2" t="str">
        <f>"RUE DOWNING"</f>
        <v>RUE DOWNING</v>
      </c>
      <c r="O2886" s="2" t="s">
        <v>13076</v>
      </c>
      <c r="P2886" s="9" t="str">
        <f>VLOOKUP($O2886,'Liste des Villes'!$B$2:$B$1128,1,FALSE)</f>
        <v>Rivière-Rouge</v>
      </c>
      <c r="Q2886" s="9" t="str">
        <f>IFERROR($P2886,PROPER(VLOOKUP($O2886,'Villes en erreur'!$A$2:$B$72,2,FALSE)))</f>
        <v>Rivière-Rouge</v>
      </c>
      <c r="R2886" s="9" t="s">
        <v>13077</v>
      </c>
      <c r="S2886" s="9" t="str">
        <f>IF(ISBLANK($R2886),"",VLOOKUP($R2886,'Liste des Villes'!$B$2:$H$1128,4,FALSE))</f>
        <v>Laurentides</v>
      </c>
      <c r="T2886" s="2" t="s">
        <v>13099</v>
      </c>
      <c r="U2886" s="2" t="s">
        <v>39</v>
      </c>
      <c r="V2886" s="2" t="s">
        <v>40</v>
      </c>
      <c r="W2886" s="2" t="s">
        <v>13100</v>
      </c>
      <c r="X2886" s="2"/>
      <c r="Y2886" s="2"/>
      <c r="Z2886" s="2"/>
      <c r="AA2886" s="2" t="s">
        <v>160</v>
      </c>
      <c r="AB2886" s="2" t="s">
        <v>161</v>
      </c>
      <c r="AC2886" s="4" t="s">
        <v>44</v>
      </c>
    </row>
    <row r="2887" spans="1:29" x14ac:dyDescent="0.25">
      <c r="A2887" s="1">
        <v>581</v>
      </c>
      <c r="B2887" s="17" t="s">
        <v>13101</v>
      </c>
      <c r="C2887" s="2" t="s">
        <v>13102</v>
      </c>
      <c r="D2887" s="15" t="s">
        <v>1063</v>
      </c>
      <c r="E2887" s="9" t="s">
        <v>4243</v>
      </c>
      <c r="F2887" s="9" t="s">
        <v>1061</v>
      </c>
      <c r="G2887" s="9" t="s">
        <v>99</v>
      </c>
      <c r="H2887" s="2" t="s">
        <v>35</v>
      </c>
      <c r="I2887" s="3">
        <v>36929</v>
      </c>
      <c r="J2887" s="9" t="str">
        <f t="shared" ca="1" si="47"/>
        <v>22 ans</v>
      </c>
      <c r="K2887" s="2" t="s">
        <v>156</v>
      </c>
      <c r="L2887" s="2" t="str">
        <f>"941"</f>
        <v>941</v>
      </c>
      <c r="M2887" s="2"/>
      <c r="N2887" s="2" t="str">
        <f>"RUE DOMINYCK"</f>
        <v>RUE DOMINYCK</v>
      </c>
      <c r="O2887" s="2" t="s">
        <v>13076</v>
      </c>
      <c r="P2887" s="9" t="str">
        <f>VLOOKUP($O2887,'Liste des Villes'!$B$2:$B$1128,1,FALSE)</f>
        <v>Rivière-Rouge</v>
      </c>
      <c r="Q2887" s="9" t="str">
        <f>IFERROR($P2887,PROPER(VLOOKUP($O2887,'Villes en erreur'!$A$2:$B$72,2,FALSE)))</f>
        <v>Rivière-Rouge</v>
      </c>
      <c r="R2887" s="9" t="s">
        <v>13077</v>
      </c>
      <c r="S2887" s="9" t="str">
        <f>IF(ISBLANK($R2887),"",VLOOKUP($R2887,'Liste des Villes'!$B$2:$H$1128,4,FALSE))</f>
        <v>Laurentides</v>
      </c>
      <c r="T2887" s="2" t="s">
        <v>13093</v>
      </c>
      <c r="U2887" s="2" t="s">
        <v>39</v>
      </c>
      <c r="V2887" s="2" t="s">
        <v>40</v>
      </c>
      <c r="W2887" s="2" t="s">
        <v>13103</v>
      </c>
      <c r="X2887" s="2"/>
      <c r="Y2887" s="2"/>
      <c r="Z2887" s="2"/>
      <c r="AA2887" s="2" t="s">
        <v>160</v>
      </c>
      <c r="AB2887" s="2" t="s">
        <v>161</v>
      </c>
      <c r="AC2887" s="4" t="s">
        <v>44</v>
      </c>
    </row>
    <row r="2888" spans="1:29" x14ac:dyDescent="0.25">
      <c r="A2888" s="1">
        <v>1221</v>
      </c>
      <c r="B2888" s="17" t="s">
        <v>13104</v>
      </c>
      <c r="C2888" s="2" t="s">
        <v>2390</v>
      </c>
      <c r="D2888" s="15" t="s">
        <v>2391</v>
      </c>
      <c r="E2888" s="9" t="s">
        <v>1410</v>
      </c>
      <c r="F2888" s="9" t="s">
        <v>1523</v>
      </c>
      <c r="G2888" s="9" t="s">
        <v>5085</v>
      </c>
      <c r="H2888" s="2" t="s">
        <v>60</v>
      </c>
      <c r="I2888" s="3">
        <v>36933</v>
      </c>
      <c r="J2888" s="9" t="str">
        <f t="shared" ca="1" si="47"/>
        <v>22 ans</v>
      </c>
      <c r="K2888" s="2" t="s">
        <v>156</v>
      </c>
      <c r="L2888" s="2" t="str">
        <f>"950"</f>
        <v>950</v>
      </c>
      <c r="M2888" s="2"/>
      <c r="N2888" s="2" t="str">
        <f>"RUE DU BELVÉDÈRE"</f>
        <v>RUE DU BELVÉDÈRE</v>
      </c>
      <c r="O2888" s="2" t="s">
        <v>13076</v>
      </c>
      <c r="P2888" s="9" t="str">
        <f>VLOOKUP($O2888,'Liste des Villes'!$B$2:$B$1128,1,FALSE)</f>
        <v>Rivière-Rouge</v>
      </c>
      <c r="Q2888" s="9" t="str">
        <f>IFERROR($P2888,PROPER(VLOOKUP($O2888,'Villes en erreur'!$A$2:$B$72,2,FALSE)))</f>
        <v>Rivière-Rouge</v>
      </c>
      <c r="R2888" s="9" t="s">
        <v>13077</v>
      </c>
      <c r="S2888" s="9" t="str">
        <f>IF(ISBLANK($R2888),"",VLOOKUP($R2888,'Liste des Villes'!$B$2:$H$1128,4,FALSE))</f>
        <v>Laurentides</v>
      </c>
      <c r="T2888" s="2" t="s">
        <v>13105</v>
      </c>
      <c r="U2888" s="2" t="s">
        <v>39</v>
      </c>
      <c r="V2888" s="2" t="s">
        <v>40</v>
      </c>
      <c r="W2888" s="2" t="s">
        <v>13106</v>
      </c>
      <c r="X2888" s="2"/>
      <c r="Y2888" s="2"/>
      <c r="Z2888" s="2"/>
      <c r="AA2888" s="2" t="s">
        <v>160</v>
      </c>
      <c r="AB2888" s="2" t="s">
        <v>161</v>
      </c>
      <c r="AC2888" s="4" t="s">
        <v>44</v>
      </c>
    </row>
    <row r="2889" spans="1:29" x14ac:dyDescent="0.25">
      <c r="A2889" s="1">
        <v>3478</v>
      </c>
      <c r="B2889" s="17" t="s">
        <v>13107</v>
      </c>
      <c r="C2889" s="2" t="s">
        <v>13108</v>
      </c>
      <c r="D2889" s="15" t="s">
        <v>8381</v>
      </c>
      <c r="E2889" s="9" t="s">
        <v>253</v>
      </c>
      <c r="F2889" s="9" t="s">
        <v>4147</v>
      </c>
      <c r="G2889" s="9" t="s">
        <v>99</v>
      </c>
      <c r="H2889" s="2" t="s">
        <v>35</v>
      </c>
      <c r="I2889" s="3">
        <v>36931</v>
      </c>
      <c r="J2889" s="9" t="str">
        <f t="shared" ca="1" si="47"/>
        <v>22 ans</v>
      </c>
      <c r="K2889" s="2" t="s">
        <v>156</v>
      </c>
      <c r="L2889" s="2" t="str">
        <f>"945"</f>
        <v>945</v>
      </c>
      <c r="M2889" s="2"/>
      <c r="N2889" s="2" t="str">
        <f>"RUE DU BALKAN"</f>
        <v>RUE DU BALKAN</v>
      </c>
      <c r="O2889" s="2" t="s">
        <v>13076</v>
      </c>
      <c r="P2889" s="9" t="str">
        <f>VLOOKUP($O2889,'Liste des Villes'!$B$2:$B$1128,1,FALSE)</f>
        <v>Rivière-Rouge</v>
      </c>
      <c r="Q2889" s="9" t="str">
        <f>IFERROR($P2889,PROPER(VLOOKUP($O2889,'Villes en erreur'!$A$2:$B$72,2,FALSE)))</f>
        <v>Rivière-Rouge</v>
      </c>
      <c r="R2889" s="9" t="s">
        <v>13077</v>
      </c>
      <c r="S2889" s="9" t="str">
        <f>IF(ISBLANK($R2889),"",VLOOKUP($R2889,'Liste des Villes'!$B$2:$H$1128,4,FALSE))</f>
        <v>Laurentides</v>
      </c>
      <c r="T2889" s="2" t="s">
        <v>13099</v>
      </c>
      <c r="U2889" s="2" t="s">
        <v>39</v>
      </c>
      <c r="V2889" s="2" t="s">
        <v>40</v>
      </c>
      <c r="W2889" s="2" t="s">
        <v>13109</v>
      </c>
      <c r="X2889" s="2"/>
      <c r="Y2889" s="2"/>
      <c r="Z2889" s="2"/>
      <c r="AA2889" s="2" t="s">
        <v>160</v>
      </c>
      <c r="AB2889" s="2" t="s">
        <v>161</v>
      </c>
      <c r="AC2889" s="4" t="s">
        <v>44</v>
      </c>
    </row>
    <row r="2890" spans="1:29" x14ac:dyDescent="0.25">
      <c r="A2890" s="1">
        <v>2951</v>
      </c>
      <c r="B2890" s="17" t="s">
        <v>13110</v>
      </c>
      <c r="C2890" s="2" t="s">
        <v>13111</v>
      </c>
      <c r="D2890" s="15" t="s">
        <v>100</v>
      </c>
      <c r="E2890" s="9" t="s">
        <v>8918</v>
      </c>
      <c r="F2890" s="9" t="s">
        <v>11310</v>
      </c>
      <c r="G2890" s="9" t="s">
        <v>5855</v>
      </c>
      <c r="H2890" s="2" t="s">
        <v>60</v>
      </c>
      <c r="I2890" s="3">
        <v>36932</v>
      </c>
      <c r="J2890" s="9" t="str">
        <f t="shared" ca="1" si="47"/>
        <v>22 ans</v>
      </c>
      <c r="K2890" s="2" t="s">
        <v>156</v>
      </c>
      <c r="L2890" s="2" t="str">
        <f>"949"</f>
        <v>949</v>
      </c>
      <c r="M2890" s="2"/>
      <c r="N2890" s="2" t="str">
        <f>"RUE DU BEAU-SOLEIL"</f>
        <v>RUE DU BEAU-SOLEIL</v>
      </c>
      <c r="O2890" s="2" t="s">
        <v>13076</v>
      </c>
      <c r="P2890" s="9" t="str">
        <f>VLOOKUP($O2890,'Liste des Villes'!$B$2:$B$1128,1,FALSE)</f>
        <v>Rivière-Rouge</v>
      </c>
      <c r="Q2890" s="9" t="str">
        <f>IFERROR($P2890,PROPER(VLOOKUP($O2890,'Villes en erreur'!$A$2:$B$72,2,FALSE)))</f>
        <v>Rivière-Rouge</v>
      </c>
      <c r="R2890" s="9" t="s">
        <v>13077</v>
      </c>
      <c r="S2890" s="9" t="str">
        <f>IF(ISBLANK($R2890),"",VLOOKUP($R2890,'Liste des Villes'!$B$2:$H$1128,4,FALSE))</f>
        <v>Laurentides</v>
      </c>
      <c r="T2890" s="2" t="s">
        <v>13089</v>
      </c>
      <c r="U2890" s="2" t="s">
        <v>39</v>
      </c>
      <c r="V2890" s="2" t="s">
        <v>40</v>
      </c>
      <c r="W2890" s="2" t="s">
        <v>13112</v>
      </c>
      <c r="X2890" s="2"/>
      <c r="Y2890" s="2"/>
      <c r="Z2890" s="2"/>
      <c r="AA2890" s="2" t="s">
        <v>160</v>
      </c>
      <c r="AB2890" s="2" t="s">
        <v>161</v>
      </c>
      <c r="AC2890" s="4" t="s">
        <v>44</v>
      </c>
    </row>
    <row r="2891" spans="1:29" x14ac:dyDescent="0.25">
      <c r="A2891" s="1">
        <v>4151</v>
      </c>
      <c r="B2891" s="17" t="s">
        <v>13113</v>
      </c>
      <c r="C2891" s="2" t="s">
        <v>13114</v>
      </c>
      <c r="D2891" s="15" t="s">
        <v>115</v>
      </c>
      <c r="E2891" s="9" t="s">
        <v>13115</v>
      </c>
      <c r="F2891" s="9" t="s">
        <v>113</v>
      </c>
      <c r="G2891" s="9" t="s">
        <v>99</v>
      </c>
      <c r="H2891" s="2" t="s">
        <v>35</v>
      </c>
      <c r="I2891" s="3">
        <v>36930</v>
      </c>
      <c r="J2891" s="9" t="str">
        <f t="shared" ca="1" si="47"/>
        <v>22 ans</v>
      </c>
      <c r="K2891" s="2" t="s">
        <v>156</v>
      </c>
      <c r="L2891" s="2" t="str">
        <f>"943"</f>
        <v>943</v>
      </c>
      <c r="M2891" s="2"/>
      <c r="N2891" s="2" t="str">
        <f>"RUE DORIS"</f>
        <v>RUE DORIS</v>
      </c>
      <c r="O2891" s="2" t="s">
        <v>13076</v>
      </c>
      <c r="P2891" s="9" t="str">
        <f>VLOOKUP($O2891,'Liste des Villes'!$B$2:$B$1128,1,FALSE)</f>
        <v>Rivière-Rouge</v>
      </c>
      <c r="Q2891" s="9" t="str">
        <f>IFERROR($P2891,PROPER(VLOOKUP($O2891,'Villes en erreur'!$A$2:$B$72,2,FALSE)))</f>
        <v>Rivière-Rouge</v>
      </c>
      <c r="R2891" s="9" t="s">
        <v>13077</v>
      </c>
      <c r="S2891" s="9" t="str">
        <f>IF(ISBLANK($R2891),"",VLOOKUP($R2891,'Liste des Villes'!$B$2:$H$1128,4,FALSE))</f>
        <v>Laurentides</v>
      </c>
      <c r="T2891" s="2" t="s">
        <v>13116</v>
      </c>
      <c r="U2891" s="2" t="s">
        <v>39</v>
      </c>
      <c r="V2891" s="2" t="s">
        <v>40</v>
      </c>
      <c r="W2891" s="2" t="s">
        <v>13117</v>
      </c>
      <c r="X2891" s="2"/>
      <c r="Y2891" s="2"/>
      <c r="Z2891" s="2"/>
      <c r="AA2891" s="2" t="s">
        <v>160</v>
      </c>
      <c r="AB2891" s="2" t="s">
        <v>161</v>
      </c>
      <c r="AC2891" s="4" t="s">
        <v>44</v>
      </c>
    </row>
    <row r="2892" spans="1:29" x14ac:dyDescent="0.25">
      <c r="A2892" s="1">
        <v>2689</v>
      </c>
      <c r="B2892" s="17" t="s">
        <v>13118</v>
      </c>
      <c r="C2892" s="2" t="s">
        <v>2565</v>
      </c>
      <c r="D2892" s="15" t="s">
        <v>520</v>
      </c>
      <c r="E2892" s="9" t="s">
        <v>1037</v>
      </c>
      <c r="F2892" s="9" t="s">
        <v>518</v>
      </c>
      <c r="G2892" s="9" t="s">
        <v>6647</v>
      </c>
      <c r="H2892" s="2" t="s">
        <v>35</v>
      </c>
      <c r="I2892" s="3">
        <v>36934</v>
      </c>
      <c r="J2892" s="9" t="str">
        <f t="shared" ca="1" si="47"/>
        <v>22 ans</v>
      </c>
      <c r="K2892" s="2" t="s">
        <v>156</v>
      </c>
      <c r="L2892" s="2" t="str">
        <f>"951"</f>
        <v>951</v>
      </c>
      <c r="M2892" s="2"/>
      <c r="N2892" s="2" t="str">
        <f>"RUE DU BELVÉDÈRE"</f>
        <v>RUE DU BELVÉDÈRE</v>
      </c>
      <c r="O2892" s="2" t="s">
        <v>13076</v>
      </c>
      <c r="P2892" s="9" t="str">
        <f>VLOOKUP($O2892,'Liste des Villes'!$B$2:$B$1128,1,FALSE)</f>
        <v>Rivière-Rouge</v>
      </c>
      <c r="Q2892" s="9" t="str">
        <f>IFERROR($P2892,PROPER(VLOOKUP($O2892,'Villes en erreur'!$A$2:$B$72,2,FALSE)))</f>
        <v>Rivière-Rouge</v>
      </c>
      <c r="R2892" s="9" t="s">
        <v>13077</v>
      </c>
      <c r="S2892" s="9" t="str">
        <f>IF(ISBLANK($R2892),"",VLOOKUP($R2892,'Liste des Villes'!$B$2:$H$1128,4,FALSE))</f>
        <v>Laurentides</v>
      </c>
      <c r="T2892" s="2" t="s">
        <v>13086</v>
      </c>
      <c r="U2892" s="2" t="s">
        <v>39</v>
      </c>
      <c r="V2892" s="2" t="s">
        <v>40</v>
      </c>
      <c r="W2892" s="2" t="s">
        <v>13119</v>
      </c>
      <c r="X2892" s="2"/>
      <c r="Y2892" s="2"/>
      <c r="Z2892" s="2"/>
      <c r="AA2892" s="2" t="s">
        <v>160</v>
      </c>
      <c r="AB2892" s="2" t="s">
        <v>161</v>
      </c>
      <c r="AC2892" s="4" t="s">
        <v>44</v>
      </c>
    </row>
    <row r="2893" spans="1:29" x14ac:dyDescent="0.25">
      <c r="A2893" s="1">
        <v>2425</v>
      </c>
      <c r="B2893" s="17" t="s">
        <v>13120</v>
      </c>
      <c r="C2893" s="2" t="s">
        <v>13121</v>
      </c>
      <c r="D2893" s="15" t="s">
        <v>1734</v>
      </c>
      <c r="E2893" s="9" t="s">
        <v>99</v>
      </c>
      <c r="F2893" s="9" t="s">
        <v>100</v>
      </c>
      <c r="G2893" s="9" t="s">
        <v>99</v>
      </c>
      <c r="H2893" s="2" t="s">
        <v>35</v>
      </c>
      <c r="I2893" s="3">
        <v>36930</v>
      </c>
      <c r="J2893" s="9" t="str">
        <f t="shared" ca="1" si="47"/>
        <v>22 ans</v>
      </c>
      <c r="K2893" s="2" t="s">
        <v>156</v>
      </c>
      <c r="L2893" s="2" t="str">
        <f>"943"</f>
        <v>943</v>
      </c>
      <c r="M2893" s="2"/>
      <c r="N2893" s="2" t="str">
        <f>"RUE DORWIN"</f>
        <v>RUE DORWIN</v>
      </c>
      <c r="O2893" s="2" t="s">
        <v>13076</v>
      </c>
      <c r="P2893" s="9" t="str">
        <f>VLOOKUP($O2893,'Liste des Villes'!$B$2:$B$1128,1,FALSE)</f>
        <v>Rivière-Rouge</v>
      </c>
      <c r="Q2893" s="9" t="str">
        <f>IFERROR($P2893,PROPER(VLOOKUP($O2893,'Villes en erreur'!$A$2:$B$72,2,FALSE)))</f>
        <v>Rivière-Rouge</v>
      </c>
      <c r="R2893" s="9" t="s">
        <v>13077</v>
      </c>
      <c r="S2893" s="9" t="str">
        <f>IF(ISBLANK($R2893),"",VLOOKUP($R2893,'Liste des Villes'!$B$2:$H$1128,4,FALSE))</f>
        <v>Laurentides</v>
      </c>
      <c r="T2893" s="2" t="s">
        <v>13122</v>
      </c>
      <c r="U2893" s="2" t="s">
        <v>39</v>
      </c>
      <c r="V2893" s="2" t="s">
        <v>40</v>
      </c>
      <c r="W2893" s="2" t="s">
        <v>13123</v>
      </c>
      <c r="X2893" s="2"/>
      <c r="Y2893" s="2"/>
      <c r="Z2893" s="2"/>
      <c r="AA2893" s="2" t="s">
        <v>160</v>
      </c>
      <c r="AB2893" s="2" t="s">
        <v>161</v>
      </c>
      <c r="AC2893" s="4" t="s">
        <v>44</v>
      </c>
    </row>
    <row r="2894" spans="1:29" x14ac:dyDescent="0.25">
      <c r="A2894" s="1">
        <v>3983</v>
      </c>
      <c r="B2894" s="17" t="s">
        <v>13124</v>
      </c>
      <c r="C2894" s="2" t="s">
        <v>13125</v>
      </c>
      <c r="D2894" s="15" t="s">
        <v>12964</v>
      </c>
      <c r="E2894" s="9" t="s">
        <v>6386</v>
      </c>
      <c r="F2894" s="9" t="s">
        <v>12962</v>
      </c>
      <c r="G2894" s="9" t="s">
        <v>99</v>
      </c>
      <c r="H2894" s="2" t="s">
        <v>35</v>
      </c>
      <c r="I2894" s="3">
        <v>36930</v>
      </c>
      <c r="J2894" s="9" t="str">
        <f t="shared" ca="1" si="47"/>
        <v>22 ans</v>
      </c>
      <c r="K2894" s="2" t="s">
        <v>156</v>
      </c>
      <c r="L2894" s="2" t="str">
        <f>"944"</f>
        <v>944</v>
      </c>
      <c r="M2894" s="2"/>
      <c r="N2894" s="2" t="str">
        <f>"RUE D'OUTREMONT"</f>
        <v>RUE D'OUTREMONT</v>
      </c>
      <c r="O2894" s="2" t="s">
        <v>13076</v>
      </c>
      <c r="P2894" s="9" t="str">
        <f>VLOOKUP($O2894,'Liste des Villes'!$B$2:$B$1128,1,FALSE)</f>
        <v>Rivière-Rouge</v>
      </c>
      <c r="Q2894" s="9" t="str">
        <f>IFERROR($P2894,PROPER(VLOOKUP($O2894,'Villes en erreur'!$A$2:$B$72,2,FALSE)))</f>
        <v>Rivière-Rouge</v>
      </c>
      <c r="R2894" s="9" t="s">
        <v>13077</v>
      </c>
      <c r="S2894" s="9" t="str">
        <f>IF(ISBLANK($R2894),"",VLOOKUP($R2894,'Liste des Villes'!$B$2:$H$1128,4,FALSE))</f>
        <v>Laurentides</v>
      </c>
      <c r="T2894" s="2" t="s">
        <v>13099</v>
      </c>
      <c r="U2894" s="2" t="s">
        <v>39</v>
      </c>
      <c r="V2894" s="2" t="s">
        <v>40</v>
      </c>
      <c r="W2894" s="2" t="s">
        <v>13126</v>
      </c>
      <c r="X2894" s="2"/>
      <c r="Y2894" s="2"/>
      <c r="Z2894" s="2"/>
      <c r="AA2894" s="2" t="s">
        <v>160</v>
      </c>
      <c r="AB2894" s="2" t="s">
        <v>161</v>
      </c>
      <c r="AC2894" s="4" t="s">
        <v>44</v>
      </c>
    </row>
    <row r="2895" spans="1:29" x14ac:dyDescent="0.25">
      <c r="A2895" s="1">
        <v>3819</v>
      </c>
      <c r="B2895" s="17" t="s">
        <v>13127</v>
      </c>
      <c r="C2895" s="2" t="s">
        <v>7803</v>
      </c>
      <c r="D2895" s="15" t="s">
        <v>2474</v>
      </c>
      <c r="E2895" s="9" t="s">
        <v>7804</v>
      </c>
      <c r="F2895" s="9" t="s">
        <v>6309</v>
      </c>
      <c r="G2895" s="9" t="s">
        <v>99</v>
      </c>
      <c r="H2895" s="2" t="s">
        <v>35</v>
      </c>
      <c r="I2895" s="3">
        <v>36930</v>
      </c>
      <c r="J2895" s="9" t="str">
        <f t="shared" ca="1" si="47"/>
        <v>22 ans</v>
      </c>
      <c r="K2895" s="2" t="s">
        <v>156</v>
      </c>
      <c r="L2895" s="2" t="str">
        <f>"943"</f>
        <v>943</v>
      </c>
      <c r="M2895" s="2"/>
      <c r="N2895" s="2" t="str">
        <f>"RUE DORIS"</f>
        <v>RUE DORIS</v>
      </c>
      <c r="O2895" s="2" t="s">
        <v>13076</v>
      </c>
      <c r="P2895" s="9" t="str">
        <f>VLOOKUP($O2895,'Liste des Villes'!$B$2:$B$1128,1,FALSE)</f>
        <v>Rivière-Rouge</v>
      </c>
      <c r="Q2895" s="9" t="str">
        <f>IFERROR($P2895,PROPER(VLOOKUP($O2895,'Villes en erreur'!$A$2:$B$72,2,FALSE)))</f>
        <v>Rivière-Rouge</v>
      </c>
      <c r="R2895" s="9" t="s">
        <v>13077</v>
      </c>
      <c r="S2895" s="9" t="str">
        <f>IF(ISBLANK($R2895),"",VLOOKUP($R2895,'Liste des Villes'!$B$2:$H$1128,4,FALSE))</f>
        <v>Laurentides</v>
      </c>
      <c r="T2895" s="2" t="s">
        <v>13128</v>
      </c>
      <c r="U2895" s="2" t="s">
        <v>39</v>
      </c>
      <c r="V2895" s="2" t="s">
        <v>40</v>
      </c>
      <c r="W2895" s="2" t="s">
        <v>13129</v>
      </c>
      <c r="X2895" s="2"/>
      <c r="Y2895" s="2"/>
      <c r="Z2895" s="2"/>
      <c r="AA2895" s="2" t="s">
        <v>160</v>
      </c>
      <c r="AB2895" s="2" t="s">
        <v>161</v>
      </c>
      <c r="AC2895" s="4" t="s">
        <v>44</v>
      </c>
    </row>
    <row r="2896" spans="1:29" x14ac:dyDescent="0.25">
      <c r="A2896" s="1">
        <v>176</v>
      </c>
      <c r="B2896" s="17" t="s">
        <v>13130</v>
      </c>
      <c r="C2896" s="2" t="s">
        <v>5393</v>
      </c>
      <c r="D2896" s="15" t="s">
        <v>2698</v>
      </c>
      <c r="E2896" s="9" t="s">
        <v>4988</v>
      </c>
      <c r="F2896" s="9" t="s">
        <v>5394</v>
      </c>
      <c r="G2896" s="9" t="s">
        <v>3906</v>
      </c>
      <c r="H2896" s="2" t="s">
        <v>35</v>
      </c>
      <c r="I2896" s="3">
        <v>36934</v>
      </c>
      <c r="J2896" s="9" t="str">
        <f t="shared" ca="1" si="47"/>
        <v>22 ans</v>
      </c>
      <c r="K2896" s="2" t="s">
        <v>156</v>
      </c>
      <c r="L2896" s="2" t="str">
        <f>"954"</f>
        <v>954</v>
      </c>
      <c r="M2896" s="2"/>
      <c r="N2896" s="2" t="str">
        <f>"RUE DU BERGER"</f>
        <v>RUE DU BERGER</v>
      </c>
      <c r="O2896" s="2" t="s">
        <v>13131</v>
      </c>
      <c r="P2896" s="9" t="str">
        <f>VLOOKUP($O2896,'Liste des Villes'!$B$2:$B$1128,1,FALSE)</f>
        <v>Ripon</v>
      </c>
      <c r="Q2896" s="9" t="str">
        <f>IFERROR($P2896,PROPER(VLOOKUP($O2896,'Villes en erreur'!$A$2:$B$72,2,FALSE)))</f>
        <v>Ripon</v>
      </c>
      <c r="R2896" s="9" t="s">
        <v>13132</v>
      </c>
      <c r="S2896" s="9" t="str">
        <f>IF(ISBLANK($R2896),"",VLOOKUP($R2896,'Liste des Villes'!$B$2:$H$1128,4,FALSE))</f>
        <v>Outaouais</v>
      </c>
      <c r="T2896" s="2" t="s">
        <v>13133</v>
      </c>
      <c r="U2896" s="2" t="s">
        <v>39</v>
      </c>
      <c r="V2896" s="2" t="s">
        <v>40</v>
      </c>
      <c r="W2896" s="2" t="s">
        <v>13134</v>
      </c>
      <c r="X2896" s="2"/>
      <c r="Y2896" s="2"/>
      <c r="Z2896" s="2"/>
      <c r="AA2896" s="2" t="s">
        <v>160</v>
      </c>
      <c r="AB2896" s="2" t="s">
        <v>161</v>
      </c>
      <c r="AC2896" s="4" t="s">
        <v>44</v>
      </c>
    </row>
    <row r="2897" spans="1:29" x14ac:dyDescent="0.25">
      <c r="A2897" s="1">
        <v>939</v>
      </c>
      <c r="B2897" s="17" t="s">
        <v>13135</v>
      </c>
      <c r="C2897" s="2" t="s">
        <v>13136</v>
      </c>
      <c r="D2897" s="15" t="s">
        <v>3977</v>
      </c>
      <c r="E2897" s="9" t="s">
        <v>13056</v>
      </c>
      <c r="F2897" s="9" t="s">
        <v>100</v>
      </c>
      <c r="G2897" s="9" t="s">
        <v>3485</v>
      </c>
      <c r="H2897" s="2" t="s">
        <v>60</v>
      </c>
      <c r="I2897" s="3">
        <v>36936</v>
      </c>
      <c r="J2897" s="9" t="str">
        <f t="shared" ca="1" si="47"/>
        <v>22 ans</v>
      </c>
      <c r="K2897" s="2" t="s">
        <v>156</v>
      </c>
      <c r="L2897" s="2" t="str">
        <f>"960"</f>
        <v>960</v>
      </c>
      <c r="M2897" s="2"/>
      <c r="N2897" s="2" t="str">
        <f>"RUE DU BLAINVILLIER"</f>
        <v>RUE DU BLAINVILLIER</v>
      </c>
      <c r="O2897" s="2" t="s">
        <v>13137</v>
      </c>
      <c r="P2897" s="9" t="str">
        <f>VLOOKUP($O2897,'Liste des Villes'!$B$2:$B$1128,1,FALSE)</f>
        <v>Repentigny</v>
      </c>
      <c r="Q2897" s="9" t="str">
        <f>IFERROR($P2897,PROPER(VLOOKUP($O2897,'Villes en erreur'!$A$2:$B$72,2,FALSE)))</f>
        <v>Repentigny</v>
      </c>
      <c r="R2897" s="9" t="s">
        <v>13138</v>
      </c>
      <c r="S2897" s="9" t="str">
        <f>IF(ISBLANK($R2897),"",VLOOKUP($R2897,'Liste des Villes'!$B$2:$H$1128,4,FALSE))</f>
        <v>Lanaudière</v>
      </c>
      <c r="T2897" s="2" t="s">
        <v>13133</v>
      </c>
      <c r="U2897" s="2" t="s">
        <v>39</v>
      </c>
      <c r="V2897" s="2" t="s">
        <v>40</v>
      </c>
      <c r="W2897" s="2" t="s">
        <v>13139</v>
      </c>
      <c r="X2897" s="2"/>
      <c r="Y2897" s="2"/>
      <c r="Z2897" s="2"/>
      <c r="AA2897" s="2" t="s">
        <v>160</v>
      </c>
      <c r="AB2897" s="2" t="s">
        <v>161</v>
      </c>
      <c r="AC2897" s="4" t="s">
        <v>44</v>
      </c>
    </row>
    <row r="2898" spans="1:29" x14ac:dyDescent="0.25">
      <c r="A2898" s="1">
        <v>4497</v>
      </c>
      <c r="B2898" s="17" t="s">
        <v>13140</v>
      </c>
      <c r="C2898" s="2" t="s">
        <v>13141</v>
      </c>
      <c r="D2898" s="15" t="s">
        <v>13142</v>
      </c>
      <c r="E2898" s="9" t="s">
        <v>13143</v>
      </c>
      <c r="F2898" s="9" t="s">
        <v>934</v>
      </c>
      <c r="G2898" s="9" t="s">
        <v>3485</v>
      </c>
      <c r="H2898" s="2" t="s">
        <v>60</v>
      </c>
      <c r="I2898" s="3">
        <v>36935</v>
      </c>
      <c r="J2898" s="9" t="str">
        <f t="shared" ca="1" si="47"/>
        <v>22 ans</v>
      </c>
      <c r="K2898" s="2" t="s">
        <v>156</v>
      </c>
      <c r="L2898" s="2" t="str">
        <f>"960"</f>
        <v>960</v>
      </c>
      <c r="M2898" s="2"/>
      <c r="N2898" s="2" t="str">
        <f>"RUE DU BLAINVILLIER"</f>
        <v>RUE DU BLAINVILLIER</v>
      </c>
      <c r="O2898" s="2" t="s">
        <v>13137</v>
      </c>
      <c r="P2898" s="9" t="str">
        <f>VLOOKUP($O2898,'Liste des Villes'!$B$2:$B$1128,1,FALSE)</f>
        <v>Repentigny</v>
      </c>
      <c r="Q2898" s="9" t="str">
        <f>IFERROR($P2898,PROPER(VLOOKUP($O2898,'Villes en erreur'!$A$2:$B$72,2,FALSE)))</f>
        <v>Repentigny</v>
      </c>
      <c r="R2898" s="9" t="s">
        <v>13138</v>
      </c>
      <c r="S2898" s="9" t="str">
        <f>IF(ISBLANK($R2898),"",VLOOKUP($R2898,'Liste des Villes'!$B$2:$H$1128,4,FALSE))</f>
        <v>Lanaudière</v>
      </c>
      <c r="T2898" s="2" t="s">
        <v>13133</v>
      </c>
      <c r="U2898" s="2" t="s">
        <v>39</v>
      </c>
      <c r="V2898" s="2" t="s">
        <v>40</v>
      </c>
      <c r="W2898" s="2" t="s">
        <v>13144</v>
      </c>
      <c r="X2898" s="2"/>
      <c r="Y2898" s="2"/>
      <c r="Z2898" s="2"/>
      <c r="AA2898" s="2" t="s">
        <v>160</v>
      </c>
      <c r="AB2898" s="2" t="s">
        <v>161</v>
      </c>
      <c r="AC2898" s="4" t="s">
        <v>44</v>
      </c>
    </row>
    <row r="2899" spans="1:29" x14ac:dyDescent="0.25">
      <c r="A2899" s="1">
        <v>2494</v>
      </c>
      <c r="B2899" s="17" t="s">
        <v>13145</v>
      </c>
      <c r="C2899" s="2" t="s">
        <v>13146</v>
      </c>
      <c r="D2899" s="15" t="s">
        <v>13147</v>
      </c>
      <c r="E2899" s="9" t="s">
        <v>101</v>
      </c>
      <c r="F2899" s="9" t="s">
        <v>2018</v>
      </c>
      <c r="G2899" s="9" t="s">
        <v>3485</v>
      </c>
      <c r="H2899" s="2" t="s">
        <v>60</v>
      </c>
      <c r="I2899" s="3">
        <v>36935</v>
      </c>
      <c r="J2899" s="9" t="str">
        <f t="shared" ca="1" si="47"/>
        <v>22 ans</v>
      </c>
      <c r="K2899" s="2" t="s">
        <v>156</v>
      </c>
      <c r="L2899" s="2" t="str">
        <f>"956"</f>
        <v>956</v>
      </c>
      <c r="M2899" s="2"/>
      <c r="N2899" s="2" t="str">
        <f>"RUE DU BIATHLON"</f>
        <v>RUE DU BIATHLON</v>
      </c>
      <c r="O2899" s="2" t="s">
        <v>13137</v>
      </c>
      <c r="P2899" s="9" t="str">
        <f>VLOOKUP($O2899,'Liste des Villes'!$B$2:$B$1128,1,FALSE)</f>
        <v>Repentigny</v>
      </c>
      <c r="Q2899" s="9" t="str">
        <f>IFERROR($P2899,PROPER(VLOOKUP($O2899,'Villes en erreur'!$A$2:$B$72,2,FALSE)))</f>
        <v>Repentigny</v>
      </c>
      <c r="R2899" s="9" t="s">
        <v>13138</v>
      </c>
      <c r="S2899" s="9" t="str">
        <f>IF(ISBLANK($R2899),"",VLOOKUP($R2899,'Liste des Villes'!$B$2:$H$1128,4,FALSE))</f>
        <v>Lanaudière</v>
      </c>
      <c r="T2899" s="2" t="s">
        <v>13133</v>
      </c>
      <c r="U2899" s="2" t="s">
        <v>39</v>
      </c>
      <c r="V2899" s="2" t="s">
        <v>40</v>
      </c>
      <c r="W2899" s="2" t="s">
        <v>13148</v>
      </c>
      <c r="X2899" s="2"/>
      <c r="Y2899" s="2"/>
      <c r="Z2899" s="2"/>
      <c r="AA2899" s="2" t="s">
        <v>160</v>
      </c>
      <c r="AB2899" s="2" t="s">
        <v>161</v>
      </c>
      <c r="AC2899" s="4" t="s">
        <v>44</v>
      </c>
    </row>
    <row r="2900" spans="1:29" x14ac:dyDescent="0.25">
      <c r="A2900" s="1">
        <v>628</v>
      </c>
      <c r="B2900" s="17" t="s">
        <v>13149</v>
      </c>
      <c r="C2900" s="2" t="s">
        <v>13150</v>
      </c>
      <c r="D2900" s="15" t="s">
        <v>132</v>
      </c>
      <c r="E2900" s="9" t="s">
        <v>685</v>
      </c>
      <c r="F2900" s="9" t="s">
        <v>130</v>
      </c>
      <c r="G2900" s="9" t="s">
        <v>3485</v>
      </c>
      <c r="H2900" s="2" t="s">
        <v>60</v>
      </c>
      <c r="I2900" s="3">
        <v>36937</v>
      </c>
      <c r="J2900" s="9" t="str">
        <f t="shared" ca="1" si="47"/>
        <v>22 ans</v>
      </c>
      <c r="K2900" s="2" t="s">
        <v>156</v>
      </c>
      <c r="L2900" s="2" t="str">
        <f>"961"</f>
        <v>961</v>
      </c>
      <c r="M2900" s="2"/>
      <c r="N2900" s="2" t="str">
        <f>"RUE DU BLAINVILLIER"</f>
        <v>RUE DU BLAINVILLIER</v>
      </c>
      <c r="O2900" s="2" t="s">
        <v>13151</v>
      </c>
      <c r="P2900" s="9" t="str">
        <f>VLOOKUP($O2900,'Liste des Villes'!$B$2:$B$1128,1,FALSE)</f>
        <v>Rawdon</v>
      </c>
      <c r="Q2900" s="9" t="str">
        <f>IFERROR($P2900,PROPER(VLOOKUP($O2900,'Villes en erreur'!$A$2:$B$72,2,FALSE)))</f>
        <v>Rawdon</v>
      </c>
      <c r="R2900" s="9" t="s">
        <v>13152</v>
      </c>
      <c r="S2900" s="9" t="str">
        <f>IF(ISBLANK($R2900),"",VLOOKUP($R2900,'Liste des Villes'!$B$2:$H$1128,4,FALSE))</f>
        <v>Lanaudière</v>
      </c>
      <c r="T2900" s="2" t="s">
        <v>13153</v>
      </c>
      <c r="U2900" s="2" t="s">
        <v>39</v>
      </c>
      <c r="V2900" s="2" t="s">
        <v>40</v>
      </c>
      <c r="W2900" s="2" t="s">
        <v>13154</v>
      </c>
      <c r="X2900" s="2"/>
      <c r="Y2900" s="2"/>
      <c r="Z2900" s="2"/>
      <c r="AA2900" s="2" t="s">
        <v>160</v>
      </c>
      <c r="AB2900" s="2" t="s">
        <v>161</v>
      </c>
      <c r="AC2900" s="4" t="s">
        <v>44</v>
      </c>
    </row>
    <row r="2901" spans="1:29" x14ac:dyDescent="0.25">
      <c r="A2901" s="1">
        <v>2490</v>
      </c>
      <c r="B2901" s="17" t="s">
        <v>13155</v>
      </c>
      <c r="C2901" s="2" t="s">
        <v>5696</v>
      </c>
      <c r="D2901" s="15" t="s">
        <v>197</v>
      </c>
      <c r="E2901" s="9" t="s">
        <v>495</v>
      </c>
      <c r="F2901" s="9" t="s">
        <v>5021</v>
      </c>
      <c r="G2901" s="9" t="s">
        <v>3485</v>
      </c>
      <c r="H2901" s="2" t="s">
        <v>60</v>
      </c>
      <c r="I2901" s="3">
        <v>36938</v>
      </c>
      <c r="J2901" s="9" t="str">
        <f t="shared" ca="1" si="47"/>
        <v>22 ans</v>
      </c>
      <c r="K2901" s="2" t="s">
        <v>156</v>
      </c>
      <c r="L2901" s="2" t="str">
        <f>"964"</f>
        <v>964</v>
      </c>
      <c r="M2901" s="2"/>
      <c r="N2901" s="2" t="str">
        <f>"RUE DU BLIZZARD"</f>
        <v>RUE DU BLIZZARD</v>
      </c>
      <c r="O2901" s="2" t="s">
        <v>13151</v>
      </c>
      <c r="P2901" s="9" t="str">
        <f>VLOOKUP($O2901,'Liste des Villes'!$B$2:$B$1128,1,FALSE)</f>
        <v>Rawdon</v>
      </c>
      <c r="Q2901" s="9" t="str">
        <f>IFERROR($P2901,PROPER(VLOOKUP($O2901,'Villes en erreur'!$A$2:$B$72,2,FALSE)))</f>
        <v>Rawdon</v>
      </c>
      <c r="R2901" s="9" t="s">
        <v>13152</v>
      </c>
      <c r="S2901" s="9" t="str">
        <f>IF(ISBLANK($R2901),"",VLOOKUP($R2901,'Liste des Villes'!$B$2:$H$1128,4,FALSE))</f>
        <v>Lanaudière</v>
      </c>
      <c r="T2901" s="2" t="s">
        <v>13156</v>
      </c>
      <c r="U2901" s="2" t="s">
        <v>39</v>
      </c>
      <c r="V2901" s="2" t="s">
        <v>40</v>
      </c>
      <c r="W2901" s="2" t="s">
        <v>13157</v>
      </c>
      <c r="X2901" s="2"/>
      <c r="Y2901" s="2"/>
      <c r="Z2901" s="2"/>
      <c r="AA2901" s="2" t="s">
        <v>160</v>
      </c>
      <c r="AB2901" s="2" t="s">
        <v>161</v>
      </c>
      <c r="AC2901" s="4" t="s">
        <v>44</v>
      </c>
    </row>
    <row r="2902" spans="1:29" x14ac:dyDescent="0.25">
      <c r="A2902" s="1">
        <v>4020</v>
      </c>
      <c r="B2902" s="17" t="s">
        <v>13158</v>
      </c>
      <c r="C2902" s="2" t="s">
        <v>4843</v>
      </c>
      <c r="D2902" s="15" t="s">
        <v>934</v>
      </c>
      <c r="E2902" s="9" t="s">
        <v>50</v>
      </c>
      <c r="F2902" s="9" t="s">
        <v>13142</v>
      </c>
      <c r="G2902" s="9" t="s">
        <v>3485</v>
      </c>
      <c r="H2902" s="2" t="s">
        <v>60</v>
      </c>
      <c r="I2902" s="3">
        <v>36936</v>
      </c>
      <c r="J2902" s="9" t="str">
        <f t="shared" ca="1" si="47"/>
        <v>22 ans</v>
      </c>
      <c r="K2902" s="2" t="s">
        <v>156</v>
      </c>
      <c r="L2902" s="2" t="str">
        <f>"960"</f>
        <v>960</v>
      </c>
      <c r="M2902" s="2"/>
      <c r="N2902" s="2" t="str">
        <f>"RUE DU BLAINVILLIER"</f>
        <v>RUE DU BLAINVILLIER</v>
      </c>
      <c r="O2902" s="2" t="s">
        <v>13151</v>
      </c>
      <c r="P2902" s="9" t="str">
        <f>VLOOKUP($O2902,'Liste des Villes'!$B$2:$B$1128,1,FALSE)</f>
        <v>Rawdon</v>
      </c>
      <c r="Q2902" s="9" t="str">
        <f>IFERROR($P2902,PROPER(VLOOKUP($O2902,'Villes en erreur'!$A$2:$B$72,2,FALSE)))</f>
        <v>Rawdon</v>
      </c>
      <c r="R2902" s="9" t="s">
        <v>13152</v>
      </c>
      <c r="S2902" s="9" t="str">
        <f>IF(ISBLANK($R2902),"",VLOOKUP($R2902,'Liste des Villes'!$B$2:$H$1128,4,FALSE))</f>
        <v>Lanaudière</v>
      </c>
      <c r="T2902" s="2" t="s">
        <v>13159</v>
      </c>
      <c r="U2902" s="2" t="s">
        <v>39</v>
      </c>
      <c r="V2902" s="2" t="s">
        <v>40</v>
      </c>
      <c r="W2902" s="2" t="s">
        <v>13160</v>
      </c>
      <c r="X2902" s="2"/>
      <c r="Y2902" s="2"/>
      <c r="Z2902" s="2"/>
      <c r="AA2902" s="2" t="s">
        <v>160</v>
      </c>
      <c r="AB2902" s="2" t="s">
        <v>161</v>
      </c>
      <c r="AC2902" s="4" t="s">
        <v>44</v>
      </c>
    </row>
    <row r="2903" spans="1:29" x14ac:dyDescent="0.25">
      <c r="A2903" s="1">
        <v>2837</v>
      </c>
      <c r="B2903" s="17" t="s">
        <v>13161</v>
      </c>
      <c r="C2903" s="2" t="s">
        <v>13162</v>
      </c>
      <c r="D2903" s="15" t="s">
        <v>4643</v>
      </c>
      <c r="E2903" s="9" t="s">
        <v>1416</v>
      </c>
      <c r="F2903" s="9" t="s">
        <v>4642</v>
      </c>
      <c r="G2903" s="9" t="s">
        <v>3485</v>
      </c>
      <c r="H2903" s="2" t="s">
        <v>60</v>
      </c>
      <c r="I2903" s="3">
        <v>36937</v>
      </c>
      <c r="J2903" s="9" t="str">
        <f t="shared" ca="1" si="47"/>
        <v>22 ans</v>
      </c>
      <c r="K2903" s="2" t="s">
        <v>156</v>
      </c>
      <c r="L2903" s="2" t="str">
        <f>"962"</f>
        <v>962</v>
      </c>
      <c r="M2903" s="2"/>
      <c r="N2903" s="2" t="str">
        <f>"RUE DU BLAINVILLIER"</f>
        <v>RUE DU BLAINVILLIER</v>
      </c>
      <c r="O2903" s="2" t="s">
        <v>13151</v>
      </c>
      <c r="P2903" s="9" t="str">
        <f>VLOOKUP($O2903,'Liste des Villes'!$B$2:$B$1128,1,FALSE)</f>
        <v>Rawdon</v>
      </c>
      <c r="Q2903" s="9" t="str">
        <f>IFERROR($P2903,PROPER(VLOOKUP($O2903,'Villes en erreur'!$A$2:$B$72,2,FALSE)))</f>
        <v>Rawdon</v>
      </c>
      <c r="R2903" s="9" t="s">
        <v>13152</v>
      </c>
      <c r="S2903" s="9" t="str">
        <f>IF(ISBLANK($R2903),"",VLOOKUP($R2903,'Liste des Villes'!$B$2:$H$1128,4,FALSE))</f>
        <v>Lanaudière</v>
      </c>
      <c r="T2903" s="2" t="s">
        <v>13163</v>
      </c>
      <c r="U2903" s="2" t="s">
        <v>39</v>
      </c>
      <c r="V2903" s="2" t="s">
        <v>40</v>
      </c>
      <c r="W2903" s="2" t="s">
        <v>13164</v>
      </c>
      <c r="X2903" s="2"/>
      <c r="Y2903" s="2"/>
      <c r="Z2903" s="2"/>
      <c r="AA2903" s="2" t="s">
        <v>160</v>
      </c>
      <c r="AB2903" s="2" t="s">
        <v>161</v>
      </c>
      <c r="AC2903" s="4" t="s">
        <v>44</v>
      </c>
    </row>
    <row r="2904" spans="1:29" x14ac:dyDescent="0.25">
      <c r="A2904" s="1">
        <v>3532</v>
      </c>
      <c r="B2904" s="17" t="s">
        <v>13165</v>
      </c>
      <c r="C2904" s="2" t="s">
        <v>1348</v>
      </c>
      <c r="D2904" s="15" t="s">
        <v>1349</v>
      </c>
      <c r="E2904" s="9" t="s">
        <v>380</v>
      </c>
      <c r="F2904" s="9" t="s">
        <v>9611</v>
      </c>
      <c r="G2904" s="9" t="s">
        <v>3485</v>
      </c>
      <c r="H2904" s="2" t="s">
        <v>60</v>
      </c>
      <c r="I2904" s="3">
        <v>36937</v>
      </c>
      <c r="J2904" s="9" t="str">
        <f t="shared" ca="1" si="47"/>
        <v>22 ans</v>
      </c>
      <c r="K2904" s="2" t="s">
        <v>156</v>
      </c>
      <c r="L2904" s="2" t="str">
        <f>"964"</f>
        <v>964</v>
      </c>
      <c r="M2904" s="2"/>
      <c r="N2904" s="2" t="str">
        <f>"RUE DU BLIZZARD"</f>
        <v>RUE DU BLIZZARD</v>
      </c>
      <c r="O2904" s="2" t="s">
        <v>13151</v>
      </c>
      <c r="P2904" s="9" t="str">
        <f>VLOOKUP($O2904,'Liste des Villes'!$B$2:$B$1128,1,FALSE)</f>
        <v>Rawdon</v>
      </c>
      <c r="Q2904" s="9" t="str">
        <f>IFERROR($P2904,PROPER(VLOOKUP($O2904,'Villes en erreur'!$A$2:$B$72,2,FALSE)))</f>
        <v>Rawdon</v>
      </c>
      <c r="R2904" s="9" t="s">
        <v>13152</v>
      </c>
      <c r="S2904" s="9" t="str">
        <f>IF(ISBLANK($R2904),"",VLOOKUP($R2904,'Liste des Villes'!$B$2:$H$1128,4,FALSE))</f>
        <v>Lanaudière</v>
      </c>
      <c r="T2904" s="2" t="s">
        <v>13156</v>
      </c>
      <c r="U2904" s="2" t="s">
        <v>39</v>
      </c>
      <c r="V2904" s="2" t="s">
        <v>40</v>
      </c>
      <c r="W2904" s="2" t="s">
        <v>13166</v>
      </c>
      <c r="X2904" s="2"/>
      <c r="Y2904" s="2"/>
      <c r="Z2904" s="2"/>
      <c r="AA2904" s="2" t="s">
        <v>160</v>
      </c>
      <c r="AB2904" s="2" t="s">
        <v>161</v>
      </c>
      <c r="AC2904" s="4" t="s">
        <v>44</v>
      </c>
    </row>
    <row r="2905" spans="1:29" x14ac:dyDescent="0.25">
      <c r="A2905" s="1">
        <v>3769</v>
      </c>
      <c r="B2905" s="17" t="s">
        <v>13167</v>
      </c>
      <c r="C2905" s="2" t="s">
        <v>4140</v>
      </c>
      <c r="D2905" s="15" t="s">
        <v>4141</v>
      </c>
      <c r="E2905" s="9" t="s">
        <v>2198</v>
      </c>
      <c r="F2905" s="9" t="s">
        <v>4142</v>
      </c>
      <c r="G2905" s="9" t="s">
        <v>3485</v>
      </c>
      <c r="H2905" s="2" t="s">
        <v>60</v>
      </c>
      <c r="I2905" s="3">
        <v>36936</v>
      </c>
      <c r="J2905" s="9" t="str">
        <f t="shared" ca="1" si="47"/>
        <v>22 ans</v>
      </c>
      <c r="K2905" s="2" t="s">
        <v>156</v>
      </c>
      <c r="L2905" s="2" t="str">
        <f>"960"</f>
        <v>960</v>
      </c>
      <c r="M2905" s="2"/>
      <c r="N2905" s="2" t="str">
        <f>"RUE DU BLAINVILLIER"</f>
        <v>RUE DU BLAINVILLIER</v>
      </c>
      <c r="O2905" s="2" t="s">
        <v>13151</v>
      </c>
      <c r="P2905" s="9" t="str">
        <f>VLOOKUP($O2905,'Liste des Villes'!$B$2:$B$1128,1,FALSE)</f>
        <v>Rawdon</v>
      </c>
      <c r="Q2905" s="9" t="str">
        <f>IFERROR($P2905,PROPER(VLOOKUP($O2905,'Villes en erreur'!$A$2:$B$72,2,FALSE)))</f>
        <v>Rawdon</v>
      </c>
      <c r="R2905" s="9" t="s">
        <v>13152</v>
      </c>
      <c r="S2905" s="9" t="str">
        <f>IF(ISBLANK($R2905),"",VLOOKUP($R2905,'Liste des Villes'!$B$2:$H$1128,4,FALSE))</f>
        <v>Lanaudière</v>
      </c>
      <c r="T2905" s="2" t="s">
        <v>13168</v>
      </c>
      <c r="U2905" s="2" t="s">
        <v>39</v>
      </c>
      <c r="V2905" s="2" t="s">
        <v>40</v>
      </c>
      <c r="W2905" s="2" t="s">
        <v>13169</v>
      </c>
      <c r="X2905" s="2"/>
      <c r="Y2905" s="2"/>
      <c r="Z2905" s="2"/>
      <c r="AA2905" s="2" t="s">
        <v>160</v>
      </c>
      <c r="AB2905" s="2" t="s">
        <v>161</v>
      </c>
      <c r="AC2905" s="4" t="s">
        <v>44</v>
      </c>
    </row>
    <row r="2906" spans="1:29" x14ac:dyDescent="0.25">
      <c r="A2906" s="1">
        <v>4135</v>
      </c>
      <c r="B2906" s="17" t="s">
        <v>13170</v>
      </c>
      <c r="C2906" s="2" t="s">
        <v>8644</v>
      </c>
      <c r="D2906" s="15" t="s">
        <v>6578</v>
      </c>
      <c r="E2906" s="9" t="s">
        <v>8645</v>
      </c>
      <c r="F2906" s="9" t="s">
        <v>6577</v>
      </c>
      <c r="G2906" s="9" t="s">
        <v>3485</v>
      </c>
      <c r="H2906" s="2" t="s">
        <v>60</v>
      </c>
      <c r="I2906" s="3">
        <v>36937</v>
      </c>
      <c r="J2906" s="9" t="str">
        <f t="shared" ca="1" si="47"/>
        <v>22 ans</v>
      </c>
      <c r="K2906" s="2" t="s">
        <v>156</v>
      </c>
      <c r="L2906" s="2" t="str">
        <f>"962"</f>
        <v>962</v>
      </c>
      <c r="M2906" s="2"/>
      <c r="N2906" s="2" t="str">
        <f>"RUE DU BLIZZARD"</f>
        <v>RUE DU BLIZZARD</v>
      </c>
      <c r="O2906" s="2" t="s">
        <v>13151</v>
      </c>
      <c r="P2906" s="9" t="str">
        <f>VLOOKUP($O2906,'Liste des Villes'!$B$2:$B$1128,1,FALSE)</f>
        <v>Rawdon</v>
      </c>
      <c r="Q2906" s="9" t="str">
        <f>IFERROR($P2906,PROPER(VLOOKUP($O2906,'Villes en erreur'!$A$2:$B$72,2,FALSE)))</f>
        <v>Rawdon</v>
      </c>
      <c r="R2906" s="9" t="s">
        <v>13152</v>
      </c>
      <c r="S2906" s="9" t="str">
        <f>IF(ISBLANK($R2906),"",VLOOKUP($R2906,'Liste des Villes'!$B$2:$H$1128,4,FALSE))</f>
        <v>Lanaudière</v>
      </c>
      <c r="T2906" s="2" t="s">
        <v>13171</v>
      </c>
      <c r="U2906" s="2" t="s">
        <v>39</v>
      </c>
      <c r="V2906" s="2" t="s">
        <v>40</v>
      </c>
      <c r="W2906" s="2" t="s">
        <v>13172</v>
      </c>
      <c r="X2906" s="2"/>
      <c r="Y2906" s="2"/>
      <c r="Z2906" s="2"/>
      <c r="AA2906" s="2" t="s">
        <v>160</v>
      </c>
      <c r="AB2906" s="2" t="s">
        <v>161</v>
      </c>
      <c r="AC2906" s="4" t="s">
        <v>44</v>
      </c>
    </row>
    <row r="2907" spans="1:29" x14ac:dyDescent="0.25">
      <c r="A2907" s="1">
        <v>4156</v>
      </c>
      <c r="B2907" s="17" t="s">
        <v>13173</v>
      </c>
      <c r="C2907" s="2" t="s">
        <v>13174</v>
      </c>
      <c r="D2907" s="15" t="s">
        <v>2729</v>
      </c>
      <c r="E2907" s="9" t="s">
        <v>2750</v>
      </c>
      <c r="F2907" s="9" t="s">
        <v>13175</v>
      </c>
      <c r="G2907" s="9" t="s">
        <v>3485</v>
      </c>
      <c r="H2907" s="2" t="s">
        <v>60</v>
      </c>
      <c r="I2907" s="3">
        <v>36937</v>
      </c>
      <c r="J2907" s="9" t="str">
        <f t="shared" ca="1" si="47"/>
        <v>22 ans</v>
      </c>
      <c r="K2907" s="2" t="s">
        <v>156</v>
      </c>
      <c r="L2907" s="2" t="str">
        <f>"964"</f>
        <v>964</v>
      </c>
      <c r="M2907" s="2"/>
      <c r="N2907" s="2" t="str">
        <f>"RUE DU BLIZZARD"</f>
        <v>RUE DU BLIZZARD</v>
      </c>
      <c r="O2907" s="2" t="s">
        <v>13151</v>
      </c>
      <c r="P2907" s="9" t="str">
        <f>VLOOKUP($O2907,'Liste des Villes'!$B$2:$B$1128,1,FALSE)</f>
        <v>Rawdon</v>
      </c>
      <c r="Q2907" s="9" t="str">
        <f>IFERROR($P2907,PROPER(VLOOKUP($O2907,'Villes en erreur'!$A$2:$B$72,2,FALSE)))</f>
        <v>Rawdon</v>
      </c>
      <c r="R2907" s="9" t="s">
        <v>13152</v>
      </c>
      <c r="S2907" s="9" t="str">
        <f>IF(ISBLANK($R2907),"",VLOOKUP($R2907,'Liste des Villes'!$B$2:$H$1128,4,FALSE))</f>
        <v>Lanaudière</v>
      </c>
      <c r="T2907" s="2" t="s">
        <v>13156</v>
      </c>
      <c r="U2907" s="2" t="s">
        <v>39</v>
      </c>
      <c r="V2907" s="2" t="s">
        <v>40</v>
      </c>
      <c r="W2907" s="2" t="s">
        <v>13176</v>
      </c>
      <c r="X2907" s="2"/>
      <c r="Y2907" s="2"/>
      <c r="Z2907" s="2"/>
      <c r="AA2907" s="2" t="s">
        <v>160</v>
      </c>
      <c r="AB2907" s="2" t="s">
        <v>161</v>
      </c>
      <c r="AC2907" s="4" t="s">
        <v>44</v>
      </c>
    </row>
    <row r="2908" spans="1:29" x14ac:dyDescent="0.25">
      <c r="A2908" s="1">
        <v>1488</v>
      </c>
      <c r="B2908" s="17" t="s">
        <v>13177</v>
      </c>
      <c r="C2908" s="2" t="s">
        <v>13178</v>
      </c>
      <c r="D2908" s="15" t="s">
        <v>9055</v>
      </c>
      <c r="E2908" s="9" t="s">
        <v>253</v>
      </c>
      <c r="F2908" s="9" t="s">
        <v>3831</v>
      </c>
      <c r="G2908" s="9" t="s">
        <v>3485</v>
      </c>
      <c r="H2908" s="2" t="s">
        <v>60</v>
      </c>
      <c r="I2908" s="3">
        <v>36940</v>
      </c>
      <c r="J2908" s="9" t="str">
        <f t="shared" ca="1" si="47"/>
        <v>22 ans</v>
      </c>
      <c r="K2908" s="2" t="s">
        <v>156</v>
      </c>
      <c r="L2908" s="2" t="str">
        <f>"970"</f>
        <v>970</v>
      </c>
      <c r="M2908" s="2"/>
      <c r="N2908" s="2" t="str">
        <f t="shared" ref="N2908:N2913" si="48">"RUE DU BOISÉ"</f>
        <v>RUE DU BOISÉ</v>
      </c>
      <c r="O2908" s="2" t="s">
        <v>13179</v>
      </c>
      <c r="P2908" s="9" t="str">
        <f>VLOOKUP($O2908,'Liste des Villes'!$B$2:$B$1128,1,FALSE)</f>
        <v>Québec</v>
      </c>
      <c r="Q2908" s="9" t="str">
        <f>IFERROR($P2908,PROPER(VLOOKUP($O2908,'Villes en erreur'!$A$2:$B$72,2,FALSE)))</f>
        <v>Québec</v>
      </c>
      <c r="R2908" s="9" t="s">
        <v>13180</v>
      </c>
      <c r="S2908" s="9" t="str">
        <f>IF(ISBLANK($R2908),"",VLOOKUP($R2908,'Liste des Villes'!$B$2:$H$1128,4,FALSE))</f>
        <v>Capitale-Nationale</v>
      </c>
      <c r="T2908" s="2" t="s">
        <v>13181</v>
      </c>
      <c r="U2908" s="2" t="s">
        <v>39</v>
      </c>
      <c r="V2908" s="2" t="s">
        <v>40</v>
      </c>
      <c r="W2908" s="2" t="s">
        <v>13182</v>
      </c>
      <c r="X2908" s="2"/>
      <c r="Y2908" s="2"/>
      <c r="Z2908" s="2"/>
      <c r="AA2908" s="2" t="s">
        <v>160</v>
      </c>
      <c r="AB2908" s="2" t="s">
        <v>161</v>
      </c>
      <c r="AC2908" s="4" t="s">
        <v>44</v>
      </c>
    </row>
    <row r="2909" spans="1:29" x14ac:dyDescent="0.25">
      <c r="A2909" s="1">
        <v>3129</v>
      </c>
      <c r="B2909" s="17" t="s">
        <v>13183</v>
      </c>
      <c r="C2909" s="2" t="s">
        <v>13184</v>
      </c>
      <c r="D2909" s="15" t="s">
        <v>4081</v>
      </c>
      <c r="E2909" s="9" t="s">
        <v>3013</v>
      </c>
      <c r="F2909" s="9" t="s">
        <v>13185</v>
      </c>
      <c r="G2909" s="9" t="s">
        <v>3485</v>
      </c>
      <c r="H2909" s="2" t="s">
        <v>60</v>
      </c>
      <c r="I2909" s="3">
        <v>36939</v>
      </c>
      <c r="J2909" s="9" t="str">
        <f t="shared" ca="1" si="47"/>
        <v>22 ans</v>
      </c>
      <c r="K2909" s="2" t="s">
        <v>156</v>
      </c>
      <c r="L2909" s="2" t="str">
        <f>"966"</f>
        <v>966</v>
      </c>
      <c r="M2909" s="2"/>
      <c r="N2909" s="2" t="str">
        <f t="shared" si="48"/>
        <v>RUE DU BOISÉ</v>
      </c>
      <c r="O2909" s="2" t="s">
        <v>13179</v>
      </c>
      <c r="P2909" s="9" t="str">
        <f>VLOOKUP($O2909,'Liste des Villes'!$B$2:$B$1128,1,FALSE)</f>
        <v>Québec</v>
      </c>
      <c r="Q2909" s="9" t="str">
        <f>IFERROR($P2909,PROPER(VLOOKUP($O2909,'Villes en erreur'!$A$2:$B$72,2,FALSE)))</f>
        <v>Québec</v>
      </c>
      <c r="R2909" s="9" t="s">
        <v>13180</v>
      </c>
      <c r="S2909" s="9" t="str">
        <f>IF(ISBLANK($R2909),"",VLOOKUP($R2909,'Liste des Villes'!$B$2:$H$1128,4,FALSE))</f>
        <v>Capitale-Nationale</v>
      </c>
      <c r="T2909" s="2" t="s">
        <v>13186</v>
      </c>
      <c r="U2909" s="2" t="s">
        <v>39</v>
      </c>
      <c r="V2909" s="2" t="s">
        <v>40</v>
      </c>
      <c r="W2909" s="2" t="s">
        <v>13187</v>
      </c>
      <c r="X2909" s="2"/>
      <c r="Y2909" s="2"/>
      <c r="Z2909" s="2"/>
      <c r="AA2909" s="2" t="s">
        <v>160</v>
      </c>
      <c r="AB2909" s="2" t="s">
        <v>161</v>
      </c>
      <c r="AC2909" s="4" t="s">
        <v>44</v>
      </c>
    </row>
    <row r="2910" spans="1:29" x14ac:dyDescent="0.25">
      <c r="A2910" s="1">
        <v>3443</v>
      </c>
      <c r="B2910" s="17" t="s">
        <v>13188</v>
      </c>
      <c r="C2910" s="2" t="s">
        <v>1507</v>
      </c>
      <c r="D2910" s="15" t="s">
        <v>1508</v>
      </c>
      <c r="E2910" s="9" t="s">
        <v>92</v>
      </c>
      <c r="F2910" s="9" t="s">
        <v>13189</v>
      </c>
      <c r="G2910" s="9" t="s">
        <v>3485</v>
      </c>
      <c r="H2910" s="2" t="s">
        <v>60</v>
      </c>
      <c r="I2910" s="3">
        <v>36939</v>
      </c>
      <c r="J2910" s="9" t="str">
        <f t="shared" ca="1" si="47"/>
        <v>22 ans</v>
      </c>
      <c r="K2910" s="2" t="s">
        <v>156</v>
      </c>
      <c r="L2910" s="2" t="str">
        <f>"968"</f>
        <v>968</v>
      </c>
      <c r="M2910" s="2"/>
      <c r="N2910" s="2" t="str">
        <f t="shared" si="48"/>
        <v>RUE DU BOISÉ</v>
      </c>
      <c r="O2910" s="2" t="s">
        <v>13179</v>
      </c>
      <c r="P2910" s="9" t="str">
        <f>VLOOKUP($O2910,'Liste des Villes'!$B$2:$B$1128,1,FALSE)</f>
        <v>Québec</v>
      </c>
      <c r="Q2910" s="9" t="str">
        <f>IFERROR($P2910,PROPER(VLOOKUP($O2910,'Villes en erreur'!$A$2:$B$72,2,FALSE)))</f>
        <v>Québec</v>
      </c>
      <c r="R2910" s="9" t="s">
        <v>13180</v>
      </c>
      <c r="S2910" s="9" t="str">
        <f>IF(ISBLANK($R2910),"",VLOOKUP($R2910,'Liste des Villes'!$B$2:$H$1128,4,FALSE))</f>
        <v>Capitale-Nationale</v>
      </c>
      <c r="T2910" s="2" t="s">
        <v>13186</v>
      </c>
      <c r="U2910" s="2" t="s">
        <v>39</v>
      </c>
      <c r="V2910" s="2" t="s">
        <v>40</v>
      </c>
      <c r="W2910" s="2" t="s">
        <v>13190</v>
      </c>
      <c r="X2910" s="2"/>
      <c r="Y2910" s="2"/>
      <c r="Z2910" s="2"/>
      <c r="AA2910" s="2" t="s">
        <v>160</v>
      </c>
      <c r="AB2910" s="2" t="s">
        <v>161</v>
      </c>
      <c r="AC2910" s="4" t="s">
        <v>44</v>
      </c>
    </row>
    <row r="2911" spans="1:29" x14ac:dyDescent="0.25">
      <c r="A2911" s="1">
        <v>79</v>
      </c>
      <c r="B2911" s="17" t="s">
        <v>13191</v>
      </c>
      <c r="C2911" s="2" t="s">
        <v>7037</v>
      </c>
      <c r="D2911" s="15" t="s">
        <v>3659</v>
      </c>
      <c r="E2911" s="9" t="s">
        <v>743</v>
      </c>
      <c r="F2911" s="9" t="s">
        <v>12621</v>
      </c>
      <c r="G2911" s="9" t="s">
        <v>3485</v>
      </c>
      <c r="H2911" s="2" t="s">
        <v>60</v>
      </c>
      <c r="I2911" s="3">
        <v>36939</v>
      </c>
      <c r="J2911" s="9" t="str">
        <f t="shared" ca="1" si="47"/>
        <v>22 ans</v>
      </c>
      <c r="K2911" s="2" t="s">
        <v>156</v>
      </c>
      <c r="L2911" s="2" t="str">
        <f>"966"</f>
        <v>966</v>
      </c>
      <c r="M2911" s="2"/>
      <c r="N2911" s="2" t="str">
        <f t="shared" si="48"/>
        <v>RUE DU BOISÉ</v>
      </c>
      <c r="O2911" s="2" t="s">
        <v>13179</v>
      </c>
      <c r="P2911" s="9" t="str">
        <f>VLOOKUP($O2911,'Liste des Villes'!$B$2:$B$1128,1,FALSE)</f>
        <v>Québec</v>
      </c>
      <c r="Q2911" s="9" t="str">
        <f>IFERROR($P2911,PROPER(VLOOKUP($O2911,'Villes en erreur'!$A$2:$B$72,2,FALSE)))</f>
        <v>Québec</v>
      </c>
      <c r="R2911" s="9" t="s">
        <v>13180</v>
      </c>
      <c r="S2911" s="9" t="str">
        <f>IF(ISBLANK($R2911),"",VLOOKUP($R2911,'Liste des Villes'!$B$2:$H$1128,4,FALSE))</f>
        <v>Capitale-Nationale</v>
      </c>
      <c r="T2911" s="2" t="s">
        <v>13186</v>
      </c>
      <c r="U2911" s="2" t="s">
        <v>39</v>
      </c>
      <c r="V2911" s="2" t="s">
        <v>40</v>
      </c>
      <c r="W2911" s="2" t="s">
        <v>13192</v>
      </c>
      <c r="X2911" s="2"/>
      <c r="Y2911" s="2"/>
      <c r="Z2911" s="2"/>
      <c r="AA2911" s="2" t="s">
        <v>160</v>
      </c>
      <c r="AB2911" s="2" t="s">
        <v>161</v>
      </c>
      <c r="AC2911" s="4" t="s">
        <v>44</v>
      </c>
    </row>
    <row r="2912" spans="1:29" x14ac:dyDescent="0.25">
      <c r="A2912" s="1">
        <v>3608</v>
      </c>
      <c r="B2912" s="17" t="s">
        <v>13193</v>
      </c>
      <c r="C2912" s="2" t="s">
        <v>13194</v>
      </c>
      <c r="D2912" s="15" t="s">
        <v>13195</v>
      </c>
      <c r="E2912" s="9" t="s">
        <v>685</v>
      </c>
      <c r="F2912" s="9" t="s">
        <v>541</v>
      </c>
      <c r="G2912" s="9" t="s">
        <v>7108</v>
      </c>
      <c r="H2912" s="2" t="s">
        <v>60</v>
      </c>
      <c r="I2912" s="3">
        <v>36940</v>
      </c>
      <c r="J2912" s="9" t="str">
        <f t="shared" ca="1" si="47"/>
        <v>22 ans</v>
      </c>
      <c r="K2912" s="2" t="s">
        <v>156</v>
      </c>
      <c r="L2912" s="2" t="str">
        <f>"970"</f>
        <v>970</v>
      </c>
      <c r="M2912" s="2"/>
      <c r="N2912" s="2" t="str">
        <f t="shared" si="48"/>
        <v>RUE DU BOISÉ</v>
      </c>
      <c r="O2912" s="2" t="s">
        <v>13179</v>
      </c>
      <c r="P2912" s="9" t="str">
        <f>VLOOKUP($O2912,'Liste des Villes'!$B$2:$B$1128,1,FALSE)</f>
        <v>Québec</v>
      </c>
      <c r="Q2912" s="9" t="str">
        <f>IFERROR($P2912,PROPER(VLOOKUP($O2912,'Villes en erreur'!$A$2:$B$72,2,FALSE)))</f>
        <v>Québec</v>
      </c>
      <c r="R2912" s="9" t="s">
        <v>13180</v>
      </c>
      <c r="S2912" s="9" t="str">
        <f>IF(ISBLANK($R2912),"",VLOOKUP($R2912,'Liste des Villes'!$B$2:$H$1128,4,FALSE))</f>
        <v>Capitale-Nationale</v>
      </c>
      <c r="T2912" s="2" t="s">
        <v>13196</v>
      </c>
      <c r="U2912" s="2" t="s">
        <v>39</v>
      </c>
      <c r="V2912" s="2" t="s">
        <v>40</v>
      </c>
      <c r="W2912" s="2" t="s">
        <v>13197</v>
      </c>
      <c r="X2912" s="2"/>
      <c r="Y2912" s="2"/>
      <c r="Z2912" s="2"/>
      <c r="AA2912" s="2" t="s">
        <v>160</v>
      </c>
      <c r="AB2912" s="2" t="s">
        <v>161</v>
      </c>
      <c r="AC2912" s="4" t="s">
        <v>44</v>
      </c>
    </row>
    <row r="2913" spans="1:29" x14ac:dyDescent="0.25">
      <c r="A2913" s="1">
        <v>207</v>
      </c>
      <c r="B2913" s="17" t="s">
        <v>13198</v>
      </c>
      <c r="C2913" s="2" t="s">
        <v>13199</v>
      </c>
      <c r="D2913" s="15" t="s">
        <v>5953</v>
      </c>
      <c r="E2913" s="9" t="s">
        <v>2049</v>
      </c>
      <c r="F2913" s="9" t="s">
        <v>5727</v>
      </c>
      <c r="G2913" s="9" t="s">
        <v>3485</v>
      </c>
      <c r="H2913" s="2" t="s">
        <v>60</v>
      </c>
      <c r="I2913" s="3">
        <v>36938</v>
      </c>
      <c r="J2913" s="9" t="str">
        <f t="shared" ca="1" si="47"/>
        <v>22 ans</v>
      </c>
      <c r="K2913" s="2" t="s">
        <v>156</v>
      </c>
      <c r="L2913" s="2" t="str">
        <f>"965"</f>
        <v>965</v>
      </c>
      <c r="M2913" s="2"/>
      <c r="N2913" s="2" t="str">
        <f t="shared" si="48"/>
        <v>RUE DU BOISÉ</v>
      </c>
      <c r="O2913" s="2" t="s">
        <v>13179</v>
      </c>
      <c r="P2913" s="9" t="str">
        <f>VLOOKUP($O2913,'Liste des Villes'!$B$2:$B$1128,1,FALSE)</f>
        <v>Québec</v>
      </c>
      <c r="Q2913" s="9" t="str">
        <f>IFERROR($P2913,PROPER(VLOOKUP($O2913,'Villes en erreur'!$A$2:$B$72,2,FALSE)))</f>
        <v>Québec</v>
      </c>
      <c r="R2913" s="9" t="s">
        <v>13180</v>
      </c>
      <c r="S2913" s="9" t="str">
        <f>IF(ISBLANK($R2913),"",VLOOKUP($R2913,'Liste des Villes'!$B$2:$H$1128,4,FALSE))</f>
        <v>Capitale-Nationale</v>
      </c>
      <c r="T2913" s="2" t="s">
        <v>13156</v>
      </c>
      <c r="U2913" s="2" t="s">
        <v>39</v>
      </c>
      <c r="V2913" s="2" t="s">
        <v>40</v>
      </c>
      <c r="W2913" s="2" t="s">
        <v>13200</v>
      </c>
      <c r="X2913" s="2"/>
      <c r="Y2913" s="2"/>
      <c r="Z2913" s="2"/>
      <c r="AA2913" s="2" t="s">
        <v>160</v>
      </c>
      <c r="AB2913" s="2" t="s">
        <v>161</v>
      </c>
      <c r="AC2913" s="4" t="s">
        <v>44</v>
      </c>
    </row>
    <row r="2914" spans="1:29" x14ac:dyDescent="0.25">
      <c r="A2914" s="1">
        <v>1201</v>
      </c>
      <c r="B2914" s="17" t="s">
        <v>13201</v>
      </c>
      <c r="C2914" s="2" t="s">
        <v>13202</v>
      </c>
      <c r="D2914" s="15" t="s">
        <v>13203</v>
      </c>
      <c r="E2914" s="9" t="s">
        <v>2686</v>
      </c>
      <c r="F2914" s="9" t="s">
        <v>1366</v>
      </c>
      <c r="G2914" s="9" t="s">
        <v>1416</v>
      </c>
      <c r="H2914" s="2" t="s">
        <v>60</v>
      </c>
      <c r="I2914" s="3">
        <v>36999</v>
      </c>
      <c r="J2914" s="9" t="str">
        <f t="shared" ca="1" si="47"/>
        <v>22 ans</v>
      </c>
      <c r="K2914" s="2" t="s">
        <v>156</v>
      </c>
      <c r="L2914" s="2" t="str">
        <f>"1033"</f>
        <v>1033</v>
      </c>
      <c r="M2914" s="2"/>
      <c r="N2914" s="2" t="str">
        <f>"RUE DU GEAI-BLEU"</f>
        <v>RUE DU GEAI-BLEU</v>
      </c>
      <c r="O2914" s="2" t="s">
        <v>13204</v>
      </c>
      <c r="P2914" s="9" t="str">
        <f>VLOOKUP($O2914,'Liste des Villes'!$B$2:$B$1128,1,FALSE)</f>
        <v>Prévost</v>
      </c>
      <c r="Q2914" s="9" t="str">
        <f>IFERROR($P2914,PROPER(VLOOKUP($O2914,'Villes en erreur'!$A$2:$B$72,2,FALSE)))</f>
        <v>Prévost</v>
      </c>
      <c r="R2914" s="9" t="s">
        <v>1590</v>
      </c>
      <c r="S2914" s="9" t="str">
        <f>IF(ISBLANK($R2914),"",VLOOKUP($R2914,'Liste des Villes'!$B$2:$H$1128,4,FALSE))</f>
        <v>Laurentides</v>
      </c>
      <c r="T2914" s="2" t="s">
        <v>13205</v>
      </c>
      <c r="U2914" s="2" t="s">
        <v>39</v>
      </c>
      <c r="V2914" s="2" t="s">
        <v>40</v>
      </c>
      <c r="W2914" s="2" t="s">
        <v>13206</v>
      </c>
      <c r="X2914" s="2"/>
      <c r="Y2914" s="2"/>
      <c r="Z2914" s="2"/>
      <c r="AA2914" s="2" t="s">
        <v>13207</v>
      </c>
      <c r="AB2914" s="2" t="s">
        <v>13208</v>
      </c>
      <c r="AC2914" s="4" t="s">
        <v>44</v>
      </c>
    </row>
    <row r="2915" spans="1:29" x14ac:dyDescent="0.25">
      <c r="A2915" s="1">
        <v>3406</v>
      </c>
      <c r="B2915" s="17" t="s">
        <v>13209</v>
      </c>
      <c r="C2915" s="2" t="s">
        <v>9981</v>
      </c>
      <c r="D2915" s="15" t="s">
        <v>4344</v>
      </c>
      <c r="E2915" s="9" t="s">
        <v>1560</v>
      </c>
      <c r="F2915" s="9" t="s">
        <v>867</v>
      </c>
      <c r="G2915" s="9" t="s">
        <v>956</v>
      </c>
      <c r="H2915" s="2" t="s">
        <v>60</v>
      </c>
      <c r="I2915" s="3">
        <v>36946</v>
      </c>
      <c r="J2915" s="9" t="str">
        <f t="shared" ca="1" si="47"/>
        <v>22 ans</v>
      </c>
      <c r="K2915" s="2" t="s">
        <v>156</v>
      </c>
      <c r="L2915" s="2" t="str">
        <f>"980"</f>
        <v>980</v>
      </c>
      <c r="M2915" s="2"/>
      <c r="N2915" s="2" t="str">
        <f>"RUE DU BORDEAUX"</f>
        <v>RUE DU BORDEAUX</v>
      </c>
      <c r="O2915" s="2" t="s">
        <v>13204</v>
      </c>
      <c r="P2915" s="9" t="str">
        <f>VLOOKUP($O2915,'Liste des Villes'!$B$2:$B$1128,1,FALSE)</f>
        <v>Prévost</v>
      </c>
      <c r="Q2915" s="9" t="str">
        <f>IFERROR($P2915,PROPER(VLOOKUP($O2915,'Villes en erreur'!$A$2:$B$72,2,FALSE)))</f>
        <v>Prévost</v>
      </c>
      <c r="R2915" s="9" t="s">
        <v>1590</v>
      </c>
      <c r="S2915" s="9" t="str">
        <f>IF(ISBLANK($R2915),"",VLOOKUP($R2915,'Liste des Villes'!$B$2:$H$1128,4,FALSE))</f>
        <v>Laurentides</v>
      </c>
      <c r="T2915" s="2" t="s">
        <v>13210</v>
      </c>
      <c r="U2915" s="2" t="s">
        <v>39</v>
      </c>
      <c r="V2915" s="2" t="s">
        <v>40</v>
      </c>
      <c r="W2915" s="2" t="s">
        <v>13211</v>
      </c>
      <c r="X2915" s="2"/>
      <c r="Y2915" s="2"/>
      <c r="Z2915" s="2"/>
      <c r="AA2915" s="2" t="s">
        <v>160</v>
      </c>
      <c r="AB2915" s="2" t="s">
        <v>161</v>
      </c>
      <c r="AC2915" s="4" t="s">
        <v>44</v>
      </c>
    </row>
    <row r="2916" spans="1:29" x14ac:dyDescent="0.25">
      <c r="A2916" s="1">
        <v>1447</v>
      </c>
      <c r="B2916" s="17" t="s">
        <v>13212</v>
      </c>
      <c r="C2916" s="2" t="s">
        <v>13213</v>
      </c>
      <c r="D2916" s="15" t="s">
        <v>7950</v>
      </c>
      <c r="E2916" s="9" t="s">
        <v>9086</v>
      </c>
      <c r="F2916" s="9" t="s">
        <v>5538</v>
      </c>
      <c r="G2916" s="9" t="s">
        <v>253</v>
      </c>
      <c r="H2916" s="2" t="s">
        <v>35</v>
      </c>
      <c r="I2916" s="3">
        <v>36969</v>
      </c>
      <c r="J2916" s="9" t="str">
        <f t="shared" ca="1" si="47"/>
        <v>22 ans</v>
      </c>
      <c r="K2916" s="2" t="s">
        <v>156</v>
      </c>
      <c r="L2916" s="2" t="str">
        <f>"1009"</f>
        <v>1009</v>
      </c>
      <c r="M2916" s="2"/>
      <c r="N2916" s="2" t="str">
        <f>"RUE DU CLOS-DU-MARQUIS"</f>
        <v>RUE DU CLOS-DU-MARQUIS</v>
      </c>
      <c r="O2916" s="2" t="s">
        <v>13204</v>
      </c>
      <c r="P2916" s="9" t="str">
        <f>VLOOKUP($O2916,'Liste des Villes'!$B$2:$B$1128,1,FALSE)</f>
        <v>Prévost</v>
      </c>
      <c r="Q2916" s="9" t="str">
        <f>IFERROR($P2916,PROPER(VLOOKUP($O2916,'Villes en erreur'!$A$2:$B$72,2,FALSE)))</f>
        <v>Prévost</v>
      </c>
      <c r="R2916" s="9" t="s">
        <v>1590</v>
      </c>
      <c r="S2916" s="9" t="str">
        <f>IF(ISBLANK($R2916),"",VLOOKUP($R2916,'Liste des Villes'!$B$2:$H$1128,4,FALSE))</f>
        <v>Laurentides</v>
      </c>
      <c r="T2916" s="2" t="s">
        <v>13214</v>
      </c>
      <c r="U2916" s="2" t="s">
        <v>39</v>
      </c>
      <c r="V2916" s="2" t="s">
        <v>40</v>
      </c>
      <c r="W2916" s="2" t="s">
        <v>13215</v>
      </c>
      <c r="X2916" s="2"/>
      <c r="Y2916" s="2"/>
      <c r="Z2916" s="2"/>
      <c r="AA2916" s="2" t="s">
        <v>160</v>
      </c>
      <c r="AB2916" s="2" t="s">
        <v>13208</v>
      </c>
      <c r="AC2916" s="4" t="s">
        <v>44</v>
      </c>
    </row>
    <row r="2917" spans="1:29" x14ac:dyDescent="0.25">
      <c r="A2917" s="1">
        <v>1654</v>
      </c>
      <c r="B2917" s="17" t="s">
        <v>13216</v>
      </c>
      <c r="C2917" s="2" t="s">
        <v>13217</v>
      </c>
      <c r="D2917" s="15" t="s">
        <v>5366</v>
      </c>
      <c r="E2917" s="9" t="s">
        <v>1377</v>
      </c>
      <c r="F2917" s="9" t="s">
        <v>1293</v>
      </c>
      <c r="G2917" s="9" t="s">
        <v>3595</v>
      </c>
      <c r="H2917" s="2" t="s">
        <v>35</v>
      </c>
      <c r="I2917" s="3">
        <v>36995</v>
      </c>
      <c r="J2917" s="9" t="str">
        <f t="shared" ca="1" si="47"/>
        <v>22 ans</v>
      </c>
      <c r="K2917" s="2" t="s">
        <v>156</v>
      </c>
      <c r="L2917" s="2" t="str">
        <f>"1030"</f>
        <v>1030</v>
      </c>
      <c r="M2917" s="2"/>
      <c r="N2917" s="2" t="str">
        <f>"RUE DU DOMAINE-MONTAGNARD"</f>
        <v>RUE DU DOMAINE-MONTAGNARD</v>
      </c>
      <c r="O2917" s="2" t="s">
        <v>13204</v>
      </c>
      <c r="P2917" s="9" t="str">
        <f>VLOOKUP($O2917,'Liste des Villes'!$B$2:$B$1128,1,FALSE)</f>
        <v>Prévost</v>
      </c>
      <c r="Q2917" s="9" t="str">
        <f>IFERROR($P2917,PROPER(VLOOKUP($O2917,'Villes en erreur'!$A$2:$B$72,2,FALSE)))</f>
        <v>Prévost</v>
      </c>
      <c r="R2917" s="9" t="s">
        <v>1590</v>
      </c>
      <c r="S2917" s="9" t="str">
        <f>IF(ISBLANK($R2917),"",VLOOKUP($R2917,'Liste des Villes'!$B$2:$H$1128,4,FALSE))</f>
        <v>Laurentides</v>
      </c>
      <c r="T2917" s="2" t="s">
        <v>13218</v>
      </c>
      <c r="U2917" s="2" t="s">
        <v>39</v>
      </c>
      <c r="V2917" s="2" t="s">
        <v>40</v>
      </c>
      <c r="W2917" s="2" t="s">
        <v>13219</v>
      </c>
      <c r="X2917" s="2"/>
      <c r="Y2917" s="2"/>
      <c r="Z2917" s="2"/>
      <c r="AA2917" s="2" t="s">
        <v>13207</v>
      </c>
      <c r="AB2917" s="2" t="s">
        <v>13208</v>
      </c>
      <c r="AC2917" s="4" t="s">
        <v>44</v>
      </c>
    </row>
    <row r="2918" spans="1:29" x14ac:dyDescent="0.25">
      <c r="A2918" s="1">
        <v>3370</v>
      </c>
      <c r="B2918" s="17" t="s">
        <v>13220</v>
      </c>
      <c r="C2918" s="2" t="s">
        <v>13221</v>
      </c>
      <c r="D2918" s="15" t="s">
        <v>173</v>
      </c>
      <c r="E2918" s="9" t="s">
        <v>10899</v>
      </c>
      <c r="F2918" s="9" t="s">
        <v>171</v>
      </c>
      <c r="G2918" s="9" t="s">
        <v>2049</v>
      </c>
      <c r="H2918" s="2" t="s">
        <v>35</v>
      </c>
      <c r="I2918" s="3">
        <v>37013</v>
      </c>
      <c r="J2918" s="9" t="str">
        <f t="shared" ca="1" si="47"/>
        <v>22 ans</v>
      </c>
      <c r="K2918" s="2" t="s">
        <v>156</v>
      </c>
      <c r="L2918" s="2" t="str">
        <f>"1045"</f>
        <v>1045</v>
      </c>
      <c r="M2918" s="2"/>
      <c r="N2918" s="2" t="str">
        <f>"RUE DU JOLI-BOIS"</f>
        <v>RUE DU JOLI-BOIS</v>
      </c>
      <c r="O2918" s="2" t="s">
        <v>13204</v>
      </c>
      <c r="P2918" s="9" t="str">
        <f>VLOOKUP($O2918,'Liste des Villes'!$B$2:$B$1128,1,FALSE)</f>
        <v>Prévost</v>
      </c>
      <c r="Q2918" s="9" t="str">
        <f>IFERROR($P2918,PROPER(VLOOKUP($O2918,'Villes en erreur'!$A$2:$B$72,2,FALSE)))</f>
        <v>Prévost</v>
      </c>
      <c r="R2918" s="9" t="s">
        <v>1590</v>
      </c>
      <c r="S2918" s="9" t="str">
        <f>IF(ISBLANK($R2918),"",VLOOKUP($R2918,'Liste des Villes'!$B$2:$H$1128,4,FALSE))</f>
        <v>Laurentides</v>
      </c>
      <c r="T2918" s="2" t="s">
        <v>13222</v>
      </c>
      <c r="U2918" s="2" t="s">
        <v>39</v>
      </c>
      <c r="V2918" s="2" t="s">
        <v>40</v>
      </c>
      <c r="W2918" s="2" t="s">
        <v>13223</v>
      </c>
      <c r="X2918" s="2"/>
      <c r="Y2918" s="2"/>
      <c r="Z2918" s="2"/>
      <c r="AA2918" s="2" t="s">
        <v>375</v>
      </c>
      <c r="AB2918" s="2" t="s">
        <v>13208</v>
      </c>
      <c r="AC2918" s="4" t="s">
        <v>44</v>
      </c>
    </row>
    <row r="2919" spans="1:29" x14ac:dyDescent="0.25">
      <c r="A2919" s="1">
        <v>2361</v>
      </c>
      <c r="B2919" s="17" t="s">
        <v>13224</v>
      </c>
      <c r="C2919" s="2" t="s">
        <v>13225</v>
      </c>
      <c r="D2919" s="15" t="s">
        <v>13226</v>
      </c>
      <c r="E2919" s="9" t="s">
        <v>341</v>
      </c>
      <c r="F2919" s="9" t="s">
        <v>13227</v>
      </c>
      <c r="G2919" s="9" t="s">
        <v>12200</v>
      </c>
      <c r="H2919" s="2" t="s">
        <v>35</v>
      </c>
      <c r="I2919" s="3">
        <v>36987</v>
      </c>
      <c r="J2919" s="9" t="str">
        <f t="shared" ca="1" si="47"/>
        <v>22 ans</v>
      </c>
      <c r="K2919" s="2" t="s">
        <v>156</v>
      </c>
      <c r="L2919" s="2" t="str">
        <f>"1022"</f>
        <v>1022</v>
      </c>
      <c r="M2919" s="2"/>
      <c r="N2919" s="2" t="str">
        <f>"RUE DU DIAMANT"</f>
        <v>RUE DU DIAMANT</v>
      </c>
      <c r="O2919" s="2" t="s">
        <v>13204</v>
      </c>
      <c r="P2919" s="9" t="str">
        <f>VLOOKUP($O2919,'Liste des Villes'!$B$2:$B$1128,1,FALSE)</f>
        <v>Prévost</v>
      </c>
      <c r="Q2919" s="9" t="str">
        <f>IFERROR($P2919,PROPER(VLOOKUP($O2919,'Villes en erreur'!$A$2:$B$72,2,FALSE)))</f>
        <v>Prévost</v>
      </c>
      <c r="R2919" s="9" t="s">
        <v>1590</v>
      </c>
      <c r="S2919" s="9" t="str">
        <f>IF(ISBLANK($R2919),"",VLOOKUP($R2919,'Liste des Villes'!$B$2:$H$1128,4,FALSE))</f>
        <v>Laurentides</v>
      </c>
      <c r="T2919" s="2" t="s">
        <v>13228</v>
      </c>
      <c r="U2919" s="2" t="s">
        <v>39</v>
      </c>
      <c r="V2919" s="2" t="s">
        <v>40</v>
      </c>
      <c r="W2919" s="2" t="s">
        <v>13229</v>
      </c>
      <c r="X2919" s="2"/>
      <c r="Y2919" s="2"/>
      <c r="Z2919" s="2"/>
      <c r="AA2919" s="2" t="s">
        <v>13207</v>
      </c>
      <c r="AB2919" s="2" t="s">
        <v>13208</v>
      </c>
      <c r="AC2919" s="4" t="s">
        <v>44</v>
      </c>
    </row>
    <row r="2920" spans="1:29" x14ac:dyDescent="0.25">
      <c r="A2920" s="1">
        <v>3288</v>
      </c>
      <c r="B2920" s="17" t="s">
        <v>13230</v>
      </c>
      <c r="C2920" s="2" t="s">
        <v>13231</v>
      </c>
      <c r="D2920" s="15" t="s">
        <v>1755</v>
      </c>
      <c r="E2920" s="9" t="s">
        <v>341</v>
      </c>
      <c r="F2920" s="9" t="s">
        <v>1753</v>
      </c>
      <c r="G2920" s="9" t="s">
        <v>2842</v>
      </c>
      <c r="H2920" s="2" t="s">
        <v>35</v>
      </c>
      <c r="I2920" s="3">
        <v>37006</v>
      </c>
      <c r="J2920" s="9" t="str">
        <f t="shared" ca="1" si="47"/>
        <v>22 ans</v>
      </c>
      <c r="K2920" s="2" t="s">
        <v>156</v>
      </c>
      <c r="L2920" s="2" t="str">
        <f>"1039"</f>
        <v>1039</v>
      </c>
      <c r="M2920" s="2"/>
      <c r="N2920" s="2" t="str">
        <f>"RUE DU GRENOBLE"</f>
        <v>RUE DU GRENOBLE</v>
      </c>
      <c r="O2920" s="2" t="s">
        <v>13204</v>
      </c>
      <c r="P2920" s="9" t="str">
        <f>VLOOKUP($O2920,'Liste des Villes'!$B$2:$B$1128,1,FALSE)</f>
        <v>Prévost</v>
      </c>
      <c r="Q2920" s="9" t="str">
        <f>IFERROR($P2920,PROPER(VLOOKUP($O2920,'Villes en erreur'!$A$2:$B$72,2,FALSE)))</f>
        <v>Prévost</v>
      </c>
      <c r="R2920" s="9" t="s">
        <v>1590</v>
      </c>
      <c r="S2920" s="9" t="str">
        <f>IF(ISBLANK($R2920),"",VLOOKUP($R2920,'Liste des Villes'!$B$2:$H$1128,4,FALSE))</f>
        <v>Laurentides</v>
      </c>
      <c r="T2920" s="2" t="s">
        <v>13232</v>
      </c>
      <c r="U2920" s="2" t="s">
        <v>39</v>
      </c>
      <c r="V2920" s="2" t="s">
        <v>40</v>
      </c>
      <c r="W2920" s="2" t="s">
        <v>13233</v>
      </c>
      <c r="X2920" s="2"/>
      <c r="Y2920" s="2"/>
      <c r="Z2920" s="2"/>
      <c r="AA2920" s="2" t="s">
        <v>375</v>
      </c>
      <c r="AB2920" s="2" t="s">
        <v>13208</v>
      </c>
      <c r="AC2920" s="4" t="s">
        <v>44</v>
      </c>
    </row>
    <row r="2921" spans="1:29" x14ac:dyDescent="0.25">
      <c r="A2921" s="1">
        <v>4062</v>
      </c>
      <c r="B2921" s="17" t="s">
        <v>13234</v>
      </c>
      <c r="C2921" s="2" t="s">
        <v>2209</v>
      </c>
      <c r="D2921" s="15" t="s">
        <v>782</v>
      </c>
      <c r="E2921" s="9" t="s">
        <v>2210</v>
      </c>
      <c r="F2921" s="9" t="s">
        <v>6452</v>
      </c>
      <c r="G2921" s="9" t="s">
        <v>2049</v>
      </c>
      <c r="H2921" s="2" t="s">
        <v>35</v>
      </c>
      <c r="I2921" s="3">
        <v>37017</v>
      </c>
      <c r="J2921" s="9" t="str">
        <f t="shared" ca="1" si="47"/>
        <v>22 ans</v>
      </c>
      <c r="K2921" s="2" t="s">
        <v>156</v>
      </c>
      <c r="L2921" s="2" t="str">
        <f>"1050"</f>
        <v>1050</v>
      </c>
      <c r="M2921" s="2"/>
      <c r="N2921" s="2" t="str">
        <f>"RUE DU LOTUS"</f>
        <v>RUE DU LOTUS</v>
      </c>
      <c r="O2921" s="2" t="s">
        <v>13204</v>
      </c>
      <c r="P2921" s="9" t="str">
        <f>VLOOKUP($O2921,'Liste des Villes'!$B$2:$B$1128,1,FALSE)</f>
        <v>Prévost</v>
      </c>
      <c r="Q2921" s="9" t="str">
        <f>IFERROR($P2921,PROPER(VLOOKUP($O2921,'Villes en erreur'!$A$2:$B$72,2,FALSE)))</f>
        <v>Prévost</v>
      </c>
      <c r="R2921" s="9" t="s">
        <v>1590</v>
      </c>
      <c r="S2921" s="9" t="str">
        <f>IF(ISBLANK($R2921),"",VLOOKUP($R2921,'Liste des Villes'!$B$2:$H$1128,4,FALSE))</f>
        <v>Laurentides</v>
      </c>
      <c r="T2921" s="2" t="s">
        <v>13235</v>
      </c>
      <c r="U2921" s="2" t="s">
        <v>39</v>
      </c>
      <c r="V2921" s="2" t="s">
        <v>40</v>
      </c>
      <c r="W2921" s="2" t="s">
        <v>13236</v>
      </c>
      <c r="X2921" s="2"/>
      <c r="Y2921" s="2"/>
      <c r="Z2921" s="2"/>
      <c r="AA2921" s="2" t="s">
        <v>375</v>
      </c>
      <c r="AB2921" s="2" t="s">
        <v>376</v>
      </c>
      <c r="AC2921" s="4" t="s">
        <v>44</v>
      </c>
    </row>
    <row r="2922" spans="1:29" x14ac:dyDescent="0.25">
      <c r="A2922" s="1">
        <v>1583</v>
      </c>
      <c r="B2922" s="17" t="s">
        <v>13237</v>
      </c>
      <c r="C2922" s="2" t="s">
        <v>13238</v>
      </c>
      <c r="D2922" s="15" t="s">
        <v>5718</v>
      </c>
      <c r="E2922" s="9" t="s">
        <v>4760</v>
      </c>
      <c r="F2922" s="9" t="s">
        <v>5717</v>
      </c>
      <c r="G2922" s="9" t="s">
        <v>956</v>
      </c>
      <c r="H2922" s="2" t="s">
        <v>60</v>
      </c>
      <c r="I2922" s="3">
        <v>36956</v>
      </c>
      <c r="J2922" s="9" t="str">
        <f t="shared" ca="1" si="47"/>
        <v>22 ans</v>
      </c>
      <c r="K2922" s="2" t="s">
        <v>156</v>
      </c>
      <c r="L2922" s="2" t="str">
        <f>"1000"</f>
        <v>1000</v>
      </c>
      <c r="M2922" s="2"/>
      <c r="N2922" s="2" t="str">
        <f>"RUE DU CHAMP-FLEURI"</f>
        <v>RUE DU CHAMP-FLEURI</v>
      </c>
      <c r="O2922" s="2" t="s">
        <v>13204</v>
      </c>
      <c r="P2922" s="9" t="str">
        <f>VLOOKUP($O2922,'Liste des Villes'!$B$2:$B$1128,1,FALSE)</f>
        <v>Prévost</v>
      </c>
      <c r="Q2922" s="9" t="str">
        <f>IFERROR($P2922,PROPER(VLOOKUP($O2922,'Villes en erreur'!$A$2:$B$72,2,FALSE)))</f>
        <v>Prévost</v>
      </c>
      <c r="R2922" s="9" t="s">
        <v>1590</v>
      </c>
      <c r="S2922" s="9" t="str">
        <f>IF(ISBLANK($R2922),"",VLOOKUP($R2922,'Liste des Villes'!$B$2:$H$1128,4,FALSE))</f>
        <v>Laurentides</v>
      </c>
      <c r="T2922" s="2" t="s">
        <v>13239</v>
      </c>
      <c r="U2922" s="2" t="s">
        <v>39</v>
      </c>
      <c r="V2922" s="2" t="s">
        <v>40</v>
      </c>
      <c r="W2922" s="2" t="s">
        <v>13240</v>
      </c>
      <c r="X2922" s="2"/>
      <c r="Y2922" s="2"/>
      <c r="Z2922" s="2"/>
      <c r="AA2922" s="2" t="s">
        <v>160</v>
      </c>
      <c r="AB2922" s="2" t="s">
        <v>13208</v>
      </c>
      <c r="AC2922" s="4" t="s">
        <v>44</v>
      </c>
    </row>
    <row r="2923" spans="1:29" x14ac:dyDescent="0.25">
      <c r="A2923" s="1">
        <v>87</v>
      </c>
      <c r="B2923" s="17" t="s">
        <v>13241</v>
      </c>
      <c r="C2923" s="2" t="s">
        <v>13162</v>
      </c>
      <c r="D2923" s="15" t="s">
        <v>4643</v>
      </c>
      <c r="E2923" s="9" t="s">
        <v>1416</v>
      </c>
      <c r="F2923" s="9" t="s">
        <v>4642</v>
      </c>
      <c r="G2923" s="9" t="s">
        <v>13242</v>
      </c>
      <c r="H2923" s="2" t="s">
        <v>60</v>
      </c>
      <c r="I2923" s="3">
        <v>37018</v>
      </c>
      <c r="J2923" s="9" t="str">
        <f t="shared" ca="1" si="47"/>
        <v>22 ans</v>
      </c>
      <c r="K2923" s="2" t="s">
        <v>156</v>
      </c>
      <c r="L2923" s="2" t="str">
        <f>"1050"</f>
        <v>1050</v>
      </c>
      <c r="M2923" s="2"/>
      <c r="N2923" s="2" t="str">
        <f>"RUE DU MAÇON"</f>
        <v>RUE DU MAÇON</v>
      </c>
      <c r="O2923" s="2" t="s">
        <v>13204</v>
      </c>
      <c r="P2923" s="9" t="str">
        <f>VLOOKUP($O2923,'Liste des Villes'!$B$2:$B$1128,1,FALSE)</f>
        <v>Prévost</v>
      </c>
      <c r="Q2923" s="9" t="str">
        <f>IFERROR($P2923,PROPER(VLOOKUP($O2923,'Villes en erreur'!$A$2:$B$72,2,FALSE)))</f>
        <v>Prévost</v>
      </c>
      <c r="R2923" s="9" t="s">
        <v>1590</v>
      </c>
      <c r="S2923" s="9" t="str">
        <f>IF(ISBLANK($R2923),"",VLOOKUP($R2923,'Liste des Villes'!$B$2:$H$1128,4,FALSE))</f>
        <v>Laurentides</v>
      </c>
      <c r="T2923" s="2" t="s">
        <v>13243</v>
      </c>
      <c r="U2923" s="2" t="s">
        <v>39</v>
      </c>
      <c r="V2923" s="2" t="s">
        <v>40</v>
      </c>
      <c r="W2923" s="2" t="s">
        <v>13244</v>
      </c>
      <c r="X2923" s="2"/>
      <c r="Y2923" s="2"/>
      <c r="Z2923" s="2"/>
      <c r="AA2923" s="2" t="s">
        <v>375</v>
      </c>
      <c r="AB2923" s="2" t="s">
        <v>376</v>
      </c>
      <c r="AC2923" s="4" t="s">
        <v>44</v>
      </c>
    </row>
    <row r="2924" spans="1:29" x14ac:dyDescent="0.25">
      <c r="A2924" s="1">
        <v>4548</v>
      </c>
      <c r="B2924" s="17" t="s">
        <v>13245</v>
      </c>
      <c r="C2924" s="2" t="s">
        <v>9046</v>
      </c>
      <c r="D2924" s="15" t="s">
        <v>4881</v>
      </c>
      <c r="E2924" s="9" t="s">
        <v>2370</v>
      </c>
      <c r="F2924" s="9" t="s">
        <v>178</v>
      </c>
      <c r="G2924" s="9" t="s">
        <v>2198</v>
      </c>
      <c r="H2924" s="2" t="s">
        <v>35</v>
      </c>
      <c r="I2924" s="3">
        <v>36984</v>
      </c>
      <c r="J2924" s="9" t="str">
        <f t="shared" ca="1" si="47"/>
        <v>22 ans</v>
      </c>
      <c r="K2924" s="2" t="s">
        <v>156</v>
      </c>
      <c r="L2924" s="2" t="str">
        <f>"1021"</f>
        <v>1021</v>
      </c>
      <c r="M2924" s="2"/>
      <c r="N2924" s="2" t="str">
        <f>"RUE DU DIAMANT"</f>
        <v>RUE DU DIAMANT</v>
      </c>
      <c r="O2924" s="2" t="s">
        <v>13204</v>
      </c>
      <c r="P2924" s="9" t="str">
        <f>VLOOKUP($O2924,'Liste des Villes'!$B$2:$B$1128,1,FALSE)</f>
        <v>Prévost</v>
      </c>
      <c r="Q2924" s="9" t="str">
        <f>IFERROR($P2924,PROPER(VLOOKUP($O2924,'Villes en erreur'!$A$2:$B$72,2,FALSE)))</f>
        <v>Prévost</v>
      </c>
      <c r="R2924" s="9" t="s">
        <v>1590</v>
      </c>
      <c r="S2924" s="9" t="str">
        <f>IF(ISBLANK($R2924),"",VLOOKUP($R2924,'Liste des Villes'!$B$2:$H$1128,4,FALSE))</f>
        <v>Laurentides</v>
      </c>
      <c r="T2924" s="2" t="s">
        <v>13246</v>
      </c>
      <c r="U2924" s="2" t="s">
        <v>39</v>
      </c>
      <c r="V2924" s="2" t="s">
        <v>40</v>
      </c>
      <c r="W2924" s="2" t="s">
        <v>13247</v>
      </c>
      <c r="X2924" s="2"/>
      <c r="Y2924" s="2"/>
      <c r="Z2924" s="2"/>
      <c r="AA2924" s="2" t="s">
        <v>13207</v>
      </c>
      <c r="AB2924" s="2" t="s">
        <v>13208</v>
      </c>
      <c r="AC2924" s="4" t="s">
        <v>44</v>
      </c>
    </row>
    <row r="2925" spans="1:29" x14ac:dyDescent="0.25">
      <c r="A2925" s="1">
        <v>3555</v>
      </c>
      <c r="B2925" s="17" t="s">
        <v>13248</v>
      </c>
      <c r="C2925" s="2" t="s">
        <v>12714</v>
      </c>
      <c r="D2925" s="15" t="s">
        <v>2018</v>
      </c>
      <c r="E2925" s="9" t="s">
        <v>4167</v>
      </c>
      <c r="F2925" s="9" t="s">
        <v>4750</v>
      </c>
      <c r="G2925" s="9" t="s">
        <v>2198</v>
      </c>
      <c r="H2925" s="2" t="s">
        <v>35</v>
      </c>
      <c r="I2925" s="3">
        <v>36983</v>
      </c>
      <c r="J2925" s="9" t="str">
        <f t="shared" ca="1" si="47"/>
        <v>22 ans</v>
      </c>
      <c r="K2925" s="2" t="s">
        <v>156</v>
      </c>
      <c r="L2925" s="2" t="str">
        <f>"1020"</f>
        <v>1020</v>
      </c>
      <c r="M2925" s="2"/>
      <c r="N2925" s="2" t="str">
        <f>"RUE DU DÉFRICHEUR"</f>
        <v>RUE DU DÉFRICHEUR</v>
      </c>
      <c r="O2925" s="2" t="s">
        <v>13204</v>
      </c>
      <c r="P2925" s="9" t="str">
        <f>VLOOKUP($O2925,'Liste des Villes'!$B$2:$B$1128,1,FALSE)</f>
        <v>Prévost</v>
      </c>
      <c r="Q2925" s="9" t="str">
        <f>IFERROR($P2925,PROPER(VLOOKUP($O2925,'Villes en erreur'!$A$2:$B$72,2,FALSE)))</f>
        <v>Prévost</v>
      </c>
      <c r="R2925" s="9" t="s">
        <v>1590</v>
      </c>
      <c r="S2925" s="9" t="str">
        <f>IF(ISBLANK($R2925),"",VLOOKUP($R2925,'Liste des Villes'!$B$2:$H$1128,4,FALSE))</f>
        <v>Laurentides</v>
      </c>
      <c r="T2925" s="2" t="s">
        <v>13249</v>
      </c>
      <c r="U2925" s="2" t="s">
        <v>39</v>
      </c>
      <c r="V2925" s="2" t="s">
        <v>40</v>
      </c>
      <c r="W2925" s="2" t="s">
        <v>13250</v>
      </c>
      <c r="X2925" s="2"/>
      <c r="Y2925" s="2"/>
      <c r="Z2925" s="2"/>
      <c r="AA2925" s="2" t="s">
        <v>13207</v>
      </c>
      <c r="AB2925" s="2" t="s">
        <v>13208</v>
      </c>
      <c r="AC2925" s="4" t="s">
        <v>44</v>
      </c>
    </row>
    <row r="2926" spans="1:29" x14ac:dyDescent="0.25">
      <c r="A2926" s="1">
        <v>2095</v>
      </c>
      <c r="B2926" s="17" t="s">
        <v>13251</v>
      </c>
      <c r="C2926" s="2" t="s">
        <v>13252</v>
      </c>
      <c r="D2926" s="15" t="s">
        <v>5889</v>
      </c>
      <c r="E2926" s="9" t="s">
        <v>4251</v>
      </c>
      <c r="F2926" s="9" t="s">
        <v>13253</v>
      </c>
      <c r="G2926" s="9" t="s">
        <v>956</v>
      </c>
      <c r="H2926" s="2" t="s">
        <v>60</v>
      </c>
      <c r="I2926" s="3">
        <v>36944</v>
      </c>
      <c r="J2926" s="9" t="str">
        <f t="shared" ca="1" si="47"/>
        <v>22 ans</v>
      </c>
      <c r="K2926" s="2" t="s">
        <v>156</v>
      </c>
      <c r="L2926" s="2" t="str">
        <f>"978"</f>
        <v>978</v>
      </c>
      <c r="M2926" s="2"/>
      <c r="N2926" s="2" t="str">
        <f>"RUE DU BONNIEBROOK"</f>
        <v>RUE DU BONNIEBROOK</v>
      </c>
      <c r="O2926" s="2" t="s">
        <v>13204</v>
      </c>
      <c r="P2926" s="9" t="str">
        <f>VLOOKUP($O2926,'Liste des Villes'!$B$2:$B$1128,1,FALSE)</f>
        <v>Prévost</v>
      </c>
      <c r="Q2926" s="9" t="str">
        <f>IFERROR($P2926,PROPER(VLOOKUP($O2926,'Villes en erreur'!$A$2:$B$72,2,FALSE)))</f>
        <v>Prévost</v>
      </c>
      <c r="R2926" s="9" t="s">
        <v>1590</v>
      </c>
      <c r="S2926" s="9" t="str">
        <f>IF(ISBLANK($R2926),"",VLOOKUP($R2926,'Liste des Villes'!$B$2:$H$1128,4,FALSE))</f>
        <v>Laurentides</v>
      </c>
      <c r="T2926" s="2" t="s">
        <v>13254</v>
      </c>
      <c r="U2926" s="2" t="s">
        <v>39</v>
      </c>
      <c r="V2926" s="2" t="s">
        <v>40</v>
      </c>
      <c r="W2926" s="2" t="s">
        <v>13255</v>
      </c>
      <c r="X2926" s="2"/>
      <c r="Y2926" s="2"/>
      <c r="Z2926" s="2"/>
      <c r="AA2926" s="2" t="s">
        <v>160</v>
      </c>
      <c r="AB2926" s="2" t="s">
        <v>161</v>
      </c>
      <c r="AC2926" s="4" t="s">
        <v>44</v>
      </c>
    </row>
    <row r="2927" spans="1:29" x14ac:dyDescent="0.25">
      <c r="A2927" s="1">
        <v>221</v>
      </c>
      <c r="B2927" s="17" t="s">
        <v>13256</v>
      </c>
      <c r="C2927" s="2" t="s">
        <v>13257</v>
      </c>
      <c r="D2927" s="15" t="s">
        <v>8182</v>
      </c>
      <c r="E2927" s="9" t="s">
        <v>610</v>
      </c>
      <c r="F2927" s="9" t="s">
        <v>8181</v>
      </c>
      <c r="G2927" s="9" t="s">
        <v>1416</v>
      </c>
      <c r="H2927" s="2" t="s">
        <v>60</v>
      </c>
      <c r="I2927" s="3">
        <v>36999</v>
      </c>
      <c r="J2927" s="9" t="str">
        <f t="shared" ca="1" si="47"/>
        <v>22 ans</v>
      </c>
      <c r="K2927" s="2" t="s">
        <v>156</v>
      </c>
      <c r="L2927" s="2" t="str">
        <f>"1033"</f>
        <v>1033</v>
      </c>
      <c r="M2927" s="2"/>
      <c r="N2927" s="2" t="str">
        <f>"RUE DU FROMENT"</f>
        <v>RUE DU FROMENT</v>
      </c>
      <c r="O2927" s="2" t="s">
        <v>13204</v>
      </c>
      <c r="P2927" s="9" t="str">
        <f>VLOOKUP($O2927,'Liste des Villes'!$B$2:$B$1128,1,FALSE)</f>
        <v>Prévost</v>
      </c>
      <c r="Q2927" s="9" t="str">
        <f>IFERROR($P2927,PROPER(VLOOKUP($O2927,'Villes en erreur'!$A$2:$B$72,2,FALSE)))</f>
        <v>Prévost</v>
      </c>
      <c r="R2927" s="9" t="s">
        <v>1590</v>
      </c>
      <c r="S2927" s="9" t="str">
        <f>IF(ISBLANK($R2927),"",VLOOKUP($R2927,'Liste des Villes'!$B$2:$H$1128,4,FALSE))</f>
        <v>Laurentides</v>
      </c>
      <c r="T2927" s="2" t="s">
        <v>13258</v>
      </c>
      <c r="U2927" s="2" t="s">
        <v>39</v>
      </c>
      <c r="V2927" s="2" t="s">
        <v>40</v>
      </c>
      <c r="W2927" s="2" t="s">
        <v>13259</v>
      </c>
      <c r="X2927" s="2"/>
      <c r="Y2927" s="2"/>
      <c r="Z2927" s="2"/>
      <c r="AA2927" s="2" t="s">
        <v>13207</v>
      </c>
      <c r="AB2927" s="2" t="s">
        <v>13208</v>
      </c>
      <c r="AC2927" s="4" t="s">
        <v>44</v>
      </c>
    </row>
    <row r="2928" spans="1:29" x14ac:dyDescent="0.25">
      <c r="A2928" s="1">
        <v>767</v>
      </c>
      <c r="B2928" s="17" t="s">
        <v>13260</v>
      </c>
      <c r="C2928" s="2" t="s">
        <v>7396</v>
      </c>
      <c r="D2928" s="15" t="s">
        <v>5420</v>
      </c>
      <c r="E2928" s="9" t="s">
        <v>7397</v>
      </c>
      <c r="F2928" s="9" t="s">
        <v>13261</v>
      </c>
      <c r="G2928" s="9" t="s">
        <v>956</v>
      </c>
      <c r="H2928" s="2" t="s">
        <v>60</v>
      </c>
      <c r="I2928" s="3">
        <v>36951</v>
      </c>
      <c r="J2928" s="9" t="str">
        <f t="shared" ca="1" si="47"/>
        <v>22 ans</v>
      </c>
      <c r="K2928" s="2" t="s">
        <v>156</v>
      </c>
      <c r="L2928" s="2" t="str">
        <f>"992"</f>
        <v>992</v>
      </c>
      <c r="M2928" s="2"/>
      <c r="N2928" s="2" t="str">
        <f>"RUE DU CARDINAL"</f>
        <v>RUE DU CARDINAL</v>
      </c>
      <c r="O2928" s="2" t="s">
        <v>13204</v>
      </c>
      <c r="P2928" s="9" t="str">
        <f>VLOOKUP($O2928,'Liste des Villes'!$B$2:$B$1128,1,FALSE)</f>
        <v>Prévost</v>
      </c>
      <c r="Q2928" s="9" t="str">
        <f>IFERROR($P2928,PROPER(VLOOKUP($O2928,'Villes en erreur'!$A$2:$B$72,2,FALSE)))</f>
        <v>Prévost</v>
      </c>
      <c r="R2928" s="9" t="s">
        <v>1590</v>
      </c>
      <c r="S2928" s="9" t="str">
        <f>IF(ISBLANK($R2928),"",VLOOKUP($R2928,'Liste des Villes'!$B$2:$H$1128,4,FALSE))</f>
        <v>Laurentides</v>
      </c>
      <c r="T2928" s="2" t="s">
        <v>13262</v>
      </c>
      <c r="U2928" s="2" t="s">
        <v>39</v>
      </c>
      <c r="V2928" s="2" t="s">
        <v>40</v>
      </c>
      <c r="W2928" s="2" t="s">
        <v>13263</v>
      </c>
      <c r="X2928" s="2"/>
      <c r="Y2928" s="2"/>
      <c r="Z2928" s="2"/>
      <c r="AA2928" s="2" t="s">
        <v>160</v>
      </c>
      <c r="AB2928" s="2" t="s">
        <v>161</v>
      </c>
      <c r="AC2928" s="4" t="s">
        <v>44</v>
      </c>
    </row>
    <row r="2929" spans="1:29" x14ac:dyDescent="0.25">
      <c r="A2929" s="1">
        <v>3151</v>
      </c>
      <c r="B2929" s="17" t="s">
        <v>13264</v>
      </c>
      <c r="C2929" s="2" t="s">
        <v>598</v>
      </c>
      <c r="D2929" s="15" t="s">
        <v>599</v>
      </c>
      <c r="E2929" s="9" t="s">
        <v>600</v>
      </c>
      <c r="F2929" s="9" t="s">
        <v>1404</v>
      </c>
      <c r="G2929" s="9" t="s">
        <v>1416</v>
      </c>
      <c r="H2929" s="2" t="s">
        <v>60</v>
      </c>
      <c r="I2929" s="3">
        <v>36999</v>
      </c>
      <c r="J2929" s="9" t="str">
        <f t="shared" ca="1" si="47"/>
        <v>22 ans</v>
      </c>
      <c r="K2929" s="2" t="s">
        <v>156</v>
      </c>
      <c r="L2929" s="2" t="str">
        <f>"1033"</f>
        <v>1033</v>
      </c>
      <c r="M2929" s="2"/>
      <c r="N2929" s="2" t="str">
        <f>"RUE DU FROMENT"</f>
        <v>RUE DU FROMENT</v>
      </c>
      <c r="O2929" s="2" t="s">
        <v>13204</v>
      </c>
      <c r="P2929" s="9" t="str">
        <f>VLOOKUP($O2929,'Liste des Villes'!$B$2:$B$1128,1,FALSE)</f>
        <v>Prévost</v>
      </c>
      <c r="Q2929" s="9" t="str">
        <f>IFERROR($P2929,PROPER(VLOOKUP($O2929,'Villes en erreur'!$A$2:$B$72,2,FALSE)))</f>
        <v>Prévost</v>
      </c>
      <c r="R2929" s="9" t="s">
        <v>1590</v>
      </c>
      <c r="S2929" s="9" t="str">
        <f>IF(ISBLANK($R2929),"",VLOOKUP($R2929,'Liste des Villes'!$B$2:$H$1128,4,FALSE))</f>
        <v>Laurentides</v>
      </c>
      <c r="T2929" s="2" t="s">
        <v>13265</v>
      </c>
      <c r="U2929" s="2" t="s">
        <v>39</v>
      </c>
      <c r="V2929" s="2" t="s">
        <v>40</v>
      </c>
      <c r="W2929" s="2" t="s">
        <v>13266</v>
      </c>
      <c r="X2929" s="2"/>
      <c r="Y2929" s="2"/>
      <c r="Z2929" s="2"/>
      <c r="AA2929" s="2" t="s">
        <v>13207</v>
      </c>
      <c r="AB2929" s="2" t="s">
        <v>13208</v>
      </c>
      <c r="AC2929" s="4" t="s">
        <v>44</v>
      </c>
    </row>
    <row r="2930" spans="1:29" x14ac:dyDescent="0.25">
      <c r="A2930" s="1">
        <v>696</v>
      </c>
      <c r="B2930" s="17" t="s">
        <v>13267</v>
      </c>
      <c r="C2930" s="2" t="s">
        <v>13268</v>
      </c>
      <c r="D2930" s="15" t="s">
        <v>5190</v>
      </c>
      <c r="E2930" s="9" t="s">
        <v>13269</v>
      </c>
      <c r="F2930" s="9" t="s">
        <v>961</v>
      </c>
      <c r="G2930" s="9" t="s">
        <v>13270</v>
      </c>
      <c r="H2930" s="2" t="s">
        <v>35</v>
      </c>
      <c r="I2930" s="3">
        <v>37007</v>
      </c>
      <c r="J2930" s="9" t="str">
        <f t="shared" ca="1" si="47"/>
        <v>22 ans</v>
      </c>
      <c r="K2930" s="2" t="s">
        <v>156</v>
      </c>
      <c r="L2930" s="2" t="str">
        <f>"1039"</f>
        <v>1039</v>
      </c>
      <c r="M2930" s="2"/>
      <c r="N2930" s="2" t="str">
        <f>"RUE DU GRIFFON"</f>
        <v>RUE DU GRIFFON</v>
      </c>
      <c r="O2930" s="2" t="s">
        <v>13204</v>
      </c>
      <c r="P2930" s="9" t="str">
        <f>VLOOKUP($O2930,'Liste des Villes'!$B$2:$B$1128,1,FALSE)</f>
        <v>Prévost</v>
      </c>
      <c r="Q2930" s="9" t="str">
        <f>IFERROR($P2930,PROPER(VLOOKUP($O2930,'Villes en erreur'!$A$2:$B$72,2,FALSE)))</f>
        <v>Prévost</v>
      </c>
      <c r="R2930" s="9" t="s">
        <v>1590</v>
      </c>
      <c r="S2930" s="9" t="str">
        <f>IF(ISBLANK($R2930),"",VLOOKUP($R2930,'Liste des Villes'!$B$2:$H$1128,4,FALSE))</f>
        <v>Laurentides</v>
      </c>
      <c r="T2930" s="2" t="s">
        <v>13271</v>
      </c>
      <c r="U2930" s="2" t="s">
        <v>39</v>
      </c>
      <c r="V2930" s="2" t="s">
        <v>40</v>
      </c>
      <c r="W2930" s="2" t="s">
        <v>13272</v>
      </c>
      <c r="X2930" s="2"/>
      <c r="Y2930" s="2"/>
      <c r="Z2930" s="2"/>
      <c r="AA2930" s="2" t="s">
        <v>375</v>
      </c>
      <c r="AB2930" s="2" t="s">
        <v>13208</v>
      </c>
      <c r="AC2930" s="4" t="s">
        <v>44</v>
      </c>
    </row>
    <row r="2931" spans="1:29" x14ac:dyDescent="0.25">
      <c r="A2931" s="1">
        <v>1515</v>
      </c>
      <c r="B2931" s="17" t="s">
        <v>13273</v>
      </c>
      <c r="C2931" s="2" t="s">
        <v>13274</v>
      </c>
      <c r="D2931" s="15" t="s">
        <v>8957</v>
      </c>
      <c r="E2931" s="9" t="s">
        <v>8678</v>
      </c>
      <c r="F2931" s="9" t="s">
        <v>3788</v>
      </c>
      <c r="G2931" s="9" t="s">
        <v>956</v>
      </c>
      <c r="H2931" s="2" t="s">
        <v>60</v>
      </c>
      <c r="I2931" s="3">
        <v>36947</v>
      </c>
      <c r="J2931" s="9" t="str">
        <f t="shared" ca="1" si="47"/>
        <v>22 ans</v>
      </c>
      <c r="K2931" s="2" t="s">
        <v>156</v>
      </c>
      <c r="L2931" s="2" t="str">
        <f>"981"</f>
        <v>981</v>
      </c>
      <c r="M2931" s="2"/>
      <c r="N2931" s="2" t="str">
        <f>"RUE DU BOSQUET"</f>
        <v>RUE DU BOSQUET</v>
      </c>
      <c r="O2931" s="2" t="s">
        <v>13204</v>
      </c>
      <c r="P2931" s="9" t="str">
        <f>VLOOKUP($O2931,'Liste des Villes'!$B$2:$B$1128,1,FALSE)</f>
        <v>Prévost</v>
      </c>
      <c r="Q2931" s="9" t="str">
        <f>IFERROR($P2931,PROPER(VLOOKUP($O2931,'Villes en erreur'!$A$2:$B$72,2,FALSE)))</f>
        <v>Prévost</v>
      </c>
      <c r="R2931" s="9" t="s">
        <v>1590</v>
      </c>
      <c r="S2931" s="9" t="str">
        <f>IF(ISBLANK($R2931),"",VLOOKUP($R2931,'Liste des Villes'!$B$2:$H$1128,4,FALSE))</f>
        <v>Laurentides</v>
      </c>
      <c r="T2931" s="2" t="s">
        <v>13275</v>
      </c>
      <c r="U2931" s="2" t="s">
        <v>39</v>
      </c>
      <c r="V2931" s="2" t="s">
        <v>40</v>
      </c>
      <c r="W2931" s="2" t="s">
        <v>13276</v>
      </c>
      <c r="X2931" s="2"/>
      <c r="Y2931" s="2"/>
      <c r="Z2931" s="2"/>
      <c r="AA2931" s="2" t="s">
        <v>160</v>
      </c>
      <c r="AB2931" s="2" t="s">
        <v>161</v>
      </c>
      <c r="AC2931" s="4" t="s">
        <v>44</v>
      </c>
    </row>
    <row r="2932" spans="1:29" x14ac:dyDescent="0.25">
      <c r="A2932" s="1">
        <v>2678</v>
      </c>
      <c r="B2932" s="17" t="s">
        <v>13277</v>
      </c>
      <c r="C2932" s="2" t="s">
        <v>13278</v>
      </c>
      <c r="D2932" s="15" t="s">
        <v>12858</v>
      </c>
      <c r="E2932" s="9" t="s">
        <v>380</v>
      </c>
      <c r="F2932" s="9" t="s">
        <v>12857</v>
      </c>
      <c r="G2932" s="9" t="s">
        <v>13279</v>
      </c>
      <c r="H2932" s="2" t="s">
        <v>60</v>
      </c>
      <c r="I2932" s="3">
        <v>37021</v>
      </c>
      <c r="J2932" s="9" t="str">
        <f t="shared" ca="1" si="47"/>
        <v>22 ans</v>
      </c>
      <c r="K2932" s="2" t="s">
        <v>156</v>
      </c>
      <c r="L2932" s="2" t="str">
        <f>"1052"</f>
        <v>1052</v>
      </c>
      <c r="M2932" s="2"/>
      <c r="N2932" s="2" t="str">
        <f>"RUE DU MAÇON"</f>
        <v>RUE DU MAÇON</v>
      </c>
      <c r="O2932" s="2" t="s">
        <v>13204</v>
      </c>
      <c r="P2932" s="9" t="str">
        <f>VLOOKUP($O2932,'Liste des Villes'!$B$2:$B$1128,1,FALSE)</f>
        <v>Prévost</v>
      </c>
      <c r="Q2932" s="9" t="str">
        <f>IFERROR($P2932,PROPER(VLOOKUP($O2932,'Villes en erreur'!$A$2:$B$72,2,FALSE)))</f>
        <v>Prévost</v>
      </c>
      <c r="R2932" s="9" t="s">
        <v>1590</v>
      </c>
      <c r="S2932" s="9" t="str">
        <f>IF(ISBLANK($R2932),"",VLOOKUP($R2932,'Liste des Villes'!$B$2:$H$1128,4,FALSE))</f>
        <v>Laurentides</v>
      </c>
      <c r="T2932" s="2" t="s">
        <v>13280</v>
      </c>
      <c r="U2932" s="2" t="s">
        <v>39</v>
      </c>
      <c r="V2932" s="2" t="s">
        <v>40</v>
      </c>
      <c r="W2932" s="2" t="s">
        <v>13281</v>
      </c>
      <c r="X2932" s="2"/>
      <c r="Y2932" s="2"/>
      <c r="Z2932" s="2"/>
      <c r="AA2932" s="2" t="s">
        <v>375</v>
      </c>
      <c r="AB2932" s="2" t="s">
        <v>376</v>
      </c>
      <c r="AC2932" s="4" t="s">
        <v>44</v>
      </c>
    </row>
    <row r="2933" spans="1:29" x14ac:dyDescent="0.25">
      <c r="A2933" s="1">
        <v>3095</v>
      </c>
      <c r="B2933" s="17" t="s">
        <v>13282</v>
      </c>
      <c r="C2933" s="2" t="s">
        <v>2138</v>
      </c>
      <c r="D2933" s="15" t="s">
        <v>2139</v>
      </c>
      <c r="E2933" s="9" t="s">
        <v>2140</v>
      </c>
      <c r="F2933" s="9" t="s">
        <v>11468</v>
      </c>
      <c r="G2933" s="9" t="s">
        <v>253</v>
      </c>
      <c r="H2933" s="2" t="s">
        <v>35</v>
      </c>
      <c r="I2933" s="3">
        <v>36969</v>
      </c>
      <c r="J2933" s="9" t="str">
        <f t="shared" ca="1" si="47"/>
        <v>22 ans</v>
      </c>
      <c r="K2933" s="2" t="s">
        <v>156</v>
      </c>
      <c r="L2933" s="2" t="str">
        <f>"1008"</f>
        <v>1008</v>
      </c>
      <c r="M2933" s="2"/>
      <c r="N2933" s="2" t="str">
        <f>"RUE DU CLOS-DU-MARQUIS"</f>
        <v>RUE DU CLOS-DU-MARQUIS</v>
      </c>
      <c r="O2933" s="2" t="s">
        <v>13204</v>
      </c>
      <c r="P2933" s="9" t="str">
        <f>VLOOKUP($O2933,'Liste des Villes'!$B$2:$B$1128,1,FALSE)</f>
        <v>Prévost</v>
      </c>
      <c r="Q2933" s="9" t="str">
        <f>IFERROR($P2933,PROPER(VLOOKUP($O2933,'Villes en erreur'!$A$2:$B$72,2,FALSE)))</f>
        <v>Prévost</v>
      </c>
      <c r="R2933" s="9" t="s">
        <v>1590</v>
      </c>
      <c r="S2933" s="9" t="str">
        <f>IF(ISBLANK($R2933),"",VLOOKUP($R2933,'Liste des Villes'!$B$2:$H$1128,4,FALSE))</f>
        <v>Laurentides</v>
      </c>
      <c r="T2933" s="2" t="s">
        <v>13283</v>
      </c>
      <c r="U2933" s="2" t="s">
        <v>39</v>
      </c>
      <c r="V2933" s="2" t="s">
        <v>40</v>
      </c>
      <c r="W2933" s="2" t="s">
        <v>13284</v>
      </c>
      <c r="X2933" s="2"/>
      <c r="Y2933" s="2"/>
      <c r="Z2933" s="2"/>
      <c r="AA2933" s="2" t="s">
        <v>160</v>
      </c>
      <c r="AB2933" s="2" t="s">
        <v>13208</v>
      </c>
      <c r="AC2933" s="4" t="s">
        <v>44</v>
      </c>
    </row>
    <row r="2934" spans="1:29" x14ac:dyDescent="0.25">
      <c r="A2934" s="1">
        <v>4494</v>
      </c>
      <c r="B2934" s="17" t="s">
        <v>13285</v>
      </c>
      <c r="C2934" s="2" t="s">
        <v>8837</v>
      </c>
      <c r="D2934" s="15" t="s">
        <v>3080</v>
      </c>
      <c r="E2934" s="9" t="s">
        <v>188</v>
      </c>
      <c r="F2934" s="9" t="s">
        <v>8893</v>
      </c>
      <c r="G2934" s="9" t="s">
        <v>2198</v>
      </c>
      <c r="H2934" s="2" t="s">
        <v>35</v>
      </c>
      <c r="I2934" s="3">
        <v>36983</v>
      </c>
      <c r="J2934" s="9" t="str">
        <f t="shared" ca="1" si="47"/>
        <v>22 ans</v>
      </c>
      <c r="K2934" s="2" t="s">
        <v>156</v>
      </c>
      <c r="L2934" s="2" t="str">
        <f>"1021"</f>
        <v>1021</v>
      </c>
      <c r="M2934" s="2"/>
      <c r="N2934" s="2" t="str">
        <f>"RUE DU DÉFRICHEUR"</f>
        <v>RUE DU DÉFRICHEUR</v>
      </c>
      <c r="O2934" s="2" t="s">
        <v>13204</v>
      </c>
      <c r="P2934" s="9" t="str">
        <f>VLOOKUP($O2934,'Liste des Villes'!$B$2:$B$1128,1,FALSE)</f>
        <v>Prévost</v>
      </c>
      <c r="Q2934" s="9" t="str">
        <f>IFERROR($P2934,PROPER(VLOOKUP($O2934,'Villes en erreur'!$A$2:$B$72,2,FALSE)))</f>
        <v>Prévost</v>
      </c>
      <c r="R2934" s="9" t="s">
        <v>1590</v>
      </c>
      <c r="S2934" s="9" t="str">
        <f>IF(ISBLANK($R2934),"",VLOOKUP($R2934,'Liste des Villes'!$B$2:$H$1128,4,FALSE))</f>
        <v>Laurentides</v>
      </c>
      <c r="T2934" s="2" t="s">
        <v>13286</v>
      </c>
      <c r="U2934" s="2" t="s">
        <v>39</v>
      </c>
      <c r="V2934" s="2" t="s">
        <v>40</v>
      </c>
      <c r="W2934" s="2" t="s">
        <v>13287</v>
      </c>
      <c r="X2934" s="2"/>
      <c r="Y2934" s="2"/>
      <c r="Z2934" s="2"/>
      <c r="AA2934" s="2" t="s">
        <v>13207</v>
      </c>
      <c r="AB2934" s="2" t="s">
        <v>13208</v>
      </c>
      <c r="AC2934" s="4" t="s">
        <v>44</v>
      </c>
    </row>
    <row r="2935" spans="1:29" x14ac:dyDescent="0.25">
      <c r="A2935" s="1">
        <v>1443</v>
      </c>
      <c r="B2935" s="17" t="s">
        <v>13288</v>
      </c>
      <c r="C2935" s="2" t="s">
        <v>13289</v>
      </c>
      <c r="D2935" s="15" t="s">
        <v>8495</v>
      </c>
      <c r="E2935" s="9" t="s">
        <v>8660</v>
      </c>
      <c r="F2935" s="9" t="s">
        <v>4330</v>
      </c>
      <c r="G2935" s="9" t="s">
        <v>2049</v>
      </c>
      <c r="H2935" s="2" t="s">
        <v>35</v>
      </c>
      <c r="I2935" s="3">
        <v>37013</v>
      </c>
      <c r="J2935" s="9" t="str">
        <f t="shared" ca="1" si="47"/>
        <v>22 ans</v>
      </c>
      <c r="K2935" s="2" t="s">
        <v>156</v>
      </c>
      <c r="L2935" s="2" t="str">
        <f>"1045"</f>
        <v>1045</v>
      </c>
      <c r="M2935" s="2"/>
      <c r="N2935" s="2" t="str">
        <f>"RUE DU LAC CHEVREUIL"</f>
        <v>RUE DU LAC CHEVREUIL</v>
      </c>
      <c r="O2935" s="2" t="s">
        <v>13204</v>
      </c>
      <c r="P2935" s="9" t="str">
        <f>VLOOKUP($O2935,'Liste des Villes'!$B$2:$B$1128,1,FALSE)</f>
        <v>Prévost</v>
      </c>
      <c r="Q2935" s="9" t="str">
        <f>IFERROR($P2935,PROPER(VLOOKUP($O2935,'Villes en erreur'!$A$2:$B$72,2,FALSE)))</f>
        <v>Prévost</v>
      </c>
      <c r="R2935" s="9" t="s">
        <v>1590</v>
      </c>
      <c r="S2935" s="9" t="str">
        <f>IF(ISBLANK($R2935),"",VLOOKUP($R2935,'Liste des Villes'!$B$2:$H$1128,4,FALSE))</f>
        <v>Laurentides</v>
      </c>
      <c r="T2935" s="2" t="s">
        <v>13290</v>
      </c>
      <c r="U2935" s="2" t="s">
        <v>39</v>
      </c>
      <c r="V2935" s="2" t="s">
        <v>40</v>
      </c>
      <c r="W2935" s="2" t="s">
        <v>13291</v>
      </c>
      <c r="X2935" s="2"/>
      <c r="Y2935" s="2"/>
      <c r="Z2935" s="2"/>
      <c r="AA2935" s="2" t="s">
        <v>375</v>
      </c>
      <c r="AB2935" s="2" t="s">
        <v>13208</v>
      </c>
      <c r="AC2935" s="4" t="s">
        <v>44</v>
      </c>
    </row>
    <row r="2936" spans="1:29" x14ac:dyDescent="0.25">
      <c r="A2936" s="1">
        <v>971</v>
      </c>
      <c r="B2936" s="17" t="s">
        <v>13292</v>
      </c>
      <c r="C2936" s="2" t="s">
        <v>13293</v>
      </c>
      <c r="D2936" s="15" t="s">
        <v>982</v>
      </c>
      <c r="E2936" s="9" t="s">
        <v>13294</v>
      </c>
      <c r="F2936" s="9" t="s">
        <v>11657</v>
      </c>
      <c r="G2936" s="9" t="s">
        <v>5763</v>
      </c>
      <c r="H2936" s="2" t="s">
        <v>35</v>
      </c>
      <c r="I2936" s="3">
        <v>36981</v>
      </c>
      <c r="J2936" s="9" t="str">
        <f t="shared" ca="1" si="47"/>
        <v>22 ans</v>
      </c>
      <c r="K2936" s="2" t="s">
        <v>156</v>
      </c>
      <c r="L2936" s="2" t="str">
        <f>"1019"</f>
        <v>1019</v>
      </c>
      <c r="M2936" s="2"/>
      <c r="N2936" s="2" t="str">
        <f>"RUE DU CROISSANT-DU-LAC"</f>
        <v>RUE DU CROISSANT-DU-LAC</v>
      </c>
      <c r="O2936" s="2" t="s">
        <v>13204</v>
      </c>
      <c r="P2936" s="9" t="str">
        <f>VLOOKUP($O2936,'Liste des Villes'!$B$2:$B$1128,1,FALSE)</f>
        <v>Prévost</v>
      </c>
      <c r="Q2936" s="9" t="str">
        <f>IFERROR($P2936,PROPER(VLOOKUP($O2936,'Villes en erreur'!$A$2:$B$72,2,FALSE)))</f>
        <v>Prévost</v>
      </c>
      <c r="R2936" s="9" t="s">
        <v>1590</v>
      </c>
      <c r="S2936" s="9" t="str">
        <f>IF(ISBLANK($R2936),"",VLOOKUP($R2936,'Liste des Villes'!$B$2:$H$1128,4,FALSE))</f>
        <v>Laurentides</v>
      </c>
      <c r="T2936" s="2" t="s">
        <v>13295</v>
      </c>
      <c r="U2936" s="2" t="s">
        <v>39</v>
      </c>
      <c r="V2936" s="2" t="s">
        <v>40</v>
      </c>
      <c r="W2936" s="2" t="s">
        <v>13296</v>
      </c>
      <c r="X2936" s="2"/>
      <c r="Y2936" s="2"/>
      <c r="Z2936" s="2"/>
      <c r="AA2936" s="2" t="s">
        <v>13207</v>
      </c>
      <c r="AB2936" s="2" t="s">
        <v>13208</v>
      </c>
      <c r="AC2936" s="4" t="s">
        <v>44</v>
      </c>
    </row>
    <row r="2937" spans="1:29" x14ac:dyDescent="0.25">
      <c r="A2937" s="1">
        <v>94</v>
      </c>
      <c r="B2937" s="17" t="s">
        <v>13297</v>
      </c>
      <c r="C2937" s="2" t="s">
        <v>1328</v>
      </c>
      <c r="D2937" s="15" t="s">
        <v>1329</v>
      </c>
      <c r="E2937" s="9" t="s">
        <v>1330</v>
      </c>
      <c r="F2937" s="9" t="s">
        <v>2080</v>
      </c>
      <c r="G2937" s="9" t="s">
        <v>956</v>
      </c>
      <c r="H2937" s="2" t="s">
        <v>60</v>
      </c>
      <c r="I2937" s="3">
        <v>36948</v>
      </c>
      <c r="J2937" s="9" t="str">
        <f t="shared" ca="1" si="47"/>
        <v>22 ans</v>
      </c>
      <c r="K2937" s="2" t="s">
        <v>156</v>
      </c>
      <c r="L2937" s="2" t="str">
        <f>"984"</f>
        <v>984</v>
      </c>
      <c r="M2937" s="2"/>
      <c r="N2937" s="2" t="str">
        <f>"RUE DU BOUTON-D'OR"</f>
        <v>RUE DU BOUTON-D'OR</v>
      </c>
      <c r="O2937" s="2" t="s">
        <v>13204</v>
      </c>
      <c r="P2937" s="9" t="str">
        <f>VLOOKUP($O2937,'Liste des Villes'!$B$2:$B$1128,1,FALSE)</f>
        <v>Prévost</v>
      </c>
      <c r="Q2937" s="9" t="str">
        <f>IFERROR($P2937,PROPER(VLOOKUP($O2937,'Villes en erreur'!$A$2:$B$72,2,FALSE)))</f>
        <v>Prévost</v>
      </c>
      <c r="R2937" s="9" t="s">
        <v>1590</v>
      </c>
      <c r="S2937" s="9" t="str">
        <f>IF(ISBLANK($R2937),"",VLOOKUP($R2937,'Liste des Villes'!$B$2:$H$1128,4,FALSE))</f>
        <v>Laurentides</v>
      </c>
      <c r="T2937" s="2" t="s">
        <v>13298</v>
      </c>
      <c r="U2937" s="2" t="s">
        <v>39</v>
      </c>
      <c r="V2937" s="2" t="s">
        <v>40</v>
      </c>
      <c r="W2937" s="2" t="s">
        <v>13299</v>
      </c>
      <c r="X2937" s="2"/>
      <c r="Y2937" s="2"/>
      <c r="Z2937" s="2"/>
      <c r="AA2937" s="2" t="s">
        <v>160</v>
      </c>
      <c r="AB2937" s="2" t="s">
        <v>161</v>
      </c>
      <c r="AC2937" s="4" t="s">
        <v>44</v>
      </c>
    </row>
    <row r="2938" spans="1:29" x14ac:dyDescent="0.25">
      <c r="A2938" s="1">
        <v>1826</v>
      </c>
      <c r="B2938" s="17" t="s">
        <v>13300</v>
      </c>
      <c r="C2938" s="2" t="s">
        <v>8915</v>
      </c>
      <c r="D2938" s="15" t="s">
        <v>2434</v>
      </c>
      <c r="E2938" s="9" t="s">
        <v>8916</v>
      </c>
      <c r="F2938" s="9" t="s">
        <v>13301</v>
      </c>
      <c r="G2938" s="9" t="s">
        <v>6277</v>
      </c>
      <c r="H2938" s="2" t="s">
        <v>60</v>
      </c>
      <c r="I2938" s="3">
        <v>36995</v>
      </c>
      <c r="J2938" s="9" t="str">
        <f t="shared" ca="1" si="47"/>
        <v>22 ans</v>
      </c>
      <c r="K2938" s="2" t="s">
        <v>156</v>
      </c>
      <c r="L2938" s="2" t="str">
        <f>"1030"</f>
        <v>1030</v>
      </c>
      <c r="M2938" s="2"/>
      <c r="N2938" s="2" t="str">
        <f>"RUE DU FAUBOURG"</f>
        <v>RUE DU FAUBOURG</v>
      </c>
      <c r="O2938" s="2" t="s">
        <v>13204</v>
      </c>
      <c r="P2938" s="9" t="str">
        <f>VLOOKUP($O2938,'Liste des Villes'!$B$2:$B$1128,1,FALSE)</f>
        <v>Prévost</v>
      </c>
      <c r="Q2938" s="9" t="str">
        <f>IFERROR($P2938,PROPER(VLOOKUP($O2938,'Villes en erreur'!$A$2:$B$72,2,FALSE)))</f>
        <v>Prévost</v>
      </c>
      <c r="R2938" s="9" t="s">
        <v>1590</v>
      </c>
      <c r="S2938" s="9" t="str">
        <f>IF(ISBLANK($R2938),"",VLOOKUP($R2938,'Liste des Villes'!$B$2:$H$1128,4,FALSE))</f>
        <v>Laurentides</v>
      </c>
      <c r="T2938" s="2" t="s">
        <v>13302</v>
      </c>
      <c r="U2938" s="2" t="s">
        <v>39</v>
      </c>
      <c r="V2938" s="2" t="s">
        <v>40</v>
      </c>
      <c r="W2938" s="2" t="s">
        <v>13303</v>
      </c>
      <c r="X2938" s="2"/>
      <c r="Y2938" s="2"/>
      <c r="Z2938" s="2"/>
      <c r="AA2938" s="2" t="s">
        <v>13207</v>
      </c>
      <c r="AB2938" s="2" t="s">
        <v>13208</v>
      </c>
      <c r="AC2938" s="4" t="s">
        <v>44</v>
      </c>
    </row>
    <row r="2939" spans="1:29" x14ac:dyDescent="0.25">
      <c r="A2939" s="1">
        <v>3188</v>
      </c>
      <c r="B2939" s="17" t="s">
        <v>13304</v>
      </c>
      <c r="C2939" s="2" t="s">
        <v>13305</v>
      </c>
      <c r="D2939" s="15" t="s">
        <v>8761</v>
      </c>
      <c r="E2939" s="9" t="s">
        <v>8090</v>
      </c>
      <c r="F2939" s="9" t="s">
        <v>4643</v>
      </c>
      <c r="G2939" s="9" t="s">
        <v>6084</v>
      </c>
      <c r="H2939" s="2" t="s">
        <v>60</v>
      </c>
      <c r="I2939" s="3">
        <v>36988</v>
      </c>
      <c r="J2939" s="9" t="str">
        <f t="shared" ca="1" si="47"/>
        <v>22 ans</v>
      </c>
      <c r="K2939" s="2" t="s">
        <v>156</v>
      </c>
      <c r="L2939" s="2" t="str">
        <f>"1023"</f>
        <v>1023</v>
      </c>
      <c r="M2939" s="2"/>
      <c r="N2939" s="2" t="str">
        <f>"RUE DU DIAMANT"</f>
        <v>RUE DU DIAMANT</v>
      </c>
      <c r="O2939" s="2" t="s">
        <v>13204</v>
      </c>
      <c r="P2939" s="9" t="str">
        <f>VLOOKUP($O2939,'Liste des Villes'!$B$2:$B$1128,1,FALSE)</f>
        <v>Prévost</v>
      </c>
      <c r="Q2939" s="9" t="str">
        <f>IFERROR($P2939,PROPER(VLOOKUP($O2939,'Villes en erreur'!$A$2:$B$72,2,FALSE)))</f>
        <v>Prévost</v>
      </c>
      <c r="R2939" s="9" t="s">
        <v>1590</v>
      </c>
      <c r="S2939" s="9" t="str">
        <f>IF(ISBLANK($R2939),"",VLOOKUP($R2939,'Liste des Villes'!$B$2:$H$1128,4,FALSE))</f>
        <v>Laurentides</v>
      </c>
      <c r="T2939" s="2" t="s">
        <v>13306</v>
      </c>
      <c r="U2939" s="2" t="s">
        <v>39</v>
      </c>
      <c r="V2939" s="2" t="s">
        <v>40</v>
      </c>
      <c r="W2939" s="2" t="s">
        <v>13307</v>
      </c>
      <c r="X2939" s="2"/>
      <c r="Y2939" s="2"/>
      <c r="Z2939" s="2"/>
      <c r="AA2939" s="2" t="s">
        <v>13207</v>
      </c>
      <c r="AB2939" s="2" t="s">
        <v>13208</v>
      </c>
      <c r="AC2939" s="4" t="s">
        <v>44</v>
      </c>
    </row>
    <row r="2940" spans="1:29" x14ac:dyDescent="0.25">
      <c r="A2940" s="1">
        <v>2322</v>
      </c>
      <c r="B2940" s="17" t="s">
        <v>13308</v>
      </c>
      <c r="C2940" s="2" t="s">
        <v>13309</v>
      </c>
      <c r="D2940" s="15" t="s">
        <v>13310</v>
      </c>
      <c r="E2940" s="9" t="s">
        <v>12200</v>
      </c>
      <c r="F2940" s="9" t="s">
        <v>2199</v>
      </c>
      <c r="G2940" s="9" t="s">
        <v>956</v>
      </c>
      <c r="H2940" s="2" t="s">
        <v>60</v>
      </c>
      <c r="I2940" s="3">
        <v>36956</v>
      </c>
      <c r="J2940" s="9" t="str">
        <f t="shared" ca="1" si="47"/>
        <v>22 ans</v>
      </c>
      <c r="K2940" s="2" t="s">
        <v>156</v>
      </c>
      <c r="L2940" s="2" t="str">
        <f>"1000"</f>
        <v>1000</v>
      </c>
      <c r="M2940" s="2"/>
      <c r="N2940" s="2" t="str">
        <f>"RUE DU CHALUTIER"</f>
        <v>RUE DU CHALUTIER</v>
      </c>
      <c r="O2940" s="2" t="s">
        <v>13204</v>
      </c>
      <c r="P2940" s="9" t="str">
        <f>VLOOKUP($O2940,'Liste des Villes'!$B$2:$B$1128,1,FALSE)</f>
        <v>Prévost</v>
      </c>
      <c r="Q2940" s="9" t="str">
        <f>IFERROR($P2940,PROPER(VLOOKUP($O2940,'Villes en erreur'!$A$2:$B$72,2,FALSE)))</f>
        <v>Prévost</v>
      </c>
      <c r="R2940" s="9" t="s">
        <v>1590</v>
      </c>
      <c r="S2940" s="9" t="str">
        <f>IF(ISBLANK($R2940),"",VLOOKUP($R2940,'Liste des Villes'!$B$2:$H$1128,4,FALSE))</f>
        <v>Laurentides</v>
      </c>
      <c r="T2940" s="2" t="s">
        <v>13311</v>
      </c>
      <c r="U2940" s="2" t="s">
        <v>39</v>
      </c>
      <c r="V2940" s="2" t="s">
        <v>40</v>
      </c>
      <c r="W2940" s="2" t="s">
        <v>13312</v>
      </c>
      <c r="X2940" s="2"/>
      <c r="Y2940" s="2"/>
      <c r="Z2940" s="2"/>
      <c r="AA2940" s="2" t="s">
        <v>160</v>
      </c>
      <c r="AB2940" s="2" t="s">
        <v>13208</v>
      </c>
      <c r="AC2940" s="4" t="s">
        <v>44</v>
      </c>
    </row>
    <row r="2941" spans="1:29" x14ac:dyDescent="0.25">
      <c r="A2941" s="1">
        <v>2312</v>
      </c>
      <c r="B2941" s="17" t="s">
        <v>13313</v>
      </c>
      <c r="C2941" s="2" t="s">
        <v>960</v>
      </c>
      <c r="D2941" s="15" t="s">
        <v>961</v>
      </c>
      <c r="E2941" s="9" t="s">
        <v>219</v>
      </c>
      <c r="F2941" s="9" t="s">
        <v>11399</v>
      </c>
      <c r="G2941" s="9" t="s">
        <v>2049</v>
      </c>
      <c r="H2941" s="2" t="s">
        <v>35</v>
      </c>
      <c r="I2941" s="3">
        <v>37009</v>
      </c>
      <c r="J2941" s="9" t="str">
        <f t="shared" ca="1" si="47"/>
        <v>22 ans</v>
      </c>
      <c r="K2941" s="2" t="s">
        <v>156</v>
      </c>
      <c r="L2941" s="2" t="str">
        <f>"1041"</f>
        <v>1041</v>
      </c>
      <c r="M2941" s="2"/>
      <c r="N2941" s="2" t="str">
        <f>"RUE DU HAVRE"</f>
        <v>RUE DU HAVRE</v>
      </c>
      <c r="O2941" s="2" t="s">
        <v>13204</v>
      </c>
      <c r="P2941" s="9" t="str">
        <f>VLOOKUP($O2941,'Liste des Villes'!$B$2:$B$1128,1,FALSE)</f>
        <v>Prévost</v>
      </c>
      <c r="Q2941" s="9" t="str">
        <f>IFERROR($P2941,PROPER(VLOOKUP($O2941,'Villes en erreur'!$A$2:$B$72,2,FALSE)))</f>
        <v>Prévost</v>
      </c>
      <c r="R2941" s="9" t="s">
        <v>1590</v>
      </c>
      <c r="S2941" s="9" t="str">
        <f>IF(ISBLANK($R2941),"",VLOOKUP($R2941,'Liste des Villes'!$B$2:$H$1128,4,FALSE))</f>
        <v>Laurentides</v>
      </c>
      <c r="T2941" s="2" t="s">
        <v>13314</v>
      </c>
      <c r="U2941" s="2" t="s">
        <v>39</v>
      </c>
      <c r="V2941" s="2" t="s">
        <v>40</v>
      </c>
      <c r="W2941" s="2" t="s">
        <v>13315</v>
      </c>
      <c r="X2941" s="2"/>
      <c r="Y2941" s="2"/>
      <c r="Z2941" s="2"/>
      <c r="AA2941" s="2" t="s">
        <v>375</v>
      </c>
      <c r="AB2941" s="2" t="s">
        <v>13208</v>
      </c>
      <c r="AC2941" s="4" t="s">
        <v>44</v>
      </c>
    </row>
    <row r="2942" spans="1:29" x14ac:dyDescent="0.25">
      <c r="A2942" s="1">
        <v>3829</v>
      </c>
      <c r="B2942" s="17" t="s">
        <v>13316</v>
      </c>
      <c r="C2942" s="2" t="s">
        <v>13317</v>
      </c>
      <c r="D2942" s="15" t="s">
        <v>13318</v>
      </c>
      <c r="E2942" s="9" t="s">
        <v>1024</v>
      </c>
      <c r="F2942" s="9" t="s">
        <v>1845</v>
      </c>
      <c r="G2942" s="9" t="s">
        <v>253</v>
      </c>
      <c r="H2942" s="2" t="s">
        <v>35</v>
      </c>
      <c r="I2942" s="3">
        <v>36975</v>
      </c>
      <c r="J2942" s="9" t="str">
        <f t="shared" ca="1" si="47"/>
        <v>22 ans</v>
      </c>
      <c r="K2942" s="2" t="s">
        <v>156</v>
      </c>
      <c r="L2942" s="2" t="str">
        <f>"1012"</f>
        <v>1012</v>
      </c>
      <c r="M2942" s="2"/>
      <c r="N2942" s="2" t="str">
        <f>"RUE DU CLOS-MICOT"</f>
        <v>RUE DU CLOS-MICOT</v>
      </c>
      <c r="O2942" s="2" t="s">
        <v>13204</v>
      </c>
      <c r="P2942" s="9" t="str">
        <f>VLOOKUP($O2942,'Liste des Villes'!$B$2:$B$1128,1,FALSE)</f>
        <v>Prévost</v>
      </c>
      <c r="Q2942" s="9" t="str">
        <f>IFERROR($P2942,PROPER(VLOOKUP($O2942,'Villes en erreur'!$A$2:$B$72,2,FALSE)))</f>
        <v>Prévost</v>
      </c>
      <c r="R2942" s="9" t="s">
        <v>1590</v>
      </c>
      <c r="S2942" s="9" t="str">
        <f>IF(ISBLANK($R2942),"",VLOOKUP($R2942,'Liste des Villes'!$B$2:$H$1128,4,FALSE))</f>
        <v>Laurentides</v>
      </c>
      <c r="T2942" s="2" t="s">
        <v>13319</v>
      </c>
      <c r="U2942" s="2" t="s">
        <v>39</v>
      </c>
      <c r="V2942" s="2" t="s">
        <v>40</v>
      </c>
      <c r="W2942" s="2" t="s">
        <v>13320</v>
      </c>
      <c r="X2942" s="2"/>
      <c r="Y2942" s="2"/>
      <c r="Z2942" s="2"/>
      <c r="AA2942" s="2" t="s">
        <v>160</v>
      </c>
      <c r="AB2942" s="2" t="s">
        <v>13208</v>
      </c>
      <c r="AC2942" s="4" t="s">
        <v>44</v>
      </c>
    </row>
    <row r="2943" spans="1:29" x14ac:dyDescent="0.25">
      <c r="A2943" s="1">
        <v>2352</v>
      </c>
      <c r="B2943" s="17" t="s">
        <v>13321</v>
      </c>
      <c r="C2943" s="2" t="s">
        <v>7596</v>
      </c>
      <c r="D2943" s="15" t="s">
        <v>7597</v>
      </c>
      <c r="E2943" s="9" t="s">
        <v>5798</v>
      </c>
      <c r="F2943" s="9" t="s">
        <v>7598</v>
      </c>
      <c r="G2943" s="9" t="s">
        <v>5763</v>
      </c>
      <c r="H2943" s="2" t="s">
        <v>35</v>
      </c>
      <c r="I2943" s="3">
        <v>36981</v>
      </c>
      <c r="J2943" s="9" t="str">
        <f t="shared" ca="1" si="47"/>
        <v>22 ans</v>
      </c>
      <c r="K2943" s="2" t="s">
        <v>156</v>
      </c>
      <c r="L2943" s="2" t="str">
        <f>"1018"</f>
        <v>1018</v>
      </c>
      <c r="M2943" s="2"/>
      <c r="N2943" s="2" t="str">
        <f>"RUE DU CRISTAL"</f>
        <v>RUE DU CRISTAL</v>
      </c>
      <c r="O2943" s="2" t="s">
        <v>13204</v>
      </c>
      <c r="P2943" s="9" t="str">
        <f>VLOOKUP($O2943,'Liste des Villes'!$B$2:$B$1128,1,FALSE)</f>
        <v>Prévost</v>
      </c>
      <c r="Q2943" s="9" t="str">
        <f>IFERROR($P2943,PROPER(VLOOKUP($O2943,'Villes en erreur'!$A$2:$B$72,2,FALSE)))</f>
        <v>Prévost</v>
      </c>
      <c r="R2943" s="9" t="s">
        <v>1590</v>
      </c>
      <c r="S2943" s="9" t="str">
        <f>IF(ISBLANK($R2943),"",VLOOKUP($R2943,'Liste des Villes'!$B$2:$H$1128,4,FALSE))</f>
        <v>Laurentides</v>
      </c>
      <c r="T2943" s="2" t="s">
        <v>13322</v>
      </c>
      <c r="U2943" s="2" t="s">
        <v>39</v>
      </c>
      <c r="V2943" s="2" t="s">
        <v>40</v>
      </c>
      <c r="W2943" s="2" t="s">
        <v>13323</v>
      </c>
      <c r="X2943" s="2"/>
      <c r="Y2943" s="2"/>
      <c r="Z2943" s="2"/>
      <c r="AA2943" s="2" t="s">
        <v>13207</v>
      </c>
      <c r="AB2943" s="2" t="s">
        <v>13208</v>
      </c>
      <c r="AC2943" s="4" t="s">
        <v>44</v>
      </c>
    </row>
    <row r="2944" spans="1:29" x14ac:dyDescent="0.25">
      <c r="A2944" s="1">
        <v>178</v>
      </c>
      <c r="B2944" s="17" t="s">
        <v>13324</v>
      </c>
      <c r="C2944" s="2" t="s">
        <v>3413</v>
      </c>
      <c r="D2944" s="15" t="s">
        <v>1016</v>
      </c>
      <c r="E2944" s="9" t="s">
        <v>131</v>
      </c>
      <c r="F2944" s="9" t="s">
        <v>9657</v>
      </c>
      <c r="G2944" s="9" t="s">
        <v>956</v>
      </c>
      <c r="H2944" s="2" t="s">
        <v>60</v>
      </c>
      <c r="I2944" s="3">
        <v>36956</v>
      </c>
      <c r="J2944" s="9" t="str">
        <f t="shared" ca="1" si="47"/>
        <v>22 ans</v>
      </c>
      <c r="K2944" s="2" t="s">
        <v>156</v>
      </c>
      <c r="L2944" s="2" t="str">
        <f>"1001"</f>
        <v>1001</v>
      </c>
      <c r="M2944" s="2"/>
      <c r="N2944" s="2" t="str">
        <f>"RUE DU CHANVRE"</f>
        <v>RUE DU CHANVRE</v>
      </c>
      <c r="O2944" s="2" t="s">
        <v>13204</v>
      </c>
      <c r="P2944" s="9" t="str">
        <f>VLOOKUP($O2944,'Liste des Villes'!$B$2:$B$1128,1,FALSE)</f>
        <v>Prévost</v>
      </c>
      <c r="Q2944" s="9" t="str">
        <f>IFERROR($P2944,PROPER(VLOOKUP($O2944,'Villes en erreur'!$A$2:$B$72,2,FALSE)))</f>
        <v>Prévost</v>
      </c>
      <c r="R2944" s="9" t="s">
        <v>1590</v>
      </c>
      <c r="S2944" s="9" t="str">
        <f>IF(ISBLANK($R2944),"",VLOOKUP($R2944,'Liste des Villes'!$B$2:$H$1128,4,FALSE))</f>
        <v>Laurentides</v>
      </c>
      <c r="T2944" s="2" t="s">
        <v>13239</v>
      </c>
      <c r="U2944" s="2" t="s">
        <v>39</v>
      </c>
      <c r="V2944" s="2" t="s">
        <v>40</v>
      </c>
      <c r="W2944" s="2" t="s">
        <v>13325</v>
      </c>
      <c r="X2944" s="2"/>
      <c r="Y2944" s="2"/>
      <c r="Z2944" s="2"/>
      <c r="AA2944" s="2" t="s">
        <v>160</v>
      </c>
      <c r="AB2944" s="2" t="s">
        <v>13208</v>
      </c>
      <c r="AC2944" s="4" t="s">
        <v>44</v>
      </c>
    </row>
    <row r="2945" spans="1:29" x14ac:dyDescent="0.25">
      <c r="A2945" s="1">
        <v>4302</v>
      </c>
      <c r="B2945" s="17" t="s">
        <v>13326</v>
      </c>
      <c r="C2945" s="2" t="s">
        <v>8979</v>
      </c>
      <c r="D2945" s="15" t="s">
        <v>2422</v>
      </c>
      <c r="E2945" s="9" t="s">
        <v>101</v>
      </c>
      <c r="F2945" s="9" t="s">
        <v>3142</v>
      </c>
      <c r="G2945" s="9" t="s">
        <v>956</v>
      </c>
      <c r="H2945" s="2" t="s">
        <v>60</v>
      </c>
      <c r="I2945" s="3">
        <v>36958</v>
      </c>
      <c r="J2945" s="9" t="str">
        <f t="shared" ca="1" si="47"/>
        <v>22 ans</v>
      </c>
      <c r="K2945" s="2" t="s">
        <v>156</v>
      </c>
      <c r="L2945" s="2" t="str">
        <f>"1004"</f>
        <v>1004</v>
      </c>
      <c r="M2945" s="2"/>
      <c r="N2945" s="2" t="str">
        <f>"RUE DU CHÂTELET"</f>
        <v>RUE DU CHÂTELET</v>
      </c>
      <c r="O2945" s="2" t="s">
        <v>13204</v>
      </c>
      <c r="P2945" s="9" t="str">
        <f>VLOOKUP($O2945,'Liste des Villes'!$B$2:$B$1128,1,FALSE)</f>
        <v>Prévost</v>
      </c>
      <c r="Q2945" s="9" t="str">
        <f>IFERROR($P2945,PROPER(VLOOKUP($O2945,'Villes en erreur'!$A$2:$B$72,2,FALSE)))</f>
        <v>Prévost</v>
      </c>
      <c r="R2945" s="9" t="s">
        <v>1590</v>
      </c>
      <c r="S2945" s="9" t="str">
        <f>IF(ISBLANK($R2945),"",VLOOKUP($R2945,'Liste des Villes'!$B$2:$H$1128,4,FALSE))</f>
        <v>Laurentides</v>
      </c>
      <c r="T2945" s="2" t="s">
        <v>13327</v>
      </c>
      <c r="U2945" s="2" t="s">
        <v>39</v>
      </c>
      <c r="V2945" s="2" t="s">
        <v>40</v>
      </c>
      <c r="W2945" s="2" t="s">
        <v>13328</v>
      </c>
      <c r="X2945" s="2"/>
      <c r="Y2945" s="2"/>
      <c r="Z2945" s="2"/>
      <c r="AA2945" s="2" t="s">
        <v>160</v>
      </c>
      <c r="AB2945" s="2" t="s">
        <v>13208</v>
      </c>
      <c r="AC2945" s="4" t="s">
        <v>44</v>
      </c>
    </row>
    <row r="2946" spans="1:29" x14ac:dyDescent="0.25">
      <c r="A2946" s="1">
        <v>1987</v>
      </c>
      <c r="B2946" s="17" t="s">
        <v>13329</v>
      </c>
      <c r="C2946" s="2" t="s">
        <v>13330</v>
      </c>
      <c r="D2946" s="15" t="s">
        <v>13331</v>
      </c>
      <c r="E2946" s="9" t="s">
        <v>13332</v>
      </c>
      <c r="F2946" s="9" t="s">
        <v>13333</v>
      </c>
      <c r="G2946" s="9" t="s">
        <v>2049</v>
      </c>
      <c r="H2946" s="2" t="s">
        <v>35</v>
      </c>
      <c r="I2946" s="3">
        <v>37011</v>
      </c>
      <c r="J2946" s="9" t="str">
        <f t="shared" ref="J2946:J3009" ca="1" si="49">_xlfn.CONCAT(INT((TODAY()-$I2946)/365.25)," ans")</f>
        <v>22 ans</v>
      </c>
      <c r="K2946" s="2" t="s">
        <v>156</v>
      </c>
      <c r="L2946" s="2" t="str">
        <f>"1043"</f>
        <v>1043</v>
      </c>
      <c r="M2946" s="2"/>
      <c r="N2946" s="2" t="str">
        <f>"RUE DU HAVRE"</f>
        <v>RUE DU HAVRE</v>
      </c>
      <c r="O2946" s="2" t="s">
        <v>13204</v>
      </c>
      <c r="P2946" s="9" t="str">
        <f>VLOOKUP($O2946,'Liste des Villes'!$B$2:$B$1128,1,FALSE)</f>
        <v>Prévost</v>
      </c>
      <c r="Q2946" s="9" t="str">
        <f>IFERROR($P2946,PROPER(VLOOKUP($O2946,'Villes en erreur'!$A$2:$B$72,2,FALSE)))</f>
        <v>Prévost</v>
      </c>
      <c r="R2946" s="9" t="s">
        <v>1590</v>
      </c>
      <c r="S2946" s="9" t="str">
        <f>IF(ISBLANK($R2946),"",VLOOKUP($R2946,'Liste des Villes'!$B$2:$H$1128,4,FALSE))</f>
        <v>Laurentides</v>
      </c>
      <c r="T2946" s="2" t="s">
        <v>13334</v>
      </c>
      <c r="U2946" s="2" t="s">
        <v>39</v>
      </c>
      <c r="V2946" s="2" t="s">
        <v>40</v>
      </c>
      <c r="W2946" s="2" t="s">
        <v>13335</v>
      </c>
      <c r="X2946" s="2"/>
      <c r="Y2946" s="2"/>
      <c r="Z2946" s="2"/>
      <c r="AA2946" s="2" t="s">
        <v>375</v>
      </c>
      <c r="AB2946" s="2" t="s">
        <v>13208</v>
      </c>
      <c r="AC2946" s="4" t="s">
        <v>44</v>
      </c>
    </row>
    <row r="2947" spans="1:29" x14ac:dyDescent="0.25">
      <c r="A2947" s="1">
        <v>1209</v>
      </c>
      <c r="B2947" s="17" t="s">
        <v>13336</v>
      </c>
      <c r="C2947" s="2" t="s">
        <v>3728</v>
      </c>
      <c r="D2947" s="15" t="s">
        <v>3729</v>
      </c>
      <c r="E2947" s="9" t="s">
        <v>3730</v>
      </c>
      <c r="F2947" s="9" t="s">
        <v>47</v>
      </c>
      <c r="G2947" s="9" t="s">
        <v>2049</v>
      </c>
      <c r="H2947" s="2" t="s">
        <v>35</v>
      </c>
      <c r="I2947" s="3">
        <v>37017</v>
      </c>
      <c r="J2947" s="9" t="str">
        <f t="shared" ca="1" si="49"/>
        <v>22 ans</v>
      </c>
      <c r="K2947" s="2" t="s">
        <v>156</v>
      </c>
      <c r="L2947" s="2" t="str">
        <f>"1049"</f>
        <v>1049</v>
      </c>
      <c r="M2947" s="2"/>
      <c r="N2947" s="2" t="str">
        <f>"RUE DU LIERRE"</f>
        <v>RUE DU LIERRE</v>
      </c>
      <c r="O2947" s="2" t="s">
        <v>13204</v>
      </c>
      <c r="P2947" s="9" t="str">
        <f>VLOOKUP($O2947,'Liste des Villes'!$B$2:$B$1128,1,FALSE)</f>
        <v>Prévost</v>
      </c>
      <c r="Q2947" s="9" t="str">
        <f>IFERROR($P2947,PROPER(VLOOKUP($O2947,'Villes en erreur'!$A$2:$B$72,2,FALSE)))</f>
        <v>Prévost</v>
      </c>
      <c r="R2947" s="9" t="s">
        <v>1590</v>
      </c>
      <c r="S2947" s="9" t="str">
        <f>IF(ISBLANK($R2947),"",VLOOKUP($R2947,'Liste des Villes'!$B$2:$H$1128,4,FALSE))</f>
        <v>Laurentides</v>
      </c>
      <c r="T2947" s="2" t="s">
        <v>13235</v>
      </c>
      <c r="U2947" s="2" t="s">
        <v>39</v>
      </c>
      <c r="V2947" s="2" t="s">
        <v>40</v>
      </c>
      <c r="W2947" s="2" t="s">
        <v>13337</v>
      </c>
      <c r="X2947" s="2"/>
      <c r="Y2947" s="2"/>
      <c r="Z2947" s="2"/>
      <c r="AA2947" s="2" t="s">
        <v>375</v>
      </c>
      <c r="AB2947" s="2" t="s">
        <v>13208</v>
      </c>
      <c r="AC2947" s="4" t="s">
        <v>44</v>
      </c>
    </row>
    <row r="2948" spans="1:29" x14ac:dyDescent="0.25">
      <c r="A2948" s="1">
        <v>2069</v>
      </c>
      <c r="B2948" s="17" t="s">
        <v>13338</v>
      </c>
      <c r="C2948" s="2" t="s">
        <v>3699</v>
      </c>
      <c r="D2948" s="15" t="s">
        <v>1716</v>
      </c>
      <c r="E2948" s="9" t="s">
        <v>3700</v>
      </c>
      <c r="F2948" s="9" t="s">
        <v>13339</v>
      </c>
      <c r="G2948" s="9" t="s">
        <v>2614</v>
      </c>
      <c r="H2948" s="2" t="s">
        <v>60</v>
      </c>
      <c r="I2948" s="3">
        <v>36977</v>
      </c>
      <c r="J2948" s="9" t="str">
        <f t="shared" ca="1" si="49"/>
        <v>22 ans</v>
      </c>
      <c r="K2948" s="2" t="s">
        <v>156</v>
      </c>
      <c r="L2948" s="2" t="str">
        <f>"1015"</f>
        <v>1015</v>
      </c>
      <c r="M2948" s="2"/>
      <c r="N2948" s="2" t="str">
        <f>"RUE DU COLIBRI"</f>
        <v>RUE DU COLIBRI</v>
      </c>
      <c r="O2948" s="2" t="s">
        <v>13204</v>
      </c>
      <c r="P2948" s="9" t="str">
        <f>VLOOKUP($O2948,'Liste des Villes'!$B$2:$B$1128,1,FALSE)</f>
        <v>Prévost</v>
      </c>
      <c r="Q2948" s="9" t="str">
        <f>IFERROR($P2948,PROPER(VLOOKUP($O2948,'Villes en erreur'!$A$2:$B$72,2,FALSE)))</f>
        <v>Prévost</v>
      </c>
      <c r="R2948" s="9" t="s">
        <v>1590</v>
      </c>
      <c r="S2948" s="9" t="str">
        <f>IF(ISBLANK($R2948),"",VLOOKUP($R2948,'Liste des Villes'!$B$2:$H$1128,4,FALSE))</f>
        <v>Laurentides</v>
      </c>
      <c r="T2948" s="2" t="s">
        <v>13340</v>
      </c>
      <c r="U2948" s="2" t="s">
        <v>39</v>
      </c>
      <c r="V2948" s="2" t="s">
        <v>40</v>
      </c>
      <c r="W2948" s="2" t="s">
        <v>13341</v>
      </c>
      <c r="X2948" s="2"/>
      <c r="Y2948" s="2"/>
      <c r="Z2948" s="2"/>
      <c r="AA2948" s="2" t="s">
        <v>160</v>
      </c>
      <c r="AB2948" s="2" t="s">
        <v>13208</v>
      </c>
      <c r="AC2948" s="4" t="s">
        <v>44</v>
      </c>
    </row>
    <row r="2949" spans="1:29" x14ac:dyDescent="0.25">
      <c r="A2949" s="1">
        <v>2151</v>
      </c>
      <c r="B2949" s="17" t="s">
        <v>13342</v>
      </c>
      <c r="C2949" s="2" t="s">
        <v>5985</v>
      </c>
      <c r="D2949" s="15" t="s">
        <v>5986</v>
      </c>
      <c r="E2949" s="9" t="s">
        <v>92</v>
      </c>
      <c r="F2949" s="9" t="s">
        <v>232</v>
      </c>
      <c r="G2949" s="9" t="s">
        <v>253</v>
      </c>
      <c r="H2949" s="2" t="s">
        <v>35</v>
      </c>
      <c r="I2949" s="3">
        <v>36976</v>
      </c>
      <c r="J2949" s="9" t="str">
        <f t="shared" ca="1" si="49"/>
        <v>22 ans</v>
      </c>
      <c r="K2949" s="2" t="s">
        <v>156</v>
      </c>
      <c r="L2949" s="2" t="str">
        <f>"1013"</f>
        <v>1013</v>
      </c>
      <c r="M2949" s="2"/>
      <c r="N2949" s="2" t="str">
        <f>"RUE DU CLOS-TOUMALIN"</f>
        <v>RUE DU CLOS-TOUMALIN</v>
      </c>
      <c r="O2949" s="2" t="s">
        <v>13204</v>
      </c>
      <c r="P2949" s="9" t="str">
        <f>VLOOKUP($O2949,'Liste des Villes'!$B$2:$B$1128,1,FALSE)</f>
        <v>Prévost</v>
      </c>
      <c r="Q2949" s="9" t="str">
        <f>IFERROR($P2949,PROPER(VLOOKUP($O2949,'Villes en erreur'!$A$2:$B$72,2,FALSE)))</f>
        <v>Prévost</v>
      </c>
      <c r="R2949" s="9" t="s">
        <v>1590</v>
      </c>
      <c r="S2949" s="9" t="str">
        <f>IF(ISBLANK($R2949),"",VLOOKUP($R2949,'Liste des Villes'!$B$2:$H$1128,4,FALSE))</f>
        <v>Laurentides</v>
      </c>
      <c r="T2949" s="2" t="s">
        <v>13343</v>
      </c>
      <c r="U2949" s="2" t="s">
        <v>39</v>
      </c>
      <c r="V2949" s="2" t="s">
        <v>40</v>
      </c>
      <c r="W2949" s="2" t="s">
        <v>13344</v>
      </c>
      <c r="X2949" s="2"/>
      <c r="Y2949" s="2"/>
      <c r="Z2949" s="2"/>
      <c r="AA2949" s="2" t="s">
        <v>160</v>
      </c>
      <c r="AB2949" s="2" t="s">
        <v>13208</v>
      </c>
      <c r="AC2949" s="4" t="s">
        <v>44</v>
      </c>
    </row>
    <row r="2950" spans="1:29" x14ac:dyDescent="0.25">
      <c r="A2950" s="1">
        <v>797</v>
      </c>
      <c r="B2950" s="17" t="s">
        <v>13345</v>
      </c>
      <c r="C2950" s="2" t="s">
        <v>13346</v>
      </c>
      <c r="D2950" s="15" t="s">
        <v>782</v>
      </c>
      <c r="E2950" s="9" t="s">
        <v>2656</v>
      </c>
      <c r="F2950" s="9" t="s">
        <v>34</v>
      </c>
      <c r="G2950" s="9" t="s">
        <v>956</v>
      </c>
      <c r="H2950" s="2" t="s">
        <v>60</v>
      </c>
      <c r="I2950" s="3">
        <v>36954</v>
      </c>
      <c r="J2950" s="9" t="str">
        <f t="shared" ca="1" si="49"/>
        <v>22 ans</v>
      </c>
      <c r="K2950" s="2" t="s">
        <v>156</v>
      </c>
      <c r="L2950" s="2" t="str">
        <f>"1000"</f>
        <v>1000</v>
      </c>
      <c r="M2950" s="2"/>
      <c r="N2950" s="2" t="str">
        <f>"RUE DU CENTRE"</f>
        <v>RUE DU CENTRE</v>
      </c>
      <c r="O2950" s="2" t="s">
        <v>13204</v>
      </c>
      <c r="P2950" s="9" t="str">
        <f>VLOOKUP($O2950,'Liste des Villes'!$B$2:$B$1128,1,FALSE)</f>
        <v>Prévost</v>
      </c>
      <c r="Q2950" s="9" t="str">
        <f>IFERROR($P2950,PROPER(VLOOKUP($O2950,'Villes en erreur'!$A$2:$B$72,2,FALSE)))</f>
        <v>Prévost</v>
      </c>
      <c r="R2950" s="9" t="s">
        <v>1590</v>
      </c>
      <c r="S2950" s="9" t="str">
        <f>IF(ISBLANK($R2950),"",VLOOKUP($R2950,'Liste des Villes'!$B$2:$H$1128,4,FALSE))</f>
        <v>Laurentides</v>
      </c>
      <c r="T2950" s="2" t="s">
        <v>13347</v>
      </c>
      <c r="U2950" s="2" t="s">
        <v>39</v>
      </c>
      <c r="V2950" s="2" t="s">
        <v>40</v>
      </c>
      <c r="W2950" s="2" t="s">
        <v>13348</v>
      </c>
      <c r="X2950" s="2"/>
      <c r="Y2950" s="2"/>
      <c r="Z2950" s="2"/>
      <c r="AA2950" s="2" t="s">
        <v>160</v>
      </c>
      <c r="AB2950" s="2" t="s">
        <v>161</v>
      </c>
      <c r="AC2950" s="4" t="s">
        <v>44</v>
      </c>
    </row>
    <row r="2951" spans="1:29" x14ac:dyDescent="0.25">
      <c r="A2951" s="1">
        <v>545</v>
      </c>
      <c r="B2951" s="17" t="s">
        <v>13349</v>
      </c>
      <c r="C2951" s="2" t="s">
        <v>46</v>
      </c>
      <c r="D2951" s="15" t="s">
        <v>47</v>
      </c>
      <c r="E2951" s="9" t="s">
        <v>48</v>
      </c>
      <c r="F2951" s="9" t="s">
        <v>5792</v>
      </c>
      <c r="G2951" s="9" t="s">
        <v>2049</v>
      </c>
      <c r="H2951" s="2" t="s">
        <v>35</v>
      </c>
      <c r="I2951" s="3">
        <v>37011</v>
      </c>
      <c r="J2951" s="9" t="str">
        <f t="shared" ca="1" si="49"/>
        <v>22 ans</v>
      </c>
      <c r="K2951" s="2" t="s">
        <v>156</v>
      </c>
      <c r="L2951" s="2" t="str">
        <f>"1044"</f>
        <v>1044</v>
      </c>
      <c r="M2951" s="2"/>
      <c r="N2951" s="2" t="str">
        <f>"RUE DU HAVRE"</f>
        <v>RUE DU HAVRE</v>
      </c>
      <c r="O2951" s="2" t="s">
        <v>13204</v>
      </c>
      <c r="P2951" s="9" t="str">
        <f>VLOOKUP($O2951,'Liste des Villes'!$B$2:$B$1128,1,FALSE)</f>
        <v>Prévost</v>
      </c>
      <c r="Q2951" s="9" t="str">
        <f>IFERROR($P2951,PROPER(VLOOKUP($O2951,'Villes en erreur'!$A$2:$B$72,2,FALSE)))</f>
        <v>Prévost</v>
      </c>
      <c r="R2951" s="9" t="s">
        <v>1590</v>
      </c>
      <c r="S2951" s="9" t="str">
        <f>IF(ISBLANK($R2951),"",VLOOKUP($R2951,'Liste des Villes'!$B$2:$H$1128,4,FALSE))</f>
        <v>Laurentides</v>
      </c>
      <c r="T2951" s="2" t="s">
        <v>13350</v>
      </c>
      <c r="U2951" s="2" t="s">
        <v>39</v>
      </c>
      <c r="V2951" s="2" t="s">
        <v>40</v>
      </c>
      <c r="W2951" s="2" t="s">
        <v>13351</v>
      </c>
      <c r="X2951" s="2"/>
      <c r="Y2951" s="2"/>
      <c r="Z2951" s="2"/>
      <c r="AA2951" s="2" t="s">
        <v>375</v>
      </c>
      <c r="AB2951" s="2" t="s">
        <v>13208</v>
      </c>
      <c r="AC2951" s="4" t="s">
        <v>44</v>
      </c>
    </row>
    <row r="2952" spans="1:29" x14ac:dyDescent="0.25">
      <c r="A2952" s="1">
        <v>3367</v>
      </c>
      <c r="B2952" s="17" t="s">
        <v>13352</v>
      </c>
      <c r="C2952" s="2" t="s">
        <v>3867</v>
      </c>
      <c r="D2952" s="15" t="s">
        <v>1716</v>
      </c>
      <c r="E2952" s="9" t="s">
        <v>3868</v>
      </c>
      <c r="F2952" s="9" t="s">
        <v>4226</v>
      </c>
      <c r="G2952" s="9" t="s">
        <v>956</v>
      </c>
      <c r="H2952" s="2" t="s">
        <v>60</v>
      </c>
      <c r="I2952" s="3">
        <v>36949</v>
      </c>
      <c r="J2952" s="9" t="str">
        <f t="shared" ca="1" si="49"/>
        <v>22 ans</v>
      </c>
      <c r="K2952" s="2" t="s">
        <v>156</v>
      </c>
      <c r="L2952" s="2" t="str">
        <f>"984"</f>
        <v>984</v>
      </c>
      <c r="M2952" s="2"/>
      <c r="N2952" s="2" t="str">
        <f>"RUE DU BOUTON-D'OR"</f>
        <v>RUE DU BOUTON-D'OR</v>
      </c>
      <c r="O2952" s="2" t="s">
        <v>13204</v>
      </c>
      <c r="P2952" s="9" t="str">
        <f>VLOOKUP($O2952,'Liste des Villes'!$B$2:$B$1128,1,FALSE)</f>
        <v>Prévost</v>
      </c>
      <c r="Q2952" s="9" t="str">
        <f>IFERROR($P2952,PROPER(VLOOKUP($O2952,'Villes en erreur'!$A$2:$B$72,2,FALSE)))</f>
        <v>Prévost</v>
      </c>
      <c r="R2952" s="9" t="s">
        <v>1590</v>
      </c>
      <c r="S2952" s="9" t="str">
        <f>IF(ISBLANK($R2952),"",VLOOKUP($R2952,'Liste des Villes'!$B$2:$H$1128,4,FALSE))</f>
        <v>Laurentides</v>
      </c>
      <c r="T2952" s="2" t="s">
        <v>13353</v>
      </c>
      <c r="U2952" s="2" t="s">
        <v>39</v>
      </c>
      <c r="V2952" s="2" t="s">
        <v>40</v>
      </c>
      <c r="W2952" s="2" t="s">
        <v>13354</v>
      </c>
      <c r="X2952" s="2"/>
      <c r="Y2952" s="2"/>
      <c r="Z2952" s="2"/>
      <c r="AA2952" s="2" t="s">
        <v>160</v>
      </c>
      <c r="AB2952" s="2" t="s">
        <v>161</v>
      </c>
      <c r="AC2952" s="4" t="s">
        <v>44</v>
      </c>
    </row>
    <row r="2953" spans="1:29" x14ac:dyDescent="0.25">
      <c r="A2953" s="1">
        <v>1213</v>
      </c>
      <c r="B2953" s="17" t="s">
        <v>13355</v>
      </c>
      <c r="C2953" s="2" t="s">
        <v>13356</v>
      </c>
      <c r="D2953" s="15" t="s">
        <v>738</v>
      </c>
      <c r="E2953" s="9" t="s">
        <v>4955</v>
      </c>
      <c r="F2953" s="9" t="s">
        <v>13357</v>
      </c>
      <c r="G2953" s="9" t="s">
        <v>956</v>
      </c>
      <c r="H2953" s="2" t="s">
        <v>60</v>
      </c>
      <c r="I2953" s="3">
        <v>36955</v>
      </c>
      <c r="J2953" s="9" t="str">
        <f t="shared" ca="1" si="49"/>
        <v>22 ans</v>
      </c>
      <c r="K2953" s="2" t="s">
        <v>156</v>
      </c>
      <c r="L2953" s="2" t="str">
        <f>"1000"</f>
        <v>1000</v>
      </c>
      <c r="M2953" s="2"/>
      <c r="N2953" s="2" t="str">
        <f>"RUE DU CERFEUIL"</f>
        <v>RUE DU CERFEUIL</v>
      </c>
      <c r="O2953" s="2" t="s">
        <v>13204</v>
      </c>
      <c r="P2953" s="9" t="str">
        <f>VLOOKUP($O2953,'Liste des Villes'!$B$2:$B$1128,1,FALSE)</f>
        <v>Prévost</v>
      </c>
      <c r="Q2953" s="9" t="str">
        <f>IFERROR($P2953,PROPER(VLOOKUP($O2953,'Villes en erreur'!$A$2:$B$72,2,FALSE)))</f>
        <v>Prévost</v>
      </c>
      <c r="R2953" s="9" t="s">
        <v>1590</v>
      </c>
      <c r="S2953" s="9" t="str">
        <f>IF(ISBLANK($R2953),"",VLOOKUP($R2953,'Liste des Villes'!$B$2:$H$1128,4,FALSE))</f>
        <v>Laurentides</v>
      </c>
      <c r="T2953" s="2" t="s">
        <v>13358</v>
      </c>
      <c r="U2953" s="2" t="s">
        <v>39</v>
      </c>
      <c r="V2953" s="2" t="s">
        <v>40</v>
      </c>
      <c r="W2953" s="2" t="s">
        <v>13359</v>
      </c>
      <c r="X2953" s="2"/>
      <c r="Y2953" s="2"/>
      <c r="Z2953" s="2"/>
      <c r="AA2953" s="2" t="s">
        <v>160</v>
      </c>
      <c r="AB2953" s="2" t="s">
        <v>13208</v>
      </c>
      <c r="AC2953" s="4" t="s">
        <v>44</v>
      </c>
    </row>
    <row r="2954" spans="1:29" x14ac:dyDescent="0.25">
      <c r="A2954" s="1">
        <v>1010</v>
      </c>
      <c r="B2954" s="17" t="s">
        <v>13360</v>
      </c>
      <c r="C2954" s="2" t="s">
        <v>13361</v>
      </c>
      <c r="D2954" s="15" t="s">
        <v>1136</v>
      </c>
      <c r="E2954" s="9" t="s">
        <v>5763</v>
      </c>
      <c r="F2954" s="9" t="s">
        <v>1134</v>
      </c>
      <c r="G2954" s="9" t="s">
        <v>2049</v>
      </c>
      <c r="H2954" s="2" t="s">
        <v>35</v>
      </c>
      <c r="I2954" s="3">
        <v>37008</v>
      </c>
      <c r="J2954" s="9" t="str">
        <f t="shared" ca="1" si="49"/>
        <v>22 ans</v>
      </c>
      <c r="K2954" s="2" t="s">
        <v>156</v>
      </c>
      <c r="L2954" s="2" t="str">
        <f>"1040"</f>
        <v>1040</v>
      </c>
      <c r="M2954" s="2"/>
      <c r="N2954" s="2" t="str">
        <f>"RUE DU HAMEAU"</f>
        <v>RUE DU HAMEAU</v>
      </c>
      <c r="O2954" s="2" t="s">
        <v>13204</v>
      </c>
      <c r="P2954" s="9" t="str">
        <f>VLOOKUP($O2954,'Liste des Villes'!$B$2:$B$1128,1,FALSE)</f>
        <v>Prévost</v>
      </c>
      <c r="Q2954" s="9" t="str">
        <f>IFERROR($P2954,PROPER(VLOOKUP($O2954,'Villes en erreur'!$A$2:$B$72,2,FALSE)))</f>
        <v>Prévost</v>
      </c>
      <c r="R2954" s="9" t="s">
        <v>1590</v>
      </c>
      <c r="S2954" s="9" t="str">
        <f>IF(ISBLANK($R2954),"",VLOOKUP($R2954,'Liste des Villes'!$B$2:$H$1128,4,FALSE))</f>
        <v>Laurentides</v>
      </c>
      <c r="T2954" s="2" t="s">
        <v>13362</v>
      </c>
      <c r="U2954" s="2" t="s">
        <v>39</v>
      </c>
      <c r="V2954" s="2" t="s">
        <v>40</v>
      </c>
      <c r="W2954" s="2" t="s">
        <v>13363</v>
      </c>
      <c r="X2954" s="2"/>
      <c r="Y2954" s="2"/>
      <c r="Z2954" s="2"/>
      <c r="AA2954" s="2" t="s">
        <v>375</v>
      </c>
      <c r="AB2954" s="2" t="s">
        <v>13208</v>
      </c>
      <c r="AC2954" s="4" t="s">
        <v>44</v>
      </c>
    </row>
    <row r="2955" spans="1:29" x14ac:dyDescent="0.25">
      <c r="A2955" s="1">
        <v>3916</v>
      </c>
      <c r="B2955" s="17" t="s">
        <v>13364</v>
      </c>
      <c r="C2955" s="2" t="s">
        <v>13365</v>
      </c>
      <c r="D2955" s="15" t="s">
        <v>13366</v>
      </c>
      <c r="E2955" s="9" t="s">
        <v>698</v>
      </c>
      <c r="F2955" s="9" t="s">
        <v>3042</v>
      </c>
      <c r="G2955" s="9" t="s">
        <v>3126</v>
      </c>
      <c r="H2955" s="2" t="s">
        <v>60</v>
      </c>
      <c r="I2955" s="3">
        <v>36942</v>
      </c>
      <c r="J2955" s="9" t="str">
        <f t="shared" ca="1" si="49"/>
        <v>22 ans</v>
      </c>
      <c r="K2955" s="2" t="s">
        <v>156</v>
      </c>
      <c r="L2955" s="2" t="str">
        <f>"973"</f>
        <v>973</v>
      </c>
      <c r="M2955" s="2"/>
      <c r="N2955" s="2" t="str">
        <f>"RUE DU BOISÉ"</f>
        <v>RUE DU BOISÉ</v>
      </c>
      <c r="O2955" s="2" t="s">
        <v>13204</v>
      </c>
      <c r="P2955" s="9" t="str">
        <f>VLOOKUP($O2955,'Liste des Villes'!$B$2:$B$1128,1,FALSE)</f>
        <v>Prévost</v>
      </c>
      <c r="Q2955" s="9" t="str">
        <f>IFERROR($P2955,PROPER(VLOOKUP($O2955,'Villes en erreur'!$A$2:$B$72,2,FALSE)))</f>
        <v>Prévost</v>
      </c>
      <c r="R2955" s="9" t="s">
        <v>1590</v>
      </c>
      <c r="S2955" s="9" t="str">
        <f>IF(ISBLANK($R2955),"",VLOOKUP($R2955,'Liste des Villes'!$B$2:$H$1128,4,FALSE))</f>
        <v>Laurentides</v>
      </c>
      <c r="T2955" s="2" t="s">
        <v>13367</v>
      </c>
      <c r="U2955" s="2" t="s">
        <v>39</v>
      </c>
      <c r="V2955" s="2" t="s">
        <v>40</v>
      </c>
      <c r="W2955" s="2" t="s">
        <v>13368</v>
      </c>
      <c r="X2955" s="2"/>
      <c r="Y2955" s="2"/>
      <c r="Z2955" s="2"/>
      <c r="AA2955" s="2" t="s">
        <v>160</v>
      </c>
      <c r="AB2955" s="2" t="s">
        <v>161</v>
      </c>
      <c r="AC2955" s="4" t="s">
        <v>44</v>
      </c>
    </row>
    <row r="2956" spans="1:29" x14ac:dyDescent="0.25">
      <c r="A2956" s="1">
        <v>3985</v>
      </c>
      <c r="B2956" s="17" t="s">
        <v>13369</v>
      </c>
      <c r="C2956" s="2" t="s">
        <v>13370</v>
      </c>
      <c r="D2956" s="15" t="s">
        <v>9189</v>
      </c>
      <c r="E2956" s="9" t="s">
        <v>325</v>
      </c>
      <c r="F2956" s="9" t="s">
        <v>5634</v>
      </c>
      <c r="G2956" s="9" t="s">
        <v>1416</v>
      </c>
      <c r="H2956" s="2" t="s">
        <v>60</v>
      </c>
      <c r="I2956" s="3">
        <v>37001</v>
      </c>
      <c r="J2956" s="9" t="str">
        <f t="shared" ca="1" si="49"/>
        <v>22 ans</v>
      </c>
      <c r="K2956" s="2" t="s">
        <v>156</v>
      </c>
      <c r="L2956" s="2" t="str">
        <f>"1035"</f>
        <v>1035</v>
      </c>
      <c r="M2956" s="2"/>
      <c r="N2956" s="2" t="str">
        <f>"RUE DU GRAND-BOIS"</f>
        <v>RUE DU GRAND-BOIS</v>
      </c>
      <c r="O2956" s="2" t="s">
        <v>13204</v>
      </c>
      <c r="P2956" s="9" t="str">
        <f>VLOOKUP($O2956,'Liste des Villes'!$B$2:$B$1128,1,FALSE)</f>
        <v>Prévost</v>
      </c>
      <c r="Q2956" s="9" t="str">
        <f>IFERROR($P2956,PROPER(VLOOKUP($O2956,'Villes en erreur'!$A$2:$B$72,2,FALSE)))</f>
        <v>Prévost</v>
      </c>
      <c r="R2956" s="9" t="s">
        <v>1590</v>
      </c>
      <c r="S2956" s="9" t="str">
        <f>IF(ISBLANK($R2956),"",VLOOKUP($R2956,'Liste des Villes'!$B$2:$H$1128,4,FALSE))</f>
        <v>Laurentides</v>
      </c>
      <c r="T2956" s="2" t="s">
        <v>13371</v>
      </c>
      <c r="U2956" s="2" t="s">
        <v>39</v>
      </c>
      <c r="V2956" s="2" t="s">
        <v>40</v>
      </c>
      <c r="W2956" s="2" t="s">
        <v>13372</v>
      </c>
      <c r="X2956" s="2"/>
      <c r="Y2956" s="2"/>
      <c r="Z2956" s="2"/>
      <c r="AA2956" s="2" t="s">
        <v>13207</v>
      </c>
      <c r="AB2956" s="2" t="s">
        <v>13208</v>
      </c>
      <c r="AC2956" s="4" t="s">
        <v>44</v>
      </c>
    </row>
    <row r="2957" spans="1:29" x14ac:dyDescent="0.25">
      <c r="A2957" s="1">
        <v>2718</v>
      </c>
      <c r="B2957" s="17" t="s">
        <v>13373</v>
      </c>
      <c r="C2957" s="2" t="s">
        <v>13374</v>
      </c>
      <c r="D2957" s="15" t="s">
        <v>13375</v>
      </c>
      <c r="E2957" s="9" t="s">
        <v>929</v>
      </c>
      <c r="F2957" s="9" t="s">
        <v>13376</v>
      </c>
      <c r="G2957" s="9" t="s">
        <v>3363</v>
      </c>
      <c r="H2957" s="2" t="s">
        <v>60</v>
      </c>
      <c r="I2957" s="3">
        <v>36940</v>
      </c>
      <c r="J2957" s="9" t="str">
        <f t="shared" ca="1" si="49"/>
        <v>22 ans</v>
      </c>
      <c r="K2957" s="2" t="s">
        <v>156</v>
      </c>
      <c r="L2957" s="2" t="str">
        <f>"971"</f>
        <v>971</v>
      </c>
      <c r="M2957" s="2"/>
      <c r="N2957" s="2" t="str">
        <f>"RUE DU BOISÉ"</f>
        <v>RUE DU BOISÉ</v>
      </c>
      <c r="O2957" s="2" t="s">
        <v>13204</v>
      </c>
      <c r="P2957" s="9" t="str">
        <f>VLOOKUP($O2957,'Liste des Villes'!$B$2:$B$1128,1,FALSE)</f>
        <v>Prévost</v>
      </c>
      <c r="Q2957" s="9" t="str">
        <f>IFERROR($P2957,PROPER(VLOOKUP($O2957,'Villes en erreur'!$A$2:$B$72,2,FALSE)))</f>
        <v>Prévost</v>
      </c>
      <c r="R2957" s="9" t="s">
        <v>1590</v>
      </c>
      <c r="S2957" s="9" t="str">
        <f>IF(ISBLANK($R2957),"",VLOOKUP($R2957,'Liste des Villes'!$B$2:$H$1128,4,FALSE))</f>
        <v>Laurentides</v>
      </c>
      <c r="T2957" s="2" t="s">
        <v>13377</v>
      </c>
      <c r="U2957" s="2" t="s">
        <v>39</v>
      </c>
      <c r="V2957" s="2" t="s">
        <v>40</v>
      </c>
      <c r="W2957" s="2" t="s">
        <v>13378</v>
      </c>
      <c r="X2957" s="2"/>
      <c r="Y2957" s="2"/>
      <c r="Z2957" s="2"/>
      <c r="AA2957" s="2" t="s">
        <v>160</v>
      </c>
      <c r="AB2957" s="2" t="s">
        <v>161</v>
      </c>
      <c r="AC2957" s="4" t="s">
        <v>44</v>
      </c>
    </row>
    <row r="2958" spans="1:29" x14ac:dyDescent="0.25">
      <c r="A2958" s="1">
        <v>717</v>
      </c>
      <c r="B2958" s="17" t="s">
        <v>13379</v>
      </c>
      <c r="C2958" s="2" t="s">
        <v>13380</v>
      </c>
      <c r="D2958" s="15" t="s">
        <v>4634</v>
      </c>
      <c r="E2958" s="9" t="s">
        <v>2796</v>
      </c>
      <c r="F2958" s="9" t="s">
        <v>4632</v>
      </c>
      <c r="G2958" s="9" t="s">
        <v>253</v>
      </c>
      <c r="H2958" s="2" t="s">
        <v>35</v>
      </c>
      <c r="I2958" s="3">
        <v>36976</v>
      </c>
      <c r="J2958" s="9" t="str">
        <f t="shared" ca="1" si="49"/>
        <v>22 ans</v>
      </c>
      <c r="K2958" s="2" t="s">
        <v>156</v>
      </c>
      <c r="L2958" s="2" t="str">
        <f>"1013"</f>
        <v>1013</v>
      </c>
      <c r="M2958" s="2"/>
      <c r="N2958" s="2" t="str">
        <f>"RUE DU CLOS-TOUMALIN"</f>
        <v>RUE DU CLOS-TOUMALIN</v>
      </c>
      <c r="O2958" s="2" t="s">
        <v>13204</v>
      </c>
      <c r="P2958" s="9" t="str">
        <f>VLOOKUP($O2958,'Liste des Villes'!$B$2:$B$1128,1,FALSE)</f>
        <v>Prévost</v>
      </c>
      <c r="Q2958" s="9" t="str">
        <f>IFERROR($P2958,PROPER(VLOOKUP($O2958,'Villes en erreur'!$A$2:$B$72,2,FALSE)))</f>
        <v>Prévost</v>
      </c>
      <c r="R2958" s="9" t="s">
        <v>1590</v>
      </c>
      <c r="S2958" s="9" t="str">
        <f>IF(ISBLANK($R2958),"",VLOOKUP($R2958,'Liste des Villes'!$B$2:$H$1128,4,FALSE))</f>
        <v>Laurentides</v>
      </c>
      <c r="T2958" s="2" t="s">
        <v>13381</v>
      </c>
      <c r="U2958" s="2" t="s">
        <v>39</v>
      </c>
      <c r="V2958" s="2" t="s">
        <v>40</v>
      </c>
      <c r="W2958" s="2" t="s">
        <v>13382</v>
      </c>
      <c r="X2958" s="2"/>
      <c r="Y2958" s="2"/>
      <c r="Z2958" s="2"/>
      <c r="AA2958" s="2" t="s">
        <v>160</v>
      </c>
      <c r="AB2958" s="2" t="s">
        <v>13208</v>
      </c>
      <c r="AC2958" s="4" t="s">
        <v>44</v>
      </c>
    </row>
    <row r="2959" spans="1:29" x14ac:dyDescent="0.25">
      <c r="A2959" s="1">
        <v>1719</v>
      </c>
      <c r="B2959" s="17" t="s">
        <v>13383</v>
      </c>
      <c r="C2959" s="2" t="s">
        <v>13384</v>
      </c>
      <c r="D2959" s="15" t="s">
        <v>3307</v>
      </c>
      <c r="E2959" s="9" t="s">
        <v>5629</v>
      </c>
      <c r="F2959" s="9" t="s">
        <v>3305</v>
      </c>
      <c r="G2959" s="9" t="s">
        <v>2049</v>
      </c>
      <c r="H2959" s="2" t="s">
        <v>35</v>
      </c>
      <c r="I2959" s="3">
        <v>37017</v>
      </c>
      <c r="J2959" s="9" t="str">
        <f t="shared" ca="1" si="49"/>
        <v>22 ans</v>
      </c>
      <c r="K2959" s="2" t="s">
        <v>156</v>
      </c>
      <c r="L2959" s="2" t="str">
        <f>"1049"</f>
        <v>1049</v>
      </c>
      <c r="M2959" s="2"/>
      <c r="N2959" s="2" t="str">
        <f>"RUE DU LIERRE"</f>
        <v>RUE DU LIERRE</v>
      </c>
      <c r="O2959" s="2" t="s">
        <v>13204</v>
      </c>
      <c r="P2959" s="9" t="str">
        <f>VLOOKUP($O2959,'Liste des Villes'!$B$2:$B$1128,1,FALSE)</f>
        <v>Prévost</v>
      </c>
      <c r="Q2959" s="9" t="str">
        <f>IFERROR($P2959,PROPER(VLOOKUP($O2959,'Villes en erreur'!$A$2:$B$72,2,FALSE)))</f>
        <v>Prévost</v>
      </c>
      <c r="R2959" s="9" t="s">
        <v>1590</v>
      </c>
      <c r="S2959" s="9" t="str">
        <f>IF(ISBLANK($R2959),"",VLOOKUP($R2959,'Liste des Villes'!$B$2:$H$1128,4,FALSE))</f>
        <v>Laurentides</v>
      </c>
      <c r="T2959" s="2" t="s">
        <v>13385</v>
      </c>
      <c r="U2959" s="2" t="s">
        <v>39</v>
      </c>
      <c r="V2959" s="2" t="s">
        <v>40</v>
      </c>
      <c r="W2959" s="2" t="s">
        <v>13386</v>
      </c>
      <c r="X2959" s="2"/>
      <c r="Y2959" s="2"/>
      <c r="Z2959" s="2"/>
      <c r="AA2959" s="2" t="s">
        <v>375</v>
      </c>
      <c r="AB2959" s="2" t="s">
        <v>13208</v>
      </c>
      <c r="AC2959" s="4" t="s">
        <v>44</v>
      </c>
    </row>
    <row r="2960" spans="1:29" x14ac:dyDescent="0.25">
      <c r="A2960" s="1">
        <v>826</v>
      </c>
      <c r="B2960" s="17" t="s">
        <v>13387</v>
      </c>
      <c r="C2960" s="2" t="s">
        <v>13388</v>
      </c>
      <c r="D2960" s="15" t="s">
        <v>1479</v>
      </c>
      <c r="E2960" s="9" t="s">
        <v>9476</v>
      </c>
      <c r="F2960" s="9" t="s">
        <v>1477</v>
      </c>
      <c r="G2960" s="9" t="s">
        <v>1416</v>
      </c>
      <c r="H2960" s="2" t="s">
        <v>60</v>
      </c>
      <c r="I2960" s="3">
        <v>37001</v>
      </c>
      <c r="J2960" s="9" t="str">
        <f t="shared" ca="1" si="49"/>
        <v>22 ans</v>
      </c>
      <c r="K2960" s="2" t="s">
        <v>156</v>
      </c>
      <c r="L2960" s="2" t="str">
        <f>"1035"</f>
        <v>1035</v>
      </c>
      <c r="M2960" s="2"/>
      <c r="N2960" s="2" t="str">
        <f>"RUE DU GRANIT"</f>
        <v>RUE DU GRANIT</v>
      </c>
      <c r="O2960" s="2" t="s">
        <v>13204</v>
      </c>
      <c r="P2960" s="9" t="str">
        <f>VLOOKUP($O2960,'Liste des Villes'!$B$2:$B$1128,1,FALSE)</f>
        <v>Prévost</v>
      </c>
      <c r="Q2960" s="9" t="str">
        <f>IFERROR($P2960,PROPER(VLOOKUP($O2960,'Villes en erreur'!$A$2:$B$72,2,FALSE)))</f>
        <v>Prévost</v>
      </c>
      <c r="R2960" s="9" t="s">
        <v>1590</v>
      </c>
      <c r="S2960" s="9" t="str">
        <f>IF(ISBLANK($R2960),"",VLOOKUP($R2960,'Liste des Villes'!$B$2:$H$1128,4,FALSE))</f>
        <v>Laurentides</v>
      </c>
      <c r="T2960" s="2" t="s">
        <v>13389</v>
      </c>
      <c r="U2960" s="2" t="s">
        <v>39</v>
      </c>
      <c r="V2960" s="2" t="s">
        <v>40</v>
      </c>
      <c r="W2960" s="2" t="s">
        <v>13390</v>
      </c>
      <c r="X2960" s="2"/>
      <c r="Y2960" s="2"/>
      <c r="Z2960" s="2"/>
      <c r="AA2960" s="2" t="s">
        <v>375</v>
      </c>
      <c r="AB2960" s="2" t="s">
        <v>13208</v>
      </c>
      <c r="AC2960" s="4" t="s">
        <v>44</v>
      </c>
    </row>
    <row r="2961" spans="1:29" x14ac:dyDescent="0.25">
      <c r="A2961" s="1">
        <v>3775</v>
      </c>
      <c r="B2961" s="17" t="s">
        <v>13391</v>
      </c>
      <c r="C2961" s="2" t="s">
        <v>13392</v>
      </c>
      <c r="D2961" s="15" t="s">
        <v>13393</v>
      </c>
      <c r="E2961" s="9" t="s">
        <v>11901</v>
      </c>
      <c r="F2961" s="9" t="s">
        <v>3788</v>
      </c>
      <c r="G2961" s="9" t="s">
        <v>2049</v>
      </c>
      <c r="H2961" s="2" t="s">
        <v>35</v>
      </c>
      <c r="I2961" s="3">
        <v>37014</v>
      </c>
      <c r="J2961" s="9" t="str">
        <f t="shared" ca="1" si="49"/>
        <v>22 ans</v>
      </c>
      <c r="K2961" s="2" t="s">
        <v>156</v>
      </c>
      <c r="L2961" s="2" t="str">
        <f>"1048"</f>
        <v>1048</v>
      </c>
      <c r="M2961" s="2"/>
      <c r="N2961" s="2" t="str">
        <f>"RUE DU LAC-RINFRET"</f>
        <v>RUE DU LAC-RINFRET</v>
      </c>
      <c r="O2961" s="2" t="s">
        <v>13204</v>
      </c>
      <c r="P2961" s="9" t="str">
        <f>VLOOKUP($O2961,'Liste des Villes'!$B$2:$B$1128,1,FALSE)</f>
        <v>Prévost</v>
      </c>
      <c r="Q2961" s="9" t="str">
        <f>IFERROR($P2961,PROPER(VLOOKUP($O2961,'Villes en erreur'!$A$2:$B$72,2,FALSE)))</f>
        <v>Prévost</v>
      </c>
      <c r="R2961" s="9" t="s">
        <v>1590</v>
      </c>
      <c r="S2961" s="9" t="str">
        <f>IF(ISBLANK($R2961),"",VLOOKUP($R2961,'Liste des Villes'!$B$2:$H$1128,4,FALSE))</f>
        <v>Laurentides</v>
      </c>
      <c r="T2961" s="2" t="s">
        <v>13394</v>
      </c>
      <c r="U2961" s="2" t="s">
        <v>39</v>
      </c>
      <c r="V2961" s="2" t="s">
        <v>40</v>
      </c>
      <c r="W2961" s="2" t="s">
        <v>13395</v>
      </c>
      <c r="X2961" s="2"/>
      <c r="Y2961" s="2"/>
      <c r="Z2961" s="2"/>
      <c r="AA2961" s="2" t="s">
        <v>375</v>
      </c>
      <c r="AB2961" s="2" t="s">
        <v>13208</v>
      </c>
      <c r="AC2961" s="4" t="s">
        <v>44</v>
      </c>
    </row>
    <row r="2962" spans="1:29" x14ac:dyDescent="0.25">
      <c r="A2962" s="1">
        <v>2203</v>
      </c>
      <c r="B2962" s="17" t="s">
        <v>13396</v>
      </c>
      <c r="C2962" s="2" t="s">
        <v>8757</v>
      </c>
      <c r="D2962" s="15" t="s">
        <v>3133</v>
      </c>
      <c r="E2962" s="9" t="s">
        <v>354</v>
      </c>
      <c r="F2962" s="9" t="s">
        <v>355</v>
      </c>
      <c r="G2962" s="9" t="s">
        <v>956</v>
      </c>
      <c r="H2962" s="2" t="s">
        <v>60</v>
      </c>
      <c r="I2962" s="3">
        <v>36951</v>
      </c>
      <c r="J2962" s="9" t="str">
        <f t="shared" ca="1" si="49"/>
        <v>22 ans</v>
      </c>
      <c r="K2962" s="2" t="s">
        <v>156</v>
      </c>
      <c r="L2962" s="2" t="str">
        <f>"988"</f>
        <v>988</v>
      </c>
      <c r="M2962" s="2"/>
      <c r="N2962" s="2" t="str">
        <f>"RUE DU CANNELIER"</f>
        <v>RUE DU CANNELIER</v>
      </c>
      <c r="O2962" s="2" t="s">
        <v>13204</v>
      </c>
      <c r="P2962" s="9" t="str">
        <f>VLOOKUP($O2962,'Liste des Villes'!$B$2:$B$1128,1,FALSE)</f>
        <v>Prévost</v>
      </c>
      <c r="Q2962" s="9" t="str">
        <f>IFERROR($P2962,PROPER(VLOOKUP($O2962,'Villes en erreur'!$A$2:$B$72,2,FALSE)))</f>
        <v>Prévost</v>
      </c>
      <c r="R2962" s="9" t="s">
        <v>1590</v>
      </c>
      <c r="S2962" s="9" t="str">
        <f>IF(ISBLANK($R2962),"",VLOOKUP($R2962,'Liste des Villes'!$B$2:$H$1128,4,FALSE))</f>
        <v>Laurentides</v>
      </c>
      <c r="T2962" s="2" t="s">
        <v>13397</v>
      </c>
      <c r="U2962" s="2" t="s">
        <v>39</v>
      </c>
      <c r="V2962" s="2" t="s">
        <v>40</v>
      </c>
      <c r="W2962" s="2" t="s">
        <v>13398</v>
      </c>
      <c r="X2962" s="2"/>
      <c r="Y2962" s="2"/>
      <c r="Z2962" s="2"/>
      <c r="AA2962" s="2" t="s">
        <v>160</v>
      </c>
      <c r="AB2962" s="2" t="s">
        <v>161</v>
      </c>
      <c r="AC2962" s="4" t="s">
        <v>44</v>
      </c>
    </row>
    <row r="2963" spans="1:29" x14ac:dyDescent="0.25">
      <c r="A2963" s="1">
        <v>2415</v>
      </c>
      <c r="B2963" s="17" t="s">
        <v>13399</v>
      </c>
      <c r="C2963" s="2" t="s">
        <v>7400</v>
      </c>
      <c r="D2963" s="15" t="s">
        <v>2087</v>
      </c>
      <c r="E2963" s="9" t="s">
        <v>2217</v>
      </c>
      <c r="F2963" s="9" t="s">
        <v>2085</v>
      </c>
      <c r="G2963" s="9" t="s">
        <v>956</v>
      </c>
      <c r="H2963" s="2" t="s">
        <v>60</v>
      </c>
      <c r="I2963" s="3">
        <v>36947</v>
      </c>
      <c r="J2963" s="9" t="str">
        <f t="shared" ca="1" si="49"/>
        <v>22 ans</v>
      </c>
      <c r="K2963" s="2" t="s">
        <v>156</v>
      </c>
      <c r="L2963" s="2" t="str">
        <f>"981"</f>
        <v>981</v>
      </c>
      <c r="M2963" s="2"/>
      <c r="N2963" s="2" t="str">
        <f>"RUE DU BOSQUET"</f>
        <v>RUE DU BOSQUET</v>
      </c>
      <c r="O2963" s="2" t="s">
        <v>13204</v>
      </c>
      <c r="P2963" s="9" t="str">
        <f>VLOOKUP($O2963,'Liste des Villes'!$B$2:$B$1128,1,FALSE)</f>
        <v>Prévost</v>
      </c>
      <c r="Q2963" s="9" t="str">
        <f>IFERROR($P2963,PROPER(VLOOKUP($O2963,'Villes en erreur'!$A$2:$B$72,2,FALSE)))</f>
        <v>Prévost</v>
      </c>
      <c r="R2963" s="9" t="s">
        <v>1590</v>
      </c>
      <c r="S2963" s="9" t="str">
        <f>IF(ISBLANK($R2963),"",VLOOKUP($R2963,'Liste des Villes'!$B$2:$H$1128,4,FALSE))</f>
        <v>Laurentides</v>
      </c>
      <c r="T2963" s="2" t="s">
        <v>13275</v>
      </c>
      <c r="U2963" s="2" t="s">
        <v>39</v>
      </c>
      <c r="V2963" s="2" t="s">
        <v>40</v>
      </c>
      <c r="W2963" s="2" t="s">
        <v>13400</v>
      </c>
      <c r="X2963" s="2"/>
      <c r="Y2963" s="2"/>
      <c r="Z2963" s="2"/>
      <c r="AA2963" s="2" t="s">
        <v>160</v>
      </c>
      <c r="AB2963" s="2" t="s">
        <v>161</v>
      </c>
      <c r="AC2963" s="4" t="s">
        <v>44</v>
      </c>
    </row>
    <row r="2964" spans="1:29" x14ac:dyDescent="0.25">
      <c r="A2964" s="1">
        <v>3010</v>
      </c>
      <c r="B2964" s="17" t="s">
        <v>13401</v>
      </c>
      <c r="C2964" s="2" t="s">
        <v>13402</v>
      </c>
      <c r="D2964" s="15" t="s">
        <v>13403</v>
      </c>
      <c r="E2964" s="9" t="s">
        <v>137</v>
      </c>
      <c r="F2964" s="9" t="s">
        <v>7051</v>
      </c>
      <c r="G2964" s="9" t="s">
        <v>253</v>
      </c>
      <c r="H2964" s="2" t="s">
        <v>35</v>
      </c>
      <c r="I2964" s="3">
        <v>36972</v>
      </c>
      <c r="J2964" s="9" t="str">
        <f t="shared" ca="1" si="49"/>
        <v>22 ans</v>
      </c>
      <c r="K2964" s="2" t="s">
        <v>156</v>
      </c>
      <c r="L2964" s="2" t="str">
        <f>"1011"</f>
        <v>1011</v>
      </c>
      <c r="M2964" s="2"/>
      <c r="N2964" s="2" t="str">
        <f>"RUE DU CLOS-DU-MEUNIER"</f>
        <v>RUE DU CLOS-DU-MEUNIER</v>
      </c>
      <c r="O2964" s="2" t="s">
        <v>13204</v>
      </c>
      <c r="P2964" s="9" t="str">
        <f>VLOOKUP($O2964,'Liste des Villes'!$B$2:$B$1128,1,FALSE)</f>
        <v>Prévost</v>
      </c>
      <c r="Q2964" s="9" t="str">
        <f>IFERROR($P2964,PROPER(VLOOKUP($O2964,'Villes en erreur'!$A$2:$B$72,2,FALSE)))</f>
        <v>Prévost</v>
      </c>
      <c r="R2964" s="9" t="s">
        <v>1590</v>
      </c>
      <c r="S2964" s="9" t="str">
        <f>IF(ISBLANK($R2964),"",VLOOKUP($R2964,'Liste des Villes'!$B$2:$H$1128,4,FALSE))</f>
        <v>Laurentides</v>
      </c>
      <c r="T2964" s="2" t="s">
        <v>13404</v>
      </c>
      <c r="U2964" s="2" t="s">
        <v>39</v>
      </c>
      <c r="V2964" s="2" t="s">
        <v>40</v>
      </c>
      <c r="W2964" s="2" t="s">
        <v>13405</v>
      </c>
      <c r="X2964" s="2"/>
      <c r="Y2964" s="2"/>
      <c r="Z2964" s="2"/>
      <c r="AA2964" s="2" t="s">
        <v>160</v>
      </c>
      <c r="AB2964" s="2" t="s">
        <v>13208</v>
      </c>
      <c r="AC2964" s="4" t="s">
        <v>44</v>
      </c>
    </row>
    <row r="2965" spans="1:29" x14ac:dyDescent="0.25">
      <c r="A2965" s="1">
        <v>3291</v>
      </c>
      <c r="B2965" s="17" t="s">
        <v>13406</v>
      </c>
      <c r="C2965" s="2" t="s">
        <v>13407</v>
      </c>
      <c r="D2965" s="15" t="s">
        <v>363</v>
      </c>
      <c r="E2965" s="9" t="s">
        <v>7129</v>
      </c>
      <c r="F2965" s="9" t="s">
        <v>3617</v>
      </c>
      <c r="G2965" s="9" t="s">
        <v>956</v>
      </c>
      <c r="H2965" s="2" t="s">
        <v>60</v>
      </c>
      <c r="I2965" s="3">
        <v>36956</v>
      </c>
      <c r="J2965" s="9" t="str">
        <f t="shared" ca="1" si="49"/>
        <v>22 ans</v>
      </c>
      <c r="K2965" s="2" t="s">
        <v>156</v>
      </c>
      <c r="L2965" s="2" t="str">
        <f>"1000"</f>
        <v>1000</v>
      </c>
      <c r="M2965" s="2"/>
      <c r="N2965" s="2" t="str">
        <f>"RUE DU CHAMP-FLEURI"</f>
        <v>RUE DU CHAMP-FLEURI</v>
      </c>
      <c r="O2965" s="2" t="s">
        <v>13204</v>
      </c>
      <c r="P2965" s="9" t="str">
        <f>VLOOKUP($O2965,'Liste des Villes'!$B$2:$B$1128,1,FALSE)</f>
        <v>Prévost</v>
      </c>
      <c r="Q2965" s="9" t="str">
        <f>IFERROR($P2965,PROPER(VLOOKUP($O2965,'Villes en erreur'!$A$2:$B$72,2,FALSE)))</f>
        <v>Prévost</v>
      </c>
      <c r="R2965" s="9" t="s">
        <v>1590</v>
      </c>
      <c r="S2965" s="9" t="str">
        <f>IF(ISBLANK($R2965),"",VLOOKUP($R2965,'Liste des Villes'!$B$2:$H$1128,4,FALSE))</f>
        <v>Laurentides</v>
      </c>
      <c r="T2965" s="2" t="s">
        <v>13408</v>
      </c>
      <c r="U2965" s="2" t="s">
        <v>39</v>
      </c>
      <c r="V2965" s="2" t="s">
        <v>40</v>
      </c>
      <c r="W2965" s="2" t="s">
        <v>13409</v>
      </c>
      <c r="X2965" s="2"/>
      <c r="Y2965" s="2"/>
      <c r="Z2965" s="2"/>
      <c r="AA2965" s="2" t="s">
        <v>160</v>
      </c>
      <c r="AB2965" s="2" t="s">
        <v>13208</v>
      </c>
      <c r="AC2965" s="4" t="s">
        <v>44</v>
      </c>
    </row>
    <row r="2966" spans="1:29" x14ac:dyDescent="0.25">
      <c r="A2966" s="1">
        <v>4377</v>
      </c>
      <c r="B2966" s="17" t="s">
        <v>13410</v>
      </c>
      <c r="C2966" s="2" t="s">
        <v>5137</v>
      </c>
      <c r="D2966" s="15" t="s">
        <v>861</v>
      </c>
      <c r="E2966" s="9" t="s">
        <v>332</v>
      </c>
      <c r="F2966" s="9" t="s">
        <v>7452</v>
      </c>
      <c r="G2966" s="9" t="s">
        <v>1745</v>
      </c>
      <c r="H2966" s="2" t="s">
        <v>60</v>
      </c>
      <c r="I2966" s="3">
        <v>36979</v>
      </c>
      <c r="J2966" s="9" t="str">
        <f t="shared" ca="1" si="49"/>
        <v>22 ans</v>
      </c>
      <c r="K2966" s="2" t="s">
        <v>156</v>
      </c>
      <c r="L2966" s="2" t="str">
        <f>"1016"</f>
        <v>1016</v>
      </c>
      <c r="M2966" s="2"/>
      <c r="N2966" s="2" t="str">
        <f>"RUE DU CORDIER"</f>
        <v>RUE DU CORDIER</v>
      </c>
      <c r="O2966" s="2" t="s">
        <v>13204</v>
      </c>
      <c r="P2966" s="9" t="str">
        <f>VLOOKUP($O2966,'Liste des Villes'!$B$2:$B$1128,1,FALSE)</f>
        <v>Prévost</v>
      </c>
      <c r="Q2966" s="9" t="str">
        <f>IFERROR($P2966,PROPER(VLOOKUP($O2966,'Villes en erreur'!$A$2:$B$72,2,FALSE)))</f>
        <v>Prévost</v>
      </c>
      <c r="R2966" s="9" t="s">
        <v>1590</v>
      </c>
      <c r="S2966" s="9" t="str">
        <f>IF(ISBLANK($R2966),"",VLOOKUP($R2966,'Liste des Villes'!$B$2:$H$1128,4,FALSE))</f>
        <v>Laurentides</v>
      </c>
      <c r="T2966" s="2" t="s">
        <v>13411</v>
      </c>
      <c r="U2966" s="2" t="s">
        <v>39</v>
      </c>
      <c r="V2966" s="2" t="s">
        <v>40</v>
      </c>
      <c r="W2966" s="2" t="s">
        <v>13412</v>
      </c>
      <c r="X2966" s="2"/>
      <c r="Y2966" s="2"/>
      <c r="Z2966" s="2"/>
      <c r="AA2966" s="2" t="s">
        <v>13207</v>
      </c>
      <c r="AB2966" s="2" t="s">
        <v>13208</v>
      </c>
      <c r="AC2966" s="4" t="s">
        <v>44</v>
      </c>
    </row>
    <row r="2967" spans="1:29" x14ac:dyDescent="0.25">
      <c r="A2967" s="1">
        <v>4164</v>
      </c>
      <c r="B2967" s="17" t="s">
        <v>13413</v>
      </c>
      <c r="C2967" s="2" t="s">
        <v>13414</v>
      </c>
      <c r="D2967" s="15" t="s">
        <v>3042</v>
      </c>
      <c r="E2967" s="9" t="s">
        <v>5228</v>
      </c>
      <c r="F2967" s="9" t="s">
        <v>11169</v>
      </c>
      <c r="G2967" s="9" t="s">
        <v>2049</v>
      </c>
      <c r="H2967" s="2" t="s">
        <v>35</v>
      </c>
      <c r="I2967" s="3">
        <v>37009</v>
      </c>
      <c r="J2967" s="9" t="str">
        <f t="shared" ca="1" si="49"/>
        <v>22 ans</v>
      </c>
      <c r="K2967" s="2" t="s">
        <v>156</v>
      </c>
      <c r="L2967" s="2" t="str">
        <f>"1041"</f>
        <v>1041</v>
      </c>
      <c r="M2967" s="2"/>
      <c r="N2967" s="2" t="str">
        <f>"RUE DU HAVRE"</f>
        <v>RUE DU HAVRE</v>
      </c>
      <c r="O2967" s="2" t="s">
        <v>13204</v>
      </c>
      <c r="P2967" s="9" t="str">
        <f>VLOOKUP($O2967,'Liste des Villes'!$B$2:$B$1128,1,FALSE)</f>
        <v>Prévost</v>
      </c>
      <c r="Q2967" s="9" t="str">
        <f>IFERROR($P2967,PROPER(VLOOKUP($O2967,'Villes en erreur'!$A$2:$B$72,2,FALSE)))</f>
        <v>Prévost</v>
      </c>
      <c r="R2967" s="9" t="s">
        <v>1590</v>
      </c>
      <c r="S2967" s="9" t="str">
        <f>IF(ISBLANK($R2967),"",VLOOKUP($R2967,'Liste des Villes'!$B$2:$H$1128,4,FALSE))</f>
        <v>Laurentides</v>
      </c>
      <c r="T2967" s="2" t="s">
        <v>13314</v>
      </c>
      <c r="U2967" s="2" t="s">
        <v>39</v>
      </c>
      <c r="V2967" s="2" t="s">
        <v>40</v>
      </c>
      <c r="W2967" s="2" t="s">
        <v>13415</v>
      </c>
      <c r="X2967" s="2"/>
      <c r="Y2967" s="2"/>
      <c r="Z2967" s="2"/>
      <c r="AA2967" s="2" t="s">
        <v>375</v>
      </c>
      <c r="AB2967" s="2" t="s">
        <v>13208</v>
      </c>
      <c r="AC2967" s="4" t="s">
        <v>44</v>
      </c>
    </row>
    <row r="2968" spans="1:29" x14ac:dyDescent="0.25">
      <c r="A2968" s="1">
        <v>3093</v>
      </c>
      <c r="B2968" s="17" t="s">
        <v>13416</v>
      </c>
      <c r="C2968" s="2" t="s">
        <v>11348</v>
      </c>
      <c r="D2968" s="15" t="s">
        <v>1696</v>
      </c>
      <c r="E2968" s="9" t="s">
        <v>3351</v>
      </c>
      <c r="F2968" s="9" t="s">
        <v>875</v>
      </c>
      <c r="G2968" s="9" t="s">
        <v>1958</v>
      </c>
      <c r="H2968" s="2" t="s">
        <v>60</v>
      </c>
      <c r="I2968" s="3">
        <v>36959</v>
      </c>
      <c r="J2968" s="9" t="str">
        <f t="shared" ca="1" si="49"/>
        <v>22 ans</v>
      </c>
      <c r="K2968" s="2" t="s">
        <v>156</v>
      </c>
      <c r="L2968" s="2" t="str">
        <f>"1005"</f>
        <v>1005</v>
      </c>
      <c r="M2968" s="2"/>
      <c r="N2968" s="2" t="str">
        <f>"RUE DU CHRIST-ROI"</f>
        <v>RUE DU CHRIST-ROI</v>
      </c>
      <c r="O2968" s="2" t="s">
        <v>13204</v>
      </c>
      <c r="P2968" s="9" t="str">
        <f>VLOOKUP($O2968,'Liste des Villes'!$B$2:$B$1128,1,FALSE)</f>
        <v>Prévost</v>
      </c>
      <c r="Q2968" s="9" t="str">
        <f>IFERROR($P2968,PROPER(VLOOKUP($O2968,'Villes en erreur'!$A$2:$B$72,2,FALSE)))</f>
        <v>Prévost</v>
      </c>
      <c r="R2968" s="9" t="s">
        <v>1590</v>
      </c>
      <c r="S2968" s="9" t="str">
        <f>IF(ISBLANK($R2968),"",VLOOKUP($R2968,'Liste des Villes'!$B$2:$H$1128,4,FALSE))</f>
        <v>Laurentides</v>
      </c>
      <c r="T2968" s="2" t="s">
        <v>13417</v>
      </c>
      <c r="U2968" s="2" t="s">
        <v>39</v>
      </c>
      <c r="V2968" s="2" t="s">
        <v>40</v>
      </c>
      <c r="W2968" s="2" t="s">
        <v>13418</v>
      </c>
      <c r="X2968" s="2"/>
      <c r="Y2968" s="2"/>
      <c r="Z2968" s="2"/>
      <c r="AA2968" s="2" t="s">
        <v>160</v>
      </c>
      <c r="AB2968" s="2" t="s">
        <v>13208</v>
      </c>
      <c r="AC2968" s="4" t="s">
        <v>44</v>
      </c>
    </row>
    <row r="2969" spans="1:29" x14ac:dyDescent="0.25">
      <c r="A2969" s="1">
        <v>706</v>
      </c>
      <c r="B2969" s="17" t="s">
        <v>13419</v>
      </c>
      <c r="C2969" s="2" t="s">
        <v>13420</v>
      </c>
      <c r="D2969" s="15" t="s">
        <v>287</v>
      </c>
      <c r="E2969" s="9" t="s">
        <v>1037</v>
      </c>
      <c r="F2969" s="9" t="s">
        <v>285</v>
      </c>
      <c r="G2969" s="9" t="s">
        <v>956</v>
      </c>
      <c r="H2969" s="2" t="s">
        <v>60</v>
      </c>
      <c r="I2969" s="3">
        <v>36951</v>
      </c>
      <c r="J2969" s="9" t="str">
        <f t="shared" ca="1" si="49"/>
        <v>22 ans</v>
      </c>
      <c r="K2969" s="2" t="s">
        <v>156</v>
      </c>
      <c r="L2969" s="2" t="str">
        <f>"988"</f>
        <v>988</v>
      </c>
      <c r="M2969" s="2"/>
      <c r="N2969" s="2" t="str">
        <f>"RUE DU CANAL N"</f>
        <v>RUE DU CANAL N</v>
      </c>
      <c r="O2969" s="2" t="s">
        <v>13204</v>
      </c>
      <c r="P2969" s="9" t="str">
        <f>VLOOKUP($O2969,'Liste des Villes'!$B$2:$B$1128,1,FALSE)</f>
        <v>Prévost</v>
      </c>
      <c r="Q2969" s="9" t="str">
        <f>IFERROR($P2969,PROPER(VLOOKUP($O2969,'Villes en erreur'!$A$2:$B$72,2,FALSE)))</f>
        <v>Prévost</v>
      </c>
      <c r="R2969" s="9" t="s">
        <v>1590</v>
      </c>
      <c r="S2969" s="9" t="str">
        <f>IF(ISBLANK($R2969),"",VLOOKUP($R2969,'Liste des Villes'!$B$2:$H$1128,4,FALSE))</f>
        <v>Laurentides</v>
      </c>
      <c r="T2969" s="2" t="s">
        <v>13421</v>
      </c>
      <c r="U2969" s="2" t="s">
        <v>39</v>
      </c>
      <c r="V2969" s="2" t="s">
        <v>40</v>
      </c>
      <c r="W2969" s="2" t="s">
        <v>13422</v>
      </c>
      <c r="X2969" s="2"/>
      <c r="Y2969" s="2"/>
      <c r="Z2969" s="2"/>
      <c r="AA2969" s="2" t="s">
        <v>160</v>
      </c>
      <c r="AB2969" s="2" t="s">
        <v>161</v>
      </c>
      <c r="AC2969" s="4" t="s">
        <v>44</v>
      </c>
    </row>
    <row r="2970" spans="1:29" x14ac:dyDescent="0.25">
      <c r="A2970" s="1">
        <v>3734</v>
      </c>
      <c r="B2970" s="17" t="s">
        <v>13423</v>
      </c>
      <c r="C2970" s="2" t="s">
        <v>2496</v>
      </c>
      <c r="D2970" s="15" t="s">
        <v>2497</v>
      </c>
      <c r="E2970" s="9" t="s">
        <v>2498</v>
      </c>
      <c r="F2970" s="9" t="s">
        <v>2099</v>
      </c>
      <c r="G2970" s="9" t="s">
        <v>956</v>
      </c>
      <c r="H2970" s="2" t="s">
        <v>60</v>
      </c>
      <c r="I2970" s="3">
        <v>36951</v>
      </c>
      <c r="J2970" s="9" t="str">
        <f t="shared" ca="1" si="49"/>
        <v>22 ans</v>
      </c>
      <c r="K2970" s="2" t="s">
        <v>156</v>
      </c>
      <c r="L2970" s="2" t="str">
        <f>"988"</f>
        <v>988</v>
      </c>
      <c r="M2970" s="2"/>
      <c r="N2970" s="2" t="str">
        <f>"RUE DU CAP"</f>
        <v>RUE DU CAP</v>
      </c>
      <c r="O2970" s="2" t="s">
        <v>13204</v>
      </c>
      <c r="P2970" s="9" t="str">
        <f>VLOOKUP($O2970,'Liste des Villes'!$B$2:$B$1128,1,FALSE)</f>
        <v>Prévost</v>
      </c>
      <c r="Q2970" s="9" t="str">
        <f>IFERROR($P2970,PROPER(VLOOKUP($O2970,'Villes en erreur'!$A$2:$B$72,2,FALSE)))</f>
        <v>Prévost</v>
      </c>
      <c r="R2970" s="9" t="s">
        <v>1590</v>
      </c>
      <c r="S2970" s="9" t="str">
        <f>IF(ISBLANK($R2970),"",VLOOKUP($R2970,'Liste des Villes'!$B$2:$H$1128,4,FALSE))</f>
        <v>Laurentides</v>
      </c>
      <c r="T2970" s="2" t="s">
        <v>13424</v>
      </c>
      <c r="U2970" s="2" t="s">
        <v>39</v>
      </c>
      <c r="V2970" s="2" t="s">
        <v>40</v>
      </c>
      <c r="W2970" s="2" t="s">
        <v>13425</v>
      </c>
      <c r="X2970" s="2"/>
      <c r="Y2970" s="2"/>
      <c r="Z2970" s="2"/>
      <c r="AA2970" s="2" t="s">
        <v>160</v>
      </c>
      <c r="AB2970" s="2" t="s">
        <v>161</v>
      </c>
      <c r="AC2970" s="4" t="s">
        <v>44</v>
      </c>
    </row>
    <row r="2971" spans="1:29" x14ac:dyDescent="0.25">
      <c r="A2971" s="1">
        <v>3861</v>
      </c>
      <c r="B2971" s="17" t="s">
        <v>13426</v>
      </c>
      <c r="C2971" s="2" t="s">
        <v>13427</v>
      </c>
      <c r="D2971" s="15" t="s">
        <v>1977</v>
      </c>
      <c r="E2971" s="9" t="s">
        <v>4474</v>
      </c>
      <c r="F2971" s="9" t="s">
        <v>13428</v>
      </c>
      <c r="G2971" s="9" t="s">
        <v>1416</v>
      </c>
      <c r="H2971" s="2" t="s">
        <v>60</v>
      </c>
      <c r="I2971" s="3">
        <v>37003</v>
      </c>
      <c r="J2971" s="9" t="str">
        <f t="shared" ca="1" si="49"/>
        <v>22 ans</v>
      </c>
      <c r="K2971" s="2" t="s">
        <v>156</v>
      </c>
      <c r="L2971" s="2" t="str">
        <f>"1037"</f>
        <v>1037</v>
      </c>
      <c r="M2971" s="2"/>
      <c r="N2971" s="2" t="str">
        <f>"RUE DU GRANIT"</f>
        <v>RUE DU GRANIT</v>
      </c>
      <c r="O2971" s="2" t="s">
        <v>13204</v>
      </c>
      <c r="P2971" s="9" t="str">
        <f>VLOOKUP($O2971,'Liste des Villes'!$B$2:$B$1128,1,FALSE)</f>
        <v>Prévost</v>
      </c>
      <c r="Q2971" s="9" t="str">
        <f>IFERROR($P2971,PROPER(VLOOKUP($O2971,'Villes en erreur'!$A$2:$B$72,2,FALSE)))</f>
        <v>Prévost</v>
      </c>
      <c r="R2971" s="9" t="s">
        <v>1590</v>
      </c>
      <c r="S2971" s="9" t="str">
        <f>IF(ISBLANK($R2971),"",VLOOKUP($R2971,'Liste des Villes'!$B$2:$H$1128,4,FALSE))</f>
        <v>Laurentides</v>
      </c>
      <c r="T2971" s="2" t="s">
        <v>13389</v>
      </c>
      <c r="U2971" s="2" t="s">
        <v>39</v>
      </c>
      <c r="V2971" s="2" t="s">
        <v>40</v>
      </c>
      <c r="W2971" s="2" t="s">
        <v>13429</v>
      </c>
      <c r="X2971" s="2"/>
      <c r="Y2971" s="2"/>
      <c r="Z2971" s="2"/>
      <c r="AA2971" s="2" t="s">
        <v>375</v>
      </c>
      <c r="AB2971" s="2" t="s">
        <v>13208</v>
      </c>
      <c r="AC2971" s="4" t="s">
        <v>44</v>
      </c>
    </row>
    <row r="2972" spans="1:29" x14ac:dyDescent="0.25">
      <c r="A2972" s="1">
        <v>4025</v>
      </c>
      <c r="B2972" s="17" t="s">
        <v>13430</v>
      </c>
      <c r="C2972" s="2" t="s">
        <v>4283</v>
      </c>
      <c r="D2972" s="15" t="s">
        <v>875</v>
      </c>
      <c r="E2972" s="9" t="s">
        <v>3574</v>
      </c>
      <c r="F2972" s="9" t="s">
        <v>13431</v>
      </c>
      <c r="G2972" s="9" t="s">
        <v>4382</v>
      </c>
      <c r="H2972" s="2" t="s">
        <v>35</v>
      </c>
      <c r="I2972" s="3">
        <v>36959</v>
      </c>
      <c r="J2972" s="9" t="str">
        <f t="shared" ca="1" si="49"/>
        <v>22 ans</v>
      </c>
      <c r="K2972" s="2" t="s">
        <v>156</v>
      </c>
      <c r="L2972" s="2" t="str">
        <f>"1005"</f>
        <v>1005</v>
      </c>
      <c r="M2972" s="2"/>
      <c r="N2972" s="2" t="str">
        <f>"RUE DU CLAIR-DE-LUNE"</f>
        <v>RUE DU CLAIR-DE-LUNE</v>
      </c>
      <c r="O2972" s="2" t="s">
        <v>13204</v>
      </c>
      <c r="P2972" s="9" t="str">
        <f>VLOOKUP($O2972,'Liste des Villes'!$B$2:$B$1128,1,FALSE)</f>
        <v>Prévost</v>
      </c>
      <c r="Q2972" s="9" t="str">
        <f>IFERROR($P2972,PROPER(VLOOKUP($O2972,'Villes en erreur'!$A$2:$B$72,2,FALSE)))</f>
        <v>Prévost</v>
      </c>
      <c r="R2972" s="9" t="s">
        <v>1590</v>
      </c>
      <c r="S2972" s="9" t="str">
        <f>IF(ISBLANK($R2972),"",VLOOKUP($R2972,'Liste des Villes'!$B$2:$H$1128,4,FALSE))</f>
        <v>Laurentides</v>
      </c>
      <c r="T2972" s="2" t="s">
        <v>13432</v>
      </c>
      <c r="U2972" s="2" t="s">
        <v>39</v>
      </c>
      <c r="V2972" s="2" t="s">
        <v>40</v>
      </c>
      <c r="W2972" s="2" t="s">
        <v>13433</v>
      </c>
      <c r="X2972" s="2"/>
      <c r="Y2972" s="2"/>
      <c r="Z2972" s="2"/>
      <c r="AA2972" s="2" t="s">
        <v>160</v>
      </c>
      <c r="AB2972" s="2" t="s">
        <v>13208</v>
      </c>
      <c r="AC2972" s="4" t="s">
        <v>44</v>
      </c>
    </row>
    <row r="2973" spans="1:29" x14ac:dyDescent="0.25">
      <c r="A2973" s="1">
        <v>3952</v>
      </c>
      <c r="B2973" s="17" t="s">
        <v>13434</v>
      </c>
      <c r="C2973" s="2" t="s">
        <v>1648</v>
      </c>
      <c r="D2973" s="15" t="s">
        <v>1649</v>
      </c>
      <c r="E2973" s="9" t="s">
        <v>1650</v>
      </c>
      <c r="F2973" s="9" t="s">
        <v>8094</v>
      </c>
      <c r="G2973" s="9" t="s">
        <v>2198</v>
      </c>
      <c r="H2973" s="2" t="s">
        <v>35</v>
      </c>
      <c r="I2973" s="3">
        <v>36986</v>
      </c>
      <c r="J2973" s="9" t="str">
        <f t="shared" ca="1" si="49"/>
        <v>22 ans</v>
      </c>
      <c r="K2973" s="2" t="s">
        <v>156</v>
      </c>
      <c r="L2973" s="2" t="str">
        <f>"1022"</f>
        <v>1022</v>
      </c>
      <c r="M2973" s="2"/>
      <c r="N2973" s="2" t="str">
        <f>"RUE DU DIAMANT"</f>
        <v>RUE DU DIAMANT</v>
      </c>
      <c r="O2973" s="2" t="s">
        <v>13204</v>
      </c>
      <c r="P2973" s="9" t="str">
        <f>VLOOKUP($O2973,'Liste des Villes'!$B$2:$B$1128,1,FALSE)</f>
        <v>Prévost</v>
      </c>
      <c r="Q2973" s="9" t="str">
        <f>IFERROR($P2973,PROPER(VLOOKUP($O2973,'Villes en erreur'!$A$2:$B$72,2,FALSE)))</f>
        <v>Prévost</v>
      </c>
      <c r="R2973" s="9" t="s">
        <v>1590</v>
      </c>
      <c r="S2973" s="9" t="str">
        <f>IF(ISBLANK($R2973),"",VLOOKUP($R2973,'Liste des Villes'!$B$2:$H$1128,4,FALSE))</f>
        <v>Laurentides</v>
      </c>
      <c r="T2973" s="2" t="s">
        <v>13435</v>
      </c>
      <c r="U2973" s="2" t="s">
        <v>39</v>
      </c>
      <c r="V2973" s="2" t="s">
        <v>40</v>
      </c>
      <c r="W2973" s="2" t="s">
        <v>13436</v>
      </c>
      <c r="X2973" s="2"/>
      <c r="Y2973" s="2"/>
      <c r="Z2973" s="2"/>
      <c r="AA2973" s="2" t="s">
        <v>13207</v>
      </c>
      <c r="AB2973" s="2" t="s">
        <v>13208</v>
      </c>
      <c r="AC2973" s="4" t="s">
        <v>44</v>
      </c>
    </row>
    <row r="2974" spans="1:29" x14ac:dyDescent="0.25">
      <c r="A2974" s="1">
        <v>1670</v>
      </c>
      <c r="B2974" s="17" t="s">
        <v>13437</v>
      </c>
      <c r="C2974" s="2" t="s">
        <v>13438</v>
      </c>
      <c r="D2974" s="15" t="s">
        <v>13439</v>
      </c>
      <c r="E2974" s="9" t="s">
        <v>4670</v>
      </c>
      <c r="F2974" s="9" t="s">
        <v>1716</v>
      </c>
      <c r="G2974" s="9" t="s">
        <v>956</v>
      </c>
      <c r="H2974" s="2" t="s">
        <v>60</v>
      </c>
      <c r="I2974" s="3">
        <v>36950</v>
      </c>
      <c r="J2974" s="9" t="str">
        <f t="shared" ca="1" si="49"/>
        <v>22 ans</v>
      </c>
      <c r="K2974" s="2" t="s">
        <v>156</v>
      </c>
      <c r="L2974" s="2" t="str">
        <f>"986"</f>
        <v>986</v>
      </c>
      <c r="M2974" s="2"/>
      <c r="N2974" s="2" t="str">
        <f>"RUE DU BROCARD"</f>
        <v>RUE DU BROCARD</v>
      </c>
      <c r="O2974" s="2" t="s">
        <v>13204</v>
      </c>
      <c r="P2974" s="9" t="str">
        <f>VLOOKUP($O2974,'Liste des Villes'!$B$2:$B$1128,1,FALSE)</f>
        <v>Prévost</v>
      </c>
      <c r="Q2974" s="9" t="str">
        <f>IFERROR($P2974,PROPER(VLOOKUP($O2974,'Villes en erreur'!$A$2:$B$72,2,FALSE)))</f>
        <v>Prévost</v>
      </c>
      <c r="R2974" s="9" t="s">
        <v>1590</v>
      </c>
      <c r="S2974" s="9" t="str">
        <f>IF(ISBLANK($R2974),"",VLOOKUP($R2974,'Liste des Villes'!$B$2:$H$1128,4,FALSE))</f>
        <v>Laurentides</v>
      </c>
      <c r="T2974" s="2" t="s">
        <v>13440</v>
      </c>
      <c r="U2974" s="2" t="s">
        <v>39</v>
      </c>
      <c r="V2974" s="2" t="s">
        <v>40</v>
      </c>
      <c r="W2974" s="2" t="s">
        <v>13441</v>
      </c>
      <c r="X2974" s="2"/>
      <c r="Y2974" s="2"/>
      <c r="Z2974" s="2"/>
      <c r="AA2974" s="2" t="s">
        <v>160</v>
      </c>
      <c r="AB2974" s="2" t="s">
        <v>161</v>
      </c>
      <c r="AC2974" s="4" t="s">
        <v>44</v>
      </c>
    </row>
    <row r="2975" spans="1:29" x14ac:dyDescent="0.25">
      <c r="A2975" s="1">
        <v>2835</v>
      </c>
      <c r="B2975" s="17" t="s">
        <v>13442</v>
      </c>
      <c r="C2975" s="2" t="s">
        <v>13443</v>
      </c>
      <c r="D2975" s="15" t="s">
        <v>8785</v>
      </c>
      <c r="E2975" s="9" t="s">
        <v>2049</v>
      </c>
      <c r="F2975" s="9" t="s">
        <v>6173</v>
      </c>
      <c r="G2975" s="9" t="s">
        <v>253</v>
      </c>
      <c r="H2975" s="2" t="s">
        <v>35</v>
      </c>
      <c r="I2975" s="3">
        <v>36973</v>
      </c>
      <c r="J2975" s="9" t="str">
        <f t="shared" ca="1" si="49"/>
        <v>22 ans</v>
      </c>
      <c r="K2975" s="2" t="s">
        <v>156</v>
      </c>
      <c r="L2975" s="2" t="str">
        <f>"1011"</f>
        <v>1011</v>
      </c>
      <c r="M2975" s="2"/>
      <c r="N2975" s="2" t="str">
        <f>"RUE DU CLOS-DU-MEUNIER"</f>
        <v>RUE DU CLOS-DU-MEUNIER</v>
      </c>
      <c r="O2975" s="2" t="s">
        <v>13204</v>
      </c>
      <c r="P2975" s="9" t="str">
        <f>VLOOKUP($O2975,'Liste des Villes'!$B$2:$B$1128,1,FALSE)</f>
        <v>Prévost</v>
      </c>
      <c r="Q2975" s="9" t="str">
        <f>IFERROR($P2975,PROPER(VLOOKUP($O2975,'Villes en erreur'!$A$2:$B$72,2,FALSE)))</f>
        <v>Prévost</v>
      </c>
      <c r="R2975" s="9" t="s">
        <v>1590</v>
      </c>
      <c r="S2975" s="9" t="str">
        <f>IF(ISBLANK($R2975),"",VLOOKUP($R2975,'Liste des Villes'!$B$2:$H$1128,4,FALSE))</f>
        <v>Laurentides</v>
      </c>
      <c r="T2975" s="2" t="s">
        <v>13444</v>
      </c>
      <c r="U2975" s="2" t="s">
        <v>39</v>
      </c>
      <c r="V2975" s="2" t="s">
        <v>40</v>
      </c>
      <c r="W2975" s="2" t="s">
        <v>13445</v>
      </c>
      <c r="X2975" s="2"/>
      <c r="Y2975" s="2"/>
      <c r="Z2975" s="2"/>
      <c r="AA2975" s="2" t="s">
        <v>160</v>
      </c>
      <c r="AB2975" s="2" t="s">
        <v>13208</v>
      </c>
      <c r="AC2975" s="4" t="s">
        <v>44</v>
      </c>
    </row>
    <row r="2976" spans="1:29" x14ac:dyDescent="0.25">
      <c r="A2976" s="1">
        <v>2269</v>
      </c>
      <c r="B2976" s="17" t="s">
        <v>13446</v>
      </c>
      <c r="C2976" s="2" t="s">
        <v>13447</v>
      </c>
      <c r="D2976" s="15" t="s">
        <v>1175</v>
      </c>
      <c r="E2976" s="9" t="s">
        <v>13448</v>
      </c>
      <c r="F2976" s="9" t="s">
        <v>1489</v>
      </c>
      <c r="G2976" s="9" t="s">
        <v>956</v>
      </c>
      <c r="H2976" s="2" t="s">
        <v>60</v>
      </c>
      <c r="I2976" s="3">
        <v>36954</v>
      </c>
      <c r="J2976" s="9" t="str">
        <f t="shared" ca="1" si="49"/>
        <v>22 ans</v>
      </c>
      <c r="K2976" s="2" t="s">
        <v>156</v>
      </c>
      <c r="L2976" s="2" t="str">
        <f>"1000"</f>
        <v>1000</v>
      </c>
      <c r="M2976" s="2"/>
      <c r="N2976" s="2" t="str">
        <f>"RUE DU CERFEUIL"</f>
        <v>RUE DU CERFEUIL</v>
      </c>
      <c r="O2976" s="2" t="s">
        <v>13204</v>
      </c>
      <c r="P2976" s="9" t="str">
        <f>VLOOKUP($O2976,'Liste des Villes'!$B$2:$B$1128,1,FALSE)</f>
        <v>Prévost</v>
      </c>
      <c r="Q2976" s="9" t="str">
        <f>IFERROR($P2976,PROPER(VLOOKUP($O2976,'Villes en erreur'!$A$2:$B$72,2,FALSE)))</f>
        <v>Prévost</v>
      </c>
      <c r="R2976" s="9" t="s">
        <v>1590</v>
      </c>
      <c r="S2976" s="9" t="str">
        <f>IF(ISBLANK($R2976),"",VLOOKUP($R2976,'Liste des Villes'!$B$2:$H$1128,4,FALSE))</f>
        <v>Laurentides</v>
      </c>
      <c r="T2976" s="2" t="s">
        <v>13449</v>
      </c>
      <c r="U2976" s="2" t="s">
        <v>39</v>
      </c>
      <c r="V2976" s="2" t="s">
        <v>40</v>
      </c>
      <c r="W2976" s="2" t="s">
        <v>13450</v>
      </c>
      <c r="X2976" s="2"/>
      <c r="Y2976" s="2"/>
      <c r="Z2976" s="2"/>
      <c r="AA2976" s="2" t="s">
        <v>160</v>
      </c>
      <c r="AB2976" s="2" t="s">
        <v>13208</v>
      </c>
      <c r="AC2976" s="4" t="s">
        <v>44</v>
      </c>
    </row>
    <row r="2977" spans="1:29" x14ac:dyDescent="0.25">
      <c r="A2977" s="1">
        <v>907</v>
      </c>
      <c r="B2977" s="17" t="s">
        <v>13451</v>
      </c>
      <c r="C2977" s="2" t="s">
        <v>8361</v>
      </c>
      <c r="D2977" s="15" t="s">
        <v>2233</v>
      </c>
      <c r="E2977" s="9" t="s">
        <v>137</v>
      </c>
      <c r="F2977" s="9" t="s">
        <v>2232</v>
      </c>
      <c r="G2977" s="9" t="s">
        <v>253</v>
      </c>
      <c r="H2977" s="2" t="s">
        <v>35</v>
      </c>
      <c r="I2977" s="3">
        <v>36970</v>
      </c>
      <c r="J2977" s="9" t="str">
        <f t="shared" ca="1" si="49"/>
        <v>22 ans</v>
      </c>
      <c r="K2977" s="2" t="s">
        <v>156</v>
      </c>
      <c r="L2977" s="2" t="str">
        <f>"1010"</f>
        <v>1010</v>
      </c>
      <c r="M2977" s="2"/>
      <c r="N2977" s="2" t="str">
        <f>"RUE DU CLOS-DU-MARQUIS"</f>
        <v>RUE DU CLOS-DU-MARQUIS</v>
      </c>
      <c r="O2977" s="2" t="s">
        <v>13204</v>
      </c>
      <c r="P2977" s="9" t="str">
        <f>VLOOKUP($O2977,'Liste des Villes'!$B$2:$B$1128,1,FALSE)</f>
        <v>Prévost</v>
      </c>
      <c r="Q2977" s="9" t="str">
        <f>IFERROR($P2977,PROPER(VLOOKUP($O2977,'Villes en erreur'!$A$2:$B$72,2,FALSE)))</f>
        <v>Prévost</v>
      </c>
      <c r="R2977" s="9" t="s">
        <v>1590</v>
      </c>
      <c r="S2977" s="9" t="str">
        <f>IF(ISBLANK($R2977),"",VLOOKUP($R2977,'Liste des Villes'!$B$2:$H$1128,4,FALSE))</f>
        <v>Laurentides</v>
      </c>
      <c r="T2977" s="2" t="s">
        <v>13452</v>
      </c>
      <c r="U2977" s="2" t="s">
        <v>39</v>
      </c>
      <c r="V2977" s="2" t="s">
        <v>40</v>
      </c>
      <c r="W2977" s="2" t="s">
        <v>13453</v>
      </c>
      <c r="X2977" s="2"/>
      <c r="Y2977" s="2"/>
      <c r="Z2977" s="2"/>
      <c r="AA2977" s="2" t="s">
        <v>160</v>
      </c>
      <c r="AB2977" s="2" t="s">
        <v>13208</v>
      </c>
      <c r="AC2977" s="4" t="s">
        <v>44</v>
      </c>
    </row>
    <row r="2978" spans="1:29" x14ac:dyDescent="0.25">
      <c r="A2978" s="1">
        <v>1700</v>
      </c>
      <c r="B2978" s="17" t="s">
        <v>13454</v>
      </c>
      <c r="C2978" s="2" t="s">
        <v>13455</v>
      </c>
      <c r="D2978" s="15" t="s">
        <v>5026</v>
      </c>
      <c r="E2978" s="9" t="s">
        <v>7392</v>
      </c>
      <c r="F2978" s="9" t="s">
        <v>4050</v>
      </c>
      <c r="G2978" s="9" t="s">
        <v>1745</v>
      </c>
      <c r="H2978" s="2" t="s">
        <v>60</v>
      </c>
      <c r="I2978" s="3">
        <v>36979</v>
      </c>
      <c r="J2978" s="9" t="str">
        <f t="shared" ca="1" si="49"/>
        <v>22 ans</v>
      </c>
      <c r="K2978" s="2" t="s">
        <v>156</v>
      </c>
      <c r="L2978" s="2" t="str">
        <f>"1015"</f>
        <v>1015</v>
      </c>
      <c r="M2978" s="2"/>
      <c r="N2978" s="2" t="str">
        <f>"RUE DU CONTINENTAL"</f>
        <v>RUE DU CONTINENTAL</v>
      </c>
      <c r="O2978" s="2" t="s">
        <v>13204</v>
      </c>
      <c r="P2978" s="9" t="str">
        <f>VLOOKUP($O2978,'Liste des Villes'!$B$2:$B$1128,1,FALSE)</f>
        <v>Prévost</v>
      </c>
      <c r="Q2978" s="9" t="str">
        <f>IFERROR($P2978,PROPER(VLOOKUP($O2978,'Villes en erreur'!$A$2:$B$72,2,FALSE)))</f>
        <v>Prévost</v>
      </c>
      <c r="R2978" s="9" t="s">
        <v>1590</v>
      </c>
      <c r="S2978" s="9" t="str">
        <f>IF(ISBLANK($R2978),"",VLOOKUP($R2978,'Liste des Villes'!$B$2:$H$1128,4,FALSE))</f>
        <v>Laurentides</v>
      </c>
      <c r="T2978" s="2" t="s">
        <v>13456</v>
      </c>
      <c r="U2978" s="2" t="s">
        <v>39</v>
      </c>
      <c r="V2978" s="2" t="s">
        <v>40</v>
      </c>
      <c r="W2978" s="2" t="s">
        <v>13457</v>
      </c>
      <c r="X2978" s="2"/>
      <c r="Y2978" s="2"/>
      <c r="Z2978" s="2"/>
      <c r="AA2978" s="2" t="s">
        <v>13207</v>
      </c>
      <c r="AB2978" s="2" t="s">
        <v>13208</v>
      </c>
      <c r="AC2978" s="4" t="s">
        <v>44</v>
      </c>
    </row>
    <row r="2979" spans="1:29" x14ac:dyDescent="0.25">
      <c r="A2979" s="1">
        <v>1494</v>
      </c>
      <c r="B2979" s="17" t="s">
        <v>13458</v>
      </c>
      <c r="C2979" s="2" t="s">
        <v>13459</v>
      </c>
      <c r="D2979" s="15" t="s">
        <v>13460</v>
      </c>
      <c r="E2979" s="9" t="s">
        <v>1553</v>
      </c>
      <c r="F2979" s="9" t="s">
        <v>13461</v>
      </c>
      <c r="G2979" s="9" t="s">
        <v>956</v>
      </c>
      <c r="H2979" s="2" t="s">
        <v>60</v>
      </c>
      <c r="I2979" s="3">
        <v>36957</v>
      </c>
      <c r="J2979" s="9" t="str">
        <f t="shared" ca="1" si="49"/>
        <v>22 ans</v>
      </c>
      <c r="K2979" s="2" t="s">
        <v>156</v>
      </c>
      <c r="L2979" s="2" t="str">
        <f>"1002"</f>
        <v>1002</v>
      </c>
      <c r="M2979" s="2"/>
      <c r="N2979" s="2" t="str">
        <f>"RUE DU CHÂTELET"</f>
        <v>RUE DU CHÂTELET</v>
      </c>
      <c r="O2979" s="2" t="s">
        <v>13204</v>
      </c>
      <c r="P2979" s="9" t="str">
        <f>VLOOKUP($O2979,'Liste des Villes'!$B$2:$B$1128,1,FALSE)</f>
        <v>Prévost</v>
      </c>
      <c r="Q2979" s="9" t="str">
        <f>IFERROR($P2979,PROPER(VLOOKUP($O2979,'Villes en erreur'!$A$2:$B$72,2,FALSE)))</f>
        <v>Prévost</v>
      </c>
      <c r="R2979" s="9" t="s">
        <v>1590</v>
      </c>
      <c r="S2979" s="9" t="str">
        <f>IF(ISBLANK($R2979),"",VLOOKUP($R2979,'Liste des Villes'!$B$2:$H$1128,4,FALSE))</f>
        <v>Laurentides</v>
      </c>
      <c r="T2979" s="2" t="s">
        <v>13462</v>
      </c>
      <c r="U2979" s="2" t="s">
        <v>39</v>
      </c>
      <c r="V2979" s="2" t="s">
        <v>40</v>
      </c>
      <c r="W2979" s="2" t="s">
        <v>13463</v>
      </c>
      <c r="X2979" s="2"/>
      <c r="Y2979" s="2"/>
      <c r="Z2979" s="2"/>
      <c r="AA2979" s="2" t="s">
        <v>160</v>
      </c>
      <c r="AB2979" s="2" t="s">
        <v>13208</v>
      </c>
      <c r="AC2979" s="4" t="s">
        <v>44</v>
      </c>
    </row>
    <row r="2980" spans="1:29" x14ac:dyDescent="0.25">
      <c r="A2980" s="1">
        <v>2193</v>
      </c>
      <c r="B2980" s="17" t="s">
        <v>13464</v>
      </c>
      <c r="C2980" s="2" t="s">
        <v>13465</v>
      </c>
      <c r="D2980" s="15" t="s">
        <v>8296</v>
      </c>
      <c r="E2980" s="9" t="s">
        <v>13466</v>
      </c>
      <c r="F2980" s="9" t="s">
        <v>8295</v>
      </c>
      <c r="G2980" s="9" t="s">
        <v>253</v>
      </c>
      <c r="H2980" s="2" t="s">
        <v>35</v>
      </c>
      <c r="I2980" s="3">
        <v>36964</v>
      </c>
      <c r="J2980" s="9" t="str">
        <f t="shared" ca="1" si="49"/>
        <v>22 ans</v>
      </c>
      <c r="K2980" s="2" t="s">
        <v>156</v>
      </c>
      <c r="L2980" s="2" t="str">
        <f>"1006"</f>
        <v>1006</v>
      </c>
      <c r="M2980" s="2"/>
      <c r="N2980" s="2" t="str">
        <f>"RUE DU CLOS-DE-PAULILLES"</f>
        <v>RUE DU CLOS-DE-PAULILLES</v>
      </c>
      <c r="O2980" s="2" t="s">
        <v>13204</v>
      </c>
      <c r="P2980" s="9" t="str">
        <f>VLOOKUP($O2980,'Liste des Villes'!$B$2:$B$1128,1,FALSE)</f>
        <v>Prévost</v>
      </c>
      <c r="Q2980" s="9" t="str">
        <f>IFERROR($P2980,PROPER(VLOOKUP($O2980,'Villes en erreur'!$A$2:$B$72,2,FALSE)))</f>
        <v>Prévost</v>
      </c>
      <c r="R2980" s="9" t="s">
        <v>1590</v>
      </c>
      <c r="S2980" s="9" t="str">
        <f>IF(ISBLANK($R2980),"",VLOOKUP($R2980,'Liste des Villes'!$B$2:$H$1128,4,FALSE))</f>
        <v>Laurentides</v>
      </c>
      <c r="T2980" s="2" t="s">
        <v>13467</v>
      </c>
      <c r="U2980" s="2" t="s">
        <v>39</v>
      </c>
      <c r="V2980" s="2" t="s">
        <v>40</v>
      </c>
      <c r="W2980" s="2" t="s">
        <v>13468</v>
      </c>
      <c r="X2980" s="2"/>
      <c r="Y2980" s="2"/>
      <c r="Z2980" s="2"/>
      <c r="AA2980" s="2" t="s">
        <v>160</v>
      </c>
      <c r="AB2980" s="2" t="s">
        <v>13208</v>
      </c>
      <c r="AC2980" s="4" t="s">
        <v>44</v>
      </c>
    </row>
    <row r="2981" spans="1:29" x14ac:dyDescent="0.25">
      <c r="A2981" s="1">
        <v>4009</v>
      </c>
      <c r="B2981" s="17" t="s">
        <v>13469</v>
      </c>
      <c r="C2981" s="2" t="s">
        <v>13470</v>
      </c>
      <c r="D2981" s="15" t="s">
        <v>3869</v>
      </c>
      <c r="E2981" s="9" t="s">
        <v>4925</v>
      </c>
      <c r="F2981" s="9" t="s">
        <v>1716</v>
      </c>
      <c r="G2981" s="9" t="s">
        <v>13115</v>
      </c>
      <c r="H2981" s="2" t="s">
        <v>60</v>
      </c>
      <c r="I2981" s="3">
        <v>36977</v>
      </c>
      <c r="J2981" s="9" t="str">
        <f t="shared" ca="1" si="49"/>
        <v>22 ans</v>
      </c>
      <c r="K2981" s="2" t="s">
        <v>156</v>
      </c>
      <c r="L2981" s="2" t="str">
        <f>"1015"</f>
        <v>1015</v>
      </c>
      <c r="M2981" s="2"/>
      <c r="N2981" s="2" t="str">
        <f>"RUE DU CLOS-VOUGEOT"</f>
        <v>RUE DU CLOS-VOUGEOT</v>
      </c>
      <c r="O2981" s="2" t="s">
        <v>13204</v>
      </c>
      <c r="P2981" s="9" t="str">
        <f>VLOOKUP($O2981,'Liste des Villes'!$B$2:$B$1128,1,FALSE)</f>
        <v>Prévost</v>
      </c>
      <c r="Q2981" s="9" t="str">
        <f>IFERROR($P2981,PROPER(VLOOKUP($O2981,'Villes en erreur'!$A$2:$B$72,2,FALSE)))</f>
        <v>Prévost</v>
      </c>
      <c r="R2981" s="9" t="s">
        <v>1590</v>
      </c>
      <c r="S2981" s="9" t="str">
        <f>IF(ISBLANK($R2981),"",VLOOKUP($R2981,'Liste des Villes'!$B$2:$H$1128,4,FALSE))</f>
        <v>Laurentides</v>
      </c>
      <c r="T2981" s="2" t="s">
        <v>13471</v>
      </c>
      <c r="U2981" s="2" t="s">
        <v>39</v>
      </c>
      <c r="V2981" s="2" t="s">
        <v>40</v>
      </c>
      <c r="W2981" s="2" t="s">
        <v>13472</v>
      </c>
      <c r="X2981" s="2"/>
      <c r="Y2981" s="2"/>
      <c r="Z2981" s="2"/>
      <c r="AA2981" s="2" t="s">
        <v>160</v>
      </c>
      <c r="AB2981" s="2" t="s">
        <v>13208</v>
      </c>
      <c r="AC2981" s="4" t="s">
        <v>44</v>
      </c>
    </row>
    <row r="2982" spans="1:29" x14ac:dyDescent="0.25">
      <c r="A2982" s="1">
        <v>4500</v>
      </c>
      <c r="B2982" s="17" t="s">
        <v>13473</v>
      </c>
      <c r="C2982" s="2" t="s">
        <v>12008</v>
      </c>
      <c r="D2982" s="15" t="s">
        <v>2888</v>
      </c>
      <c r="E2982" s="9" t="s">
        <v>2114</v>
      </c>
      <c r="F2982" s="9" t="s">
        <v>2115</v>
      </c>
      <c r="G2982" s="9" t="s">
        <v>13474</v>
      </c>
      <c r="H2982" s="2" t="s">
        <v>35</v>
      </c>
      <c r="I2982" s="3">
        <v>36958</v>
      </c>
      <c r="J2982" s="9" t="str">
        <f t="shared" ca="1" si="49"/>
        <v>22 ans</v>
      </c>
      <c r="K2982" s="2" t="s">
        <v>156</v>
      </c>
      <c r="L2982" s="2" t="str">
        <f>"1005"</f>
        <v>1005</v>
      </c>
      <c r="M2982" s="2"/>
      <c r="N2982" s="2" t="str">
        <f>"RUE DU CHINOOK"</f>
        <v>RUE DU CHINOOK</v>
      </c>
      <c r="O2982" s="2" t="s">
        <v>13204</v>
      </c>
      <c r="P2982" s="9" t="str">
        <f>VLOOKUP($O2982,'Liste des Villes'!$B$2:$B$1128,1,FALSE)</f>
        <v>Prévost</v>
      </c>
      <c r="Q2982" s="9" t="str">
        <f>IFERROR($P2982,PROPER(VLOOKUP($O2982,'Villes en erreur'!$A$2:$B$72,2,FALSE)))</f>
        <v>Prévost</v>
      </c>
      <c r="R2982" s="9" t="s">
        <v>1590</v>
      </c>
      <c r="S2982" s="9" t="str">
        <f>IF(ISBLANK($R2982),"",VLOOKUP($R2982,'Liste des Villes'!$B$2:$H$1128,4,FALSE))</f>
        <v>Laurentides</v>
      </c>
      <c r="T2982" s="2" t="s">
        <v>13417</v>
      </c>
      <c r="U2982" s="2" t="s">
        <v>39</v>
      </c>
      <c r="V2982" s="2" t="s">
        <v>40</v>
      </c>
      <c r="W2982" s="2" t="s">
        <v>13475</v>
      </c>
      <c r="X2982" s="2"/>
      <c r="Y2982" s="2"/>
      <c r="Z2982" s="2"/>
      <c r="AA2982" s="2" t="s">
        <v>160</v>
      </c>
      <c r="AB2982" s="2" t="s">
        <v>13208</v>
      </c>
      <c r="AC2982" s="4" t="s">
        <v>44</v>
      </c>
    </row>
    <row r="2983" spans="1:29" x14ac:dyDescent="0.25">
      <c r="A2983" s="1">
        <v>1071</v>
      </c>
      <c r="B2983" s="17" t="s">
        <v>13476</v>
      </c>
      <c r="C2983" s="2" t="s">
        <v>1174</v>
      </c>
      <c r="D2983" s="15" t="s">
        <v>1175</v>
      </c>
      <c r="E2983" s="9" t="s">
        <v>1176</v>
      </c>
      <c r="F2983" s="9" t="s">
        <v>1489</v>
      </c>
      <c r="G2983" s="9" t="s">
        <v>1416</v>
      </c>
      <c r="H2983" s="2" t="s">
        <v>60</v>
      </c>
      <c r="I2983" s="3">
        <v>36999</v>
      </c>
      <c r="J2983" s="9" t="str">
        <f t="shared" ca="1" si="49"/>
        <v>22 ans</v>
      </c>
      <c r="K2983" s="2" t="s">
        <v>156</v>
      </c>
      <c r="L2983" s="2" t="str">
        <f>"1033"</f>
        <v>1033</v>
      </c>
      <c r="M2983" s="2"/>
      <c r="N2983" s="2" t="str">
        <f>"RUE DU GALET"</f>
        <v>RUE DU GALET</v>
      </c>
      <c r="O2983" s="2" t="s">
        <v>13204</v>
      </c>
      <c r="P2983" s="9" t="str">
        <f>VLOOKUP($O2983,'Liste des Villes'!$B$2:$B$1128,1,FALSE)</f>
        <v>Prévost</v>
      </c>
      <c r="Q2983" s="9" t="str">
        <f>IFERROR($P2983,PROPER(VLOOKUP($O2983,'Villes en erreur'!$A$2:$B$72,2,FALSE)))</f>
        <v>Prévost</v>
      </c>
      <c r="R2983" s="9" t="s">
        <v>1590</v>
      </c>
      <c r="S2983" s="9" t="str">
        <f>IF(ISBLANK($R2983),"",VLOOKUP($R2983,'Liste des Villes'!$B$2:$H$1128,4,FALSE))</f>
        <v>Laurentides</v>
      </c>
      <c r="T2983" s="2" t="s">
        <v>13477</v>
      </c>
      <c r="U2983" s="2" t="s">
        <v>39</v>
      </c>
      <c r="V2983" s="2" t="s">
        <v>40</v>
      </c>
      <c r="W2983" s="2" t="s">
        <v>13478</v>
      </c>
      <c r="X2983" s="2"/>
      <c r="Y2983" s="2"/>
      <c r="Z2983" s="2"/>
      <c r="AA2983" s="2" t="s">
        <v>13207</v>
      </c>
      <c r="AB2983" s="2" t="s">
        <v>13208</v>
      </c>
      <c r="AC2983" s="4" t="s">
        <v>44</v>
      </c>
    </row>
    <row r="2984" spans="1:29" x14ac:dyDescent="0.25">
      <c r="A2984" s="1">
        <v>514</v>
      </c>
      <c r="B2984" s="17" t="s">
        <v>13479</v>
      </c>
      <c r="C2984" s="2" t="s">
        <v>13480</v>
      </c>
      <c r="D2984" s="15" t="s">
        <v>5563</v>
      </c>
      <c r="E2984" s="9" t="s">
        <v>13481</v>
      </c>
      <c r="F2984" s="9" t="s">
        <v>460</v>
      </c>
      <c r="G2984" s="9" t="s">
        <v>3126</v>
      </c>
      <c r="H2984" s="2" t="s">
        <v>60</v>
      </c>
      <c r="I2984" s="3">
        <v>36940</v>
      </c>
      <c r="J2984" s="9" t="str">
        <f t="shared" ca="1" si="49"/>
        <v>22 ans</v>
      </c>
      <c r="K2984" s="2" t="s">
        <v>156</v>
      </c>
      <c r="L2984" s="2" t="str">
        <f>"973"</f>
        <v>973</v>
      </c>
      <c r="M2984" s="2"/>
      <c r="N2984" s="2" t="str">
        <f>"RUE DU BOISÉ"</f>
        <v>RUE DU BOISÉ</v>
      </c>
      <c r="O2984" s="2" t="s">
        <v>13204</v>
      </c>
      <c r="P2984" s="9" t="str">
        <f>VLOOKUP($O2984,'Liste des Villes'!$B$2:$B$1128,1,FALSE)</f>
        <v>Prévost</v>
      </c>
      <c r="Q2984" s="9" t="str">
        <f>IFERROR($P2984,PROPER(VLOOKUP($O2984,'Villes en erreur'!$A$2:$B$72,2,FALSE)))</f>
        <v>Prévost</v>
      </c>
      <c r="R2984" s="9" t="s">
        <v>1590</v>
      </c>
      <c r="S2984" s="9" t="str">
        <f>IF(ISBLANK($R2984),"",VLOOKUP($R2984,'Liste des Villes'!$B$2:$H$1128,4,FALSE))</f>
        <v>Laurentides</v>
      </c>
      <c r="T2984" s="2" t="s">
        <v>13482</v>
      </c>
      <c r="U2984" s="2" t="s">
        <v>39</v>
      </c>
      <c r="V2984" s="2" t="s">
        <v>40</v>
      </c>
      <c r="W2984" s="2" t="s">
        <v>13483</v>
      </c>
      <c r="X2984" s="2"/>
      <c r="Y2984" s="2"/>
      <c r="Z2984" s="2"/>
      <c r="AA2984" s="2" t="s">
        <v>160</v>
      </c>
      <c r="AB2984" s="2" t="s">
        <v>161</v>
      </c>
      <c r="AC2984" s="4" t="s">
        <v>44</v>
      </c>
    </row>
    <row r="2985" spans="1:29" x14ac:dyDescent="0.25">
      <c r="A2985" s="1">
        <v>2926</v>
      </c>
      <c r="B2985" s="17" t="s">
        <v>13484</v>
      </c>
      <c r="C2985" s="2" t="s">
        <v>13485</v>
      </c>
      <c r="D2985" s="15" t="s">
        <v>8191</v>
      </c>
      <c r="E2985" s="9" t="s">
        <v>6901</v>
      </c>
      <c r="F2985" s="9" t="s">
        <v>8189</v>
      </c>
      <c r="G2985" s="9" t="s">
        <v>253</v>
      </c>
      <c r="H2985" s="2" t="s">
        <v>35</v>
      </c>
      <c r="I2985" s="3">
        <v>36971</v>
      </c>
      <c r="J2985" s="9" t="str">
        <f t="shared" ca="1" si="49"/>
        <v>22 ans</v>
      </c>
      <c r="K2985" s="2" t="s">
        <v>156</v>
      </c>
      <c r="L2985" s="2" t="str">
        <f>"1010"</f>
        <v>1010</v>
      </c>
      <c r="M2985" s="2"/>
      <c r="N2985" s="2" t="str">
        <f>"RUE DU CLOS-DU-MARQUIS"</f>
        <v>RUE DU CLOS-DU-MARQUIS</v>
      </c>
      <c r="O2985" s="2" t="s">
        <v>13204</v>
      </c>
      <c r="P2985" s="9" t="str">
        <f>VLOOKUP($O2985,'Liste des Villes'!$B$2:$B$1128,1,FALSE)</f>
        <v>Prévost</v>
      </c>
      <c r="Q2985" s="9" t="str">
        <f>IFERROR($P2985,PROPER(VLOOKUP($O2985,'Villes en erreur'!$A$2:$B$72,2,FALSE)))</f>
        <v>Prévost</v>
      </c>
      <c r="R2985" s="9" t="s">
        <v>1590</v>
      </c>
      <c r="S2985" s="9" t="str">
        <f>IF(ISBLANK($R2985),"",VLOOKUP($R2985,'Liste des Villes'!$B$2:$H$1128,4,FALSE))</f>
        <v>Laurentides</v>
      </c>
      <c r="T2985" s="2" t="s">
        <v>13452</v>
      </c>
      <c r="U2985" s="2" t="s">
        <v>39</v>
      </c>
      <c r="V2985" s="2" t="s">
        <v>40</v>
      </c>
      <c r="W2985" s="2" t="s">
        <v>13486</v>
      </c>
      <c r="X2985" s="2"/>
      <c r="Y2985" s="2"/>
      <c r="Z2985" s="2"/>
      <c r="AA2985" s="2" t="s">
        <v>160</v>
      </c>
      <c r="AB2985" s="2" t="s">
        <v>13208</v>
      </c>
      <c r="AC2985" s="4" t="s">
        <v>44</v>
      </c>
    </row>
    <row r="2986" spans="1:29" x14ac:dyDescent="0.25">
      <c r="A2986" s="1">
        <v>2996</v>
      </c>
      <c r="B2986" s="17" t="s">
        <v>13487</v>
      </c>
      <c r="C2986" s="2" t="s">
        <v>13488</v>
      </c>
      <c r="D2986" s="15" t="s">
        <v>13489</v>
      </c>
      <c r="E2986" s="9" t="s">
        <v>397</v>
      </c>
      <c r="F2986" s="9" t="s">
        <v>3341</v>
      </c>
      <c r="G2986" s="9" t="s">
        <v>3126</v>
      </c>
      <c r="H2986" s="2" t="s">
        <v>60</v>
      </c>
      <c r="I2986" s="3">
        <v>36942</v>
      </c>
      <c r="J2986" s="9" t="str">
        <f t="shared" ca="1" si="49"/>
        <v>22 ans</v>
      </c>
      <c r="K2986" s="2" t="s">
        <v>156</v>
      </c>
      <c r="L2986" s="2" t="str">
        <f>"974"</f>
        <v>974</v>
      </c>
      <c r="M2986" s="2"/>
      <c r="N2986" s="2" t="str">
        <f>"RUE DU BOISÉ"</f>
        <v>RUE DU BOISÉ</v>
      </c>
      <c r="O2986" s="2" t="s">
        <v>13204</v>
      </c>
      <c r="P2986" s="9" t="str">
        <f>VLOOKUP($O2986,'Liste des Villes'!$B$2:$B$1128,1,FALSE)</f>
        <v>Prévost</v>
      </c>
      <c r="Q2986" s="9" t="str">
        <f>IFERROR($P2986,PROPER(VLOOKUP($O2986,'Villes en erreur'!$A$2:$B$72,2,FALSE)))</f>
        <v>Prévost</v>
      </c>
      <c r="R2986" s="9" t="s">
        <v>1590</v>
      </c>
      <c r="S2986" s="9" t="str">
        <f>IF(ISBLANK($R2986),"",VLOOKUP($R2986,'Liste des Villes'!$B$2:$H$1128,4,FALSE))</f>
        <v>Laurentides</v>
      </c>
      <c r="T2986" s="2" t="s">
        <v>13490</v>
      </c>
      <c r="U2986" s="2" t="s">
        <v>39</v>
      </c>
      <c r="V2986" s="2" t="s">
        <v>40</v>
      </c>
      <c r="W2986" s="2" t="s">
        <v>13491</v>
      </c>
      <c r="X2986" s="2"/>
      <c r="Y2986" s="2"/>
      <c r="Z2986" s="2"/>
      <c r="AA2986" s="2" t="s">
        <v>160</v>
      </c>
      <c r="AB2986" s="2" t="s">
        <v>161</v>
      </c>
      <c r="AC2986" s="4" t="s">
        <v>44</v>
      </c>
    </row>
    <row r="2987" spans="1:29" x14ac:dyDescent="0.25">
      <c r="A2987" s="1">
        <v>3138</v>
      </c>
      <c r="B2987" s="17" t="s">
        <v>13492</v>
      </c>
      <c r="C2987" s="2" t="s">
        <v>13493</v>
      </c>
      <c r="D2987" s="15" t="s">
        <v>13494</v>
      </c>
      <c r="E2987" s="9" t="s">
        <v>277</v>
      </c>
      <c r="F2987" s="9" t="s">
        <v>1951</v>
      </c>
      <c r="G2987" s="9" t="s">
        <v>253</v>
      </c>
      <c r="H2987" s="2" t="s">
        <v>35</v>
      </c>
      <c r="I2987" s="3">
        <v>36970</v>
      </c>
      <c r="J2987" s="9" t="str">
        <f t="shared" ca="1" si="49"/>
        <v>22 ans</v>
      </c>
      <c r="K2987" s="2" t="s">
        <v>156</v>
      </c>
      <c r="L2987" s="2" t="str">
        <f>"1010"</f>
        <v>1010</v>
      </c>
      <c r="M2987" s="2"/>
      <c r="N2987" s="2" t="str">
        <f>"RUE DU CLOS-DU-MARQUIS"</f>
        <v>RUE DU CLOS-DU-MARQUIS</v>
      </c>
      <c r="O2987" s="2" t="s">
        <v>13204</v>
      </c>
      <c r="P2987" s="9" t="str">
        <f>VLOOKUP($O2987,'Liste des Villes'!$B$2:$B$1128,1,FALSE)</f>
        <v>Prévost</v>
      </c>
      <c r="Q2987" s="9" t="str">
        <f>IFERROR($P2987,PROPER(VLOOKUP($O2987,'Villes en erreur'!$A$2:$B$72,2,FALSE)))</f>
        <v>Prévost</v>
      </c>
      <c r="R2987" s="9" t="s">
        <v>1590</v>
      </c>
      <c r="S2987" s="9" t="str">
        <f>IF(ISBLANK($R2987),"",VLOOKUP($R2987,'Liste des Villes'!$B$2:$H$1128,4,FALSE))</f>
        <v>Laurentides</v>
      </c>
      <c r="T2987" s="2" t="s">
        <v>13452</v>
      </c>
      <c r="U2987" s="2" t="s">
        <v>39</v>
      </c>
      <c r="V2987" s="2" t="s">
        <v>40</v>
      </c>
      <c r="W2987" s="2" t="s">
        <v>13495</v>
      </c>
      <c r="X2987" s="2"/>
      <c r="Y2987" s="2"/>
      <c r="Z2987" s="2"/>
      <c r="AA2987" s="2" t="s">
        <v>160</v>
      </c>
      <c r="AB2987" s="2" t="s">
        <v>13208</v>
      </c>
      <c r="AC2987" s="4" t="s">
        <v>44</v>
      </c>
    </row>
    <row r="2988" spans="1:29" x14ac:dyDescent="0.25">
      <c r="A2988" s="1">
        <v>3571</v>
      </c>
      <c r="B2988" s="17" t="s">
        <v>13496</v>
      </c>
      <c r="C2988" s="2" t="s">
        <v>8693</v>
      </c>
      <c r="D2988" s="15" t="s">
        <v>8694</v>
      </c>
      <c r="E2988" s="9" t="s">
        <v>5476</v>
      </c>
      <c r="F2988" s="9" t="s">
        <v>31</v>
      </c>
      <c r="G2988" s="9" t="s">
        <v>2049</v>
      </c>
      <c r="H2988" s="2" t="s">
        <v>35</v>
      </c>
      <c r="I2988" s="3">
        <v>37009</v>
      </c>
      <c r="J2988" s="9" t="str">
        <f t="shared" ca="1" si="49"/>
        <v>22 ans</v>
      </c>
      <c r="K2988" s="2" t="s">
        <v>156</v>
      </c>
      <c r="L2988" s="2" t="str">
        <f>"1042"</f>
        <v>1042</v>
      </c>
      <c r="M2988" s="2"/>
      <c r="N2988" s="2" t="str">
        <f>"RUE DU HAVRE"</f>
        <v>RUE DU HAVRE</v>
      </c>
      <c r="O2988" s="2" t="s">
        <v>13204</v>
      </c>
      <c r="P2988" s="9" t="str">
        <f>VLOOKUP($O2988,'Liste des Villes'!$B$2:$B$1128,1,FALSE)</f>
        <v>Prévost</v>
      </c>
      <c r="Q2988" s="9" t="str">
        <f>IFERROR($P2988,PROPER(VLOOKUP($O2988,'Villes en erreur'!$A$2:$B$72,2,FALSE)))</f>
        <v>Prévost</v>
      </c>
      <c r="R2988" s="9" t="s">
        <v>1590</v>
      </c>
      <c r="S2988" s="9" t="str">
        <f>IF(ISBLANK($R2988),"",VLOOKUP($R2988,'Liste des Villes'!$B$2:$H$1128,4,FALSE))</f>
        <v>Laurentides</v>
      </c>
      <c r="T2988" s="2" t="s">
        <v>13334</v>
      </c>
      <c r="U2988" s="2" t="s">
        <v>39</v>
      </c>
      <c r="V2988" s="2" t="s">
        <v>40</v>
      </c>
      <c r="W2988" s="2" t="s">
        <v>13497</v>
      </c>
      <c r="X2988" s="2"/>
      <c r="Y2988" s="2"/>
      <c r="Z2988" s="2"/>
      <c r="AA2988" s="2" t="s">
        <v>375</v>
      </c>
      <c r="AB2988" s="2" t="s">
        <v>13208</v>
      </c>
      <c r="AC2988" s="4" t="s">
        <v>44</v>
      </c>
    </row>
    <row r="2989" spans="1:29" x14ac:dyDescent="0.25">
      <c r="A2989" s="1">
        <v>2863</v>
      </c>
      <c r="B2989" s="17" t="s">
        <v>13498</v>
      </c>
      <c r="C2989" s="2" t="s">
        <v>13499</v>
      </c>
      <c r="D2989" s="15" t="s">
        <v>13500</v>
      </c>
      <c r="E2989" s="9" t="s">
        <v>2381</v>
      </c>
      <c r="F2989" s="9" t="s">
        <v>13501</v>
      </c>
      <c r="G2989" s="9" t="s">
        <v>253</v>
      </c>
      <c r="H2989" s="2" t="s">
        <v>35</v>
      </c>
      <c r="I2989" s="3">
        <v>36969</v>
      </c>
      <c r="J2989" s="9" t="str">
        <f t="shared" ca="1" si="49"/>
        <v>22 ans</v>
      </c>
      <c r="K2989" s="2" t="s">
        <v>156</v>
      </c>
      <c r="L2989" s="2" t="str">
        <f>"1009"</f>
        <v>1009</v>
      </c>
      <c r="M2989" s="2"/>
      <c r="N2989" s="2" t="str">
        <f>"RUE DU CLOS-DU-MARQUIS"</f>
        <v>RUE DU CLOS-DU-MARQUIS</v>
      </c>
      <c r="O2989" s="2" t="s">
        <v>13204</v>
      </c>
      <c r="P2989" s="9" t="str">
        <f>VLOOKUP($O2989,'Liste des Villes'!$B$2:$B$1128,1,FALSE)</f>
        <v>Prévost</v>
      </c>
      <c r="Q2989" s="9" t="str">
        <f>IFERROR($P2989,PROPER(VLOOKUP($O2989,'Villes en erreur'!$A$2:$B$72,2,FALSE)))</f>
        <v>Prévost</v>
      </c>
      <c r="R2989" s="9" t="s">
        <v>1590</v>
      </c>
      <c r="S2989" s="9" t="str">
        <f>IF(ISBLANK($R2989),"",VLOOKUP($R2989,'Liste des Villes'!$B$2:$H$1128,4,FALSE))</f>
        <v>Laurentides</v>
      </c>
      <c r="T2989" s="2" t="s">
        <v>13452</v>
      </c>
      <c r="U2989" s="2" t="s">
        <v>39</v>
      </c>
      <c r="V2989" s="2" t="s">
        <v>40</v>
      </c>
      <c r="W2989" s="2" t="s">
        <v>13502</v>
      </c>
      <c r="X2989" s="2"/>
      <c r="Y2989" s="2"/>
      <c r="Z2989" s="2"/>
      <c r="AA2989" s="2" t="s">
        <v>160</v>
      </c>
      <c r="AB2989" s="2" t="s">
        <v>13208</v>
      </c>
      <c r="AC2989" s="4" t="s">
        <v>44</v>
      </c>
    </row>
    <row r="2990" spans="1:29" x14ac:dyDescent="0.25">
      <c r="A2990" s="1">
        <v>665</v>
      </c>
      <c r="B2990" s="17" t="s">
        <v>13503</v>
      </c>
      <c r="C2990" s="2" t="s">
        <v>1949</v>
      </c>
      <c r="D2990" s="15" t="s">
        <v>1950</v>
      </c>
      <c r="E2990" s="9" t="s">
        <v>277</v>
      </c>
      <c r="F2990" s="9" t="s">
        <v>1951</v>
      </c>
      <c r="G2990" s="9" t="s">
        <v>1416</v>
      </c>
      <c r="H2990" s="2" t="s">
        <v>60</v>
      </c>
      <c r="I2990" s="3">
        <v>37000</v>
      </c>
      <c r="J2990" s="9" t="str">
        <f t="shared" ca="1" si="49"/>
        <v>22 ans</v>
      </c>
      <c r="K2990" s="2" t="s">
        <v>156</v>
      </c>
      <c r="L2990" s="2" t="str">
        <f>"1034"</f>
        <v>1034</v>
      </c>
      <c r="M2990" s="2"/>
      <c r="N2990" s="2" t="str">
        <f>"RUE DU GEAI-BLEU"</f>
        <v>RUE DU GEAI-BLEU</v>
      </c>
      <c r="O2990" s="2" t="s">
        <v>13204</v>
      </c>
      <c r="P2990" s="9" t="str">
        <f>VLOOKUP($O2990,'Liste des Villes'!$B$2:$B$1128,1,FALSE)</f>
        <v>Prévost</v>
      </c>
      <c r="Q2990" s="9" t="str">
        <f>IFERROR($P2990,PROPER(VLOOKUP($O2990,'Villes en erreur'!$A$2:$B$72,2,FALSE)))</f>
        <v>Prévost</v>
      </c>
      <c r="R2990" s="9" t="s">
        <v>1590</v>
      </c>
      <c r="S2990" s="9" t="str">
        <f>IF(ISBLANK($R2990),"",VLOOKUP($R2990,'Liste des Villes'!$B$2:$H$1128,4,FALSE))</f>
        <v>Laurentides</v>
      </c>
      <c r="T2990" s="2" t="s">
        <v>13504</v>
      </c>
      <c r="U2990" s="2" t="s">
        <v>39</v>
      </c>
      <c r="V2990" s="2" t="s">
        <v>40</v>
      </c>
      <c r="W2990" s="2" t="s">
        <v>13505</v>
      </c>
      <c r="X2990" s="2"/>
      <c r="Y2990" s="2"/>
      <c r="Z2990" s="2"/>
      <c r="AA2990" s="2" t="s">
        <v>13207</v>
      </c>
      <c r="AB2990" s="2" t="s">
        <v>13208</v>
      </c>
      <c r="AC2990" s="4" t="s">
        <v>44</v>
      </c>
    </row>
    <row r="2991" spans="1:29" x14ac:dyDescent="0.25">
      <c r="A2991" s="1">
        <v>3319</v>
      </c>
      <c r="B2991" s="17" t="s">
        <v>13506</v>
      </c>
      <c r="C2991" s="2" t="s">
        <v>3290</v>
      </c>
      <c r="D2991" s="15" t="s">
        <v>312</v>
      </c>
      <c r="E2991" s="9" t="s">
        <v>122</v>
      </c>
      <c r="F2991" s="9" t="s">
        <v>835</v>
      </c>
      <c r="G2991" s="9" t="s">
        <v>5763</v>
      </c>
      <c r="H2991" s="2" t="s">
        <v>35</v>
      </c>
      <c r="I2991" s="3">
        <v>36981</v>
      </c>
      <c r="J2991" s="9" t="str">
        <f t="shared" ca="1" si="49"/>
        <v>22 ans</v>
      </c>
      <c r="K2991" s="2" t="s">
        <v>156</v>
      </c>
      <c r="L2991" s="2" t="str">
        <f>"1019"</f>
        <v>1019</v>
      </c>
      <c r="M2991" s="2"/>
      <c r="N2991" s="2" t="str">
        <f>"RUE DU CROISSANT"</f>
        <v>RUE DU CROISSANT</v>
      </c>
      <c r="O2991" s="2" t="s">
        <v>13204</v>
      </c>
      <c r="P2991" s="9" t="str">
        <f>VLOOKUP($O2991,'Liste des Villes'!$B$2:$B$1128,1,FALSE)</f>
        <v>Prévost</v>
      </c>
      <c r="Q2991" s="9" t="str">
        <f>IFERROR($P2991,PROPER(VLOOKUP($O2991,'Villes en erreur'!$A$2:$B$72,2,FALSE)))</f>
        <v>Prévost</v>
      </c>
      <c r="R2991" s="9" t="s">
        <v>1590</v>
      </c>
      <c r="S2991" s="9" t="str">
        <f>IF(ISBLANK($R2991),"",VLOOKUP($R2991,'Liste des Villes'!$B$2:$H$1128,4,FALSE))</f>
        <v>Laurentides</v>
      </c>
      <c r="T2991" s="2" t="s">
        <v>13507</v>
      </c>
      <c r="U2991" s="2" t="s">
        <v>39</v>
      </c>
      <c r="V2991" s="2" t="s">
        <v>40</v>
      </c>
      <c r="W2991" s="2" t="s">
        <v>13508</v>
      </c>
      <c r="X2991" s="2"/>
      <c r="Y2991" s="2"/>
      <c r="Z2991" s="2"/>
      <c r="AA2991" s="2" t="s">
        <v>13207</v>
      </c>
      <c r="AB2991" s="2" t="s">
        <v>13208</v>
      </c>
      <c r="AC2991" s="4" t="s">
        <v>44</v>
      </c>
    </row>
    <row r="2992" spans="1:29" x14ac:dyDescent="0.25">
      <c r="A2992" s="1">
        <v>1820</v>
      </c>
      <c r="B2992" s="17" t="s">
        <v>13509</v>
      </c>
      <c r="C2992" s="2" t="s">
        <v>13510</v>
      </c>
      <c r="D2992" s="15" t="s">
        <v>13511</v>
      </c>
      <c r="E2992" s="9" t="s">
        <v>7623</v>
      </c>
      <c r="F2992" s="9" t="s">
        <v>2755</v>
      </c>
      <c r="G2992" s="9" t="s">
        <v>2198</v>
      </c>
      <c r="H2992" s="2" t="s">
        <v>35</v>
      </c>
      <c r="I2992" s="3">
        <v>36986</v>
      </c>
      <c r="J2992" s="9" t="str">
        <f t="shared" ca="1" si="49"/>
        <v>22 ans</v>
      </c>
      <c r="K2992" s="2" t="s">
        <v>156</v>
      </c>
      <c r="L2992" s="2" t="str">
        <f>"1022"</f>
        <v>1022</v>
      </c>
      <c r="M2992" s="2"/>
      <c r="N2992" s="2" t="str">
        <f>"RUE DU DIAMANT"</f>
        <v>RUE DU DIAMANT</v>
      </c>
      <c r="O2992" s="2" t="s">
        <v>13204</v>
      </c>
      <c r="P2992" s="9" t="str">
        <f>VLOOKUP($O2992,'Liste des Villes'!$B$2:$B$1128,1,FALSE)</f>
        <v>Prévost</v>
      </c>
      <c r="Q2992" s="9" t="str">
        <f>IFERROR($P2992,PROPER(VLOOKUP($O2992,'Villes en erreur'!$A$2:$B$72,2,FALSE)))</f>
        <v>Prévost</v>
      </c>
      <c r="R2992" s="9" t="s">
        <v>1590</v>
      </c>
      <c r="S2992" s="9" t="str">
        <f>IF(ISBLANK($R2992),"",VLOOKUP($R2992,'Liste des Villes'!$B$2:$H$1128,4,FALSE))</f>
        <v>Laurentides</v>
      </c>
      <c r="T2992" s="2" t="s">
        <v>13246</v>
      </c>
      <c r="U2992" s="2" t="s">
        <v>39</v>
      </c>
      <c r="V2992" s="2" t="s">
        <v>40</v>
      </c>
      <c r="W2992" s="2" t="s">
        <v>13512</v>
      </c>
      <c r="X2992" s="2"/>
      <c r="Y2992" s="2"/>
      <c r="Z2992" s="2"/>
      <c r="AA2992" s="2" t="s">
        <v>13207</v>
      </c>
      <c r="AB2992" s="2" t="s">
        <v>13208</v>
      </c>
      <c r="AC2992" s="4" t="s">
        <v>44</v>
      </c>
    </row>
    <row r="2993" spans="1:29" x14ac:dyDescent="0.25">
      <c r="A2993" s="1">
        <v>1995</v>
      </c>
      <c r="B2993" s="17" t="s">
        <v>13513</v>
      </c>
      <c r="C2993" s="2" t="s">
        <v>13514</v>
      </c>
      <c r="D2993" s="15" t="s">
        <v>8189</v>
      </c>
      <c r="E2993" s="9" t="s">
        <v>13515</v>
      </c>
      <c r="F2993" s="9" t="s">
        <v>13516</v>
      </c>
      <c r="G2993" s="9" t="s">
        <v>2049</v>
      </c>
      <c r="H2993" s="2" t="s">
        <v>35</v>
      </c>
      <c r="I2993" s="3">
        <v>37014</v>
      </c>
      <c r="J2993" s="9" t="str">
        <f t="shared" ca="1" si="49"/>
        <v>22 ans</v>
      </c>
      <c r="K2993" s="2" t="s">
        <v>156</v>
      </c>
      <c r="L2993" s="2" t="str">
        <f>"1046"</f>
        <v>1046</v>
      </c>
      <c r="M2993" s="2"/>
      <c r="N2993" s="2" t="str">
        <f>"RUE DU LAC-LÉGARÉ"</f>
        <v>RUE DU LAC-LÉGARÉ</v>
      </c>
      <c r="O2993" s="2" t="s">
        <v>13204</v>
      </c>
      <c r="P2993" s="9" t="str">
        <f>VLOOKUP($O2993,'Liste des Villes'!$B$2:$B$1128,1,FALSE)</f>
        <v>Prévost</v>
      </c>
      <c r="Q2993" s="9" t="str">
        <f>IFERROR($P2993,PROPER(VLOOKUP($O2993,'Villes en erreur'!$A$2:$B$72,2,FALSE)))</f>
        <v>Prévost</v>
      </c>
      <c r="R2993" s="9" t="s">
        <v>1590</v>
      </c>
      <c r="S2993" s="9" t="str">
        <f>IF(ISBLANK($R2993),"",VLOOKUP($R2993,'Liste des Villes'!$B$2:$H$1128,4,FALSE))</f>
        <v>Laurentides</v>
      </c>
      <c r="T2993" s="2" t="s">
        <v>13394</v>
      </c>
      <c r="U2993" s="2" t="s">
        <v>39</v>
      </c>
      <c r="V2993" s="2" t="s">
        <v>40</v>
      </c>
      <c r="W2993" s="2" t="s">
        <v>13517</v>
      </c>
      <c r="X2993" s="2"/>
      <c r="Y2993" s="2"/>
      <c r="Z2993" s="2"/>
      <c r="AA2993" s="2" t="s">
        <v>375</v>
      </c>
      <c r="AB2993" s="2" t="s">
        <v>13208</v>
      </c>
      <c r="AC2993" s="4" t="s">
        <v>44</v>
      </c>
    </row>
    <row r="2994" spans="1:29" x14ac:dyDescent="0.25">
      <c r="A2994" s="1">
        <v>2275</v>
      </c>
      <c r="B2994" s="17" t="s">
        <v>13518</v>
      </c>
      <c r="C2994" s="2" t="s">
        <v>717</v>
      </c>
      <c r="D2994" s="15" t="s">
        <v>718</v>
      </c>
      <c r="E2994" s="9" t="s">
        <v>487</v>
      </c>
      <c r="F2994" s="9" t="s">
        <v>719</v>
      </c>
      <c r="G2994" s="9" t="s">
        <v>12466</v>
      </c>
      <c r="H2994" s="2" t="s">
        <v>35</v>
      </c>
      <c r="I2994" s="3">
        <v>37020</v>
      </c>
      <c r="J2994" s="9" t="str">
        <f t="shared" ca="1" si="49"/>
        <v>22 ans</v>
      </c>
      <c r="K2994" s="2" t="s">
        <v>156</v>
      </c>
      <c r="L2994" s="2" t="str">
        <f>"1051"</f>
        <v>1051</v>
      </c>
      <c r="M2994" s="2"/>
      <c r="N2994" s="2" t="str">
        <f>"RUE DU MAÇON"</f>
        <v>RUE DU MAÇON</v>
      </c>
      <c r="O2994" s="2" t="s">
        <v>13204</v>
      </c>
      <c r="P2994" s="9" t="str">
        <f>VLOOKUP($O2994,'Liste des Villes'!$B$2:$B$1128,1,FALSE)</f>
        <v>Prévost</v>
      </c>
      <c r="Q2994" s="9" t="str">
        <f>IFERROR($P2994,PROPER(VLOOKUP($O2994,'Villes en erreur'!$A$2:$B$72,2,FALSE)))</f>
        <v>Prévost</v>
      </c>
      <c r="R2994" s="9" t="s">
        <v>1590</v>
      </c>
      <c r="S2994" s="9" t="str">
        <f>IF(ISBLANK($R2994),"",VLOOKUP($R2994,'Liste des Villes'!$B$2:$H$1128,4,FALSE))</f>
        <v>Laurentides</v>
      </c>
      <c r="T2994" s="2" t="s">
        <v>13280</v>
      </c>
      <c r="U2994" s="2" t="s">
        <v>39</v>
      </c>
      <c r="V2994" s="2" t="s">
        <v>40</v>
      </c>
      <c r="W2994" s="2" t="s">
        <v>13519</v>
      </c>
      <c r="X2994" s="2"/>
      <c r="Y2994" s="2"/>
      <c r="Z2994" s="2"/>
      <c r="AA2994" s="2" t="s">
        <v>375</v>
      </c>
      <c r="AB2994" s="2" t="s">
        <v>376</v>
      </c>
      <c r="AC2994" s="4" t="s">
        <v>44</v>
      </c>
    </row>
    <row r="2995" spans="1:29" x14ac:dyDescent="0.25">
      <c r="A2995" s="1">
        <v>2531</v>
      </c>
      <c r="B2995" s="17" t="s">
        <v>13520</v>
      </c>
      <c r="C2995" s="2" t="s">
        <v>13521</v>
      </c>
      <c r="D2995" s="15" t="s">
        <v>12987</v>
      </c>
      <c r="E2995" s="9" t="s">
        <v>495</v>
      </c>
      <c r="F2995" s="9" t="s">
        <v>9272</v>
      </c>
      <c r="G2995" s="9" t="s">
        <v>4324</v>
      </c>
      <c r="H2995" s="2" t="s">
        <v>35</v>
      </c>
      <c r="I2995" s="3">
        <v>36988</v>
      </c>
      <c r="J2995" s="9" t="str">
        <f t="shared" ca="1" si="49"/>
        <v>22 ans</v>
      </c>
      <c r="K2995" s="2" t="s">
        <v>156</v>
      </c>
      <c r="L2995" s="2" t="str">
        <f>"1024"</f>
        <v>1024</v>
      </c>
      <c r="M2995" s="2"/>
      <c r="N2995" s="2" t="str">
        <f>"RUE DU DIAMANT"</f>
        <v>RUE DU DIAMANT</v>
      </c>
      <c r="O2995" s="2" t="s">
        <v>13204</v>
      </c>
      <c r="P2995" s="9" t="str">
        <f>VLOOKUP($O2995,'Liste des Villes'!$B$2:$B$1128,1,FALSE)</f>
        <v>Prévost</v>
      </c>
      <c r="Q2995" s="9" t="str">
        <f>IFERROR($P2995,PROPER(VLOOKUP($O2995,'Villes en erreur'!$A$2:$B$72,2,FALSE)))</f>
        <v>Prévost</v>
      </c>
      <c r="R2995" s="9" t="s">
        <v>1590</v>
      </c>
      <c r="S2995" s="9" t="str">
        <f>IF(ISBLANK($R2995),"",VLOOKUP($R2995,'Liste des Villes'!$B$2:$H$1128,4,FALSE))</f>
        <v>Laurentides</v>
      </c>
      <c r="T2995" s="2" t="s">
        <v>13306</v>
      </c>
      <c r="U2995" s="2" t="s">
        <v>39</v>
      </c>
      <c r="V2995" s="2" t="s">
        <v>40</v>
      </c>
      <c r="W2995" s="2" t="s">
        <v>13522</v>
      </c>
      <c r="X2995" s="2"/>
      <c r="Y2995" s="2"/>
      <c r="Z2995" s="2"/>
      <c r="AA2995" s="2" t="s">
        <v>13207</v>
      </c>
      <c r="AB2995" s="2" t="s">
        <v>13208</v>
      </c>
      <c r="AC2995" s="4" t="s">
        <v>44</v>
      </c>
    </row>
    <row r="2996" spans="1:29" x14ac:dyDescent="0.25">
      <c r="A2996" s="1">
        <v>3904</v>
      </c>
      <c r="B2996" s="17" t="s">
        <v>13523</v>
      </c>
      <c r="C2996" s="2" t="s">
        <v>13524</v>
      </c>
      <c r="D2996" s="15" t="s">
        <v>9052</v>
      </c>
      <c r="E2996" s="9" t="s">
        <v>616</v>
      </c>
      <c r="F2996" s="9" t="s">
        <v>9051</v>
      </c>
      <c r="G2996" s="9" t="s">
        <v>2614</v>
      </c>
      <c r="H2996" s="2" t="s">
        <v>60</v>
      </c>
      <c r="I2996" s="3">
        <v>36978</v>
      </c>
      <c r="J2996" s="9" t="str">
        <f t="shared" ca="1" si="49"/>
        <v>22 ans</v>
      </c>
      <c r="K2996" s="2" t="s">
        <v>156</v>
      </c>
      <c r="L2996" s="2" t="str">
        <f>"1015"</f>
        <v>1015</v>
      </c>
      <c r="M2996" s="2"/>
      <c r="N2996" s="2" t="str">
        <f>"RUE DU COMMANDANT"</f>
        <v>RUE DU COMMANDANT</v>
      </c>
      <c r="O2996" s="2" t="s">
        <v>13204</v>
      </c>
      <c r="P2996" s="9" t="str">
        <f>VLOOKUP($O2996,'Liste des Villes'!$B$2:$B$1128,1,FALSE)</f>
        <v>Prévost</v>
      </c>
      <c r="Q2996" s="9" t="str">
        <f>IFERROR($P2996,PROPER(VLOOKUP($O2996,'Villes en erreur'!$A$2:$B$72,2,FALSE)))</f>
        <v>Prévost</v>
      </c>
      <c r="R2996" s="9" t="s">
        <v>1590</v>
      </c>
      <c r="S2996" s="9" t="str">
        <f>IF(ISBLANK($R2996),"",VLOOKUP($R2996,'Liste des Villes'!$B$2:$H$1128,4,FALSE))</f>
        <v>Laurentides</v>
      </c>
      <c r="T2996" s="2" t="s">
        <v>13525</v>
      </c>
      <c r="U2996" s="2" t="s">
        <v>39</v>
      </c>
      <c r="V2996" s="2" t="s">
        <v>40</v>
      </c>
      <c r="W2996" s="2" t="s">
        <v>13526</v>
      </c>
      <c r="X2996" s="2"/>
      <c r="Y2996" s="2"/>
      <c r="Z2996" s="2"/>
      <c r="AA2996" s="2" t="s">
        <v>13207</v>
      </c>
      <c r="AB2996" s="2" t="s">
        <v>13208</v>
      </c>
      <c r="AC2996" s="4" t="s">
        <v>44</v>
      </c>
    </row>
    <row r="2997" spans="1:29" x14ac:dyDescent="0.25">
      <c r="A2997" s="1">
        <v>2376</v>
      </c>
      <c r="B2997" s="17" t="s">
        <v>13527</v>
      </c>
      <c r="C2997" s="2" t="s">
        <v>13528</v>
      </c>
      <c r="D2997" s="15" t="s">
        <v>11272</v>
      </c>
      <c r="E2997" s="9" t="s">
        <v>354</v>
      </c>
      <c r="F2997" s="9" t="s">
        <v>355</v>
      </c>
      <c r="G2997" s="9" t="s">
        <v>13529</v>
      </c>
      <c r="H2997" s="2" t="s">
        <v>35</v>
      </c>
      <c r="I2997" s="3">
        <v>36944</v>
      </c>
      <c r="J2997" s="9" t="str">
        <f t="shared" ca="1" si="49"/>
        <v>22 ans</v>
      </c>
      <c r="K2997" s="2" t="s">
        <v>156</v>
      </c>
      <c r="L2997" s="2" t="str">
        <f>"977"</f>
        <v>977</v>
      </c>
      <c r="M2997" s="2"/>
      <c r="N2997" s="2" t="str">
        <f>"RUE DU BON-AIR"</f>
        <v>RUE DU BON-AIR</v>
      </c>
      <c r="O2997" s="2" t="s">
        <v>13204</v>
      </c>
      <c r="P2997" s="9" t="str">
        <f>VLOOKUP($O2997,'Liste des Villes'!$B$2:$B$1128,1,FALSE)</f>
        <v>Prévost</v>
      </c>
      <c r="Q2997" s="9" t="str">
        <f>IFERROR($P2997,PROPER(VLOOKUP($O2997,'Villes en erreur'!$A$2:$B$72,2,FALSE)))</f>
        <v>Prévost</v>
      </c>
      <c r="R2997" s="9" t="s">
        <v>1590</v>
      </c>
      <c r="S2997" s="9" t="str">
        <f>IF(ISBLANK($R2997),"",VLOOKUP($R2997,'Liste des Villes'!$B$2:$H$1128,4,FALSE))</f>
        <v>Laurentides</v>
      </c>
      <c r="T2997" s="2" t="s">
        <v>13530</v>
      </c>
      <c r="U2997" s="2" t="s">
        <v>39</v>
      </c>
      <c r="V2997" s="2" t="s">
        <v>40</v>
      </c>
      <c r="W2997" s="2" t="s">
        <v>13531</v>
      </c>
      <c r="X2997" s="2"/>
      <c r="Y2997" s="2"/>
      <c r="Z2997" s="2"/>
      <c r="AA2997" s="2" t="s">
        <v>160</v>
      </c>
      <c r="AB2997" s="2" t="s">
        <v>161</v>
      </c>
      <c r="AC2997" s="4" t="s">
        <v>44</v>
      </c>
    </row>
    <row r="2998" spans="1:29" x14ac:dyDescent="0.25">
      <c r="A2998" s="1">
        <v>1939</v>
      </c>
      <c r="B2998" s="17" t="s">
        <v>13532</v>
      </c>
      <c r="C2998" s="2" t="s">
        <v>13533</v>
      </c>
      <c r="D2998" s="15" t="s">
        <v>3642</v>
      </c>
      <c r="E2998" s="9" t="s">
        <v>2217</v>
      </c>
      <c r="F2998" s="9" t="s">
        <v>3641</v>
      </c>
      <c r="G2998" s="9" t="s">
        <v>8138</v>
      </c>
      <c r="H2998" s="2" t="s">
        <v>60</v>
      </c>
      <c r="I2998" s="3">
        <v>36995</v>
      </c>
      <c r="J2998" s="9" t="str">
        <f t="shared" ca="1" si="49"/>
        <v>22 ans</v>
      </c>
      <c r="K2998" s="2" t="s">
        <v>156</v>
      </c>
      <c r="L2998" s="2" t="str">
        <f>"1030"</f>
        <v>1030</v>
      </c>
      <c r="M2998" s="2"/>
      <c r="N2998" s="2" t="str">
        <f>"RUE DU FAUBOURG"</f>
        <v>RUE DU FAUBOURG</v>
      </c>
      <c r="O2998" s="2" t="s">
        <v>13204</v>
      </c>
      <c r="P2998" s="9" t="str">
        <f>VLOOKUP($O2998,'Liste des Villes'!$B$2:$B$1128,1,FALSE)</f>
        <v>Prévost</v>
      </c>
      <c r="Q2998" s="9" t="str">
        <f>IFERROR($P2998,PROPER(VLOOKUP($O2998,'Villes en erreur'!$A$2:$B$72,2,FALSE)))</f>
        <v>Prévost</v>
      </c>
      <c r="R2998" s="9" t="s">
        <v>1590</v>
      </c>
      <c r="S2998" s="9" t="str">
        <f>IF(ISBLANK($R2998),"",VLOOKUP($R2998,'Liste des Villes'!$B$2:$H$1128,4,FALSE))</f>
        <v>Laurentides</v>
      </c>
      <c r="T2998" s="2" t="s">
        <v>13534</v>
      </c>
      <c r="U2998" s="2" t="s">
        <v>39</v>
      </c>
      <c r="V2998" s="2" t="s">
        <v>40</v>
      </c>
      <c r="W2998" s="2" t="s">
        <v>13535</v>
      </c>
      <c r="X2998" s="2"/>
      <c r="Y2998" s="2"/>
      <c r="Z2998" s="2"/>
      <c r="AA2998" s="2" t="s">
        <v>13207</v>
      </c>
      <c r="AB2998" s="2" t="s">
        <v>13208</v>
      </c>
      <c r="AC2998" s="4" t="s">
        <v>44</v>
      </c>
    </row>
    <row r="2999" spans="1:29" x14ac:dyDescent="0.25">
      <c r="A2999" s="1">
        <v>1610</v>
      </c>
      <c r="B2999" s="17" t="s">
        <v>13536</v>
      </c>
      <c r="C2999" s="2" t="s">
        <v>13537</v>
      </c>
      <c r="D2999" s="15" t="s">
        <v>10558</v>
      </c>
      <c r="E2999" s="9" t="s">
        <v>3218</v>
      </c>
      <c r="F2999" s="9" t="s">
        <v>2187</v>
      </c>
      <c r="G2999" s="9" t="s">
        <v>253</v>
      </c>
      <c r="H2999" s="2" t="s">
        <v>35</v>
      </c>
      <c r="I2999" s="3">
        <v>36963</v>
      </c>
      <c r="J2999" s="9" t="str">
        <f t="shared" ca="1" si="49"/>
        <v>22 ans</v>
      </c>
      <c r="K2999" s="2" t="s">
        <v>156</v>
      </c>
      <c r="L2999" s="2" t="str">
        <f>"1006"</f>
        <v>1006</v>
      </c>
      <c r="M2999" s="2"/>
      <c r="N2999" s="2" t="str">
        <f>"RUE DU CLOS-DE-MÛRES"</f>
        <v>RUE DU CLOS-DE-MÛRES</v>
      </c>
      <c r="O2999" s="2" t="s">
        <v>13204</v>
      </c>
      <c r="P2999" s="9" t="str">
        <f>VLOOKUP($O2999,'Liste des Villes'!$B$2:$B$1128,1,FALSE)</f>
        <v>Prévost</v>
      </c>
      <c r="Q2999" s="9" t="str">
        <f>IFERROR($P2999,PROPER(VLOOKUP($O2999,'Villes en erreur'!$A$2:$B$72,2,FALSE)))</f>
        <v>Prévost</v>
      </c>
      <c r="R2999" s="9" t="s">
        <v>1590</v>
      </c>
      <c r="S2999" s="9" t="str">
        <f>IF(ISBLANK($R2999),"",VLOOKUP($R2999,'Liste des Villes'!$B$2:$H$1128,4,FALSE))</f>
        <v>Laurentides</v>
      </c>
      <c r="T2999" s="2" t="s">
        <v>13538</v>
      </c>
      <c r="U2999" s="2" t="s">
        <v>39</v>
      </c>
      <c r="V2999" s="2" t="s">
        <v>40</v>
      </c>
      <c r="W2999" s="2" t="s">
        <v>13539</v>
      </c>
      <c r="X2999" s="2"/>
      <c r="Y2999" s="2"/>
      <c r="Z2999" s="2"/>
      <c r="AA2999" s="2" t="s">
        <v>160</v>
      </c>
      <c r="AB2999" s="2" t="s">
        <v>13208</v>
      </c>
      <c r="AC2999" s="4" t="s">
        <v>44</v>
      </c>
    </row>
    <row r="3000" spans="1:29" x14ac:dyDescent="0.25">
      <c r="A3000" s="1">
        <v>474</v>
      </c>
      <c r="B3000" s="17" t="s">
        <v>13540</v>
      </c>
      <c r="C3000" s="2" t="s">
        <v>13541</v>
      </c>
      <c r="D3000" s="15" t="s">
        <v>2698</v>
      </c>
      <c r="E3000" s="9" t="s">
        <v>8733</v>
      </c>
      <c r="F3000" s="9" t="s">
        <v>2946</v>
      </c>
      <c r="G3000" s="9" t="s">
        <v>2198</v>
      </c>
      <c r="H3000" s="2" t="s">
        <v>35</v>
      </c>
      <c r="I3000" s="3">
        <v>36987</v>
      </c>
      <c r="J3000" s="9" t="str">
        <f t="shared" ca="1" si="49"/>
        <v>22 ans</v>
      </c>
      <c r="K3000" s="2" t="s">
        <v>156</v>
      </c>
      <c r="L3000" s="2" t="str">
        <f>"1022"</f>
        <v>1022</v>
      </c>
      <c r="M3000" s="2"/>
      <c r="N3000" s="2" t="str">
        <f>"RUE DU DIAMANT"</f>
        <v>RUE DU DIAMANT</v>
      </c>
      <c r="O3000" s="2" t="s">
        <v>13204</v>
      </c>
      <c r="P3000" s="9" t="str">
        <f>VLOOKUP($O3000,'Liste des Villes'!$B$2:$B$1128,1,FALSE)</f>
        <v>Prévost</v>
      </c>
      <c r="Q3000" s="9" t="str">
        <f>IFERROR($P3000,PROPER(VLOOKUP($O3000,'Villes en erreur'!$A$2:$B$72,2,FALSE)))</f>
        <v>Prévost</v>
      </c>
      <c r="R3000" s="9" t="s">
        <v>1590</v>
      </c>
      <c r="S3000" s="9" t="str">
        <f>IF(ISBLANK($R3000),"",VLOOKUP($R3000,'Liste des Villes'!$B$2:$H$1128,4,FALSE))</f>
        <v>Laurentides</v>
      </c>
      <c r="T3000" s="2" t="s">
        <v>13542</v>
      </c>
      <c r="U3000" s="2" t="s">
        <v>39</v>
      </c>
      <c r="V3000" s="2" t="s">
        <v>40</v>
      </c>
      <c r="W3000" s="2" t="s">
        <v>13543</v>
      </c>
      <c r="X3000" s="2"/>
      <c r="Y3000" s="2"/>
      <c r="Z3000" s="2"/>
      <c r="AA3000" s="2" t="s">
        <v>13207</v>
      </c>
      <c r="AB3000" s="2" t="s">
        <v>13208</v>
      </c>
      <c r="AC3000" s="4" t="s">
        <v>44</v>
      </c>
    </row>
    <row r="3001" spans="1:29" x14ac:dyDescent="0.25">
      <c r="A3001" s="1">
        <v>1904</v>
      </c>
      <c r="B3001" s="17" t="s">
        <v>13544</v>
      </c>
      <c r="C3001" s="2" t="s">
        <v>2795</v>
      </c>
      <c r="D3001" s="15" t="s">
        <v>1592</v>
      </c>
      <c r="E3001" s="9" t="s">
        <v>2796</v>
      </c>
      <c r="F3001" s="9" t="s">
        <v>7461</v>
      </c>
      <c r="G3001" s="9" t="s">
        <v>253</v>
      </c>
      <c r="H3001" s="2" t="s">
        <v>35</v>
      </c>
      <c r="I3001" s="3">
        <v>36962</v>
      </c>
      <c r="J3001" s="9" t="str">
        <f t="shared" ca="1" si="49"/>
        <v>22 ans</v>
      </c>
      <c r="K3001" s="2" t="s">
        <v>156</v>
      </c>
      <c r="L3001" s="2" t="str">
        <f>"1005"</f>
        <v>1005</v>
      </c>
      <c r="M3001" s="2"/>
      <c r="N3001" s="2" t="str">
        <f>"RUE DU CLOS FRANTIN"</f>
        <v>RUE DU CLOS FRANTIN</v>
      </c>
      <c r="O3001" s="2" t="s">
        <v>13204</v>
      </c>
      <c r="P3001" s="9" t="str">
        <f>VLOOKUP($O3001,'Liste des Villes'!$B$2:$B$1128,1,FALSE)</f>
        <v>Prévost</v>
      </c>
      <c r="Q3001" s="9" t="str">
        <f>IFERROR($P3001,PROPER(VLOOKUP($O3001,'Villes en erreur'!$A$2:$B$72,2,FALSE)))</f>
        <v>Prévost</v>
      </c>
      <c r="R3001" s="9" t="s">
        <v>1590</v>
      </c>
      <c r="S3001" s="9" t="str">
        <f>IF(ISBLANK($R3001),"",VLOOKUP($R3001,'Liste des Villes'!$B$2:$H$1128,4,FALSE))</f>
        <v>Laurentides</v>
      </c>
      <c r="T3001" s="2" t="s">
        <v>13545</v>
      </c>
      <c r="U3001" s="2" t="s">
        <v>39</v>
      </c>
      <c r="V3001" s="2" t="s">
        <v>40</v>
      </c>
      <c r="W3001" s="2" t="s">
        <v>13546</v>
      </c>
      <c r="X3001" s="2"/>
      <c r="Y3001" s="2"/>
      <c r="Z3001" s="2"/>
      <c r="AA3001" s="2" t="s">
        <v>160</v>
      </c>
      <c r="AB3001" s="2" t="s">
        <v>13208</v>
      </c>
      <c r="AC3001" s="4" t="s">
        <v>44</v>
      </c>
    </row>
    <row r="3002" spans="1:29" x14ac:dyDescent="0.25">
      <c r="A3002" s="1">
        <v>954</v>
      </c>
      <c r="B3002" s="17" t="s">
        <v>13547</v>
      </c>
      <c r="C3002" s="2" t="s">
        <v>13548</v>
      </c>
      <c r="D3002" s="15" t="s">
        <v>2242</v>
      </c>
      <c r="E3002" s="9" t="s">
        <v>2614</v>
      </c>
      <c r="F3002" s="9" t="s">
        <v>11030</v>
      </c>
      <c r="G3002" s="9" t="s">
        <v>8846</v>
      </c>
      <c r="H3002" s="2" t="s">
        <v>35</v>
      </c>
      <c r="I3002" s="3">
        <v>36942</v>
      </c>
      <c r="J3002" s="9" t="str">
        <f t="shared" ca="1" si="49"/>
        <v>22 ans</v>
      </c>
      <c r="K3002" s="2" t="s">
        <v>156</v>
      </c>
      <c r="L3002" s="2" t="str">
        <f>"975"</f>
        <v>975</v>
      </c>
      <c r="M3002" s="2"/>
      <c r="N3002" s="2" t="str">
        <f>"RUE DU BOISÉ"</f>
        <v>RUE DU BOISÉ</v>
      </c>
      <c r="O3002" s="2" t="s">
        <v>13204</v>
      </c>
      <c r="P3002" s="9" t="str">
        <f>VLOOKUP($O3002,'Liste des Villes'!$B$2:$B$1128,1,FALSE)</f>
        <v>Prévost</v>
      </c>
      <c r="Q3002" s="9" t="str">
        <f>IFERROR($P3002,PROPER(VLOOKUP($O3002,'Villes en erreur'!$A$2:$B$72,2,FALSE)))</f>
        <v>Prévost</v>
      </c>
      <c r="R3002" s="9" t="s">
        <v>1590</v>
      </c>
      <c r="S3002" s="9" t="str">
        <f>IF(ISBLANK($R3002),"",VLOOKUP($R3002,'Liste des Villes'!$B$2:$H$1128,4,FALSE))</f>
        <v>Laurentides</v>
      </c>
      <c r="T3002" s="2" t="s">
        <v>13549</v>
      </c>
      <c r="U3002" s="2" t="s">
        <v>39</v>
      </c>
      <c r="V3002" s="2" t="s">
        <v>40</v>
      </c>
      <c r="W3002" s="2" t="s">
        <v>13550</v>
      </c>
      <c r="X3002" s="2"/>
      <c r="Y3002" s="2"/>
      <c r="Z3002" s="2"/>
      <c r="AA3002" s="2" t="s">
        <v>160</v>
      </c>
      <c r="AB3002" s="2" t="s">
        <v>161</v>
      </c>
      <c r="AC3002" s="4" t="s">
        <v>44</v>
      </c>
    </row>
    <row r="3003" spans="1:29" x14ac:dyDescent="0.25">
      <c r="A3003" s="1">
        <v>4581</v>
      </c>
      <c r="B3003" s="17" t="s">
        <v>13551</v>
      </c>
      <c r="C3003" s="2" t="s">
        <v>13552</v>
      </c>
      <c r="D3003" s="15" t="s">
        <v>1690</v>
      </c>
      <c r="E3003" s="9" t="s">
        <v>495</v>
      </c>
      <c r="F3003" s="9" t="s">
        <v>1688</v>
      </c>
      <c r="G3003" s="9" t="s">
        <v>13553</v>
      </c>
      <c r="H3003" s="2" t="s">
        <v>60</v>
      </c>
      <c r="I3003" s="3">
        <v>36996</v>
      </c>
      <c r="J3003" s="9" t="str">
        <f t="shared" ca="1" si="49"/>
        <v>22 ans</v>
      </c>
      <c r="K3003" s="2" t="s">
        <v>156</v>
      </c>
      <c r="L3003" s="2" t="str">
        <f>"1031"</f>
        <v>1031</v>
      </c>
      <c r="M3003" s="2"/>
      <c r="N3003" s="2" t="str">
        <f>"RUE DU FAUBOURG"</f>
        <v>RUE DU FAUBOURG</v>
      </c>
      <c r="O3003" s="2" t="s">
        <v>13204</v>
      </c>
      <c r="P3003" s="9" t="str">
        <f>VLOOKUP($O3003,'Liste des Villes'!$B$2:$B$1128,1,FALSE)</f>
        <v>Prévost</v>
      </c>
      <c r="Q3003" s="9" t="str">
        <f>IFERROR($P3003,PROPER(VLOOKUP($O3003,'Villes en erreur'!$A$2:$B$72,2,FALSE)))</f>
        <v>Prévost</v>
      </c>
      <c r="R3003" s="9" t="s">
        <v>1590</v>
      </c>
      <c r="S3003" s="9" t="str">
        <f>IF(ISBLANK($R3003),"",VLOOKUP($R3003,'Liste des Villes'!$B$2:$H$1128,4,FALSE))</f>
        <v>Laurentides</v>
      </c>
      <c r="T3003" s="2" t="s">
        <v>13302</v>
      </c>
      <c r="U3003" s="2" t="s">
        <v>39</v>
      </c>
      <c r="V3003" s="2" t="s">
        <v>40</v>
      </c>
      <c r="W3003" s="2" t="s">
        <v>13554</v>
      </c>
      <c r="X3003" s="2"/>
      <c r="Y3003" s="2"/>
      <c r="Z3003" s="2"/>
      <c r="AA3003" s="2" t="s">
        <v>13207</v>
      </c>
      <c r="AB3003" s="2" t="s">
        <v>13208</v>
      </c>
      <c r="AC3003" s="4" t="s">
        <v>44</v>
      </c>
    </row>
    <row r="3004" spans="1:29" x14ac:dyDescent="0.25">
      <c r="A3004" s="1">
        <v>560</v>
      </c>
      <c r="B3004" s="17" t="s">
        <v>13555</v>
      </c>
      <c r="C3004" s="2" t="s">
        <v>4506</v>
      </c>
      <c r="D3004" s="15" t="s">
        <v>3883</v>
      </c>
      <c r="E3004" s="9" t="s">
        <v>354</v>
      </c>
      <c r="F3004" s="9" t="s">
        <v>4004</v>
      </c>
      <c r="G3004" s="9" t="s">
        <v>2198</v>
      </c>
      <c r="H3004" s="2" t="s">
        <v>35</v>
      </c>
      <c r="I3004" s="3">
        <v>36983</v>
      </c>
      <c r="J3004" s="9" t="str">
        <f t="shared" ca="1" si="49"/>
        <v>22 ans</v>
      </c>
      <c r="K3004" s="2" t="s">
        <v>156</v>
      </c>
      <c r="L3004" s="2" t="str">
        <f>"1020"</f>
        <v>1020</v>
      </c>
      <c r="M3004" s="2"/>
      <c r="N3004" s="2" t="str">
        <f>"RUE DU DÉFRICHEUR"</f>
        <v>RUE DU DÉFRICHEUR</v>
      </c>
      <c r="O3004" s="2" t="s">
        <v>13204</v>
      </c>
      <c r="P3004" s="9" t="str">
        <f>VLOOKUP($O3004,'Liste des Villes'!$B$2:$B$1128,1,FALSE)</f>
        <v>Prévost</v>
      </c>
      <c r="Q3004" s="9" t="str">
        <f>IFERROR($P3004,PROPER(VLOOKUP($O3004,'Villes en erreur'!$A$2:$B$72,2,FALSE)))</f>
        <v>Prévost</v>
      </c>
      <c r="R3004" s="9" t="s">
        <v>1590</v>
      </c>
      <c r="S3004" s="9" t="str">
        <f>IF(ISBLANK($R3004),"",VLOOKUP($R3004,'Liste des Villes'!$B$2:$H$1128,4,FALSE))</f>
        <v>Laurentides</v>
      </c>
      <c r="T3004" s="2" t="s">
        <v>13249</v>
      </c>
      <c r="U3004" s="2" t="s">
        <v>39</v>
      </c>
      <c r="V3004" s="2" t="s">
        <v>40</v>
      </c>
      <c r="W3004" s="2" t="s">
        <v>13556</v>
      </c>
      <c r="X3004" s="2"/>
      <c r="Y3004" s="2"/>
      <c r="Z3004" s="2"/>
      <c r="AA3004" s="2" t="s">
        <v>13207</v>
      </c>
      <c r="AB3004" s="2" t="s">
        <v>13208</v>
      </c>
      <c r="AC3004" s="4" t="s">
        <v>44</v>
      </c>
    </row>
    <row r="3005" spans="1:29" x14ac:dyDescent="0.25">
      <c r="A3005" s="1">
        <v>2351</v>
      </c>
      <c r="B3005" s="17" t="s">
        <v>13557</v>
      </c>
      <c r="C3005" s="2" t="s">
        <v>13558</v>
      </c>
      <c r="D3005" s="15" t="s">
        <v>7007</v>
      </c>
      <c r="E3005" s="9" t="s">
        <v>956</v>
      </c>
      <c r="F3005" s="9" t="s">
        <v>4411</v>
      </c>
      <c r="G3005" s="9" t="s">
        <v>4324</v>
      </c>
      <c r="H3005" s="2" t="s">
        <v>35</v>
      </c>
      <c r="I3005" s="3">
        <v>36989</v>
      </c>
      <c r="J3005" s="9" t="str">
        <f t="shared" ca="1" si="49"/>
        <v>22 ans</v>
      </c>
      <c r="K3005" s="2" t="s">
        <v>156</v>
      </c>
      <c r="L3005" s="2" t="str">
        <f>"1024"</f>
        <v>1024</v>
      </c>
      <c r="M3005" s="2"/>
      <c r="N3005" s="2" t="str">
        <f>"RUE DU DOCTEUR RIGBY"</f>
        <v>RUE DU DOCTEUR RIGBY</v>
      </c>
      <c r="O3005" s="2" t="s">
        <v>13204</v>
      </c>
      <c r="P3005" s="9" t="str">
        <f>VLOOKUP($O3005,'Liste des Villes'!$B$2:$B$1128,1,FALSE)</f>
        <v>Prévost</v>
      </c>
      <c r="Q3005" s="9" t="str">
        <f>IFERROR($P3005,PROPER(VLOOKUP($O3005,'Villes en erreur'!$A$2:$B$72,2,FALSE)))</f>
        <v>Prévost</v>
      </c>
      <c r="R3005" s="9" t="s">
        <v>1590</v>
      </c>
      <c r="S3005" s="9" t="str">
        <f>IF(ISBLANK($R3005),"",VLOOKUP($R3005,'Liste des Villes'!$B$2:$H$1128,4,FALSE))</f>
        <v>Laurentides</v>
      </c>
      <c r="T3005" s="2" t="s">
        <v>13559</v>
      </c>
      <c r="U3005" s="2" t="s">
        <v>39</v>
      </c>
      <c r="V3005" s="2" t="s">
        <v>40</v>
      </c>
      <c r="W3005" s="2" t="s">
        <v>13560</v>
      </c>
      <c r="X3005" s="2"/>
      <c r="Y3005" s="2"/>
      <c r="Z3005" s="2"/>
      <c r="AA3005" s="2" t="s">
        <v>13207</v>
      </c>
      <c r="AB3005" s="2" t="s">
        <v>13208</v>
      </c>
      <c r="AC3005" s="4" t="s">
        <v>44</v>
      </c>
    </row>
    <row r="3006" spans="1:29" x14ac:dyDescent="0.25">
      <c r="A3006" s="1">
        <v>4283</v>
      </c>
      <c r="B3006" s="17" t="s">
        <v>13561</v>
      </c>
      <c r="C3006" s="2" t="s">
        <v>13562</v>
      </c>
      <c r="D3006" s="15" t="s">
        <v>13563</v>
      </c>
      <c r="E3006" s="9" t="s">
        <v>3715</v>
      </c>
      <c r="F3006" s="9" t="s">
        <v>13564</v>
      </c>
      <c r="G3006" s="9" t="s">
        <v>956</v>
      </c>
      <c r="H3006" s="2" t="s">
        <v>60</v>
      </c>
      <c r="I3006" s="3">
        <v>36957</v>
      </c>
      <c r="J3006" s="9" t="str">
        <f t="shared" ca="1" si="49"/>
        <v>22 ans</v>
      </c>
      <c r="K3006" s="2" t="s">
        <v>156</v>
      </c>
      <c r="L3006" s="2" t="str">
        <f>"1002"</f>
        <v>1002</v>
      </c>
      <c r="M3006" s="2"/>
      <c r="N3006" s="2" t="str">
        <f>"RUE DU CHÂTELET"</f>
        <v>RUE DU CHÂTELET</v>
      </c>
      <c r="O3006" s="2" t="s">
        <v>13204</v>
      </c>
      <c r="P3006" s="9" t="str">
        <f>VLOOKUP($O3006,'Liste des Villes'!$B$2:$B$1128,1,FALSE)</f>
        <v>Prévost</v>
      </c>
      <c r="Q3006" s="9" t="str">
        <f>IFERROR($P3006,PROPER(VLOOKUP($O3006,'Villes en erreur'!$A$2:$B$72,2,FALSE)))</f>
        <v>Prévost</v>
      </c>
      <c r="R3006" s="9" t="s">
        <v>1590</v>
      </c>
      <c r="S3006" s="9" t="str">
        <f>IF(ISBLANK($R3006),"",VLOOKUP($R3006,'Liste des Villes'!$B$2:$H$1128,4,FALSE))</f>
        <v>Laurentides</v>
      </c>
      <c r="T3006" s="2" t="s">
        <v>13565</v>
      </c>
      <c r="U3006" s="2" t="s">
        <v>39</v>
      </c>
      <c r="V3006" s="2" t="s">
        <v>40</v>
      </c>
      <c r="W3006" s="2" t="s">
        <v>13566</v>
      </c>
      <c r="X3006" s="2"/>
      <c r="Y3006" s="2"/>
      <c r="Z3006" s="2"/>
      <c r="AA3006" s="2" t="s">
        <v>160</v>
      </c>
      <c r="AB3006" s="2" t="s">
        <v>13208</v>
      </c>
      <c r="AC3006" s="4" t="s">
        <v>44</v>
      </c>
    </row>
    <row r="3007" spans="1:29" x14ac:dyDescent="0.25">
      <c r="A3007" s="1">
        <v>734</v>
      </c>
      <c r="B3007" s="17" t="s">
        <v>13567</v>
      </c>
      <c r="C3007" s="2" t="s">
        <v>3467</v>
      </c>
      <c r="D3007" s="15" t="s">
        <v>3468</v>
      </c>
      <c r="E3007" s="9" t="s">
        <v>751</v>
      </c>
      <c r="F3007" s="9" t="s">
        <v>13568</v>
      </c>
      <c r="G3007" s="9" t="s">
        <v>956</v>
      </c>
      <c r="H3007" s="2" t="s">
        <v>60</v>
      </c>
      <c r="I3007" s="3">
        <v>36958</v>
      </c>
      <c r="J3007" s="9" t="str">
        <f t="shared" ca="1" si="49"/>
        <v>22 ans</v>
      </c>
      <c r="K3007" s="2" t="s">
        <v>156</v>
      </c>
      <c r="L3007" s="2" t="str">
        <f>"1003"</f>
        <v>1003</v>
      </c>
      <c r="M3007" s="2"/>
      <c r="N3007" s="2" t="str">
        <f>"RUE DU CHÂTELET"</f>
        <v>RUE DU CHÂTELET</v>
      </c>
      <c r="O3007" s="2" t="s">
        <v>13204</v>
      </c>
      <c r="P3007" s="9" t="str">
        <f>VLOOKUP($O3007,'Liste des Villes'!$B$2:$B$1128,1,FALSE)</f>
        <v>Prévost</v>
      </c>
      <c r="Q3007" s="9" t="str">
        <f>IFERROR($P3007,PROPER(VLOOKUP($O3007,'Villes en erreur'!$A$2:$B$72,2,FALSE)))</f>
        <v>Prévost</v>
      </c>
      <c r="R3007" s="9" t="s">
        <v>1590</v>
      </c>
      <c r="S3007" s="9" t="str">
        <f>IF(ISBLANK($R3007),"",VLOOKUP($R3007,'Liste des Villes'!$B$2:$H$1128,4,FALSE))</f>
        <v>Laurentides</v>
      </c>
      <c r="T3007" s="2" t="s">
        <v>13565</v>
      </c>
      <c r="U3007" s="2" t="s">
        <v>39</v>
      </c>
      <c r="V3007" s="2" t="s">
        <v>40</v>
      </c>
      <c r="W3007" s="2" t="s">
        <v>13569</v>
      </c>
      <c r="X3007" s="2"/>
      <c r="Y3007" s="2"/>
      <c r="Z3007" s="2"/>
      <c r="AA3007" s="2" t="s">
        <v>160</v>
      </c>
      <c r="AB3007" s="2" t="s">
        <v>13208</v>
      </c>
      <c r="AC3007" s="4" t="s">
        <v>44</v>
      </c>
    </row>
    <row r="3008" spans="1:29" x14ac:dyDescent="0.25">
      <c r="A3008" s="1">
        <v>1704</v>
      </c>
      <c r="B3008" s="17" t="s">
        <v>13570</v>
      </c>
      <c r="C3008" s="2" t="s">
        <v>2451</v>
      </c>
      <c r="D3008" s="15" t="s">
        <v>504</v>
      </c>
      <c r="E3008" s="9" t="s">
        <v>1673</v>
      </c>
      <c r="F3008" s="9" t="s">
        <v>982</v>
      </c>
      <c r="G3008" s="9" t="s">
        <v>253</v>
      </c>
      <c r="H3008" s="2" t="s">
        <v>35</v>
      </c>
      <c r="I3008" s="3">
        <v>36966</v>
      </c>
      <c r="J3008" s="9" t="str">
        <f t="shared" ca="1" si="49"/>
        <v>22 ans</v>
      </c>
      <c r="K3008" s="2" t="s">
        <v>156</v>
      </c>
      <c r="L3008" s="2" t="str">
        <f>"1007"</f>
        <v>1007</v>
      </c>
      <c r="M3008" s="2"/>
      <c r="N3008" s="2" t="str">
        <f>"RUE DU CLOS-DES-ARTISANS"</f>
        <v>RUE DU CLOS-DES-ARTISANS</v>
      </c>
      <c r="O3008" s="2" t="s">
        <v>13204</v>
      </c>
      <c r="P3008" s="9" t="str">
        <f>VLOOKUP($O3008,'Liste des Villes'!$B$2:$B$1128,1,FALSE)</f>
        <v>Prévost</v>
      </c>
      <c r="Q3008" s="9" t="str">
        <f>IFERROR($P3008,PROPER(VLOOKUP($O3008,'Villes en erreur'!$A$2:$B$72,2,FALSE)))</f>
        <v>Prévost</v>
      </c>
      <c r="R3008" s="9" t="s">
        <v>1590</v>
      </c>
      <c r="S3008" s="9" t="str">
        <f>IF(ISBLANK($R3008),"",VLOOKUP($R3008,'Liste des Villes'!$B$2:$H$1128,4,FALSE))</f>
        <v>Laurentides</v>
      </c>
      <c r="T3008" s="2" t="s">
        <v>13571</v>
      </c>
      <c r="U3008" s="2" t="s">
        <v>39</v>
      </c>
      <c r="V3008" s="2" t="s">
        <v>40</v>
      </c>
      <c r="W3008" s="2" t="s">
        <v>13572</v>
      </c>
      <c r="X3008" s="2"/>
      <c r="Y3008" s="2"/>
      <c r="Z3008" s="2"/>
      <c r="AA3008" s="2" t="s">
        <v>160</v>
      </c>
      <c r="AB3008" s="2" t="s">
        <v>13208</v>
      </c>
      <c r="AC3008" s="4" t="s">
        <v>44</v>
      </c>
    </row>
    <row r="3009" spans="1:29" x14ac:dyDescent="0.25">
      <c r="A3009" s="1">
        <v>4562</v>
      </c>
      <c r="B3009" s="17" t="s">
        <v>13573</v>
      </c>
      <c r="C3009" s="2" t="s">
        <v>8508</v>
      </c>
      <c r="D3009" s="15" t="s">
        <v>8152</v>
      </c>
      <c r="E3009" s="9" t="s">
        <v>348</v>
      </c>
      <c r="F3009" s="9" t="s">
        <v>8151</v>
      </c>
      <c r="G3009" s="9" t="s">
        <v>2842</v>
      </c>
      <c r="H3009" s="2" t="s">
        <v>35</v>
      </c>
      <c r="I3009" s="3">
        <v>37006</v>
      </c>
      <c r="J3009" s="9" t="str">
        <f t="shared" ca="1" si="49"/>
        <v>22 ans</v>
      </c>
      <c r="K3009" s="2" t="s">
        <v>156</v>
      </c>
      <c r="L3009" s="2" t="str">
        <f>"1038"</f>
        <v>1038</v>
      </c>
      <c r="M3009" s="2"/>
      <c r="N3009" s="2" t="str">
        <f>"RUE DU GRENOBLE"</f>
        <v>RUE DU GRENOBLE</v>
      </c>
      <c r="O3009" s="2" t="s">
        <v>13204</v>
      </c>
      <c r="P3009" s="9" t="str">
        <f>VLOOKUP($O3009,'Liste des Villes'!$B$2:$B$1128,1,FALSE)</f>
        <v>Prévost</v>
      </c>
      <c r="Q3009" s="9" t="str">
        <f>IFERROR($P3009,PROPER(VLOOKUP($O3009,'Villes en erreur'!$A$2:$B$72,2,FALSE)))</f>
        <v>Prévost</v>
      </c>
      <c r="R3009" s="9" t="s">
        <v>1590</v>
      </c>
      <c r="S3009" s="9" t="str">
        <f>IF(ISBLANK($R3009),"",VLOOKUP($R3009,'Liste des Villes'!$B$2:$H$1128,4,FALSE))</f>
        <v>Laurentides</v>
      </c>
      <c r="T3009" s="2" t="s">
        <v>13574</v>
      </c>
      <c r="U3009" s="2" t="s">
        <v>39</v>
      </c>
      <c r="V3009" s="2" t="s">
        <v>40</v>
      </c>
      <c r="W3009" s="2" t="s">
        <v>13575</v>
      </c>
      <c r="X3009" s="2"/>
      <c r="Y3009" s="2"/>
      <c r="Z3009" s="2"/>
      <c r="AA3009" s="2" t="s">
        <v>375</v>
      </c>
      <c r="AB3009" s="2" t="s">
        <v>13208</v>
      </c>
      <c r="AC3009" s="4" t="s">
        <v>44</v>
      </c>
    </row>
    <row r="3010" spans="1:29" x14ac:dyDescent="0.25">
      <c r="A3010" s="1">
        <v>2952</v>
      </c>
      <c r="B3010" s="17" t="s">
        <v>13576</v>
      </c>
      <c r="C3010" s="2" t="s">
        <v>13577</v>
      </c>
      <c r="D3010" s="15" t="s">
        <v>1925</v>
      </c>
      <c r="E3010" s="9" t="s">
        <v>6324</v>
      </c>
      <c r="F3010" s="9" t="s">
        <v>1923</v>
      </c>
      <c r="G3010" s="9" t="s">
        <v>12919</v>
      </c>
      <c r="H3010" s="2" t="s">
        <v>35</v>
      </c>
      <c r="I3010" s="3">
        <v>37017</v>
      </c>
      <c r="J3010" s="9" t="str">
        <f t="shared" ref="J3010:J3073" ca="1" si="50">_xlfn.CONCAT(INT((TODAY()-$I3010)/365.25)," ans")</f>
        <v>22 ans</v>
      </c>
      <c r="K3010" s="2" t="s">
        <v>156</v>
      </c>
      <c r="L3010" s="2" t="str">
        <f>"1050"</f>
        <v>1050</v>
      </c>
      <c r="M3010" s="2"/>
      <c r="N3010" s="2" t="str">
        <f>"RUE DU MAÇON"</f>
        <v>RUE DU MAÇON</v>
      </c>
      <c r="O3010" s="2" t="s">
        <v>13204</v>
      </c>
      <c r="P3010" s="9" t="str">
        <f>VLOOKUP($O3010,'Liste des Villes'!$B$2:$B$1128,1,FALSE)</f>
        <v>Prévost</v>
      </c>
      <c r="Q3010" s="9" t="str">
        <f>IFERROR($P3010,PROPER(VLOOKUP($O3010,'Villes en erreur'!$A$2:$B$72,2,FALSE)))</f>
        <v>Prévost</v>
      </c>
      <c r="R3010" s="9" t="s">
        <v>1590</v>
      </c>
      <c r="S3010" s="9" t="str">
        <f>IF(ISBLANK($R3010),"",VLOOKUP($R3010,'Liste des Villes'!$B$2:$H$1128,4,FALSE))</f>
        <v>Laurentides</v>
      </c>
      <c r="T3010" s="2" t="s">
        <v>13578</v>
      </c>
      <c r="U3010" s="2" t="s">
        <v>39</v>
      </c>
      <c r="V3010" s="2" t="s">
        <v>40</v>
      </c>
      <c r="W3010" s="2" t="s">
        <v>13579</v>
      </c>
      <c r="X3010" s="2"/>
      <c r="Y3010" s="2"/>
      <c r="Z3010" s="2"/>
      <c r="AA3010" s="2" t="s">
        <v>375</v>
      </c>
      <c r="AB3010" s="2" t="s">
        <v>376</v>
      </c>
      <c r="AC3010" s="4" t="s">
        <v>44</v>
      </c>
    </row>
    <row r="3011" spans="1:29" x14ac:dyDescent="0.25">
      <c r="A3011" s="1">
        <v>3395</v>
      </c>
      <c r="B3011" s="17" t="s">
        <v>13580</v>
      </c>
      <c r="C3011" s="2" t="s">
        <v>9157</v>
      </c>
      <c r="D3011" s="15" t="s">
        <v>9158</v>
      </c>
      <c r="E3011" s="9" t="s">
        <v>929</v>
      </c>
      <c r="F3011" s="9" t="s">
        <v>4493</v>
      </c>
      <c r="G3011" s="9" t="s">
        <v>13581</v>
      </c>
      <c r="H3011" s="2" t="s">
        <v>60</v>
      </c>
      <c r="I3011" s="3">
        <v>37021</v>
      </c>
      <c r="J3011" s="9" t="str">
        <f t="shared" ca="1" si="50"/>
        <v>22 ans</v>
      </c>
      <c r="K3011" s="2" t="s">
        <v>156</v>
      </c>
      <c r="L3011" s="2" t="str">
        <f>"1053"</f>
        <v>1053</v>
      </c>
      <c r="M3011" s="2"/>
      <c r="N3011" s="2" t="str">
        <f>"RUE DU MAÇON"</f>
        <v>RUE DU MAÇON</v>
      </c>
      <c r="O3011" s="2" t="s">
        <v>13204</v>
      </c>
      <c r="P3011" s="9" t="str">
        <f>VLOOKUP($O3011,'Liste des Villes'!$B$2:$B$1128,1,FALSE)</f>
        <v>Prévost</v>
      </c>
      <c r="Q3011" s="9" t="str">
        <f>IFERROR($P3011,PROPER(VLOOKUP($O3011,'Villes en erreur'!$A$2:$B$72,2,FALSE)))</f>
        <v>Prévost</v>
      </c>
      <c r="R3011" s="9" t="s">
        <v>1590</v>
      </c>
      <c r="S3011" s="9" t="str">
        <f>IF(ISBLANK($R3011),"",VLOOKUP($R3011,'Liste des Villes'!$B$2:$H$1128,4,FALSE))</f>
        <v>Laurentides</v>
      </c>
      <c r="T3011" s="2" t="s">
        <v>13280</v>
      </c>
      <c r="U3011" s="2" t="s">
        <v>39</v>
      </c>
      <c r="V3011" s="2" t="s">
        <v>40</v>
      </c>
      <c r="W3011" s="2" t="s">
        <v>13582</v>
      </c>
      <c r="X3011" s="2"/>
      <c r="Y3011" s="2"/>
      <c r="Z3011" s="2"/>
      <c r="AA3011" s="2" t="s">
        <v>375</v>
      </c>
      <c r="AB3011" s="2" t="s">
        <v>376</v>
      </c>
      <c r="AC3011" s="4" t="s">
        <v>44</v>
      </c>
    </row>
    <row r="3012" spans="1:29" x14ac:dyDescent="0.25">
      <c r="A3012" s="1">
        <v>1899</v>
      </c>
      <c r="B3012" s="17" t="s">
        <v>13583</v>
      </c>
      <c r="C3012" s="2" t="s">
        <v>13584</v>
      </c>
      <c r="D3012" s="15" t="s">
        <v>13585</v>
      </c>
      <c r="E3012" s="9" t="s">
        <v>370</v>
      </c>
      <c r="F3012" s="9" t="s">
        <v>5467</v>
      </c>
      <c r="G3012" s="9" t="s">
        <v>2842</v>
      </c>
      <c r="H3012" s="2" t="s">
        <v>35</v>
      </c>
      <c r="I3012" s="3">
        <v>37006</v>
      </c>
      <c r="J3012" s="9" t="str">
        <f t="shared" ca="1" si="50"/>
        <v>22 ans</v>
      </c>
      <c r="K3012" s="2" t="s">
        <v>156</v>
      </c>
      <c r="L3012" s="2" t="str">
        <f>"1039"</f>
        <v>1039</v>
      </c>
      <c r="M3012" s="2"/>
      <c r="N3012" s="2" t="str">
        <f>"RUE DU GRENOBLE"</f>
        <v>RUE DU GRENOBLE</v>
      </c>
      <c r="O3012" s="2" t="s">
        <v>1590</v>
      </c>
      <c r="P3012" s="9" t="str">
        <f>VLOOKUP($O3012,'Liste des Villes'!$B$2:$B$1128,1,FALSE)</f>
        <v>Prévost</v>
      </c>
      <c r="Q3012" s="9" t="str">
        <f>IFERROR($P3012,PROPER(VLOOKUP($O3012,'Villes en erreur'!$A$2:$B$72,2,FALSE)))</f>
        <v>Prévost</v>
      </c>
      <c r="R3012" s="9" t="s">
        <v>1590</v>
      </c>
      <c r="S3012" s="9" t="str">
        <f>IF(ISBLANK($R3012),"",VLOOKUP($R3012,'Liste des Villes'!$B$2:$H$1128,4,FALSE))</f>
        <v>Laurentides</v>
      </c>
      <c r="T3012" s="2" t="s">
        <v>13586</v>
      </c>
      <c r="U3012" s="2" t="s">
        <v>39</v>
      </c>
      <c r="V3012" s="2" t="s">
        <v>40</v>
      </c>
      <c r="W3012" s="2" t="s">
        <v>13587</v>
      </c>
      <c r="X3012" s="2"/>
      <c r="Y3012" s="2"/>
      <c r="Z3012" s="2"/>
      <c r="AA3012" s="2" t="s">
        <v>375</v>
      </c>
      <c r="AB3012" s="2" t="s">
        <v>13208</v>
      </c>
      <c r="AC3012" s="4" t="s">
        <v>44</v>
      </c>
    </row>
    <row r="3013" spans="1:29" x14ac:dyDescent="0.25">
      <c r="A3013" s="1">
        <v>4085</v>
      </c>
      <c r="B3013" s="17" t="s">
        <v>13588</v>
      </c>
      <c r="C3013" s="2" t="s">
        <v>13589</v>
      </c>
      <c r="D3013" s="15" t="s">
        <v>5467</v>
      </c>
      <c r="E3013" s="9" t="s">
        <v>1795</v>
      </c>
      <c r="F3013" s="9" t="s">
        <v>13585</v>
      </c>
      <c r="G3013" s="9" t="s">
        <v>2049</v>
      </c>
      <c r="H3013" s="2" t="s">
        <v>35</v>
      </c>
      <c r="I3013" s="3">
        <v>37016</v>
      </c>
      <c r="J3013" s="9" t="str">
        <f t="shared" ca="1" si="50"/>
        <v>22 ans</v>
      </c>
      <c r="K3013" s="2" t="s">
        <v>156</v>
      </c>
      <c r="L3013" s="2" t="str">
        <f>"1049"</f>
        <v>1049</v>
      </c>
      <c r="M3013" s="2"/>
      <c r="N3013" s="2" t="str">
        <f>"RUE DU LAYON"</f>
        <v>RUE DU LAYON</v>
      </c>
      <c r="O3013" s="2" t="s">
        <v>13204</v>
      </c>
      <c r="P3013" s="9" t="str">
        <f>VLOOKUP($O3013,'Liste des Villes'!$B$2:$B$1128,1,FALSE)</f>
        <v>Prévost</v>
      </c>
      <c r="Q3013" s="9" t="str">
        <f>IFERROR($P3013,PROPER(VLOOKUP($O3013,'Villes en erreur'!$A$2:$B$72,2,FALSE)))</f>
        <v>Prévost</v>
      </c>
      <c r="R3013" s="9" t="s">
        <v>1590</v>
      </c>
      <c r="S3013" s="9" t="str">
        <f>IF(ISBLANK($R3013),"",VLOOKUP($R3013,'Liste des Villes'!$B$2:$H$1128,4,FALSE))</f>
        <v>Laurentides</v>
      </c>
      <c r="T3013" s="2" t="s">
        <v>13385</v>
      </c>
      <c r="U3013" s="2" t="s">
        <v>39</v>
      </c>
      <c r="V3013" s="2" t="s">
        <v>40</v>
      </c>
      <c r="W3013" s="2" t="s">
        <v>13590</v>
      </c>
      <c r="X3013" s="2"/>
      <c r="Y3013" s="2"/>
      <c r="Z3013" s="2"/>
      <c r="AA3013" s="2" t="s">
        <v>375</v>
      </c>
      <c r="AB3013" s="2" t="s">
        <v>13208</v>
      </c>
      <c r="AC3013" s="4" t="s">
        <v>44</v>
      </c>
    </row>
    <row r="3014" spans="1:29" x14ac:dyDescent="0.25">
      <c r="A3014" s="1">
        <v>219</v>
      </c>
      <c r="B3014" s="17" t="s">
        <v>13591</v>
      </c>
      <c r="C3014" s="2" t="s">
        <v>1251</v>
      </c>
      <c r="D3014" s="15" t="s">
        <v>584</v>
      </c>
      <c r="E3014" s="9" t="s">
        <v>145</v>
      </c>
      <c r="F3014" s="9" t="s">
        <v>2811</v>
      </c>
      <c r="G3014" s="9" t="s">
        <v>956</v>
      </c>
      <c r="H3014" s="2" t="s">
        <v>60</v>
      </c>
      <c r="I3014" s="3">
        <v>36952</v>
      </c>
      <c r="J3014" s="9" t="str">
        <f t="shared" ca="1" si="50"/>
        <v>22 ans</v>
      </c>
      <c r="K3014" s="2" t="s">
        <v>156</v>
      </c>
      <c r="L3014" s="2" t="str">
        <f>"994"</f>
        <v>994</v>
      </c>
      <c r="M3014" s="2"/>
      <c r="N3014" s="2" t="str">
        <f>"RUE DU CARDINAL"</f>
        <v>RUE DU CARDINAL</v>
      </c>
      <c r="O3014" s="2" t="s">
        <v>13204</v>
      </c>
      <c r="P3014" s="9" t="str">
        <f>VLOOKUP($O3014,'Liste des Villes'!$B$2:$B$1128,1,FALSE)</f>
        <v>Prévost</v>
      </c>
      <c r="Q3014" s="9" t="str">
        <f>IFERROR($P3014,PROPER(VLOOKUP($O3014,'Villes en erreur'!$A$2:$B$72,2,FALSE)))</f>
        <v>Prévost</v>
      </c>
      <c r="R3014" s="9" t="s">
        <v>1590</v>
      </c>
      <c r="S3014" s="9" t="str">
        <f>IF(ISBLANK($R3014),"",VLOOKUP($R3014,'Liste des Villes'!$B$2:$H$1128,4,FALSE))</f>
        <v>Laurentides</v>
      </c>
      <c r="T3014" s="2" t="s">
        <v>13592</v>
      </c>
      <c r="U3014" s="2" t="s">
        <v>39</v>
      </c>
      <c r="V3014" s="2" t="s">
        <v>40</v>
      </c>
      <c r="W3014" s="2" t="s">
        <v>13593</v>
      </c>
      <c r="X3014" s="2"/>
      <c r="Y3014" s="2"/>
      <c r="Z3014" s="2"/>
      <c r="AA3014" s="2" t="s">
        <v>160</v>
      </c>
      <c r="AB3014" s="2" t="s">
        <v>161</v>
      </c>
      <c r="AC3014" s="4" t="s">
        <v>44</v>
      </c>
    </row>
    <row r="3015" spans="1:29" x14ac:dyDescent="0.25">
      <c r="A3015" s="1">
        <v>3264</v>
      </c>
      <c r="B3015" s="17" t="s">
        <v>13594</v>
      </c>
      <c r="C3015" s="2" t="s">
        <v>13595</v>
      </c>
      <c r="D3015" s="15" t="s">
        <v>6583</v>
      </c>
      <c r="E3015" s="9" t="s">
        <v>3451</v>
      </c>
      <c r="F3015" s="9" t="s">
        <v>6582</v>
      </c>
      <c r="G3015" s="9" t="s">
        <v>956</v>
      </c>
      <c r="H3015" s="2" t="s">
        <v>60</v>
      </c>
      <c r="I3015" s="3">
        <v>36950</v>
      </c>
      <c r="J3015" s="9" t="str">
        <f t="shared" ca="1" si="50"/>
        <v>22 ans</v>
      </c>
      <c r="K3015" s="2" t="s">
        <v>156</v>
      </c>
      <c r="L3015" s="2" t="str">
        <f>"987"</f>
        <v>987</v>
      </c>
      <c r="M3015" s="2"/>
      <c r="N3015" s="2" t="str">
        <f>"RUE DU BUIS"</f>
        <v>RUE DU BUIS</v>
      </c>
      <c r="O3015" s="2" t="s">
        <v>13204</v>
      </c>
      <c r="P3015" s="9" t="str">
        <f>VLOOKUP($O3015,'Liste des Villes'!$B$2:$B$1128,1,FALSE)</f>
        <v>Prévost</v>
      </c>
      <c r="Q3015" s="9" t="str">
        <f>IFERROR($P3015,PROPER(VLOOKUP($O3015,'Villes en erreur'!$A$2:$B$72,2,FALSE)))</f>
        <v>Prévost</v>
      </c>
      <c r="R3015" s="9" t="s">
        <v>1590</v>
      </c>
      <c r="S3015" s="9" t="str">
        <f>IF(ISBLANK($R3015),"",VLOOKUP($R3015,'Liste des Villes'!$B$2:$H$1128,4,FALSE))</f>
        <v>Laurentides</v>
      </c>
      <c r="T3015" s="2" t="s">
        <v>13440</v>
      </c>
      <c r="U3015" s="2" t="s">
        <v>39</v>
      </c>
      <c r="V3015" s="2" t="s">
        <v>40</v>
      </c>
      <c r="W3015" s="2" t="s">
        <v>13596</v>
      </c>
      <c r="X3015" s="2"/>
      <c r="Y3015" s="2"/>
      <c r="Z3015" s="2"/>
      <c r="AA3015" s="2" t="s">
        <v>160</v>
      </c>
      <c r="AB3015" s="2" t="s">
        <v>161</v>
      </c>
      <c r="AC3015" s="4" t="s">
        <v>44</v>
      </c>
    </row>
    <row r="3016" spans="1:29" x14ac:dyDescent="0.25">
      <c r="A3016" s="1">
        <v>1122</v>
      </c>
      <c r="B3016" s="17" t="s">
        <v>13597</v>
      </c>
      <c r="C3016" s="2" t="s">
        <v>13598</v>
      </c>
      <c r="D3016" s="15" t="s">
        <v>1366</v>
      </c>
      <c r="E3016" s="9" t="s">
        <v>13599</v>
      </c>
      <c r="F3016" s="9" t="s">
        <v>1367</v>
      </c>
      <c r="G3016" s="9" t="s">
        <v>12645</v>
      </c>
      <c r="H3016" s="2" t="s">
        <v>60</v>
      </c>
      <c r="I3016" s="3">
        <v>37005</v>
      </c>
      <c r="J3016" s="9" t="str">
        <f t="shared" ca="1" si="50"/>
        <v>22 ans</v>
      </c>
      <c r="K3016" s="2" t="s">
        <v>156</v>
      </c>
      <c r="L3016" s="2" t="str">
        <f>"1037"</f>
        <v>1037</v>
      </c>
      <c r="M3016" s="2"/>
      <c r="N3016" s="2" t="str">
        <f>"RUE DU GRENAT"</f>
        <v>RUE DU GRENAT</v>
      </c>
      <c r="O3016" s="2" t="s">
        <v>13204</v>
      </c>
      <c r="P3016" s="9" t="str">
        <f>VLOOKUP($O3016,'Liste des Villes'!$B$2:$B$1128,1,FALSE)</f>
        <v>Prévost</v>
      </c>
      <c r="Q3016" s="9" t="str">
        <f>IFERROR($P3016,PROPER(VLOOKUP($O3016,'Villes en erreur'!$A$2:$B$72,2,FALSE)))</f>
        <v>Prévost</v>
      </c>
      <c r="R3016" s="9" t="s">
        <v>1590</v>
      </c>
      <c r="S3016" s="9" t="str">
        <f>IF(ISBLANK($R3016),"",VLOOKUP($R3016,'Liste des Villes'!$B$2:$H$1128,4,FALSE))</f>
        <v>Laurentides</v>
      </c>
      <c r="T3016" s="2" t="s">
        <v>13600</v>
      </c>
      <c r="U3016" s="2" t="s">
        <v>39</v>
      </c>
      <c r="V3016" s="2" t="s">
        <v>40</v>
      </c>
      <c r="W3016" s="2" t="s">
        <v>13601</v>
      </c>
      <c r="X3016" s="2"/>
      <c r="Y3016" s="2"/>
      <c r="Z3016" s="2"/>
      <c r="AA3016" s="2" t="s">
        <v>375</v>
      </c>
      <c r="AB3016" s="2" t="s">
        <v>13208</v>
      </c>
      <c r="AC3016" s="4" t="s">
        <v>44</v>
      </c>
    </row>
    <row r="3017" spans="1:29" x14ac:dyDescent="0.25">
      <c r="A3017" s="1">
        <v>2323</v>
      </c>
      <c r="B3017" s="17" t="s">
        <v>13602</v>
      </c>
      <c r="C3017" s="2" t="s">
        <v>3088</v>
      </c>
      <c r="D3017" s="15" t="s">
        <v>3089</v>
      </c>
      <c r="E3017" s="9" t="s">
        <v>2381</v>
      </c>
      <c r="F3017" s="9" t="s">
        <v>13603</v>
      </c>
      <c r="G3017" s="9" t="s">
        <v>253</v>
      </c>
      <c r="H3017" s="2" t="s">
        <v>35</v>
      </c>
      <c r="I3017" s="3">
        <v>36961</v>
      </c>
      <c r="J3017" s="9" t="str">
        <f t="shared" ca="1" si="50"/>
        <v>22 ans</v>
      </c>
      <c r="K3017" s="2" t="s">
        <v>156</v>
      </c>
      <c r="L3017" s="2" t="str">
        <f>"1005"</f>
        <v>1005</v>
      </c>
      <c r="M3017" s="2"/>
      <c r="N3017" s="2" t="str">
        <f>"RUE DU CLAIRON"</f>
        <v>RUE DU CLAIRON</v>
      </c>
      <c r="O3017" s="2" t="s">
        <v>13204</v>
      </c>
      <c r="P3017" s="9" t="str">
        <f>VLOOKUP($O3017,'Liste des Villes'!$B$2:$B$1128,1,FALSE)</f>
        <v>Prévost</v>
      </c>
      <c r="Q3017" s="9" t="str">
        <f>IFERROR($P3017,PROPER(VLOOKUP($O3017,'Villes en erreur'!$A$2:$B$72,2,FALSE)))</f>
        <v>Prévost</v>
      </c>
      <c r="R3017" s="9" t="s">
        <v>1590</v>
      </c>
      <c r="S3017" s="9" t="str">
        <f>IF(ISBLANK($R3017),"",VLOOKUP($R3017,'Liste des Villes'!$B$2:$H$1128,4,FALSE))</f>
        <v>Laurentides</v>
      </c>
      <c r="T3017" s="2" t="s">
        <v>13604</v>
      </c>
      <c r="U3017" s="2" t="s">
        <v>39</v>
      </c>
      <c r="V3017" s="2" t="s">
        <v>40</v>
      </c>
      <c r="W3017" s="2" t="s">
        <v>13605</v>
      </c>
      <c r="X3017" s="2"/>
      <c r="Y3017" s="2"/>
      <c r="Z3017" s="2"/>
      <c r="AA3017" s="2" t="s">
        <v>160</v>
      </c>
      <c r="AB3017" s="2" t="s">
        <v>13208</v>
      </c>
      <c r="AC3017" s="4" t="s">
        <v>44</v>
      </c>
    </row>
    <row r="3018" spans="1:29" x14ac:dyDescent="0.25">
      <c r="A3018" s="1">
        <v>2777</v>
      </c>
      <c r="B3018" s="17" t="s">
        <v>13606</v>
      </c>
      <c r="C3018" s="2" t="s">
        <v>13607</v>
      </c>
      <c r="D3018" s="15" t="s">
        <v>13608</v>
      </c>
      <c r="E3018" s="9" t="s">
        <v>219</v>
      </c>
      <c r="F3018" s="9" t="s">
        <v>803</v>
      </c>
      <c r="G3018" s="9" t="s">
        <v>956</v>
      </c>
      <c r="H3018" s="2" t="s">
        <v>60</v>
      </c>
      <c r="I3018" s="3">
        <v>36956</v>
      </c>
      <c r="J3018" s="9" t="str">
        <f t="shared" ca="1" si="50"/>
        <v>22 ans</v>
      </c>
      <c r="K3018" s="2" t="s">
        <v>156</v>
      </c>
      <c r="L3018" s="2" t="str">
        <f>"1001"</f>
        <v>1001</v>
      </c>
      <c r="M3018" s="2"/>
      <c r="N3018" s="2" t="str">
        <f>"RUE DU CHÂTEAU"</f>
        <v>RUE DU CHÂTEAU</v>
      </c>
      <c r="O3018" s="2" t="s">
        <v>13204</v>
      </c>
      <c r="P3018" s="9" t="str">
        <f>VLOOKUP($O3018,'Liste des Villes'!$B$2:$B$1128,1,FALSE)</f>
        <v>Prévost</v>
      </c>
      <c r="Q3018" s="9" t="str">
        <f>IFERROR($P3018,PROPER(VLOOKUP($O3018,'Villes en erreur'!$A$2:$B$72,2,FALSE)))</f>
        <v>Prévost</v>
      </c>
      <c r="R3018" s="9" t="s">
        <v>1590</v>
      </c>
      <c r="S3018" s="9" t="str">
        <f>IF(ISBLANK($R3018),"",VLOOKUP($R3018,'Liste des Villes'!$B$2:$H$1128,4,FALSE))</f>
        <v>Laurentides</v>
      </c>
      <c r="T3018" s="2" t="s">
        <v>13462</v>
      </c>
      <c r="U3018" s="2" t="s">
        <v>39</v>
      </c>
      <c r="V3018" s="2" t="s">
        <v>40</v>
      </c>
      <c r="W3018" s="2" t="s">
        <v>13609</v>
      </c>
      <c r="X3018" s="2"/>
      <c r="Y3018" s="2"/>
      <c r="Z3018" s="2"/>
      <c r="AA3018" s="2" t="s">
        <v>160</v>
      </c>
      <c r="AB3018" s="2" t="s">
        <v>13208</v>
      </c>
      <c r="AC3018" s="4" t="s">
        <v>44</v>
      </c>
    </row>
    <row r="3019" spans="1:29" x14ac:dyDescent="0.25">
      <c r="A3019" s="1">
        <v>351</v>
      </c>
      <c r="B3019" s="17" t="s">
        <v>13610</v>
      </c>
      <c r="C3019" s="2" t="s">
        <v>13611</v>
      </c>
      <c r="D3019" s="15" t="s">
        <v>13612</v>
      </c>
      <c r="E3019" s="9" t="s">
        <v>10801</v>
      </c>
      <c r="F3019" s="9" t="s">
        <v>1746</v>
      </c>
      <c r="G3019" s="9" t="s">
        <v>956</v>
      </c>
      <c r="H3019" s="2" t="s">
        <v>60</v>
      </c>
      <c r="I3019" s="3">
        <v>36953</v>
      </c>
      <c r="J3019" s="9" t="str">
        <f t="shared" ca="1" si="50"/>
        <v>22 ans</v>
      </c>
      <c r="K3019" s="2" t="s">
        <v>156</v>
      </c>
      <c r="L3019" s="2" t="str">
        <f>"994"</f>
        <v>994</v>
      </c>
      <c r="M3019" s="2"/>
      <c r="N3019" s="2" t="str">
        <f>"RUE DU CARDINAL"</f>
        <v>RUE DU CARDINAL</v>
      </c>
      <c r="O3019" s="2" t="s">
        <v>13204</v>
      </c>
      <c r="P3019" s="9" t="str">
        <f>VLOOKUP($O3019,'Liste des Villes'!$B$2:$B$1128,1,FALSE)</f>
        <v>Prévost</v>
      </c>
      <c r="Q3019" s="9" t="str">
        <f>IFERROR($P3019,PROPER(VLOOKUP($O3019,'Villes en erreur'!$A$2:$B$72,2,FALSE)))</f>
        <v>Prévost</v>
      </c>
      <c r="R3019" s="9" t="s">
        <v>1590</v>
      </c>
      <c r="S3019" s="9" t="str">
        <f>IF(ISBLANK($R3019),"",VLOOKUP($R3019,'Liste des Villes'!$B$2:$H$1128,4,FALSE))</f>
        <v>Laurentides</v>
      </c>
      <c r="T3019" s="2" t="s">
        <v>13592</v>
      </c>
      <c r="U3019" s="2" t="s">
        <v>39</v>
      </c>
      <c r="V3019" s="2" t="s">
        <v>40</v>
      </c>
      <c r="W3019" s="2" t="s">
        <v>13613</v>
      </c>
      <c r="X3019" s="2"/>
      <c r="Y3019" s="2"/>
      <c r="Z3019" s="2"/>
      <c r="AA3019" s="2" t="s">
        <v>160</v>
      </c>
      <c r="AB3019" s="2" t="s">
        <v>161</v>
      </c>
      <c r="AC3019" s="4" t="s">
        <v>44</v>
      </c>
    </row>
    <row r="3020" spans="1:29" x14ac:dyDescent="0.25">
      <c r="A3020" s="1">
        <v>2723</v>
      </c>
      <c r="B3020" s="17" t="s">
        <v>13614</v>
      </c>
      <c r="C3020" s="2" t="s">
        <v>1733</v>
      </c>
      <c r="D3020" s="15" t="s">
        <v>100</v>
      </c>
      <c r="E3020" s="9" t="s">
        <v>122</v>
      </c>
      <c r="F3020" s="9" t="s">
        <v>3977</v>
      </c>
      <c r="G3020" s="9" t="s">
        <v>253</v>
      </c>
      <c r="H3020" s="2" t="s">
        <v>35</v>
      </c>
      <c r="I3020" s="3">
        <v>36962</v>
      </c>
      <c r="J3020" s="9" t="str">
        <f t="shared" ca="1" si="50"/>
        <v>22 ans</v>
      </c>
      <c r="K3020" s="2" t="s">
        <v>156</v>
      </c>
      <c r="L3020" s="2" t="str">
        <f>"1005"</f>
        <v>1005</v>
      </c>
      <c r="M3020" s="2"/>
      <c r="N3020" s="2" t="str">
        <f>"RUE DU CLOS-CHAUMONT"</f>
        <v>RUE DU CLOS-CHAUMONT</v>
      </c>
      <c r="O3020" s="2" t="s">
        <v>13204</v>
      </c>
      <c r="P3020" s="9" t="str">
        <f>VLOOKUP($O3020,'Liste des Villes'!$B$2:$B$1128,1,FALSE)</f>
        <v>Prévost</v>
      </c>
      <c r="Q3020" s="9" t="str">
        <f>IFERROR($P3020,PROPER(VLOOKUP($O3020,'Villes en erreur'!$A$2:$B$72,2,FALSE)))</f>
        <v>Prévost</v>
      </c>
      <c r="R3020" s="9" t="s">
        <v>1590</v>
      </c>
      <c r="S3020" s="9" t="str">
        <f>IF(ISBLANK($R3020),"",VLOOKUP($R3020,'Liste des Villes'!$B$2:$H$1128,4,FALSE))</f>
        <v>Laurentides</v>
      </c>
      <c r="T3020" s="2" t="s">
        <v>13615</v>
      </c>
      <c r="U3020" s="2" t="s">
        <v>39</v>
      </c>
      <c r="V3020" s="2" t="s">
        <v>40</v>
      </c>
      <c r="W3020" s="2" t="s">
        <v>13616</v>
      </c>
      <c r="X3020" s="2"/>
      <c r="Y3020" s="2"/>
      <c r="Z3020" s="2"/>
      <c r="AA3020" s="2" t="s">
        <v>160</v>
      </c>
      <c r="AB3020" s="2" t="s">
        <v>13208</v>
      </c>
      <c r="AC3020" s="4" t="s">
        <v>44</v>
      </c>
    </row>
    <row r="3021" spans="1:29" x14ac:dyDescent="0.25">
      <c r="A3021" s="1">
        <v>1339</v>
      </c>
      <c r="B3021" s="17" t="s">
        <v>13617</v>
      </c>
      <c r="C3021" s="2" t="s">
        <v>8682</v>
      </c>
      <c r="D3021" s="15" t="s">
        <v>1417</v>
      </c>
      <c r="E3021" s="9" t="s">
        <v>6494</v>
      </c>
      <c r="F3021" s="9" t="s">
        <v>13618</v>
      </c>
      <c r="G3021" s="9" t="s">
        <v>956</v>
      </c>
      <c r="H3021" s="2" t="s">
        <v>60</v>
      </c>
      <c r="I3021" s="3">
        <v>36953</v>
      </c>
      <c r="J3021" s="9" t="str">
        <f t="shared" ca="1" si="50"/>
        <v>22 ans</v>
      </c>
      <c r="K3021" s="2" t="s">
        <v>156</v>
      </c>
      <c r="L3021" s="2" t="str">
        <f>"997"</f>
        <v>997</v>
      </c>
      <c r="M3021" s="2"/>
      <c r="N3021" s="2" t="str">
        <f>"RUE DU CAROUBIER"</f>
        <v>RUE DU CAROUBIER</v>
      </c>
      <c r="O3021" s="2" t="s">
        <v>13204</v>
      </c>
      <c r="P3021" s="9" t="str">
        <f>VLOOKUP($O3021,'Liste des Villes'!$B$2:$B$1128,1,FALSE)</f>
        <v>Prévost</v>
      </c>
      <c r="Q3021" s="9" t="str">
        <f>IFERROR($P3021,PROPER(VLOOKUP($O3021,'Villes en erreur'!$A$2:$B$72,2,FALSE)))</f>
        <v>Prévost</v>
      </c>
      <c r="R3021" s="9" t="s">
        <v>1590</v>
      </c>
      <c r="S3021" s="9" t="str">
        <f>IF(ISBLANK($R3021),"",VLOOKUP($R3021,'Liste des Villes'!$B$2:$H$1128,4,FALSE))</f>
        <v>Laurentides</v>
      </c>
      <c r="T3021" s="2" t="s">
        <v>13619</v>
      </c>
      <c r="U3021" s="2" t="s">
        <v>39</v>
      </c>
      <c r="V3021" s="2" t="s">
        <v>40</v>
      </c>
      <c r="W3021" s="2" t="s">
        <v>13620</v>
      </c>
      <c r="X3021" s="2"/>
      <c r="Y3021" s="2"/>
      <c r="Z3021" s="2"/>
      <c r="AA3021" s="2" t="s">
        <v>160</v>
      </c>
      <c r="AB3021" s="2" t="s">
        <v>161</v>
      </c>
      <c r="AC3021" s="4" t="s">
        <v>44</v>
      </c>
    </row>
    <row r="3022" spans="1:29" x14ac:dyDescent="0.25">
      <c r="A3022" s="1">
        <v>3136</v>
      </c>
      <c r="B3022" s="17" t="s">
        <v>13621</v>
      </c>
      <c r="C3022" s="2" t="s">
        <v>13622</v>
      </c>
      <c r="D3022" s="15" t="s">
        <v>13623</v>
      </c>
      <c r="E3022" s="9" t="s">
        <v>4548</v>
      </c>
      <c r="F3022" s="9" t="s">
        <v>13624</v>
      </c>
      <c r="G3022" s="9" t="s">
        <v>12200</v>
      </c>
      <c r="H3022" s="2" t="s">
        <v>35</v>
      </c>
      <c r="I3022" s="3">
        <v>36988</v>
      </c>
      <c r="J3022" s="9" t="str">
        <f t="shared" ca="1" si="50"/>
        <v>22 ans</v>
      </c>
      <c r="K3022" s="2" t="s">
        <v>156</v>
      </c>
      <c r="L3022" s="2" t="str">
        <f>"1022"</f>
        <v>1022</v>
      </c>
      <c r="M3022" s="2"/>
      <c r="N3022" s="2" t="str">
        <f>"RUE DU DIAMANT"</f>
        <v>RUE DU DIAMANT</v>
      </c>
      <c r="O3022" s="2" t="s">
        <v>13204</v>
      </c>
      <c r="P3022" s="9" t="str">
        <f>VLOOKUP($O3022,'Liste des Villes'!$B$2:$B$1128,1,FALSE)</f>
        <v>Prévost</v>
      </c>
      <c r="Q3022" s="9" t="str">
        <f>IFERROR($P3022,PROPER(VLOOKUP($O3022,'Villes en erreur'!$A$2:$B$72,2,FALSE)))</f>
        <v>Prévost</v>
      </c>
      <c r="R3022" s="9" t="s">
        <v>1590</v>
      </c>
      <c r="S3022" s="9" t="str">
        <f>IF(ISBLANK($R3022),"",VLOOKUP($R3022,'Liste des Villes'!$B$2:$H$1128,4,FALSE))</f>
        <v>Laurentides</v>
      </c>
      <c r="T3022" s="2" t="s">
        <v>13306</v>
      </c>
      <c r="U3022" s="2" t="s">
        <v>39</v>
      </c>
      <c r="V3022" s="2" t="s">
        <v>40</v>
      </c>
      <c r="W3022" s="2" t="s">
        <v>13625</v>
      </c>
      <c r="X3022" s="2"/>
      <c r="Y3022" s="2"/>
      <c r="Z3022" s="2"/>
      <c r="AA3022" s="2" t="s">
        <v>13207</v>
      </c>
      <c r="AB3022" s="2" t="s">
        <v>13208</v>
      </c>
      <c r="AC3022" s="4" t="s">
        <v>44</v>
      </c>
    </row>
    <row r="3023" spans="1:29" x14ac:dyDescent="0.25">
      <c r="A3023" s="1">
        <v>1728</v>
      </c>
      <c r="B3023" s="17" t="s">
        <v>13626</v>
      </c>
      <c r="C3023" s="2" t="s">
        <v>7088</v>
      </c>
      <c r="D3023" s="15" t="s">
        <v>56</v>
      </c>
      <c r="E3023" s="9" t="s">
        <v>7089</v>
      </c>
      <c r="F3023" s="9" t="s">
        <v>6794</v>
      </c>
      <c r="G3023" s="9" t="s">
        <v>2049</v>
      </c>
      <c r="H3023" s="2" t="s">
        <v>35</v>
      </c>
      <c r="I3023" s="3">
        <v>37013</v>
      </c>
      <c r="J3023" s="9" t="str">
        <f t="shared" ca="1" si="50"/>
        <v>22 ans</v>
      </c>
      <c r="K3023" s="2" t="s">
        <v>156</v>
      </c>
      <c r="L3023" s="2" t="str">
        <f>"1046"</f>
        <v>1046</v>
      </c>
      <c r="M3023" s="2"/>
      <c r="N3023" s="2" t="str">
        <f>"RUE DU LAC-À-L'ANGUILLE"</f>
        <v>RUE DU LAC-À-L'ANGUILLE</v>
      </c>
      <c r="O3023" s="2" t="s">
        <v>13204</v>
      </c>
      <c r="P3023" s="9" t="str">
        <f>VLOOKUP($O3023,'Liste des Villes'!$B$2:$B$1128,1,FALSE)</f>
        <v>Prévost</v>
      </c>
      <c r="Q3023" s="9" t="str">
        <f>IFERROR($P3023,PROPER(VLOOKUP($O3023,'Villes en erreur'!$A$2:$B$72,2,FALSE)))</f>
        <v>Prévost</v>
      </c>
      <c r="R3023" s="9" t="s">
        <v>1590</v>
      </c>
      <c r="S3023" s="9" t="str">
        <f>IF(ISBLANK($R3023),"",VLOOKUP($R3023,'Liste des Villes'!$B$2:$H$1128,4,FALSE))</f>
        <v>Laurentides</v>
      </c>
      <c r="T3023" s="2" t="s">
        <v>13627</v>
      </c>
      <c r="U3023" s="2" t="s">
        <v>39</v>
      </c>
      <c r="V3023" s="2" t="s">
        <v>40</v>
      </c>
      <c r="W3023" s="2" t="s">
        <v>13628</v>
      </c>
      <c r="X3023" s="2"/>
      <c r="Y3023" s="2"/>
      <c r="Z3023" s="2"/>
      <c r="AA3023" s="2" t="s">
        <v>375</v>
      </c>
      <c r="AB3023" s="2" t="s">
        <v>13208</v>
      </c>
      <c r="AC3023" s="4" t="s">
        <v>44</v>
      </c>
    </row>
    <row r="3024" spans="1:29" x14ac:dyDescent="0.25">
      <c r="A3024" s="1">
        <v>4027</v>
      </c>
      <c r="B3024" s="17" t="s">
        <v>13629</v>
      </c>
      <c r="C3024" s="2" t="s">
        <v>13630</v>
      </c>
      <c r="D3024" s="15" t="s">
        <v>13631</v>
      </c>
      <c r="E3024" s="9" t="s">
        <v>1416</v>
      </c>
      <c r="F3024" s="9" t="s">
        <v>13632</v>
      </c>
      <c r="G3024" s="9" t="s">
        <v>2049</v>
      </c>
      <c r="H3024" s="2" t="s">
        <v>35</v>
      </c>
      <c r="I3024" s="3">
        <v>37013</v>
      </c>
      <c r="J3024" s="9" t="str">
        <f t="shared" ca="1" si="50"/>
        <v>22 ans</v>
      </c>
      <c r="K3024" s="2" t="s">
        <v>156</v>
      </c>
      <c r="L3024" s="2" t="str">
        <f>"1045"</f>
        <v>1045</v>
      </c>
      <c r="M3024" s="2"/>
      <c r="N3024" s="2" t="str">
        <f>"RUE DU LAC NOËL"</f>
        <v>RUE DU LAC NOËL</v>
      </c>
      <c r="O3024" s="2" t="s">
        <v>13204</v>
      </c>
      <c r="P3024" s="9" t="str">
        <f>VLOOKUP($O3024,'Liste des Villes'!$B$2:$B$1128,1,FALSE)</f>
        <v>Prévost</v>
      </c>
      <c r="Q3024" s="9" t="str">
        <f>IFERROR($P3024,PROPER(VLOOKUP($O3024,'Villes en erreur'!$A$2:$B$72,2,FALSE)))</f>
        <v>Prévost</v>
      </c>
      <c r="R3024" s="9" t="s">
        <v>1590</v>
      </c>
      <c r="S3024" s="9" t="str">
        <f>IF(ISBLANK($R3024),"",VLOOKUP($R3024,'Liste des Villes'!$B$2:$H$1128,4,FALSE))</f>
        <v>Laurentides</v>
      </c>
      <c r="T3024" s="2" t="s">
        <v>13627</v>
      </c>
      <c r="U3024" s="2" t="s">
        <v>39</v>
      </c>
      <c r="V3024" s="2" t="s">
        <v>40</v>
      </c>
      <c r="W3024" s="2" t="s">
        <v>13633</v>
      </c>
      <c r="X3024" s="2"/>
      <c r="Y3024" s="2"/>
      <c r="Z3024" s="2"/>
      <c r="AA3024" s="2" t="s">
        <v>375</v>
      </c>
      <c r="AB3024" s="2" t="s">
        <v>13208</v>
      </c>
      <c r="AC3024" s="4" t="s">
        <v>44</v>
      </c>
    </row>
    <row r="3025" spans="1:29" x14ac:dyDescent="0.25">
      <c r="A3025" s="1">
        <v>1020</v>
      </c>
      <c r="B3025" s="17" t="s">
        <v>13634</v>
      </c>
      <c r="C3025" s="2" t="s">
        <v>13635</v>
      </c>
      <c r="D3025" s="15" t="s">
        <v>7367</v>
      </c>
      <c r="E3025" s="9" t="s">
        <v>4807</v>
      </c>
      <c r="F3025" s="9" t="s">
        <v>1649</v>
      </c>
      <c r="G3025" s="9" t="s">
        <v>2614</v>
      </c>
      <c r="H3025" s="2" t="s">
        <v>60</v>
      </c>
      <c r="I3025" s="3">
        <v>36978</v>
      </c>
      <c r="J3025" s="9" t="str">
        <f t="shared" ca="1" si="50"/>
        <v>22 ans</v>
      </c>
      <c r="K3025" s="2" t="s">
        <v>156</v>
      </c>
      <c r="L3025" s="2" t="str">
        <f>"1015"</f>
        <v>1015</v>
      </c>
      <c r="M3025" s="2"/>
      <c r="N3025" s="2" t="str">
        <f>"RUE DU COMMANDANT"</f>
        <v>RUE DU COMMANDANT</v>
      </c>
      <c r="O3025" s="2" t="s">
        <v>13204</v>
      </c>
      <c r="P3025" s="9" t="str">
        <f>VLOOKUP($O3025,'Liste des Villes'!$B$2:$B$1128,1,FALSE)</f>
        <v>Prévost</v>
      </c>
      <c r="Q3025" s="9" t="str">
        <f>IFERROR($P3025,PROPER(VLOOKUP($O3025,'Villes en erreur'!$A$2:$B$72,2,FALSE)))</f>
        <v>Prévost</v>
      </c>
      <c r="R3025" s="9" t="s">
        <v>1590</v>
      </c>
      <c r="S3025" s="9" t="str">
        <f>IF(ISBLANK($R3025),"",VLOOKUP($R3025,'Liste des Villes'!$B$2:$H$1128,4,FALSE))</f>
        <v>Laurentides</v>
      </c>
      <c r="T3025" s="2" t="s">
        <v>13525</v>
      </c>
      <c r="U3025" s="2" t="s">
        <v>39</v>
      </c>
      <c r="V3025" s="2" t="s">
        <v>40</v>
      </c>
      <c r="W3025" s="2" t="s">
        <v>13636</v>
      </c>
      <c r="X3025" s="2"/>
      <c r="Y3025" s="2"/>
      <c r="Z3025" s="2"/>
      <c r="AA3025" s="2" t="s">
        <v>160</v>
      </c>
      <c r="AB3025" s="2" t="s">
        <v>13208</v>
      </c>
      <c r="AC3025" s="4" t="s">
        <v>44</v>
      </c>
    </row>
    <row r="3026" spans="1:29" x14ac:dyDescent="0.25">
      <c r="A3026" s="1">
        <v>2896</v>
      </c>
      <c r="B3026" s="17" t="s">
        <v>13637</v>
      </c>
      <c r="C3026" s="2" t="s">
        <v>13638</v>
      </c>
      <c r="D3026" s="15" t="s">
        <v>4105</v>
      </c>
      <c r="E3026" s="9" t="s">
        <v>4831</v>
      </c>
      <c r="F3026" s="9" t="s">
        <v>4104</v>
      </c>
      <c r="G3026" s="9" t="s">
        <v>253</v>
      </c>
      <c r="H3026" s="2" t="s">
        <v>35</v>
      </c>
      <c r="I3026" s="3">
        <v>36966</v>
      </c>
      <c r="J3026" s="9" t="str">
        <f t="shared" ca="1" si="50"/>
        <v>22 ans</v>
      </c>
      <c r="K3026" s="2" t="s">
        <v>156</v>
      </c>
      <c r="L3026" s="2" t="str">
        <f>"1006"</f>
        <v>1006</v>
      </c>
      <c r="M3026" s="2"/>
      <c r="N3026" s="2" t="str">
        <f>"RUE DU CLOS-DES-ARTISANS"</f>
        <v>RUE DU CLOS-DES-ARTISANS</v>
      </c>
      <c r="O3026" s="2" t="s">
        <v>13204</v>
      </c>
      <c r="P3026" s="9" t="str">
        <f>VLOOKUP($O3026,'Liste des Villes'!$B$2:$B$1128,1,FALSE)</f>
        <v>Prévost</v>
      </c>
      <c r="Q3026" s="9" t="str">
        <f>IFERROR($P3026,PROPER(VLOOKUP($O3026,'Villes en erreur'!$A$2:$B$72,2,FALSE)))</f>
        <v>Prévost</v>
      </c>
      <c r="R3026" s="9" t="s">
        <v>1590</v>
      </c>
      <c r="S3026" s="9" t="str">
        <f>IF(ISBLANK($R3026),"",VLOOKUP($R3026,'Liste des Villes'!$B$2:$H$1128,4,FALSE))</f>
        <v>Laurentides</v>
      </c>
      <c r="T3026" s="2" t="s">
        <v>13639</v>
      </c>
      <c r="U3026" s="2" t="s">
        <v>39</v>
      </c>
      <c r="V3026" s="2" t="s">
        <v>40</v>
      </c>
      <c r="W3026" s="2" t="s">
        <v>13640</v>
      </c>
      <c r="X3026" s="2"/>
      <c r="Y3026" s="2"/>
      <c r="Z3026" s="2"/>
      <c r="AA3026" s="2" t="s">
        <v>160</v>
      </c>
      <c r="AB3026" s="2" t="s">
        <v>13208</v>
      </c>
      <c r="AC3026" s="4" t="s">
        <v>44</v>
      </c>
    </row>
    <row r="3027" spans="1:29" x14ac:dyDescent="0.25">
      <c r="A3027" s="1">
        <v>2864</v>
      </c>
      <c r="B3027" s="17" t="s">
        <v>13641</v>
      </c>
      <c r="C3027" s="2" t="s">
        <v>8780</v>
      </c>
      <c r="D3027" s="15" t="s">
        <v>8781</v>
      </c>
      <c r="E3027" s="9" t="s">
        <v>253</v>
      </c>
      <c r="F3027" s="9" t="s">
        <v>726</v>
      </c>
      <c r="G3027" s="9" t="s">
        <v>2614</v>
      </c>
      <c r="H3027" s="2" t="s">
        <v>60</v>
      </c>
      <c r="I3027" s="3">
        <v>36978</v>
      </c>
      <c r="J3027" s="9" t="str">
        <f t="shared" ca="1" si="50"/>
        <v>22 ans</v>
      </c>
      <c r="K3027" s="2" t="s">
        <v>156</v>
      </c>
      <c r="L3027" s="2" t="str">
        <f>"1015"</f>
        <v>1015</v>
      </c>
      <c r="M3027" s="2"/>
      <c r="N3027" s="2" t="str">
        <f>"RUE DU COMMANDANT"</f>
        <v>RUE DU COMMANDANT</v>
      </c>
      <c r="O3027" s="2" t="s">
        <v>13204</v>
      </c>
      <c r="P3027" s="9" t="str">
        <f>VLOOKUP($O3027,'Liste des Villes'!$B$2:$B$1128,1,FALSE)</f>
        <v>Prévost</v>
      </c>
      <c r="Q3027" s="9" t="str">
        <f>IFERROR($P3027,PROPER(VLOOKUP($O3027,'Villes en erreur'!$A$2:$B$72,2,FALSE)))</f>
        <v>Prévost</v>
      </c>
      <c r="R3027" s="9" t="s">
        <v>1590</v>
      </c>
      <c r="S3027" s="9" t="str">
        <f>IF(ISBLANK($R3027),"",VLOOKUP($R3027,'Liste des Villes'!$B$2:$H$1128,4,FALSE))</f>
        <v>Laurentides</v>
      </c>
      <c r="T3027" s="2" t="s">
        <v>13525</v>
      </c>
      <c r="U3027" s="2" t="s">
        <v>39</v>
      </c>
      <c r="V3027" s="2" t="s">
        <v>40</v>
      </c>
      <c r="W3027" s="2" t="s">
        <v>13642</v>
      </c>
      <c r="X3027" s="2"/>
      <c r="Y3027" s="2"/>
      <c r="Z3027" s="2"/>
      <c r="AA3027" s="2" t="s">
        <v>160</v>
      </c>
      <c r="AB3027" s="2" t="s">
        <v>13208</v>
      </c>
      <c r="AC3027" s="4" t="s">
        <v>44</v>
      </c>
    </row>
    <row r="3028" spans="1:29" x14ac:dyDescent="0.25">
      <c r="A3028" s="1">
        <v>635</v>
      </c>
      <c r="B3028" s="17" t="s">
        <v>13643</v>
      </c>
      <c r="C3028" s="2" t="s">
        <v>6021</v>
      </c>
      <c r="D3028" s="15" t="s">
        <v>6022</v>
      </c>
      <c r="E3028" s="9" t="s">
        <v>85</v>
      </c>
      <c r="F3028" s="9" t="s">
        <v>6023</v>
      </c>
      <c r="G3028" s="9" t="s">
        <v>2198</v>
      </c>
      <c r="H3028" s="2" t="s">
        <v>35</v>
      </c>
      <c r="I3028" s="3">
        <v>36982</v>
      </c>
      <c r="J3028" s="9" t="str">
        <f t="shared" ca="1" si="50"/>
        <v>22 ans</v>
      </c>
      <c r="K3028" s="2" t="s">
        <v>156</v>
      </c>
      <c r="L3028" s="2" t="str">
        <f>"1020"</f>
        <v>1020</v>
      </c>
      <c r="M3028" s="2"/>
      <c r="N3028" s="2" t="str">
        <f>"RUE DU CYGNE"</f>
        <v>RUE DU CYGNE</v>
      </c>
      <c r="O3028" s="2" t="s">
        <v>13204</v>
      </c>
      <c r="P3028" s="9" t="str">
        <f>VLOOKUP($O3028,'Liste des Villes'!$B$2:$B$1128,1,FALSE)</f>
        <v>Prévost</v>
      </c>
      <c r="Q3028" s="9" t="str">
        <f>IFERROR($P3028,PROPER(VLOOKUP($O3028,'Villes en erreur'!$A$2:$B$72,2,FALSE)))</f>
        <v>Prévost</v>
      </c>
      <c r="R3028" s="9" t="s">
        <v>1590</v>
      </c>
      <c r="S3028" s="9" t="str">
        <f>IF(ISBLANK($R3028),"",VLOOKUP($R3028,'Liste des Villes'!$B$2:$H$1128,4,FALSE))</f>
        <v>Laurentides</v>
      </c>
      <c r="T3028" s="2" t="s">
        <v>13644</v>
      </c>
      <c r="U3028" s="2" t="s">
        <v>39</v>
      </c>
      <c r="V3028" s="2" t="s">
        <v>40</v>
      </c>
      <c r="W3028" s="2" t="s">
        <v>13645</v>
      </c>
      <c r="X3028" s="2"/>
      <c r="Y3028" s="2"/>
      <c r="Z3028" s="2"/>
      <c r="AA3028" s="2" t="s">
        <v>13207</v>
      </c>
      <c r="AB3028" s="2" t="s">
        <v>13208</v>
      </c>
      <c r="AC3028" s="4" t="s">
        <v>44</v>
      </c>
    </row>
    <row r="3029" spans="1:29" x14ac:dyDescent="0.25">
      <c r="A3029" s="1">
        <v>3891</v>
      </c>
      <c r="B3029" s="17" t="s">
        <v>13646</v>
      </c>
      <c r="C3029" s="2" t="s">
        <v>13647</v>
      </c>
      <c r="D3029" s="15" t="s">
        <v>13648</v>
      </c>
      <c r="E3029" s="9" t="s">
        <v>1447</v>
      </c>
      <c r="F3029" s="9" t="s">
        <v>1923</v>
      </c>
      <c r="G3029" s="9" t="s">
        <v>8434</v>
      </c>
      <c r="H3029" s="2" t="s">
        <v>60</v>
      </c>
      <c r="I3029" s="3">
        <v>36958</v>
      </c>
      <c r="J3029" s="9" t="str">
        <f t="shared" ca="1" si="50"/>
        <v>22 ans</v>
      </c>
      <c r="K3029" s="2" t="s">
        <v>156</v>
      </c>
      <c r="L3029" s="2" t="str">
        <f>"1004"</f>
        <v>1004</v>
      </c>
      <c r="M3029" s="2"/>
      <c r="N3029" s="2" t="str">
        <f>"RUE DU CHEMIN-DU-ROY"</f>
        <v>RUE DU CHEMIN-DU-ROY</v>
      </c>
      <c r="O3029" s="2" t="s">
        <v>13204</v>
      </c>
      <c r="P3029" s="9" t="str">
        <f>VLOOKUP($O3029,'Liste des Villes'!$B$2:$B$1128,1,FALSE)</f>
        <v>Prévost</v>
      </c>
      <c r="Q3029" s="9" t="str">
        <f>IFERROR($P3029,PROPER(VLOOKUP($O3029,'Villes en erreur'!$A$2:$B$72,2,FALSE)))</f>
        <v>Prévost</v>
      </c>
      <c r="R3029" s="9" t="s">
        <v>1590</v>
      </c>
      <c r="S3029" s="9" t="str">
        <f>IF(ISBLANK($R3029),"",VLOOKUP($R3029,'Liste des Villes'!$B$2:$H$1128,4,FALSE))</f>
        <v>Laurentides</v>
      </c>
      <c r="T3029" s="2" t="s">
        <v>13327</v>
      </c>
      <c r="U3029" s="2" t="s">
        <v>39</v>
      </c>
      <c r="V3029" s="2" t="s">
        <v>40</v>
      </c>
      <c r="W3029" s="2" t="s">
        <v>13649</v>
      </c>
      <c r="X3029" s="2"/>
      <c r="Y3029" s="2"/>
      <c r="Z3029" s="2"/>
      <c r="AA3029" s="2" t="s">
        <v>160</v>
      </c>
      <c r="AB3029" s="2" t="s">
        <v>13208</v>
      </c>
      <c r="AC3029" s="4" t="s">
        <v>44</v>
      </c>
    </row>
    <row r="3030" spans="1:29" x14ac:dyDescent="0.25">
      <c r="A3030" s="1">
        <v>1461</v>
      </c>
      <c r="B3030" s="17" t="s">
        <v>13650</v>
      </c>
      <c r="C3030" s="2" t="s">
        <v>2119</v>
      </c>
      <c r="D3030" s="15" t="s">
        <v>684</v>
      </c>
      <c r="E3030" s="9" t="s">
        <v>348</v>
      </c>
      <c r="F3030" s="9" t="s">
        <v>682</v>
      </c>
      <c r="G3030" s="9" t="s">
        <v>9805</v>
      </c>
      <c r="H3030" s="2" t="s">
        <v>60</v>
      </c>
      <c r="I3030" s="3">
        <v>37004</v>
      </c>
      <c r="J3030" s="9" t="str">
        <f t="shared" ca="1" si="50"/>
        <v>22 ans</v>
      </c>
      <c r="K3030" s="2" t="s">
        <v>156</v>
      </c>
      <c r="L3030" s="2" t="str">
        <f>"1037"</f>
        <v>1037</v>
      </c>
      <c r="M3030" s="2"/>
      <c r="N3030" s="2" t="str">
        <f>"RUE DU GRENAT"</f>
        <v>RUE DU GRENAT</v>
      </c>
      <c r="O3030" s="2" t="s">
        <v>13204</v>
      </c>
      <c r="P3030" s="9" t="str">
        <f>VLOOKUP($O3030,'Liste des Villes'!$B$2:$B$1128,1,FALSE)</f>
        <v>Prévost</v>
      </c>
      <c r="Q3030" s="9" t="str">
        <f>IFERROR($P3030,PROPER(VLOOKUP($O3030,'Villes en erreur'!$A$2:$B$72,2,FALSE)))</f>
        <v>Prévost</v>
      </c>
      <c r="R3030" s="9" t="s">
        <v>1590</v>
      </c>
      <c r="S3030" s="9" t="str">
        <f>IF(ISBLANK($R3030),"",VLOOKUP($R3030,'Liste des Villes'!$B$2:$H$1128,4,FALSE))</f>
        <v>Laurentides</v>
      </c>
      <c r="T3030" s="2" t="s">
        <v>13600</v>
      </c>
      <c r="U3030" s="2" t="s">
        <v>39</v>
      </c>
      <c r="V3030" s="2" t="s">
        <v>40</v>
      </c>
      <c r="W3030" s="2" t="s">
        <v>13651</v>
      </c>
      <c r="X3030" s="2"/>
      <c r="Y3030" s="2"/>
      <c r="Z3030" s="2"/>
      <c r="AA3030" s="2" t="s">
        <v>375</v>
      </c>
      <c r="AB3030" s="2" t="s">
        <v>13208</v>
      </c>
      <c r="AC3030" s="4" t="s">
        <v>44</v>
      </c>
    </row>
    <row r="3031" spans="1:29" x14ac:dyDescent="0.25">
      <c r="A3031" s="1">
        <v>220</v>
      </c>
      <c r="B3031" s="17" t="s">
        <v>13652</v>
      </c>
      <c r="C3031" s="2" t="s">
        <v>13653</v>
      </c>
      <c r="D3031" s="15" t="s">
        <v>13654</v>
      </c>
      <c r="E3031" s="9" t="s">
        <v>13096</v>
      </c>
      <c r="F3031" s="9" t="s">
        <v>13655</v>
      </c>
      <c r="G3031" s="9" t="s">
        <v>1416</v>
      </c>
      <c r="H3031" s="2" t="s">
        <v>60</v>
      </c>
      <c r="I3031" s="3">
        <v>37001</v>
      </c>
      <c r="J3031" s="9" t="str">
        <f t="shared" ca="1" si="50"/>
        <v>22 ans</v>
      </c>
      <c r="K3031" s="2" t="s">
        <v>156</v>
      </c>
      <c r="L3031" s="2" t="str">
        <f>"1035"</f>
        <v>1035</v>
      </c>
      <c r="M3031" s="2"/>
      <c r="N3031" s="2" t="str">
        <f>"RUE DU GRAND-BOIS"</f>
        <v>RUE DU GRAND-BOIS</v>
      </c>
      <c r="O3031" s="2" t="s">
        <v>13204</v>
      </c>
      <c r="P3031" s="9" t="str">
        <f>VLOOKUP($O3031,'Liste des Villes'!$B$2:$B$1128,1,FALSE)</f>
        <v>Prévost</v>
      </c>
      <c r="Q3031" s="9" t="str">
        <f>IFERROR($P3031,PROPER(VLOOKUP($O3031,'Villes en erreur'!$A$2:$B$72,2,FALSE)))</f>
        <v>Prévost</v>
      </c>
      <c r="R3031" s="9" t="s">
        <v>1590</v>
      </c>
      <c r="S3031" s="9" t="str">
        <f>IF(ISBLANK($R3031),"",VLOOKUP($R3031,'Liste des Villes'!$B$2:$H$1128,4,FALSE))</f>
        <v>Laurentides</v>
      </c>
      <c r="T3031" s="2" t="s">
        <v>13656</v>
      </c>
      <c r="U3031" s="2" t="s">
        <v>39</v>
      </c>
      <c r="V3031" s="2" t="s">
        <v>40</v>
      </c>
      <c r="W3031" s="2" t="s">
        <v>13657</v>
      </c>
      <c r="X3031" s="2"/>
      <c r="Y3031" s="2"/>
      <c r="Z3031" s="2"/>
      <c r="AA3031" s="2" t="s">
        <v>375</v>
      </c>
      <c r="AB3031" s="2" t="s">
        <v>13208</v>
      </c>
      <c r="AC3031" s="4" t="s">
        <v>44</v>
      </c>
    </row>
    <row r="3032" spans="1:29" x14ac:dyDescent="0.25">
      <c r="A3032" s="1">
        <v>4202</v>
      </c>
      <c r="B3032" s="17" t="s">
        <v>13658</v>
      </c>
      <c r="C3032" s="2" t="s">
        <v>13659</v>
      </c>
      <c r="D3032" s="15" t="s">
        <v>13660</v>
      </c>
      <c r="E3032" s="9" t="s">
        <v>13661</v>
      </c>
      <c r="F3032" s="9" t="s">
        <v>218</v>
      </c>
      <c r="G3032" s="9" t="s">
        <v>956</v>
      </c>
      <c r="H3032" s="2" t="s">
        <v>60</v>
      </c>
      <c r="I3032" s="3">
        <v>36946</v>
      </c>
      <c r="J3032" s="9" t="str">
        <f t="shared" ca="1" si="50"/>
        <v>22 ans</v>
      </c>
      <c r="K3032" s="2" t="s">
        <v>156</v>
      </c>
      <c r="L3032" s="2" t="str">
        <f>"980"</f>
        <v>980</v>
      </c>
      <c r="M3032" s="2"/>
      <c r="N3032" s="2" t="str">
        <f>"RUE DU BORDEAUX"</f>
        <v>RUE DU BORDEAUX</v>
      </c>
      <c r="O3032" s="2" t="s">
        <v>13204</v>
      </c>
      <c r="P3032" s="9" t="str">
        <f>VLOOKUP($O3032,'Liste des Villes'!$B$2:$B$1128,1,FALSE)</f>
        <v>Prévost</v>
      </c>
      <c r="Q3032" s="9" t="str">
        <f>IFERROR($P3032,PROPER(VLOOKUP($O3032,'Villes en erreur'!$A$2:$B$72,2,FALSE)))</f>
        <v>Prévost</v>
      </c>
      <c r="R3032" s="9" t="s">
        <v>1590</v>
      </c>
      <c r="S3032" s="9" t="str">
        <f>IF(ISBLANK($R3032),"",VLOOKUP($R3032,'Liste des Villes'!$B$2:$H$1128,4,FALSE))</f>
        <v>Laurentides</v>
      </c>
      <c r="T3032" s="2" t="s">
        <v>13275</v>
      </c>
      <c r="U3032" s="2" t="s">
        <v>39</v>
      </c>
      <c r="V3032" s="2" t="s">
        <v>40</v>
      </c>
      <c r="W3032" s="2" t="s">
        <v>13662</v>
      </c>
      <c r="X3032" s="2"/>
      <c r="Y3032" s="2"/>
      <c r="Z3032" s="2"/>
      <c r="AA3032" s="2" t="s">
        <v>160</v>
      </c>
      <c r="AB3032" s="2" t="s">
        <v>161</v>
      </c>
      <c r="AC3032" s="4" t="s">
        <v>44</v>
      </c>
    </row>
    <row r="3033" spans="1:29" x14ac:dyDescent="0.25">
      <c r="A3033" s="1">
        <v>2609</v>
      </c>
      <c r="B3033" s="17" t="s">
        <v>13663</v>
      </c>
      <c r="C3033" s="2" t="s">
        <v>3065</v>
      </c>
      <c r="D3033" s="15" t="s">
        <v>1477</v>
      </c>
      <c r="E3033" s="9" t="s">
        <v>3066</v>
      </c>
      <c r="F3033" s="9" t="s">
        <v>1479</v>
      </c>
      <c r="G3033" s="9" t="s">
        <v>3595</v>
      </c>
      <c r="H3033" s="2" t="s">
        <v>35</v>
      </c>
      <c r="I3033" s="3">
        <v>36994</v>
      </c>
      <c r="J3033" s="9" t="str">
        <f t="shared" ca="1" si="50"/>
        <v>22 ans</v>
      </c>
      <c r="K3033" s="2" t="s">
        <v>156</v>
      </c>
      <c r="L3033" s="2" t="str">
        <f>"1030"</f>
        <v>1030</v>
      </c>
      <c r="M3033" s="2"/>
      <c r="N3033" s="2" t="str">
        <f>"RUE DU DOMAINE-LEBEAU"</f>
        <v>RUE DU DOMAINE-LEBEAU</v>
      </c>
      <c r="O3033" s="2" t="s">
        <v>13204</v>
      </c>
      <c r="P3033" s="9" t="str">
        <f>VLOOKUP($O3033,'Liste des Villes'!$B$2:$B$1128,1,FALSE)</f>
        <v>Prévost</v>
      </c>
      <c r="Q3033" s="9" t="str">
        <f>IFERROR($P3033,PROPER(VLOOKUP($O3033,'Villes en erreur'!$A$2:$B$72,2,FALSE)))</f>
        <v>Prévost</v>
      </c>
      <c r="R3033" s="9" t="s">
        <v>1590</v>
      </c>
      <c r="S3033" s="9" t="str">
        <f>IF(ISBLANK($R3033),"",VLOOKUP($R3033,'Liste des Villes'!$B$2:$H$1128,4,FALSE))</f>
        <v>Laurentides</v>
      </c>
      <c r="T3033" s="2" t="s">
        <v>13664</v>
      </c>
      <c r="U3033" s="2" t="s">
        <v>39</v>
      </c>
      <c r="V3033" s="2" t="s">
        <v>40</v>
      </c>
      <c r="W3033" s="2" t="s">
        <v>13665</v>
      </c>
      <c r="X3033" s="2"/>
      <c r="Y3033" s="2"/>
      <c r="Z3033" s="2"/>
      <c r="AA3033" s="2" t="s">
        <v>13207</v>
      </c>
      <c r="AB3033" s="2" t="s">
        <v>13208</v>
      </c>
      <c r="AC3033" s="4" t="s">
        <v>44</v>
      </c>
    </row>
    <row r="3034" spans="1:29" x14ac:dyDescent="0.25">
      <c r="A3034" s="1">
        <v>4057</v>
      </c>
      <c r="B3034" s="17" t="s">
        <v>13666</v>
      </c>
      <c r="C3034" s="2" t="s">
        <v>8459</v>
      </c>
      <c r="D3034" s="15" t="s">
        <v>1845</v>
      </c>
      <c r="E3034" s="9" t="s">
        <v>2062</v>
      </c>
      <c r="F3034" s="9" t="s">
        <v>6676</v>
      </c>
      <c r="G3034" s="9" t="s">
        <v>12645</v>
      </c>
      <c r="H3034" s="2" t="s">
        <v>60</v>
      </c>
      <c r="I3034" s="3">
        <v>37005</v>
      </c>
      <c r="J3034" s="9" t="str">
        <f t="shared" ca="1" si="50"/>
        <v>22 ans</v>
      </c>
      <c r="K3034" s="2" t="s">
        <v>156</v>
      </c>
      <c r="L3034" s="2" t="str">
        <f>"1038"</f>
        <v>1038</v>
      </c>
      <c r="M3034" s="2"/>
      <c r="N3034" s="2" t="str">
        <f>"RUE DU GRENAT"</f>
        <v>RUE DU GRENAT</v>
      </c>
      <c r="O3034" s="2" t="s">
        <v>13204</v>
      </c>
      <c r="P3034" s="9" t="str">
        <f>VLOOKUP($O3034,'Liste des Villes'!$B$2:$B$1128,1,FALSE)</f>
        <v>Prévost</v>
      </c>
      <c r="Q3034" s="9" t="str">
        <f>IFERROR($P3034,PROPER(VLOOKUP($O3034,'Villes en erreur'!$A$2:$B$72,2,FALSE)))</f>
        <v>Prévost</v>
      </c>
      <c r="R3034" s="9" t="s">
        <v>1590</v>
      </c>
      <c r="S3034" s="9" t="str">
        <f>IF(ISBLANK($R3034),"",VLOOKUP($R3034,'Liste des Villes'!$B$2:$H$1128,4,FALSE))</f>
        <v>Laurentides</v>
      </c>
      <c r="T3034" s="2" t="s">
        <v>13667</v>
      </c>
      <c r="U3034" s="2" t="s">
        <v>39</v>
      </c>
      <c r="V3034" s="2" t="s">
        <v>40</v>
      </c>
      <c r="W3034" s="2" t="s">
        <v>13668</v>
      </c>
      <c r="X3034" s="2"/>
      <c r="Y3034" s="2"/>
      <c r="Z3034" s="2"/>
      <c r="AA3034" s="2" t="s">
        <v>375</v>
      </c>
      <c r="AB3034" s="2" t="s">
        <v>13208</v>
      </c>
      <c r="AC3034" s="4" t="s">
        <v>44</v>
      </c>
    </row>
    <row r="3035" spans="1:29" x14ac:dyDescent="0.25">
      <c r="A3035" s="1">
        <v>1353</v>
      </c>
      <c r="B3035" s="17" t="s">
        <v>13669</v>
      </c>
      <c r="C3035" s="2" t="s">
        <v>13670</v>
      </c>
      <c r="D3035" s="15" t="s">
        <v>7800</v>
      </c>
      <c r="E3035" s="9" t="s">
        <v>253</v>
      </c>
      <c r="F3035" s="9" t="s">
        <v>7799</v>
      </c>
      <c r="G3035" s="9" t="s">
        <v>13671</v>
      </c>
      <c r="H3035" s="2" t="s">
        <v>60</v>
      </c>
      <c r="I3035" s="3">
        <v>37004</v>
      </c>
      <c r="J3035" s="9" t="str">
        <f t="shared" ca="1" si="50"/>
        <v>22 ans</v>
      </c>
      <c r="K3035" s="2" t="s">
        <v>156</v>
      </c>
      <c r="L3035" s="2" t="str">
        <f>"1037"</f>
        <v>1037</v>
      </c>
      <c r="M3035" s="2"/>
      <c r="N3035" s="2" t="str">
        <f>"RUE DU GRENAT"</f>
        <v>RUE DU GRENAT</v>
      </c>
      <c r="O3035" s="2" t="s">
        <v>13204</v>
      </c>
      <c r="P3035" s="9" t="str">
        <f>VLOOKUP($O3035,'Liste des Villes'!$B$2:$B$1128,1,FALSE)</f>
        <v>Prévost</v>
      </c>
      <c r="Q3035" s="9" t="str">
        <f>IFERROR($P3035,PROPER(VLOOKUP($O3035,'Villes en erreur'!$A$2:$B$72,2,FALSE)))</f>
        <v>Prévost</v>
      </c>
      <c r="R3035" s="9" t="s">
        <v>1590</v>
      </c>
      <c r="S3035" s="9" t="str">
        <f>IF(ISBLANK($R3035),"",VLOOKUP($R3035,'Liste des Villes'!$B$2:$H$1128,4,FALSE))</f>
        <v>Laurentides</v>
      </c>
      <c r="T3035" s="2" t="s">
        <v>13600</v>
      </c>
      <c r="U3035" s="2" t="s">
        <v>39</v>
      </c>
      <c r="V3035" s="2" t="s">
        <v>40</v>
      </c>
      <c r="W3035" s="2" t="s">
        <v>13672</v>
      </c>
      <c r="X3035" s="2"/>
      <c r="Y3035" s="2"/>
      <c r="Z3035" s="2"/>
      <c r="AA3035" s="2" t="s">
        <v>375</v>
      </c>
      <c r="AB3035" s="2" t="s">
        <v>13208</v>
      </c>
      <c r="AC3035" s="4" t="s">
        <v>44</v>
      </c>
    </row>
    <row r="3036" spans="1:29" x14ac:dyDescent="0.25">
      <c r="A3036" s="1">
        <v>3105</v>
      </c>
      <c r="B3036" s="17" t="s">
        <v>13673</v>
      </c>
      <c r="C3036" s="2" t="s">
        <v>13674</v>
      </c>
      <c r="D3036" s="15" t="s">
        <v>8729</v>
      </c>
      <c r="E3036" s="9" t="s">
        <v>1236</v>
      </c>
      <c r="F3036" s="9" t="s">
        <v>13027</v>
      </c>
      <c r="G3036" s="9" t="s">
        <v>8434</v>
      </c>
      <c r="H3036" s="2" t="s">
        <v>60</v>
      </c>
      <c r="I3036" s="3">
        <v>36958</v>
      </c>
      <c r="J3036" s="9" t="str">
        <f t="shared" ca="1" si="50"/>
        <v>22 ans</v>
      </c>
      <c r="K3036" s="2" t="s">
        <v>156</v>
      </c>
      <c r="L3036" s="2" t="str">
        <f>"1004"</f>
        <v>1004</v>
      </c>
      <c r="M3036" s="2"/>
      <c r="N3036" s="2" t="str">
        <f>"RUE DU CHEVALIER"</f>
        <v>RUE DU CHEVALIER</v>
      </c>
      <c r="O3036" s="2" t="s">
        <v>13204</v>
      </c>
      <c r="P3036" s="9" t="str">
        <f>VLOOKUP($O3036,'Liste des Villes'!$B$2:$B$1128,1,FALSE)</f>
        <v>Prévost</v>
      </c>
      <c r="Q3036" s="9" t="str">
        <f>IFERROR($P3036,PROPER(VLOOKUP($O3036,'Villes en erreur'!$A$2:$B$72,2,FALSE)))</f>
        <v>Prévost</v>
      </c>
      <c r="R3036" s="9" t="s">
        <v>1590</v>
      </c>
      <c r="S3036" s="9" t="str">
        <f>IF(ISBLANK($R3036),"",VLOOKUP($R3036,'Liste des Villes'!$B$2:$H$1128,4,FALSE))</f>
        <v>Laurentides</v>
      </c>
      <c r="T3036" s="2" t="s">
        <v>13327</v>
      </c>
      <c r="U3036" s="2" t="s">
        <v>39</v>
      </c>
      <c r="V3036" s="2" t="s">
        <v>40</v>
      </c>
      <c r="W3036" s="2" t="s">
        <v>13675</v>
      </c>
      <c r="X3036" s="2"/>
      <c r="Y3036" s="2"/>
      <c r="Z3036" s="2"/>
      <c r="AA3036" s="2" t="s">
        <v>160</v>
      </c>
      <c r="AB3036" s="2" t="s">
        <v>13208</v>
      </c>
      <c r="AC3036" s="4" t="s">
        <v>44</v>
      </c>
    </row>
    <row r="3037" spans="1:29" x14ac:dyDescent="0.25">
      <c r="A3037" s="1">
        <v>2096</v>
      </c>
      <c r="B3037" s="17" t="s">
        <v>13676</v>
      </c>
      <c r="C3037" s="2" t="s">
        <v>13677</v>
      </c>
      <c r="D3037" s="15" t="s">
        <v>841</v>
      </c>
      <c r="E3037" s="9" t="s">
        <v>332</v>
      </c>
      <c r="F3037" s="9" t="s">
        <v>839</v>
      </c>
      <c r="G3037" s="9" t="s">
        <v>2614</v>
      </c>
      <c r="H3037" s="2" t="s">
        <v>60</v>
      </c>
      <c r="I3037" s="3">
        <v>36977</v>
      </c>
      <c r="J3037" s="9" t="str">
        <f t="shared" ca="1" si="50"/>
        <v>22 ans</v>
      </c>
      <c r="K3037" s="2" t="s">
        <v>156</v>
      </c>
      <c r="L3037" s="2" t="str">
        <f>"1015"</f>
        <v>1015</v>
      </c>
      <c r="M3037" s="2"/>
      <c r="N3037" s="2" t="str">
        <f>"RUE DU COLIBRI"</f>
        <v>RUE DU COLIBRI</v>
      </c>
      <c r="O3037" s="2" t="s">
        <v>13204</v>
      </c>
      <c r="P3037" s="9" t="str">
        <f>VLOOKUP($O3037,'Liste des Villes'!$B$2:$B$1128,1,FALSE)</f>
        <v>Prévost</v>
      </c>
      <c r="Q3037" s="9" t="str">
        <f>IFERROR($P3037,PROPER(VLOOKUP($O3037,'Villes en erreur'!$A$2:$B$72,2,FALSE)))</f>
        <v>Prévost</v>
      </c>
      <c r="R3037" s="9" t="s">
        <v>1590</v>
      </c>
      <c r="S3037" s="9" t="str">
        <f>IF(ISBLANK($R3037),"",VLOOKUP($R3037,'Liste des Villes'!$B$2:$H$1128,4,FALSE))</f>
        <v>Laurentides</v>
      </c>
      <c r="T3037" s="2" t="s">
        <v>13340</v>
      </c>
      <c r="U3037" s="2" t="s">
        <v>39</v>
      </c>
      <c r="V3037" s="2" t="s">
        <v>40</v>
      </c>
      <c r="W3037" s="2" t="s">
        <v>13678</v>
      </c>
      <c r="X3037" s="2"/>
      <c r="Y3037" s="2"/>
      <c r="Z3037" s="2"/>
      <c r="AA3037" s="2" t="s">
        <v>160</v>
      </c>
      <c r="AB3037" s="2" t="s">
        <v>13208</v>
      </c>
      <c r="AC3037" s="4" t="s">
        <v>44</v>
      </c>
    </row>
    <row r="3038" spans="1:29" x14ac:dyDescent="0.25">
      <c r="A3038" s="1">
        <v>3327</v>
      </c>
      <c r="B3038" s="17" t="s">
        <v>13679</v>
      </c>
      <c r="C3038" s="2" t="s">
        <v>13680</v>
      </c>
      <c r="D3038" s="15" t="s">
        <v>1710</v>
      </c>
      <c r="E3038" s="9" t="s">
        <v>685</v>
      </c>
      <c r="F3038" s="9" t="s">
        <v>1708</v>
      </c>
      <c r="G3038" s="9" t="s">
        <v>3595</v>
      </c>
      <c r="H3038" s="2" t="s">
        <v>35</v>
      </c>
      <c r="I3038" s="3">
        <v>36990</v>
      </c>
      <c r="J3038" s="9" t="str">
        <f t="shared" ca="1" si="50"/>
        <v>22 ans</v>
      </c>
      <c r="K3038" s="2" t="s">
        <v>156</v>
      </c>
      <c r="L3038" s="2" t="str">
        <f>"1026"</f>
        <v>1026</v>
      </c>
      <c r="M3038" s="2"/>
      <c r="N3038" s="2" t="str">
        <f>"RUE DU DOMAINE"</f>
        <v>RUE DU DOMAINE</v>
      </c>
      <c r="O3038" s="2" t="s">
        <v>13204</v>
      </c>
      <c r="P3038" s="9" t="str">
        <f>VLOOKUP($O3038,'Liste des Villes'!$B$2:$B$1128,1,FALSE)</f>
        <v>Prévost</v>
      </c>
      <c r="Q3038" s="9" t="str">
        <f>IFERROR($P3038,PROPER(VLOOKUP($O3038,'Villes en erreur'!$A$2:$B$72,2,FALSE)))</f>
        <v>Prévost</v>
      </c>
      <c r="R3038" s="9" t="s">
        <v>1590</v>
      </c>
      <c r="S3038" s="9" t="str">
        <f>IF(ISBLANK($R3038),"",VLOOKUP($R3038,'Liste des Villes'!$B$2:$H$1128,4,FALSE))</f>
        <v>Laurentides</v>
      </c>
      <c r="T3038" s="2" t="s">
        <v>13681</v>
      </c>
      <c r="U3038" s="2" t="s">
        <v>39</v>
      </c>
      <c r="V3038" s="2" t="s">
        <v>40</v>
      </c>
      <c r="W3038" s="2" t="s">
        <v>13682</v>
      </c>
      <c r="X3038" s="2"/>
      <c r="Y3038" s="2"/>
      <c r="Z3038" s="2"/>
      <c r="AA3038" s="2" t="s">
        <v>13207</v>
      </c>
      <c r="AB3038" s="2" t="s">
        <v>13208</v>
      </c>
      <c r="AC3038" s="4" t="s">
        <v>44</v>
      </c>
    </row>
    <row r="3039" spans="1:29" x14ac:dyDescent="0.25">
      <c r="A3039" s="1">
        <v>1181</v>
      </c>
      <c r="B3039" s="17" t="s">
        <v>13683</v>
      </c>
      <c r="C3039" s="2" t="s">
        <v>10958</v>
      </c>
      <c r="D3039" s="15" t="s">
        <v>2139</v>
      </c>
      <c r="E3039" s="9" t="s">
        <v>10959</v>
      </c>
      <c r="F3039" s="9" t="s">
        <v>2937</v>
      </c>
      <c r="G3039" s="9" t="s">
        <v>1453</v>
      </c>
      <c r="H3039" s="2" t="s">
        <v>60</v>
      </c>
      <c r="I3039" s="3">
        <v>37018</v>
      </c>
      <c r="J3039" s="9" t="str">
        <f t="shared" ca="1" si="50"/>
        <v>22 ans</v>
      </c>
      <c r="K3039" s="2" t="s">
        <v>156</v>
      </c>
      <c r="L3039" s="2" t="str">
        <f>"1050"</f>
        <v>1050</v>
      </c>
      <c r="M3039" s="2"/>
      <c r="N3039" s="2" t="str">
        <f>"RUE DU MAÇON"</f>
        <v>RUE DU MAÇON</v>
      </c>
      <c r="O3039" s="2" t="s">
        <v>13204</v>
      </c>
      <c r="P3039" s="9" t="str">
        <f>VLOOKUP($O3039,'Liste des Villes'!$B$2:$B$1128,1,FALSE)</f>
        <v>Prévost</v>
      </c>
      <c r="Q3039" s="9" t="str">
        <f>IFERROR($P3039,PROPER(VLOOKUP($O3039,'Villes en erreur'!$A$2:$B$72,2,FALSE)))</f>
        <v>Prévost</v>
      </c>
      <c r="R3039" s="9" t="s">
        <v>1590</v>
      </c>
      <c r="S3039" s="9" t="str">
        <f>IF(ISBLANK($R3039),"",VLOOKUP($R3039,'Liste des Villes'!$B$2:$H$1128,4,FALSE))</f>
        <v>Laurentides</v>
      </c>
      <c r="T3039" s="2" t="s">
        <v>13684</v>
      </c>
      <c r="U3039" s="2" t="s">
        <v>39</v>
      </c>
      <c r="V3039" s="2" t="s">
        <v>40</v>
      </c>
      <c r="W3039" s="2" t="s">
        <v>13685</v>
      </c>
      <c r="X3039" s="2"/>
      <c r="Y3039" s="2"/>
      <c r="Z3039" s="2"/>
      <c r="AA3039" s="2" t="s">
        <v>375</v>
      </c>
      <c r="AB3039" s="2" t="s">
        <v>376</v>
      </c>
      <c r="AC3039" s="4" t="s">
        <v>44</v>
      </c>
    </row>
    <row r="3040" spans="1:29" x14ac:dyDescent="0.25">
      <c r="A3040" s="1">
        <v>3375</v>
      </c>
      <c r="B3040" s="17" t="s">
        <v>13686</v>
      </c>
      <c r="C3040" s="2" t="s">
        <v>13687</v>
      </c>
      <c r="D3040" s="15" t="s">
        <v>354</v>
      </c>
      <c r="E3040" s="9" t="s">
        <v>1907</v>
      </c>
      <c r="F3040" s="9" t="s">
        <v>9857</v>
      </c>
      <c r="G3040" s="9" t="s">
        <v>253</v>
      </c>
      <c r="H3040" s="2" t="s">
        <v>35</v>
      </c>
      <c r="I3040" s="3">
        <v>36966</v>
      </c>
      <c r="J3040" s="9" t="str">
        <f t="shared" ca="1" si="50"/>
        <v>22 ans</v>
      </c>
      <c r="K3040" s="2" t="s">
        <v>156</v>
      </c>
      <c r="L3040" s="2" t="str">
        <f>"1007"</f>
        <v>1007</v>
      </c>
      <c r="M3040" s="2"/>
      <c r="N3040" s="2" t="str">
        <f>"RUE DU CLOS-DES-ARTISANS"</f>
        <v>RUE DU CLOS-DES-ARTISANS</v>
      </c>
      <c r="O3040" s="2" t="s">
        <v>13204</v>
      </c>
      <c r="P3040" s="9" t="str">
        <f>VLOOKUP($O3040,'Liste des Villes'!$B$2:$B$1128,1,FALSE)</f>
        <v>Prévost</v>
      </c>
      <c r="Q3040" s="9" t="str">
        <f>IFERROR($P3040,PROPER(VLOOKUP($O3040,'Villes en erreur'!$A$2:$B$72,2,FALSE)))</f>
        <v>Prévost</v>
      </c>
      <c r="R3040" s="9" t="s">
        <v>1590</v>
      </c>
      <c r="S3040" s="9" t="str">
        <f>IF(ISBLANK($R3040),"",VLOOKUP($R3040,'Liste des Villes'!$B$2:$H$1128,4,FALSE))</f>
        <v>Laurentides</v>
      </c>
      <c r="T3040" s="2" t="s">
        <v>13639</v>
      </c>
      <c r="U3040" s="2" t="s">
        <v>39</v>
      </c>
      <c r="V3040" s="2" t="s">
        <v>40</v>
      </c>
      <c r="W3040" s="2" t="s">
        <v>13688</v>
      </c>
      <c r="X3040" s="2"/>
      <c r="Y3040" s="2"/>
      <c r="Z3040" s="2"/>
      <c r="AA3040" s="2" t="s">
        <v>160</v>
      </c>
      <c r="AB3040" s="2" t="s">
        <v>13208</v>
      </c>
      <c r="AC3040" s="4" t="s">
        <v>44</v>
      </c>
    </row>
    <row r="3041" spans="1:29" x14ac:dyDescent="0.25">
      <c r="A3041" s="1">
        <v>3889</v>
      </c>
      <c r="B3041" s="17" t="s">
        <v>13689</v>
      </c>
      <c r="C3041" s="2" t="s">
        <v>2186</v>
      </c>
      <c r="D3041" s="15" t="s">
        <v>2187</v>
      </c>
      <c r="E3041" s="9" t="s">
        <v>610</v>
      </c>
      <c r="F3041" s="9" t="s">
        <v>11638</v>
      </c>
      <c r="G3041" s="9" t="s">
        <v>253</v>
      </c>
      <c r="H3041" s="2" t="s">
        <v>35</v>
      </c>
      <c r="I3041" s="3">
        <v>36974</v>
      </c>
      <c r="J3041" s="9" t="str">
        <f t="shared" ca="1" si="50"/>
        <v>22 ans</v>
      </c>
      <c r="K3041" s="2" t="s">
        <v>156</v>
      </c>
      <c r="L3041" s="2" t="str">
        <f>"1011"</f>
        <v>1011</v>
      </c>
      <c r="M3041" s="2"/>
      <c r="N3041" s="2" t="str">
        <f>"RUE DU CLOS-DU-ROI"</f>
        <v>RUE DU CLOS-DU-ROI</v>
      </c>
      <c r="O3041" s="2" t="s">
        <v>13204</v>
      </c>
      <c r="P3041" s="9" t="str">
        <f>VLOOKUP($O3041,'Liste des Villes'!$B$2:$B$1128,1,FALSE)</f>
        <v>Prévost</v>
      </c>
      <c r="Q3041" s="9" t="str">
        <f>IFERROR($P3041,PROPER(VLOOKUP($O3041,'Villes en erreur'!$A$2:$B$72,2,FALSE)))</f>
        <v>Prévost</v>
      </c>
      <c r="R3041" s="9" t="s">
        <v>1590</v>
      </c>
      <c r="S3041" s="9" t="str">
        <f>IF(ISBLANK($R3041),"",VLOOKUP($R3041,'Liste des Villes'!$B$2:$H$1128,4,FALSE))</f>
        <v>Laurentides</v>
      </c>
      <c r="T3041" s="2" t="s">
        <v>13690</v>
      </c>
      <c r="U3041" s="2" t="s">
        <v>39</v>
      </c>
      <c r="V3041" s="2" t="s">
        <v>40</v>
      </c>
      <c r="W3041" s="2" t="s">
        <v>13691</v>
      </c>
      <c r="X3041" s="2"/>
      <c r="Y3041" s="2"/>
      <c r="Z3041" s="2"/>
      <c r="AA3041" s="2" t="s">
        <v>160</v>
      </c>
      <c r="AB3041" s="2" t="s">
        <v>13208</v>
      </c>
      <c r="AC3041" s="4" t="s">
        <v>44</v>
      </c>
    </row>
    <row r="3042" spans="1:29" x14ac:dyDescent="0.25">
      <c r="A3042" s="1">
        <v>3814</v>
      </c>
      <c r="B3042" s="17" t="s">
        <v>13692</v>
      </c>
      <c r="C3042" s="2" t="s">
        <v>6633</v>
      </c>
      <c r="D3042" s="15" t="s">
        <v>6634</v>
      </c>
      <c r="E3042" s="9" t="s">
        <v>775</v>
      </c>
      <c r="F3042" s="9" t="s">
        <v>6635</v>
      </c>
      <c r="G3042" s="9" t="s">
        <v>253</v>
      </c>
      <c r="H3042" s="2" t="s">
        <v>35</v>
      </c>
      <c r="I3042" s="3">
        <v>36971</v>
      </c>
      <c r="J3042" s="9" t="str">
        <f t="shared" ca="1" si="50"/>
        <v>22 ans</v>
      </c>
      <c r="K3042" s="2" t="s">
        <v>156</v>
      </c>
      <c r="L3042" s="2" t="str">
        <f>"1010"</f>
        <v>1010</v>
      </c>
      <c r="M3042" s="2"/>
      <c r="N3042" s="2" t="str">
        <f>"RUE DU CLOS-DU-MEUNIER"</f>
        <v>RUE DU CLOS-DU-MEUNIER</v>
      </c>
      <c r="O3042" s="2" t="s">
        <v>13204</v>
      </c>
      <c r="P3042" s="9" t="str">
        <f>VLOOKUP($O3042,'Liste des Villes'!$B$2:$B$1128,1,FALSE)</f>
        <v>Prévost</v>
      </c>
      <c r="Q3042" s="9" t="str">
        <f>IFERROR($P3042,PROPER(VLOOKUP($O3042,'Villes en erreur'!$A$2:$B$72,2,FALSE)))</f>
        <v>Prévost</v>
      </c>
      <c r="R3042" s="9" t="s">
        <v>1590</v>
      </c>
      <c r="S3042" s="9" t="str">
        <f>IF(ISBLANK($R3042),"",VLOOKUP($R3042,'Liste des Villes'!$B$2:$H$1128,4,FALSE))</f>
        <v>Laurentides</v>
      </c>
      <c r="T3042" s="2" t="s">
        <v>13452</v>
      </c>
      <c r="U3042" s="2" t="s">
        <v>39</v>
      </c>
      <c r="V3042" s="2" t="s">
        <v>40</v>
      </c>
      <c r="W3042" s="2" t="s">
        <v>13693</v>
      </c>
      <c r="X3042" s="2"/>
      <c r="Y3042" s="2"/>
      <c r="Z3042" s="2"/>
      <c r="AA3042" s="2" t="s">
        <v>160</v>
      </c>
      <c r="AB3042" s="2" t="s">
        <v>13208</v>
      </c>
      <c r="AC3042" s="4" t="s">
        <v>44</v>
      </c>
    </row>
    <row r="3043" spans="1:29" x14ac:dyDescent="0.25">
      <c r="A3043" s="1">
        <v>743</v>
      </c>
      <c r="B3043" s="17" t="s">
        <v>13694</v>
      </c>
      <c r="C3043" s="2" t="s">
        <v>13695</v>
      </c>
      <c r="D3043" s="15" t="s">
        <v>12593</v>
      </c>
      <c r="E3043" s="9" t="s">
        <v>1410</v>
      </c>
      <c r="F3043" s="9" t="s">
        <v>5079</v>
      </c>
      <c r="G3043" s="9" t="s">
        <v>956</v>
      </c>
      <c r="H3043" s="2" t="s">
        <v>60</v>
      </c>
      <c r="I3043" s="3">
        <v>36945</v>
      </c>
      <c r="J3043" s="9" t="str">
        <f t="shared" ca="1" si="50"/>
        <v>22 ans</v>
      </c>
      <c r="K3043" s="2" t="s">
        <v>156</v>
      </c>
      <c r="L3043" s="2" t="str">
        <f>"980"</f>
        <v>980</v>
      </c>
      <c r="M3043" s="2"/>
      <c r="N3043" s="2" t="str">
        <f>"RUE DU BONNIEBROOK"</f>
        <v>RUE DU BONNIEBROOK</v>
      </c>
      <c r="O3043" s="2" t="s">
        <v>13204</v>
      </c>
      <c r="P3043" s="9" t="str">
        <f>VLOOKUP($O3043,'Liste des Villes'!$B$2:$B$1128,1,FALSE)</f>
        <v>Prévost</v>
      </c>
      <c r="Q3043" s="9" t="str">
        <f>IFERROR($P3043,PROPER(VLOOKUP($O3043,'Villes en erreur'!$A$2:$B$72,2,FALSE)))</f>
        <v>Prévost</v>
      </c>
      <c r="R3043" s="9" t="s">
        <v>1590</v>
      </c>
      <c r="S3043" s="9" t="str">
        <f>IF(ISBLANK($R3043),"",VLOOKUP($R3043,'Liste des Villes'!$B$2:$H$1128,4,FALSE))</f>
        <v>Laurentides</v>
      </c>
      <c r="T3043" s="2" t="s">
        <v>13696</v>
      </c>
      <c r="U3043" s="2" t="s">
        <v>39</v>
      </c>
      <c r="V3043" s="2" t="s">
        <v>40</v>
      </c>
      <c r="W3043" s="2" t="s">
        <v>13697</v>
      </c>
      <c r="X3043" s="2"/>
      <c r="Y3043" s="2"/>
      <c r="Z3043" s="2"/>
      <c r="AA3043" s="2" t="s">
        <v>160</v>
      </c>
      <c r="AB3043" s="2" t="s">
        <v>161</v>
      </c>
      <c r="AC3043" s="4" t="s">
        <v>44</v>
      </c>
    </row>
    <row r="3044" spans="1:29" x14ac:dyDescent="0.25">
      <c r="A3044" s="1">
        <v>2109</v>
      </c>
      <c r="B3044" s="17" t="s">
        <v>13698</v>
      </c>
      <c r="C3044" s="2" t="s">
        <v>3155</v>
      </c>
      <c r="D3044" s="15" t="s">
        <v>2233</v>
      </c>
      <c r="E3044" s="9" t="s">
        <v>3156</v>
      </c>
      <c r="F3044" s="9" t="s">
        <v>2232</v>
      </c>
      <c r="G3044" s="9" t="s">
        <v>2198</v>
      </c>
      <c r="H3044" s="2" t="s">
        <v>35</v>
      </c>
      <c r="I3044" s="3">
        <v>36987</v>
      </c>
      <c r="J3044" s="9" t="str">
        <f t="shared" ca="1" si="50"/>
        <v>22 ans</v>
      </c>
      <c r="K3044" s="2" t="s">
        <v>156</v>
      </c>
      <c r="L3044" s="2" t="str">
        <f>"1022"</f>
        <v>1022</v>
      </c>
      <c r="M3044" s="2"/>
      <c r="N3044" s="2" t="str">
        <f>"RUE DU DIAMANT"</f>
        <v>RUE DU DIAMANT</v>
      </c>
      <c r="O3044" s="2" t="s">
        <v>13204</v>
      </c>
      <c r="P3044" s="9" t="str">
        <f>VLOOKUP($O3044,'Liste des Villes'!$B$2:$B$1128,1,FALSE)</f>
        <v>Prévost</v>
      </c>
      <c r="Q3044" s="9" t="str">
        <f>IFERROR($P3044,PROPER(VLOOKUP($O3044,'Villes en erreur'!$A$2:$B$72,2,FALSE)))</f>
        <v>Prévost</v>
      </c>
      <c r="R3044" s="9" t="s">
        <v>1590</v>
      </c>
      <c r="S3044" s="9" t="str">
        <f>IF(ISBLANK($R3044),"",VLOOKUP($R3044,'Liste des Villes'!$B$2:$H$1128,4,FALSE))</f>
        <v>Laurentides</v>
      </c>
      <c r="T3044" s="2" t="s">
        <v>13228</v>
      </c>
      <c r="U3044" s="2" t="s">
        <v>39</v>
      </c>
      <c r="V3044" s="2" t="s">
        <v>40</v>
      </c>
      <c r="W3044" s="2" t="s">
        <v>13699</v>
      </c>
      <c r="X3044" s="2"/>
      <c r="Y3044" s="2"/>
      <c r="Z3044" s="2"/>
      <c r="AA3044" s="2" t="s">
        <v>13207</v>
      </c>
      <c r="AB3044" s="2" t="s">
        <v>13208</v>
      </c>
      <c r="AC3044" s="4" t="s">
        <v>44</v>
      </c>
    </row>
    <row r="3045" spans="1:29" x14ac:dyDescent="0.25">
      <c r="A3045" s="1">
        <v>3947</v>
      </c>
      <c r="B3045" s="17" t="s">
        <v>13700</v>
      </c>
      <c r="C3045" s="2" t="s">
        <v>8960</v>
      </c>
      <c r="D3045" s="15" t="s">
        <v>6669</v>
      </c>
      <c r="E3045" s="9" t="s">
        <v>8075</v>
      </c>
      <c r="F3045" s="9" t="s">
        <v>449</v>
      </c>
      <c r="G3045" s="9" t="s">
        <v>253</v>
      </c>
      <c r="H3045" s="2" t="s">
        <v>35</v>
      </c>
      <c r="I3045" s="3">
        <v>36975</v>
      </c>
      <c r="J3045" s="9" t="str">
        <f t="shared" ca="1" si="50"/>
        <v>22 ans</v>
      </c>
      <c r="K3045" s="2" t="s">
        <v>156</v>
      </c>
      <c r="L3045" s="2" t="str">
        <f>"1012"</f>
        <v>1012</v>
      </c>
      <c r="M3045" s="2"/>
      <c r="N3045" s="2" t="str">
        <f>"RUE DU CLOS-MICOT"</f>
        <v>RUE DU CLOS-MICOT</v>
      </c>
      <c r="O3045" s="2" t="s">
        <v>13204</v>
      </c>
      <c r="P3045" s="9" t="str">
        <f>VLOOKUP($O3045,'Liste des Villes'!$B$2:$B$1128,1,FALSE)</f>
        <v>Prévost</v>
      </c>
      <c r="Q3045" s="9" t="str">
        <f>IFERROR($P3045,PROPER(VLOOKUP($O3045,'Villes en erreur'!$A$2:$B$72,2,FALSE)))</f>
        <v>Prévost</v>
      </c>
      <c r="R3045" s="9" t="s">
        <v>1590</v>
      </c>
      <c r="S3045" s="9" t="str">
        <f>IF(ISBLANK($R3045),"",VLOOKUP($R3045,'Liste des Villes'!$B$2:$H$1128,4,FALSE))</f>
        <v>Laurentides</v>
      </c>
      <c r="T3045" s="2" t="s">
        <v>13701</v>
      </c>
      <c r="U3045" s="2" t="s">
        <v>39</v>
      </c>
      <c r="V3045" s="2" t="s">
        <v>40</v>
      </c>
      <c r="W3045" s="2" t="s">
        <v>13702</v>
      </c>
      <c r="X3045" s="2"/>
      <c r="Y3045" s="2"/>
      <c r="Z3045" s="2"/>
      <c r="AA3045" s="2" t="s">
        <v>160</v>
      </c>
      <c r="AB3045" s="2" t="s">
        <v>13208</v>
      </c>
      <c r="AC3045" s="4" t="s">
        <v>44</v>
      </c>
    </row>
    <row r="3046" spans="1:29" x14ac:dyDescent="0.25">
      <c r="A3046" s="1">
        <v>2493</v>
      </c>
      <c r="B3046" s="17" t="s">
        <v>13703</v>
      </c>
      <c r="C3046" s="2" t="s">
        <v>13704</v>
      </c>
      <c r="D3046" s="15" t="s">
        <v>13705</v>
      </c>
      <c r="E3046" s="9" t="s">
        <v>1524</v>
      </c>
      <c r="F3046" s="9" t="s">
        <v>13706</v>
      </c>
      <c r="G3046" s="9" t="s">
        <v>2049</v>
      </c>
      <c r="H3046" s="2" t="s">
        <v>35</v>
      </c>
      <c r="I3046" s="3">
        <v>37012</v>
      </c>
      <c r="J3046" s="9" t="str">
        <f t="shared" ca="1" si="50"/>
        <v>22 ans</v>
      </c>
      <c r="K3046" s="2" t="s">
        <v>156</v>
      </c>
      <c r="L3046" s="2" t="str">
        <f>"1045"</f>
        <v>1045</v>
      </c>
      <c r="M3046" s="2"/>
      <c r="N3046" s="2" t="str">
        <f>"RUE DU JARDIN"</f>
        <v>RUE DU JARDIN</v>
      </c>
      <c r="O3046" s="2" t="s">
        <v>13204</v>
      </c>
      <c r="P3046" s="9" t="str">
        <f>VLOOKUP($O3046,'Liste des Villes'!$B$2:$B$1128,1,FALSE)</f>
        <v>Prévost</v>
      </c>
      <c r="Q3046" s="9" t="str">
        <f>IFERROR($P3046,PROPER(VLOOKUP($O3046,'Villes en erreur'!$A$2:$B$72,2,FALSE)))</f>
        <v>Prévost</v>
      </c>
      <c r="R3046" s="9" t="s">
        <v>1590</v>
      </c>
      <c r="S3046" s="9" t="str">
        <f>IF(ISBLANK($R3046),"",VLOOKUP($R3046,'Liste des Villes'!$B$2:$H$1128,4,FALSE))</f>
        <v>Laurentides</v>
      </c>
      <c r="T3046" s="2" t="s">
        <v>13707</v>
      </c>
      <c r="U3046" s="2" t="s">
        <v>39</v>
      </c>
      <c r="V3046" s="2" t="s">
        <v>40</v>
      </c>
      <c r="W3046" s="2" t="s">
        <v>13708</v>
      </c>
      <c r="X3046" s="2"/>
      <c r="Y3046" s="2"/>
      <c r="Z3046" s="2"/>
      <c r="AA3046" s="2" t="s">
        <v>375</v>
      </c>
      <c r="AB3046" s="2" t="s">
        <v>13208</v>
      </c>
      <c r="AC3046" s="4" t="s">
        <v>44</v>
      </c>
    </row>
    <row r="3047" spans="1:29" x14ac:dyDescent="0.25">
      <c r="A3047" s="1">
        <v>947</v>
      </c>
      <c r="B3047" s="17" t="s">
        <v>13709</v>
      </c>
      <c r="C3047" s="2" t="s">
        <v>13710</v>
      </c>
      <c r="D3047" s="15" t="s">
        <v>13189</v>
      </c>
      <c r="E3047" s="9" t="s">
        <v>233</v>
      </c>
      <c r="F3047" s="9" t="s">
        <v>1508</v>
      </c>
      <c r="G3047" s="9" t="s">
        <v>2198</v>
      </c>
      <c r="H3047" s="2" t="s">
        <v>35</v>
      </c>
      <c r="I3047" s="3">
        <v>36985</v>
      </c>
      <c r="J3047" s="9" t="str">
        <f t="shared" ca="1" si="50"/>
        <v>22 ans</v>
      </c>
      <c r="K3047" s="2" t="s">
        <v>156</v>
      </c>
      <c r="L3047" s="2" t="str">
        <f>"1021"</f>
        <v>1021</v>
      </c>
      <c r="M3047" s="2"/>
      <c r="N3047" s="2" t="str">
        <f>"RUE DU DIAMANT"</f>
        <v>RUE DU DIAMANT</v>
      </c>
      <c r="O3047" s="2" t="s">
        <v>13204</v>
      </c>
      <c r="P3047" s="9" t="str">
        <f>VLOOKUP($O3047,'Liste des Villes'!$B$2:$B$1128,1,FALSE)</f>
        <v>Prévost</v>
      </c>
      <c r="Q3047" s="9" t="str">
        <f>IFERROR($P3047,PROPER(VLOOKUP($O3047,'Villes en erreur'!$A$2:$B$72,2,FALSE)))</f>
        <v>Prévost</v>
      </c>
      <c r="R3047" s="9" t="s">
        <v>1590</v>
      </c>
      <c r="S3047" s="9" t="str">
        <f>IF(ISBLANK($R3047),"",VLOOKUP($R3047,'Liste des Villes'!$B$2:$H$1128,4,FALSE))</f>
        <v>Laurentides</v>
      </c>
      <c r="T3047" s="2" t="s">
        <v>13246</v>
      </c>
      <c r="U3047" s="2" t="s">
        <v>39</v>
      </c>
      <c r="V3047" s="2" t="s">
        <v>40</v>
      </c>
      <c r="W3047" s="2" t="s">
        <v>13711</v>
      </c>
      <c r="X3047" s="2"/>
      <c r="Y3047" s="2"/>
      <c r="Z3047" s="2"/>
      <c r="AA3047" s="2" t="s">
        <v>13207</v>
      </c>
      <c r="AB3047" s="2" t="s">
        <v>13208</v>
      </c>
      <c r="AC3047" s="4" t="s">
        <v>44</v>
      </c>
    </row>
    <row r="3048" spans="1:29" x14ac:dyDescent="0.25">
      <c r="A3048" s="1">
        <v>2862</v>
      </c>
      <c r="B3048" s="17" t="s">
        <v>13712</v>
      </c>
      <c r="C3048" s="2" t="s">
        <v>4583</v>
      </c>
      <c r="D3048" s="15" t="s">
        <v>462</v>
      </c>
      <c r="E3048" s="9" t="s">
        <v>4584</v>
      </c>
      <c r="F3048" s="9" t="s">
        <v>460</v>
      </c>
      <c r="G3048" s="9" t="s">
        <v>253</v>
      </c>
      <c r="H3048" s="2" t="s">
        <v>35</v>
      </c>
      <c r="I3048" s="3">
        <v>36959</v>
      </c>
      <c r="J3048" s="9" t="str">
        <f t="shared" ca="1" si="50"/>
        <v>22 ans</v>
      </c>
      <c r="K3048" s="2" t="s">
        <v>156</v>
      </c>
      <c r="L3048" s="2" t="str">
        <f>"1005"</f>
        <v>1005</v>
      </c>
      <c r="M3048" s="2"/>
      <c r="N3048" s="2" t="str">
        <f>"RUE DU CLAIRON"</f>
        <v>RUE DU CLAIRON</v>
      </c>
      <c r="O3048" s="2" t="s">
        <v>13204</v>
      </c>
      <c r="P3048" s="9" t="str">
        <f>VLOOKUP($O3048,'Liste des Villes'!$B$2:$B$1128,1,FALSE)</f>
        <v>Prévost</v>
      </c>
      <c r="Q3048" s="9" t="str">
        <f>IFERROR($P3048,PROPER(VLOOKUP($O3048,'Villes en erreur'!$A$2:$B$72,2,FALSE)))</f>
        <v>Prévost</v>
      </c>
      <c r="R3048" s="9" t="s">
        <v>1590</v>
      </c>
      <c r="S3048" s="9" t="str">
        <f>IF(ISBLANK($R3048),"",VLOOKUP($R3048,'Liste des Villes'!$B$2:$H$1128,4,FALSE))</f>
        <v>Laurentides</v>
      </c>
      <c r="T3048" s="2" t="s">
        <v>13432</v>
      </c>
      <c r="U3048" s="2" t="s">
        <v>39</v>
      </c>
      <c r="V3048" s="2" t="s">
        <v>40</v>
      </c>
      <c r="W3048" s="2" t="s">
        <v>13713</v>
      </c>
      <c r="X3048" s="2"/>
      <c r="Y3048" s="2"/>
      <c r="Z3048" s="2"/>
      <c r="AA3048" s="2" t="s">
        <v>160</v>
      </c>
      <c r="AB3048" s="2" t="s">
        <v>13208</v>
      </c>
      <c r="AC3048" s="4" t="s">
        <v>44</v>
      </c>
    </row>
    <row r="3049" spans="1:29" x14ac:dyDescent="0.25">
      <c r="A3049" s="1">
        <v>3535</v>
      </c>
      <c r="B3049" s="17" t="s">
        <v>13714</v>
      </c>
      <c r="C3049" s="2" t="s">
        <v>13715</v>
      </c>
      <c r="D3049" s="15" t="s">
        <v>13716</v>
      </c>
      <c r="E3049" s="9" t="s">
        <v>1397</v>
      </c>
      <c r="F3049" s="9" t="s">
        <v>4026</v>
      </c>
      <c r="G3049" s="9" t="s">
        <v>5763</v>
      </c>
      <c r="H3049" s="2" t="s">
        <v>35</v>
      </c>
      <c r="I3049" s="3">
        <v>36980</v>
      </c>
      <c r="J3049" s="9" t="str">
        <f t="shared" ca="1" si="50"/>
        <v>22 ans</v>
      </c>
      <c r="K3049" s="2" t="s">
        <v>156</v>
      </c>
      <c r="L3049" s="2" t="str">
        <f>"1018"</f>
        <v>1018</v>
      </c>
      <c r="M3049" s="2"/>
      <c r="N3049" s="2" t="str">
        <f>"RUE DU CRISTAL"</f>
        <v>RUE DU CRISTAL</v>
      </c>
      <c r="O3049" s="2" t="s">
        <v>13204</v>
      </c>
      <c r="P3049" s="9" t="str">
        <f>VLOOKUP($O3049,'Liste des Villes'!$B$2:$B$1128,1,FALSE)</f>
        <v>Prévost</v>
      </c>
      <c r="Q3049" s="9" t="str">
        <f>IFERROR($P3049,PROPER(VLOOKUP($O3049,'Villes en erreur'!$A$2:$B$72,2,FALSE)))</f>
        <v>Prévost</v>
      </c>
      <c r="R3049" s="9" t="s">
        <v>1590</v>
      </c>
      <c r="S3049" s="9" t="str">
        <f>IF(ISBLANK($R3049),"",VLOOKUP($R3049,'Liste des Villes'!$B$2:$H$1128,4,FALSE))</f>
        <v>Laurentides</v>
      </c>
      <c r="T3049" s="2" t="s">
        <v>13717</v>
      </c>
      <c r="U3049" s="2" t="s">
        <v>39</v>
      </c>
      <c r="V3049" s="2" t="s">
        <v>40</v>
      </c>
      <c r="W3049" s="2" t="s">
        <v>13718</v>
      </c>
      <c r="X3049" s="2"/>
      <c r="Y3049" s="2"/>
      <c r="Z3049" s="2"/>
      <c r="AA3049" s="2" t="s">
        <v>13207</v>
      </c>
      <c r="AB3049" s="2" t="s">
        <v>13208</v>
      </c>
      <c r="AC3049" s="4" t="s">
        <v>44</v>
      </c>
    </row>
    <row r="3050" spans="1:29" x14ac:dyDescent="0.25">
      <c r="A3050" s="1">
        <v>1798</v>
      </c>
      <c r="B3050" s="17" t="s">
        <v>13719</v>
      </c>
      <c r="C3050" s="2" t="s">
        <v>13720</v>
      </c>
      <c r="D3050" s="15" t="s">
        <v>957</v>
      </c>
      <c r="E3050" s="9" t="s">
        <v>8322</v>
      </c>
      <c r="F3050" s="9" t="s">
        <v>955</v>
      </c>
      <c r="G3050" s="9" t="s">
        <v>3595</v>
      </c>
      <c r="H3050" s="2" t="s">
        <v>35</v>
      </c>
      <c r="I3050" s="3">
        <v>36993</v>
      </c>
      <c r="J3050" s="9" t="str">
        <f t="shared" ca="1" si="50"/>
        <v>22 ans</v>
      </c>
      <c r="K3050" s="2" t="s">
        <v>156</v>
      </c>
      <c r="L3050" s="2" t="str">
        <f>"1030"</f>
        <v>1030</v>
      </c>
      <c r="M3050" s="2"/>
      <c r="N3050" s="2" t="str">
        <f>"RUE DU DOMAINE-LEBEAU"</f>
        <v>RUE DU DOMAINE-LEBEAU</v>
      </c>
      <c r="O3050" s="2" t="s">
        <v>13204</v>
      </c>
      <c r="P3050" s="9" t="str">
        <f>VLOOKUP($O3050,'Liste des Villes'!$B$2:$B$1128,1,FALSE)</f>
        <v>Prévost</v>
      </c>
      <c r="Q3050" s="9" t="str">
        <f>IFERROR($P3050,PROPER(VLOOKUP($O3050,'Villes en erreur'!$A$2:$B$72,2,FALSE)))</f>
        <v>Prévost</v>
      </c>
      <c r="R3050" s="9" t="s">
        <v>1590</v>
      </c>
      <c r="S3050" s="9" t="str">
        <f>IF(ISBLANK($R3050),"",VLOOKUP($R3050,'Liste des Villes'!$B$2:$H$1128,4,FALSE))</f>
        <v>Laurentides</v>
      </c>
      <c r="T3050" s="2" t="s">
        <v>13721</v>
      </c>
      <c r="U3050" s="2" t="s">
        <v>39</v>
      </c>
      <c r="V3050" s="2" t="s">
        <v>40</v>
      </c>
      <c r="W3050" s="2" t="s">
        <v>13722</v>
      </c>
      <c r="X3050" s="2"/>
      <c r="Y3050" s="2"/>
      <c r="Z3050" s="2"/>
      <c r="AA3050" s="2" t="s">
        <v>13207</v>
      </c>
      <c r="AB3050" s="2" t="s">
        <v>13208</v>
      </c>
      <c r="AC3050" s="4" t="s">
        <v>44</v>
      </c>
    </row>
    <row r="3051" spans="1:29" x14ac:dyDescent="0.25">
      <c r="A3051" s="1">
        <v>1555</v>
      </c>
      <c r="B3051" s="17" t="s">
        <v>13723</v>
      </c>
      <c r="C3051" s="2" t="s">
        <v>13724</v>
      </c>
      <c r="D3051" s="15" t="s">
        <v>636</v>
      </c>
      <c r="E3051" s="9" t="s">
        <v>85</v>
      </c>
      <c r="F3051" s="9" t="s">
        <v>634</v>
      </c>
      <c r="G3051" s="9" t="s">
        <v>2049</v>
      </c>
      <c r="H3051" s="2" t="s">
        <v>35</v>
      </c>
      <c r="I3051" s="3">
        <v>37007</v>
      </c>
      <c r="J3051" s="9" t="str">
        <f t="shared" ca="1" si="50"/>
        <v>22 ans</v>
      </c>
      <c r="K3051" s="2" t="s">
        <v>156</v>
      </c>
      <c r="L3051" s="2" t="str">
        <f>"1040"</f>
        <v>1040</v>
      </c>
      <c r="M3051" s="2"/>
      <c r="N3051" s="2" t="str">
        <f>"RUE DU HAMEAU"</f>
        <v>RUE DU HAMEAU</v>
      </c>
      <c r="O3051" s="2" t="s">
        <v>13204</v>
      </c>
      <c r="P3051" s="9" t="str">
        <f>VLOOKUP($O3051,'Liste des Villes'!$B$2:$B$1128,1,FALSE)</f>
        <v>Prévost</v>
      </c>
      <c r="Q3051" s="9" t="str">
        <f>IFERROR($P3051,PROPER(VLOOKUP($O3051,'Villes en erreur'!$A$2:$B$72,2,FALSE)))</f>
        <v>Prévost</v>
      </c>
      <c r="R3051" s="9" t="s">
        <v>1590</v>
      </c>
      <c r="S3051" s="9" t="str">
        <f>IF(ISBLANK($R3051),"",VLOOKUP($R3051,'Liste des Villes'!$B$2:$H$1128,4,FALSE))</f>
        <v>Laurentides</v>
      </c>
      <c r="T3051" s="2" t="s">
        <v>13725</v>
      </c>
      <c r="U3051" s="2" t="s">
        <v>39</v>
      </c>
      <c r="V3051" s="2" t="s">
        <v>40</v>
      </c>
      <c r="W3051" s="2" t="s">
        <v>13726</v>
      </c>
      <c r="X3051" s="2"/>
      <c r="Y3051" s="2"/>
      <c r="Z3051" s="2"/>
      <c r="AA3051" s="2" t="s">
        <v>375</v>
      </c>
      <c r="AB3051" s="2" t="s">
        <v>13208</v>
      </c>
      <c r="AC3051" s="4" t="s">
        <v>44</v>
      </c>
    </row>
    <row r="3052" spans="1:29" x14ac:dyDescent="0.25">
      <c r="A3052" s="1">
        <v>4102</v>
      </c>
      <c r="B3052" s="17" t="s">
        <v>13727</v>
      </c>
      <c r="C3052" s="2" t="s">
        <v>13728</v>
      </c>
      <c r="D3052" s="15" t="s">
        <v>13632</v>
      </c>
      <c r="E3052" s="9" t="s">
        <v>8031</v>
      </c>
      <c r="F3052" s="9" t="s">
        <v>13631</v>
      </c>
      <c r="G3052" s="9" t="s">
        <v>6947</v>
      </c>
      <c r="H3052" s="2" t="s">
        <v>60</v>
      </c>
      <c r="I3052" s="3">
        <v>36943</v>
      </c>
      <c r="J3052" s="9" t="str">
        <f t="shared" ca="1" si="50"/>
        <v>22 ans</v>
      </c>
      <c r="K3052" s="2" t="s">
        <v>156</v>
      </c>
      <c r="L3052" s="2" t="str">
        <f>"977"</f>
        <v>977</v>
      </c>
      <c r="M3052" s="2"/>
      <c r="N3052" s="2" t="str">
        <f>"RUE DU BON AIR"</f>
        <v>RUE DU BON AIR</v>
      </c>
      <c r="O3052" s="2" t="s">
        <v>13204</v>
      </c>
      <c r="P3052" s="9" t="str">
        <f>VLOOKUP($O3052,'Liste des Villes'!$B$2:$B$1128,1,FALSE)</f>
        <v>Prévost</v>
      </c>
      <c r="Q3052" s="9" t="str">
        <f>IFERROR($P3052,PROPER(VLOOKUP($O3052,'Villes en erreur'!$A$2:$B$72,2,FALSE)))</f>
        <v>Prévost</v>
      </c>
      <c r="R3052" s="9" t="s">
        <v>1590</v>
      </c>
      <c r="S3052" s="9" t="str">
        <f>IF(ISBLANK($R3052),"",VLOOKUP($R3052,'Liste des Villes'!$B$2:$H$1128,4,FALSE))</f>
        <v>Laurentides</v>
      </c>
      <c r="T3052" s="2" t="s">
        <v>13530</v>
      </c>
      <c r="U3052" s="2" t="s">
        <v>39</v>
      </c>
      <c r="V3052" s="2" t="s">
        <v>40</v>
      </c>
      <c r="W3052" s="2" t="s">
        <v>13729</v>
      </c>
      <c r="X3052" s="2"/>
      <c r="Y3052" s="2"/>
      <c r="Z3052" s="2"/>
      <c r="AA3052" s="2" t="s">
        <v>160</v>
      </c>
      <c r="AB3052" s="2" t="s">
        <v>161</v>
      </c>
      <c r="AC3052" s="4" t="s">
        <v>44</v>
      </c>
    </row>
    <row r="3053" spans="1:29" x14ac:dyDescent="0.25">
      <c r="A3053" s="1">
        <v>2126</v>
      </c>
      <c r="B3053" s="17" t="s">
        <v>13730</v>
      </c>
      <c r="C3053" s="2" t="s">
        <v>13731</v>
      </c>
      <c r="D3053" s="15" t="s">
        <v>1038</v>
      </c>
      <c r="E3053" s="9" t="s">
        <v>1190</v>
      </c>
      <c r="F3053" s="9" t="s">
        <v>1036</v>
      </c>
      <c r="G3053" s="9" t="s">
        <v>1745</v>
      </c>
      <c r="H3053" s="2" t="s">
        <v>60</v>
      </c>
      <c r="I3053" s="3">
        <v>36979</v>
      </c>
      <c r="J3053" s="9" t="str">
        <f t="shared" ca="1" si="50"/>
        <v>22 ans</v>
      </c>
      <c r="K3053" s="2" t="s">
        <v>156</v>
      </c>
      <c r="L3053" s="2" t="str">
        <f>"1016"</f>
        <v>1016</v>
      </c>
      <c r="M3053" s="2"/>
      <c r="N3053" s="2" t="str">
        <f>"RUE DU COTEAU"</f>
        <v>RUE DU COTEAU</v>
      </c>
      <c r="O3053" s="2" t="s">
        <v>13204</v>
      </c>
      <c r="P3053" s="9" t="str">
        <f>VLOOKUP($O3053,'Liste des Villes'!$B$2:$B$1128,1,FALSE)</f>
        <v>Prévost</v>
      </c>
      <c r="Q3053" s="9" t="str">
        <f>IFERROR($P3053,PROPER(VLOOKUP($O3053,'Villes en erreur'!$A$2:$B$72,2,FALSE)))</f>
        <v>Prévost</v>
      </c>
      <c r="R3053" s="9" t="s">
        <v>1590</v>
      </c>
      <c r="S3053" s="9" t="str">
        <f>IF(ISBLANK($R3053),"",VLOOKUP($R3053,'Liste des Villes'!$B$2:$H$1128,4,FALSE))</f>
        <v>Laurentides</v>
      </c>
      <c r="T3053" s="2" t="s">
        <v>13411</v>
      </c>
      <c r="U3053" s="2" t="s">
        <v>39</v>
      </c>
      <c r="V3053" s="2" t="s">
        <v>40</v>
      </c>
      <c r="W3053" s="2" t="s">
        <v>13732</v>
      </c>
      <c r="X3053" s="2"/>
      <c r="Y3053" s="2"/>
      <c r="Z3053" s="2"/>
      <c r="AA3053" s="2" t="s">
        <v>13207</v>
      </c>
      <c r="AB3053" s="2" t="s">
        <v>13208</v>
      </c>
      <c r="AC3053" s="4" t="s">
        <v>44</v>
      </c>
    </row>
    <row r="3054" spans="1:29" x14ac:dyDescent="0.25">
      <c r="A3054" s="1">
        <v>2825</v>
      </c>
      <c r="B3054" s="17" t="s">
        <v>13733</v>
      </c>
      <c r="C3054" s="2" t="s">
        <v>13734</v>
      </c>
      <c r="D3054" s="15" t="s">
        <v>13735</v>
      </c>
      <c r="E3054" s="9" t="s">
        <v>85</v>
      </c>
      <c r="F3054" s="9" t="s">
        <v>634</v>
      </c>
      <c r="G3054" s="9" t="s">
        <v>956</v>
      </c>
      <c r="H3054" s="2" t="s">
        <v>60</v>
      </c>
      <c r="I3054" s="3">
        <v>36944</v>
      </c>
      <c r="J3054" s="9" t="str">
        <f t="shared" ca="1" si="50"/>
        <v>22 ans</v>
      </c>
      <c r="K3054" s="2" t="s">
        <v>156</v>
      </c>
      <c r="L3054" s="2" t="str">
        <f>"979"</f>
        <v>979</v>
      </c>
      <c r="M3054" s="2"/>
      <c r="N3054" s="2" t="str">
        <f>"RUE DU BONNIEBROOK"</f>
        <v>RUE DU BONNIEBROOK</v>
      </c>
      <c r="O3054" s="2" t="s">
        <v>13204</v>
      </c>
      <c r="P3054" s="9" t="str">
        <f>VLOOKUP($O3054,'Liste des Villes'!$B$2:$B$1128,1,FALSE)</f>
        <v>Prévost</v>
      </c>
      <c r="Q3054" s="9" t="str">
        <f>IFERROR($P3054,PROPER(VLOOKUP($O3054,'Villes en erreur'!$A$2:$B$72,2,FALSE)))</f>
        <v>Prévost</v>
      </c>
      <c r="R3054" s="9" t="s">
        <v>1590</v>
      </c>
      <c r="S3054" s="9" t="str">
        <f>IF(ISBLANK($R3054),"",VLOOKUP($R3054,'Liste des Villes'!$B$2:$H$1128,4,FALSE))</f>
        <v>Laurentides</v>
      </c>
      <c r="T3054" s="2" t="s">
        <v>13736</v>
      </c>
      <c r="U3054" s="2" t="s">
        <v>39</v>
      </c>
      <c r="V3054" s="2" t="s">
        <v>40</v>
      </c>
      <c r="W3054" s="2" t="s">
        <v>13737</v>
      </c>
      <c r="X3054" s="2"/>
      <c r="Y3054" s="2"/>
      <c r="Z3054" s="2"/>
      <c r="AA3054" s="2" t="s">
        <v>160</v>
      </c>
      <c r="AB3054" s="2" t="s">
        <v>161</v>
      </c>
      <c r="AC3054" s="4" t="s">
        <v>44</v>
      </c>
    </row>
    <row r="3055" spans="1:29" x14ac:dyDescent="0.25">
      <c r="A3055" s="1">
        <v>4582</v>
      </c>
      <c r="B3055" s="17" t="s">
        <v>13738</v>
      </c>
      <c r="C3055" s="2" t="s">
        <v>598</v>
      </c>
      <c r="D3055" s="15" t="s">
        <v>599</v>
      </c>
      <c r="E3055" s="9" t="s">
        <v>600</v>
      </c>
      <c r="F3055" s="9" t="s">
        <v>601</v>
      </c>
      <c r="G3055" s="9" t="s">
        <v>2842</v>
      </c>
      <c r="H3055" s="2" t="s">
        <v>35</v>
      </c>
      <c r="I3055" s="3">
        <v>37006</v>
      </c>
      <c r="J3055" s="9" t="str">
        <f t="shared" ca="1" si="50"/>
        <v>22 ans</v>
      </c>
      <c r="K3055" s="2" t="s">
        <v>156</v>
      </c>
      <c r="L3055" s="2" t="str">
        <f>"1039"</f>
        <v>1039</v>
      </c>
      <c r="M3055" s="2"/>
      <c r="N3055" s="2" t="str">
        <f>"RUE DU GRIFFON"</f>
        <v>RUE DU GRIFFON</v>
      </c>
      <c r="O3055" s="2" t="s">
        <v>13204</v>
      </c>
      <c r="P3055" s="9" t="str">
        <f>VLOOKUP($O3055,'Liste des Villes'!$B$2:$B$1128,1,FALSE)</f>
        <v>Prévost</v>
      </c>
      <c r="Q3055" s="9" t="str">
        <f>IFERROR($P3055,PROPER(VLOOKUP($O3055,'Villes en erreur'!$A$2:$B$72,2,FALSE)))</f>
        <v>Prévost</v>
      </c>
      <c r="R3055" s="9" t="s">
        <v>1590</v>
      </c>
      <c r="S3055" s="9" t="str">
        <f>IF(ISBLANK($R3055),"",VLOOKUP($R3055,'Liste des Villes'!$B$2:$H$1128,4,FALSE))</f>
        <v>Laurentides</v>
      </c>
      <c r="T3055" s="2" t="s">
        <v>13739</v>
      </c>
      <c r="U3055" s="2" t="s">
        <v>39</v>
      </c>
      <c r="V3055" s="2" t="s">
        <v>40</v>
      </c>
      <c r="W3055" s="2" t="s">
        <v>13740</v>
      </c>
      <c r="X3055" s="2"/>
      <c r="Y3055" s="2"/>
      <c r="Z3055" s="2"/>
      <c r="AA3055" s="2" t="s">
        <v>375</v>
      </c>
      <c r="AB3055" s="2" t="s">
        <v>13208</v>
      </c>
      <c r="AC3055" s="4" t="s">
        <v>44</v>
      </c>
    </row>
    <row r="3056" spans="1:29" x14ac:dyDescent="0.25">
      <c r="A3056" s="1">
        <v>3030</v>
      </c>
      <c r="B3056" s="17" t="s">
        <v>13741</v>
      </c>
      <c r="C3056" s="2" t="s">
        <v>13742</v>
      </c>
      <c r="D3056" s="15" t="s">
        <v>13743</v>
      </c>
      <c r="E3056" s="9" t="s">
        <v>452</v>
      </c>
      <c r="F3056" s="9" t="s">
        <v>13744</v>
      </c>
      <c r="G3056" s="9" t="s">
        <v>12200</v>
      </c>
      <c r="H3056" s="2" t="s">
        <v>35</v>
      </c>
      <c r="I3056" s="3">
        <v>36987</v>
      </c>
      <c r="J3056" s="9" t="str">
        <f t="shared" ca="1" si="50"/>
        <v>22 ans</v>
      </c>
      <c r="K3056" s="2" t="s">
        <v>156</v>
      </c>
      <c r="L3056" s="2" t="str">
        <f>"1022"</f>
        <v>1022</v>
      </c>
      <c r="M3056" s="2"/>
      <c r="N3056" s="2" t="str">
        <f>"RUE DU DIAMANT"</f>
        <v>RUE DU DIAMANT</v>
      </c>
      <c r="O3056" s="2" t="s">
        <v>13204</v>
      </c>
      <c r="P3056" s="9" t="str">
        <f>VLOOKUP($O3056,'Liste des Villes'!$B$2:$B$1128,1,FALSE)</f>
        <v>Prévost</v>
      </c>
      <c r="Q3056" s="9" t="str">
        <f>IFERROR($P3056,PROPER(VLOOKUP($O3056,'Villes en erreur'!$A$2:$B$72,2,FALSE)))</f>
        <v>Prévost</v>
      </c>
      <c r="R3056" s="9" t="s">
        <v>1590</v>
      </c>
      <c r="S3056" s="9" t="str">
        <f>IF(ISBLANK($R3056),"",VLOOKUP($R3056,'Liste des Villes'!$B$2:$H$1128,4,FALSE))</f>
        <v>Laurentides</v>
      </c>
      <c r="T3056" s="2" t="s">
        <v>13745</v>
      </c>
      <c r="U3056" s="2" t="s">
        <v>39</v>
      </c>
      <c r="V3056" s="2" t="s">
        <v>40</v>
      </c>
      <c r="W3056" s="2" t="s">
        <v>13746</v>
      </c>
      <c r="X3056" s="2"/>
      <c r="Y3056" s="2"/>
      <c r="Z3056" s="2"/>
      <c r="AA3056" s="2" t="s">
        <v>13207</v>
      </c>
      <c r="AB3056" s="2" t="s">
        <v>13208</v>
      </c>
      <c r="AC3056" s="4" t="s">
        <v>44</v>
      </c>
    </row>
    <row r="3057" spans="1:29" x14ac:dyDescent="0.25">
      <c r="A3057" s="1">
        <v>2266</v>
      </c>
      <c r="B3057" s="17" t="s">
        <v>13747</v>
      </c>
      <c r="C3057" s="2" t="s">
        <v>13748</v>
      </c>
      <c r="D3057" s="15" t="s">
        <v>12514</v>
      </c>
      <c r="E3057" s="9" t="s">
        <v>1410</v>
      </c>
      <c r="F3057" s="9" t="s">
        <v>12513</v>
      </c>
      <c r="G3057" s="9" t="s">
        <v>253</v>
      </c>
      <c r="H3057" s="2" t="s">
        <v>35</v>
      </c>
      <c r="I3057" s="3">
        <v>36964</v>
      </c>
      <c r="J3057" s="9" t="str">
        <f t="shared" ca="1" si="50"/>
        <v>22 ans</v>
      </c>
      <c r="K3057" s="2" t="s">
        <v>156</v>
      </c>
      <c r="L3057" s="2" t="str">
        <f>"1006"</f>
        <v>1006</v>
      </c>
      <c r="M3057" s="2"/>
      <c r="N3057" s="2" t="str">
        <f>"RUE DU CLOS-DE-PAULILLES"</f>
        <v>RUE DU CLOS-DE-PAULILLES</v>
      </c>
      <c r="O3057" s="2" t="s">
        <v>13204</v>
      </c>
      <c r="P3057" s="9" t="str">
        <f>VLOOKUP($O3057,'Liste des Villes'!$B$2:$B$1128,1,FALSE)</f>
        <v>Prévost</v>
      </c>
      <c r="Q3057" s="9" t="str">
        <f>IFERROR($P3057,PROPER(VLOOKUP($O3057,'Villes en erreur'!$A$2:$B$72,2,FALSE)))</f>
        <v>Prévost</v>
      </c>
      <c r="R3057" s="9" t="s">
        <v>1590</v>
      </c>
      <c r="S3057" s="9" t="str">
        <f>IF(ISBLANK($R3057),"",VLOOKUP($R3057,'Liste des Villes'!$B$2:$H$1128,4,FALSE))</f>
        <v>Laurentides</v>
      </c>
      <c r="T3057" s="2" t="s">
        <v>13749</v>
      </c>
      <c r="U3057" s="2" t="s">
        <v>39</v>
      </c>
      <c r="V3057" s="2" t="s">
        <v>40</v>
      </c>
      <c r="W3057" s="2" t="s">
        <v>13750</v>
      </c>
      <c r="X3057" s="2"/>
      <c r="Y3057" s="2"/>
      <c r="Z3057" s="2"/>
      <c r="AA3057" s="2" t="s">
        <v>160</v>
      </c>
      <c r="AB3057" s="2" t="s">
        <v>13208</v>
      </c>
      <c r="AC3057" s="4" t="s">
        <v>44</v>
      </c>
    </row>
    <row r="3058" spans="1:29" x14ac:dyDescent="0.25">
      <c r="A3058" s="1">
        <v>4147</v>
      </c>
      <c r="B3058" s="17" t="s">
        <v>13751</v>
      </c>
      <c r="C3058" s="2" t="s">
        <v>6792</v>
      </c>
      <c r="D3058" s="15" t="s">
        <v>56</v>
      </c>
      <c r="E3058" s="9" t="s">
        <v>6793</v>
      </c>
      <c r="F3058" s="9" t="s">
        <v>12889</v>
      </c>
      <c r="G3058" s="9" t="s">
        <v>3595</v>
      </c>
      <c r="H3058" s="2" t="s">
        <v>35</v>
      </c>
      <c r="I3058" s="3">
        <v>36992</v>
      </c>
      <c r="J3058" s="9" t="str">
        <f t="shared" ca="1" si="50"/>
        <v>22 ans</v>
      </c>
      <c r="K3058" s="2" t="s">
        <v>156</v>
      </c>
      <c r="L3058" s="2" t="str">
        <f>"1030"</f>
        <v>1030</v>
      </c>
      <c r="M3058" s="2"/>
      <c r="N3058" s="2" t="str">
        <f>"RUE DU DOMAINE-FORTIER"</f>
        <v>RUE DU DOMAINE-FORTIER</v>
      </c>
      <c r="O3058" s="2" t="s">
        <v>13204</v>
      </c>
      <c r="P3058" s="9" t="str">
        <f>VLOOKUP($O3058,'Liste des Villes'!$B$2:$B$1128,1,FALSE)</f>
        <v>Prévost</v>
      </c>
      <c r="Q3058" s="9" t="str">
        <f>IFERROR($P3058,PROPER(VLOOKUP($O3058,'Villes en erreur'!$A$2:$B$72,2,FALSE)))</f>
        <v>Prévost</v>
      </c>
      <c r="R3058" s="9" t="s">
        <v>1590</v>
      </c>
      <c r="S3058" s="9" t="str">
        <f>IF(ISBLANK($R3058),"",VLOOKUP($R3058,'Liste des Villes'!$B$2:$H$1128,4,FALSE))</f>
        <v>Laurentides</v>
      </c>
      <c r="T3058" s="2" t="s">
        <v>13721</v>
      </c>
      <c r="U3058" s="2" t="s">
        <v>39</v>
      </c>
      <c r="V3058" s="2" t="s">
        <v>40</v>
      </c>
      <c r="W3058" s="2" t="s">
        <v>13752</v>
      </c>
      <c r="X3058" s="2"/>
      <c r="Y3058" s="2"/>
      <c r="Z3058" s="2"/>
      <c r="AA3058" s="2" t="s">
        <v>13207</v>
      </c>
      <c r="AB3058" s="2" t="s">
        <v>13208</v>
      </c>
      <c r="AC3058" s="4" t="s">
        <v>44</v>
      </c>
    </row>
    <row r="3059" spans="1:29" x14ac:dyDescent="0.25">
      <c r="A3059" s="1">
        <v>3668</v>
      </c>
      <c r="B3059" s="17" t="s">
        <v>13753</v>
      </c>
      <c r="C3059" s="2" t="s">
        <v>13754</v>
      </c>
      <c r="D3059" s="15" t="s">
        <v>13755</v>
      </c>
      <c r="E3059" s="9" t="s">
        <v>85</v>
      </c>
      <c r="F3059" s="9" t="s">
        <v>2291</v>
      </c>
      <c r="G3059" s="9" t="s">
        <v>1416</v>
      </c>
      <c r="H3059" s="2" t="s">
        <v>60</v>
      </c>
      <c r="I3059" s="3">
        <v>36999</v>
      </c>
      <c r="J3059" s="9" t="str">
        <f t="shared" ca="1" si="50"/>
        <v>22 ans</v>
      </c>
      <c r="K3059" s="2" t="s">
        <v>156</v>
      </c>
      <c r="L3059" s="2" t="str">
        <f>"1033"</f>
        <v>1033</v>
      </c>
      <c r="M3059" s="2"/>
      <c r="N3059" s="2" t="str">
        <f>"RUE DU GALET"</f>
        <v>RUE DU GALET</v>
      </c>
      <c r="O3059" s="2" t="s">
        <v>13204</v>
      </c>
      <c r="P3059" s="9" t="str">
        <f>VLOOKUP($O3059,'Liste des Villes'!$B$2:$B$1128,1,FALSE)</f>
        <v>Prévost</v>
      </c>
      <c r="Q3059" s="9" t="str">
        <f>IFERROR($P3059,PROPER(VLOOKUP($O3059,'Villes en erreur'!$A$2:$B$72,2,FALSE)))</f>
        <v>Prévost</v>
      </c>
      <c r="R3059" s="9" t="s">
        <v>1590</v>
      </c>
      <c r="S3059" s="9" t="str">
        <f>IF(ISBLANK($R3059),"",VLOOKUP($R3059,'Liste des Villes'!$B$2:$H$1128,4,FALSE))</f>
        <v>Laurentides</v>
      </c>
      <c r="T3059" s="2" t="s">
        <v>13756</v>
      </c>
      <c r="U3059" s="2" t="s">
        <v>39</v>
      </c>
      <c r="V3059" s="2" t="s">
        <v>40</v>
      </c>
      <c r="W3059" s="2" t="s">
        <v>13757</v>
      </c>
      <c r="X3059" s="2"/>
      <c r="Y3059" s="2"/>
      <c r="Z3059" s="2"/>
      <c r="AA3059" s="2" t="s">
        <v>13207</v>
      </c>
      <c r="AB3059" s="2" t="s">
        <v>13208</v>
      </c>
      <c r="AC3059" s="4" t="s">
        <v>44</v>
      </c>
    </row>
    <row r="3060" spans="1:29" x14ac:dyDescent="0.25">
      <c r="A3060" s="1">
        <v>191</v>
      </c>
      <c r="B3060" s="17" t="s">
        <v>13758</v>
      </c>
      <c r="C3060" s="2" t="s">
        <v>13759</v>
      </c>
      <c r="D3060" s="15" t="s">
        <v>11860</v>
      </c>
      <c r="E3060" s="9" t="s">
        <v>11195</v>
      </c>
      <c r="F3060" s="9" t="s">
        <v>9966</v>
      </c>
      <c r="G3060" s="9" t="s">
        <v>253</v>
      </c>
      <c r="H3060" s="2" t="s">
        <v>35</v>
      </c>
      <c r="I3060" s="3">
        <v>36971</v>
      </c>
      <c r="J3060" s="9" t="str">
        <f t="shared" ca="1" si="50"/>
        <v>22 ans</v>
      </c>
      <c r="K3060" s="2" t="s">
        <v>156</v>
      </c>
      <c r="L3060" s="2" t="str">
        <f>"1010"</f>
        <v>1010</v>
      </c>
      <c r="M3060" s="2"/>
      <c r="N3060" s="2" t="str">
        <f>"RUE DU CLOS-DU-MEUNIER"</f>
        <v>RUE DU CLOS-DU-MEUNIER</v>
      </c>
      <c r="O3060" s="2" t="s">
        <v>13204</v>
      </c>
      <c r="P3060" s="9" t="str">
        <f>VLOOKUP($O3060,'Liste des Villes'!$B$2:$B$1128,1,FALSE)</f>
        <v>Prévost</v>
      </c>
      <c r="Q3060" s="9" t="str">
        <f>IFERROR($P3060,PROPER(VLOOKUP($O3060,'Villes en erreur'!$A$2:$B$72,2,FALSE)))</f>
        <v>Prévost</v>
      </c>
      <c r="R3060" s="9" t="s">
        <v>1590</v>
      </c>
      <c r="S3060" s="9" t="str">
        <f>IF(ISBLANK($R3060),"",VLOOKUP($R3060,'Liste des Villes'!$B$2:$H$1128,4,FALSE))</f>
        <v>Laurentides</v>
      </c>
      <c r="T3060" s="2" t="s">
        <v>13760</v>
      </c>
      <c r="U3060" s="2" t="s">
        <v>39</v>
      </c>
      <c r="V3060" s="2" t="s">
        <v>40</v>
      </c>
      <c r="W3060" s="2" t="s">
        <v>13761</v>
      </c>
      <c r="X3060" s="2"/>
      <c r="Y3060" s="2"/>
      <c r="Z3060" s="2"/>
      <c r="AA3060" s="2" t="s">
        <v>160</v>
      </c>
      <c r="AB3060" s="2" t="s">
        <v>13208</v>
      </c>
      <c r="AC3060" s="4" t="s">
        <v>44</v>
      </c>
    </row>
    <row r="3061" spans="1:29" x14ac:dyDescent="0.25">
      <c r="A3061" s="1">
        <v>2822</v>
      </c>
      <c r="B3061" s="17" t="s">
        <v>13762</v>
      </c>
      <c r="C3061" s="2" t="s">
        <v>13763</v>
      </c>
      <c r="D3061" s="15" t="s">
        <v>3929</v>
      </c>
      <c r="E3061" s="9" t="s">
        <v>325</v>
      </c>
      <c r="F3061" s="9" t="s">
        <v>3928</v>
      </c>
      <c r="G3061" s="9" t="s">
        <v>2049</v>
      </c>
      <c r="H3061" s="2" t="s">
        <v>35</v>
      </c>
      <c r="I3061" s="3">
        <v>37011</v>
      </c>
      <c r="J3061" s="9" t="str">
        <f t="shared" ca="1" si="50"/>
        <v>22 ans</v>
      </c>
      <c r="K3061" s="2" t="s">
        <v>156</v>
      </c>
      <c r="L3061" s="2" t="str">
        <f>"1044"</f>
        <v>1044</v>
      </c>
      <c r="M3061" s="2"/>
      <c r="N3061" s="2" t="str">
        <f>"RUE DU JADE"</f>
        <v>RUE DU JADE</v>
      </c>
      <c r="O3061" s="2" t="s">
        <v>13204</v>
      </c>
      <c r="P3061" s="9" t="str">
        <f>VLOOKUP($O3061,'Liste des Villes'!$B$2:$B$1128,1,FALSE)</f>
        <v>Prévost</v>
      </c>
      <c r="Q3061" s="9" t="str">
        <f>IFERROR($P3061,PROPER(VLOOKUP($O3061,'Villes en erreur'!$A$2:$B$72,2,FALSE)))</f>
        <v>Prévost</v>
      </c>
      <c r="R3061" s="9" t="s">
        <v>1590</v>
      </c>
      <c r="S3061" s="9" t="str">
        <f>IF(ISBLANK($R3061),"",VLOOKUP($R3061,'Liste des Villes'!$B$2:$H$1128,4,FALSE))</f>
        <v>Laurentides</v>
      </c>
      <c r="T3061" s="2" t="s">
        <v>13764</v>
      </c>
      <c r="U3061" s="2" t="s">
        <v>39</v>
      </c>
      <c r="V3061" s="2" t="s">
        <v>40</v>
      </c>
      <c r="W3061" s="2" t="s">
        <v>13765</v>
      </c>
      <c r="X3061" s="2"/>
      <c r="Y3061" s="2"/>
      <c r="Z3061" s="2"/>
      <c r="AA3061" s="2" t="s">
        <v>375</v>
      </c>
      <c r="AB3061" s="2" t="s">
        <v>13208</v>
      </c>
      <c r="AC3061" s="4" t="s">
        <v>44</v>
      </c>
    </row>
    <row r="3062" spans="1:29" x14ac:dyDescent="0.25">
      <c r="A3062" s="1">
        <v>707</v>
      </c>
      <c r="B3062" s="17" t="s">
        <v>13766</v>
      </c>
      <c r="C3062" s="2" t="s">
        <v>13767</v>
      </c>
      <c r="D3062" s="15" t="s">
        <v>13768</v>
      </c>
      <c r="E3062" s="9" t="s">
        <v>3265</v>
      </c>
      <c r="F3062" s="9" t="s">
        <v>13769</v>
      </c>
      <c r="G3062" s="9" t="s">
        <v>956</v>
      </c>
      <c r="H3062" s="2" t="s">
        <v>60</v>
      </c>
      <c r="I3062" s="3">
        <v>36958</v>
      </c>
      <c r="J3062" s="9" t="str">
        <f t="shared" ca="1" si="50"/>
        <v>22 ans</v>
      </c>
      <c r="K3062" s="2" t="s">
        <v>156</v>
      </c>
      <c r="L3062" s="2" t="str">
        <f>"1004"</f>
        <v>1004</v>
      </c>
      <c r="M3062" s="2"/>
      <c r="N3062" s="2" t="str">
        <f>"RUE DU CHÂTELET"</f>
        <v>RUE DU CHÂTELET</v>
      </c>
      <c r="O3062" s="2" t="s">
        <v>13204</v>
      </c>
      <c r="P3062" s="9" t="str">
        <f>VLOOKUP($O3062,'Liste des Villes'!$B$2:$B$1128,1,FALSE)</f>
        <v>Prévost</v>
      </c>
      <c r="Q3062" s="9" t="str">
        <f>IFERROR($P3062,PROPER(VLOOKUP($O3062,'Villes en erreur'!$A$2:$B$72,2,FALSE)))</f>
        <v>Prévost</v>
      </c>
      <c r="R3062" s="9" t="s">
        <v>1590</v>
      </c>
      <c r="S3062" s="9" t="str">
        <f>IF(ISBLANK($R3062),"",VLOOKUP($R3062,'Liste des Villes'!$B$2:$H$1128,4,FALSE))</f>
        <v>Laurentides</v>
      </c>
      <c r="T3062" s="2" t="s">
        <v>13565</v>
      </c>
      <c r="U3062" s="2" t="s">
        <v>39</v>
      </c>
      <c r="V3062" s="2" t="s">
        <v>40</v>
      </c>
      <c r="W3062" s="2" t="s">
        <v>13770</v>
      </c>
      <c r="X3062" s="2"/>
      <c r="Y3062" s="2"/>
      <c r="Z3062" s="2"/>
      <c r="AA3062" s="2" t="s">
        <v>160</v>
      </c>
      <c r="AB3062" s="2" t="s">
        <v>13208</v>
      </c>
      <c r="AC3062" s="4" t="s">
        <v>44</v>
      </c>
    </row>
    <row r="3063" spans="1:29" x14ac:dyDescent="0.25">
      <c r="A3063" s="1">
        <v>2761</v>
      </c>
      <c r="B3063" s="17" t="s">
        <v>13771</v>
      </c>
      <c r="C3063" s="2" t="s">
        <v>1806</v>
      </c>
      <c r="D3063" s="15" t="s">
        <v>1807</v>
      </c>
      <c r="E3063" s="9" t="s">
        <v>1410</v>
      </c>
      <c r="F3063" s="9" t="s">
        <v>1808</v>
      </c>
      <c r="G3063" s="9" t="s">
        <v>2049</v>
      </c>
      <c r="H3063" s="2" t="s">
        <v>35</v>
      </c>
      <c r="I3063" s="3">
        <v>37013</v>
      </c>
      <c r="J3063" s="9" t="str">
        <f t="shared" ca="1" si="50"/>
        <v>22 ans</v>
      </c>
      <c r="K3063" s="2" t="s">
        <v>156</v>
      </c>
      <c r="L3063" s="2" t="str">
        <f>"1046"</f>
        <v>1046</v>
      </c>
      <c r="M3063" s="2"/>
      <c r="N3063" s="2" t="str">
        <f>"RUE DU LAC-À-L'ANGUILLE"</f>
        <v>RUE DU LAC-À-L'ANGUILLE</v>
      </c>
      <c r="O3063" s="2" t="s">
        <v>13204</v>
      </c>
      <c r="P3063" s="9" t="str">
        <f>VLOOKUP($O3063,'Liste des Villes'!$B$2:$B$1128,1,FALSE)</f>
        <v>Prévost</v>
      </c>
      <c r="Q3063" s="9" t="str">
        <f>IFERROR($P3063,PROPER(VLOOKUP($O3063,'Villes en erreur'!$A$2:$B$72,2,FALSE)))</f>
        <v>Prévost</v>
      </c>
      <c r="R3063" s="9" t="s">
        <v>1590</v>
      </c>
      <c r="S3063" s="9" t="str">
        <f>IF(ISBLANK($R3063),"",VLOOKUP($R3063,'Liste des Villes'!$B$2:$H$1128,4,FALSE))</f>
        <v>Laurentides</v>
      </c>
      <c r="T3063" s="2" t="s">
        <v>13627</v>
      </c>
      <c r="U3063" s="2" t="s">
        <v>39</v>
      </c>
      <c r="V3063" s="2" t="s">
        <v>40</v>
      </c>
      <c r="W3063" s="2" t="s">
        <v>13772</v>
      </c>
      <c r="X3063" s="2"/>
      <c r="Y3063" s="2"/>
      <c r="Z3063" s="2"/>
      <c r="AA3063" s="2" t="s">
        <v>375</v>
      </c>
      <c r="AB3063" s="2" t="s">
        <v>13208</v>
      </c>
      <c r="AC3063" s="4" t="s">
        <v>44</v>
      </c>
    </row>
    <row r="3064" spans="1:29" x14ac:dyDescent="0.25">
      <c r="A3064" s="1">
        <v>1781</v>
      </c>
      <c r="B3064" s="17" t="s">
        <v>13773</v>
      </c>
      <c r="C3064" s="2" t="s">
        <v>13774</v>
      </c>
      <c r="D3064" s="15" t="s">
        <v>2176</v>
      </c>
      <c r="E3064" s="9" t="s">
        <v>12847</v>
      </c>
      <c r="F3064" s="9" t="s">
        <v>166</v>
      </c>
      <c r="G3064" s="9" t="s">
        <v>10801</v>
      </c>
      <c r="H3064" s="2" t="s">
        <v>60</v>
      </c>
      <c r="I3064" s="3">
        <v>36980</v>
      </c>
      <c r="J3064" s="9" t="str">
        <f t="shared" ca="1" si="50"/>
        <v>22 ans</v>
      </c>
      <c r="K3064" s="2" t="s">
        <v>156</v>
      </c>
      <c r="L3064" s="2" t="str">
        <f>"1016"</f>
        <v>1016</v>
      </c>
      <c r="M3064" s="2"/>
      <c r="N3064" s="2" t="str">
        <f>"RUE DU COURSIER"</f>
        <v>RUE DU COURSIER</v>
      </c>
      <c r="O3064" s="2" t="s">
        <v>13204</v>
      </c>
      <c r="P3064" s="9" t="str">
        <f>VLOOKUP($O3064,'Liste des Villes'!$B$2:$B$1128,1,FALSE)</f>
        <v>Prévost</v>
      </c>
      <c r="Q3064" s="9" t="str">
        <f>IFERROR($P3064,PROPER(VLOOKUP($O3064,'Villes en erreur'!$A$2:$B$72,2,FALSE)))</f>
        <v>Prévost</v>
      </c>
      <c r="R3064" s="9" t="s">
        <v>1590</v>
      </c>
      <c r="S3064" s="9" t="str">
        <f>IF(ISBLANK($R3064),"",VLOOKUP($R3064,'Liste des Villes'!$B$2:$H$1128,4,FALSE))</f>
        <v>Laurentides</v>
      </c>
      <c r="T3064" s="2" t="s">
        <v>13411</v>
      </c>
      <c r="U3064" s="2" t="s">
        <v>39</v>
      </c>
      <c r="V3064" s="2" t="s">
        <v>40</v>
      </c>
      <c r="W3064" s="2" t="s">
        <v>13775</v>
      </c>
      <c r="X3064" s="2"/>
      <c r="Y3064" s="2"/>
      <c r="Z3064" s="2"/>
      <c r="AA3064" s="2" t="s">
        <v>13207</v>
      </c>
      <c r="AB3064" s="2" t="s">
        <v>13208</v>
      </c>
      <c r="AC3064" s="4" t="s">
        <v>44</v>
      </c>
    </row>
    <row r="3065" spans="1:29" x14ac:dyDescent="0.25">
      <c r="A3065" s="1">
        <v>1150</v>
      </c>
      <c r="B3065" s="17" t="s">
        <v>13776</v>
      </c>
      <c r="C3065" s="2" t="s">
        <v>13777</v>
      </c>
      <c r="D3065" s="15" t="s">
        <v>1899</v>
      </c>
      <c r="E3065" s="9" t="s">
        <v>1410</v>
      </c>
      <c r="F3065" s="9" t="s">
        <v>1897</v>
      </c>
      <c r="G3065" s="9" t="s">
        <v>4324</v>
      </c>
      <c r="H3065" s="2" t="s">
        <v>35</v>
      </c>
      <c r="I3065" s="3">
        <v>36990</v>
      </c>
      <c r="J3065" s="9" t="str">
        <f t="shared" ca="1" si="50"/>
        <v>22 ans</v>
      </c>
      <c r="K3065" s="2" t="s">
        <v>156</v>
      </c>
      <c r="L3065" s="2" t="str">
        <f>"1025"</f>
        <v>1025</v>
      </c>
      <c r="M3065" s="2"/>
      <c r="N3065" s="2" t="str">
        <f>"RUE DU DOMAINE"</f>
        <v>RUE DU DOMAINE</v>
      </c>
      <c r="O3065" s="2" t="s">
        <v>13204</v>
      </c>
      <c r="P3065" s="9" t="str">
        <f>VLOOKUP($O3065,'Liste des Villes'!$B$2:$B$1128,1,FALSE)</f>
        <v>Prévost</v>
      </c>
      <c r="Q3065" s="9" t="str">
        <f>IFERROR($P3065,PROPER(VLOOKUP($O3065,'Villes en erreur'!$A$2:$B$72,2,FALSE)))</f>
        <v>Prévost</v>
      </c>
      <c r="R3065" s="9" t="s">
        <v>1590</v>
      </c>
      <c r="S3065" s="9" t="str">
        <f>IF(ISBLANK($R3065),"",VLOOKUP($R3065,'Liste des Villes'!$B$2:$H$1128,4,FALSE))</f>
        <v>Laurentides</v>
      </c>
      <c r="T3065" s="2" t="s">
        <v>13778</v>
      </c>
      <c r="U3065" s="2" t="s">
        <v>39</v>
      </c>
      <c r="V3065" s="2" t="s">
        <v>40</v>
      </c>
      <c r="W3065" s="2" t="s">
        <v>13779</v>
      </c>
      <c r="X3065" s="2"/>
      <c r="Y3065" s="2"/>
      <c r="Z3065" s="2"/>
      <c r="AA3065" s="2" t="s">
        <v>13207</v>
      </c>
      <c r="AB3065" s="2" t="s">
        <v>13208</v>
      </c>
      <c r="AC3065" s="4" t="s">
        <v>44</v>
      </c>
    </row>
    <row r="3066" spans="1:29" x14ac:dyDescent="0.25">
      <c r="A3066" s="1">
        <v>1180</v>
      </c>
      <c r="B3066" s="17" t="s">
        <v>13780</v>
      </c>
      <c r="C3066" s="2" t="s">
        <v>13781</v>
      </c>
      <c r="D3066" s="15" t="s">
        <v>13655</v>
      </c>
      <c r="E3066" s="9" t="s">
        <v>404</v>
      </c>
      <c r="F3066" s="9" t="s">
        <v>3567</v>
      </c>
      <c r="G3066" s="9" t="s">
        <v>3595</v>
      </c>
      <c r="H3066" s="2" t="s">
        <v>35</v>
      </c>
      <c r="I3066" s="3">
        <v>36992</v>
      </c>
      <c r="J3066" s="9" t="str">
        <f t="shared" ca="1" si="50"/>
        <v>22 ans</v>
      </c>
      <c r="K3066" s="2" t="s">
        <v>156</v>
      </c>
      <c r="L3066" s="2" t="str">
        <f>"1028"</f>
        <v>1028</v>
      </c>
      <c r="M3066" s="2"/>
      <c r="N3066" s="2" t="str">
        <f>"RUE DU DOMAINE"</f>
        <v>RUE DU DOMAINE</v>
      </c>
      <c r="O3066" s="2" t="s">
        <v>13204</v>
      </c>
      <c r="P3066" s="9" t="str">
        <f>VLOOKUP($O3066,'Liste des Villes'!$B$2:$B$1128,1,FALSE)</f>
        <v>Prévost</v>
      </c>
      <c r="Q3066" s="9" t="str">
        <f>IFERROR($P3066,PROPER(VLOOKUP($O3066,'Villes en erreur'!$A$2:$B$72,2,FALSE)))</f>
        <v>Prévost</v>
      </c>
      <c r="R3066" s="9" t="s">
        <v>1590</v>
      </c>
      <c r="S3066" s="9" t="str">
        <f>IF(ISBLANK($R3066),"",VLOOKUP($R3066,'Liste des Villes'!$B$2:$H$1128,4,FALSE))</f>
        <v>Laurentides</v>
      </c>
      <c r="T3066" s="2" t="s">
        <v>13782</v>
      </c>
      <c r="U3066" s="2" t="s">
        <v>39</v>
      </c>
      <c r="V3066" s="2" t="s">
        <v>40</v>
      </c>
      <c r="W3066" s="2" t="s">
        <v>13783</v>
      </c>
      <c r="X3066" s="2"/>
      <c r="Y3066" s="2"/>
      <c r="Z3066" s="2"/>
      <c r="AA3066" s="2" t="s">
        <v>13207</v>
      </c>
      <c r="AB3066" s="2" t="s">
        <v>13208</v>
      </c>
      <c r="AC3066" s="4" t="s">
        <v>44</v>
      </c>
    </row>
    <row r="3067" spans="1:29" x14ac:dyDescent="0.25">
      <c r="A3067" s="1">
        <v>4023</v>
      </c>
      <c r="B3067" s="17" t="s">
        <v>13784</v>
      </c>
      <c r="C3067" s="2" t="s">
        <v>13785</v>
      </c>
      <c r="D3067" s="15" t="s">
        <v>13786</v>
      </c>
      <c r="E3067" s="9" t="s">
        <v>3321</v>
      </c>
      <c r="F3067" s="9" t="s">
        <v>13631</v>
      </c>
      <c r="G3067" s="9" t="s">
        <v>956</v>
      </c>
      <c r="H3067" s="2" t="s">
        <v>60</v>
      </c>
      <c r="I3067" s="3">
        <v>36947</v>
      </c>
      <c r="J3067" s="9" t="str">
        <f t="shared" ca="1" si="50"/>
        <v>22 ans</v>
      </c>
      <c r="K3067" s="2" t="s">
        <v>156</v>
      </c>
      <c r="L3067" s="2" t="str">
        <f>"982"</f>
        <v>982</v>
      </c>
      <c r="M3067" s="2"/>
      <c r="N3067" s="2" t="str">
        <f>"RUE DU BOURGOGNE"</f>
        <v>RUE DU BOURGOGNE</v>
      </c>
      <c r="O3067" s="2" t="s">
        <v>13204</v>
      </c>
      <c r="P3067" s="9" t="str">
        <f>VLOOKUP($O3067,'Liste des Villes'!$B$2:$B$1128,1,FALSE)</f>
        <v>Prévost</v>
      </c>
      <c r="Q3067" s="9" t="str">
        <f>IFERROR($P3067,PROPER(VLOOKUP($O3067,'Villes en erreur'!$A$2:$B$72,2,FALSE)))</f>
        <v>Prévost</v>
      </c>
      <c r="R3067" s="9" t="s">
        <v>1590</v>
      </c>
      <c r="S3067" s="9" t="str">
        <f>IF(ISBLANK($R3067),"",VLOOKUP($R3067,'Liste des Villes'!$B$2:$H$1128,4,FALSE))</f>
        <v>Laurentides</v>
      </c>
      <c r="T3067" s="2" t="s">
        <v>13787</v>
      </c>
      <c r="U3067" s="2" t="s">
        <v>39</v>
      </c>
      <c r="V3067" s="2" t="s">
        <v>40</v>
      </c>
      <c r="W3067" s="2" t="s">
        <v>13788</v>
      </c>
      <c r="X3067" s="2"/>
      <c r="Y3067" s="2"/>
      <c r="Z3067" s="2"/>
      <c r="AA3067" s="2" t="s">
        <v>160</v>
      </c>
      <c r="AB3067" s="2" t="s">
        <v>161</v>
      </c>
      <c r="AC3067" s="4" t="s">
        <v>44</v>
      </c>
    </row>
    <row r="3068" spans="1:29" x14ac:dyDescent="0.25">
      <c r="A3068" s="1">
        <v>3</v>
      </c>
      <c r="B3068" s="17" t="s">
        <v>13789</v>
      </c>
      <c r="C3068" s="2" t="s">
        <v>12017</v>
      </c>
      <c r="D3068" s="15" t="s">
        <v>144</v>
      </c>
      <c r="E3068" s="9" t="s">
        <v>3104</v>
      </c>
      <c r="F3068" s="9" t="s">
        <v>11874</v>
      </c>
      <c r="G3068" s="9" t="s">
        <v>2198</v>
      </c>
      <c r="H3068" s="2" t="s">
        <v>35</v>
      </c>
      <c r="I3068" s="3">
        <v>36984</v>
      </c>
      <c r="J3068" s="9" t="str">
        <f t="shared" ca="1" si="50"/>
        <v>22 ans</v>
      </c>
      <c r="K3068" s="2" t="s">
        <v>156</v>
      </c>
      <c r="L3068" s="2" t="str">
        <f>"1021"</f>
        <v>1021</v>
      </c>
      <c r="M3068" s="2"/>
      <c r="N3068" s="2" t="str">
        <f>"rue Du Diamant"</f>
        <v>rue Du Diamant</v>
      </c>
      <c r="O3068" s="2" t="s">
        <v>13204</v>
      </c>
      <c r="P3068" s="9" t="str">
        <f>VLOOKUP($O3068,'Liste des Villes'!$B$2:$B$1128,1,FALSE)</f>
        <v>Prévost</v>
      </c>
      <c r="Q3068" s="9" t="str">
        <f>IFERROR($P3068,PROPER(VLOOKUP($O3068,'Villes en erreur'!$A$2:$B$72,2,FALSE)))</f>
        <v>Prévost</v>
      </c>
      <c r="R3068" s="9" t="s">
        <v>1590</v>
      </c>
      <c r="S3068" s="9" t="str">
        <f>IF(ISBLANK($R3068),"",VLOOKUP($R3068,'Liste des Villes'!$B$2:$H$1128,4,FALSE))</f>
        <v>Laurentides</v>
      </c>
      <c r="T3068" s="2" t="s">
        <v>13790</v>
      </c>
      <c r="U3068" s="2" t="s">
        <v>39</v>
      </c>
      <c r="V3068" s="2" t="s">
        <v>40</v>
      </c>
      <c r="W3068" s="2" t="s">
        <v>13791</v>
      </c>
      <c r="X3068" s="2"/>
      <c r="Y3068" s="2"/>
      <c r="Z3068" s="2"/>
      <c r="AA3068" s="2" t="s">
        <v>13207</v>
      </c>
      <c r="AB3068" s="2" t="s">
        <v>13208</v>
      </c>
      <c r="AC3068" s="4" t="s">
        <v>44</v>
      </c>
    </row>
    <row r="3069" spans="1:29" x14ac:dyDescent="0.25">
      <c r="A3069" s="1">
        <v>3366</v>
      </c>
      <c r="B3069" s="17" t="s">
        <v>13792</v>
      </c>
      <c r="C3069" s="2" t="s">
        <v>13793</v>
      </c>
      <c r="D3069" s="15" t="s">
        <v>13013</v>
      </c>
      <c r="E3069" s="9" t="s">
        <v>179</v>
      </c>
      <c r="F3069" s="9" t="s">
        <v>3822</v>
      </c>
      <c r="G3069" s="9" t="s">
        <v>3126</v>
      </c>
      <c r="H3069" s="2" t="s">
        <v>60</v>
      </c>
      <c r="I3069" s="3">
        <v>36942</v>
      </c>
      <c r="J3069" s="9" t="str">
        <f t="shared" ca="1" si="50"/>
        <v>22 ans</v>
      </c>
      <c r="K3069" s="2" t="s">
        <v>156</v>
      </c>
      <c r="L3069" s="2" t="str">
        <f>"975"</f>
        <v>975</v>
      </c>
      <c r="M3069" s="2"/>
      <c r="N3069" s="2" t="str">
        <f>"RUE DU BOISÉ"</f>
        <v>RUE DU BOISÉ</v>
      </c>
      <c r="O3069" s="2" t="s">
        <v>13204</v>
      </c>
      <c r="P3069" s="9" t="str">
        <f>VLOOKUP($O3069,'Liste des Villes'!$B$2:$B$1128,1,FALSE)</f>
        <v>Prévost</v>
      </c>
      <c r="Q3069" s="9" t="str">
        <f>IFERROR($P3069,PROPER(VLOOKUP($O3069,'Villes en erreur'!$A$2:$B$72,2,FALSE)))</f>
        <v>Prévost</v>
      </c>
      <c r="R3069" s="9" t="s">
        <v>1590</v>
      </c>
      <c r="S3069" s="9" t="str">
        <f>IF(ISBLANK($R3069),"",VLOOKUP($R3069,'Liste des Villes'!$B$2:$H$1128,4,FALSE))</f>
        <v>Laurentides</v>
      </c>
      <c r="T3069" s="2" t="s">
        <v>13794</v>
      </c>
      <c r="U3069" s="2" t="s">
        <v>39</v>
      </c>
      <c r="V3069" s="2" t="s">
        <v>40</v>
      </c>
      <c r="W3069" s="2" t="s">
        <v>13795</v>
      </c>
      <c r="X3069" s="2"/>
      <c r="Y3069" s="2"/>
      <c r="Z3069" s="2"/>
      <c r="AA3069" s="2" t="s">
        <v>160</v>
      </c>
      <c r="AB3069" s="2" t="s">
        <v>161</v>
      </c>
      <c r="AC3069" s="4" t="s">
        <v>44</v>
      </c>
    </row>
    <row r="3070" spans="1:29" x14ac:dyDescent="0.25">
      <c r="A3070" s="1">
        <v>973</v>
      </c>
      <c r="B3070" s="17" t="s">
        <v>13796</v>
      </c>
      <c r="C3070" s="2" t="s">
        <v>13797</v>
      </c>
      <c r="D3070" s="15" t="s">
        <v>5653</v>
      </c>
      <c r="E3070" s="9" t="s">
        <v>826</v>
      </c>
      <c r="F3070" s="9" t="s">
        <v>766</v>
      </c>
      <c r="G3070" s="9" t="s">
        <v>13798</v>
      </c>
      <c r="H3070" s="2" t="s">
        <v>60</v>
      </c>
      <c r="I3070" s="3">
        <v>36997</v>
      </c>
      <c r="J3070" s="9" t="str">
        <f t="shared" ca="1" si="50"/>
        <v>22 ans</v>
      </c>
      <c r="K3070" s="2" t="s">
        <v>156</v>
      </c>
      <c r="L3070" s="2" t="str">
        <f>"1032"</f>
        <v>1032</v>
      </c>
      <c r="M3070" s="2"/>
      <c r="N3070" s="2" t="str">
        <f>"RUE DU FAUBOURG"</f>
        <v>RUE DU FAUBOURG</v>
      </c>
      <c r="O3070" s="2" t="s">
        <v>13204</v>
      </c>
      <c r="P3070" s="9" t="str">
        <f>VLOOKUP($O3070,'Liste des Villes'!$B$2:$B$1128,1,FALSE)</f>
        <v>Prévost</v>
      </c>
      <c r="Q3070" s="9" t="str">
        <f>IFERROR($P3070,PROPER(VLOOKUP($O3070,'Villes en erreur'!$A$2:$B$72,2,FALSE)))</f>
        <v>Prévost</v>
      </c>
      <c r="R3070" s="9" t="s">
        <v>1590</v>
      </c>
      <c r="S3070" s="9" t="str">
        <f>IF(ISBLANK($R3070),"",VLOOKUP($R3070,'Liste des Villes'!$B$2:$H$1128,4,FALSE))</f>
        <v>Laurentides</v>
      </c>
      <c r="T3070" s="2" t="s">
        <v>13799</v>
      </c>
      <c r="U3070" s="2" t="s">
        <v>39</v>
      </c>
      <c r="V3070" s="2" t="s">
        <v>40</v>
      </c>
      <c r="W3070" s="2" t="s">
        <v>13800</v>
      </c>
      <c r="X3070" s="2"/>
      <c r="Y3070" s="2"/>
      <c r="Z3070" s="2"/>
      <c r="AA3070" s="2" t="s">
        <v>13207</v>
      </c>
      <c r="AB3070" s="2" t="s">
        <v>13208</v>
      </c>
      <c r="AC3070" s="4" t="s">
        <v>44</v>
      </c>
    </row>
    <row r="3071" spans="1:29" x14ac:dyDescent="0.25">
      <c r="A3071" s="1">
        <v>2974</v>
      </c>
      <c r="B3071" s="17" t="s">
        <v>13801</v>
      </c>
      <c r="C3071" s="2" t="s">
        <v>13802</v>
      </c>
      <c r="D3071" s="15" t="s">
        <v>562</v>
      </c>
      <c r="E3071" s="9" t="s">
        <v>13803</v>
      </c>
      <c r="F3071" s="9" t="s">
        <v>599</v>
      </c>
      <c r="G3071" s="9" t="s">
        <v>3595</v>
      </c>
      <c r="H3071" s="2" t="s">
        <v>35</v>
      </c>
      <c r="I3071" s="3">
        <v>36992</v>
      </c>
      <c r="J3071" s="9" t="str">
        <f t="shared" ca="1" si="50"/>
        <v>22 ans</v>
      </c>
      <c r="K3071" s="2" t="s">
        <v>156</v>
      </c>
      <c r="L3071" s="2" t="str">
        <f>"1029"</f>
        <v>1029</v>
      </c>
      <c r="M3071" s="2"/>
      <c r="N3071" s="2" t="str">
        <f>"RUE DU DOMAINE-BÉRIAU"</f>
        <v>RUE DU DOMAINE-BÉRIAU</v>
      </c>
      <c r="O3071" s="2" t="s">
        <v>13204</v>
      </c>
      <c r="P3071" s="9" t="str">
        <f>VLOOKUP($O3071,'Liste des Villes'!$B$2:$B$1128,1,FALSE)</f>
        <v>Prévost</v>
      </c>
      <c r="Q3071" s="9" t="str">
        <f>IFERROR($P3071,PROPER(VLOOKUP($O3071,'Villes en erreur'!$A$2:$B$72,2,FALSE)))</f>
        <v>Prévost</v>
      </c>
      <c r="R3071" s="9" t="s">
        <v>1590</v>
      </c>
      <c r="S3071" s="9" t="str">
        <f>IF(ISBLANK($R3071),"",VLOOKUP($R3071,'Liste des Villes'!$B$2:$H$1128,4,FALSE))</f>
        <v>Laurentides</v>
      </c>
      <c r="T3071" s="2" t="s">
        <v>13721</v>
      </c>
      <c r="U3071" s="2" t="s">
        <v>39</v>
      </c>
      <c r="V3071" s="2" t="s">
        <v>40</v>
      </c>
      <c r="W3071" s="2" t="s">
        <v>13804</v>
      </c>
      <c r="X3071" s="2"/>
      <c r="Y3071" s="2"/>
      <c r="Z3071" s="2"/>
      <c r="AA3071" s="2" t="s">
        <v>13207</v>
      </c>
      <c r="AB3071" s="2" t="s">
        <v>13208</v>
      </c>
      <c r="AC3071" s="4" t="s">
        <v>44</v>
      </c>
    </row>
    <row r="3072" spans="1:29" x14ac:dyDescent="0.25">
      <c r="A3072" s="1">
        <v>3278</v>
      </c>
      <c r="B3072" s="17" t="s">
        <v>13805</v>
      </c>
      <c r="C3072" s="2" t="s">
        <v>13806</v>
      </c>
      <c r="D3072" s="15" t="s">
        <v>13807</v>
      </c>
      <c r="E3072" s="9" t="s">
        <v>8075</v>
      </c>
      <c r="F3072" s="9" t="s">
        <v>449</v>
      </c>
      <c r="G3072" s="9" t="s">
        <v>1416</v>
      </c>
      <c r="H3072" s="2" t="s">
        <v>60</v>
      </c>
      <c r="I3072" s="3">
        <v>37003</v>
      </c>
      <c r="J3072" s="9" t="str">
        <f t="shared" ca="1" si="50"/>
        <v>22 ans</v>
      </c>
      <c r="K3072" s="2" t="s">
        <v>156</v>
      </c>
      <c r="L3072" s="2" t="str">
        <f>"1035"</f>
        <v>1035</v>
      </c>
      <c r="M3072" s="2"/>
      <c r="N3072" s="2" t="str">
        <f>"RUE DU GRANIT"</f>
        <v>RUE DU GRANIT</v>
      </c>
      <c r="O3072" s="2" t="s">
        <v>13204</v>
      </c>
      <c r="P3072" s="9" t="str">
        <f>VLOOKUP($O3072,'Liste des Villes'!$B$2:$B$1128,1,FALSE)</f>
        <v>Prévost</v>
      </c>
      <c r="Q3072" s="9" t="str">
        <f>IFERROR($P3072,PROPER(VLOOKUP($O3072,'Villes en erreur'!$A$2:$B$72,2,FALSE)))</f>
        <v>Prévost</v>
      </c>
      <c r="R3072" s="9" t="s">
        <v>1590</v>
      </c>
      <c r="S3072" s="9" t="str">
        <f>IF(ISBLANK($R3072),"",VLOOKUP($R3072,'Liste des Villes'!$B$2:$H$1128,4,FALSE))</f>
        <v>Laurentides</v>
      </c>
      <c r="T3072" s="2" t="s">
        <v>13389</v>
      </c>
      <c r="U3072" s="2" t="s">
        <v>39</v>
      </c>
      <c r="V3072" s="2" t="s">
        <v>40</v>
      </c>
      <c r="W3072" s="2" t="s">
        <v>13808</v>
      </c>
      <c r="X3072" s="2"/>
      <c r="Y3072" s="2"/>
      <c r="Z3072" s="2"/>
      <c r="AA3072" s="2" t="s">
        <v>375</v>
      </c>
      <c r="AB3072" s="2" t="s">
        <v>13208</v>
      </c>
      <c r="AC3072" s="4" t="s">
        <v>44</v>
      </c>
    </row>
    <row r="3073" spans="1:29" x14ac:dyDescent="0.25">
      <c r="A3073" s="1">
        <v>1612</v>
      </c>
      <c r="B3073" s="17" t="s">
        <v>13809</v>
      </c>
      <c r="C3073" s="2" t="s">
        <v>13810</v>
      </c>
      <c r="D3073" s="15" t="s">
        <v>13811</v>
      </c>
      <c r="E3073" s="9" t="s">
        <v>1410</v>
      </c>
      <c r="F3073" s="9" t="s">
        <v>4421</v>
      </c>
      <c r="G3073" s="9" t="s">
        <v>956</v>
      </c>
      <c r="H3073" s="2" t="s">
        <v>60</v>
      </c>
      <c r="I3073" s="3">
        <v>36944</v>
      </c>
      <c r="J3073" s="9" t="str">
        <f t="shared" ca="1" si="50"/>
        <v>22 ans</v>
      </c>
      <c r="K3073" s="2" t="s">
        <v>156</v>
      </c>
      <c r="L3073" s="2" t="str">
        <f>"978"</f>
        <v>978</v>
      </c>
      <c r="M3073" s="2"/>
      <c r="N3073" s="2" t="str">
        <f>"RUE DU BONNIEBROOK"</f>
        <v>RUE DU BONNIEBROOK</v>
      </c>
      <c r="O3073" s="2" t="s">
        <v>13204</v>
      </c>
      <c r="P3073" s="9" t="str">
        <f>VLOOKUP($O3073,'Liste des Villes'!$B$2:$B$1128,1,FALSE)</f>
        <v>Prévost</v>
      </c>
      <c r="Q3073" s="9" t="str">
        <f>IFERROR($P3073,PROPER(VLOOKUP($O3073,'Villes en erreur'!$A$2:$B$72,2,FALSE)))</f>
        <v>Prévost</v>
      </c>
      <c r="R3073" s="9" t="s">
        <v>1590</v>
      </c>
      <c r="S3073" s="9" t="str">
        <f>IF(ISBLANK($R3073),"",VLOOKUP($R3073,'Liste des Villes'!$B$2:$H$1128,4,FALSE))</f>
        <v>Laurentides</v>
      </c>
      <c r="T3073" s="2" t="s">
        <v>13254</v>
      </c>
      <c r="U3073" s="2" t="s">
        <v>39</v>
      </c>
      <c r="V3073" s="2" t="s">
        <v>40</v>
      </c>
      <c r="W3073" s="2" t="s">
        <v>13812</v>
      </c>
      <c r="X3073" s="2"/>
      <c r="Y3073" s="2"/>
      <c r="Z3073" s="2"/>
      <c r="AA3073" s="2" t="s">
        <v>160</v>
      </c>
      <c r="AB3073" s="2" t="s">
        <v>161</v>
      </c>
      <c r="AC3073" s="4" t="s">
        <v>44</v>
      </c>
    </row>
    <row r="3074" spans="1:29" x14ac:dyDescent="0.25">
      <c r="A3074" s="1">
        <v>4201</v>
      </c>
      <c r="B3074" s="17" t="s">
        <v>13813</v>
      </c>
      <c r="C3074" s="2" t="s">
        <v>13374</v>
      </c>
      <c r="D3074" s="15" t="s">
        <v>13375</v>
      </c>
      <c r="E3074" s="9" t="s">
        <v>929</v>
      </c>
      <c r="F3074" s="9" t="s">
        <v>3228</v>
      </c>
      <c r="G3074" s="9" t="s">
        <v>253</v>
      </c>
      <c r="H3074" s="2" t="s">
        <v>35</v>
      </c>
      <c r="I3074" s="3">
        <v>36966</v>
      </c>
      <c r="J3074" s="9" t="str">
        <f t="shared" ref="J3074:J3137" ca="1" si="51">_xlfn.CONCAT(INT((TODAY()-$I3074)/365.25)," ans")</f>
        <v>22 ans</v>
      </c>
      <c r="K3074" s="2" t="s">
        <v>156</v>
      </c>
      <c r="L3074" s="2" t="str">
        <f>"1008"</f>
        <v>1008</v>
      </c>
      <c r="M3074" s="2"/>
      <c r="N3074" s="2" t="str">
        <f>"RUE DU CLOS-DES-RÉAS"</f>
        <v>RUE DU CLOS-DES-RÉAS</v>
      </c>
      <c r="O3074" s="2" t="s">
        <v>13204</v>
      </c>
      <c r="P3074" s="9" t="str">
        <f>VLOOKUP($O3074,'Liste des Villes'!$B$2:$B$1128,1,FALSE)</f>
        <v>Prévost</v>
      </c>
      <c r="Q3074" s="9" t="str">
        <f>IFERROR($P3074,PROPER(VLOOKUP($O3074,'Villes en erreur'!$A$2:$B$72,2,FALSE)))</f>
        <v>Prévost</v>
      </c>
      <c r="R3074" s="9" t="s">
        <v>1590</v>
      </c>
      <c r="S3074" s="9" t="str">
        <f>IF(ISBLANK($R3074),"",VLOOKUP($R3074,'Liste des Villes'!$B$2:$H$1128,4,FALSE))</f>
        <v>Laurentides</v>
      </c>
      <c r="T3074" s="2" t="s">
        <v>13814</v>
      </c>
      <c r="U3074" s="2" t="s">
        <v>39</v>
      </c>
      <c r="V3074" s="2" t="s">
        <v>40</v>
      </c>
      <c r="W3074" s="2" t="s">
        <v>13815</v>
      </c>
      <c r="X3074" s="2"/>
      <c r="Y3074" s="2"/>
      <c r="Z3074" s="2"/>
      <c r="AA3074" s="2" t="s">
        <v>160</v>
      </c>
      <c r="AB3074" s="2" t="s">
        <v>13208</v>
      </c>
      <c r="AC3074" s="4" t="s">
        <v>44</v>
      </c>
    </row>
    <row r="3075" spans="1:29" x14ac:dyDescent="0.25">
      <c r="A3075" s="1">
        <v>4328</v>
      </c>
      <c r="B3075" s="17" t="s">
        <v>13816</v>
      </c>
      <c r="C3075" s="2" t="s">
        <v>1922</v>
      </c>
      <c r="D3075" s="15" t="s">
        <v>1923</v>
      </c>
      <c r="E3075" s="9" t="s">
        <v>1924</v>
      </c>
      <c r="F3075" s="9" t="s">
        <v>1925</v>
      </c>
      <c r="G3075" s="9" t="s">
        <v>253</v>
      </c>
      <c r="H3075" s="2" t="s">
        <v>35</v>
      </c>
      <c r="I3075" s="3">
        <v>36974</v>
      </c>
      <c r="J3075" s="9" t="str">
        <f t="shared" ca="1" si="51"/>
        <v>22 ans</v>
      </c>
      <c r="K3075" s="2" t="s">
        <v>156</v>
      </c>
      <c r="L3075" s="2" t="str">
        <f>"1012"</f>
        <v>1012</v>
      </c>
      <c r="M3075" s="2"/>
      <c r="N3075" s="2" t="str">
        <f>"RUE DU CLOS-FOURTET"</f>
        <v>RUE DU CLOS-FOURTET</v>
      </c>
      <c r="O3075" s="2" t="s">
        <v>13204</v>
      </c>
      <c r="P3075" s="9" t="str">
        <f>VLOOKUP($O3075,'Liste des Villes'!$B$2:$B$1128,1,FALSE)</f>
        <v>Prévost</v>
      </c>
      <c r="Q3075" s="9" t="str">
        <f>IFERROR($P3075,PROPER(VLOOKUP($O3075,'Villes en erreur'!$A$2:$B$72,2,FALSE)))</f>
        <v>Prévost</v>
      </c>
      <c r="R3075" s="9" t="s">
        <v>1590</v>
      </c>
      <c r="S3075" s="9" t="str">
        <f>IF(ISBLANK($R3075),"",VLOOKUP($R3075,'Liste des Villes'!$B$2:$H$1128,4,FALSE))</f>
        <v>Laurentides</v>
      </c>
      <c r="T3075" s="2" t="s">
        <v>13817</v>
      </c>
      <c r="U3075" s="2" t="s">
        <v>39</v>
      </c>
      <c r="V3075" s="2" t="s">
        <v>40</v>
      </c>
      <c r="W3075" s="2" t="s">
        <v>13818</v>
      </c>
      <c r="X3075" s="2"/>
      <c r="Y3075" s="2"/>
      <c r="Z3075" s="2"/>
      <c r="AA3075" s="2" t="s">
        <v>160</v>
      </c>
      <c r="AB3075" s="2" t="s">
        <v>13208</v>
      </c>
      <c r="AC3075" s="4" t="s">
        <v>44</v>
      </c>
    </row>
    <row r="3076" spans="1:29" x14ac:dyDescent="0.25">
      <c r="A3076" s="1">
        <v>2894</v>
      </c>
      <c r="B3076" s="17" t="s">
        <v>13819</v>
      </c>
      <c r="C3076" s="2" t="s">
        <v>13820</v>
      </c>
      <c r="D3076" s="15" t="s">
        <v>11787</v>
      </c>
      <c r="E3076" s="9" t="s">
        <v>3682</v>
      </c>
      <c r="F3076" s="9" t="s">
        <v>11786</v>
      </c>
      <c r="G3076" s="9" t="s">
        <v>1416</v>
      </c>
      <c r="H3076" s="2" t="s">
        <v>60</v>
      </c>
      <c r="I3076" s="3">
        <v>37000</v>
      </c>
      <c r="J3076" s="9" t="str">
        <f t="shared" ca="1" si="51"/>
        <v>22 ans</v>
      </c>
      <c r="K3076" s="2" t="s">
        <v>156</v>
      </c>
      <c r="L3076" s="2" t="str">
        <f>"1034"</f>
        <v>1034</v>
      </c>
      <c r="M3076" s="2"/>
      <c r="N3076" s="2" t="str">
        <f>"RUE DU GÉNÉRAL ALLARD"</f>
        <v>RUE DU GÉNÉRAL ALLARD</v>
      </c>
      <c r="O3076" s="2" t="s">
        <v>13204</v>
      </c>
      <c r="P3076" s="9" t="str">
        <f>VLOOKUP($O3076,'Liste des Villes'!$B$2:$B$1128,1,FALSE)</f>
        <v>Prévost</v>
      </c>
      <c r="Q3076" s="9" t="str">
        <f>IFERROR($P3076,PROPER(VLOOKUP($O3076,'Villes en erreur'!$A$2:$B$72,2,FALSE)))</f>
        <v>Prévost</v>
      </c>
      <c r="R3076" s="9" t="s">
        <v>1590</v>
      </c>
      <c r="S3076" s="9" t="str">
        <f>IF(ISBLANK($R3076),"",VLOOKUP($R3076,'Liste des Villes'!$B$2:$H$1128,4,FALSE))</f>
        <v>Laurentides</v>
      </c>
      <c r="T3076" s="2" t="s">
        <v>13371</v>
      </c>
      <c r="U3076" s="2" t="s">
        <v>39</v>
      </c>
      <c r="V3076" s="2" t="s">
        <v>40</v>
      </c>
      <c r="W3076" s="2" t="s">
        <v>13821</v>
      </c>
      <c r="X3076" s="2"/>
      <c r="Y3076" s="2"/>
      <c r="Z3076" s="2"/>
      <c r="AA3076" s="2" t="s">
        <v>13207</v>
      </c>
      <c r="AB3076" s="2" t="s">
        <v>13208</v>
      </c>
      <c r="AC3076" s="4" t="s">
        <v>44</v>
      </c>
    </row>
    <row r="3077" spans="1:29" x14ac:dyDescent="0.25">
      <c r="A3077" s="1">
        <v>1713</v>
      </c>
      <c r="B3077" s="17" t="s">
        <v>13822</v>
      </c>
      <c r="C3077" s="2" t="s">
        <v>13823</v>
      </c>
      <c r="D3077" s="15" t="s">
        <v>13824</v>
      </c>
      <c r="E3077" s="9" t="s">
        <v>683</v>
      </c>
      <c r="F3077" s="9" t="s">
        <v>13825</v>
      </c>
      <c r="G3077" s="9" t="s">
        <v>2049</v>
      </c>
      <c r="H3077" s="2" t="s">
        <v>35</v>
      </c>
      <c r="I3077" s="3">
        <v>37013</v>
      </c>
      <c r="J3077" s="9" t="str">
        <f t="shared" ca="1" si="51"/>
        <v>22 ans</v>
      </c>
      <c r="K3077" s="2" t="s">
        <v>156</v>
      </c>
      <c r="L3077" s="2" t="str">
        <f>"1045"</f>
        <v>1045</v>
      </c>
      <c r="M3077" s="2"/>
      <c r="N3077" s="2" t="str">
        <f>"RUE DU JOLI PIONNIER"</f>
        <v>RUE DU JOLI PIONNIER</v>
      </c>
      <c r="O3077" s="2" t="s">
        <v>13204</v>
      </c>
      <c r="P3077" s="9" t="str">
        <f>VLOOKUP($O3077,'Liste des Villes'!$B$2:$B$1128,1,FALSE)</f>
        <v>Prévost</v>
      </c>
      <c r="Q3077" s="9" t="str">
        <f>IFERROR($P3077,PROPER(VLOOKUP($O3077,'Villes en erreur'!$A$2:$B$72,2,FALSE)))</f>
        <v>Prévost</v>
      </c>
      <c r="R3077" s="9" t="s">
        <v>1590</v>
      </c>
      <c r="S3077" s="9" t="str">
        <f>IF(ISBLANK($R3077),"",VLOOKUP($R3077,'Liste des Villes'!$B$2:$H$1128,4,FALSE))</f>
        <v>Laurentides</v>
      </c>
      <c r="T3077" s="2" t="s">
        <v>13707</v>
      </c>
      <c r="U3077" s="2" t="s">
        <v>39</v>
      </c>
      <c r="V3077" s="2" t="s">
        <v>40</v>
      </c>
      <c r="W3077" s="2" t="s">
        <v>13826</v>
      </c>
      <c r="X3077" s="2"/>
      <c r="Y3077" s="2"/>
      <c r="Z3077" s="2"/>
      <c r="AA3077" s="2" t="s">
        <v>375</v>
      </c>
      <c r="AB3077" s="2" t="s">
        <v>13208</v>
      </c>
      <c r="AC3077" s="4" t="s">
        <v>44</v>
      </c>
    </row>
    <row r="3078" spans="1:29" x14ac:dyDescent="0.25">
      <c r="A3078" s="1">
        <v>1085</v>
      </c>
      <c r="B3078" s="17" t="s">
        <v>13827</v>
      </c>
      <c r="C3078" s="2" t="s">
        <v>13828</v>
      </c>
      <c r="D3078" s="15" t="s">
        <v>13829</v>
      </c>
      <c r="E3078" s="9" t="s">
        <v>1560</v>
      </c>
      <c r="F3078" s="9" t="s">
        <v>13830</v>
      </c>
      <c r="G3078" s="9" t="s">
        <v>253</v>
      </c>
      <c r="H3078" s="2" t="s">
        <v>35</v>
      </c>
      <c r="I3078" s="3">
        <v>36969</v>
      </c>
      <c r="J3078" s="9" t="str">
        <f t="shared" ca="1" si="51"/>
        <v>22 ans</v>
      </c>
      <c r="K3078" s="2" t="s">
        <v>156</v>
      </c>
      <c r="L3078" s="2" t="str">
        <f>"1008"</f>
        <v>1008</v>
      </c>
      <c r="M3078" s="2"/>
      <c r="N3078" s="2" t="str">
        <f>"RUE DU CLOS-DES-VIGNES"</f>
        <v>RUE DU CLOS-DES-VIGNES</v>
      </c>
      <c r="O3078" s="2" t="s">
        <v>13204</v>
      </c>
      <c r="P3078" s="9" t="str">
        <f>VLOOKUP($O3078,'Liste des Villes'!$B$2:$B$1128,1,FALSE)</f>
        <v>Prévost</v>
      </c>
      <c r="Q3078" s="9" t="str">
        <f>IFERROR($P3078,PROPER(VLOOKUP($O3078,'Villes en erreur'!$A$2:$B$72,2,FALSE)))</f>
        <v>Prévost</v>
      </c>
      <c r="R3078" s="9" t="s">
        <v>1590</v>
      </c>
      <c r="S3078" s="9" t="str">
        <f>IF(ISBLANK($R3078),"",VLOOKUP($R3078,'Liste des Villes'!$B$2:$H$1128,4,FALSE))</f>
        <v>Laurentides</v>
      </c>
      <c r="T3078" s="2" t="s">
        <v>13831</v>
      </c>
      <c r="U3078" s="2" t="s">
        <v>39</v>
      </c>
      <c r="V3078" s="2" t="s">
        <v>40</v>
      </c>
      <c r="W3078" s="2" t="s">
        <v>13832</v>
      </c>
      <c r="X3078" s="2"/>
      <c r="Y3078" s="2"/>
      <c r="Z3078" s="2"/>
      <c r="AA3078" s="2" t="s">
        <v>160</v>
      </c>
      <c r="AB3078" s="2" t="s">
        <v>13208</v>
      </c>
      <c r="AC3078" s="4" t="s">
        <v>44</v>
      </c>
    </row>
    <row r="3079" spans="1:29" x14ac:dyDescent="0.25">
      <c r="A3079" s="1">
        <v>3002</v>
      </c>
      <c r="B3079" s="17" t="s">
        <v>13833</v>
      </c>
      <c r="C3079" s="2" t="s">
        <v>5878</v>
      </c>
      <c r="D3079" s="15" t="s">
        <v>1852</v>
      </c>
      <c r="E3079" s="9" t="s">
        <v>635</v>
      </c>
      <c r="F3079" s="9" t="s">
        <v>2681</v>
      </c>
      <c r="G3079" s="9" t="s">
        <v>253</v>
      </c>
      <c r="H3079" s="2" t="s">
        <v>35</v>
      </c>
      <c r="I3079" s="3">
        <v>36965</v>
      </c>
      <c r="J3079" s="9" t="str">
        <f t="shared" ca="1" si="51"/>
        <v>22 ans</v>
      </c>
      <c r="K3079" s="2" t="s">
        <v>156</v>
      </c>
      <c r="L3079" s="2" t="str">
        <f>"1006"</f>
        <v>1006</v>
      </c>
      <c r="M3079" s="2"/>
      <c r="N3079" s="2" t="str">
        <f>"RUE DU CLOS-DES-ARTISANS"</f>
        <v>RUE DU CLOS-DES-ARTISANS</v>
      </c>
      <c r="O3079" s="2" t="s">
        <v>13204</v>
      </c>
      <c r="P3079" s="9" t="str">
        <f>VLOOKUP($O3079,'Liste des Villes'!$B$2:$B$1128,1,FALSE)</f>
        <v>Prévost</v>
      </c>
      <c r="Q3079" s="9" t="str">
        <f>IFERROR($P3079,PROPER(VLOOKUP($O3079,'Villes en erreur'!$A$2:$B$72,2,FALSE)))</f>
        <v>Prévost</v>
      </c>
      <c r="R3079" s="9" t="s">
        <v>1590</v>
      </c>
      <c r="S3079" s="9" t="str">
        <f>IF(ISBLANK($R3079),"",VLOOKUP($R3079,'Liste des Villes'!$B$2:$H$1128,4,FALSE))</f>
        <v>Laurentides</v>
      </c>
      <c r="T3079" s="2" t="s">
        <v>13639</v>
      </c>
      <c r="U3079" s="2" t="s">
        <v>39</v>
      </c>
      <c r="V3079" s="2" t="s">
        <v>40</v>
      </c>
      <c r="W3079" s="2" t="s">
        <v>13834</v>
      </c>
      <c r="X3079" s="2"/>
      <c r="Y3079" s="2"/>
      <c r="Z3079" s="2"/>
      <c r="AA3079" s="2" t="s">
        <v>160</v>
      </c>
      <c r="AB3079" s="2" t="s">
        <v>13208</v>
      </c>
      <c r="AC3079" s="4" t="s">
        <v>44</v>
      </c>
    </row>
    <row r="3080" spans="1:29" x14ac:dyDescent="0.25">
      <c r="A3080" s="1">
        <v>1000</v>
      </c>
      <c r="B3080" s="17" t="s">
        <v>13835</v>
      </c>
      <c r="C3080" s="2" t="s">
        <v>8567</v>
      </c>
      <c r="D3080" s="15" t="s">
        <v>1959</v>
      </c>
      <c r="E3080" s="9" t="s">
        <v>389</v>
      </c>
      <c r="F3080" s="9" t="s">
        <v>3183</v>
      </c>
      <c r="G3080" s="9" t="s">
        <v>956</v>
      </c>
      <c r="H3080" s="2" t="s">
        <v>60</v>
      </c>
      <c r="I3080" s="3">
        <v>36956</v>
      </c>
      <c r="J3080" s="9" t="str">
        <f t="shared" ca="1" si="51"/>
        <v>22 ans</v>
      </c>
      <c r="K3080" s="2" t="s">
        <v>156</v>
      </c>
      <c r="L3080" s="2" t="str">
        <f>"1001"</f>
        <v>1001</v>
      </c>
      <c r="M3080" s="2"/>
      <c r="N3080" s="2" t="str">
        <f>"RUE DU CHARDONNAY"</f>
        <v>RUE DU CHARDONNAY</v>
      </c>
      <c r="O3080" s="2" t="s">
        <v>13204</v>
      </c>
      <c r="P3080" s="9" t="str">
        <f>VLOOKUP($O3080,'Liste des Villes'!$B$2:$B$1128,1,FALSE)</f>
        <v>Prévost</v>
      </c>
      <c r="Q3080" s="9" t="str">
        <f>IFERROR($P3080,PROPER(VLOOKUP($O3080,'Villes en erreur'!$A$2:$B$72,2,FALSE)))</f>
        <v>Prévost</v>
      </c>
      <c r="R3080" s="9" t="s">
        <v>1590</v>
      </c>
      <c r="S3080" s="9" t="str">
        <f>IF(ISBLANK($R3080),"",VLOOKUP($R3080,'Liste des Villes'!$B$2:$H$1128,4,FALSE))</f>
        <v>Laurentides</v>
      </c>
      <c r="T3080" s="2" t="s">
        <v>13836</v>
      </c>
      <c r="U3080" s="2" t="s">
        <v>39</v>
      </c>
      <c r="V3080" s="2" t="s">
        <v>40</v>
      </c>
      <c r="W3080" s="2" t="s">
        <v>13837</v>
      </c>
      <c r="X3080" s="2"/>
      <c r="Y3080" s="2"/>
      <c r="Z3080" s="2"/>
      <c r="AA3080" s="2" t="s">
        <v>160</v>
      </c>
      <c r="AB3080" s="2" t="s">
        <v>13208</v>
      </c>
      <c r="AC3080" s="4" t="s">
        <v>44</v>
      </c>
    </row>
    <row r="3081" spans="1:29" x14ac:dyDescent="0.25">
      <c r="A3081" s="1">
        <v>2285</v>
      </c>
      <c r="B3081" s="17" t="s">
        <v>13838</v>
      </c>
      <c r="C3081" s="2" t="s">
        <v>6808</v>
      </c>
      <c r="D3081" s="15" t="s">
        <v>2937</v>
      </c>
      <c r="E3081" s="9" t="s">
        <v>2504</v>
      </c>
      <c r="F3081" s="9" t="s">
        <v>2139</v>
      </c>
      <c r="G3081" s="9" t="s">
        <v>956</v>
      </c>
      <c r="H3081" s="2" t="s">
        <v>60</v>
      </c>
      <c r="I3081" s="3">
        <v>36954</v>
      </c>
      <c r="J3081" s="9" t="str">
        <f t="shared" ca="1" si="51"/>
        <v>22 ans</v>
      </c>
      <c r="K3081" s="2" t="s">
        <v>156</v>
      </c>
      <c r="L3081" s="2" t="str">
        <f>"999"</f>
        <v>999</v>
      </c>
      <c r="M3081" s="2"/>
      <c r="N3081" s="2" t="str">
        <f>"RUE DU CELLIER"</f>
        <v>RUE DU CELLIER</v>
      </c>
      <c r="O3081" s="2" t="s">
        <v>13204</v>
      </c>
      <c r="P3081" s="9" t="str">
        <f>VLOOKUP($O3081,'Liste des Villes'!$B$2:$B$1128,1,FALSE)</f>
        <v>Prévost</v>
      </c>
      <c r="Q3081" s="9" t="str">
        <f>IFERROR($P3081,PROPER(VLOOKUP($O3081,'Villes en erreur'!$A$2:$B$72,2,FALSE)))</f>
        <v>Prévost</v>
      </c>
      <c r="R3081" s="9" t="s">
        <v>1590</v>
      </c>
      <c r="S3081" s="9" t="str">
        <f>IF(ISBLANK($R3081),"",VLOOKUP($R3081,'Liste des Villes'!$B$2:$H$1128,4,FALSE))</f>
        <v>Laurentides</v>
      </c>
      <c r="T3081" s="2" t="s">
        <v>13839</v>
      </c>
      <c r="U3081" s="2" t="s">
        <v>39</v>
      </c>
      <c r="V3081" s="2" t="s">
        <v>40</v>
      </c>
      <c r="W3081" s="2" t="s">
        <v>13840</v>
      </c>
      <c r="X3081" s="2"/>
      <c r="Y3081" s="2"/>
      <c r="Z3081" s="2"/>
      <c r="AA3081" s="2" t="s">
        <v>160</v>
      </c>
      <c r="AB3081" s="2" t="s">
        <v>161</v>
      </c>
      <c r="AC3081" s="4" t="s">
        <v>44</v>
      </c>
    </row>
    <row r="3082" spans="1:29" x14ac:dyDescent="0.25">
      <c r="A3082" s="1">
        <v>946</v>
      </c>
      <c r="B3082" s="17" t="s">
        <v>13841</v>
      </c>
      <c r="C3082" s="2" t="s">
        <v>13842</v>
      </c>
      <c r="D3082" s="15" t="s">
        <v>13825</v>
      </c>
      <c r="E3082" s="9" t="s">
        <v>348</v>
      </c>
      <c r="F3082" s="9" t="s">
        <v>13824</v>
      </c>
      <c r="G3082" s="9" t="s">
        <v>1416</v>
      </c>
      <c r="H3082" s="2" t="s">
        <v>60</v>
      </c>
      <c r="I3082" s="3">
        <v>36998</v>
      </c>
      <c r="J3082" s="9" t="str">
        <f t="shared" ca="1" si="51"/>
        <v>22 ans</v>
      </c>
      <c r="K3082" s="2" t="s">
        <v>156</v>
      </c>
      <c r="L3082" s="2" t="str">
        <f>"1033"</f>
        <v>1033</v>
      </c>
      <c r="M3082" s="2"/>
      <c r="N3082" s="2" t="str">
        <f>"RUE DU FRÈRE-JÉRÔME"</f>
        <v>RUE DU FRÈRE-JÉRÔME</v>
      </c>
      <c r="O3082" s="2" t="s">
        <v>13204</v>
      </c>
      <c r="P3082" s="9" t="str">
        <f>VLOOKUP($O3082,'Liste des Villes'!$B$2:$B$1128,1,FALSE)</f>
        <v>Prévost</v>
      </c>
      <c r="Q3082" s="9" t="str">
        <f>IFERROR($P3082,PROPER(VLOOKUP($O3082,'Villes en erreur'!$A$2:$B$72,2,FALSE)))</f>
        <v>Prévost</v>
      </c>
      <c r="R3082" s="9" t="s">
        <v>1590</v>
      </c>
      <c r="S3082" s="9" t="str">
        <f>IF(ISBLANK($R3082),"",VLOOKUP($R3082,'Liste des Villes'!$B$2:$H$1128,4,FALSE))</f>
        <v>Laurentides</v>
      </c>
      <c r="T3082" s="2" t="s">
        <v>13843</v>
      </c>
      <c r="U3082" s="2" t="s">
        <v>39</v>
      </c>
      <c r="V3082" s="2" t="s">
        <v>40</v>
      </c>
      <c r="W3082" s="2" t="s">
        <v>13844</v>
      </c>
      <c r="X3082" s="2"/>
      <c r="Y3082" s="2"/>
      <c r="Z3082" s="2"/>
      <c r="AA3082" s="2" t="s">
        <v>13207</v>
      </c>
      <c r="AB3082" s="2" t="s">
        <v>13208</v>
      </c>
      <c r="AC3082" s="4" t="s">
        <v>44</v>
      </c>
    </row>
    <row r="3083" spans="1:29" x14ac:dyDescent="0.25">
      <c r="A3083" s="1">
        <v>2056</v>
      </c>
      <c r="B3083" s="17" t="s">
        <v>13845</v>
      </c>
      <c r="C3083" s="2" t="s">
        <v>6893</v>
      </c>
      <c r="D3083" s="15" t="s">
        <v>1169</v>
      </c>
      <c r="E3083" s="9" t="s">
        <v>325</v>
      </c>
      <c r="F3083" s="9" t="s">
        <v>325</v>
      </c>
      <c r="G3083" s="9" t="s">
        <v>956</v>
      </c>
      <c r="H3083" s="2" t="s">
        <v>60</v>
      </c>
      <c r="I3083" s="3">
        <v>36953</v>
      </c>
      <c r="J3083" s="9" t="str">
        <f t="shared" ca="1" si="51"/>
        <v>22 ans</v>
      </c>
      <c r="K3083" s="2" t="s">
        <v>156</v>
      </c>
      <c r="L3083" s="2" t="str">
        <f>"999"</f>
        <v>999</v>
      </c>
      <c r="M3083" s="2"/>
      <c r="N3083" s="2" t="str">
        <f>"RUE DU CAROUBIER"</f>
        <v>RUE DU CAROUBIER</v>
      </c>
      <c r="O3083" s="2" t="s">
        <v>13204</v>
      </c>
      <c r="P3083" s="9" t="str">
        <f>VLOOKUP($O3083,'Liste des Villes'!$B$2:$B$1128,1,FALSE)</f>
        <v>Prévost</v>
      </c>
      <c r="Q3083" s="9" t="str">
        <f>IFERROR($P3083,PROPER(VLOOKUP($O3083,'Villes en erreur'!$A$2:$B$72,2,FALSE)))</f>
        <v>Prévost</v>
      </c>
      <c r="R3083" s="9" t="s">
        <v>1590</v>
      </c>
      <c r="S3083" s="9" t="str">
        <f>IF(ISBLANK($R3083),"",VLOOKUP($R3083,'Liste des Villes'!$B$2:$H$1128,4,FALSE))</f>
        <v>Laurentides</v>
      </c>
      <c r="T3083" s="2" t="s">
        <v>13846</v>
      </c>
      <c r="U3083" s="2" t="s">
        <v>39</v>
      </c>
      <c r="V3083" s="2" t="s">
        <v>40</v>
      </c>
      <c r="W3083" s="2" t="s">
        <v>13847</v>
      </c>
      <c r="X3083" s="2"/>
      <c r="Y3083" s="2"/>
      <c r="Z3083" s="2"/>
      <c r="AA3083" s="2" t="s">
        <v>160</v>
      </c>
      <c r="AB3083" s="2" t="s">
        <v>161</v>
      </c>
      <c r="AC3083" s="4" t="s">
        <v>44</v>
      </c>
    </row>
    <row r="3084" spans="1:29" x14ac:dyDescent="0.25">
      <c r="A3084" s="1">
        <v>1685</v>
      </c>
      <c r="B3084" s="17" t="s">
        <v>13848</v>
      </c>
      <c r="C3084" s="2" t="s">
        <v>3417</v>
      </c>
      <c r="D3084" s="15" t="s">
        <v>3418</v>
      </c>
      <c r="E3084" s="9" t="s">
        <v>3274</v>
      </c>
      <c r="F3084" s="9" t="s">
        <v>3419</v>
      </c>
      <c r="G3084" s="9" t="s">
        <v>1416</v>
      </c>
      <c r="H3084" s="2" t="s">
        <v>60</v>
      </c>
      <c r="I3084" s="3">
        <v>37000</v>
      </c>
      <c r="J3084" s="9" t="str">
        <f t="shared" ca="1" si="51"/>
        <v>22 ans</v>
      </c>
      <c r="K3084" s="2" t="s">
        <v>156</v>
      </c>
      <c r="L3084" s="2" t="str">
        <f>"1035"</f>
        <v>1035</v>
      </c>
      <c r="M3084" s="2"/>
      <c r="N3084" s="2" t="str">
        <f>"RUE DU GRAND HÉRON"</f>
        <v>RUE DU GRAND HÉRON</v>
      </c>
      <c r="O3084" s="2" t="s">
        <v>13204</v>
      </c>
      <c r="P3084" s="9" t="str">
        <f>VLOOKUP($O3084,'Liste des Villes'!$B$2:$B$1128,1,FALSE)</f>
        <v>Prévost</v>
      </c>
      <c r="Q3084" s="9" t="str">
        <f>IFERROR($P3084,PROPER(VLOOKUP($O3084,'Villes en erreur'!$A$2:$B$72,2,FALSE)))</f>
        <v>Prévost</v>
      </c>
      <c r="R3084" s="9" t="s">
        <v>1590</v>
      </c>
      <c r="S3084" s="9" t="str">
        <f>IF(ISBLANK($R3084),"",VLOOKUP($R3084,'Liste des Villes'!$B$2:$H$1128,4,FALSE))</f>
        <v>Laurentides</v>
      </c>
      <c r="T3084" s="2" t="s">
        <v>13371</v>
      </c>
      <c r="U3084" s="2" t="s">
        <v>39</v>
      </c>
      <c r="V3084" s="2" t="s">
        <v>40</v>
      </c>
      <c r="W3084" s="2" t="s">
        <v>13849</v>
      </c>
      <c r="X3084" s="2"/>
      <c r="Y3084" s="2"/>
      <c r="Z3084" s="2"/>
      <c r="AA3084" s="2" t="s">
        <v>13207</v>
      </c>
      <c r="AB3084" s="2" t="s">
        <v>13208</v>
      </c>
      <c r="AC3084" s="4" t="s">
        <v>44</v>
      </c>
    </row>
    <row r="3085" spans="1:29" x14ac:dyDescent="0.25">
      <c r="A3085" s="1">
        <v>2051</v>
      </c>
      <c r="B3085" s="17" t="s">
        <v>13850</v>
      </c>
      <c r="C3085" s="2" t="s">
        <v>13851</v>
      </c>
      <c r="D3085" s="15" t="s">
        <v>13852</v>
      </c>
      <c r="E3085" s="9" t="s">
        <v>7692</v>
      </c>
      <c r="F3085" s="9" t="s">
        <v>693</v>
      </c>
      <c r="G3085" s="9" t="s">
        <v>956</v>
      </c>
      <c r="H3085" s="2" t="s">
        <v>60</v>
      </c>
      <c r="I3085" s="3">
        <v>36953</v>
      </c>
      <c r="J3085" s="9" t="str">
        <f t="shared" ca="1" si="51"/>
        <v>22 ans</v>
      </c>
      <c r="K3085" s="2" t="s">
        <v>156</v>
      </c>
      <c r="L3085" s="2" t="str">
        <f>"996"</f>
        <v>996</v>
      </c>
      <c r="M3085" s="2"/>
      <c r="N3085" s="2" t="str">
        <f>"RUE DU CARDINAL"</f>
        <v>RUE DU CARDINAL</v>
      </c>
      <c r="O3085" s="2" t="s">
        <v>13204</v>
      </c>
      <c r="P3085" s="9" t="str">
        <f>VLOOKUP($O3085,'Liste des Villes'!$B$2:$B$1128,1,FALSE)</f>
        <v>Prévost</v>
      </c>
      <c r="Q3085" s="9" t="str">
        <f>IFERROR($P3085,PROPER(VLOOKUP($O3085,'Villes en erreur'!$A$2:$B$72,2,FALSE)))</f>
        <v>Prévost</v>
      </c>
      <c r="R3085" s="9" t="s">
        <v>1590</v>
      </c>
      <c r="S3085" s="9" t="str">
        <f>IF(ISBLANK($R3085),"",VLOOKUP($R3085,'Liste des Villes'!$B$2:$H$1128,4,FALSE))</f>
        <v>Laurentides</v>
      </c>
      <c r="T3085" s="2" t="s">
        <v>13619</v>
      </c>
      <c r="U3085" s="2" t="s">
        <v>39</v>
      </c>
      <c r="V3085" s="2" t="s">
        <v>40</v>
      </c>
      <c r="W3085" s="2" t="s">
        <v>13853</v>
      </c>
      <c r="X3085" s="2"/>
      <c r="Y3085" s="2"/>
      <c r="Z3085" s="2"/>
      <c r="AA3085" s="2" t="s">
        <v>160</v>
      </c>
      <c r="AB3085" s="2" t="s">
        <v>161</v>
      </c>
      <c r="AC3085" s="4" t="s">
        <v>44</v>
      </c>
    </row>
    <row r="3086" spans="1:29" x14ac:dyDescent="0.25">
      <c r="A3086" s="1">
        <v>2465</v>
      </c>
      <c r="B3086" s="17" t="s">
        <v>13854</v>
      </c>
      <c r="C3086" s="2" t="s">
        <v>13855</v>
      </c>
      <c r="D3086" s="15" t="s">
        <v>2322</v>
      </c>
      <c r="E3086" s="9" t="s">
        <v>622</v>
      </c>
      <c r="F3086" s="9" t="s">
        <v>2321</v>
      </c>
      <c r="G3086" s="9" t="s">
        <v>956</v>
      </c>
      <c r="H3086" s="2" t="s">
        <v>60</v>
      </c>
      <c r="I3086" s="3">
        <v>36953</v>
      </c>
      <c r="J3086" s="9" t="str">
        <f t="shared" ca="1" si="51"/>
        <v>22 ans</v>
      </c>
      <c r="K3086" s="2" t="s">
        <v>156</v>
      </c>
      <c r="L3086" s="2" t="str">
        <f>"996"</f>
        <v>996</v>
      </c>
      <c r="M3086" s="2"/>
      <c r="N3086" s="2" t="str">
        <f>"RUE DU CARDINAL"</f>
        <v>RUE DU CARDINAL</v>
      </c>
      <c r="O3086" s="2" t="s">
        <v>13204</v>
      </c>
      <c r="P3086" s="9" t="str">
        <f>VLOOKUP($O3086,'Liste des Villes'!$B$2:$B$1128,1,FALSE)</f>
        <v>Prévost</v>
      </c>
      <c r="Q3086" s="9" t="str">
        <f>IFERROR($P3086,PROPER(VLOOKUP($O3086,'Villes en erreur'!$A$2:$B$72,2,FALSE)))</f>
        <v>Prévost</v>
      </c>
      <c r="R3086" s="9" t="s">
        <v>1590</v>
      </c>
      <c r="S3086" s="9" t="str">
        <f>IF(ISBLANK($R3086),"",VLOOKUP($R3086,'Liste des Villes'!$B$2:$H$1128,4,FALSE))</f>
        <v>Laurentides</v>
      </c>
      <c r="T3086" s="2" t="s">
        <v>13856</v>
      </c>
      <c r="U3086" s="2" t="s">
        <v>39</v>
      </c>
      <c r="V3086" s="2" t="s">
        <v>40</v>
      </c>
      <c r="W3086" s="2" t="s">
        <v>13857</v>
      </c>
      <c r="X3086" s="2"/>
      <c r="Y3086" s="2"/>
      <c r="Z3086" s="2"/>
      <c r="AA3086" s="2" t="s">
        <v>160</v>
      </c>
      <c r="AB3086" s="2" t="s">
        <v>161</v>
      </c>
      <c r="AC3086" s="4" t="s">
        <v>44</v>
      </c>
    </row>
    <row r="3087" spans="1:29" x14ac:dyDescent="0.25">
      <c r="A3087" s="1">
        <v>3724</v>
      </c>
      <c r="B3087" s="17" t="s">
        <v>13858</v>
      </c>
      <c r="C3087" s="2" t="s">
        <v>13859</v>
      </c>
      <c r="D3087" s="15" t="s">
        <v>1331</v>
      </c>
      <c r="E3087" s="9" t="s">
        <v>1315</v>
      </c>
      <c r="F3087" s="9" t="s">
        <v>11086</v>
      </c>
      <c r="G3087" s="9" t="s">
        <v>253</v>
      </c>
      <c r="H3087" s="2" t="s">
        <v>35</v>
      </c>
      <c r="I3087" s="3">
        <v>36962</v>
      </c>
      <c r="J3087" s="9" t="str">
        <f t="shared" ca="1" si="51"/>
        <v>22 ans</v>
      </c>
      <c r="K3087" s="2" t="s">
        <v>156</v>
      </c>
      <c r="L3087" s="2" t="str">
        <f>"1005"</f>
        <v>1005</v>
      </c>
      <c r="M3087" s="2"/>
      <c r="N3087" s="2" t="str">
        <f>"RUE DU CLOS VOUGEOT"</f>
        <v>RUE DU CLOS VOUGEOT</v>
      </c>
      <c r="O3087" s="2" t="s">
        <v>13204</v>
      </c>
      <c r="P3087" s="9" t="str">
        <f>VLOOKUP($O3087,'Liste des Villes'!$B$2:$B$1128,1,FALSE)</f>
        <v>Prévost</v>
      </c>
      <c r="Q3087" s="9" t="str">
        <f>IFERROR($P3087,PROPER(VLOOKUP($O3087,'Villes en erreur'!$A$2:$B$72,2,FALSE)))</f>
        <v>Prévost</v>
      </c>
      <c r="R3087" s="9" t="s">
        <v>1590</v>
      </c>
      <c r="S3087" s="9" t="str">
        <f>IF(ISBLANK($R3087),"",VLOOKUP($R3087,'Liste des Villes'!$B$2:$H$1128,4,FALSE))</f>
        <v>Laurentides</v>
      </c>
      <c r="T3087" s="2" t="s">
        <v>13860</v>
      </c>
      <c r="U3087" s="2" t="s">
        <v>39</v>
      </c>
      <c r="V3087" s="2" t="s">
        <v>40</v>
      </c>
      <c r="W3087" s="2" t="s">
        <v>13861</v>
      </c>
      <c r="X3087" s="2"/>
      <c r="Y3087" s="2"/>
      <c r="Z3087" s="2"/>
      <c r="AA3087" s="2" t="s">
        <v>160</v>
      </c>
      <c r="AB3087" s="2" t="s">
        <v>13208</v>
      </c>
      <c r="AC3087" s="4" t="s">
        <v>44</v>
      </c>
    </row>
    <row r="3088" spans="1:29" x14ac:dyDescent="0.25">
      <c r="A3088" s="1">
        <v>1943</v>
      </c>
      <c r="B3088" s="17" t="s">
        <v>13862</v>
      </c>
      <c r="C3088" s="2" t="s">
        <v>13863</v>
      </c>
      <c r="D3088" s="15" t="s">
        <v>13564</v>
      </c>
      <c r="E3088" s="9" t="s">
        <v>743</v>
      </c>
      <c r="F3088" s="9" t="s">
        <v>13563</v>
      </c>
      <c r="G3088" s="9" t="s">
        <v>956</v>
      </c>
      <c r="H3088" s="2" t="s">
        <v>60</v>
      </c>
      <c r="I3088" s="3">
        <v>36951</v>
      </c>
      <c r="J3088" s="9" t="str">
        <f t="shared" ca="1" si="51"/>
        <v>22 ans</v>
      </c>
      <c r="K3088" s="2" t="s">
        <v>156</v>
      </c>
      <c r="L3088" s="2" t="str">
        <f>"992"</f>
        <v>992</v>
      </c>
      <c r="M3088" s="2"/>
      <c r="N3088" s="2" t="str">
        <f>"RUE DU CARDINAL"</f>
        <v>RUE DU CARDINAL</v>
      </c>
      <c r="O3088" s="2" t="s">
        <v>13204</v>
      </c>
      <c r="P3088" s="9" t="str">
        <f>VLOOKUP($O3088,'Liste des Villes'!$B$2:$B$1128,1,FALSE)</f>
        <v>Prévost</v>
      </c>
      <c r="Q3088" s="9" t="str">
        <f>IFERROR($P3088,PROPER(VLOOKUP($O3088,'Villes en erreur'!$A$2:$B$72,2,FALSE)))</f>
        <v>Prévost</v>
      </c>
      <c r="R3088" s="9" t="s">
        <v>1590</v>
      </c>
      <c r="S3088" s="9" t="str">
        <f>IF(ISBLANK($R3088),"",VLOOKUP($R3088,'Liste des Villes'!$B$2:$H$1128,4,FALSE))</f>
        <v>Laurentides</v>
      </c>
      <c r="T3088" s="2" t="s">
        <v>13864</v>
      </c>
      <c r="U3088" s="2" t="s">
        <v>39</v>
      </c>
      <c r="V3088" s="2" t="s">
        <v>40</v>
      </c>
      <c r="W3088" s="2" t="s">
        <v>13865</v>
      </c>
      <c r="X3088" s="2"/>
      <c r="Y3088" s="2"/>
      <c r="Z3088" s="2"/>
      <c r="AA3088" s="2" t="s">
        <v>160</v>
      </c>
      <c r="AB3088" s="2" t="s">
        <v>161</v>
      </c>
      <c r="AC3088" s="4" t="s">
        <v>44</v>
      </c>
    </row>
    <row r="3089" spans="1:29" x14ac:dyDescent="0.25">
      <c r="A3089" s="1">
        <v>2813</v>
      </c>
      <c r="B3089" s="17" t="s">
        <v>13866</v>
      </c>
      <c r="C3089" s="2" t="s">
        <v>6327</v>
      </c>
      <c r="D3089" s="15" t="s">
        <v>1523</v>
      </c>
      <c r="E3089" s="9" t="s">
        <v>6328</v>
      </c>
      <c r="F3089" s="9" t="s">
        <v>1409</v>
      </c>
      <c r="G3089" s="9" t="s">
        <v>956</v>
      </c>
      <c r="H3089" s="2" t="s">
        <v>60</v>
      </c>
      <c r="I3089" s="3">
        <v>36956</v>
      </c>
      <c r="J3089" s="9" t="str">
        <f t="shared" ca="1" si="51"/>
        <v>22 ans</v>
      </c>
      <c r="K3089" s="2" t="s">
        <v>156</v>
      </c>
      <c r="L3089" s="2" t="str">
        <f>"1001"</f>
        <v>1001</v>
      </c>
      <c r="M3089" s="2"/>
      <c r="N3089" s="2" t="str">
        <f>"RUE DU CHARDONNAY"</f>
        <v>RUE DU CHARDONNAY</v>
      </c>
      <c r="O3089" s="2" t="s">
        <v>13204</v>
      </c>
      <c r="P3089" s="9" t="str">
        <f>VLOOKUP($O3089,'Liste des Villes'!$B$2:$B$1128,1,FALSE)</f>
        <v>Prévost</v>
      </c>
      <c r="Q3089" s="9" t="str">
        <f>IFERROR($P3089,PROPER(VLOOKUP($O3089,'Villes en erreur'!$A$2:$B$72,2,FALSE)))</f>
        <v>Prévost</v>
      </c>
      <c r="R3089" s="9" t="s">
        <v>1590</v>
      </c>
      <c r="S3089" s="9" t="str">
        <f>IF(ISBLANK($R3089),"",VLOOKUP($R3089,'Liste des Villes'!$B$2:$H$1128,4,FALSE))</f>
        <v>Laurentides</v>
      </c>
      <c r="T3089" s="2" t="s">
        <v>13836</v>
      </c>
      <c r="U3089" s="2" t="s">
        <v>39</v>
      </c>
      <c r="V3089" s="2" t="s">
        <v>40</v>
      </c>
      <c r="W3089" s="2" t="s">
        <v>13867</v>
      </c>
      <c r="X3089" s="2"/>
      <c r="Y3089" s="2"/>
      <c r="Z3089" s="2"/>
      <c r="AA3089" s="2" t="s">
        <v>160</v>
      </c>
      <c r="AB3089" s="2" t="s">
        <v>13208</v>
      </c>
      <c r="AC3089" s="4" t="s">
        <v>44</v>
      </c>
    </row>
    <row r="3090" spans="1:29" x14ac:dyDescent="0.25">
      <c r="A3090" s="1">
        <v>1815</v>
      </c>
      <c r="B3090" s="17" t="s">
        <v>13868</v>
      </c>
      <c r="C3090" s="2" t="s">
        <v>7709</v>
      </c>
      <c r="D3090" s="15" t="s">
        <v>7710</v>
      </c>
      <c r="E3090" s="9" t="s">
        <v>509</v>
      </c>
      <c r="F3090" s="9" t="s">
        <v>8503</v>
      </c>
      <c r="G3090" s="9" t="s">
        <v>253</v>
      </c>
      <c r="H3090" s="2" t="s">
        <v>35</v>
      </c>
      <c r="I3090" s="3">
        <v>36975</v>
      </c>
      <c r="J3090" s="9" t="str">
        <f t="shared" ca="1" si="51"/>
        <v>22 ans</v>
      </c>
      <c r="K3090" s="2" t="s">
        <v>156</v>
      </c>
      <c r="L3090" s="2" t="str">
        <f>"1012"</f>
        <v>1012</v>
      </c>
      <c r="M3090" s="2"/>
      <c r="N3090" s="2" t="str">
        <f>"RUE DU CLOS-MICOT"</f>
        <v>RUE DU CLOS-MICOT</v>
      </c>
      <c r="O3090" s="2" t="s">
        <v>13204</v>
      </c>
      <c r="P3090" s="9" t="str">
        <f>VLOOKUP($O3090,'Liste des Villes'!$B$2:$B$1128,1,FALSE)</f>
        <v>Prévost</v>
      </c>
      <c r="Q3090" s="9" t="str">
        <f>IFERROR($P3090,PROPER(VLOOKUP($O3090,'Villes en erreur'!$A$2:$B$72,2,FALSE)))</f>
        <v>Prévost</v>
      </c>
      <c r="R3090" s="9" t="s">
        <v>1590</v>
      </c>
      <c r="S3090" s="9" t="str">
        <f>IF(ISBLANK($R3090),"",VLOOKUP($R3090,'Liste des Villes'!$B$2:$H$1128,4,FALSE))</f>
        <v>Laurentides</v>
      </c>
      <c r="T3090" s="2" t="s">
        <v>13701</v>
      </c>
      <c r="U3090" s="2" t="s">
        <v>39</v>
      </c>
      <c r="V3090" s="2" t="s">
        <v>40</v>
      </c>
      <c r="W3090" s="2" t="s">
        <v>13869</v>
      </c>
      <c r="X3090" s="2"/>
      <c r="Y3090" s="2"/>
      <c r="Z3090" s="2"/>
      <c r="AA3090" s="2" t="s">
        <v>160</v>
      </c>
      <c r="AB3090" s="2" t="s">
        <v>13208</v>
      </c>
      <c r="AC3090" s="4" t="s">
        <v>44</v>
      </c>
    </row>
    <row r="3091" spans="1:29" x14ac:dyDescent="0.25">
      <c r="A3091" s="1">
        <v>3977</v>
      </c>
      <c r="B3091" s="17" t="s">
        <v>13870</v>
      </c>
      <c r="C3091" s="2" t="s">
        <v>13871</v>
      </c>
      <c r="D3091" s="15" t="s">
        <v>621</v>
      </c>
      <c r="E3091" s="9" t="s">
        <v>9961</v>
      </c>
      <c r="F3091" s="9" t="s">
        <v>2310</v>
      </c>
      <c r="G3091" s="9" t="s">
        <v>253</v>
      </c>
      <c r="H3091" s="2" t="s">
        <v>35</v>
      </c>
      <c r="I3091" s="3">
        <v>36974</v>
      </c>
      <c r="J3091" s="9" t="str">
        <f t="shared" ca="1" si="51"/>
        <v>22 ans</v>
      </c>
      <c r="K3091" s="2" t="s">
        <v>156</v>
      </c>
      <c r="L3091" s="2" t="str">
        <f>"1011"</f>
        <v>1011</v>
      </c>
      <c r="M3091" s="2"/>
      <c r="N3091" s="2" t="str">
        <f>"RUE DU CLOS-DU-MEUNIER"</f>
        <v>RUE DU CLOS-DU-MEUNIER</v>
      </c>
      <c r="O3091" s="2" t="s">
        <v>13204</v>
      </c>
      <c r="P3091" s="9" t="str">
        <f>VLOOKUP($O3091,'Liste des Villes'!$B$2:$B$1128,1,FALSE)</f>
        <v>Prévost</v>
      </c>
      <c r="Q3091" s="9" t="str">
        <f>IFERROR($P3091,PROPER(VLOOKUP($O3091,'Villes en erreur'!$A$2:$B$72,2,FALSE)))</f>
        <v>Prévost</v>
      </c>
      <c r="R3091" s="9" t="s">
        <v>1590</v>
      </c>
      <c r="S3091" s="9" t="str">
        <f>IF(ISBLANK($R3091),"",VLOOKUP($R3091,'Liste des Villes'!$B$2:$H$1128,4,FALSE))</f>
        <v>Laurentides</v>
      </c>
      <c r="T3091" s="2" t="s">
        <v>13872</v>
      </c>
      <c r="U3091" s="2" t="s">
        <v>39</v>
      </c>
      <c r="V3091" s="2" t="s">
        <v>40</v>
      </c>
      <c r="W3091" s="2" t="s">
        <v>13873</v>
      </c>
      <c r="X3091" s="2"/>
      <c r="Y3091" s="2"/>
      <c r="Z3091" s="2"/>
      <c r="AA3091" s="2" t="s">
        <v>160</v>
      </c>
      <c r="AB3091" s="2" t="s">
        <v>13208</v>
      </c>
      <c r="AC3091" s="4" t="s">
        <v>44</v>
      </c>
    </row>
    <row r="3092" spans="1:29" x14ac:dyDescent="0.25">
      <c r="A3092" s="1">
        <v>759</v>
      </c>
      <c r="B3092" s="17" t="s">
        <v>13874</v>
      </c>
      <c r="C3092" s="2" t="s">
        <v>1359</v>
      </c>
      <c r="D3092" s="15" t="s">
        <v>1360</v>
      </c>
      <c r="E3092" s="9" t="s">
        <v>1361</v>
      </c>
      <c r="F3092" s="9" t="s">
        <v>1362</v>
      </c>
      <c r="G3092" s="9" t="s">
        <v>4324</v>
      </c>
      <c r="H3092" s="2" t="s">
        <v>35</v>
      </c>
      <c r="I3092" s="3">
        <v>36990</v>
      </c>
      <c r="J3092" s="9" t="str">
        <f t="shared" ca="1" si="51"/>
        <v>22 ans</v>
      </c>
      <c r="K3092" s="2" t="s">
        <v>156</v>
      </c>
      <c r="L3092" s="2" t="str">
        <f>"1024"</f>
        <v>1024</v>
      </c>
      <c r="M3092" s="2"/>
      <c r="N3092" s="2" t="str">
        <f>"RUE DU DOCTEUR-BONIFACE-LABONTÉ"</f>
        <v>RUE DU DOCTEUR-BONIFACE-LABONTÉ</v>
      </c>
      <c r="O3092" s="2" t="s">
        <v>13204</v>
      </c>
      <c r="P3092" s="9" t="str">
        <f>VLOOKUP($O3092,'Liste des Villes'!$B$2:$B$1128,1,FALSE)</f>
        <v>Prévost</v>
      </c>
      <c r="Q3092" s="9" t="str">
        <f>IFERROR($P3092,PROPER(VLOOKUP($O3092,'Villes en erreur'!$A$2:$B$72,2,FALSE)))</f>
        <v>Prévost</v>
      </c>
      <c r="R3092" s="9" t="s">
        <v>1590</v>
      </c>
      <c r="S3092" s="9" t="str">
        <f>IF(ISBLANK($R3092),"",VLOOKUP($R3092,'Liste des Villes'!$B$2:$H$1128,4,FALSE))</f>
        <v>Laurentides</v>
      </c>
      <c r="T3092" s="2" t="s">
        <v>13875</v>
      </c>
      <c r="U3092" s="2" t="s">
        <v>39</v>
      </c>
      <c r="V3092" s="2" t="s">
        <v>40</v>
      </c>
      <c r="W3092" s="2" t="s">
        <v>13876</v>
      </c>
      <c r="X3092" s="2"/>
      <c r="Y3092" s="2"/>
      <c r="Z3092" s="2"/>
      <c r="AA3092" s="2" t="s">
        <v>13207</v>
      </c>
      <c r="AB3092" s="2" t="s">
        <v>13208</v>
      </c>
      <c r="AC3092" s="4" t="s">
        <v>44</v>
      </c>
    </row>
    <row r="3093" spans="1:29" x14ac:dyDescent="0.25">
      <c r="A3093" s="1">
        <v>3520</v>
      </c>
      <c r="B3093" s="17" t="s">
        <v>13877</v>
      </c>
      <c r="C3093" s="2" t="s">
        <v>3835</v>
      </c>
      <c r="D3093" s="15" t="s">
        <v>1031</v>
      </c>
      <c r="E3093" s="9" t="s">
        <v>1397</v>
      </c>
      <c r="F3093" s="9" t="s">
        <v>1832</v>
      </c>
      <c r="G3093" s="9" t="s">
        <v>2614</v>
      </c>
      <c r="H3093" s="2" t="s">
        <v>60</v>
      </c>
      <c r="I3093" s="3">
        <v>36978</v>
      </c>
      <c r="J3093" s="9" t="str">
        <f t="shared" ca="1" si="51"/>
        <v>22 ans</v>
      </c>
      <c r="K3093" s="2" t="s">
        <v>156</v>
      </c>
      <c r="L3093" s="2" t="str">
        <f>"1015"</f>
        <v>1015</v>
      </c>
      <c r="M3093" s="2"/>
      <c r="N3093" s="2" t="str">
        <f>"RUE DU COMMANDANT"</f>
        <v>RUE DU COMMANDANT</v>
      </c>
      <c r="O3093" s="2" t="s">
        <v>13204</v>
      </c>
      <c r="P3093" s="9" t="str">
        <f>VLOOKUP($O3093,'Liste des Villes'!$B$2:$B$1128,1,FALSE)</f>
        <v>Prévost</v>
      </c>
      <c r="Q3093" s="9" t="str">
        <f>IFERROR($P3093,PROPER(VLOOKUP($O3093,'Villes en erreur'!$A$2:$B$72,2,FALSE)))</f>
        <v>Prévost</v>
      </c>
      <c r="R3093" s="9" t="s">
        <v>1590</v>
      </c>
      <c r="S3093" s="9" t="str">
        <f>IF(ISBLANK($R3093),"",VLOOKUP($R3093,'Liste des Villes'!$B$2:$H$1128,4,FALSE))</f>
        <v>Laurentides</v>
      </c>
      <c r="T3093" s="2" t="s">
        <v>13456</v>
      </c>
      <c r="U3093" s="2" t="s">
        <v>39</v>
      </c>
      <c r="V3093" s="2" t="s">
        <v>40</v>
      </c>
      <c r="W3093" s="2" t="s">
        <v>13878</v>
      </c>
      <c r="X3093" s="2"/>
      <c r="Y3093" s="2"/>
      <c r="Z3093" s="2"/>
      <c r="AA3093" s="2" t="s">
        <v>13207</v>
      </c>
      <c r="AB3093" s="2" t="s">
        <v>13208</v>
      </c>
      <c r="AC3093" s="4" t="s">
        <v>44</v>
      </c>
    </row>
    <row r="3094" spans="1:29" x14ac:dyDescent="0.25">
      <c r="A3094" s="1">
        <v>507</v>
      </c>
      <c r="B3094" s="17" t="s">
        <v>13879</v>
      </c>
      <c r="C3094" s="2" t="s">
        <v>13880</v>
      </c>
      <c r="D3094" s="15" t="s">
        <v>3788</v>
      </c>
      <c r="E3094" s="9" t="s">
        <v>9273</v>
      </c>
      <c r="F3094" s="9" t="s">
        <v>8957</v>
      </c>
      <c r="G3094" s="9" t="s">
        <v>2049</v>
      </c>
      <c r="H3094" s="2" t="s">
        <v>35</v>
      </c>
      <c r="I3094" s="3">
        <v>37012</v>
      </c>
      <c r="J3094" s="9" t="str">
        <f t="shared" ca="1" si="51"/>
        <v>22 ans</v>
      </c>
      <c r="K3094" s="2" t="s">
        <v>156</v>
      </c>
      <c r="L3094" s="2" t="str">
        <f>"1045"</f>
        <v>1045</v>
      </c>
      <c r="M3094" s="2"/>
      <c r="N3094" s="2" t="str">
        <f>"RUE DU JADE"</f>
        <v>RUE DU JADE</v>
      </c>
      <c r="O3094" s="2" t="s">
        <v>13204</v>
      </c>
      <c r="P3094" s="9" t="str">
        <f>VLOOKUP($O3094,'Liste des Villes'!$B$2:$B$1128,1,FALSE)</f>
        <v>Prévost</v>
      </c>
      <c r="Q3094" s="9" t="str">
        <f>IFERROR($P3094,PROPER(VLOOKUP($O3094,'Villes en erreur'!$A$2:$B$72,2,FALSE)))</f>
        <v>Prévost</v>
      </c>
      <c r="R3094" s="9" t="s">
        <v>1590</v>
      </c>
      <c r="S3094" s="9" t="str">
        <f>IF(ISBLANK($R3094),"",VLOOKUP($R3094,'Liste des Villes'!$B$2:$H$1128,4,FALSE))</f>
        <v>Laurentides</v>
      </c>
      <c r="T3094" s="2" t="s">
        <v>13707</v>
      </c>
      <c r="U3094" s="2" t="s">
        <v>39</v>
      </c>
      <c r="V3094" s="2" t="s">
        <v>40</v>
      </c>
      <c r="W3094" s="2" t="s">
        <v>13881</v>
      </c>
      <c r="X3094" s="2"/>
      <c r="Y3094" s="2"/>
      <c r="Z3094" s="2"/>
      <c r="AA3094" s="2" t="s">
        <v>375</v>
      </c>
      <c r="AB3094" s="2" t="s">
        <v>13208</v>
      </c>
      <c r="AC3094" s="4" t="s">
        <v>44</v>
      </c>
    </row>
    <row r="3095" spans="1:29" x14ac:dyDescent="0.25">
      <c r="A3095" s="1">
        <v>111</v>
      </c>
      <c r="B3095" s="17" t="s">
        <v>13882</v>
      </c>
      <c r="C3095" s="2" t="s">
        <v>13883</v>
      </c>
      <c r="D3095" s="15" t="s">
        <v>4362</v>
      </c>
      <c r="E3095" s="9" t="s">
        <v>891</v>
      </c>
      <c r="F3095" s="9" t="s">
        <v>4361</v>
      </c>
      <c r="G3095" s="9" t="s">
        <v>1453</v>
      </c>
      <c r="H3095" s="2" t="s">
        <v>60</v>
      </c>
      <c r="I3095" s="3">
        <v>37018</v>
      </c>
      <c r="J3095" s="9" t="str">
        <f t="shared" ca="1" si="51"/>
        <v>22 ans</v>
      </c>
      <c r="K3095" s="2" t="s">
        <v>156</v>
      </c>
      <c r="L3095" s="2" t="str">
        <f>"1050"</f>
        <v>1050</v>
      </c>
      <c r="M3095" s="2"/>
      <c r="N3095" s="2" t="str">
        <f>"RUE DU MAÇON"</f>
        <v>RUE DU MAÇON</v>
      </c>
      <c r="O3095" s="2" t="s">
        <v>13204</v>
      </c>
      <c r="P3095" s="9" t="str">
        <f>VLOOKUP($O3095,'Liste des Villes'!$B$2:$B$1128,1,FALSE)</f>
        <v>Prévost</v>
      </c>
      <c r="Q3095" s="9" t="str">
        <f>IFERROR($P3095,PROPER(VLOOKUP($O3095,'Villes en erreur'!$A$2:$B$72,2,FALSE)))</f>
        <v>Prévost</v>
      </c>
      <c r="R3095" s="9" t="s">
        <v>1590</v>
      </c>
      <c r="S3095" s="9" t="str">
        <f>IF(ISBLANK($R3095),"",VLOOKUP($R3095,'Liste des Villes'!$B$2:$H$1128,4,FALSE))</f>
        <v>Laurentides</v>
      </c>
      <c r="T3095" s="2" t="s">
        <v>13684</v>
      </c>
      <c r="U3095" s="2" t="s">
        <v>39</v>
      </c>
      <c r="V3095" s="2" t="s">
        <v>40</v>
      </c>
      <c r="W3095" s="2" t="s">
        <v>13884</v>
      </c>
      <c r="X3095" s="2"/>
      <c r="Y3095" s="2"/>
      <c r="Z3095" s="2"/>
      <c r="AA3095" s="2" t="s">
        <v>375</v>
      </c>
      <c r="AB3095" s="2" t="s">
        <v>376</v>
      </c>
      <c r="AC3095" s="4" t="s">
        <v>44</v>
      </c>
    </row>
    <row r="3096" spans="1:29" x14ac:dyDescent="0.25">
      <c r="A3096" s="1">
        <v>1252</v>
      </c>
      <c r="B3096" s="17" t="s">
        <v>13885</v>
      </c>
      <c r="C3096" s="2" t="s">
        <v>13886</v>
      </c>
      <c r="D3096" s="15" t="s">
        <v>13887</v>
      </c>
      <c r="E3096" s="9" t="s">
        <v>13888</v>
      </c>
      <c r="F3096" s="9" t="s">
        <v>13889</v>
      </c>
      <c r="G3096" s="9" t="s">
        <v>3595</v>
      </c>
      <c r="H3096" s="2" t="s">
        <v>35</v>
      </c>
      <c r="I3096" s="3">
        <v>36992</v>
      </c>
      <c r="J3096" s="9" t="str">
        <f t="shared" ca="1" si="51"/>
        <v>22 ans</v>
      </c>
      <c r="K3096" s="2" t="s">
        <v>156</v>
      </c>
      <c r="L3096" s="2" t="str">
        <f>"1029"</f>
        <v>1029</v>
      </c>
      <c r="M3096" s="2"/>
      <c r="N3096" s="2" t="str">
        <f>"RUE DU DOMAINE LEBEAU"</f>
        <v>RUE DU DOMAINE LEBEAU</v>
      </c>
      <c r="O3096" s="2" t="s">
        <v>13204</v>
      </c>
      <c r="P3096" s="9" t="str">
        <f>VLOOKUP($O3096,'Liste des Villes'!$B$2:$B$1128,1,FALSE)</f>
        <v>Prévost</v>
      </c>
      <c r="Q3096" s="9" t="str">
        <f>IFERROR($P3096,PROPER(VLOOKUP($O3096,'Villes en erreur'!$A$2:$B$72,2,FALSE)))</f>
        <v>Prévost</v>
      </c>
      <c r="R3096" s="9" t="s">
        <v>1590</v>
      </c>
      <c r="S3096" s="9" t="str">
        <f>IF(ISBLANK($R3096),"",VLOOKUP($R3096,'Liste des Villes'!$B$2:$H$1128,4,FALSE))</f>
        <v>Laurentides</v>
      </c>
      <c r="T3096" s="2" t="s">
        <v>13890</v>
      </c>
      <c r="U3096" s="2" t="s">
        <v>39</v>
      </c>
      <c r="V3096" s="2" t="s">
        <v>40</v>
      </c>
      <c r="W3096" s="2" t="s">
        <v>13891</v>
      </c>
      <c r="X3096" s="2"/>
      <c r="Y3096" s="2"/>
      <c r="Z3096" s="2"/>
      <c r="AA3096" s="2" t="s">
        <v>13207</v>
      </c>
      <c r="AB3096" s="2" t="s">
        <v>13208</v>
      </c>
      <c r="AC3096" s="4" t="s">
        <v>44</v>
      </c>
    </row>
    <row r="3097" spans="1:29" x14ac:dyDescent="0.25">
      <c r="A3097" s="1">
        <v>4469</v>
      </c>
      <c r="B3097" s="17" t="s">
        <v>13892</v>
      </c>
      <c r="C3097" s="2" t="s">
        <v>13893</v>
      </c>
      <c r="D3097" s="15" t="s">
        <v>1739</v>
      </c>
      <c r="E3097" s="9" t="s">
        <v>1004</v>
      </c>
      <c r="F3097" s="9" t="s">
        <v>203</v>
      </c>
      <c r="G3097" s="9" t="s">
        <v>2614</v>
      </c>
      <c r="H3097" s="2" t="s">
        <v>60</v>
      </c>
      <c r="I3097" s="3">
        <v>36977</v>
      </c>
      <c r="J3097" s="9" t="str">
        <f t="shared" ca="1" si="51"/>
        <v>22 ans</v>
      </c>
      <c r="K3097" s="2" t="s">
        <v>156</v>
      </c>
      <c r="L3097" s="2" t="str">
        <f>"1015"</f>
        <v>1015</v>
      </c>
      <c r="M3097" s="2"/>
      <c r="N3097" s="2" t="str">
        <f>"RUE DU CLOS-VOUGEOT"</f>
        <v>RUE DU CLOS-VOUGEOT</v>
      </c>
      <c r="O3097" s="2" t="s">
        <v>13204</v>
      </c>
      <c r="P3097" s="9" t="str">
        <f>VLOOKUP($O3097,'Liste des Villes'!$B$2:$B$1128,1,FALSE)</f>
        <v>Prévost</v>
      </c>
      <c r="Q3097" s="9" t="str">
        <f>IFERROR($P3097,PROPER(VLOOKUP($O3097,'Villes en erreur'!$A$2:$B$72,2,FALSE)))</f>
        <v>Prévost</v>
      </c>
      <c r="R3097" s="9" t="s">
        <v>1590</v>
      </c>
      <c r="S3097" s="9" t="str">
        <f>IF(ISBLANK($R3097),"",VLOOKUP($R3097,'Liste des Villes'!$B$2:$H$1128,4,FALSE))</f>
        <v>Laurentides</v>
      </c>
      <c r="T3097" s="2" t="s">
        <v>13894</v>
      </c>
      <c r="U3097" s="2" t="s">
        <v>39</v>
      </c>
      <c r="V3097" s="2" t="s">
        <v>40</v>
      </c>
      <c r="W3097" s="2" t="s">
        <v>13895</v>
      </c>
      <c r="X3097" s="2"/>
      <c r="Y3097" s="2"/>
      <c r="Z3097" s="2"/>
      <c r="AA3097" s="2" t="s">
        <v>160</v>
      </c>
      <c r="AB3097" s="2" t="s">
        <v>13208</v>
      </c>
      <c r="AC3097" s="4" t="s">
        <v>44</v>
      </c>
    </row>
    <row r="3098" spans="1:29" x14ac:dyDescent="0.25">
      <c r="A3098" s="1">
        <v>3544</v>
      </c>
      <c r="B3098" s="17" t="s">
        <v>13896</v>
      </c>
      <c r="C3098" s="2" t="s">
        <v>13897</v>
      </c>
      <c r="D3098" s="15" t="s">
        <v>13898</v>
      </c>
      <c r="E3098" s="9" t="s">
        <v>4940</v>
      </c>
      <c r="F3098" s="9" t="s">
        <v>1376</v>
      </c>
      <c r="G3098" s="9" t="s">
        <v>2988</v>
      </c>
      <c r="H3098" s="2" t="s">
        <v>35</v>
      </c>
      <c r="I3098" s="3">
        <v>37019</v>
      </c>
      <c r="J3098" s="9" t="str">
        <f t="shared" ca="1" si="51"/>
        <v>22 ans</v>
      </c>
      <c r="K3098" s="2" t="s">
        <v>156</v>
      </c>
      <c r="L3098" s="2" t="str">
        <f>"1051"</f>
        <v>1051</v>
      </c>
      <c r="M3098" s="2"/>
      <c r="N3098" s="2" t="str">
        <f>"RUE DU MAÇON"</f>
        <v>RUE DU MAÇON</v>
      </c>
      <c r="O3098" s="2" t="s">
        <v>13204</v>
      </c>
      <c r="P3098" s="9" t="str">
        <f>VLOOKUP($O3098,'Liste des Villes'!$B$2:$B$1128,1,FALSE)</f>
        <v>Prévost</v>
      </c>
      <c r="Q3098" s="9" t="str">
        <f>IFERROR($P3098,PROPER(VLOOKUP($O3098,'Villes en erreur'!$A$2:$B$72,2,FALSE)))</f>
        <v>Prévost</v>
      </c>
      <c r="R3098" s="9" t="s">
        <v>1590</v>
      </c>
      <c r="S3098" s="9" t="str">
        <f>IF(ISBLANK($R3098),"",VLOOKUP($R3098,'Liste des Villes'!$B$2:$H$1128,4,FALSE))</f>
        <v>Laurentides</v>
      </c>
      <c r="T3098" s="2" t="s">
        <v>13280</v>
      </c>
      <c r="U3098" s="2" t="s">
        <v>39</v>
      </c>
      <c r="V3098" s="2" t="s">
        <v>40</v>
      </c>
      <c r="W3098" s="2" t="s">
        <v>13899</v>
      </c>
      <c r="X3098" s="2"/>
      <c r="Y3098" s="2"/>
      <c r="Z3098" s="2"/>
      <c r="AA3098" s="2" t="s">
        <v>375</v>
      </c>
      <c r="AB3098" s="2" t="s">
        <v>376</v>
      </c>
      <c r="AC3098" s="4" t="s">
        <v>44</v>
      </c>
    </row>
    <row r="3099" spans="1:29" x14ac:dyDescent="0.25">
      <c r="A3099" s="1">
        <v>530</v>
      </c>
      <c r="B3099" s="17" t="s">
        <v>13900</v>
      </c>
      <c r="C3099" s="2" t="s">
        <v>3102</v>
      </c>
      <c r="D3099" s="15" t="s">
        <v>657</v>
      </c>
      <c r="E3099" s="9" t="s">
        <v>452</v>
      </c>
      <c r="F3099" s="9" t="s">
        <v>3035</v>
      </c>
      <c r="G3099" s="9" t="s">
        <v>1416</v>
      </c>
      <c r="H3099" s="2" t="s">
        <v>60</v>
      </c>
      <c r="I3099" s="3">
        <v>37001</v>
      </c>
      <c r="J3099" s="9" t="str">
        <f t="shared" ca="1" si="51"/>
        <v>22 ans</v>
      </c>
      <c r="K3099" s="2" t="s">
        <v>156</v>
      </c>
      <c r="L3099" s="2" t="str">
        <f>"1035"</f>
        <v>1035</v>
      </c>
      <c r="M3099" s="2"/>
      <c r="N3099" s="2" t="str">
        <f>"RUE DU GRANIER"</f>
        <v>RUE DU GRANIER</v>
      </c>
      <c r="O3099" s="2" t="s">
        <v>13204</v>
      </c>
      <c r="P3099" s="9" t="str">
        <f>VLOOKUP($O3099,'Liste des Villes'!$B$2:$B$1128,1,FALSE)</f>
        <v>Prévost</v>
      </c>
      <c r="Q3099" s="9" t="str">
        <f>IFERROR($P3099,PROPER(VLOOKUP($O3099,'Villes en erreur'!$A$2:$B$72,2,FALSE)))</f>
        <v>Prévost</v>
      </c>
      <c r="R3099" s="9" t="s">
        <v>1590</v>
      </c>
      <c r="S3099" s="9" t="str">
        <f>IF(ISBLANK($R3099),"",VLOOKUP($R3099,'Liste des Villes'!$B$2:$H$1128,4,FALSE))</f>
        <v>Laurentides</v>
      </c>
      <c r="T3099" s="2" t="s">
        <v>13901</v>
      </c>
      <c r="U3099" s="2" t="s">
        <v>39</v>
      </c>
      <c r="V3099" s="2" t="s">
        <v>40</v>
      </c>
      <c r="W3099" s="2" t="s">
        <v>13902</v>
      </c>
      <c r="X3099" s="2"/>
      <c r="Y3099" s="2"/>
      <c r="Z3099" s="2"/>
      <c r="AA3099" s="2" t="s">
        <v>375</v>
      </c>
      <c r="AB3099" s="2" t="s">
        <v>13208</v>
      </c>
      <c r="AC3099" s="4" t="s">
        <v>44</v>
      </c>
    </row>
    <row r="3100" spans="1:29" x14ac:dyDescent="0.25">
      <c r="A3100" s="1">
        <v>1431</v>
      </c>
      <c r="B3100" s="17" t="s">
        <v>13903</v>
      </c>
      <c r="C3100" s="2" t="s">
        <v>13904</v>
      </c>
      <c r="D3100" s="15" t="s">
        <v>803</v>
      </c>
      <c r="E3100" s="9" t="s">
        <v>3451</v>
      </c>
      <c r="F3100" s="9" t="s">
        <v>2755</v>
      </c>
      <c r="G3100" s="9" t="s">
        <v>9284</v>
      </c>
      <c r="H3100" s="2" t="s">
        <v>60</v>
      </c>
      <c r="I3100" s="3">
        <v>37019</v>
      </c>
      <c r="J3100" s="9" t="str">
        <f t="shared" ca="1" si="51"/>
        <v>22 ans</v>
      </c>
      <c r="K3100" s="2" t="s">
        <v>156</v>
      </c>
      <c r="L3100" s="2" t="str">
        <f>"1051"</f>
        <v>1051</v>
      </c>
      <c r="M3100" s="2"/>
      <c r="N3100" s="2" t="str">
        <f>"RUE DU MAÇON"</f>
        <v>RUE DU MAÇON</v>
      </c>
      <c r="O3100" s="2" t="s">
        <v>13204</v>
      </c>
      <c r="P3100" s="9" t="str">
        <f>VLOOKUP($O3100,'Liste des Villes'!$B$2:$B$1128,1,FALSE)</f>
        <v>Prévost</v>
      </c>
      <c r="Q3100" s="9" t="str">
        <f>IFERROR($P3100,PROPER(VLOOKUP($O3100,'Villes en erreur'!$A$2:$B$72,2,FALSE)))</f>
        <v>Prévost</v>
      </c>
      <c r="R3100" s="9" t="s">
        <v>1590</v>
      </c>
      <c r="S3100" s="9" t="str">
        <f>IF(ISBLANK($R3100),"",VLOOKUP($R3100,'Liste des Villes'!$B$2:$H$1128,4,FALSE))</f>
        <v>Laurentides</v>
      </c>
      <c r="T3100" s="2" t="s">
        <v>13280</v>
      </c>
      <c r="U3100" s="2" t="s">
        <v>39</v>
      </c>
      <c r="V3100" s="2" t="s">
        <v>40</v>
      </c>
      <c r="W3100" s="2" t="s">
        <v>13905</v>
      </c>
      <c r="X3100" s="2"/>
      <c r="Y3100" s="2"/>
      <c r="Z3100" s="2"/>
      <c r="AA3100" s="2" t="s">
        <v>375</v>
      </c>
      <c r="AB3100" s="2" t="s">
        <v>376</v>
      </c>
      <c r="AC3100" s="4" t="s">
        <v>44</v>
      </c>
    </row>
    <row r="3101" spans="1:29" x14ac:dyDescent="0.25">
      <c r="A3101" s="1">
        <v>3822</v>
      </c>
      <c r="B3101" s="17" t="s">
        <v>13906</v>
      </c>
      <c r="C3101" s="2" t="s">
        <v>5878</v>
      </c>
      <c r="D3101" s="15" t="s">
        <v>1852</v>
      </c>
      <c r="E3101" s="9" t="s">
        <v>635</v>
      </c>
      <c r="F3101" s="9" t="s">
        <v>1851</v>
      </c>
      <c r="G3101" s="9" t="s">
        <v>2198</v>
      </c>
      <c r="H3101" s="2" t="s">
        <v>35</v>
      </c>
      <c r="I3101" s="3">
        <v>36984</v>
      </c>
      <c r="J3101" s="9" t="str">
        <f t="shared" ca="1" si="51"/>
        <v>22 ans</v>
      </c>
      <c r="K3101" s="2" t="s">
        <v>156</v>
      </c>
      <c r="L3101" s="2" t="str">
        <f>"1021"</f>
        <v>1021</v>
      </c>
      <c r="M3101" s="2"/>
      <c r="N3101" s="2" t="str">
        <f>"RUE DU DIAMANT"</f>
        <v>RUE DU DIAMANT</v>
      </c>
      <c r="O3101" s="2" t="s">
        <v>13204</v>
      </c>
      <c r="P3101" s="9" t="str">
        <f>VLOOKUP($O3101,'Liste des Villes'!$B$2:$B$1128,1,FALSE)</f>
        <v>Prévost</v>
      </c>
      <c r="Q3101" s="9" t="str">
        <f>IFERROR($P3101,PROPER(VLOOKUP($O3101,'Villes en erreur'!$A$2:$B$72,2,FALSE)))</f>
        <v>Prévost</v>
      </c>
      <c r="R3101" s="9" t="s">
        <v>1590</v>
      </c>
      <c r="S3101" s="9" t="str">
        <f>IF(ISBLANK($R3101),"",VLOOKUP($R3101,'Liste des Villes'!$B$2:$H$1128,4,FALSE))</f>
        <v>Laurentides</v>
      </c>
      <c r="T3101" s="2" t="s">
        <v>13246</v>
      </c>
      <c r="U3101" s="2" t="s">
        <v>39</v>
      </c>
      <c r="V3101" s="2" t="s">
        <v>40</v>
      </c>
      <c r="W3101" s="2" t="s">
        <v>13907</v>
      </c>
      <c r="X3101" s="2"/>
      <c r="Y3101" s="2"/>
      <c r="Z3101" s="2"/>
      <c r="AA3101" s="2" t="s">
        <v>13207</v>
      </c>
      <c r="AB3101" s="2" t="s">
        <v>13208</v>
      </c>
      <c r="AC3101" s="4" t="s">
        <v>44</v>
      </c>
    </row>
    <row r="3102" spans="1:29" x14ac:dyDescent="0.25">
      <c r="A3102" s="1">
        <v>3354</v>
      </c>
      <c r="B3102" s="17" t="s">
        <v>13908</v>
      </c>
      <c r="C3102" s="2" t="s">
        <v>13909</v>
      </c>
      <c r="D3102" s="15" t="s">
        <v>2797</v>
      </c>
      <c r="E3102" s="9" t="s">
        <v>1591</v>
      </c>
      <c r="F3102" s="9" t="s">
        <v>1592</v>
      </c>
      <c r="G3102" s="9" t="s">
        <v>2614</v>
      </c>
      <c r="H3102" s="2" t="s">
        <v>60</v>
      </c>
      <c r="I3102" s="3">
        <v>36977</v>
      </c>
      <c r="J3102" s="9" t="str">
        <f t="shared" ca="1" si="51"/>
        <v>22 ans</v>
      </c>
      <c r="K3102" s="2" t="s">
        <v>156</v>
      </c>
      <c r="L3102" s="2" t="str">
        <f>"1015"</f>
        <v>1015</v>
      </c>
      <c r="M3102" s="2"/>
      <c r="N3102" s="2" t="str">
        <f>"RUE DU COLIBRI"</f>
        <v>RUE DU COLIBRI</v>
      </c>
      <c r="O3102" s="2" t="s">
        <v>13204</v>
      </c>
      <c r="P3102" s="9" t="str">
        <f>VLOOKUP($O3102,'Liste des Villes'!$B$2:$B$1128,1,FALSE)</f>
        <v>Prévost</v>
      </c>
      <c r="Q3102" s="9" t="str">
        <f>IFERROR($P3102,PROPER(VLOOKUP($O3102,'Villes en erreur'!$A$2:$B$72,2,FALSE)))</f>
        <v>Prévost</v>
      </c>
      <c r="R3102" s="9" t="s">
        <v>1590</v>
      </c>
      <c r="S3102" s="9" t="str">
        <f>IF(ISBLANK($R3102),"",VLOOKUP($R3102,'Liste des Villes'!$B$2:$H$1128,4,FALSE))</f>
        <v>Laurentides</v>
      </c>
      <c r="T3102" s="2" t="s">
        <v>13340</v>
      </c>
      <c r="U3102" s="2" t="s">
        <v>39</v>
      </c>
      <c r="V3102" s="2" t="s">
        <v>40</v>
      </c>
      <c r="W3102" s="2" t="s">
        <v>13910</v>
      </c>
      <c r="X3102" s="2"/>
      <c r="Y3102" s="2"/>
      <c r="Z3102" s="2"/>
      <c r="AA3102" s="2" t="s">
        <v>160</v>
      </c>
      <c r="AB3102" s="2" t="s">
        <v>13208</v>
      </c>
      <c r="AC3102" s="4" t="s">
        <v>44</v>
      </c>
    </row>
    <row r="3103" spans="1:29" x14ac:dyDescent="0.25">
      <c r="A3103" s="1">
        <v>4110</v>
      </c>
      <c r="B3103" s="17" t="s">
        <v>13911</v>
      </c>
      <c r="C3103" s="2" t="s">
        <v>13912</v>
      </c>
      <c r="D3103" s="15" t="s">
        <v>13913</v>
      </c>
      <c r="E3103" s="9" t="s">
        <v>5357</v>
      </c>
      <c r="F3103" s="9" t="s">
        <v>1716</v>
      </c>
      <c r="G3103" s="9" t="s">
        <v>2049</v>
      </c>
      <c r="H3103" s="2" t="s">
        <v>35</v>
      </c>
      <c r="I3103" s="3">
        <v>37011</v>
      </c>
      <c r="J3103" s="9" t="str">
        <f t="shared" ca="1" si="51"/>
        <v>22 ans</v>
      </c>
      <c r="K3103" s="2" t="s">
        <v>156</v>
      </c>
      <c r="L3103" s="2" t="str">
        <f>"1044"</f>
        <v>1044</v>
      </c>
      <c r="M3103" s="2"/>
      <c r="N3103" s="2" t="str">
        <f>"RUE DU HAVRE"</f>
        <v>RUE DU HAVRE</v>
      </c>
      <c r="O3103" s="2" t="s">
        <v>13204</v>
      </c>
      <c r="P3103" s="9" t="str">
        <f>VLOOKUP($O3103,'Liste des Villes'!$B$2:$B$1128,1,FALSE)</f>
        <v>Prévost</v>
      </c>
      <c r="Q3103" s="9" t="str">
        <f>IFERROR($P3103,PROPER(VLOOKUP($O3103,'Villes en erreur'!$A$2:$B$72,2,FALSE)))</f>
        <v>Prévost</v>
      </c>
      <c r="R3103" s="9" t="s">
        <v>1590</v>
      </c>
      <c r="S3103" s="9" t="str">
        <f>IF(ISBLANK($R3103),"",VLOOKUP($R3103,'Liste des Villes'!$B$2:$H$1128,4,FALSE))</f>
        <v>Laurentides</v>
      </c>
      <c r="T3103" s="2" t="s">
        <v>13914</v>
      </c>
      <c r="U3103" s="2" t="s">
        <v>39</v>
      </c>
      <c r="V3103" s="2" t="s">
        <v>40</v>
      </c>
      <c r="W3103" s="2" t="s">
        <v>13915</v>
      </c>
      <c r="X3103" s="2"/>
      <c r="Y3103" s="2"/>
      <c r="Z3103" s="2"/>
      <c r="AA3103" s="2" t="s">
        <v>375</v>
      </c>
      <c r="AB3103" s="2" t="s">
        <v>13208</v>
      </c>
      <c r="AC3103" s="4" t="s">
        <v>44</v>
      </c>
    </row>
    <row r="3104" spans="1:29" x14ac:dyDescent="0.25">
      <c r="A3104" s="1">
        <v>1547</v>
      </c>
      <c r="B3104" s="17" t="s">
        <v>13916</v>
      </c>
      <c r="C3104" s="2" t="s">
        <v>8097</v>
      </c>
      <c r="D3104" s="15" t="s">
        <v>6459</v>
      </c>
      <c r="E3104" s="9" t="s">
        <v>1673</v>
      </c>
      <c r="F3104" s="9" t="s">
        <v>6457</v>
      </c>
      <c r="G3104" s="9" t="s">
        <v>2049</v>
      </c>
      <c r="H3104" s="2" t="s">
        <v>35</v>
      </c>
      <c r="I3104" s="3">
        <v>37008</v>
      </c>
      <c r="J3104" s="9" t="str">
        <f t="shared" ca="1" si="51"/>
        <v>22 ans</v>
      </c>
      <c r="K3104" s="2" t="s">
        <v>156</v>
      </c>
      <c r="L3104" s="2" t="str">
        <f>"1040"</f>
        <v>1040</v>
      </c>
      <c r="M3104" s="2"/>
      <c r="N3104" s="2" t="str">
        <f>"RUE DU HAMEAU"</f>
        <v>RUE DU HAMEAU</v>
      </c>
      <c r="O3104" s="2" t="s">
        <v>13204</v>
      </c>
      <c r="P3104" s="9" t="str">
        <f>VLOOKUP($O3104,'Liste des Villes'!$B$2:$B$1128,1,FALSE)</f>
        <v>Prévost</v>
      </c>
      <c r="Q3104" s="9" t="str">
        <f>IFERROR($P3104,PROPER(VLOOKUP($O3104,'Villes en erreur'!$A$2:$B$72,2,FALSE)))</f>
        <v>Prévost</v>
      </c>
      <c r="R3104" s="9" t="s">
        <v>1590</v>
      </c>
      <c r="S3104" s="9" t="str">
        <f>IF(ISBLANK($R3104),"",VLOOKUP($R3104,'Liste des Villes'!$B$2:$H$1128,4,FALSE))</f>
        <v>Laurentides</v>
      </c>
      <c r="T3104" s="2" t="s">
        <v>13917</v>
      </c>
      <c r="U3104" s="2" t="s">
        <v>39</v>
      </c>
      <c r="V3104" s="2" t="s">
        <v>40</v>
      </c>
      <c r="W3104" s="2" t="s">
        <v>13918</v>
      </c>
      <c r="X3104" s="2"/>
      <c r="Y3104" s="2"/>
      <c r="Z3104" s="2"/>
      <c r="AA3104" s="2" t="s">
        <v>375</v>
      </c>
      <c r="AB3104" s="2" t="s">
        <v>13208</v>
      </c>
      <c r="AC3104" s="4" t="s">
        <v>44</v>
      </c>
    </row>
    <row r="3105" spans="1:29" x14ac:dyDescent="0.25">
      <c r="A3105" s="1">
        <v>3207</v>
      </c>
      <c r="B3105" s="17" t="s">
        <v>13919</v>
      </c>
      <c r="C3105" s="2" t="s">
        <v>13920</v>
      </c>
      <c r="D3105" s="15" t="s">
        <v>5219</v>
      </c>
      <c r="E3105" s="9" t="s">
        <v>4088</v>
      </c>
      <c r="F3105" s="9" t="s">
        <v>5218</v>
      </c>
      <c r="G3105" s="9" t="s">
        <v>7749</v>
      </c>
      <c r="H3105" s="2" t="s">
        <v>60</v>
      </c>
      <c r="I3105" s="3">
        <v>36958</v>
      </c>
      <c r="J3105" s="9" t="str">
        <f t="shared" ca="1" si="51"/>
        <v>22 ans</v>
      </c>
      <c r="K3105" s="2" t="s">
        <v>156</v>
      </c>
      <c r="L3105" s="2" t="str">
        <f>"1004"</f>
        <v>1004</v>
      </c>
      <c r="M3105" s="2"/>
      <c r="N3105" s="2" t="str">
        <f>"RUE DU CHINON"</f>
        <v>RUE DU CHINON</v>
      </c>
      <c r="O3105" s="2" t="s">
        <v>13204</v>
      </c>
      <c r="P3105" s="9" t="str">
        <f>VLOOKUP($O3105,'Liste des Villes'!$B$2:$B$1128,1,FALSE)</f>
        <v>Prévost</v>
      </c>
      <c r="Q3105" s="9" t="str">
        <f>IFERROR($P3105,PROPER(VLOOKUP($O3105,'Villes en erreur'!$A$2:$B$72,2,FALSE)))</f>
        <v>Prévost</v>
      </c>
      <c r="R3105" s="9" t="s">
        <v>1590</v>
      </c>
      <c r="S3105" s="9" t="str">
        <f>IF(ISBLANK($R3105),"",VLOOKUP($R3105,'Liste des Villes'!$B$2:$H$1128,4,FALSE))</f>
        <v>Laurentides</v>
      </c>
      <c r="T3105" s="2" t="s">
        <v>13921</v>
      </c>
      <c r="U3105" s="2" t="s">
        <v>39</v>
      </c>
      <c r="V3105" s="2" t="s">
        <v>40</v>
      </c>
      <c r="W3105" s="2" t="s">
        <v>13922</v>
      </c>
      <c r="X3105" s="2"/>
      <c r="Y3105" s="2"/>
      <c r="Z3105" s="2"/>
      <c r="AA3105" s="2" t="s">
        <v>160</v>
      </c>
      <c r="AB3105" s="2" t="s">
        <v>13208</v>
      </c>
      <c r="AC3105" s="4" t="s">
        <v>44</v>
      </c>
    </row>
    <row r="3106" spans="1:29" x14ac:dyDescent="0.25">
      <c r="A3106" s="1">
        <v>671</v>
      </c>
      <c r="B3106" s="17" t="s">
        <v>13923</v>
      </c>
      <c r="C3106" s="2" t="s">
        <v>1793</v>
      </c>
      <c r="D3106" s="15" t="s">
        <v>349</v>
      </c>
      <c r="E3106" s="9" t="s">
        <v>622</v>
      </c>
      <c r="F3106" s="9" t="s">
        <v>347</v>
      </c>
      <c r="G3106" s="9" t="s">
        <v>956</v>
      </c>
      <c r="H3106" s="2" t="s">
        <v>60</v>
      </c>
      <c r="I3106" s="3">
        <v>36950</v>
      </c>
      <c r="J3106" s="9" t="str">
        <f t="shared" ca="1" si="51"/>
        <v>22 ans</v>
      </c>
      <c r="K3106" s="2" t="s">
        <v>156</v>
      </c>
      <c r="L3106" s="2" t="str">
        <f>"988"</f>
        <v>988</v>
      </c>
      <c r="M3106" s="2"/>
      <c r="N3106" s="2" t="str">
        <f>"RUE DU BUISSON"</f>
        <v>RUE DU BUISSON</v>
      </c>
      <c r="O3106" s="2" t="s">
        <v>13204</v>
      </c>
      <c r="P3106" s="9" t="str">
        <f>VLOOKUP($O3106,'Liste des Villes'!$B$2:$B$1128,1,FALSE)</f>
        <v>Prévost</v>
      </c>
      <c r="Q3106" s="9" t="str">
        <f>IFERROR($P3106,PROPER(VLOOKUP($O3106,'Villes en erreur'!$A$2:$B$72,2,FALSE)))</f>
        <v>Prévost</v>
      </c>
      <c r="R3106" s="9" t="s">
        <v>1590</v>
      </c>
      <c r="S3106" s="9" t="str">
        <f>IF(ISBLANK($R3106),"",VLOOKUP($R3106,'Liste des Villes'!$B$2:$H$1128,4,FALSE))</f>
        <v>Laurentides</v>
      </c>
      <c r="T3106" s="2" t="s">
        <v>13924</v>
      </c>
      <c r="U3106" s="2" t="s">
        <v>39</v>
      </c>
      <c r="V3106" s="2" t="s">
        <v>40</v>
      </c>
      <c r="W3106" s="2" t="s">
        <v>13925</v>
      </c>
      <c r="X3106" s="2"/>
      <c r="Y3106" s="2"/>
      <c r="Z3106" s="2"/>
      <c r="AA3106" s="2" t="s">
        <v>160</v>
      </c>
      <c r="AB3106" s="2" t="s">
        <v>161</v>
      </c>
      <c r="AC3106" s="4" t="s">
        <v>44</v>
      </c>
    </row>
    <row r="3107" spans="1:29" x14ac:dyDescent="0.25">
      <c r="A3107" s="1">
        <v>993</v>
      </c>
      <c r="B3107" s="17" t="s">
        <v>13926</v>
      </c>
      <c r="C3107" s="2" t="s">
        <v>12304</v>
      </c>
      <c r="D3107" s="15" t="s">
        <v>1479</v>
      </c>
      <c r="E3107" s="9" t="s">
        <v>9308</v>
      </c>
      <c r="F3107" s="9" t="s">
        <v>1477</v>
      </c>
      <c r="G3107" s="9" t="s">
        <v>1416</v>
      </c>
      <c r="H3107" s="2" t="s">
        <v>60</v>
      </c>
      <c r="I3107" s="3">
        <v>36999</v>
      </c>
      <c r="J3107" s="9" t="str">
        <f t="shared" ca="1" si="51"/>
        <v>22 ans</v>
      </c>
      <c r="K3107" s="2" t="s">
        <v>156</v>
      </c>
      <c r="L3107" s="2" t="str">
        <f>"1033"</f>
        <v>1033</v>
      </c>
      <c r="M3107" s="2"/>
      <c r="N3107" s="2" t="str">
        <f>"RUE DU GALET"</f>
        <v>RUE DU GALET</v>
      </c>
      <c r="O3107" s="2" t="s">
        <v>13204</v>
      </c>
      <c r="P3107" s="9" t="str">
        <f>VLOOKUP($O3107,'Liste des Villes'!$B$2:$B$1128,1,FALSE)</f>
        <v>Prévost</v>
      </c>
      <c r="Q3107" s="9" t="str">
        <f>IFERROR($P3107,PROPER(VLOOKUP($O3107,'Villes en erreur'!$A$2:$B$72,2,FALSE)))</f>
        <v>Prévost</v>
      </c>
      <c r="R3107" s="9" t="s">
        <v>1590</v>
      </c>
      <c r="S3107" s="9" t="str">
        <f>IF(ISBLANK($R3107),"",VLOOKUP($R3107,'Liste des Villes'!$B$2:$H$1128,4,FALSE))</f>
        <v>Laurentides</v>
      </c>
      <c r="T3107" s="2" t="s">
        <v>13927</v>
      </c>
      <c r="U3107" s="2" t="s">
        <v>39</v>
      </c>
      <c r="V3107" s="2" t="s">
        <v>40</v>
      </c>
      <c r="W3107" s="2" t="s">
        <v>13928</v>
      </c>
      <c r="X3107" s="2"/>
      <c r="Y3107" s="2"/>
      <c r="Z3107" s="2"/>
      <c r="AA3107" s="2" t="s">
        <v>13207</v>
      </c>
      <c r="AB3107" s="2" t="s">
        <v>13208</v>
      </c>
      <c r="AC3107" s="4" t="s">
        <v>44</v>
      </c>
    </row>
    <row r="3108" spans="1:29" x14ac:dyDescent="0.25">
      <c r="A3108" s="1">
        <v>1972</v>
      </c>
      <c r="B3108" s="17" t="s">
        <v>13929</v>
      </c>
      <c r="C3108" s="2" t="s">
        <v>13930</v>
      </c>
      <c r="D3108" s="15" t="s">
        <v>13931</v>
      </c>
      <c r="E3108" s="9" t="s">
        <v>9486</v>
      </c>
      <c r="F3108" s="9" t="s">
        <v>13932</v>
      </c>
      <c r="G3108" s="9" t="s">
        <v>10801</v>
      </c>
      <c r="H3108" s="2" t="s">
        <v>35</v>
      </c>
      <c r="I3108" s="3">
        <v>36980</v>
      </c>
      <c r="J3108" s="9" t="str">
        <f t="shared" ca="1" si="51"/>
        <v>22 ans</v>
      </c>
      <c r="K3108" s="2" t="s">
        <v>156</v>
      </c>
      <c r="L3108" s="2" t="str">
        <f>"1017"</f>
        <v>1017</v>
      </c>
      <c r="M3108" s="2"/>
      <c r="N3108" s="2" t="str">
        <f>"RUE DU COUVENT"</f>
        <v>RUE DU COUVENT</v>
      </c>
      <c r="O3108" s="2" t="s">
        <v>13204</v>
      </c>
      <c r="P3108" s="9" t="str">
        <f>VLOOKUP($O3108,'Liste des Villes'!$B$2:$B$1128,1,FALSE)</f>
        <v>Prévost</v>
      </c>
      <c r="Q3108" s="9" t="str">
        <f>IFERROR($P3108,PROPER(VLOOKUP($O3108,'Villes en erreur'!$A$2:$B$72,2,FALSE)))</f>
        <v>Prévost</v>
      </c>
      <c r="R3108" s="9" t="s">
        <v>1590</v>
      </c>
      <c r="S3108" s="9" t="str">
        <f>IF(ISBLANK($R3108),"",VLOOKUP($R3108,'Liste des Villes'!$B$2:$H$1128,4,FALSE))</f>
        <v>Laurentides</v>
      </c>
      <c r="T3108" s="2" t="s">
        <v>13717</v>
      </c>
      <c r="U3108" s="2" t="s">
        <v>39</v>
      </c>
      <c r="V3108" s="2" t="s">
        <v>40</v>
      </c>
      <c r="W3108" s="2" t="s">
        <v>13933</v>
      </c>
      <c r="X3108" s="2"/>
      <c r="Y3108" s="2"/>
      <c r="Z3108" s="2"/>
      <c r="AA3108" s="2" t="s">
        <v>13207</v>
      </c>
      <c r="AB3108" s="2" t="s">
        <v>13208</v>
      </c>
      <c r="AC3108" s="4" t="s">
        <v>44</v>
      </c>
    </row>
    <row r="3109" spans="1:29" x14ac:dyDescent="0.25">
      <c r="A3109" s="1">
        <v>3046</v>
      </c>
      <c r="B3109" s="17" t="s">
        <v>13934</v>
      </c>
      <c r="C3109" s="2" t="s">
        <v>6027</v>
      </c>
      <c r="D3109" s="15" t="s">
        <v>6028</v>
      </c>
      <c r="E3109" s="9" t="s">
        <v>996</v>
      </c>
      <c r="F3109" s="9" t="s">
        <v>1268</v>
      </c>
      <c r="G3109" s="9" t="s">
        <v>956</v>
      </c>
      <c r="H3109" s="2" t="s">
        <v>60</v>
      </c>
      <c r="I3109" s="3">
        <v>36949</v>
      </c>
      <c r="J3109" s="9" t="str">
        <f t="shared" ca="1" si="51"/>
        <v>22 ans</v>
      </c>
      <c r="K3109" s="2" t="s">
        <v>156</v>
      </c>
      <c r="L3109" s="2" t="str">
        <f>"986"</f>
        <v>986</v>
      </c>
      <c r="M3109" s="2"/>
      <c r="N3109" s="2" t="str">
        <f>"RUE DU BROCARD"</f>
        <v>RUE DU BROCARD</v>
      </c>
      <c r="O3109" s="2" t="s">
        <v>13204</v>
      </c>
      <c r="P3109" s="9" t="str">
        <f>VLOOKUP($O3109,'Liste des Villes'!$B$2:$B$1128,1,FALSE)</f>
        <v>Prévost</v>
      </c>
      <c r="Q3109" s="9" t="str">
        <f>IFERROR($P3109,PROPER(VLOOKUP($O3109,'Villes en erreur'!$A$2:$B$72,2,FALSE)))</f>
        <v>Prévost</v>
      </c>
      <c r="R3109" s="9" t="s">
        <v>1590</v>
      </c>
      <c r="S3109" s="9" t="str">
        <f>IF(ISBLANK($R3109),"",VLOOKUP($R3109,'Liste des Villes'!$B$2:$H$1128,4,FALSE))</f>
        <v>Laurentides</v>
      </c>
      <c r="T3109" s="2" t="s">
        <v>13440</v>
      </c>
      <c r="U3109" s="2" t="s">
        <v>39</v>
      </c>
      <c r="V3109" s="2" t="s">
        <v>40</v>
      </c>
      <c r="W3109" s="2" t="s">
        <v>13935</v>
      </c>
      <c r="X3109" s="2"/>
      <c r="Y3109" s="2"/>
      <c r="Z3109" s="2"/>
      <c r="AA3109" s="2" t="s">
        <v>160</v>
      </c>
      <c r="AB3109" s="2" t="s">
        <v>161</v>
      </c>
      <c r="AC3109" s="4" t="s">
        <v>44</v>
      </c>
    </row>
    <row r="3110" spans="1:29" x14ac:dyDescent="0.25">
      <c r="A3110" s="1">
        <v>2488</v>
      </c>
      <c r="B3110" s="17" t="s">
        <v>13936</v>
      </c>
      <c r="C3110" s="2" t="s">
        <v>2542</v>
      </c>
      <c r="D3110" s="15" t="s">
        <v>34</v>
      </c>
      <c r="E3110" s="9" t="s">
        <v>341</v>
      </c>
      <c r="F3110" s="9" t="s">
        <v>782</v>
      </c>
      <c r="G3110" s="9" t="s">
        <v>4892</v>
      </c>
      <c r="H3110" s="2" t="s">
        <v>35</v>
      </c>
      <c r="I3110" s="3">
        <v>36982</v>
      </c>
      <c r="J3110" s="9" t="str">
        <f t="shared" ca="1" si="51"/>
        <v>22 ans</v>
      </c>
      <c r="K3110" s="2" t="s">
        <v>156</v>
      </c>
      <c r="L3110" s="2" t="str">
        <f>"1019"</f>
        <v>1019</v>
      </c>
      <c r="M3110" s="2"/>
      <c r="N3110" s="2" t="str">
        <f>"RUE DU CURÉ-M.-NEYRON"</f>
        <v>RUE DU CURÉ-M.-NEYRON</v>
      </c>
      <c r="O3110" s="2" t="s">
        <v>13204</v>
      </c>
      <c r="P3110" s="9" t="str">
        <f>VLOOKUP($O3110,'Liste des Villes'!$B$2:$B$1128,1,FALSE)</f>
        <v>Prévost</v>
      </c>
      <c r="Q3110" s="9" t="str">
        <f>IFERROR($P3110,PROPER(VLOOKUP($O3110,'Villes en erreur'!$A$2:$B$72,2,FALSE)))</f>
        <v>Prévost</v>
      </c>
      <c r="R3110" s="9" t="s">
        <v>1590</v>
      </c>
      <c r="S3110" s="9" t="str">
        <f>IF(ISBLANK($R3110),"",VLOOKUP($R3110,'Liste des Villes'!$B$2:$H$1128,4,FALSE))</f>
        <v>Laurentides</v>
      </c>
      <c r="T3110" s="2" t="s">
        <v>13937</v>
      </c>
      <c r="U3110" s="2" t="s">
        <v>39</v>
      </c>
      <c r="V3110" s="2" t="s">
        <v>40</v>
      </c>
      <c r="W3110" s="2" t="s">
        <v>13938</v>
      </c>
      <c r="X3110" s="2"/>
      <c r="Y3110" s="2"/>
      <c r="Z3110" s="2"/>
      <c r="AA3110" s="2" t="s">
        <v>13207</v>
      </c>
      <c r="AB3110" s="2" t="s">
        <v>13208</v>
      </c>
      <c r="AC3110" s="4" t="s">
        <v>44</v>
      </c>
    </row>
    <row r="3111" spans="1:29" x14ac:dyDescent="0.25">
      <c r="A3111" s="1">
        <v>3586</v>
      </c>
      <c r="B3111" s="17" t="s">
        <v>13939</v>
      </c>
      <c r="C3111" s="2" t="s">
        <v>2009</v>
      </c>
      <c r="D3111" s="15" t="s">
        <v>1076</v>
      </c>
      <c r="E3111" s="9" t="s">
        <v>332</v>
      </c>
      <c r="F3111" s="9" t="s">
        <v>13940</v>
      </c>
      <c r="G3111" s="9" t="s">
        <v>1416</v>
      </c>
      <c r="H3111" s="2" t="s">
        <v>60</v>
      </c>
      <c r="I3111" s="3">
        <v>37001</v>
      </c>
      <c r="J3111" s="9" t="str">
        <f t="shared" ca="1" si="51"/>
        <v>22 ans</v>
      </c>
      <c r="K3111" s="2" t="s">
        <v>156</v>
      </c>
      <c r="L3111" s="2" t="str">
        <f>"1035"</f>
        <v>1035</v>
      </c>
      <c r="M3111" s="2"/>
      <c r="N3111" s="2" t="str">
        <f>"RUE DU GRAND-BOIS"</f>
        <v>RUE DU GRAND-BOIS</v>
      </c>
      <c r="O3111" s="2" t="s">
        <v>13204</v>
      </c>
      <c r="P3111" s="9" t="str">
        <f>VLOOKUP($O3111,'Liste des Villes'!$B$2:$B$1128,1,FALSE)</f>
        <v>Prévost</v>
      </c>
      <c r="Q3111" s="9" t="str">
        <f>IFERROR($P3111,PROPER(VLOOKUP($O3111,'Villes en erreur'!$A$2:$B$72,2,FALSE)))</f>
        <v>Prévost</v>
      </c>
      <c r="R3111" s="9" t="s">
        <v>1590</v>
      </c>
      <c r="S3111" s="9" t="str">
        <f>IF(ISBLANK($R3111),"",VLOOKUP($R3111,'Liste des Villes'!$B$2:$H$1128,4,FALSE))</f>
        <v>Laurentides</v>
      </c>
      <c r="T3111" s="2" t="s">
        <v>13941</v>
      </c>
      <c r="U3111" s="2" t="s">
        <v>39</v>
      </c>
      <c r="V3111" s="2" t="s">
        <v>40</v>
      </c>
      <c r="W3111" s="2" t="s">
        <v>13942</v>
      </c>
      <c r="X3111" s="2"/>
      <c r="Y3111" s="2"/>
      <c r="Z3111" s="2"/>
      <c r="AA3111" s="2" t="s">
        <v>375</v>
      </c>
      <c r="AB3111" s="2" t="s">
        <v>13208</v>
      </c>
      <c r="AC3111" s="4" t="s">
        <v>44</v>
      </c>
    </row>
    <row r="3112" spans="1:29" x14ac:dyDescent="0.25">
      <c r="A3112" s="1">
        <v>413</v>
      </c>
      <c r="B3112" s="17" t="s">
        <v>13943</v>
      </c>
      <c r="C3112" s="2" t="s">
        <v>13944</v>
      </c>
      <c r="D3112" s="15" t="s">
        <v>13945</v>
      </c>
      <c r="E3112" s="9" t="s">
        <v>13946</v>
      </c>
      <c r="F3112" s="9" t="s">
        <v>2460</v>
      </c>
      <c r="G3112" s="9" t="s">
        <v>253</v>
      </c>
      <c r="H3112" s="2" t="s">
        <v>35</v>
      </c>
      <c r="I3112" s="3">
        <v>36969</v>
      </c>
      <c r="J3112" s="9" t="str">
        <f t="shared" ca="1" si="51"/>
        <v>22 ans</v>
      </c>
      <c r="K3112" s="2" t="s">
        <v>156</v>
      </c>
      <c r="L3112" s="2" t="str">
        <f>"1008"</f>
        <v>1008</v>
      </c>
      <c r="M3112" s="2"/>
      <c r="N3112" s="2" t="str">
        <f>"RUE DU CLOS-DES-VIGNES"</f>
        <v>RUE DU CLOS-DES-VIGNES</v>
      </c>
      <c r="O3112" s="2" t="s">
        <v>13204</v>
      </c>
      <c r="P3112" s="9" t="str">
        <f>VLOOKUP($O3112,'Liste des Villes'!$B$2:$B$1128,1,FALSE)</f>
        <v>Prévost</v>
      </c>
      <c r="Q3112" s="9" t="str">
        <f>IFERROR($P3112,PROPER(VLOOKUP($O3112,'Villes en erreur'!$A$2:$B$72,2,FALSE)))</f>
        <v>Prévost</v>
      </c>
      <c r="R3112" s="9" t="s">
        <v>1590</v>
      </c>
      <c r="S3112" s="9" t="str">
        <f>IF(ISBLANK($R3112),"",VLOOKUP($R3112,'Liste des Villes'!$B$2:$H$1128,4,FALSE))</f>
        <v>Laurentides</v>
      </c>
      <c r="T3112" s="2" t="s">
        <v>13947</v>
      </c>
      <c r="U3112" s="2" t="s">
        <v>39</v>
      </c>
      <c r="V3112" s="2" t="s">
        <v>40</v>
      </c>
      <c r="W3112" s="2" t="s">
        <v>13948</v>
      </c>
      <c r="X3112" s="2"/>
      <c r="Y3112" s="2"/>
      <c r="Z3112" s="2"/>
      <c r="AA3112" s="2" t="s">
        <v>160</v>
      </c>
      <c r="AB3112" s="2" t="s">
        <v>13208</v>
      </c>
      <c r="AC3112" s="4" t="s">
        <v>44</v>
      </c>
    </row>
    <row r="3113" spans="1:29" x14ac:dyDescent="0.25">
      <c r="A3113" s="1">
        <v>112</v>
      </c>
      <c r="B3113" s="17" t="s">
        <v>13949</v>
      </c>
      <c r="C3113" s="2" t="s">
        <v>6151</v>
      </c>
      <c r="D3113" s="15" t="s">
        <v>1024</v>
      </c>
      <c r="E3113" s="9" t="s">
        <v>1423</v>
      </c>
      <c r="F3113" s="9" t="s">
        <v>2128</v>
      </c>
      <c r="G3113" s="9" t="s">
        <v>253</v>
      </c>
      <c r="H3113" s="2" t="s">
        <v>35</v>
      </c>
      <c r="I3113" s="3">
        <v>36966</v>
      </c>
      <c r="J3113" s="9" t="str">
        <f t="shared" ca="1" si="51"/>
        <v>22 ans</v>
      </c>
      <c r="K3113" s="2" t="s">
        <v>156</v>
      </c>
      <c r="L3113" s="2" t="str">
        <f>"1007"</f>
        <v>1007</v>
      </c>
      <c r="M3113" s="2"/>
      <c r="N3113" s="2" t="str">
        <f>"RUE DU CLOS-DES-RÉAS"</f>
        <v>RUE DU CLOS-DES-RÉAS</v>
      </c>
      <c r="O3113" s="2" t="s">
        <v>13204</v>
      </c>
      <c r="P3113" s="9" t="str">
        <f>VLOOKUP($O3113,'Liste des Villes'!$B$2:$B$1128,1,FALSE)</f>
        <v>Prévost</v>
      </c>
      <c r="Q3113" s="9" t="str">
        <f>IFERROR($P3113,PROPER(VLOOKUP($O3113,'Villes en erreur'!$A$2:$B$72,2,FALSE)))</f>
        <v>Prévost</v>
      </c>
      <c r="R3113" s="9" t="s">
        <v>1590</v>
      </c>
      <c r="S3113" s="9" t="str">
        <f>IF(ISBLANK($R3113),"",VLOOKUP($R3113,'Liste des Villes'!$B$2:$H$1128,4,FALSE))</f>
        <v>Laurentides</v>
      </c>
      <c r="T3113" s="2" t="s">
        <v>13814</v>
      </c>
      <c r="U3113" s="2" t="s">
        <v>39</v>
      </c>
      <c r="V3113" s="2" t="s">
        <v>40</v>
      </c>
      <c r="W3113" s="2" t="s">
        <v>13950</v>
      </c>
      <c r="X3113" s="2"/>
      <c r="Y3113" s="2"/>
      <c r="Z3113" s="2"/>
      <c r="AA3113" s="2" t="s">
        <v>160</v>
      </c>
      <c r="AB3113" s="2" t="s">
        <v>13208</v>
      </c>
      <c r="AC3113" s="4" t="s">
        <v>44</v>
      </c>
    </row>
    <row r="3114" spans="1:29" x14ac:dyDescent="0.25">
      <c r="A3114" s="1">
        <v>1743</v>
      </c>
      <c r="B3114" s="17" t="s">
        <v>13951</v>
      </c>
      <c r="C3114" s="2" t="s">
        <v>13952</v>
      </c>
      <c r="D3114" s="15" t="s">
        <v>13953</v>
      </c>
      <c r="E3114" s="9" t="s">
        <v>685</v>
      </c>
      <c r="F3114" s="9" t="s">
        <v>1016</v>
      </c>
      <c r="G3114" s="9" t="s">
        <v>1416</v>
      </c>
      <c r="H3114" s="2" t="s">
        <v>60</v>
      </c>
      <c r="I3114" s="3">
        <v>37003</v>
      </c>
      <c r="J3114" s="9" t="str">
        <f t="shared" ca="1" si="51"/>
        <v>22 ans</v>
      </c>
      <c r="K3114" s="2" t="s">
        <v>156</v>
      </c>
      <c r="L3114" s="2" t="str">
        <f>"1037"</f>
        <v>1037</v>
      </c>
      <c r="M3114" s="2"/>
      <c r="N3114" s="2" t="str">
        <f>"RUE DU GRANIT"</f>
        <v>RUE DU GRANIT</v>
      </c>
      <c r="O3114" s="2" t="s">
        <v>13204</v>
      </c>
      <c r="P3114" s="9" t="str">
        <f>VLOOKUP($O3114,'Liste des Villes'!$B$2:$B$1128,1,FALSE)</f>
        <v>Prévost</v>
      </c>
      <c r="Q3114" s="9" t="str">
        <f>IFERROR($P3114,PROPER(VLOOKUP($O3114,'Villes en erreur'!$A$2:$B$72,2,FALSE)))</f>
        <v>Prévost</v>
      </c>
      <c r="R3114" s="9" t="s">
        <v>1590</v>
      </c>
      <c r="S3114" s="9" t="str">
        <f>IF(ISBLANK($R3114),"",VLOOKUP($R3114,'Liste des Villes'!$B$2:$H$1128,4,FALSE))</f>
        <v>Laurentides</v>
      </c>
      <c r="T3114" s="2" t="s">
        <v>13954</v>
      </c>
      <c r="U3114" s="2" t="s">
        <v>39</v>
      </c>
      <c r="V3114" s="2" t="s">
        <v>40</v>
      </c>
      <c r="W3114" s="2" t="s">
        <v>13955</v>
      </c>
      <c r="X3114" s="2"/>
      <c r="Y3114" s="2"/>
      <c r="Z3114" s="2"/>
      <c r="AA3114" s="2" t="s">
        <v>375</v>
      </c>
      <c r="AB3114" s="2" t="s">
        <v>13208</v>
      </c>
      <c r="AC3114" s="4" t="s">
        <v>44</v>
      </c>
    </row>
    <row r="3115" spans="1:29" x14ac:dyDescent="0.25">
      <c r="A3115" s="1">
        <v>2419</v>
      </c>
      <c r="B3115" s="17" t="s">
        <v>13956</v>
      </c>
      <c r="C3115" s="2" t="s">
        <v>13957</v>
      </c>
      <c r="D3115" s="15" t="s">
        <v>4022</v>
      </c>
      <c r="E3115" s="9" t="s">
        <v>450</v>
      </c>
      <c r="F3115" s="9" t="s">
        <v>4020</v>
      </c>
      <c r="G3115" s="9" t="s">
        <v>253</v>
      </c>
      <c r="H3115" s="2" t="s">
        <v>35</v>
      </c>
      <c r="I3115" s="3">
        <v>36974</v>
      </c>
      <c r="J3115" s="9" t="str">
        <f t="shared" ca="1" si="51"/>
        <v>22 ans</v>
      </c>
      <c r="K3115" s="2" t="s">
        <v>156</v>
      </c>
      <c r="L3115" s="2" t="str">
        <f>"1012"</f>
        <v>1012</v>
      </c>
      <c r="M3115" s="2"/>
      <c r="N3115" s="2" t="str">
        <f>"RUE DU CLOS-DU-ROI"</f>
        <v>RUE DU CLOS-DU-ROI</v>
      </c>
      <c r="O3115" s="2" t="s">
        <v>13204</v>
      </c>
      <c r="P3115" s="9" t="str">
        <f>VLOOKUP($O3115,'Liste des Villes'!$B$2:$B$1128,1,FALSE)</f>
        <v>Prévost</v>
      </c>
      <c r="Q3115" s="9" t="str">
        <f>IFERROR($P3115,PROPER(VLOOKUP($O3115,'Villes en erreur'!$A$2:$B$72,2,FALSE)))</f>
        <v>Prévost</v>
      </c>
      <c r="R3115" s="9" t="s">
        <v>1590</v>
      </c>
      <c r="S3115" s="9" t="str">
        <f>IF(ISBLANK($R3115),"",VLOOKUP($R3115,'Liste des Villes'!$B$2:$H$1128,4,FALSE))</f>
        <v>Laurentides</v>
      </c>
      <c r="T3115" s="2" t="s">
        <v>13958</v>
      </c>
      <c r="U3115" s="2" t="s">
        <v>39</v>
      </c>
      <c r="V3115" s="2" t="s">
        <v>40</v>
      </c>
      <c r="W3115" s="2" t="s">
        <v>13959</v>
      </c>
      <c r="X3115" s="2"/>
      <c r="Y3115" s="2"/>
      <c r="Z3115" s="2"/>
      <c r="AA3115" s="2" t="s">
        <v>160</v>
      </c>
      <c r="AB3115" s="2" t="s">
        <v>13208</v>
      </c>
      <c r="AC3115" s="4" t="s">
        <v>44</v>
      </c>
    </row>
    <row r="3116" spans="1:29" x14ac:dyDescent="0.25">
      <c r="A3116" s="1">
        <v>1737</v>
      </c>
      <c r="B3116" s="17" t="s">
        <v>13960</v>
      </c>
      <c r="C3116" s="2" t="s">
        <v>13961</v>
      </c>
      <c r="D3116" s="15" t="s">
        <v>31</v>
      </c>
      <c r="E3116" s="9" t="s">
        <v>4989</v>
      </c>
      <c r="F3116" s="9" t="s">
        <v>8694</v>
      </c>
      <c r="G3116" s="9" t="s">
        <v>253</v>
      </c>
      <c r="H3116" s="2" t="s">
        <v>35</v>
      </c>
      <c r="I3116" s="3">
        <v>36972</v>
      </c>
      <c r="J3116" s="9" t="str">
        <f t="shared" ca="1" si="51"/>
        <v>22 ans</v>
      </c>
      <c r="K3116" s="2" t="s">
        <v>156</v>
      </c>
      <c r="L3116" s="2" t="str">
        <f>"1010"</f>
        <v>1010</v>
      </c>
      <c r="M3116" s="2"/>
      <c r="N3116" s="2" t="str">
        <f>"RUE DU CLOS-DU-MEUNIER"</f>
        <v>RUE DU CLOS-DU-MEUNIER</v>
      </c>
      <c r="O3116" s="2" t="s">
        <v>13204</v>
      </c>
      <c r="P3116" s="9" t="str">
        <f>VLOOKUP($O3116,'Liste des Villes'!$B$2:$B$1128,1,FALSE)</f>
        <v>Prévost</v>
      </c>
      <c r="Q3116" s="9" t="str">
        <f>IFERROR($P3116,PROPER(VLOOKUP($O3116,'Villes en erreur'!$A$2:$B$72,2,FALSE)))</f>
        <v>Prévost</v>
      </c>
      <c r="R3116" s="9" t="s">
        <v>1590</v>
      </c>
      <c r="S3116" s="9" t="str">
        <f>IF(ISBLANK($R3116),"",VLOOKUP($R3116,'Liste des Villes'!$B$2:$H$1128,4,FALSE))</f>
        <v>Laurentides</v>
      </c>
      <c r="T3116" s="2" t="s">
        <v>13760</v>
      </c>
      <c r="U3116" s="2" t="s">
        <v>39</v>
      </c>
      <c r="V3116" s="2" t="s">
        <v>40</v>
      </c>
      <c r="W3116" s="2" t="s">
        <v>13962</v>
      </c>
      <c r="X3116" s="2"/>
      <c r="Y3116" s="2"/>
      <c r="Z3116" s="2"/>
      <c r="AA3116" s="2" t="s">
        <v>160</v>
      </c>
      <c r="AB3116" s="2" t="s">
        <v>13208</v>
      </c>
      <c r="AC3116" s="4" t="s">
        <v>44</v>
      </c>
    </row>
    <row r="3117" spans="1:29" x14ac:dyDescent="0.25">
      <c r="A3117" s="1">
        <v>4365</v>
      </c>
      <c r="B3117" s="17" t="s">
        <v>13963</v>
      </c>
      <c r="C3117" s="2" t="s">
        <v>2299</v>
      </c>
      <c r="D3117" s="15" t="s">
        <v>1025</v>
      </c>
      <c r="E3117" s="9" t="s">
        <v>2049</v>
      </c>
      <c r="F3117" s="9" t="s">
        <v>1113</v>
      </c>
      <c r="G3117" s="9" t="s">
        <v>4599</v>
      </c>
      <c r="H3117" s="2" t="s">
        <v>60</v>
      </c>
      <c r="I3117" s="3">
        <v>37019</v>
      </c>
      <c r="J3117" s="9" t="str">
        <f t="shared" ca="1" si="51"/>
        <v>22 ans</v>
      </c>
      <c r="K3117" s="2" t="s">
        <v>156</v>
      </c>
      <c r="L3117" s="2" t="str">
        <f>"1051"</f>
        <v>1051</v>
      </c>
      <c r="M3117" s="2"/>
      <c r="N3117" s="2" t="str">
        <f>"RUE DU MAÇON"</f>
        <v>RUE DU MAÇON</v>
      </c>
      <c r="O3117" s="2" t="s">
        <v>13204</v>
      </c>
      <c r="P3117" s="9" t="str">
        <f>VLOOKUP($O3117,'Liste des Villes'!$B$2:$B$1128,1,FALSE)</f>
        <v>Prévost</v>
      </c>
      <c r="Q3117" s="9" t="str">
        <f>IFERROR($P3117,PROPER(VLOOKUP($O3117,'Villes en erreur'!$A$2:$B$72,2,FALSE)))</f>
        <v>Prévost</v>
      </c>
      <c r="R3117" s="9" t="s">
        <v>1590</v>
      </c>
      <c r="S3117" s="9" t="str">
        <f>IF(ISBLANK($R3117),"",VLOOKUP($R3117,'Liste des Villes'!$B$2:$H$1128,4,FALSE))</f>
        <v>Laurentides</v>
      </c>
      <c r="T3117" s="2" t="s">
        <v>13280</v>
      </c>
      <c r="U3117" s="2" t="s">
        <v>39</v>
      </c>
      <c r="V3117" s="2" t="s">
        <v>40</v>
      </c>
      <c r="W3117" s="2" t="s">
        <v>13964</v>
      </c>
      <c r="X3117" s="2"/>
      <c r="Y3117" s="2"/>
      <c r="Z3117" s="2"/>
      <c r="AA3117" s="2" t="s">
        <v>375</v>
      </c>
      <c r="AB3117" s="2" t="s">
        <v>376</v>
      </c>
      <c r="AC3117" s="4" t="s">
        <v>44</v>
      </c>
    </row>
    <row r="3118" spans="1:29" x14ac:dyDescent="0.25">
      <c r="A3118" s="1">
        <v>3469</v>
      </c>
      <c r="B3118" s="17" t="s">
        <v>13965</v>
      </c>
      <c r="C3118" s="2" t="s">
        <v>13966</v>
      </c>
      <c r="D3118" s="15" t="s">
        <v>13461</v>
      </c>
      <c r="E3118" s="9" t="s">
        <v>253</v>
      </c>
      <c r="F3118" s="9" t="s">
        <v>13460</v>
      </c>
      <c r="G3118" s="9" t="s">
        <v>253</v>
      </c>
      <c r="H3118" s="2" t="s">
        <v>35</v>
      </c>
      <c r="I3118" s="3">
        <v>36962</v>
      </c>
      <c r="J3118" s="9" t="str">
        <f t="shared" ca="1" si="51"/>
        <v>22 ans</v>
      </c>
      <c r="K3118" s="2" t="s">
        <v>156</v>
      </c>
      <c r="L3118" s="2" t="str">
        <f>"1005"</f>
        <v>1005</v>
      </c>
      <c r="M3118" s="2"/>
      <c r="N3118" s="2" t="str">
        <f>"RUE DU CLOS TOUMALIN"</f>
        <v>RUE DU CLOS TOUMALIN</v>
      </c>
      <c r="O3118" s="2" t="s">
        <v>13204</v>
      </c>
      <c r="P3118" s="9" t="str">
        <f>VLOOKUP($O3118,'Liste des Villes'!$B$2:$B$1128,1,FALSE)</f>
        <v>Prévost</v>
      </c>
      <c r="Q3118" s="9" t="str">
        <f>IFERROR($P3118,PROPER(VLOOKUP($O3118,'Villes en erreur'!$A$2:$B$72,2,FALSE)))</f>
        <v>Prévost</v>
      </c>
      <c r="R3118" s="9" t="s">
        <v>1590</v>
      </c>
      <c r="S3118" s="9" t="str">
        <f>IF(ISBLANK($R3118),"",VLOOKUP($R3118,'Liste des Villes'!$B$2:$H$1128,4,FALSE))</f>
        <v>Laurentides</v>
      </c>
      <c r="T3118" s="2" t="s">
        <v>13967</v>
      </c>
      <c r="U3118" s="2" t="s">
        <v>39</v>
      </c>
      <c r="V3118" s="2" t="s">
        <v>40</v>
      </c>
      <c r="W3118" s="2" t="s">
        <v>13968</v>
      </c>
      <c r="X3118" s="2"/>
      <c r="Y3118" s="2"/>
      <c r="Z3118" s="2"/>
      <c r="AA3118" s="2" t="s">
        <v>160</v>
      </c>
      <c r="AB3118" s="2" t="s">
        <v>13208</v>
      </c>
      <c r="AC3118" s="4" t="s">
        <v>44</v>
      </c>
    </row>
    <row r="3119" spans="1:29" x14ac:dyDescent="0.25">
      <c r="A3119" s="1">
        <v>3184</v>
      </c>
      <c r="B3119" s="17" t="s">
        <v>13969</v>
      </c>
      <c r="C3119" s="2" t="s">
        <v>13970</v>
      </c>
      <c r="D3119" s="15" t="s">
        <v>13971</v>
      </c>
      <c r="E3119" s="9" t="s">
        <v>11195</v>
      </c>
      <c r="F3119" s="9" t="s">
        <v>1977</v>
      </c>
      <c r="G3119" s="9" t="s">
        <v>2198</v>
      </c>
      <c r="H3119" s="2" t="s">
        <v>35</v>
      </c>
      <c r="I3119" s="3">
        <v>36985</v>
      </c>
      <c r="J3119" s="9" t="str">
        <f t="shared" ca="1" si="51"/>
        <v>22 ans</v>
      </c>
      <c r="K3119" s="2" t="s">
        <v>156</v>
      </c>
      <c r="L3119" s="2" t="str">
        <f>"1021"</f>
        <v>1021</v>
      </c>
      <c r="M3119" s="2"/>
      <c r="N3119" s="2" t="str">
        <f>"RUE DU DIAMANT"</f>
        <v>RUE DU DIAMANT</v>
      </c>
      <c r="O3119" s="2" t="s">
        <v>13204</v>
      </c>
      <c r="P3119" s="9" t="str">
        <f>VLOOKUP($O3119,'Liste des Villes'!$B$2:$B$1128,1,FALSE)</f>
        <v>Prévost</v>
      </c>
      <c r="Q3119" s="9" t="str">
        <f>IFERROR($P3119,PROPER(VLOOKUP($O3119,'Villes en erreur'!$A$2:$B$72,2,FALSE)))</f>
        <v>Prévost</v>
      </c>
      <c r="R3119" s="9" t="s">
        <v>1590</v>
      </c>
      <c r="S3119" s="9" t="str">
        <f>IF(ISBLANK($R3119),"",VLOOKUP($R3119,'Liste des Villes'!$B$2:$H$1128,4,FALSE))</f>
        <v>Laurentides</v>
      </c>
      <c r="T3119" s="2" t="s">
        <v>13246</v>
      </c>
      <c r="U3119" s="2" t="s">
        <v>39</v>
      </c>
      <c r="V3119" s="2" t="s">
        <v>40</v>
      </c>
      <c r="W3119" s="2" t="s">
        <v>13972</v>
      </c>
      <c r="X3119" s="2"/>
      <c r="Y3119" s="2"/>
      <c r="Z3119" s="2"/>
      <c r="AA3119" s="2" t="s">
        <v>13207</v>
      </c>
      <c r="AB3119" s="2" t="s">
        <v>13208</v>
      </c>
      <c r="AC3119" s="4" t="s">
        <v>44</v>
      </c>
    </row>
    <row r="3120" spans="1:29" x14ac:dyDescent="0.25">
      <c r="A3120" s="1">
        <v>2866</v>
      </c>
      <c r="B3120" s="17" t="s">
        <v>13973</v>
      </c>
      <c r="C3120" s="2" t="s">
        <v>410</v>
      </c>
      <c r="D3120" s="15" t="s">
        <v>411</v>
      </c>
      <c r="E3120" s="9" t="s">
        <v>85</v>
      </c>
      <c r="F3120" s="9" t="s">
        <v>6293</v>
      </c>
      <c r="G3120" s="9" t="s">
        <v>253</v>
      </c>
      <c r="H3120" s="2" t="s">
        <v>35</v>
      </c>
      <c r="I3120" s="3">
        <v>36969</v>
      </c>
      <c r="J3120" s="9" t="str">
        <f t="shared" ca="1" si="51"/>
        <v>22 ans</v>
      </c>
      <c r="K3120" s="2" t="s">
        <v>156</v>
      </c>
      <c r="L3120" s="2" t="str">
        <f>"1008"</f>
        <v>1008</v>
      </c>
      <c r="M3120" s="2"/>
      <c r="N3120" s="2" t="str">
        <f>"RUE DU CLOS-DES-VIGNES"</f>
        <v>RUE DU CLOS-DES-VIGNES</v>
      </c>
      <c r="O3120" s="2" t="s">
        <v>13204</v>
      </c>
      <c r="P3120" s="9" t="str">
        <f>VLOOKUP($O3120,'Liste des Villes'!$B$2:$B$1128,1,FALSE)</f>
        <v>Prévost</v>
      </c>
      <c r="Q3120" s="9" t="str">
        <f>IFERROR($P3120,PROPER(VLOOKUP($O3120,'Villes en erreur'!$A$2:$B$72,2,FALSE)))</f>
        <v>Prévost</v>
      </c>
      <c r="R3120" s="9" t="s">
        <v>1590</v>
      </c>
      <c r="S3120" s="9" t="str">
        <f>IF(ISBLANK($R3120),"",VLOOKUP($R3120,'Liste des Villes'!$B$2:$H$1128,4,FALSE))</f>
        <v>Laurentides</v>
      </c>
      <c r="T3120" s="2" t="s">
        <v>13831</v>
      </c>
      <c r="U3120" s="2" t="s">
        <v>39</v>
      </c>
      <c r="V3120" s="2" t="s">
        <v>40</v>
      </c>
      <c r="W3120" s="2" t="s">
        <v>13974</v>
      </c>
      <c r="X3120" s="2"/>
      <c r="Y3120" s="2"/>
      <c r="Z3120" s="2"/>
      <c r="AA3120" s="2" t="s">
        <v>160</v>
      </c>
      <c r="AB3120" s="2" t="s">
        <v>13208</v>
      </c>
      <c r="AC3120" s="4" t="s">
        <v>44</v>
      </c>
    </row>
    <row r="3121" spans="1:29" x14ac:dyDescent="0.25">
      <c r="A3121" s="1">
        <v>429</v>
      </c>
      <c r="B3121" s="17" t="s">
        <v>13975</v>
      </c>
      <c r="C3121" s="2" t="s">
        <v>13976</v>
      </c>
      <c r="D3121" s="15" t="s">
        <v>3714</v>
      </c>
      <c r="E3121" s="9" t="s">
        <v>6849</v>
      </c>
      <c r="F3121" s="9" t="s">
        <v>1560</v>
      </c>
      <c r="G3121" s="9" t="s">
        <v>956</v>
      </c>
      <c r="H3121" s="2" t="s">
        <v>60</v>
      </c>
      <c r="I3121" s="3">
        <v>36951</v>
      </c>
      <c r="J3121" s="9" t="str">
        <f t="shared" ca="1" si="51"/>
        <v>22 ans</v>
      </c>
      <c r="K3121" s="2" t="s">
        <v>156</v>
      </c>
      <c r="L3121" s="2" t="str">
        <f>"990"</f>
        <v>990</v>
      </c>
      <c r="M3121" s="2"/>
      <c r="N3121" s="2" t="str">
        <f>"RUE DU CAP"</f>
        <v>RUE DU CAP</v>
      </c>
      <c r="O3121" s="2" t="s">
        <v>13204</v>
      </c>
      <c r="P3121" s="9" t="str">
        <f>VLOOKUP($O3121,'Liste des Villes'!$B$2:$B$1128,1,FALSE)</f>
        <v>Prévost</v>
      </c>
      <c r="Q3121" s="9" t="str">
        <f>IFERROR($P3121,PROPER(VLOOKUP($O3121,'Villes en erreur'!$A$2:$B$72,2,FALSE)))</f>
        <v>Prévost</v>
      </c>
      <c r="R3121" s="9" t="s">
        <v>1590</v>
      </c>
      <c r="S3121" s="9" t="str">
        <f>IF(ISBLANK($R3121),"",VLOOKUP($R3121,'Liste des Villes'!$B$2:$H$1128,4,FALSE))</f>
        <v>Laurentides</v>
      </c>
      <c r="T3121" s="2" t="s">
        <v>13424</v>
      </c>
      <c r="U3121" s="2" t="s">
        <v>39</v>
      </c>
      <c r="V3121" s="2" t="s">
        <v>40</v>
      </c>
      <c r="W3121" s="2" t="s">
        <v>13977</v>
      </c>
      <c r="X3121" s="2"/>
      <c r="Y3121" s="2"/>
      <c r="Z3121" s="2"/>
      <c r="AA3121" s="2" t="s">
        <v>160</v>
      </c>
      <c r="AB3121" s="2" t="s">
        <v>161</v>
      </c>
      <c r="AC3121" s="4" t="s">
        <v>44</v>
      </c>
    </row>
    <row r="3122" spans="1:29" x14ac:dyDescent="0.25">
      <c r="A3122" s="1">
        <v>2191</v>
      </c>
      <c r="B3122" s="17" t="s">
        <v>13978</v>
      </c>
      <c r="C3122" s="2" t="s">
        <v>13979</v>
      </c>
      <c r="D3122" s="15" t="s">
        <v>9202</v>
      </c>
      <c r="E3122" s="9" t="s">
        <v>13980</v>
      </c>
      <c r="F3122" s="9" t="s">
        <v>4066</v>
      </c>
      <c r="G3122" s="9" t="s">
        <v>253</v>
      </c>
      <c r="H3122" s="2" t="s">
        <v>35</v>
      </c>
      <c r="I3122" s="3">
        <v>36976</v>
      </c>
      <c r="J3122" s="9" t="str">
        <f t="shared" ca="1" si="51"/>
        <v>22 ans</v>
      </c>
      <c r="K3122" s="2" t="s">
        <v>156</v>
      </c>
      <c r="L3122" s="2" t="str">
        <f>"1014"</f>
        <v>1014</v>
      </c>
      <c r="M3122" s="2"/>
      <c r="N3122" s="2" t="str">
        <f>"RUE DU CLOS-VOUGEOT"</f>
        <v>RUE DU CLOS-VOUGEOT</v>
      </c>
      <c r="O3122" s="2" t="s">
        <v>13204</v>
      </c>
      <c r="P3122" s="9" t="str">
        <f>VLOOKUP($O3122,'Liste des Villes'!$B$2:$B$1128,1,FALSE)</f>
        <v>Prévost</v>
      </c>
      <c r="Q3122" s="9" t="str">
        <f>IFERROR($P3122,PROPER(VLOOKUP($O3122,'Villes en erreur'!$A$2:$B$72,2,FALSE)))</f>
        <v>Prévost</v>
      </c>
      <c r="R3122" s="9" t="s">
        <v>1590</v>
      </c>
      <c r="S3122" s="9" t="str">
        <f>IF(ISBLANK($R3122),"",VLOOKUP($R3122,'Liste des Villes'!$B$2:$H$1128,4,FALSE))</f>
        <v>Laurentides</v>
      </c>
      <c r="T3122" s="2" t="s">
        <v>13981</v>
      </c>
      <c r="U3122" s="2" t="s">
        <v>39</v>
      </c>
      <c r="V3122" s="2" t="s">
        <v>40</v>
      </c>
      <c r="W3122" s="2" t="s">
        <v>13982</v>
      </c>
      <c r="X3122" s="2"/>
      <c r="Y3122" s="2"/>
      <c r="Z3122" s="2"/>
      <c r="AA3122" s="2" t="s">
        <v>160</v>
      </c>
      <c r="AB3122" s="2" t="s">
        <v>13208</v>
      </c>
      <c r="AC3122" s="4" t="s">
        <v>44</v>
      </c>
    </row>
    <row r="3123" spans="1:29" x14ac:dyDescent="0.25">
      <c r="A3123" s="1">
        <v>1783</v>
      </c>
      <c r="B3123" s="17" t="s">
        <v>13983</v>
      </c>
      <c r="C3123" s="2" t="s">
        <v>13984</v>
      </c>
      <c r="D3123" s="15" t="s">
        <v>11946</v>
      </c>
      <c r="E3123" s="9" t="s">
        <v>12748</v>
      </c>
      <c r="F3123" s="9" t="s">
        <v>3646</v>
      </c>
      <c r="G3123" s="9" t="s">
        <v>4324</v>
      </c>
      <c r="H3123" s="2" t="s">
        <v>35</v>
      </c>
      <c r="I3123" s="3">
        <v>36990</v>
      </c>
      <c r="J3123" s="9" t="str">
        <f t="shared" ca="1" si="51"/>
        <v>22 ans</v>
      </c>
      <c r="K3123" s="2" t="s">
        <v>156</v>
      </c>
      <c r="L3123" s="2" t="str">
        <f>"1024"</f>
        <v>1024</v>
      </c>
      <c r="M3123" s="2"/>
      <c r="N3123" s="2" t="str">
        <f>"RUE DU DOMAINE"</f>
        <v>RUE DU DOMAINE</v>
      </c>
      <c r="O3123" s="2" t="s">
        <v>13204</v>
      </c>
      <c r="P3123" s="9" t="str">
        <f>VLOOKUP($O3123,'Liste des Villes'!$B$2:$B$1128,1,FALSE)</f>
        <v>Prévost</v>
      </c>
      <c r="Q3123" s="9" t="str">
        <f>IFERROR($P3123,PROPER(VLOOKUP($O3123,'Villes en erreur'!$A$2:$B$72,2,FALSE)))</f>
        <v>Prévost</v>
      </c>
      <c r="R3123" s="9" t="s">
        <v>1590</v>
      </c>
      <c r="S3123" s="9" t="str">
        <f>IF(ISBLANK($R3123),"",VLOOKUP($R3123,'Liste des Villes'!$B$2:$H$1128,4,FALSE))</f>
        <v>Laurentides</v>
      </c>
      <c r="T3123" s="2" t="s">
        <v>13985</v>
      </c>
      <c r="U3123" s="2" t="s">
        <v>39</v>
      </c>
      <c r="V3123" s="2" t="s">
        <v>40</v>
      </c>
      <c r="W3123" s="2" t="s">
        <v>13986</v>
      </c>
      <c r="X3123" s="2"/>
      <c r="Y3123" s="2"/>
      <c r="Z3123" s="2"/>
      <c r="AA3123" s="2" t="s">
        <v>13207</v>
      </c>
      <c r="AB3123" s="2" t="s">
        <v>13208</v>
      </c>
      <c r="AC3123" s="4" t="s">
        <v>44</v>
      </c>
    </row>
    <row r="3124" spans="1:29" x14ac:dyDescent="0.25">
      <c r="A3124" s="1">
        <v>1802</v>
      </c>
      <c r="B3124" s="17" t="s">
        <v>13987</v>
      </c>
      <c r="C3124" s="2" t="s">
        <v>9985</v>
      </c>
      <c r="D3124" s="15" t="s">
        <v>2802</v>
      </c>
      <c r="E3124" s="9" t="s">
        <v>495</v>
      </c>
      <c r="F3124" s="9" t="s">
        <v>13988</v>
      </c>
      <c r="G3124" s="9" t="s">
        <v>11071</v>
      </c>
      <c r="H3124" s="2" t="s">
        <v>35</v>
      </c>
      <c r="I3124" s="3">
        <v>36998</v>
      </c>
      <c r="J3124" s="9" t="str">
        <f t="shared" ca="1" si="51"/>
        <v>22 ans</v>
      </c>
      <c r="K3124" s="2" t="s">
        <v>156</v>
      </c>
      <c r="L3124" s="2" t="str">
        <f>"1032"</f>
        <v>1032</v>
      </c>
      <c r="M3124" s="2"/>
      <c r="N3124" s="2" t="str">
        <f>"RUE DU FRÈRE-JÉRÔME"</f>
        <v>RUE DU FRÈRE-JÉRÔME</v>
      </c>
      <c r="O3124" s="2" t="s">
        <v>13204</v>
      </c>
      <c r="P3124" s="9" t="str">
        <f>VLOOKUP($O3124,'Liste des Villes'!$B$2:$B$1128,1,FALSE)</f>
        <v>Prévost</v>
      </c>
      <c r="Q3124" s="9" t="str">
        <f>IFERROR($P3124,PROPER(VLOOKUP($O3124,'Villes en erreur'!$A$2:$B$72,2,FALSE)))</f>
        <v>Prévost</v>
      </c>
      <c r="R3124" s="9" t="s">
        <v>1590</v>
      </c>
      <c r="S3124" s="9" t="str">
        <f>IF(ISBLANK($R3124),"",VLOOKUP($R3124,'Liste des Villes'!$B$2:$H$1128,4,FALSE))</f>
        <v>Laurentides</v>
      </c>
      <c r="T3124" s="2" t="s">
        <v>13989</v>
      </c>
      <c r="U3124" s="2" t="s">
        <v>39</v>
      </c>
      <c r="V3124" s="2" t="s">
        <v>40</v>
      </c>
      <c r="W3124" s="2" t="s">
        <v>13990</v>
      </c>
      <c r="X3124" s="2"/>
      <c r="Y3124" s="2"/>
      <c r="Z3124" s="2"/>
      <c r="AA3124" s="2" t="s">
        <v>13207</v>
      </c>
      <c r="AB3124" s="2" t="s">
        <v>13208</v>
      </c>
      <c r="AC3124" s="4" t="s">
        <v>44</v>
      </c>
    </row>
    <row r="3125" spans="1:29" x14ac:dyDescent="0.25">
      <c r="A3125" s="1">
        <v>495</v>
      </c>
      <c r="B3125" s="17" t="s">
        <v>13991</v>
      </c>
      <c r="C3125" s="2" t="s">
        <v>13992</v>
      </c>
      <c r="D3125" s="15" t="s">
        <v>363</v>
      </c>
      <c r="E3125" s="9" t="s">
        <v>7018</v>
      </c>
      <c r="F3125" s="9" t="s">
        <v>3234</v>
      </c>
      <c r="G3125" s="9" t="s">
        <v>956</v>
      </c>
      <c r="H3125" s="2" t="s">
        <v>60</v>
      </c>
      <c r="I3125" s="3">
        <v>36957</v>
      </c>
      <c r="J3125" s="9" t="str">
        <f t="shared" ca="1" si="51"/>
        <v>22 ans</v>
      </c>
      <c r="K3125" s="2" t="s">
        <v>156</v>
      </c>
      <c r="L3125" s="2" t="str">
        <f>"1002"</f>
        <v>1002</v>
      </c>
      <c r="M3125" s="2"/>
      <c r="N3125" s="2" t="str">
        <f>"RUE DU CHÂTELET"</f>
        <v>RUE DU CHÂTELET</v>
      </c>
      <c r="O3125" s="2" t="s">
        <v>13204</v>
      </c>
      <c r="P3125" s="9" t="str">
        <f>VLOOKUP($O3125,'Liste des Villes'!$B$2:$B$1128,1,FALSE)</f>
        <v>Prévost</v>
      </c>
      <c r="Q3125" s="9" t="str">
        <f>IFERROR($P3125,PROPER(VLOOKUP($O3125,'Villes en erreur'!$A$2:$B$72,2,FALSE)))</f>
        <v>Prévost</v>
      </c>
      <c r="R3125" s="9" t="s">
        <v>1590</v>
      </c>
      <c r="S3125" s="9" t="str">
        <f>IF(ISBLANK($R3125),"",VLOOKUP($R3125,'Liste des Villes'!$B$2:$H$1128,4,FALSE))</f>
        <v>Laurentides</v>
      </c>
      <c r="T3125" s="2" t="s">
        <v>13565</v>
      </c>
      <c r="U3125" s="2" t="s">
        <v>39</v>
      </c>
      <c r="V3125" s="2" t="s">
        <v>40</v>
      </c>
      <c r="W3125" s="2" t="s">
        <v>13993</v>
      </c>
      <c r="X3125" s="2"/>
      <c r="Y3125" s="2"/>
      <c r="Z3125" s="2"/>
      <c r="AA3125" s="2" t="s">
        <v>160</v>
      </c>
      <c r="AB3125" s="2" t="s">
        <v>13208</v>
      </c>
      <c r="AC3125" s="4" t="s">
        <v>44</v>
      </c>
    </row>
    <row r="3126" spans="1:29" x14ac:dyDescent="0.25">
      <c r="A3126" s="1">
        <v>3167</v>
      </c>
      <c r="B3126" s="17" t="s">
        <v>13994</v>
      </c>
      <c r="C3126" s="2" t="s">
        <v>6707</v>
      </c>
      <c r="D3126" s="15" t="s">
        <v>4653</v>
      </c>
      <c r="E3126" s="9" t="s">
        <v>956</v>
      </c>
      <c r="F3126" s="9" t="s">
        <v>957</v>
      </c>
      <c r="G3126" s="9" t="s">
        <v>3595</v>
      </c>
      <c r="H3126" s="2" t="s">
        <v>35</v>
      </c>
      <c r="I3126" s="3">
        <v>36992</v>
      </c>
      <c r="J3126" s="9" t="str">
        <f t="shared" ca="1" si="51"/>
        <v>22 ans</v>
      </c>
      <c r="K3126" s="2" t="s">
        <v>156</v>
      </c>
      <c r="L3126" s="2" t="str">
        <f>"1028"</f>
        <v>1028</v>
      </c>
      <c r="M3126" s="2"/>
      <c r="N3126" s="2" t="str">
        <f>"RUE DU DOMAINE LEBEAU"</f>
        <v>RUE DU DOMAINE LEBEAU</v>
      </c>
      <c r="O3126" s="2" t="s">
        <v>13204</v>
      </c>
      <c r="P3126" s="9" t="str">
        <f>VLOOKUP($O3126,'Liste des Villes'!$B$2:$B$1128,1,FALSE)</f>
        <v>Prévost</v>
      </c>
      <c r="Q3126" s="9" t="str">
        <f>IFERROR($P3126,PROPER(VLOOKUP($O3126,'Villes en erreur'!$A$2:$B$72,2,FALSE)))</f>
        <v>Prévost</v>
      </c>
      <c r="R3126" s="9" t="s">
        <v>1590</v>
      </c>
      <c r="S3126" s="9" t="str">
        <f>IF(ISBLANK($R3126),"",VLOOKUP($R3126,'Liste des Villes'!$B$2:$H$1128,4,FALSE))</f>
        <v>Laurentides</v>
      </c>
      <c r="T3126" s="2" t="s">
        <v>13782</v>
      </c>
      <c r="U3126" s="2" t="s">
        <v>39</v>
      </c>
      <c r="V3126" s="2" t="s">
        <v>40</v>
      </c>
      <c r="W3126" s="2" t="s">
        <v>13995</v>
      </c>
      <c r="X3126" s="2"/>
      <c r="Y3126" s="2"/>
      <c r="Z3126" s="2"/>
      <c r="AA3126" s="2" t="s">
        <v>13207</v>
      </c>
      <c r="AB3126" s="2" t="s">
        <v>13208</v>
      </c>
      <c r="AC3126" s="4" t="s">
        <v>44</v>
      </c>
    </row>
    <row r="3127" spans="1:29" x14ac:dyDescent="0.25">
      <c r="A3127" s="1">
        <v>426</v>
      </c>
      <c r="B3127" s="17" t="s">
        <v>13996</v>
      </c>
      <c r="C3127" s="2" t="s">
        <v>10579</v>
      </c>
      <c r="D3127" s="15" t="s">
        <v>8350</v>
      </c>
      <c r="E3127" s="9" t="s">
        <v>120</v>
      </c>
      <c r="F3127" s="9" t="s">
        <v>13997</v>
      </c>
      <c r="G3127" s="9" t="s">
        <v>956</v>
      </c>
      <c r="H3127" s="2" t="s">
        <v>60</v>
      </c>
      <c r="I3127" s="3">
        <v>36949</v>
      </c>
      <c r="J3127" s="9" t="str">
        <f t="shared" ca="1" si="51"/>
        <v>22 ans</v>
      </c>
      <c r="K3127" s="2" t="s">
        <v>156</v>
      </c>
      <c r="L3127" s="2" t="str">
        <f>"985"</f>
        <v>985</v>
      </c>
      <c r="M3127" s="2"/>
      <c r="N3127" s="2" t="str">
        <f>"RUE DU BRIGADIER"</f>
        <v>RUE DU BRIGADIER</v>
      </c>
      <c r="O3127" s="2" t="s">
        <v>13204</v>
      </c>
      <c r="P3127" s="9" t="str">
        <f>VLOOKUP($O3127,'Liste des Villes'!$B$2:$B$1128,1,FALSE)</f>
        <v>Prévost</v>
      </c>
      <c r="Q3127" s="9" t="str">
        <f>IFERROR($P3127,PROPER(VLOOKUP($O3127,'Villes en erreur'!$A$2:$B$72,2,FALSE)))</f>
        <v>Prévost</v>
      </c>
      <c r="R3127" s="9" t="s">
        <v>1590</v>
      </c>
      <c r="S3127" s="9" t="str">
        <f>IF(ISBLANK($R3127),"",VLOOKUP($R3127,'Liste des Villes'!$B$2:$H$1128,4,FALSE))</f>
        <v>Laurentides</v>
      </c>
      <c r="T3127" s="2" t="s">
        <v>13440</v>
      </c>
      <c r="U3127" s="2" t="s">
        <v>39</v>
      </c>
      <c r="V3127" s="2" t="s">
        <v>40</v>
      </c>
      <c r="W3127" s="2" t="s">
        <v>13998</v>
      </c>
      <c r="X3127" s="2"/>
      <c r="Y3127" s="2"/>
      <c r="Z3127" s="2"/>
      <c r="AA3127" s="2" t="s">
        <v>160</v>
      </c>
      <c r="AB3127" s="2" t="s">
        <v>161</v>
      </c>
      <c r="AC3127" s="4" t="s">
        <v>44</v>
      </c>
    </row>
    <row r="3128" spans="1:29" x14ac:dyDescent="0.25">
      <c r="A3128" s="1">
        <v>944</v>
      </c>
      <c r="B3128" s="17" t="s">
        <v>13999</v>
      </c>
      <c r="C3128" s="2" t="s">
        <v>3782</v>
      </c>
      <c r="D3128" s="15" t="s">
        <v>3783</v>
      </c>
      <c r="E3128" s="9" t="s">
        <v>179</v>
      </c>
      <c r="F3128" s="9" t="s">
        <v>4357</v>
      </c>
      <c r="G3128" s="9" t="s">
        <v>2049</v>
      </c>
      <c r="H3128" s="2" t="s">
        <v>35</v>
      </c>
      <c r="I3128" s="3">
        <v>37011</v>
      </c>
      <c r="J3128" s="9" t="str">
        <f t="shared" ca="1" si="51"/>
        <v>22 ans</v>
      </c>
      <c r="K3128" s="2" t="s">
        <v>156</v>
      </c>
      <c r="L3128" s="2" t="str">
        <f>"1043"</f>
        <v>1043</v>
      </c>
      <c r="M3128" s="2"/>
      <c r="N3128" s="2" t="str">
        <f>"RUE DU HAVRE"</f>
        <v>RUE DU HAVRE</v>
      </c>
      <c r="O3128" s="2" t="s">
        <v>13204</v>
      </c>
      <c r="P3128" s="9" t="str">
        <f>VLOOKUP($O3128,'Liste des Villes'!$B$2:$B$1128,1,FALSE)</f>
        <v>Prévost</v>
      </c>
      <c r="Q3128" s="9" t="str">
        <f>IFERROR($P3128,PROPER(VLOOKUP($O3128,'Villes en erreur'!$A$2:$B$72,2,FALSE)))</f>
        <v>Prévost</v>
      </c>
      <c r="R3128" s="9" t="s">
        <v>1590</v>
      </c>
      <c r="S3128" s="9" t="str">
        <f>IF(ISBLANK($R3128),"",VLOOKUP($R3128,'Liste des Villes'!$B$2:$H$1128,4,FALSE))</f>
        <v>Laurentides</v>
      </c>
      <c r="T3128" s="2" t="s">
        <v>14000</v>
      </c>
      <c r="U3128" s="2" t="s">
        <v>39</v>
      </c>
      <c r="V3128" s="2" t="s">
        <v>40</v>
      </c>
      <c r="W3128" s="2" t="s">
        <v>14001</v>
      </c>
      <c r="X3128" s="2"/>
      <c r="Y3128" s="2"/>
      <c r="Z3128" s="2"/>
      <c r="AA3128" s="2" t="s">
        <v>375</v>
      </c>
      <c r="AB3128" s="2" t="s">
        <v>13208</v>
      </c>
      <c r="AC3128" s="4" t="s">
        <v>44</v>
      </c>
    </row>
    <row r="3129" spans="1:29" x14ac:dyDescent="0.25">
      <c r="A3129" s="1">
        <v>4053</v>
      </c>
      <c r="B3129" s="17" t="s">
        <v>14002</v>
      </c>
      <c r="C3129" s="2" t="s">
        <v>12714</v>
      </c>
      <c r="D3129" s="15" t="s">
        <v>2018</v>
      </c>
      <c r="E3129" s="9" t="s">
        <v>4167</v>
      </c>
      <c r="F3129" s="9" t="s">
        <v>14003</v>
      </c>
      <c r="G3129" s="9" t="s">
        <v>253</v>
      </c>
      <c r="H3129" s="2" t="s">
        <v>35</v>
      </c>
      <c r="I3129" s="3">
        <v>36964</v>
      </c>
      <c r="J3129" s="9" t="str">
        <f t="shared" ca="1" si="51"/>
        <v>22 ans</v>
      </c>
      <c r="K3129" s="2" t="s">
        <v>156</v>
      </c>
      <c r="L3129" s="2" t="str">
        <f>"1006"</f>
        <v>1006</v>
      </c>
      <c r="M3129" s="2"/>
      <c r="N3129" s="2" t="str">
        <f>"RUE DU CLOS-DE-PAULILLES"</f>
        <v>RUE DU CLOS-DE-PAULILLES</v>
      </c>
      <c r="O3129" s="2" t="s">
        <v>13204</v>
      </c>
      <c r="P3129" s="9" t="str">
        <f>VLOOKUP($O3129,'Liste des Villes'!$B$2:$B$1128,1,FALSE)</f>
        <v>Prévost</v>
      </c>
      <c r="Q3129" s="9" t="str">
        <f>IFERROR($P3129,PROPER(VLOOKUP($O3129,'Villes en erreur'!$A$2:$B$72,2,FALSE)))</f>
        <v>Prévost</v>
      </c>
      <c r="R3129" s="9" t="s">
        <v>1590</v>
      </c>
      <c r="S3129" s="9" t="str">
        <f>IF(ISBLANK($R3129),"",VLOOKUP($R3129,'Liste des Villes'!$B$2:$H$1128,4,FALSE))</f>
        <v>Laurentides</v>
      </c>
      <c r="T3129" s="2" t="s">
        <v>13749</v>
      </c>
      <c r="U3129" s="2" t="s">
        <v>39</v>
      </c>
      <c r="V3129" s="2" t="s">
        <v>40</v>
      </c>
      <c r="W3129" s="2" t="s">
        <v>14004</v>
      </c>
      <c r="X3129" s="2"/>
      <c r="Y3129" s="2"/>
      <c r="Z3129" s="2"/>
      <c r="AA3129" s="2" t="s">
        <v>160</v>
      </c>
      <c r="AB3129" s="2" t="s">
        <v>13208</v>
      </c>
      <c r="AC3129" s="4" t="s">
        <v>44</v>
      </c>
    </row>
    <row r="3130" spans="1:29" x14ac:dyDescent="0.25">
      <c r="A3130" s="1">
        <v>4194</v>
      </c>
      <c r="B3130" s="17" t="s">
        <v>14005</v>
      </c>
      <c r="C3130" s="2" t="s">
        <v>14006</v>
      </c>
      <c r="D3130" s="15" t="s">
        <v>2115</v>
      </c>
      <c r="E3130" s="9" t="s">
        <v>6664</v>
      </c>
      <c r="F3130" s="9" t="s">
        <v>10969</v>
      </c>
      <c r="G3130" s="9" t="s">
        <v>2049</v>
      </c>
      <c r="H3130" s="2" t="s">
        <v>35</v>
      </c>
      <c r="I3130" s="3">
        <v>37014</v>
      </c>
      <c r="J3130" s="9" t="str">
        <f t="shared" ca="1" si="51"/>
        <v>22 ans</v>
      </c>
      <c r="K3130" s="2" t="s">
        <v>156</v>
      </c>
      <c r="L3130" s="2" t="str">
        <f>"1046"</f>
        <v>1046</v>
      </c>
      <c r="M3130" s="2"/>
      <c r="N3130" s="2" t="str">
        <f>"RUE DU LAC-DE-MAI"</f>
        <v>RUE DU LAC-DE-MAI</v>
      </c>
      <c r="O3130" s="2" t="s">
        <v>13204</v>
      </c>
      <c r="P3130" s="9" t="str">
        <f>VLOOKUP($O3130,'Liste des Villes'!$B$2:$B$1128,1,FALSE)</f>
        <v>Prévost</v>
      </c>
      <c r="Q3130" s="9" t="str">
        <f>IFERROR($P3130,PROPER(VLOOKUP($O3130,'Villes en erreur'!$A$2:$B$72,2,FALSE)))</f>
        <v>Prévost</v>
      </c>
      <c r="R3130" s="9" t="s">
        <v>1590</v>
      </c>
      <c r="S3130" s="9" t="str">
        <f>IF(ISBLANK($R3130),"",VLOOKUP($R3130,'Liste des Villes'!$B$2:$H$1128,4,FALSE))</f>
        <v>Laurentides</v>
      </c>
      <c r="T3130" s="2" t="s">
        <v>14007</v>
      </c>
      <c r="U3130" s="2" t="s">
        <v>39</v>
      </c>
      <c r="V3130" s="2" t="s">
        <v>40</v>
      </c>
      <c r="W3130" s="2" t="s">
        <v>14008</v>
      </c>
      <c r="X3130" s="2"/>
      <c r="Y3130" s="2"/>
      <c r="Z3130" s="2"/>
      <c r="AA3130" s="2" t="s">
        <v>375</v>
      </c>
      <c r="AB3130" s="2" t="s">
        <v>13208</v>
      </c>
      <c r="AC3130" s="4" t="s">
        <v>44</v>
      </c>
    </row>
    <row r="3131" spans="1:29" x14ac:dyDescent="0.25">
      <c r="A3131" s="1">
        <v>2578</v>
      </c>
      <c r="B3131" s="17" t="s">
        <v>14009</v>
      </c>
      <c r="C3131" s="2" t="s">
        <v>14010</v>
      </c>
      <c r="D3131" s="15" t="s">
        <v>7982</v>
      </c>
      <c r="E3131" s="9" t="s">
        <v>14011</v>
      </c>
      <c r="F3131" s="9" t="s">
        <v>218</v>
      </c>
      <c r="G3131" s="9" t="s">
        <v>253</v>
      </c>
      <c r="H3131" s="2" t="s">
        <v>35</v>
      </c>
      <c r="I3131" s="3">
        <v>36976</v>
      </c>
      <c r="J3131" s="9" t="str">
        <f t="shared" ca="1" si="51"/>
        <v>22 ans</v>
      </c>
      <c r="K3131" s="2" t="s">
        <v>156</v>
      </c>
      <c r="L3131" s="2" t="str">
        <f>"1013"</f>
        <v>1013</v>
      </c>
      <c r="M3131" s="2"/>
      <c r="N3131" s="2" t="str">
        <f>"RUE DU CLOS-VOUGEOT"</f>
        <v>RUE DU CLOS-VOUGEOT</v>
      </c>
      <c r="O3131" s="2" t="s">
        <v>13204</v>
      </c>
      <c r="P3131" s="9" t="str">
        <f>VLOOKUP($O3131,'Liste des Villes'!$B$2:$B$1128,1,FALSE)</f>
        <v>Prévost</v>
      </c>
      <c r="Q3131" s="9" t="str">
        <f>IFERROR($P3131,PROPER(VLOOKUP($O3131,'Villes en erreur'!$A$2:$B$72,2,FALSE)))</f>
        <v>Prévost</v>
      </c>
      <c r="R3131" s="9" t="s">
        <v>1590</v>
      </c>
      <c r="S3131" s="9" t="str">
        <f>IF(ISBLANK($R3131),"",VLOOKUP($R3131,'Liste des Villes'!$B$2:$H$1128,4,FALSE))</f>
        <v>Laurentides</v>
      </c>
      <c r="T3131" s="2" t="s">
        <v>13381</v>
      </c>
      <c r="U3131" s="2" t="s">
        <v>39</v>
      </c>
      <c r="V3131" s="2" t="s">
        <v>40</v>
      </c>
      <c r="W3131" s="2" t="s">
        <v>14012</v>
      </c>
      <c r="X3131" s="2"/>
      <c r="Y3131" s="2"/>
      <c r="Z3131" s="2"/>
      <c r="AA3131" s="2" t="s">
        <v>160</v>
      </c>
      <c r="AB3131" s="2" t="s">
        <v>13208</v>
      </c>
      <c r="AC3131" s="4" t="s">
        <v>44</v>
      </c>
    </row>
    <row r="3132" spans="1:29" x14ac:dyDescent="0.25">
      <c r="A3132" s="1">
        <v>2504</v>
      </c>
      <c r="B3132" s="17" t="s">
        <v>14013</v>
      </c>
      <c r="C3132" s="2" t="s">
        <v>14014</v>
      </c>
      <c r="D3132" s="15" t="s">
        <v>4298</v>
      </c>
      <c r="E3132" s="9" t="s">
        <v>14015</v>
      </c>
      <c r="F3132" s="9" t="s">
        <v>5419</v>
      </c>
      <c r="G3132" s="9" t="s">
        <v>253</v>
      </c>
      <c r="H3132" s="2" t="s">
        <v>35</v>
      </c>
      <c r="I3132" s="3">
        <v>36964</v>
      </c>
      <c r="J3132" s="9" t="str">
        <f t="shared" ca="1" si="51"/>
        <v>22 ans</v>
      </c>
      <c r="K3132" s="2" t="s">
        <v>156</v>
      </c>
      <c r="L3132" s="2" t="str">
        <f>"1006"</f>
        <v>1006</v>
      </c>
      <c r="M3132" s="2"/>
      <c r="N3132" s="2" t="str">
        <f>"RUE DU CLOS-DE-PAULILLES"</f>
        <v>RUE DU CLOS-DE-PAULILLES</v>
      </c>
      <c r="O3132" s="2" t="s">
        <v>13204</v>
      </c>
      <c r="P3132" s="9" t="str">
        <f>VLOOKUP($O3132,'Liste des Villes'!$B$2:$B$1128,1,FALSE)</f>
        <v>Prévost</v>
      </c>
      <c r="Q3132" s="9" t="str">
        <f>IFERROR($P3132,PROPER(VLOOKUP($O3132,'Villes en erreur'!$A$2:$B$72,2,FALSE)))</f>
        <v>Prévost</v>
      </c>
      <c r="R3132" s="9" t="s">
        <v>1590</v>
      </c>
      <c r="S3132" s="9" t="str">
        <f>IF(ISBLANK($R3132),"",VLOOKUP($R3132,'Liste des Villes'!$B$2:$H$1128,4,FALSE))</f>
        <v>Laurentides</v>
      </c>
      <c r="T3132" s="2" t="s">
        <v>13749</v>
      </c>
      <c r="U3132" s="2" t="s">
        <v>39</v>
      </c>
      <c r="V3132" s="2" t="s">
        <v>40</v>
      </c>
      <c r="W3132" s="2" t="s">
        <v>14016</v>
      </c>
      <c r="X3132" s="2"/>
      <c r="Y3132" s="2"/>
      <c r="Z3132" s="2"/>
      <c r="AA3132" s="2" t="s">
        <v>160</v>
      </c>
      <c r="AB3132" s="2" t="s">
        <v>13208</v>
      </c>
      <c r="AC3132" s="4" t="s">
        <v>44</v>
      </c>
    </row>
    <row r="3133" spans="1:29" x14ac:dyDescent="0.25">
      <c r="A3133" s="1">
        <v>4224</v>
      </c>
      <c r="B3133" s="17" t="s">
        <v>14017</v>
      </c>
      <c r="C3133" s="2" t="s">
        <v>14018</v>
      </c>
      <c r="D3133" s="15" t="s">
        <v>6002</v>
      </c>
      <c r="E3133" s="9" t="s">
        <v>1410</v>
      </c>
      <c r="F3133" s="9" t="s">
        <v>4421</v>
      </c>
      <c r="G3133" s="9" t="s">
        <v>3595</v>
      </c>
      <c r="H3133" s="2" t="s">
        <v>35</v>
      </c>
      <c r="I3133" s="3">
        <v>36991</v>
      </c>
      <c r="J3133" s="9" t="str">
        <f t="shared" ca="1" si="51"/>
        <v>22 ans</v>
      </c>
      <c r="K3133" s="2" t="s">
        <v>156</v>
      </c>
      <c r="L3133" s="2" t="str">
        <f>"1028"</f>
        <v>1028</v>
      </c>
      <c r="M3133" s="2"/>
      <c r="N3133" s="2" t="str">
        <f>"RUE DU DOMAINE"</f>
        <v>RUE DU DOMAINE</v>
      </c>
      <c r="O3133" s="2" t="s">
        <v>13204</v>
      </c>
      <c r="P3133" s="9" t="str">
        <f>VLOOKUP($O3133,'Liste des Villes'!$B$2:$B$1128,1,FALSE)</f>
        <v>Prévost</v>
      </c>
      <c r="Q3133" s="9" t="str">
        <f>IFERROR($P3133,PROPER(VLOOKUP($O3133,'Villes en erreur'!$A$2:$B$72,2,FALSE)))</f>
        <v>Prévost</v>
      </c>
      <c r="R3133" s="9" t="s">
        <v>1590</v>
      </c>
      <c r="S3133" s="9" t="str">
        <f>IF(ISBLANK($R3133),"",VLOOKUP($R3133,'Liste des Villes'!$B$2:$H$1128,4,FALSE))</f>
        <v>Laurentides</v>
      </c>
      <c r="T3133" s="2" t="s">
        <v>13681</v>
      </c>
      <c r="U3133" s="2" t="s">
        <v>39</v>
      </c>
      <c r="V3133" s="2" t="s">
        <v>40</v>
      </c>
      <c r="W3133" s="2" t="s">
        <v>14019</v>
      </c>
      <c r="X3133" s="2"/>
      <c r="Y3133" s="2"/>
      <c r="Z3133" s="2"/>
      <c r="AA3133" s="2" t="s">
        <v>13207</v>
      </c>
      <c r="AB3133" s="2" t="s">
        <v>13208</v>
      </c>
      <c r="AC3133" s="4" t="s">
        <v>44</v>
      </c>
    </row>
    <row r="3134" spans="1:29" x14ac:dyDescent="0.25">
      <c r="A3134" s="1">
        <v>1935</v>
      </c>
      <c r="B3134" s="17" t="s">
        <v>14020</v>
      </c>
      <c r="C3134" s="2" t="s">
        <v>46</v>
      </c>
      <c r="D3134" s="15" t="s">
        <v>47</v>
      </c>
      <c r="E3134" s="9" t="s">
        <v>48</v>
      </c>
      <c r="F3134" s="9" t="s">
        <v>3729</v>
      </c>
      <c r="G3134" s="9" t="s">
        <v>2614</v>
      </c>
      <c r="H3134" s="2" t="s">
        <v>60</v>
      </c>
      <c r="I3134" s="3">
        <v>36977</v>
      </c>
      <c r="J3134" s="9" t="str">
        <f t="shared" ca="1" si="51"/>
        <v>22 ans</v>
      </c>
      <c r="K3134" s="2" t="s">
        <v>156</v>
      </c>
      <c r="L3134" s="2" t="str">
        <f>"1015"</f>
        <v>1015</v>
      </c>
      <c r="M3134" s="2"/>
      <c r="N3134" s="2" t="str">
        <f>"RUE DU COLIBRI"</f>
        <v>RUE DU COLIBRI</v>
      </c>
      <c r="O3134" s="2" t="s">
        <v>13204</v>
      </c>
      <c r="P3134" s="9" t="str">
        <f>VLOOKUP($O3134,'Liste des Villes'!$B$2:$B$1128,1,FALSE)</f>
        <v>Prévost</v>
      </c>
      <c r="Q3134" s="9" t="str">
        <f>IFERROR($P3134,PROPER(VLOOKUP($O3134,'Villes en erreur'!$A$2:$B$72,2,FALSE)))</f>
        <v>Prévost</v>
      </c>
      <c r="R3134" s="9" t="s">
        <v>1590</v>
      </c>
      <c r="S3134" s="9" t="str">
        <f>IF(ISBLANK($R3134),"",VLOOKUP($R3134,'Liste des Villes'!$B$2:$H$1128,4,FALSE))</f>
        <v>Laurentides</v>
      </c>
      <c r="T3134" s="2" t="s">
        <v>14021</v>
      </c>
      <c r="U3134" s="2" t="s">
        <v>39</v>
      </c>
      <c r="V3134" s="2" t="s">
        <v>40</v>
      </c>
      <c r="W3134" s="2" t="s">
        <v>14022</v>
      </c>
      <c r="X3134" s="2"/>
      <c r="Y3134" s="2"/>
      <c r="Z3134" s="2"/>
      <c r="AA3134" s="2" t="s">
        <v>160</v>
      </c>
      <c r="AB3134" s="2" t="s">
        <v>13208</v>
      </c>
      <c r="AC3134" s="4" t="s">
        <v>44</v>
      </c>
    </row>
    <row r="3135" spans="1:29" x14ac:dyDescent="0.25">
      <c r="A3135" s="1">
        <v>4583</v>
      </c>
      <c r="B3135" s="17" t="s">
        <v>14023</v>
      </c>
      <c r="C3135" s="2" t="s">
        <v>3842</v>
      </c>
      <c r="D3135" s="15" t="s">
        <v>31</v>
      </c>
      <c r="E3135" s="9" t="s">
        <v>2635</v>
      </c>
      <c r="F3135" s="9" t="s">
        <v>3843</v>
      </c>
      <c r="G3135" s="9" t="s">
        <v>253</v>
      </c>
      <c r="H3135" s="2" t="s">
        <v>35</v>
      </c>
      <c r="I3135" s="3">
        <v>36963</v>
      </c>
      <c r="J3135" s="9" t="str">
        <f t="shared" ca="1" si="51"/>
        <v>22 ans</v>
      </c>
      <c r="K3135" s="2" t="s">
        <v>156</v>
      </c>
      <c r="L3135" s="2" t="str">
        <f>"1005"</f>
        <v>1005</v>
      </c>
      <c r="M3135" s="2"/>
      <c r="N3135" s="2" t="str">
        <f>"RUE DU CLOS-DE-MÛRES"</f>
        <v>RUE DU CLOS-DE-MÛRES</v>
      </c>
      <c r="O3135" s="2" t="s">
        <v>13204</v>
      </c>
      <c r="P3135" s="9" t="str">
        <f>VLOOKUP($O3135,'Liste des Villes'!$B$2:$B$1128,1,FALSE)</f>
        <v>Prévost</v>
      </c>
      <c r="Q3135" s="9" t="str">
        <f>IFERROR($P3135,PROPER(VLOOKUP($O3135,'Villes en erreur'!$A$2:$B$72,2,FALSE)))</f>
        <v>Prévost</v>
      </c>
      <c r="R3135" s="9" t="s">
        <v>1590</v>
      </c>
      <c r="S3135" s="9" t="str">
        <f>IF(ISBLANK($R3135),"",VLOOKUP($R3135,'Liste des Villes'!$B$2:$H$1128,4,FALSE))</f>
        <v>Laurentides</v>
      </c>
      <c r="T3135" s="2" t="s">
        <v>14024</v>
      </c>
      <c r="U3135" s="2" t="s">
        <v>39</v>
      </c>
      <c r="V3135" s="2" t="s">
        <v>40</v>
      </c>
      <c r="W3135" s="2" t="s">
        <v>14025</v>
      </c>
      <c r="X3135" s="2"/>
      <c r="Y3135" s="2"/>
      <c r="Z3135" s="2"/>
      <c r="AA3135" s="2" t="s">
        <v>160</v>
      </c>
      <c r="AB3135" s="2" t="s">
        <v>13208</v>
      </c>
      <c r="AC3135" s="4" t="s">
        <v>44</v>
      </c>
    </row>
    <row r="3136" spans="1:29" x14ac:dyDescent="0.25">
      <c r="A3136" s="1">
        <v>558</v>
      </c>
      <c r="B3136" s="17" t="s">
        <v>14026</v>
      </c>
      <c r="C3136" s="2" t="s">
        <v>6021</v>
      </c>
      <c r="D3136" s="15" t="s">
        <v>6022</v>
      </c>
      <c r="E3136" s="9" t="s">
        <v>85</v>
      </c>
      <c r="F3136" s="9" t="s">
        <v>6023</v>
      </c>
      <c r="G3136" s="9" t="s">
        <v>253</v>
      </c>
      <c r="H3136" s="2" t="s">
        <v>35</v>
      </c>
      <c r="I3136" s="3">
        <v>36977</v>
      </c>
      <c r="J3136" s="9" t="str">
        <f t="shared" ca="1" si="51"/>
        <v>22 ans</v>
      </c>
      <c r="K3136" s="2" t="s">
        <v>156</v>
      </c>
      <c r="L3136" s="2" t="str">
        <f>"1014"</f>
        <v>1014</v>
      </c>
      <c r="M3136" s="2"/>
      <c r="N3136" s="2" t="str">
        <f>"RUE DU CLOS-VOUGEOT"</f>
        <v>RUE DU CLOS-VOUGEOT</v>
      </c>
      <c r="O3136" s="2" t="s">
        <v>13204</v>
      </c>
      <c r="P3136" s="9" t="str">
        <f>VLOOKUP($O3136,'Liste des Villes'!$B$2:$B$1128,1,FALSE)</f>
        <v>Prévost</v>
      </c>
      <c r="Q3136" s="9" t="str">
        <f>IFERROR($P3136,PROPER(VLOOKUP($O3136,'Villes en erreur'!$A$2:$B$72,2,FALSE)))</f>
        <v>Prévost</v>
      </c>
      <c r="R3136" s="9" t="s">
        <v>1590</v>
      </c>
      <c r="S3136" s="9" t="str">
        <f>IF(ISBLANK($R3136),"",VLOOKUP($R3136,'Liste des Villes'!$B$2:$H$1128,4,FALSE))</f>
        <v>Laurentides</v>
      </c>
      <c r="T3136" s="2" t="s">
        <v>13471</v>
      </c>
      <c r="U3136" s="2" t="s">
        <v>39</v>
      </c>
      <c r="V3136" s="2" t="s">
        <v>40</v>
      </c>
      <c r="W3136" s="2" t="s">
        <v>14027</v>
      </c>
      <c r="X3136" s="2"/>
      <c r="Y3136" s="2"/>
      <c r="Z3136" s="2"/>
      <c r="AA3136" s="2" t="s">
        <v>160</v>
      </c>
      <c r="AB3136" s="2" t="s">
        <v>13208</v>
      </c>
      <c r="AC3136" s="4" t="s">
        <v>44</v>
      </c>
    </row>
    <row r="3137" spans="1:29" x14ac:dyDescent="0.25">
      <c r="A3137" s="1">
        <v>4307</v>
      </c>
      <c r="B3137" s="17" t="s">
        <v>14028</v>
      </c>
      <c r="C3137" s="2" t="s">
        <v>14029</v>
      </c>
      <c r="D3137" s="15" t="s">
        <v>7582</v>
      </c>
      <c r="E3137" s="9" t="s">
        <v>14030</v>
      </c>
      <c r="F3137" s="9" t="s">
        <v>14031</v>
      </c>
      <c r="G3137" s="9" t="s">
        <v>2062</v>
      </c>
      <c r="H3137" s="2" t="s">
        <v>60</v>
      </c>
      <c r="I3137" s="3">
        <v>37021</v>
      </c>
      <c r="J3137" s="9" t="str">
        <f t="shared" ca="1" si="51"/>
        <v>22 ans</v>
      </c>
      <c r="K3137" s="2" t="s">
        <v>156</v>
      </c>
      <c r="L3137" s="2" t="str">
        <f>"1054"</f>
        <v>1054</v>
      </c>
      <c r="M3137" s="2"/>
      <c r="N3137" s="2" t="str">
        <f>"RUE DU MAQUIGNON"</f>
        <v>RUE DU MAQUIGNON</v>
      </c>
      <c r="O3137" s="2" t="s">
        <v>14032</v>
      </c>
      <c r="P3137" s="9" t="str">
        <f>VLOOKUP($O3137,'Liste des Villes'!$B$2:$B$1128,1,FALSE)</f>
        <v>Pont-Rouge</v>
      </c>
      <c r="Q3137" s="9" t="str">
        <f>IFERROR($P3137,PROPER(VLOOKUP($O3137,'Villes en erreur'!$A$2:$B$72,2,FALSE)))</f>
        <v>Pont-Rouge</v>
      </c>
      <c r="R3137" s="9" t="s">
        <v>14033</v>
      </c>
      <c r="S3137" s="9" t="str">
        <f>IF(ISBLANK($R3137),"",VLOOKUP($R3137,'Liste des Villes'!$B$2:$H$1128,4,FALSE))</f>
        <v>Capitale-Nationale</v>
      </c>
      <c r="T3137" s="2" t="s">
        <v>13280</v>
      </c>
      <c r="U3137" s="2" t="s">
        <v>39</v>
      </c>
      <c r="V3137" s="2" t="s">
        <v>40</v>
      </c>
      <c r="W3137" s="2" t="s">
        <v>14034</v>
      </c>
      <c r="X3137" s="2"/>
      <c r="Y3137" s="2"/>
      <c r="Z3137" s="2"/>
      <c r="AA3137" s="2" t="s">
        <v>375</v>
      </c>
      <c r="AB3137" s="2" t="s">
        <v>376</v>
      </c>
      <c r="AC3137" s="4" t="s">
        <v>44</v>
      </c>
    </row>
    <row r="3138" spans="1:29" x14ac:dyDescent="0.25">
      <c r="A3138" s="1">
        <v>3284</v>
      </c>
      <c r="B3138" s="17" t="s">
        <v>14035</v>
      </c>
      <c r="C3138" s="2" t="s">
        <v>14036</v>
      </c>
      <c r="D3138" s="15" t="s">
        <v>6385</v>
      </c>
      <c r="E3138" s="9" t="s">
        <v>3668</v>
      </c>
      <c r="F3138" s="9" t="s">
        <v>6384</v>
      </c>
      <c r="G3138" s="9" t="s">
        <v>2062</v>
      </c>
      <c r="H3138" s="2" t="s">
        <v>60</v>
      </c>
      <c r="I3138" s="3">
        <v>37022</v>
      </c>
      <c r="J3138" s="9" t="str">
        <f t="shared" ref="J3138:J3201" ca="1" si="52">_xlfn.CONCAT(INT((TODAY()-$I3138)/365.25)," ans")</f>
        <v>22 ans</v>
      </c>
      <c r="K3138" s="2" t="s">
        <v>156</v>
      </c>
      <c r="L3138" s="2" t="str">
        <f>"1056"</f>
        <v>1056</v>
      </c>
      <c r="M3138" s="2"/>
      <c r="N3138" s="2" t="str">
        <f>"RUE DU MARÉCAGE"</f>
        <v>RUE DU MARÉCAGE</v>
      </c>
      <c r="O3138" s="2" t="s">
        <v>14037</v>
      </c>
      <c r="P3138" s="9" t="str">
        <f>VLOOKUP($O3138,'Liste des Villes'!$B$2:$B$1128,1,FALSE)</f>
        <v>Pointe-Calumet</v>
      </c>
      <c r="Q3138" s="9" t="str">
        <f>IFERROR($P3138,PROPER(VLOOKUP($O3138,'Villes en erreur'!$A$2:$B$72,2,FALSE)))</f>
        <v>Pointe-Calumet</v>
      </c>
      <c r="R3138" s="9" t="s">
        <v>14038</v>
      </c>
      <c r="S3138" s="9" t="str">
        <f>IF(ISBLANK($R3138),"",VLOOKUP($R3138,'Liste des Villes'!$B$2:$H$1128,4,FALSE))</f>
        <v>Laurentides</v>
      </c>
      <c r="T3138" s="2" t="s">
        <v>14039</v>
      </c>
      <c r="U3138" s="2" t="s">
        <v>39</v>
      </c>
      <c r="V3138" s="2" t="s">
        <v>40</v>
      </c>
      <c r="W3138" s="2" t="s">
        <v>14040</v>
      </c>
      <c r="X3138" s="2"/>
      <c r="Y3138" s="2"/>
      <c r="Z3138" s="2"/>
      <c r="AA3138" s="2" t="s">
        <v>375</v>
      </c>
      <c r="AB3138" s="2" t="s">
        <v>376</v>
      </c>
      <c r="AC3138" s="4" t="s">
        <v>44</v>
      </c>
    </row>
    <row r="3139" spans="1:29" x14ac:dyDescent="0.25">
      <c r="A3139" s="1">
        <v>3269</v>
      </c>
      <c r="B3139" s="17" t="s">
        <v>14041</v>
      </c>
      <c r="C3139" s="2" t="s">
        <v>866</v>
      </c>
      <c r="D3139" s="15" t="s">
        <v>867</v>
      </c>
      <c r="E3139" s="9" t="s">
        <v>868</v>
      </c>
      <c r="F3139" s="9" t="s">
        <v>7223</v>
      </c>
      <c r="G3139" s="9" t="s">
        <v>2062</v>
      </c>
      <c r="H3139" s="2" t="s">
        <v>60</v>
      </c>
      <c r="I3139" s="3">
        <v>37022</v>
      </c>
      <c r="J3139" s="9" t="str">
        <f t="shared" ca="1" si="52"/>
        <v>22 ans</v>
      </c>
      <c r="K3139" s="2" t="s">
        <v>156</v>
      </c>
      <c r="L3139" s="2" t="str">
        <f>"1056"</f>
        <v>1056</v>
      </c>
      <c r="M3139" s="2"/>
      <c r="N3139" s="2" t="str">
        <f>"RUE DU MARECAGE"</f>
        <v>RUE DU MARECAGE</v>
      </c>
      <c r="O3139" s="2" t="s">
        <v>14037</v>
      </c>
      <c r="P3139" s="9" t="str">
        <f>VLOOKUP($O3139,'Liste des Villes'!$B$2:$B$1128,1,FALSE)</f>
        <v>Pointe-Calumet</v>
      </c>
      <c r="Q3139" s="9" t="str">
        <f>IFERROR($P3139,PROPER(VLOOKUP($O3139,'Villes en erreur'!$A$2:$B$72,2,FALSE)))</f>
        <v>Pointe-Calumet</v>
      </c>
      <c r="R3139" s="9" t="s">
        <v>14038</v>
      </c>
      <c r="S3139" s="9" t="str">
        <f>IF(ISBLANK($R3139),"",VLOOKUP($R3139,'Liste des Villes'!$B$2:$H$1128,4,FALSE))</f>
        <v>Laurentides</v>
      </c>
      <c r="T3139" s="2" t="s">
        <v>14042</v>
      </c>
      <c r="U3139" s="2" t="s">
        <v>39</v>
      </c>
      <c r="V3139" s="2" t="s">
        <v>40</v>
      </c>
      <c r="W3139" s="2" t="s">
        <v>14043</v>
      </c>
      <c r="X3139" s="2"/>
      <c r="Y3139" s="2"/>
      <c r="Z3139" s="2"/>
      <c r="AA3139" s="2" t="s">
        <v>375</v>
      </c>
      <c r="AB3139" s="2" t="s">
        <v>376</v>
      </c>
      <c r="AC3139" s="4" t="s">
        <v>44</v>
      </c>
    </row>
    <row r="3140" spans="1:29" x14ac:dyDescent="0.25">
      <c r="A3140" s="1">
        <v>185</v>
      </c>
      <c r="B3140" s="17" t="s">
        <v>14044</v>
      </c>
      <c r="C3140" s="2" t="s">
        <v>14045</v>
      </c>
      <c r="D3140" s="15" t="s">
        <v>3257</v>
      </c>
      <c r="E3140" s="9" t="s">
        <v>3218</v>
      </c>
      <c r="F3140" s="9" t="s">
        <v>10557</v>
      </c>
      <c r="G3140" s="9" t="s">
        <v>2062</v>
      </c>
      <c r="H3140" s="2" t="s">
        <v>60</v>
      </c>
      <c r="I3140" s="3">
        <v>37021</v>
      </c>
      <c r="J3140" s="9" t="str">
        <f t="shared" ca="1" si="52"/>
        <v>22 ans</v>
      </c>
      <c r="K3140" s="2" t="s">
        <v>156</v>
      </c>
      <c r="L3140" s="2" t="str">
        <f>"1055"</f>
        <v>1055</v>
      </c>
      <c r="M3140" s="2"/>
      <c r="N3140" s="2" t="str">
        <f>"RUE DU MAQUIGNON"</f>
        <v>RUE DU MAQUIGNON</v>
      </c>
      <c r="O3140" s="2" t="s">
        <v>14037</v>
      </c>
      <c r="P3140" s="9" t="str">
        <f>VLOOKUP($O3140,'Liste des Villes'!$B$2:$B$1128,1,FALSE)</f>
        <v>Pointe-Calumet</v>
      </c>
      <c r="Q3140" s="9" t="str">
        <f>IFERROR($P3140,PROPER(VLOOKUP($O3140,'Villes en erreur'!$A$2:$B$72,2,FALSE)))</f>
        <v>Pointe-Calumet</v>
      </c>
      <c r="R3140" s="9" t="s">
        <v>14038</v>
      </c>
      <c r="S3140" s="9" t="str">
        <f>IF(ISBLANK($R3140),"",VLOOKUP($R3140,'Liste des Villes'!$B$2:$H$1128,4,FALSE))</f>
        <v>Laurentides</v>
      </c>
      <c r="T3140" s="2" t="s">
        <v>14046</v>
      </c>
      <c r="U3140" s="2" t="s">
        <v>39</v>
      </c>
      <c r="V3140" s="2" t="s">
        <v>40</v>
      </c>
      <c r="W3140" s="2" t="s">
        <v>14047</v>
      </c>
      <c r="X3140" s="2"/>
      <c r="Y3140" s="2"/>
      <c r="Z3140" s="2"/>
      <c r="AA3140" s="2" t="s">
        <v>375</v>
      </c>
      <c r="AB3140" s="2" t="s">
        <v>376</v>
      </c>
      <c r="AC3140" s="4" t="s">
        <v>44</v>
      </c>
    </row>
    <row r="3141" spans="1:29" x14ac:dyDescent="0.25">
      <c r="A3141" s="1">
        <v>3006</v>
      </c>
      <c r="B3141" s="17" t="s">
        <v>14048</v>
      </c>
      <c r="C3141" s="2" t="s">
        <v>10598</v>
      </c>
      <c r="D3141" s="15" t="s">
        <v>827</v>
      </c>
      <c r="E3141" s="9" t="s">
        <v>5652</v>
      </c>
      <c r="F3141" s="9" t="s">
        <v>825</v>
      </c>
      <c r="G3141" s="9" t="s">
        <v>2062</v>
      </c>
      <c r="H3141" s="2" t="s">
        <v>60</v>
      </c>
      <c r="I3141" s="3">
        <v>37023</v>
      </c>
      <c r="J3141" s="9" t="str">
        <f t="shared" ca="1" si="52"/>
        <v>22 ans</v>
      </c>
      <c r="K3141" s="2" t="s">
        <v>156</v>
      </c>
      <c r="L3141" s="2" t="str">
        <f>"1057"</f>
        <v>1057</v>
      </c>
      <c r="M3141" s="2"/>
      <c r="N3141" s="2" t="str">
        <f>"RUE DU MARÉCHAL-FERRANT"</f>
        <v>RUE DU MARÉCHAL-FERRANT</v>
      </c>
      <c r="O3141" s="2" t="s">
        <v>14037</v>
      </c>
      <c r="P3141" s="9" t="str">
        <f>VLOOKUP($O3141,'Liste des Villes'!$B$2:$B$1128,1,FALSE)</f>
        <v>Pointe-Calumet</v>
      </c>
      <c r="Q3141" s="9" t="str">
        <f>IFERROR($P3141,PROPER(VLOOKUP($O3141,'Villes en erreur'!$A$2:$B$72,2,FALSE)))</f>
        <v>Pointe-Calumet</v>
      </c>
      <c r="R3141" s="9" t="s">
        <v>14038</v>
      </c>
      <c r="S3141" s="9" t="str">
        <f>IF(ISBLANK($R3141),"",VLOOKUP($R3141,'Liste des Villes'!$B$2:$H$1128,4,FALSE))</f>
        <v>Laurentides</v>
      </c>
      <c r="T3141" s="2" t="s">
        <v>14049</v>
      </c>
      <c r="U3141" s="2" t="s">
        <v>39</v>
      </c>
      <c r="V3141" s="2" t="s">
        <v>40</v>
      </c>
      <c r="W3141" s="2" t="s">
        <v>14050</v>
      </c>
      <c r="X3141" s="2"/>
      <c r="Y3141" s="2"/>
      <c r="Z3141" s="2"/>
      <c r="AA3141" s="2" t="s">
        <v>375</v>
      </c>
      <c r="AB3141" s="2" t="s">
        <v>376</v>
      </c>
      <c r="AC3141" s="4" t="s">
        <v>44</v>
      </c>
    </row>
    <row r="3142" spans="1:29" x14ac:dyDescent="0.25">
      <c r="A3142" s="1">
        <v>4236</v>
      </c>
      <c r="B3142" s="17" t="s">
        <v>14051</v>
      </c>
      <c r="C3142" s="2" t="s">
        <v>14052</v>
      </c>
      <c r="D3142" s="15" t="s">
        <v>14053</v>
      </c>
      <c r="E3142" s="9" t="s">
        <v>4609</v>
      </c>
      <c r="F3142" s="9" t="s">
        <v>8398</v>
      </c>
      <c r="G3142" s="9" t="s">
        <v>590</v>
      </c>
      <c r="H3142" s="2" t="s">
        <v>60</v>
      </c>
      <c r="I3142" s="3">
        <v>37025</v>
      </c>
      <c r="J3142" s="9" t="str">
        <f t="shared" ca="1" si="52"/>
        <v>22 ans</v>
      </c>
      <c r="K3142" s="2" t="s">
        <v>156</v>
      </c>
      <c r="L3142" s="2" t="str">
        <f>"1061"</f>
        <v>1061</v>
      </c>
      <c r="M3142" s="2"/>
      <c r="N3142" s="2" t="str">
        <f>"RUE DU MASSIF"</f>
        <v>RUE DU MASSIF</v>
      </c>
      <c r="O3142" s="2" t="s">
        <v>14037</v>
      </c>
      <c r="P3142" s="9" t="str">
        <f>VLOOKUP($O3142,'Liste des Villes'!$B$2:$B$1128,1,FALSE)</f>
        <v>Pointe-Calumet</v>
      </c>
      <c r="Q3142" s="9" t="str">
        <f>IFERROR($P3142,PROPER(VLOOKUP($O3142,'Villes en erreur'!$A$2:$B$72,2,FALSE)))</f>
        <v>Pointe-Calumet</v>
      </c>
      <c r="R3142" s="9" t="s">
        <v>14038</v>
      </c>
      <c r="S3142" s="9" t="str">
        <f>IF(ISBLANK($R3142),"",VLOOKUP($R3142,'Liste des Villes'!$B$2:$H$1128,4,FALSE))</f>
        <v>Laurentides</v>
      </c>
      <c r="T3142" s="2" t="s">
        <v>863</v>
      </c>
      <c r="U3142" s="2" t="s">
        <v>39</v>
      </c>
      <c r="V3142" s="2" t="s">
        <v>40</v>
      </c>
      <c r="W3142" s="2" t="s">
        <v>14054</v>
      </c>
      <c r="X3142" s="2"/>
      <c r="Y3142" s="2"/>
      <c r="Z3142" s="2"/>
      <c r="AA3142" s="2" t="s">
        <v>375</v>
      </c>
      <c r="AB3142" s="2" t="s">
        <v>376</v>
      </c>
      <c r="AC3142" s="4" t="s">
        <v>44</v>
      </c>
    </row>
    <row r="3143" spans="1:29" x14ac:dyDescent="0.25">
      <c r="A3143" s="1">
        <v>4314</v>
      </c>
      <c r="B3143" s="17" t="s">
        <v>14055</v>
      </c>
      <c r="C3143" s="2" t="s">
        <v>14056</v>
      </c>
      <c r="D3143" s="15" t="s">
        <v>12105</v>
      </c>
      <c r="E3143" s="9" t="s">
        <v>10970</v>
      </c>
      <c r="F3143" s="9" t="s">
        <v>2115</v>
      </c>
      <c r="G3143" s="9" t="s">
        <v>2062</v>
      </c>
      <c r="H3143" s="2" t="s">
        <v>60</v>
      </c>
      <c r="I3143" s="3">
        <v>37023</v>
      </c>
      <c r="J3143" s="9" t="str">
        <f t="shared" ca="1" si="52"/>
        <v>22 ans</v>
      </c>
      <c r="K3143" s="2" t="s">
        <v>156</v>
      </c>
      <c r="L3143" s="2" t="str">
        <f>"1056"</f>
        <v>1056</v>
      </c>
      <c r="M3143" s="2"/>
      <c r="N3143" s="2" t="str">
        <f>"RUE DU MARÉCHAL FERRANT"</f>
        <v>RUE DU MARÉCHAL FERRANT</v>
      </c>
      <c r="O3143" s="2" t="s">
        <v>14037</v>
      </c>
      <c r="P3143" s="9" t="str">
        <f>VLOOKUP($O3143,'Liste des Villes'!$B$2:$B$1128,1,FALSE)</f>
        <v>Pointe-Calumet</v>
      </c>
      <c r="Q3143" s="9" t="str">
        <f>IFERROR($P3143,PROPER(VLOOKUP($O3143,'Villes en erreur'!$A$2:$B$72,2,FALSE)))</f>
        <v>Pointe-Calumet</v>
      </c>
      <c r="R3143" s="9" t="s">
        <v>14038</v>
      </c>
      <c r="S3143" s="9" t="str">
        <f>IF(ISBLANK($R3143),"",VLOOKUP($R3143,'Liste des Villes'!$B$2:$H$1128,4,FALSE))</f>
        <v>Laurentides</v>
      </c>
      <c r="T3143" s="2" t="s">
        <v>14049</v>
      </c>
      <c r="U3143" s="2" t="s">
        <v>39</v>
      </c>
      <c r="V3143" s="2" t="s">
        <v>40</v>
      </c>
      <c r="W3143" s="2" t="s">
        <v>14057</v>
      </c>
      <c r="X3143" s="2"/>
      <c r="Y3143" s="2"/>
      <c r="Z3143" s="2"/>
      <c r="AA3143" s="2" t="s">
        <v>375</v>
      </c>
      <c r="AB3143" s="2" t="s">
        <v>376</v>
      </c>
      <c r="AC3143" s="4" t="s">
        <v>44</v>
      </c>
    </row>
    <row r="3144" spans="1:29" x14ac:dyDescent="0.25">
      <c r="A3144" s="1">
        <v>4093</v>
      </c>
      <c r="B3144" s="17" t="s">
        <v>14058</v>
      </c>
      <c r="C3144" s="2" t="s">
        <v>5791</v>
      </c>
      <c r="D3144" s="15" t="s">
        <v>5792</v>
      </c>
      <c r="E3144" s="9" t="s">
        <v>5793</v>
      </c>
      <c r="F3144" s="9" t="s">
        <v>47</v>
      </c>
      <c r="G3144" s="9" t="s">
        <v>217</v>
      </c>
      <c r="H3144" s="2" t="s">
        <v>35</v>
      </c>
      <c r="I3144" s="3">
        <v>37026</v>
      </c>
      <c r="J3144" s="9" t="str">
        <f t="shared" ca="1" si="52"/>
        <v>22 ans</v>
      </c>
      <c r="K3144" s="2" t="s">
        <v>156</v>
      </c>
      <c r="L3144" s="2" t="str">
        <f>"1062"</f>
        <v>1062</v>
      </c>
      <c r="M3144" s="2"/>
      <c r="N3144" s="2" t="str">
        <f>"RUE DU MERLOT"</f>
        <v>RUE DU MERLOT</v>
      </c>
      <c r="O3144" s="2" t="s">
        <v>14037</v>
      </c>
      <c r="P3144" s="9" t="str">
        <f>VLOOKUP($O3144,'Liste des Villes'!$B$2:$B$1128,1,FALSE)</f>
        <v>Pointe-Calumet</v>
      </c>
      <c r="Q3144" s="9" t="str">
        <f>IFERROR($P3144,PROPER(VLOOKUP($O3144,'Villes en erreur'!$A$2:$B$72,2,FALSE)))</f>
        <v>Pointe-Calumet</v>
      </c>
      <c r="R3144" s="9" t="s">
        <v>14038</v>
      </c>
      <c r="S3144" s="9" t="str">
        <f>IF(ISBLANK($R3144),"",VLOOKUP($R3144,'Liste des Villes'!$B$2:$H$1128,4,FALSE))</f>
        <v>Laurentides</v>
      </c>
      <c r="T3144" s="2" t="s">
        <v>863</v>
      </c>
      <c r="U3144" s="2" t="s">
        <v>39</v>
      </c>
      <c r="V3144" s="2" t="s">
        <v>40</v>
      </c>
      <c r="W3144" s="2" t="s">
        <v>14059</v>
      </c>
      <c r="X3144" s="2"/>
      <c r="Y3144" s="2"/>
      <c r="Z3144" s="2"/>
      <c r="AA3144" s="2" t="s">
        <v>375</v>
      </c>
      <c r="AB3144" s="2" t="s">
        <v>376</v>
      </c>
      <c r="AC3144" s="4" t="s">
        <v>44</v>
      </c>
    </row>
    <row r="3145" spans="1:29" x14ac:dyDescent="0.25">
      <c r="A3145" s="1">
        <v>373</v>
      </c>
      <c r="B3145" s="17" t="s">
        <v>14060</v>
      </c>
      <c r="C3145" s="2" t="s">
        <v>5238</v>
      </c>
      <c r="D3145" s="15" t="s">
        <v>518</v>
      </c>
      <c r="E3145" s="9" t="s">
        <v>1190</v>
      </c>
      <c r="F3145" s="9" t="s">
        <v>520</v>
      </c>
      <c r="G3145" s="9" t="s">
        <v>217</v>
      </c>
      <c r="H3145" s="2" t="s">
        <v>35</v>
      </c>
      <c r="I3145" s="3">
        <v>37026</v>
      </c>
      <c r="J3145" s="9" t="str">
        <f t="shared" ca="1" si="52"/>
        <v>22 ans</v>
      </c>
      <c r="K3145" s="2" t="s">
        <v>156</v>
      </c>
      <c r="L3145" s="2" t="str">
        <f>"1061"</f>
        <v>1061</v>
      </c>
      <c r="M3145" s="2"/>
      <c r="N3145" s="2" t="str">
        <f>"RUE DU MASSIF"</f>
        <v>RUE DU MASSIF</v>
      </c>
      <c r="O3145" s="2" t="s">
        <v>14037</v>
      </c>
      <c r="P3145" s="9" t="str">
        <f>VLOOKUP($O3145,'Liste des Villes'!$B$2:$B$1128,1,FALSE)</f>
        <v>Pointe-Calumet</v>
      </c>
      <c r="Q3145" s="9" t="str">
        <f>IFERROR($P3145,PROPER(VLOOKUP($O3145,'Villes en erreur'!$A$2:$B$72,2,FALSE)))</f>
        <v>Pointe-Calumet</v>
      </c>
      <c r="R3145" s="9" t="s">
        <v>14038</v>
      </c>
      <c r="S3145" s="9" t="str">
        <f>IF(ISBLANK($R3145),"",VLOOKUP($R3145,'Liste des Villes'!$B$2:$H$1128,4,FALSE))</f>
        <v>Laurentides</v>
      </c>
      <c r="T3145" s="2" t="s">
        <v>863</v>
      </c>
      <c r="U3145" s="2" t="s">
        <v>39</v>
      </c>
      <c r="V3145" s="2" t="s">
        <v>40</v>
      </c>
      <c r="W3145" s="2" t="s">
        <v>14061</v>
      </c>
      <c r="X3145" s="2"/>
      <c r="Y3145" s="2"/>
      <c r="Z3145" s="2"/>
      <c r="AA3145" s="2" t="s">
        <v>375</v>
      </c>
      <c r="AB3145" s="2" t="s">
        <v>376</v>
      </c>
      <c r="AC3145" s="4" t="s">
        <v>44</v>
      </c>
    </row>
    <row r="3146" spans="1:29" x14ac:dyDescent="0.25">
      <c r="A3146" s="1">
        <v>1574</v>
      </c>
      <c r="B3146" s="17" t="s">
        <v>14062</v>
      </c>
      <c r="C3146" s="2" t="s">
        <v>5716</v>
      </c>
      <c r="D3146" s="15" t="s">
        <v>5717</v>
      </c>
      <c r="E3146" s="9" t="s">
        <v>1162</v>
      </c>
      <c r="F3146" s="9" t="s">
        <v>14063</v>
      </c>
      <c r="G3146" s="9" t="s">
        <v>2062</v>
      </c>
      <c r="H3146" s="2" t="s">
        <v>60</v>
      </c>
      <c r="I3146" s="3">
        <v>37022</v>
      </c>
      <c r="J3146" s="9" t="str">
        <f t="shared" ca="1" si="52"/>
        <v>22 ans</v>
      </c>
      <c r="K3146" s="2" t="s">
        <v>156</v>
      </c>
      <c r="L3146" s="2" t="str">
        <f>"1055"</f>
        <v>1055</v>
      </c>
      <c r="M3146" s="2"/>
      <c r="N3146" s="2" t="str">
        <f>"RUE DU MAQUIGNON"</f>
        <v>RUE DU MAQUIGNON</v>
      </c>
      <c r="O3146" s="2" t="s">
        <v>14037</v>
      </c>
      <c r="P3146" s="9" t="str">
        <f>VLOOKUP($O3146,'Liste des Villes'!$B$2:$B$1128,1,FALSE)</f>
        <v>Pointe-Calumet</v>
      </c>
      <c r="Q3146" s="9" t="str">
        <f>IFERROR($P3146,PROPER(VLOOKUP($O3146,'Villes en erreur'!$A$2:$B$72,2,FALSE)))</f>
        <v>Pointe-Calumet</v>
      </c>
      <c r="R3146" s="9" t="s">
        <v>14038</v>
      </c>
      <c r="S3146" s="9" t="str">
        <f>IF(ISBLANK($R3146),"",VLOOKUP($R3146,'Liste des Villes'!$B$2:$H$1128,4,FALSE))</f>
        <v>Laurentides</v>
      </c>
      <c r="T3146" s="2" t="s">
        <v>14064</v>
      </c>
      <c r="U3146" s="2" t="s">
        <v>39</v>
      </c>
      <c r="V3146" s="2" t="s">
        <v>40</v>
      </c>
      <c r="W3146" s="2" t="s">
        <v>14065</v>
      </c>
      <c r="X3146" s="2"/>
      <c r="Y3146" s="2"/>
      <c r="Z3146" s="2"/>
      <c r="AA3146" s="2" t="s">
        <v>375</v>
      </c>
      <c r="AB3146" s="2" t="s">
        <v>376</v>
      </c>
      <c r="AC3146" s="4" t="s">
        <v>44</v>
      </c>
    </row>
    <row r="3147" spans="1:29" x14ac:dyDescent="0.25">
      <c r="A3147" s="1">
        <v>174</v>
      </c>
      <c r="B3147" s="17" t="s">
        <v>14066</v>
      </c>
      <c r="C3147" s="2" t="s">
        <v>14067</v>
      </c>
      <c r="D3147" s="15" t="s">
        <v>144</v>
      </c>
      <c r="E3147" s="9" t="s">
        <v>3127</v>
      </c>
      <c r="F3147" s="9" t="s">
        <v>12191</v>
      </c>
      <c r="G3147" s="9" t="s">
        <v>2062</v>
      </c>
      <c r="H3147" s="2" t="s">
        <v>60</v>
      </c>
      <c r="I3147" s="3">
        <v>37022</v>
      </c>
      <c r="J3147" s="9" t="str">
        <f t="shared" ca="1" si="52"/>
        <v>22 ans</v>
      </c>
      <c r="K3147" s="2" t="s">
        <v>156</v>
      </c>
      <c r="L3147" s="2" t="str">
        <f>"1055"</f>
        <v>1055</v>
      </c>
      <c r="M3147" s="2"/>
      <c r="N3147" s="2" t="str">
        <f>"RUE DU MARAIS"</f>
        <v>RUE DU MARAIS</v>
      </c>
      <c r="O3147" s="2" t="s">
        <v>14037</v>
      </c>
      <c r="P3147" s="9" t="str">
        <f>VLOOKUP($O3147,'Liste des Villes'!$B$2:$B$1128,1,FALSE)</f>
        <v>Pointe-Calumet</v>
      </c>
      <c r="Q3147" s="9" t="str">
        <f>IFERROR($P3147,PROPER(VLOOKUP($O3147,'Villes en erreur'!$A$2:$B$72,2,FALSE)))</f>
        <v>Pointe-Calumet</v>
      </c>
      <c r="R3147" s="9" t="s">
        <v>14038</v>
      </c>
      <c r="S3147" s="9" t="str">
        <f>IF(ISBLANK($R3147),"",VLOOKUP($R3147,'Liste des Villes'!$B$2:$H$1128,4,FALSE))</f>
        <v>Laurentides</v>
      </c>
      <c r="T3147" s="2" t="s">
        <v>14068</v>
      </c>
      <c r="U3147" s="2" t="s">
        <v>39</v>
      </c>
      <c r="V3147" s="2" t="s">
        <v>40</v>
      </c>
      <c r="W3147" s="2" t="s">
        <v>14069</v>
      </c>
      <c r="X3147" s="2"/>
      <c r="Y3147" s="2"/>
      <c r="Z3147" s="2"/>
      <c r="AA3147" s="2" t="s">
        <v>375</v>
      </c>
      <c r="AB3147" s="2" t="s">
        <v>376</v>
      </c>
      <c r="AC3147" s="4" t="s">
        <v>44</v>
      </c>
    </row>
    <row r="3148" spans="1:29" x14ac:dyDescent="0.25">
      <c r="A3148" s="1">
        <v>4174</v>
      </c>
      <c r="B3148" s="17" t="s">
        <v>14070</v>
      </c>
      <c r="C3148" s="2" t="s">
        <v>14071</v>
      </c>
      <c r="D3148" s="15" t="s">
        <v>8046</v>
      </c>
      <c r="E3148" s="9" t="s">
        <v>3589</v>
      </c>
      <c r="F3148" s="9" t="s">
        <v>5864</v>
      </c>
      <c r="G3148" s="9" t="s">
        <v>590</v>
      </c>
      <c r="H3148" s="2" t="s">
        <v>60</v>
      </c>
      <c r="I3148" s="3">
        <v>37025</v>
      </c>
      <c r="J3148" s="9" t="str">
        <f t="shared" ca="1" si="52"/>
        <v>22 ans</v>
      </c>
      <c r="K3148" s="2" t="s">
        <v>156</v>
      </c>
      <c r="L3148" s="2" t="str">
        <f>"1060"</f>
        <v>1060</v>
      </c>
      <c r="M3148" s="2"/>
      <c r="N3148" s="2" t="str">
        <f>"RUE DU MARÉCHAL-FERRANT"</f>
        <v>RUE DU MARÉCHAL-FERRANT</v>
      </c>
      <c r="O3148" s="2" t="s">
        <v>14037</v>
      </c>
      <c r="P3148" s="9" t="str">
        <f>VLOOKUP($O3148,'Liste des Villes'!$B$2:$B$1128,1,FALSE)</f>
        <v>Pointe-Calumet</v>
      </c>
      <c r="Q3148" s="9" t="str">
        <f>IFERROR($P3148,PROPER(VLOOKUP($O3148,'Villes en erreur'!$A$2:$B$72,2,FALSE)))</f>
        <v>Pointe-Calumet</v>
      </c>
      <c r="R3148" s="9" t="s">
        <v>14038</v>
      </c>
      <c r="S3148" s="9" t="str">
        <f>IF(ISBLANK($R3148),"",VLOOKUP($R3148,'Liste des Villes'!$B$2:$H$1128,4,FALSE))</f>
        <v>Laurentides</v>
      </c>
      <c r="T3148" s="2" t="s">
        <v>14072</v>
      </c>
      <c r="U3148" s="2" t="s">
        <v>39</v>
      </c>
      <c r="V3148" s="2" t="s">
        <v>40</v>
      </c>
      <c r="W3148" s="2" t="s">
        <v>14073</v>
      </c>
      <c r="X3148" s="2"/>
      <c r="Y3148" s="2"/>
      <c r="Z3148" s="2"/>
      <c r="AA3148" s="2" t="s">
        <v>375</v>
      </c>
      <c r="AB3148" s="2" t="s">
        <v>376</v>
      </c>
      <c r="AC3148" s="4" t="s">
        <v>44</v>
      </c>
    </row>
    <row r="3149" spans="1:29" x14ac:dyDescent="0.25">
      <c r="A3149" s="1">
        <v>3578</v>
      </c>
      <c r="B3149" s="17" t="s">
        <v>14074</v>
      </c>
      <c r="C3149" s="2" t="s">
        <v>14075</v>
      </c>
      <c r="D3149" s="15" t="s">
        <v>4610</v>
      </c>
      <c r="E3149" s="9" t="s">
        <v>12501</v>
      </c>
      <c r="F3149" s="9" t="s">
        <v>4608</v>
      </c>
      <c r="G3149" s="9" t="s">
        <v>590</v>
      </c>
      <c r="H3149" s="2" t="s">
        <v>60</v>
      </c>
      <c r="I3149" s="3">
        <v>37025</v>
      </c>
      <c r="J3149" s="9" t="str">
        <f t="shared" ca="1" si="52"/>
        <v>22 ans</v>
      </c>
      <c r="K3149" s="2" t="s">
        <v>156</v>
      </c>
      <c r="L3149" s="2" t="str">
        <f>"1060"</f>
        <v>1060</v>
      </c>
      <c r="M3149" s="2"/>
      <c r="N3149" s="2" t="str">
        <f>"RUE DU MAS"</f>
        <v>RUE DU MAS</v>
      </c>
      <c r="O3149" s="2" t="s">
        <v>14037</v>
      </c>
      <c r="P3149" s="9" t="str">
        <f>VLOOKUP($O3149,'Liste des Villes'!$B$2:$B$1128,1,FALSE)</f>
        <v>Pointe-Calumet</v>
      </c>
      <c r="Q3149" s="9" t="str">
        <f>IFERROR($P3149,PROPER(VLOOKUP($O3149,'Villes en erreur'!$A$2:$B$72,2,FALSE)))</f>
        <v>Pointe-Calumet</v>
      </c>
      <c r="R3149" s="9" t="s">
        <v>14038</v>
      </c>
      <c r="S3149" s="9" t="str">
        <f>IF(ISBLANK($R3149),"",VLOOKUP($R3149,'Liste des Villes'!$B$2:$H$1128,4,FALSE))</f>
        <v>Laurentides</v>
      </c>
      <c r="T3149" s="2" t="s">
        <v>863</v>
      </c>
      <c r="U3149" s="2" t="s">
        <v>39</v>
      </c>
      <c r="V3149" s="2" t="s">
        <v>40</v>
      </c>
      <c r="W3149" s="2" t="s">
        <v>14076</v>
      </c>
      <c r="X3149" s="2"/>
      <c r="Y3149" s="2"/>
      <c r="Z3149" s="2"/>
      <c r="AA3149" s="2" t="s">
        <v>375</v>
      </c>
      <c r="AB3149" s="2" t="s">
        <v>376</v>
      </c>
      <c r="AC3149" s="4" t="s">
        <v>44</v>
      </c>
    </row>
    <row r="3150" spans="1:29" x14ac:dyDescent="0.25">
      <c r="A3150" s="1">
        <v>449</v>
      </c>
      <c r="B3150" s="17" t="s">
        <v>14077</v>
      </c>
      <c r="C3150" s="2" t="s">
        <v>14078</v>
      </c>
      <c r="D3150" s="15" t="s">
        <v>2115</v>
      </c>
      <c r="E3150" s="9" t="s">
        <v>5705</v>
      </c>
      <c r="F3150" s="9" t="s">
        <v>3896</v>
      </c>
      <c r="G3150" s="9" t="s">
        <v>2062</v>
      </c>
      <c r="H3150" s="2" t="s">
        <v>60</v>
      </c>
      <c r="I3150" s="3">
        <v>37021</v>
      </c>
      <c r="J3150" s="9" t="str">
        <f t="shared" ca="1" si="52"/>
        <v>22 ans</v>
      </c>
      <c r="K3150" s="2" t="s">
        <v>156</v>
      </c>
      <c r="L3150" s="2" t="str">
        <f>"1054"</f>
        <v>1054</v>
      </c>
      <c r="M3150" s="2"/>
      <c r="N3150" s="2" t="str">
        <f>"RUE DU MAQUIGNON"</f>
        <v>RUE DU MAQUIGNON</v>
      </c>
      <c r="O3150" s="2" t="s">
        <v>14037</v>
      </c>
      <c r="P3150" s="9" t="str">
        <f>VLOOKUP($O3150,'Liste des Villes'!$B$2:$B$1128,1,FALSE)</f>
        <v>Pointe-Calumet</v>
      </c>
      <c r="Q3150" s="9" t="str">
        <f>IFERROR($P3150,PROPER(VLOOKUP($O3150,'Villes en erreur'!$A$2:$B$72,2,FALSE)))</f>
        <v>Pointe-Calumet</v>
      </c>
      <c r="R3150" s="9" t="s">
        <v>14038</v>
      </c>
      <c r="S3150" s="9" t="str">
        <f>IF(ISBLANK($R3150),"",VLOOKUP($R3150,'Liste des Villes'!$B$2:$H$1128,4,FALSE))</f>
        <v>Laurentides</v>
      </c>
      <c r="T3150" s="2" t="s">
        <v>14046</v>
      </c>
      <c r="U3150" s="2" t="s">
        <v>39</v>
      </c>
      <c r="V3150" s="2" t="s">
        <v>40</v>
      </c>
      <c r="W3150" s="2" t="s">
        <v>14079</v>
      </c>
      <c r="X3150" s="2"/>
      <c r="Y3150" s="2"/>
      <c r="Z3150" s="2"/>
      <c r="AA3150" s="2" t="s">
        <v>375</v>
      </c>
      <c r="AB3150" s="2" t="s">
        <v>376</v>
      </c>
      <c r="AC3150" s="4" t="s">
        <v>44</v>
      </c>
    </row>
    <row r="3151" spans="1:29" x14ac:dyDescent="0.25">
      <c r="A3151" s="1">
        <v>3134</v>
      </c>
      <c r="B3151" s="17" t="s">
        <v>14080</v>
      </c>
      <c r="C3151" s="2" t="s">
        <v>3601</v>
      </c>
      <c r="D3151" s="15" t="s">
        <v>1167</v>
      </c>
      <c r="E3151" s="9" t="s">
        <v>3397</v>
      </c>
      <c r="F3151" s="9" t="s">
        <v>3602</v>
      </c>
      <c r="G3151" s="9" t="s">
        <v>2062</v>
      </c>
      <c r="H3151" s="2" t="s">
        <v>60</v>
      </c>
      <c r="I3151" s="3">
        <v>37025</v>
      </c>
      <c r="J3151" s="9" t="str">
        <f t="shared" ca="1" si="52"/>
        <v>22 ans</v>
      </c>
      <c r="K3151" s="2" t="s">
        <v>156</v>
      </c>
      <c r="L3151" s="2" t="str">
        <f>"1059"</f>
        <v>1059</v>
      </c>
      <c r="M3151" s="2"/>
      <c r="N3151" s="2" t="str">
        <f>"RUE DU MARÉCHAL-FERRANT"</f>
        <v>RUE DU MARÉCHAL-FERRANT</v>
      </c>
      <c r="O3151" s="2" t="s">
        <v>14037</v>
      </c>
      <c r="P3151" s="9" t="str">
        <f>VLOOKUP($O3151,'Liste des Villes'!$B$2:$B$1128,1,FALSE)</f>
        <v>Pointe-Calumet</v>
      </c>
      <c r="Q3151" s="9" t="str">
        <f>IFERROR($P3151,PROPER(VLOOKUP($O3151,'Villes en erreur'!$A$2:$B$72,2,FALSE)))</f>
        <v>Pointe-Calumet</v>
      </c>
      <c r="R3151" s="9" t="s">
        <v>14038</v>
      </c>
      <c r="S3151" s="9" t="str">
        <f>IF(ISBLANK($R3151),"",VLOOKUP($R3151,'Liste des Villes'!$B$2:$H$1128,4,FALSE))</f>
        <v>Laurentides</v>
      </c>
      <c r="T3151" s="2" t="s">
        <v>14072</v>
      </c>
      <c r="U3151" s="2" t="s">
        <v>39</v>
      </c>
      <c r="V3151" s="2" t="s">
        <v>40</v>
      </c>
      <c r="W3151" s="2" t="s">
        <v>14081</v>
      </c>
      <c r="X3151" s="2"/>
      <c r="Y3151" s="2"/>
      <c r="Z3151" s="2"/>
      <c r="AA3151" s="2" t="s">
        <v>375</v>
      </c>
      <c r="AB3151" s="2" t="s">
        <v>376</v>
      </c>
      <c r="AC3151" s="4" t="s">
        <v>44</v>
      </c>
    </row>
    <row r="3152" spans="1:29" x14ac:dyDescent="0.25">
      <c r="A3152" s="1">
        <v>2853</v>
      </c>
      <c r="B3152" s="17" t="s">
        <v>14082</v>
      </c>
      <c r="C3152" s="2" t="s">
        <v>14083</v>
      </c>
      <c r="D3152" s="15" t="s">
        <v>6819</v>
      </c>
      <c r="E3152" s="9" t="s">
        <v>495</v>
      </c>
      <c r="F3152" s="9" t="s">
        <v>531</v>
      </c>
      <c r="G3152" s="9" t="s">
        <v>13661</v>
      </c>
      <c r="H3152" s="2" t="s">
        <v>60</v>
      </c>
      <c r="I3152" s="3">
        <v>37026</v>
      </c>
      <c r="J3152" s="9" t="str">
        <f t="shared" ca="1" si="52"/>
        <v>22 ans</v>
      </c>
      <c r="K3152" s="2" t="s">
        <v>156</v>
      </c>
      <c r="L3152" s="2" t="str">
        <f>"1064"</f>
        <v>1064</v>
      </c>
      <c r="M3152" s="2"/>
      <c r="N3152" s="2" t="str">
        <f>"RUE DU MISTRAL"</f>
        <v>RUE DU MISTRAL</v>
      </c>
      <c r="O3152" s="2" t="s">
        <v>14084</v>
      </c>
      <c r="P3152" s="9" t="str">
        <f>VLOOKUP($O3152,'Liste des Villes'!$B$2:$B$1128,1,FALSE)</f>
        <v>Plaisance</v>
      </c>
      <c r="Q3152" s="9" t="str">
        <f>IFERROR($P3152,PROPER(VLOOKUP($O3152,'Villes en erreur'!$A$2:$B$72,2,FALSE)))</f>
        <v>Plaisance</v>
      </c>
      <c r="R3152" s="9" t="s">
        <v>14085</v>
      </c>
      <c r="S3152" s="9" t="str">
        <f>IF(ISBLANK($R3152),"",VLOOKUP($R3152,'Liste des Villes'!$B$2:$H$1128,4,FALSE))</f>
        <v>Outaouais</v>
      </c>
      <c r="T3152" s="2" t="s">
        <v>14086</v>
      </c>
      <c r="U3152" s="2" t="s">
        <v>39</v>
      </c>
      <c r="V3152" s="2" t="s">
        <v>40</v>
      </c>
      <c r="W3152" s="2" t="s">
        <v>864</v>
      </c>
      <c r="X3152" s="2"/>
      <c r="Y3152" s="2"/>
      <c r="Z3152" s="2"/>
      <c r="AA3152" s="2" t="s">
        <v>375</v>
      </c>
      <c r="AB3152" s="2" t="s">
        <v>376</v>
      </c>
      <c r="AC3152" s="4" t="s">
        <v>44</v>
      </c>
    </row>
    <row r="3153" spans="1:29" x14ac:dyDescent="0.25">
      <c r="A3153" s="1">
        <v>1464</v>
      </c>
      <c r="B3153" s="17" t="s">
        <v>14087</v>
      </c>
      <c r="C3153" s="2" t="s">
        <v>14088</v>
      </c>
      <c r="D3153" s="15" t="s">
        <v>6508</v>
      </c>
      <c r="E3153" s="9" t="s">
        <v>370</v>
      </c>
      <c r="F3153" s="9" t="s">
        <v>6507</v>
      </c>
      <c r="G3153" s="9" t="s">
        <v>1423</v>
      </c>
      <c r="H3153" s="2" t="s">
        <v>60</v>
      </c>
      <c r="I3153" s="3">
        <v>37029</v>
      </c>
      <c r="J3153" s="9" t="str">
        <f t="shared" ca="1" si="52"/>
        <v>22 ans</v>
      </c>
      <c r="K3153" s="2" t="s">
        <v>156</v>
      </c>
      <c r="L3153" s="2" t="str">
        <f>"1078"</f>
        <v>1078</v>
      </c>
      <c r="M3153" s="2"/>
      <c r="N3153" s="2" t="str">
        <f>"RUE DU NOROÎT"</f>
        <v>RUE DU NOROÎT</v>
      </c>
      <c r="O3153" s="2" t="s">
        <v>14089</v>
      </c>
      <c r="P3153" s="9" t="str">
        <f>VLOOKUP($O3153,'Liste des Villes'!$B$2:$B$1128,1,FALSE)</f>
        <v>Piedmont</v>
      </c>
      <c r="Q3153" s="9" t="str">
        <f>IFERROR($P3153,PROPER(VLOOKUP($O3153,'Villes en erreur'!$A$2:$B$72,2,FALSE)))</f>
        <v>Piedmont</v>
      </c>
      <c r="R3153" s="9" t="s">
        <v>14090</v>
      </c>
      <c r="S3153" s="9" t="str">
        <f>IF(ISBLANK($R3153),"",VLOOKUP($R3153,'Liste des Villes'!$B$2:$H$1128,4,FALSE))</f>
        <v>Laurentides</v>
      </c>
      <c r="T3153" s="2" t="s">
        <v>14091</v>
      </c>
      <c r="U3153" s="2" t="s">
        <v>39</v>
      </c>
      <c r="V3153" s="2" t="s">
        <v>40</v>
      </c>
      <c r="W3153" s="2" t="s">
        <v>14092</v>
      </c>
      <c r="X3153" s="2"/>
      <c r="Y3153" s="2"/>
      <c r="Z3153" s="2"/>
      <c r="AA3153" s="2" t="s">
        <v>375</v>
      </c>
      <c r="AB3153" s="2" t="s">
        <v>376</v>
      </c>
      <c r="AC3153" s="4" t="s">
        <v>44</v>
      </c>
    </row>
    <row r="3154" spans="1:29" x14ac:dyDescent="0.25">
      <c r="A3154" s="1">
        <v>4197</v>
      </c>
      <c r="B3154" s="17" t="s">
        <v>14093</v>
      </c>
      <c r="C3154" s="2" t="s">
        <v>14094</v>
      </c>
      <c r="D3154" s="15" t="s">
        <v>3923</v>
      </c>
      <c r="E3154" s="9" t="s">
        <v>11547</v>
      </c>
      <c r="F3154" s="9" t="s">
        <v>1800</v>
      </c>
      <c r="G3154" s="9" t="s">
        <v>5301</v>
      </c>
      <c r="H3154" s="2" t="s">
        <v>60</v>
      </c>
      <c r="I3154" s="3">
        <v>37028</v>
      </c>
      <c r="J3154" s="9" t="str">
        <f t="shared" ca="1" si="52"/>
        <v>22 ans</v>
      </c>
      <c r="K3154" s="2" t="s">
        <v>156</v>
      </c>
      <c r="L3154" s="2" t="str">
        <f>"1076"</f>
        <v>1076</v>
      </c>
      <c r="M3154" s="2"/>
      <c r="N3154" s="2" t="str">
        <f>"RUE DU NICHOIR"</f>
        <v>RUE DU NICHOIR</v>
      </c>
      <c r="O3154" s="2" t="s">
        <v>14089</v>
      </c>
      <c r="P3154" s="9" t="str">
        <f>VLOOKUP($O3154,'Liste des Villes'!$B$2:$B$1128,1,FALSE)</f>
        <v>Piedmont</v>
      </c>
      <c r="Q3154" s="9" t="str">
        <f>IFERROR($P3154,PROPER(VLOOKUP($O3154,'Villes en erreur'!$A$2:$B$72,2,FALSE)))</f>
        <v>Piedmont</v>
      </c>
      <c r="R3154" s="9" t="s">
        <v>14090</v>
      </c>
      <c r="S3154" s="9" t="str">
        <f>IF(ISBLANK($R3154),"",VLOOKUP($R3154,'Liste des Villes'!$B$2:$H$1128,4,FALSE))</f>
        <v>Laurentides</v>
      </c>
      <c r="T3154" s="2" t="s">
        <v>14095</v>
      </c>
      <c r="U3154" s="2" t="s">
        <v>39</v>
      </c>
      <c r="V3154" s="2" t="s">
        <v>40</v>
      </c>
      <c r="W3154" s="2" t="s">
        <v>14096</v>
      </c>
      <c r="X3154" s="2"/>
      <c r="Y3154" s="2"/>
      <c r="Z3154" s="2"/>
      <c r="AA3154" s="2" t="s">
        <v>375</v>
      </c>
      <c r="AB3154" s="2" t="s">
        <v>376</v>
      </c>
      <c r="AC3154" s="4" t="s">
        <v>44</v>
      </c>
    </row>
    <row r="3155" spans="1:29" x14ac:dyDescent="0.25">
      <c r="A3155" s="1">
        <v>115</v>
      </c>
      <c r="B3155" s="17" t="s">
        <v>14097</v>
      </c>
      <c r="C3155" s="2" t="s">
        <v>6893</v>
      </c>
      <c r="D3155" s="15" t="s">
        <v>1169</v>
      </c>
      <c r="E3155" s="9" t="s">
        <v>325</v>
      </c>
      <c r="F3155" s="9" t="s">
        <v>325</v>
      </c>
      <c r="G3155" s="9" t="s">
        <v>1423</v>
      </c>
      <c r="H3155" s="2" t="s">
        <v>60</v>
      </c>
      <c r="I3155" s="3">
        <v>37033</v>
      </c>
      <c r="J3155" s="9" t="str">
        <f t="shared" ca="1" si="52"/>
        <v>22 ans</v>
      </c>
      <c r="K3155" s="2" t="s">
        <v>156</v>
      </c>
      <c r="L3155" s="2" t="str">
        <f>"1081"</f>
        <v>1081</v>
      </c>
      <c r="M3155" s="2"/>
      <c r="N3155" s="2" t="str">
        <f>"RUE DU PALAIS"</f>
        <v>RUE DU PALAIS</v>
      </c>
      <c r="O3155" s="2" t="s">
        <v>14089</v>
      </c>
      <c r="P3155" s="9" t="str">
        <f>VLOOKUP($O3155,'Liste des Villes'!$B$2:$B$1128,1,FALSE)</f>
        <v>Piedmont</v>
      </c>
      <c r="Q3155" s="9" t="str">
        <f>IFERROR($P3155,PROPER(VLOOKUP($O3155,'Villes en erreur'!$A$2:$B$72,2,FALSE)))</f>
        <v>Piedmont</v>
      </c>
      <c r="R3155" s="9" t="s">
        <v>14090</v>
      </c>
      <c r="S3155" s="9" t="str">
        <f>IF(ISBLANK($R3155),"",VLOOKUP($R3155,'Liste des Villes'!$B$2:$H$1128,4,FALSE))</f>
        <v>Laurentides</v>
      </c>
      <c r="T3155" s="2" t="s">
        <v>14098</v>
      </c>
      <c r="U3155" s="2" t="s">
        <v>39</v>
      </c>
      <c r="V3155" s="2" t="s">
        <v>40</v>
      </c>
      <c r="W3155" s="2" t="s">
        <v>14099</v>
      </c>
      <c r="X3155" s="2"/>
      <c r="Y3155" s="2"/>
      <c r="Z3155" s="2"/>
      <c r="AA3155" s="2" t="s">
        <v>375</v>
      </c>
      <c r="AB3155" s="2" t="s">
        <v>376</v>
      </c>
      <c r="AC3155" s="4" t="s">
        <v>44</v>
      </c>
    </row>
    <row r="3156" spans="1:29" x14ac:dyDescent="0.25">
      <c r="A3156" s="1">
        <v>3975</v>
      </c>
      <c r="B3156" s="17" t="s">
        <v>14100</v>
      </c>
      <c r="C3156" s="2" t="s">
        <v>14101</v>
      </c>
      <c r="D3156" s="15" t="s">
        <v>3264</v>
      </c>
      <c r="E3156" s="9" t="s">
        <v>7343</v>
      </c>
      <c r="F3156" s="9" t="s">
        <v>3262</v>
      </c>
      <c r="G3156" s="9" t="s">
        <v>14102</v>
      </c>
      <c r="H3156" s="2" t="s">
        <v>60</v>
      </c>
      <c r="I3156" s="3">
        <v>37029</v>
      </c>
      <c r="J3156" s="9" t="str">
        <f t="shared" ca="1" si="52"/>
        <v>22 ans</v>
      </c>
      <c r="K3156" s="2" t="s">
        <v>156</v>
      </c>
      <c r="L3156" s="2" t="str">
        <f>"1078"</f>
        <v>1078</v>
      </c>
      <c r="M3156" s="2"/>
      <c r="N3156" s="2" t="str">
        <f>"RUE DU NOROÎT"</f>
        <v>RUE DU NOROÎT</v>
      </c>
      <c r="O3156" s="2" t="s">
        <v>14089</v>
      </c>
      <c r="P3156" s="9" t="str">
        <f>VLOOKUP($O3156,'Liste des Villes'!$B$2:$B$1128,1,FALSE)</f>
        <v>Piedmont</v>
      </c>
      <c r="Q3156" s="9" t="str">
        <f>IFERROR($P3156,PROPER(VLOOKUP($O3156,'Villes en erreur'!$A$2:$B$72,2,FALSE)))</f>
        <v>Piedmont</v>
      </c>
      <c r="R3156" s="9" t="s">
        <v>14090</v>
      </c>
      <c r="S3156" s="9" t="str">
        <f>IF(ISBLANK($R3156),"",VLOOKUP($R3156,'Liste des Villes'!$B$2:$H$1128,4,FALSE))</f>
        <v>Laurentides</v>
      </c>
      <c r="T3156" s="2" t="s">
        <v>14095</v>
      </c>
      <c r="U3156" s="2" t="s">
        <v>39</v>
      </c>
      <c r="V3156" s="2" t="s">
        <v>40</v>
      </c>
      <c r="W3156" s="2" t="s">
        <v>14103</v>
      </c>
      <c r="X3156" s="2"/>
      <c r="Y3156" s="2"/>
      <c r="Z3156" s="2"/>
      <c r="AA3156" s="2" t="s">
        <v>375</v>
      </c>
      <c r="AB3156" s="2" t="s">
        <v>376</v>
      </c>
      <c r="AC3156" s="4" t="s">
        <v>44</v>
      </c>
    </row>
    <row r="3157" spans="1:29" x14ac:dyDescent="0.25">
      <c r="A3157" s="1">
        <v>683</v>
      </c>
      <c r="B3157" s="17" t="s">
        <v>14104</v>
      </c>
      <c r="C3157" s="2" t="s">
        <v>14105</v>
      </c>
      <c r="D3157" s="15" t="s">
        <v>4256</v>
      </c>
      <c r="E3157" s="9" t="s">
        <v>11384</v>
      </c>
      <c r="F3157" s="9" t="s">
        <v>12332</v>
      </c>
      <c r="G3157" s="9" t="s">
        <v>14106</v>
      </c>
      <c r="H3157" s="2" t="s">
        <v>60</v>
      </c>
      <c r="I3157" s="3">
        <v>37027</v>
      </c>
      <c r="J3157" s="9" t="str">
        <f t="shared" ca="1" si="52"/>
        <v>22 ans</v>
      </c>
      <c r="K3157" s="2" t="s">
        <v>156</v>
      </c>
      <c r="L3157" s="2" t="str">
        <f>"1069"</f>
        <v>1069</v>
      </c>
      <c r="M3157" s="2"/>
      <c r="N3157" s="2" t="str">
        <f>"RUE DU MONT-DU-ROCHER"</f>
        <v>RUE DU MONT-DU-ROCHER</v>
      </c>
      <c r="O3157" s="2" t="s">
        <v>14089</v>
      </c>
      <c r="P3157" s="9" t="str">
        <f>VLOOKUP($O3157,'Liste des Villes'!$B$2:$B$1128,1,FALSE)</f>
        <v>Piedmont</v>
      </c>
      <c r="Q3157" s="9" t="str">
        <f>IFERROR($P3157,PROPER(VLOOKUP($O3157,'Villes en erreur'!$A$2:$B$72,2,FALSE)))</f>
        <v>Piedmont</v>
      </c>
      <c r="R3157" s="9" t="s">
        <v>14090</v>
      </c>
      <c r="S3157" s="9" t="str">
        <f>IF(ISBLANK($R3157),"",VLOOKUP($R3157,'Liste des Villes'!$B$2:$H$1128,4,FALSE))</f>
        <v>Laurentides</v>
      </c>
      <c r="T3157" s="2" t="s">
        <v>14107</v>
      </c>
      <c r="U3157" s="2" t="s">
        <v>39</v>
      </c>
      <c r="V3157" s="2" t="s">
        <v>40</v>
      </c>
      <c r="W3157" s="2" t="s">
        <v>14108</v>
      </c>
      <c r="X3157" s="2"/>
      <c r="Y3157" s="2"/>
      <c r="Z3157" s="2"/>
      <c r="AA3157" s="2" t="s">
        <v>375</v>
      </c>
      <c r="AB3157" s="2" t="s">
        <v>376</v>
      </c>
      <c r="AC3157" s="4" t="s">
        <v>44</v>
      </c>
    </row>
    <row r="3158" spans="1:29" x14ac:dyDescent="0.25">
      <c r="A3158" s="1">
        <v>1379</v>
      </c>
      <c r="B3158" s="17" t="s">
        <v>14109</v>
      </c>
      <c r="C3158" s="2" t="s">
        <v>14110</v>
      </c>
      <c r="D3158" s="15" t="s">
        <v>4702</v>
      </c>
      <c r="E3158" s="9" t="s">
        <v>14111</v>
      </c>
      <c r="F3158" s="9" t="s">
        <v>363</v>
      </c>
      <c r="G3158" s="9" t="s">
        <v>14106</v>
      </c>
      <c r="H3158" s="2" t="s">
        <v>60</v>
      </c>
      <c r="I3158" s="3">
        <v>37027</v>
      </c>
      <c r="J3158" s="9" t="str">
        <f t="shared" ca="1" si="52"/>
        <v>22 ans</v>
      </c>
      <c r="K3158" s="2" t="s">
        <v>156</v>
      </c>
      <c r="L3158" s="2" t="str">
        <f>"1070"</f>
        <v>1070</v>
      </c>
      <c r="M3158" s="2"/>
      <c r="N3158" s="2" t="str">
        <f>"RUE DU MONT-LAVAL"</f>
        <v>RUE DU MONT-LAVAL</v>
      </c>
      <c r="O3158" s="2" t="s">
        <v>14089</v>
      </c>
      <c r="P3158" s="9" t="str">
        <f>VLOOKUP($O3158,'Liste des Villes'!$B$2:$B$1128,1,FALSE)</f>
        <v>Piedmont</v>
      </c>
      <c r="Q3158" s="9" t="str">
        <f>IFERROR($P3158,PROPER(VLOOKUP($O3158,'Villes en erreur'!$A$2:$B$72,2,FALSE)))</f>
        <v>Piedmont</v>
      </c>
      <c r="R3158" s="9" t="s">
        <v>14090</v>
      </c>
      <c r="S3158" s="9" t="str">
        <f>IF(ISBLANK($R3158),"",VLOOKUP($R3158,'Liste des Villes'!$B$2:$H$1128,4,FALSE))</f>
        <v>Laurentides</v>
      </c>
      <c r="T3158" s="2" t="s">
        <v>14112</v>
      </c>
      <c r="U3158" s="2" t="s">
        <v>39</v>
      </c>
      <c r="V3158" s="2" t="s">
        <v>40</v>
      </c>
      <c r="W3158" s="2" t="s">
        <v>14113</v>
      </c>
      <c r="X3158" s="2"/>
      <c r="Y3158" s="2"/>
      <c r="Z3158" s="2"/>
      <c r="AA3158" s="2" t="s">
        <v>375</v>
      </c>
      <c r="AB3158" s="2" t="s">
        <v>376</v>
      </c>
      <c r="AC3158" s="4" t="s">
        <v>44</v>
      </c>
    </row>
    <row r="3159" spans="1:29" x14ac:dyDescent="0.25">
      <c r="A3159" s="1">
        <v>737</v>
      </c>
      <c r="B3159" s="17" t="s">
        <v>14114</v>
      </c>
      <c r="C3159" s="2" t="s">
        <v>1435</v>
      </c>
      <c r="D3159" s="15" t="s">
        <v>1436</v>
      </c>
      <c r="E3159" s="9" t="s">
        <v>99</v>
      </c>
      <c r="F3159" s="9" t="s">
        <v>100</v>
      </c>
      <c r="G3159" s="9" t="s">
        <v>1423</v>
      </c>
      <c r="H3159" s="2" t="s">
        <v>60</v>
      </c>
      <c r="I3159" s="3">
        <v>37030</v>
      </c>
      <c r="J3159" s="9" t="str">
        <f t="shared" ca="1" si="52"/>
        <v>22 ans</v>
      </c>
      <c r="K3159" s="2" t="s">
        <v>156</v>
      </c>
      <c r="L3159" s="2" t="str">
        <f>"1079"</f>
        <v>1079</v>
      </c>
      <c r="M3159" s="2"/>
      <c r="N3159" s="2" t="str">
        <f>"RUE DU NOROÎT"</f>
        <v>RUE DU NOROÎT</v>
      </c>
      <c r="O3159" s="2" t="s">
        <v>14089</v>
      </c>
      <c r="P3159" s="9" t="str">
        <f>VLOOKUP($O3159,'Liste des Villes'!$B$2:$B$1128,1,FALSE)</f>
        <v>Piedmont</v>
      </c>
      <c r="Q3159" s="9" t="str">
        <f>IFERROR($P3159,PROPER(VLOOKUP($O3159,'Villes en erreur'!$A$2:$B$72,2,FALSE)))</f>
        <v>Piedmont</v>
      </c>
      <c r="R3159" s="9" t="s">
        <v>14090</v>
      </c>
      <c r="S3159" s="9" t="str">
        <f>IF(ISBLANK($R3159),"",VLOOKUP($R3159,'Liste des Villes'!$B$2:$H$1128,4,FALSE))</f>
        <v>Laurentides</v>
      </c>
      <c r="T3159" s="2" t="s">
        <v>14115</v>
      </c>
      <c r="U3159" s="2" t="s">
        <v>39</v>
      </c>
      <c r="V3159" s="2" t="s">
        <v>40</v>
      </c>
      <c r="W3159" s="2" t="s">
        <v>14116</v>
      </c>
      <c r="X3159" s="2"/>
      <c r="Y3159" s="2"/>
      <c r="Z3159" s="2"/>
      <c r="AA3159" s="2" t="s">
        <v>375</v>
      </c>
      <c r="AB3159" s="2" t="s">
        <v>376</v>
      </c>
      <c r="AC3159" s="4" t="s">
        <v>44</v>
      </c>
    </row>
    <row r="3160" spans="1:29" x14ac:dyDescent="0.25">
      <c r="A3160" s="1">
        <v>682</v>
      </c>
      <c r="B3160" s="17" t="s">
        <v>14117</v>
      </c>
      <c r="C3160" s="2" t="s">
        <v>14118</v>
      </c>
      <c r="D3160" s="15" t="s">
        <v>5544</v>
      </c>
      <c r="E3160" s="9" t="s">
        <v>186</v>
      </c>
      <c r="F3160" s="9" t="s">
        <v>3402</v>
      </c>
      <c r="G3160" s="9" t="s">
        <v>7855</v>
      </c>
      <c r="H3160" s="2" t="s">
        <v>60</v>
      </c>
      <c r="I3160" s="3">
        <v>37027</v>
      </c>
      <c r="J3160" s="9" t="str">
        <f t="shared" ca="1" si="52"/>
        <v>22 ans</v>
      </c>
      <c r="K3160" s="2" t="s">
        <v>156</v>
      </c>
      <c r="L3160" s="2" t="str">
        <f>"1068"</f>
        <v>1068</v>
      </c>
      <c r="M3160" s="2"/>
      <c r="N3160" s="2" t="str">
        <f>"RUE DU MONT-BLANC"</f>
        <v>RUE DU MONT-BLANC</v>
      </c>
      <c r="O3160" s="2" t="s">
        <v>14089</v>
      </c>
      <c r="P3160" s="9" t="str">
        <f>VLOOKUP($O3160,'Liste des Villes'!$B$2:$B$1128,1,FALSE)</f>
        <v>Piedmont</v>
      </c>
      <c r="Q3160" s="9" t="str">
        <f>IFERROR($P3160,PROPER(VLOOKUP($O3160,'Villes en erreur'!$A$2:$B$72,2,FALSE)))</f>
        <v>Piedmont</v>
      </c>
      <c r="R3160" s="9" t="s">
        <v>14090</v>
      </c>
      <c r="S3160" s="9" t="str">
        <f>IF(ISBLANK($R3160),"",VLOOKUP($R3160,'Liste des Villes'!$B$2:$H$1128,4,FALSE))</f>
        <v>Laurentides</v>
      </c>
      <c r="T3160" s="2" t="s">
        <v>14119</v>
      </c>
      <c r="U3160" s="2" t="s">
        <v>39</v>
      </c>
      <c r="V3160" s="2" t="s">
        <v>40</v>
      </c>
      <c r="W3160" s="2" t="s">
        <v>14120</v>
      </c>
      <c r="X3160" s="2"/>
      <c r="Y3160" s="2"/>
      <c r="Z3160" s="2"/>
      <c r="AA3160" s="2" t="s">
        <v>375</v>
      </c>
      <c r="AB3160" s="2" t="s">
        <v>376</v>
      </c>
      <c r="AC3160" s="4" t="s">
        <v>44</v>
      </c>
    </row>
    <row r="3161" spans="1:29" x14ac:dyDescent="0.25">
      <c r="A3161" s="1">
        <v>3525</v>
      </c>
      <c r="B3161" s="17" t="s">
        <v>14121</v>
      </c>
      <c r="C3161" s="2" t="s">
        <v>11344</v>
      </c>
      <c r="D3161" s="15" t="s">
        <v>5394</v>
      </c>
      <c r="E3161" s="9" t="s">
        <v>509</v>
      </c>
      <c r="F3161" s="9" t="s">
        <v>2698</v>
      </c>
      <c r="G3161" s="9" t="s">
        <v>1423</v>
      </c>
      <c r="H3161" s="2" t="s">
        <v>60</v>
      </c>
      <c r="I3161" s="3">
        <v>37031</v>
      </c>
      <c r="J3161" s="9" t="str">
        <f t="shared" ca="1" si="52"/>
        <v>22 ans</v>
      </c>
      <c r="K3161" s="2" t="s">
        <v>156</v>
      </c>
      <c r="L3161" s="2" t="str">
        <f>"1079"</f>
        <v>1079</v>
      </c>
      <c r="M3161" s="2"/>
      <c r="N3161" s="2" t="str">
        <f>"RUE DU NOROÎT"</f>
        <v>RUE DU NOROÎT</v>
      </c>
      <c r="O3161" s="2" t="s">
        <v>14089</v>
      </c>
      <c r="P3161" s="9" t="str">
        <f>VLOOKUP($O3161,'Liste des Villes'!$B$2:$B$1128,1,FALSE)</f>
        <v>Piedmont</v>
      </c>
      <c r="Q3161" s="9" t="str">
        <f>IFERROR($P3161,PROPER(VLOOKUP($O3161,'Villes en erreur'!$A$2:$B$72,2,FALSE)))</f>
        <v>Piedmont</v>
      </c>
      <c r="R3161" s="9" t="s">
        <v>14090</v>
      </c>
      <c r="S3161" s="9" t="str">
        <f>IF(ISBLANK($R3161),"",VLOOKUP($R3161,'Liste des Villes'!$B$2:$H$1128,4,FALSE))</f>
        <v>Laurentides</v>
      </c>
      <c r="T3161" s="2" t="s">
        <v>14098</v>
      </c>
      <c r="U3161" s="2" t="s">
        <v>39</v>
      </c>
      <c r="V3161" s="2" t="s">
        <v>40</v>
      </c>
      <c r="W3161" s="2" t="s">
        <v>14122</v>
      </c>
      <c r="X3161" s="2"/>
      <c r="Y3161" s="2"/>
      <c r="Z3161" s="2"/>
      <c r="AA3161" s="2" t="s">
        <v>375</v>
      </c>
      <c r="AB3161" s="2" t="s">
        <v>376</v>
      </c>
      <c r="AC3161" s="4" t="s">
        <v>44</v>
      </c>
    </row>
    <row r="3162" spans="1:29" x14ac:dyDescent="0.25">
      <c r="A3162" s="1">
        <v>3596</v>
      </c>
      <c r="B3162" s="17" t="s">
        <v>14123</v>
      </c>
      <c r="C3162" s="2" t="s">
        <v>14124</v>
      </c>
      <c r="D3162" s="15" t="s">
        <v>14125</v>
      </c>
      <c r="E3162" s="9" t="s">
        <v>1410</v>
      </c>
      <c r="F3162" s="9" t="s">
        <v>12513</v>
      </c>
      <c r="G3162" s="9" t="s">
        <v>14126</v>
      </c>
      <c r="H3162" s="2" t="s">
        <v>60</v>
      </c>
      <c r="I3162" s="3">
        <v>37027</v>
      </c>
      <c r="J3162" s="9" t="str">
        <f t="shared" ca="1" si="52"/>
        <v>22 ans</v>
      </c>
      <c r="K3162" s="2" t="s">
        <v>156</v>
      </c>
      <c r="L3162" s="2" t="str">
        <f>"1068"</f>
        <v>1068</v>
      </c>
      <c r="M3162" s="2"/>
      <c r="N3162" s="2" t="str">
        <f>"RUE DU MONT CASTEL"</f>
        <v>RUE DU MONT CASTEL</v>
      </c>
      <c r="O3162" s="2" t="s">
        <v>14089</v>
      </c>
      <c r="P3162" s="9" t="str">
        <f>VLOOKUP($O3162,'Liste des Villes'!$B$2:$B$1128,1,FALSE)</f>
        <v>Piedmont</v>
      </c>
      <c r="Q3162" s="9" t="str">
        <f>IFERROR($P3162,PROPER(VLOOKUP($O3162,'Villes en erreur'!$A$2:$B$72,2,FALSE)))</f>
        <v>Piedmont</v>
      </c>
      <c r="R3162" s="9" t="s">
        <v>14090</v>
      </c>
      <c r="S3162" s="9" t="str">
        <f>IF(ISBLANK($R3162),"",VLOOKUP($R3162,'Liste des Villes'!$B$2:$H$1128,4,FALSE))</f>
        <v>Laurentides</v>
      </c>
      <c r="T3162" s="2" t="s">
        <v>14127</v>
      </c>
      <c r="U3162" s="2" t="s">
        <v>39</v>
      </c>
      <c r="V3162" s="2" t="s">
        <v>40</v>
      </c>
      <c r="W3162" s="2" t="s">
        <v>14128</v>
      </c>
      <c r="X3162" s="2"/>
      <c r="Y3162" s="2"/>
      <c r="Z3162" s="2"/>
      <c r="AA3162" s="2" t="s">
        <v>375</v>
      </c>
      <c r="AB3162" s="2" t="s">
        <v>376</v>
      </c>
      <c r="AC3162" s="4" t="s">
        <v>44</v>
      </c>
    </row>
    <row r="3163" spans="1:29" x14ac:dyDescent="0.25">
      <c r="A3163" s="1">
        <v>1012</v>
      </c>
      <c r="B3163" s="17" t="s">
        <v>14129</v>
      </c>
      <c r="C3163" s="2" t="s">
        <v>14130</v>
      </c>
      <c r="D3163" s="15" t="s">
        <v>8224</v>
      </c>
      <c r="E3163" s="9" t="s">
        <v>4984</v>
      </c>
      <c r="F3163" s="9" t="s">
        <v>64</v>
      </c>
      <c r="G3163" s="9" t="s">
        <v>14131</v>
      </c>
      <c r="H3163" s="2" t="s">
        <v>60</v>
      </c>
      <c r="I3163" s="3">
        <v>37028</v>
      </c>
      <c r="J3163" s="9" t="str">
        <f t="shared" ca="1" si="52"/>
        <v>22 ans</v>
      </c>
      <c r="K3163" s="2" t="s">
        <v>156</v>
      </c>
      <c r="L3163" s="2" t="str">
        <f>"1071"</f>
        <v>1071</v>
      </c>
      <c r="M3163" s="2"/>
      <c r="N3163" s="2" t="str">
        <f>"RUE DU MONT-ROYAL"</f>
        <v>RUE DU MONT-ROYAL</v>
      </c>
      <c r="O3163" s="2" t="s">
        <v>14089</v>
      </c>
      <c r="P3163" s="9" t="str">
        <f>VLOOKUP($O3163,'Liste des Villes'!$B$2:$B$1128,1,FALSE)</f>
        <v>Piedmont</v>
      </c>
      <c r="Q3163" s="9" t="str">
        <f>IFERROR($P3163,PROPER(VLOOKUP($O3163,'Villes en erreur'!$A$2:$B$72,2,FALSE)))</f>
        <v>Piedmont</v>
      </c>
      <c r="R3163" s="9" t="s">
        <v>14090</v>
      </c>
      <c r="S3163" s="9" t="str">
        <f>IF(ISBLANK($R3163),"",VLOOKUP($R3163,'Liste des Villes'!$B$2:$H$1128,4,FALSE))</f>
        <v>Laurentides</v>
      </c>
      <c r="T3163" s="2" t="s">
        <v>14132</v>
      </c>
      <c r="U3163" s="2" t="s">
        <v>39</v>
      </c>
      <c r="V3163" s="2" t="s">
        <v>40</v>
      </c>
      <c r="W3163" s="2" t="s">
        <v>14133</v>
      </c>
      <c r="X3163" s="2"/>
      <c r="Y3163" s="2"/>
      <c r="Z3163" s="2"/>
      <c r="AA3163" s="2" t="s">
        <v>375</v>
      </c>
      <c r="AB3163" s="2" t="s">
        <v>376</v>
      </c>
      <c r="AC3163" s="4" t="s">
        <v>44</v>
      </c>
    </row>
    <row r="3164" spans="1:29" x14ac:dyDescent="0.25">
      <c r="A3164" s="1">
        <v>3811</v>
      </c>
      <c r="B3164" s="17" t="s">
        <v>14134</v>
      </c>
      <c r="C3164" s="2" t="s">
        <v>14135</v>
      </c>
      <c r="D3164" s="15" t="s">
        <v>7420</v>
      </c>
      <c r="E3164" s="9" t="s">
        <v>775</v>
      </c>
      <c r="F3164" s="9" t="s">
        <v>9140</v>
      </c>
      <c r="G3164" s="9" t="s">
        <v>7855</v>
      </c>
      <c r="H3164" s="2" t="s">
        <v>60</v>
      </c>
      <c r="I3164" s="3">
        <v>37027</v>
      </c>
      <c r="J3164" s="9" t="str">
        <f t="shared" ca="1" si="52"/>
        <v>22 ans</v>
      </c>
      <c r="K3164" s="2" t="s">
        <v>156</v>
      </c>
      <c r="L3164" s="2" t="str">
        <f>"1069"</f>
        <v>1069</v>
      </c>
      <c r="M3164" s="2"/>
      <c r="N3164" s="2" t="str">
        <f>"RUE DU MONT-CÉSAIRE"</f>
        <v>RUE DU MONT-CÉSAIRE</v>
      </c>
      <c r="O3164" s="2" t="s">
        <v>14089</v>
      </c>
      <c r="P3164" s="9" t="str">
        <f>VLOOKUP($O3164,'Liste des Villes'!$B$2:$B$1128,1,FALSE)</f>
        <v>Piedmont</v>
      </c>
      <c r="Q3164" s="9" t="str">
        <f>IFERROR($P3164,PROPER(VLOOKUP($O3164,'Villes en erreur'!$A$2:$B$72,2,FALSE)))</f>
        <v>Piedmont</v>
      </c>
      <c r="R3164" s="9" t="s">
        <v>14090</v>
      </c>
      <c r="S3164" s="9" t="str">
        <f>IF(ISBLANK($R3164),"",VLOOKUP($R3164,'Liste des Villes'!$B$2:$H$1128,4,FALSE))</f>
        <v>Laurentides</v>
      </c>
      <c r="T3164" s="2" t="s">
        <v>14107</v>
      </c>
      <c r="U3164" s="2" t="s">
        <v>39</v>
      </c>
      <c r="V3164" s="2" t="s">
        <v>40</v>
      </c>
      <c r="W3164" s="2" t="s">
        <v>14136</v>
      </c>
      <c r="X3164" s="2"/>
      <c r="Y3164" s="2"/>
      <c r="Z3164" s="2"/>
      <c r="AA3164" s="2" t="s">
        <v>375</v>
      </c>
      <c r="AB3164" s="2" t="s">
        <v>376</v>
      </c>
      <c r="AC3164" s="4" t="s">
        <v>44</v>
      </c>
    </row>
    <row r="3165" spans="1:29" x14ac:dyDescent="0.25">
      <c r="A3165" s="1">
        <v>4387</v>
      </c>
      <c r="B3165" s="17" t="s">
        <v>14137</v>
      </c>
      <c r="C3165" s="2" t="s">
        <v>14138</v>
      </c>
      <c r="D3165" s="15" t="s">
        <v>14139</v>
      </c>
      <c r="E3165" s="9" t="s">
        <v>4968</v>
      </c>
      <c r="F3165" s="9" t="s">
        <v>569</v>
      </c>
      <c r="G3165" s="9" t="s">
        <v>1423</v>
      </c>
      <c r="H3165" s="2" t="s">
        <v>60</v>
      </c>
      <c r="I3165" s="3">
        <v>37032</v>
      </c>
      <c r="J3165" s="9" t="str">
        <f t="shared" ca="1" si="52"/>
        <v>22 ans</v>
      </c>
      <c r="K3165" s="2" t="s">
        <v>156</v>
      </c>
      <c r="L3165" s="2" t="str">
        <f>"1081"</f>
        <v>1081</v>
      </c>
      <c r="M3165" s="2"/>
      <c r="N3165" s="2" t="str">
        <f>"RUE DU NOROÎT"</f>
        <v>RUE DU NOROÎT</v>
      </c>
      <c r="O3165" s="2" t="s">
        <v>14089</v>
      </c>
      <c r="P3165" s="9" t="str">
        <f>VLOOKUP($O3165,'Liste des Villes'!$B$2:$B$1128,1,FALSE)</f>
        <v>Piedmont</v>
      </c>
      <c r="Q3165" s="9" t="str">
        <f>IFERROR($P3165,PROPER(VLOOKUP($O3165,'Villes en erreur'!$A$2:$B$72,2,FALSE)))</f>
        <v>Piedmont</v>
      </c>
      <c r="R3165" s="9" t="s">
        <v>14090</v>
      </c>
      <c r="S3165" s="9" t="str">
        <f>IF(ISBLANK($R3165),"",VLOOKUP($R3165,'Liste des Villes'!$B$2:$H$1128,4,FALSE))</f>
        <v>Laurentides</v>
      </c>
      <c r="T3165" s="2" t="s">
        <v>14098</v>
      </c>
      <c r="U3165" s="2" t="s">
        <v>39</v>
      </c>
      <c r="V3165" s="2" t="s">
        <v>40</v>
      </c>
      <c r="W3165" s="2" t="s">
        <v>14099</v>
      </c>
      <c r="X3165" s="2"/>
      <c r="Y3165" s="2"/>
      <c r="Z3165" s="2"/>
      <c r="AA3165" s="2" t="s">
        <v>375</v>
      </c>
      <c r="AB3165" s="2" t="s">
        <v>376</v>
      </c>
      <c r="AC3165" s="4" t="s">
        <v>44</v>
      </c>
    </row>
    <row r="3166" spans="1:29" x14ac:dyDescent="0.25">
      <c r="A3166" s="1">
        <v>584</v>
      </c>
      <c r="B3166" s="17" t="s">
        <v>14140</v>
      </c>
      <c r="C3166" s="2" t="s">
        <v>14141</v>
      </c>
      <c r="D3166" s="15" t="s">
        <v>460</v>
      </c>
      <c r="E3166" s="9" t="s">
        <v>7611</v>
      </c>
      <c r="F3166" s="9" t="s">
        <v>14142</v>
      </c>
      <c r="G3166" s="9" t="s">
        <v>2127</v>
      </c>
      <c r="H3166" s="2" t="s">
        <v>60</v>
      </c>
      <c r="I3166" s="3">
        <v>37028</v>
      </c>
      <c r="J3166" s="9" t="str">
        <f t="shared" ca="1" si="52"/>
        <v>22 ans</v>
      </c>
      <c r="K3166" s="2" t="s">
        <v>156</v>
      </c>
      <c r="L3166" s="2" t="str">
        <f>"1074"</f>
        <v>1074</v>
      </c>
      <c r="M3166" s="2"/>
      <c r="N3166" s="2" t="str">
        <f>"RUE DU N"</f>
        <v>RUE DU N</v>
      </c>
      <c r="O3166" s="2" t="s">
        <v>14089</v>
      </c>
      <c r="P3166" s="9" t="str">
        <f>VLOOKUP($O3166,'Liste des Villes'!$B$2:$B$1128,1,FALSE)</f>
        <v>Piedmont</v>
      </c>
      <c r="Q3166" s="9" t="str">
        <f>IFERROR($P3166,PROPER(VLOOKUP($O3166,'Villes en erreur'!$A$2:$B$72,2,FALSE)))</f>
        <v>Piedmont</v>
      </c>
      <c r="R3166" s="9" t="s">
        <v>14090</v>
      </c>
      <c r="S3166" s="9" t="str">
        <f>IF(ISBLANK($R3166),"",VLOOKUP($R3166,'Liste des Villes'!$B$2:$H$1128,4,FALSE))</f>
        <v>Laurentides</v>
      </c>
      <c r="T3166" s="2" t="s">
        <v>14143</v>
      </c>
      <c r="U3166" s="2" t="s">
        <v>39</v>
      </c>
      <c r="V3166" s="2" t="s">
        <v>40</v>
      </c>
      <c r="W3166" s="2" t="s">
        <v>14144</v>
      </c>
      <c r="X3166" s="2"/>
      <c r="Y3166" s="2"/>
      <c r="Z3166" s="2"/>
      <c r="AA3166" s="2" t="s">
        <v>375</v>
      </c>
      <c r="AB3166" s="2" t="s">
        <v>376</v>
      </c>
      <c r="AC3166" s="4" t="s">
        <v>44</v>
      </c>
    </row>
    <row r="3167" spans="1:29" x14ac:dyDescent="0.25">
      <c r="A3167" s="1">
        <v>3541</v>
      </c>
      <c r="B3167" s="17" t="s">
        <v>14145</v>
      </c>
      <c r="C3167" s="2" t="s">
        <v>1813</v>
      </c>
      <c r="D3167" s="15" t="s">
        <v>1814</v>
      </c>
      <c r="E3167" s="9" t="s">
        <v>549</v>
      </c>
      <c r="F3167" s="9" t="s">
        <v>7991</v>
      </c>
      <c r="G3167" s="9" t="s">
        <v>949</v>
      </c>
      <c r="H3167" s="2" t="s">
        <v>60</v>
      </c>
      <c r="I3167" s="3">
        <v>37033</v>
      </c>
      <c r="J3167" s="9" t="str">
        <f t="shared" ca="1" si="52"/>
        <v>22 ans</v>
      </c>
      <c r="K3167" s="2" t="s">
        <v>156</v>
      </c>
      <c r="L3167" s="2" t="str">
        <f>"1083"</f>
        <v>1083</v>
      </c>
      <c r="M3167" s="2"/>
      <c r="N3167" s="2" t="str">
        <f>"RUE DU PALAIS"</f>
        <v>RUE DU PALAIS</v>
      </c>
      <c r="O3167" s="2" t="s">
        <v>14089</v>
      </c>
      <c r="P3167" s="9" t="str">
        <f>VLOOKUP($O3167,'Liste des Villes'!$B$2:$B$1128,1,FALSE)</f>
        <v>Piedmont</v>
      </c>
      <c r="Q3167" s="9" t="str">
        <f>IFERROR($P3167,PROPER(VLOOKUP($O3167,'Villes en erreur'!$A$2:$B$72,2,FALSE)))</f>
        <v>Piedmont</v>
      </c>
      <c r="R3167" s="9" t="s">
        <v>14090</v>
      </c>
      <c r="S3167" s="9" t="str">
        <f>IF(ISBLANK($R3167),"",VLOOKUP($R3167,'Liste des Villes'!$B$2:$H$1128,4,FALSE))</f>
        <v>Laurentides</v>
      </c>
      <c r="T3167" s="2" t="s">
        <v>14146</v>
      </c>
      <c r="U3167" s="2" t="s">
        <v>39</v>
      </c>
      <c r="V3167" s="2" t="s">
        <v>40</v>
      </c>
      <c r="W3167" s="2" t="s">
        <v>14147</v>
      </c>
      <c r="X3167" s="2"/>
      <c r="Y3167" s="2"/>
      <c r="Z3167" s="2"/>
      <c r="AA3167" s="2" t="s">
        <v>375</v>
      </c>
      <c r="AB3167" s="2" t="s">
        <v>376</v>
      </c>
      <c r="AC3167" s="4" t="s">
        <v>44</v>
      </c>
    </row>
    <row r="3168" spans="1:29" x14ac:dyDescent="0.25">
      <c r="A3168" s="1">
        <v>2668</v>
      </c>
      <c r="B3168" s="17" t="s">
        <v>14148</v>
      </c>
      <c r="C3168" s="2" t="s">
        <v>14149</v>
      </c>
      <c r="D3168" s="15" t="s">
        <v>13261</v>
      </c>
      <c r="E3168" s="9" t="s">
        <v>6003</v>
      </c>
      <c r="F3168" s="9" t="s">
        <v>5420</v>
      </c>
      <c r="G3168" s="9" t="s">
        <v>7983</v>
      </c>
      <c r="H3168" s="2" t="s">
        <v>35</v>
      </c>
      <c r="I3168" s="3">
        <v>37026</v>
      </c>
      <c r="J3168" s="9" t="str">
        <f t="shared" ca="1" si="52"/>
        <v>22 ans</v>
      </c>
      <c r="K3168" s="2" t="s">
        <v>156</v>
      </c>
      <c r="L3168" s="2" t="str">
        <f>"1066"</f>
        <v>1066</v>
      </c>
      <c r="M3168" s="2"/>
      <c r="N3168" s="2" t="str">
        <f>"RUE DU MONARQUE"</f>
        <v>RUE DU MONARQUE</v>
      </c>
      <c r="O3168" s="2" t="s">
        <v>14089</v>
      </c>
      <c r="P3168" s="9" t="str">
        <f>VLOOKUP($O3168,'Liste des Villes'!$B$2:$B$1128,1,FALSE)</f>
        <v>Piedmont</v>
      </c>
      <c r="Q3168" s="9" t="str">
        <f>IFERROR($P3168,PROPER(VLOOKUP($O3168,'Villes en erreur'!$A$2:$B$72,2,FALSE)))</f>
        <v>Piedmont</v>
      </c>
      <c r="R3168" s="9" t="s">
        <v>14090</v>
      </c>
      <c r="S3168" s="9" t="str">
        <f>IF(ISBLANK($R3168),"",VLOOKUP($R3168,'Liste des Villes'!$B$2:$H$1128,4,FALSE))</f>
        <v>Laurentides</v>
      </c>
      <c r="T3168" s="2" t="s">
        <v>14127</v>
      </c>
      <c r="U3168" s="2" t="s">
        <v>39</v>
      </c>
      <c r="V3168" s="2" t="s">
        <v>40</v>
      </c>
      <c r="W3168" s="2" t="s">
        <v>14150</v>
      </c>
      <c r="X3168" s="2"/>
      <c r="Y3168" s="2"/>
      <c r="Z3168" s="2"/>
      <c r="AA3168" s="2" t="s">
        <v>375</v>
      </c>
      <c r="AB3168" s="2" t="s">
        <v>376</v>
      </c>
      <c r="AC3168" s="4" t="s">
        <v>44</v>
      </c>
    </row>
    <row r="3169" spans="1:29" x14ac:dyDescent="0.25">
      <c r="A3169" s="1">
        <v>3922</v>
      </c>
      <c r="B3169" s="17" t="s">
        <v>14151</v>
      </c>
      <c r="C3169" s="2" t="s">
        <v>5065</v>
      </c>
      <c r="D3169" s="15" t="s">
        <v>4284</v>
      </c>
      <c r="E3169" s="9" t="s">
        <v>2339</v>
      </c>
      <c r="F3169" s="9" t="s">
        <v>875</v>
      </c>
      <c r="G3169" s="9" t="s">
        <v>9565</v>
      </c>
      <c r="H3169" s="2" t="s">
        <v>60</v>
      </c>
      <c r="I3169" s="3">
        <v>37028</v>
      </c>
      <c r="J3169" s="9" t="str">
        <f t="shared" ca="1" si="52"/>
        <v>22 ans</v>
      </c>
      <c r="K3169" s="2" t="s">
        <v>156</v>
      </c>
      <c r="L3169" s="2" t="str">
        <f>"1072"</f>
        <v>1072</v>
      </c>
      <c r="M3169" s="2"/>
      <c r="N3169" s="2" t="str">
        <f>"RUE DU MOULIN"</f>
        <v>RUE DU MOULIN</v>
      </c>
      <c r="O3169" s="2" t="s">
        <v>14089</v>
      </c>
      <c r="P3169" s="9" t="str">
        <f>VLOOKUP($O3169,'Liste des Villes'!$B$2:$B$1128,1,FALSE)</f>
        <v>Piedmont</v>
      </c>
      <c r="Q3169" s="9" t="str">
        <f>IFERROR($P3169,PROPER(VLOOKUP($O3169,'Villes en erreur'!$A$2:$B$72,2,FALSE)))</f>
        <v>Piedmont</v>
      </c>
      <c r="R3169" s="9" t="s">
        <v>14090</v>
      </c>
      <c r="S3169" s="9" t="str">
        <f>IF(ISBLANK($R3169),"",VLOOKUP($R3169,'Liste des Villes'!$B$2:$H$1128,4,FALSE))</f>
        <v>Laurentides</v>
      </c>
      <c r="T3169" s="2" t="s">
        <v>14152</v>
      </c>
      <c r="U3169" s="2" t="s">
        <v>39</v>
      </c>
      <c r="V3169" s="2" t="s">
        <v>40</v>
      </c>
      <c r="W3169" s="2" t="s">
        <v>14153</v>
      </c>
      <c r="X3169" s="2"/>
      <c r="Y3169" s="2"/>
      <c r="Z3169" s="2"/>
      <c r="AA3169" s="2" t="s">
        <v>375</v>
      </c>
      <c r="AB3169" s="2" t="s">
        <v>376</v>
      </c>
      <c r="AC3169" s="4" t="s">
        <v>44</v>
      </c>
    </row>
    <row r="3170" spans="1:29" x14ac:dyDescent="0.25">
      <c r="A3170" s="1">
        <v>3506</v>
      </c>
      <c r="B3170" s="17" t="s">
        <v>14154</v>
      </c>
      <c r="C3170" s="2" t="s">
        <v>1340</v>
      </c>
      <c r="D3170" s="15" t="s">
        <v>1268</v>
      </c>
      <c r="E3170" s="9" t="s">
        <v>1341</v>
      </c>
      <c r="F3170" s="9" t="s">
        <v>14155</v>
      </c>
      <c r="G3170" s="9" t="s">
        <v>1423</v>
      </c>
      <c r="H3170" s="2" t="s">
        <v>60</v>
      </c>
      <c r="I3170" s="3">
        <v>37032</v>
      </c>
      <c r="J3170" s="9" t="str">
        <f t="shared" ca="1" si="52"/>
        <v>22 ans</v>
      </c>
      <c r="K3170" s="2" t="s">
        <v>156</v>
      </c>
      <c r="L3170" s="2" t="str">
        <f>"1080"</f>
        <v>1080</v>
      </c>
      <c r="M3170" s="2"/>
      <c r="N3170" s="2" t="str">
        <f>"RUE DU NOROÎT"</f>
        <v>RUE DU NOROÎT</v>
      </c>
      <c r="O3170" s="2" t="s">
        <v>14089</v>
      </c>
      <c r="P3170" s="9" t="str">
        <f>VLOOKUP($O3170,'Liste des Villes'!$B$2:$B$1128,1,FALSE)</f>
        <v>Piedmont</v>
      </c>
      <c r="Q3170" s="9" t="str">
        <f>IFERROR($P3170,PROPER(VLOOKUP($O3170,'Villes en erreur'!$A$2:$B$72,2,FALSE)))</f>
        <v>Piedmont</v>
      </c>
      <c r="R3170" s="9" t="s">
        <v>14090</v>
      </c>
      <c r="S3170" s="9" t="str">
        <f>IF(ISBLANK($R3170),"",VLOOKUP($R3170,'Liste des Villes'!$B$2:$H$1128,4,FALSE))</f>
        <v>Laurentides</v>
      </c>
      <c r="T3170" s="2" t="s">
        <v>14098</v>
      </c>
      <c r="U3170" s="2" t="s">
        <v>39</v>
      </c>
      <c r="V3170" s="2" t="s">
        <v>40</v>
      </c>
      <c r="W3170" s="2" t="s">
        <v>14156</v>
      </c>
      <c r="X3170" s="2"/>
      <c r="Y3170" s="2"/>
      <c r="Z3170" s="2"/>
      <c r="AA3170" s="2" t="s">
        <v>375</v>
      </c>
      <c r="AB3170" s="2" t="s">
        <v>376</v>
      </c>
      <c r="AC3170" s="4" t="s">
        <v>44</v>
      </c>
    </row>
    <row r="3171" spans="1:29" x14ac:dyDescent="0.25">
      <c r="A3171" s="1">
        <v>4528</v>
      </c>
      <c r="B3171" s="17" t="s">
        <v>14157</v>
      </c>
      <c r="C3171" s="2" t="s">
        <v>1370</v>
      </c>
      <c r="D3171" s="15" t="s">
        <v>1092</v>
      </c>
      <c r="E3171" s="9" t="s">
        <v>92</v>
      </c>
      <c r="F3171" s="9" t="s">
        <v>1090</v>
      </c>
      <c r="G3171" s="9" t="s">
        <v>1423</v>
      </c>
      <c r="H3171" s="2" t="s">
        <v>60</v>
      </c>
      <c r="I3171" s="3">
        <v>37030</v>
      </c>
      <c r="J3171" s="9" t="str">
        <f t="shared" ca="1" si="52"/>
        <v>22 ans</v>
      </c>
      <c r="K3171" s="2" t="s">
        <v>156</v>
      </c>
      <c r="L3171" s="2" t="str">
        <f>"1079"</f>
        <v>1079</v>
      </c>
      <c r="M3171" s="2"/>
      <c r="N3171" s="2" t="str">
        <f>"RUE DU NOROÎT"</f>
        <v>RUE DU NOROÎT</v>
      </c>
      <c r="O3171" s="2" t="s">
        <v>14089</v>
      </c>
      <c r="P3171" s="9" t="str">
        <f>VLOOKUP($O3171,'Liste des Villes'!$B$2:$B$1128,1,FALSE)</f>
        <v>Piedmont</v>
      </c>
      <c r="Q3171" s="9" t="str">
        <f>IFERROR($P3171,PROPER(VLOOKUP($O3171,'Villes en erreur'!$A$2:$B$72,2,FALSE)))</f>
        <v>Piedmont</v>
      </c>
      <c r="R3171" s="9" t="s">
        <v>14090</v>
      </c>
      <c r="S3171" s="9" t="str">
        <f>IF(ISBLANK($R3171),"",VLOOKUP($R3171,'Liste des Villes'!$B$2:$H$1128,4,FALSE))</f>
        <v>Laurentides</v>
      </c>
      <c r="T3171" s="2" t="s">
        <v>14115</v>
      </c>
      <c r="U3171" s="2" t="s">
        <v>39</v>
      </c>
      <c r="V3171" s="2" t="s">
        <v>40</v>
      </c>
      <c r="W3171" s="2" t="s">
        <v>14158</v>
      </c>
      <c r="X3171" s="2"/>
      <c r="Y3171" s="2"/>
      <c r="Z3171" s="2"/>
      <c r="AA3171" s="2" t="s">
        <v>375</v>
      </c>
      <c r="AB3171" s="2" t="s">
        <v>376</v>
      </c>
      <c r="AC3171" s="4" t="s">
        <v>44</v>
      </c>
    </row>
    <row r="3172" spans="1:29" x14ac:dyDescent="0.25">
      <c r="A3172" s="1">
        <v>2621</v>
      </c>
      <c r="B3172" s="17" t="s">
        <v>14159</v>
      </c>
      <c r="C3172" s="2" t="s">
        <v>14160</v>
      </c>
      <c r="D3172" s="15" t="s">
        <v>6129</v>
      </c>
      <c r="E3172" s="9" t="s">
        <v>860</v>
      </c>
      <c r="F3172" s="9" t="s">
        <v>6128</v>
      </c>
      <c r="G3172" s="9" t="s">
        <v>1423</v>
      </c>
      <c r="H3172" s="2" t="s">
        <v>60</v>
      </c>
      <c r="I3172" s="3">
        <v>37033</v>
      </c>
      <c r="J3172" s="9" t="str">
        <f t="shared" ca="1" si="52"/>
        <v>22 ans</v>
      </c>
      <c r="K3172" s="2" t="s">
        <v>156</v>
      </c>
      <c r="L3172" s="2" t="str">
        <f>"1082"</f>
        <v>1082</v>
      </c>
      <c r="M3172" s="2"/>
      <c r="N3172" s="2" t="str">
        <f>"RUE DU PALAIS"</f>
        <v>RUE DU PALAIS</v>
      </c>
      <c r="O3172" s="2" t="s">
        <v>14089</v>
      </c>
      <c r="P3172" s="9" t="str">
        <f>VLOOKUP($O3172,'Liste des Villes'!$B$2:$B$1128,1,FALSE)</f>
        <v>Piedmont</v>
      </c>
      <c r="Q3172" s="9" t="str">
        <f>IFERROR($P3172,PROPER(VLOOKUP($O3172,'Villes en erreur'!$A$2:$B$72,2,FALSE)))</f>
        <v>Piedmont</v>
      </c>
      <c r="R3172" s="9" t="s">
        <v>14090</v>
      </c>
      <c r="S3172" s="9" t="str">
        <f>IF(ISBLANK($R3172),"",VLOOKUP($R3172,'Liste des Villes'!$B$2:$H$1128,4,FALSE))</f>
        <v>Laurentides</v>
      </c>
      <c r="T3172" s="2" t="s">
        <v>14146</v>
      </c>
      <c r="U3172" s="2" t="s">
        <v>39</v>
      </c>
      <c r="V3172" s="2" t="s">
        <v>40</v>
      </c>
      <c r="W3172" s="2" t="s">
        <v>14161</v>
      </c>
      <c r="X3172" s="2"/>
      <c r="Y3172" s="2"/>
      <c r="Z3172" s="2"/>
      <c r="AA3172" s="2" t="s">
        <v>375</v>
      </c>
      <c r="AB3172" s="2" t="s">
        <v>376</v>
      </c>
      <c r="AC3172" s="4" t="s">
        <v>44</v>
      </c>
    </row>
    <row r="3173" spans="1:29" x14ac:dyDescent="0.25">
      <c r="A3173" s="1">
        <v>2740</v>
      </c>
      <c r="B3173" s="17" t="s">
        <v>14162</v>
      </c>
      <c r="C3173" s="2" t="s">
        <v>3413</v>
      </c>
      <c r="D3173" s="15" t="s">
        <v>1016</v>
      </c>
      <c r="E3173" s="9" t="s">
        <v>131</v>
      </c>
      <c r="F3173" s="9" t="s">
        <v>13953</v>
      </c>
      <c r="G3173" s="9" t="s">
        <v>5301</v>
      </c>
      <c r="H3173" s="2" t="s">
        <v>60</v>
      </c>
      <c r="I3173" s="3">
        <v>37028</v>
      </c>
      <c r="J3173" s="9" t="str">
        <f t="shared" ca="1" si="52"/>
        <v>22 ans</v>
      </c>
      <c r="K3173" s="2" t="s">
        <v>156</v>
      </c>
      <c r="L3173" s="2" t="str">
        <f>"1077"</f>
        <v>1077</v>
      </c>
      <c r="M3173" s="2"/>
      <c r="N3173" s="2" t="str">
        <f>"RUE DU NOROÎT"</f>
        <v>RUE DU NOROÎT</v>
      </c>
      <c r="O3173" s="2" t="s">
        <v>14089</v>
      </c>
      <c r="P3173" s="9" t="str">
        <f>VLOOKUP($O3173,'Liste des Villes'!$B$2:$B$1128,1,FALSE)</f>
        <v>Piedmont</v>
      </c>
      <c r="Q3173" s="9" t="str">
        <f>IFERROR($P3173,PROPER(VLOOKUP($O3173,'Villes en erreur'!$A$2:$B$72,2,FALSE)))</f>
        <v>Piedmont</v>
      </c>
      <c r="R3173" s="9" t="s">
        <v>14090</v>
      </c>
      <c r="S3173" s="9" t="str">
        <f>IF(ISBLANK($R3173),"",VLOOKUP($R3173,'Liste des Villes'!$B$2:$H$1128,4,FALSE))</f>
        <v>Laurentides</v>
      </c>
      <c r="T3173" s="2" t="s">
        <v>14095</v>
      </c>
      <c r="U3173" s="2" t="s">
        <v>39</v>
      </c>
      <c r="V3173" s="2" t="s">
        <v>40</v>
      </c>
      <c r="W3173" s="2" t="s">
        <v>14163</v>
      </c>
      <c r="X3173" s="2"/>
      <c r="Y3173" s="2"/>
      <c r="Z3173" s="2"/>
      <c r="AA3173" s="2" t="s">
        <v>375</v>
      </c>
      <c r="AB3173" s="2" t="s">
        <v>376</v>
      </c>
      <c r="AC3173" s="4" t="s">
        <v>44</v>
      </c>
    </row>
    <row r="3174" spans="1:29" x14ac:dyDescent="0.25">
      <c r="A3174" s="1">
        <v>1645</v>
      </c>
      <c r="B3174" s="17" t="s">
        <v>14164</v>
      </c>
      <c r="C3174" s="2" t="s">
        <v>1387</v>
      </c>
      <c r="D3174" s="15" t="s">
        <v>898</v>
      </c>
      <c r="E3174" s="9" t="s">
        <v>1388</v>
      </c>
      <c r="F3174" s="9" t="s">
        <v>3536</v>
      </c>
      <c r="G3174" s="9" t="s">
        <v>9565</v>
      </c>
      <c r="H3174" s="2" t="s">
        <v>60</v>
      </c>
      <c r="I3174" s="3">
        <v>37028</v>
      </c>
      <c r="J3174" s="9" t="str">
        <f t="shared" ca="1" si="52"/>
        <v>22 ans</v>
      </c>
      <c r="K3174" s="2" t="s">
        <v>156</v>
      </c>
      <c r="L3174" s="2" t="str">
        <f>"1073"</f>
        <v>1073</v>
      </c>
      <c r="M3174" s="2"/>
      <c r="N3174" s="2" t="str">
        <f>"RUE DU MUSCADET"</f>
        <v>RUE DU MUSCADET</v>
      </c>
      <c r="O3174" s="2" t="s">
        <v>14089</v>
      </c>
      <c r="P3174" s="9" t="str">
        <f>VLOOKUP($O3174,'Liste des Villes'!$B$2:$B$1128,1,FALSE)</f>
        <v>Piedmont</v>
      </c>
      <c r="Q3174" s="9" t="str">
        <f>IFERROR($P3174,PROPER(VLOOKUP($O3174,'Villes en erreur'!$A$2:$B$72,2,FALSE)))</f>
        <v>Piedmont</v>
      </c>
      <c r="R3174" s="9" t="s">
        <v>14090</v>
      </c>
      <c r="S3174" s="9" t="str">
        <f>IF(ISBLANK($R3174),"",VLOOKUP($R3174,'Liste des Villes'!$B$2:$H$1128,4,FALSE))</f>
        <v>Laurentides</v>
      </c>
      <c r="T3174" s="2" t="s">
        <v>14152</v>
      </c>
      <c r="U3174" s="2" t="s">
        <v>39</v>
      </c>
      <c r="V3174" s="2" t="s">
        <v>40</v>
      </c>
      <c r="W3174" s="2" t="s">
        <v>14165</v>
      </c>
      <c r="X3174" s="2"/>
      <c r="Y3174" s="2"/>
      <c r="Z3174" s="2"/>
      <c r="AA3174" s="2" t="s">
        <v>375</v>
      </c>
      <c r="AB3174" s="2" t="s">
        <v>376</v>
      </c>
      <c r="AC3174" s="4" t="s">
        <v>44</v>
      </c>
    </row>
    <row r="3175" spans="1:29" x14ac:dyDescent="0.25">
      <c r="A3175" s="1">
        <v>1879</v>
      </c>
      <c r="B3175" s="17" t="s">
        <v>14166</v>
      </c>
      <c r="C3175" s="2" t="s">
        <v>14167</v>
      </c>
      <c r="D3175" s="15" t="s">
        <v>14168</v>
      </c>
      <c r="E3175" s="9" t="s">
        <v>4633</v>
      </c>
      <c r="F3175" s="9" t="s">
        <v>14169</v>
      </c>
      <c r="G3175" s="9" t="s">
        <v>14011</v>
      </c>
      <c r="H3175" s="2" t="s">
        <v>35</v>
      </c>
      <c r="I3175" s="3">
        <v>37026</v>
      </c>
      <c r="J3175" s="9" t="str">
        <f t="shared" ca="1" si="52"/>
        <v>22 ans</v>
      </c>
      <c r="K3175" s="2" t="s">
        <v>156</v>
      </c>
      <c r="L3175" s="2" t="str">
        <f>"1066"</f>
        <v>1066</v>
      </c>
      <c r="M3175" s="2"/>
      <c r="N3175" s="2" t="str">
        <f>"RUE DU MONT"</f>
        <v>RUE DU MONT</v>
      </c>
      <c r="O3175" s="2" t="s">
        <v>14089</v>
      </c>
      <c r="P3175" s="9" t="str">
        <f>VLOOKUP($O3175,'Liste des Villes'!$B$2:$B$1128,1,FALSE)</f>
        <v>Piedmont</v>
      </c>
      <c r="Q3175" s="9" t="str">
        <f>IFERROR($P3175,PROPER(VLOOKUP($O3175,'Villes en erreur'!$A$2:$B$72,2,FALSE)))</f>
        <v>Piedmont</v>
      </c>
      <c r="R3175" s="9" t="s">
        <v>14090</v>
      </c>
      <c r="S3175" s="9" t="str">
        <f>IF(ISBLANK($R3175),"",VLOOKUP($R3175,'Liste des Villes'!$B$2:$H$1128,4,FALSE))</f>
        <v>Laurentides</v>
      </c>
      <c r="T3175" s="2" t="s">
        <v>14127</v>
      </c>
      <c r="U3175" s="2" t="s">
        <v>39</v>
      </c>
      <c r="V3175" s="2" t="s">
        <v>40</v>
      </c>
      <c r="W3175" s="2" t="s">
        <v>14170</v>
      </c>
      <c r="X3175" s="2"/>
      <c r="Y3175" s="2"/>
      <c r="Z3175" s="2"/>
      <c r="AA3175" s="2" t="s">
        <v>375</v>
      </c>
      <c r="AB3175" s="2" t="s">
        <v>376</v>
      </c>
      <c r="AC3175" s="4" t="s">
        <v>44</v>
      </c>
    </row>
    <row r="3176" spans="1:29" x14ac:dyDescent="0.25">
      <c r="A3176" s="1">
        <v>3502</v>
      </c>
      <c r="B3176" s="17" t="s">
        <v>14171</v>
      </c>
      <c r="C3176" s="2" t="s">
        <v>14172</v>
      </c>
      <c r="D3176" s="15" t="s">
        <v>1657</v>
      </c>
      <c r="E3176" s="9" t="s">
        <v>7287</v>
      </c>
      <c r="F3176" s="9" t="s">
        <v>1659</v>
      </c>
      <c r="G3176" s="9" t="s">
        <v>949</v>
      </c>
      <c r="H3176" s="2" t="s">
        <v>60</v>
      </c>
      <c r="I3176" s="3">
        <v>37034</v>
      </c>
      <c r="J3176" s="9" t="str">
        <f t="shared" ca="1" si="52"/>
        <v>22 ans</v>
      </c>
      <c r="K3176" s="2" t="s">
        <v>156</v>
      </c>
      <c r="L3176" s="2" t="str">
        <f>"1085"</f>
        <v>1085</v>
      </c>
      <c r="M3176" s="2"/>
      <c r="N3176" s="2" t="str">
        <f>"RUE DU PALAIS"</f>
        <v>RUE DU PALAIS</v>
      </c>
      <c r="O3176" s="2" t="s">
        <v>14173</v>
      </c>
      <c r="P3176" s="9" t="str">
        <f>VLOOKUP($O3176,'Liste des Villes'!$B$2:$B$1128,1,FALSE)</f>
        <v>Papineauville</v>
      </c>
      <c r="Q3176" s="9" t="str">
        <f>IFERROR($P3176,PROPER(VLOOKUP($O3176,'Villes en erreur'!$A$2:$B$72,2,FALSE)))</f>
        <v>Papineauville</v>
      </c>
      <c r="R3176" s="9" t="s">
        <v>14174</v>
      </c>
      <c r="S3176" s="9" t="str">
        <f>IF(ISBLANK($R3176),"",VLOOKUP($R3176,'Liste des Villes'!$B$2:$H$1128,4,FALSE))</f>
        <v>Outaouais</v>
      </c>
      <c r="T3176" s="2" t="s">
        <v>14175</v>
      </c>
      <c r="U3176" s="2" t="s">
        <v>39</v>
      </c>
      <c r="V3176" s="2" t="s">
        <v>40</v>
      </c>
      <c r="W3176" s="2" t="s">
        <v>14176</v>
      </c>
      <c r="X3176" s="2"/>
      <c r="Y3176" s="2"/>
      <c r="Z3176" s="2"/>
      <c r="AA3176" s="2" t="s">
        <v>375</v>
      </c>
      <c r="AB3176" s="2" t="s">
        <v>376</v>
      </c>
      <c r="AC3176" s="4" t="s">
        <v>44</v>
      </c>
    </row>
    <row r="3177" spans="1:29" x14ac:dyDescent="0.25">
      <c r="A3177" s="1">
        <v>2808</v>
      </c>
      <c r="B3177" s="17" t="s">
        <v>14177</v>
      </c>
      <c r="C3177" s="2" t="s">
        <v>14178</v>
      </c>
      <c r="D3177" s="15" t="s">
        <v>984</v>
      </c>
      <c r="E3177" s="9" t="s">
        <v>1952</v>
      </c>
      <c r="F3177" s="9" t="s">
        <v>982</v>
      </c>
      <c r="G3177" s="9" t="s">
        <v>949</v>
      </c>
      <c r="H3177" s="2" t="s">
        <v>60</v>
      </c>
      <c r="I3177" s="3">
        <v>37033</v>
      </c>
      <c r="J3177" s="9" t="str">
        <f t="shared" ca="1" si="52"/>
        <v>22 ans</v>
      </c>
      <c r="K3177" s="2" t="s">
        <v>156</v>
      </c>
      <c r="L3177" s="2" t="str">
        <f>"1085"</f>
        <v>1085</v>
      </c>
      <c r="M3177" s="2"/>
      <c r="N3177" s="2" t="str">
        <f>"RUE DU PALAIS"</f>
        <v>RUE DU PALAIS</v>
      </c>
      <c r="O3177" s="2" t="s">
        <v>14173</v>
      </c>
      <c r="P3177" s="9" t="str">
        <f>VLOOKUP($O3177,'Liste des Villes'!$B$2:$B$1128,1,FALSE)</f>
        <v>Papineauville</v>
      </c>
      <c r="Q3177" s="9" t="str">
        <f>IFERROR($P3177,PROPER(VLOOKUP($O3177,'Villes en erreur'!$A$2:$B$72,2,FALSE)))</f>
        <v>Papineauville</v>
      </c>
      <c r="R3177" s="9" t="s">
        <v>14174</v>
      </c>
      <c r="S3177" s="9" t="str">
        <f>IF(ISBLANK($R3177),"",VLOOKUP($R3177,'Liste des Villes'!$B$2:$H$1128,4,FALSE))</f>
        <v>Outaouais</v>
      </c>
      <c r="T3177" s="2" t="s">
        <v>14146</v>
      </c>
      <c r="U3177" s="2" t="s">
        <v>39</v>
      </c>
      <c r="V3177" s="2" t="s">
        <v>40</v>
      </c>
      <c r="W3177" s="2" t="s">
        <v>14179</v>
      </c>
      <c r="X3177" s="2"/>
      <c r="Y3177" s="2"/>
      <c r="Z3177" s="2"/>
      <c r="AA3177" s="2" t="s">
        <v>375</v>
      </c>
      <c r="AB3177" s="2" t="s">
        <v>376</v>
      </c>
      <c r="AC3177" s="4" t="s">
        <v>44</v>
      </c>
    </row>
    <row r="3178" spans="1:29" x14ac:dyDescent="0.25">
      <c r="A3178" s="1">
        <v>1501</v>
      </c>
      <c r="B3178" s="17" t="s">
        <v>14180</v>
      </c>
      <c r="C3178" s="2" t="s">
        <v>14181</v>
      </c>
      <c r="D3178" s="15" t="s">
        <v>738</v>
      </c>
      <c r="E3178" s="9" t="s">
        <v>3627</v>
      </c>
      <c r="F3178" s="9" t="s">
        <v>7317</v>
      </c>
      <c r="G3178" s="9" t="s">
        <v>949</v>
      </c>
      <c r="H3178" s="2" t="s">
        <v>60</v>
      </c>
      <c r="I3178" s="3">
        <v>37034</v>
      </c>
      <c r="J3178" s="9" t="str">
        <f t="shared" ca="1" si="52"/>
        <v>22 ans</v>
      </c>
      <c r="K3178" s="2" t="s">
        <v>156</v>
      </c>
      <c r="L3178" s="2" t="str">
        <f>"1086"</f>
        <v>1086</v>
      </c>
      <c r="M3178" s="2"/>
      <c r="N3178" s="2" t="str">
        <f>"RUE DU PALAIS"</f>
        <v>RUE DU PALAIS</v>
      </c>
      <c r="O3178" s="2" t="s">
        <v>14182</v>
      </c>
      <c r="P3178" s="9" t="str">
        <f>VLOOKUP($O3178,'Liste des Villes'!$B$2:$B$1128,1,FALSE)</f>
        <v>Palmarolle</v>
      </c>
      <c r="Q3178" s="9" t="str">
        <f>IFERROR($P3178,PROPER(VLOOKUP($O3178,'Villes en erreur'!$A$2:$B$72,2,FALSE)))</f>
        <v>Palmarolle</v>
      </c>
      <c r="R3178" s="9" t="s">
        <v>14183</v>
      </c>
      <c r="S3178" s="9" t="str">
        <f>IF(ISBLANK($R3178),"",VLOOKUP($R3178,'Liste des Villes'!$B$2:$H$1128,4,FALSE))</f>
        <v>Abitibi-Témiscamingue</v>
      </c>
      <c r="T3178" s="2" t="s">
        <v>14175</v>
      </c>
      <c r="U3178" s="2" t="s">
        <v>39</v>
      </c>
      <c r="V3178" s="2" t="s">
        <v>40</v>
      </c>
      <c r="W3178" s="2" t="s">
        <v>14184</v>
      </c>
      <c r="X3178" s="2"/>
      <c r="Y3178" s="2"/>
      <c r="Z3178" s="2"/>
      <c r="AA3178" s="2" t="s">
        <v>375</v>
      </c>
      <c r="AB3178" s="2" t="s">
        <v>376</v>
      </c>
      <c r="AC3178" s="4" t="s">
        <v>44</v>
      </c>
    </row>
    <row r="3179" spans="1:29" x14ac:dyDescent="0.25">
      <c r="A3179" s="1">
        <v>3679</v>
      </c>
      <c r="B3179" s="17" t="s">
        <v>14185</v>
      </c>
      <c r="C3179" s="2" t="s">
        <v>14186</v>
      </c>
      <c r="D3179" s="15" t="s">
        <v>13516</v>
      </c>
      <c r="E3179" s="9" t="s">
        <v>7291</v>
      </c>
      <c r="F3179" s="9" t="s">
        <v>8189</v>
      </c>
      <c r="G3179" s="9" t="s">
        <v>3626</v>
      </c>
      <c r="H3179" s="2" t="s">
        <v>35</v>
      </c>
      <c r="I3179" s="3">
        <v>37035</v>
      </c>
      <c r="J3179" s="9" t="str">
        <f t="shared" ca="1" si="52"/>
        <v>22 ans</v>
      </c>
      <c r="K3179" s="2" t="s">
        <v>156</v>
      </c>
      <c r="L3179" s="2" t="str">
        <f>"1090"</f>
        <v>1090</v>
      </c>
      <c r="M3179" s="2"/>
      <c r="N3179" s="2" t="str">
        <f>"RUE DU PETIT BONHEUR"</f>
        <v>RUE DU PETIT BONHEUR</v>
      </c>
      <c r="O3179" s="2" t="s">
        <v>14187</v>
      </c>
      <c r="P3179" s="9" t="str">
        <f>VLOOKUP($O3179,'Liste des Villes'!$B$2:$B$1128,1,FALSE)</f>
        <v>Oka</v>
      </c>
      <c r="Q3179" s="9" t="str">
        <f>IFERROR($P3179,PROPER(VLOOKUP($O3179,'Villes en erreur'!$A$2:$B$72,2,FALSE)))</f>
        <v>Oka</v>
      </c>
      <c r="R3179" s="9" t="s">
        <v>14188</v>
      </c>
      <c r="S3179" s="9" t="str">
        <f>IF(ISBLANK($R3179),"",VLOOKUP($R3179,'Liste des Villes'!$B$2:$H$1128,4,FALSE))</f>
        <v>Laurentides</v>
      </c>
      <c r="T3179" s="2" t="s">
        <v>14189</v>
      </c>
      <c r="U3179" s="2" t="s">
        <v>39</v>
      </c>
      <c r="V3179" s="2" t="s">
        <v>40</v>
      </c>
      <c r="W3179" s="2" t="s">
        <v>14190</v>
      </c>
      <c r="X3179" s="2"/>
      <c r="Y3179" s="2"/>
      <c r="Z3179" s="2"/>
      <c r="AA3179" s="2" t="s">
        <v>375</v>
      </c>
      <c r="AB3179" s="2" t="s">
        <v>376</v>
      </c>
      <c r="AC3179" s="4" t="s">
        <v>44</v>
      </c>
    </row>
    <row r="3180" spans="1:29" x14ac:dyDescent="0.25">
      <c r="A3180" s="1">
        <v>933</v>
      </c>
      <c r="B3180" s="17" t="s">
        <v>14191</v>
      </c>
      <c r="C3180" s="2" t="s">
        <v>11856</v>
      </c>
      <c r="D3180" s="15" t="s">
        <v>3341</v>
      </c>
      <c r="E3180" s="9" t="s">
        <v>172</v>
      </c>
      <c r="F3180" s="9" t="s">
        <v>4447</v>
      </c>
      <c r="G3180" s="9" t="s">
        <v>3626</v>
      </c>
      <c r="H3180" s="2" t="s">
        <v>35</v>
      </c>
      <c r="I3180" s="3">
        <v>37035</v>
      </c>
      <c r="J3180" s="9" t="str">
        <f t="shared" ca="1" si="52"/>
        <v>22 ans</v>
      </c>
      <c r="K3180" s="2" t="s">
        <v>156</v>
      </c>
      <c r="L3180" s="2" t="str">
        <f>"1089"</f>
        <v>1089</v>
      </c>
      <c r="M3180" s="2"/>
      <c r="N3180" s="2" t="str">
        <f>"RUE DU PÉRIDOT"</f>
        <v>RUE DU PÉRIDOT</v>
      </c>
      <c r="O3180" s="2" t="s">
        <v>14187</v>
      </c>
      <c r="P3180" s="9" t="str">
        <f>VLOOKUP($O3180,'Liste des Villes'!$B$2:$B$1128,1,FALSE)</f>
        <v>Oka</v>
      </c>
      <c r="Q3180" s="9" t="str">
        <f>IFERROR($P3180,PROPER(VLOOKUP($O3180,'Villes en erreur'!$A$2:$B$72,2,FALSE)))</f>
        <v>Oka</v>
      </c>
      <c r="R3180" s="9" t="s">
        <v>14188</v>
      </c>
      <c r="S3180" s="9" t="str">
        <f>IF(ISBLANK($R3180),"",VLOOKUP($R3180,'Liste des Villes'!$B$2:$H$1128,4,FALSE))</f>
        <v>Laurentides</v>
      </c>
      <c r="T3180" s="2" t="s">
        <v>14189</v>
      </c>
      <c r="U3180" s="2" t="s">
        <v>39</v>
      </c>
      <c r="V3180" s="2" t="s">
        <v>40</v>
      </c>
      <c r="W3180" s="2" t="s">
        <v>14192</v>
      </c>
      <c r="X3180" s="2"/>
      <c r="Y3180" s="2"/>
      <c r="Z3180" s="2"/>
      <c r="AA3180" s="2" t="s">
        <v>375</v>
      </c>
      <c r="AB3180" s="2" t="s">
        <v>376</v>
      </c>
      <c r="AC3180" s="4" t="s">
        <v>44</v>
      </c>
    </row>
    <row r="3181" spans="1:29" x14ac:dyDescent="0.25">
      <c r="A3181" s="1">
        <v>912</v>
      </c>
      <c r="B3181" s="17" t="s">
        <v>14193</v>
      </c>
      <c r="C3181" s="2" t="s">
        <v>14194</v>
      </c>
      <c r="D3181" s="15" t="s">
        <v>14195</v>
      </c>
      <c r="E3181" s="9" t="s">
        <v>664</v>
      </c>
      <c r="F3181" s="9" t="s">
        <v>14196</v>
      </c>
      <c r="G3181" s="9" t="s">
        <v>3626</v>
      </c>
      <c r="H3181" s="2" t="s">
        <v>35</v>
      </c>
      <c r="I3181" s="3">
        <v>37035</v>
      </c>
      <c r="J3181" s="9" t="str">
        <f t="shared" ca="1" si="52"/>
        <v>22 ans</v>
      </c>
      <c r="K3181" s="2" t="s">
        <v>156</v>
      </c>
      <c r="L3181" s="2" t="str">
        <f>"1089"</f>
        <v>1089</v>
      </c>
      <c r="M3181" s="2"/>
      <c r="N3181" s="2" t="str">
        <f>"RUE DU PÉRIDOT"</f>
        <v>RUE DU PÉRIDOT</v>
      </c>
      <c r="O3181" s="2" t="s">
        <v>14187</v>
      </c>
      <c r="P3181" s="9" t="str">
        <f>VLOOKUP($O3181,'Liste des Villes'!$B$2:$B$1128,1,FALSE)</f>
        <v>Oka</v>
      </c>
      <c r="Q3181" s="9" t="str">
        <f>IFERROR($P3181,PROPER(VLOOKUP($O3181,'Villes en erreur'!$A$2:$B$72,2,FALSE)))</f>
        <v>Oka</v>
      </c>
      <c r="R3181" s="9" t="s">
        <v>14188</v>
      </c>
      <c r="S3181" s="9" t="str">
        <f>IF(ISBLANK($R3181),"",VLOOKUP($R3181,'Liste des Villes'!$B$2:$H$1128,4,FALSE))</f>
        <v>Laurentides</v>
      </c>
      <c r="T3181" s="2" t="s">
        <v>14189</v>
      </c>
      <c r="U3181" s="2" t="s">
        <v>39</v>
      </c>
      <c r="V3181" s="2" t="s">
        <v>40</v>
      </c>
      <c r="W3181" s="2" t="s">
        <v>14197</v>
      </c>
      <c r="X3181" s="2"/>
      <c r="Y3181" s="2"/>
      <c r="Z3181" s="2"/>
      <c r="AA3181" s="2" t="s">
        <v>375</v>
      </c>
      <c r="AB3181" s="2" t="s">
        <v>376</v>
      </c>
      <c r="AC3181" s="4" t="s">
        <v>44</v>
      </c>
    </row>
    <row r="3182" spans="1:29" x14ac:dyDescent="0.25">
      <c r="A3182" s="1">
        <v>4030</v>
      </c>
      <c r="B3182" s="17" t="s">
        <v>14198</v>
      </c>
      <c r="C3182" s="2" t="s">
        <v>14199</v>
      </c>
      <c r="D3182" s="15" t="s">
        <v>3414</v>
      </c>
      <c r="E3182" s="9" t="s">
        <v>685</v>
      </c>
      <c r="F3182" s="9" t="s">
        <v>1016</v>
      </c>
      <c r="G3182" s="9" t="s">
        <v>6249</v>
      </c>
      <c r="H3182" s="2" t="s">
        <v>35</v>
      </c>
      <c r="I3182" s="3">
        <v>37034</v>
      </c>
      <c r="J3182" s="9" t="str">
        <f t="shared" ca="1" si="52"/>
        <v>22 ans</v>
      </c>
      <c r="K3182" s="2" t="s">
        <v>156</v>
      </c>
      <c r="L3182" s="2" t="str">
        <f>"1086"</f>
        <v>1086</v>
      </c>
      <c r="M3182" s="2"/>
      <c r="N3182" s="2" t="str">
        <f>"RUE DU PATRIMOINE"</f>
        <v>RUE DU PATRIMOINE</v>
      </c>
      <c r="O3182" s="2" t="s">
        <v>14187</v>
      </c>
      <c r="P3182" s="9" t="str">
        <f>VLOOKUP($O3182,'Liste des Villes'!$B$2:$B$1128,1,FALSE)</f>
        <v>Oka</v>
      </c>
      <c r="Q3182" s="9" t="str">
        <f>IFERROR($P3182,PROPER(VLOOKUP($O3182,'Villes en erreur'!$A$2:$B$72,2,FALSE)))</f>
        <v>Oka</v>
      </c>
      <c r="R3182" s="9" t="s">
        <v>14188</v>
      </c>
      <c r="S3182" s="9" t="str">
        <f>IF(ISBLANK($R3182),"",VLOOKUP($R3182,'Liste des Villes'!$B$2:$H$1128,4,FALSE))</f>
        <v>Laurentides</v>
      </c>
      <c r="T3182" s="2" t="s">
        <v>14189</v>
      </c>
      <c r="U3182" s="2" t="s">
        <v>39</v>
      </c>
      <c r="V3182" s="2" t="s">
        <v>40</v>
      </c>
      <c r="W3182" s="2" t="s">
        <v>14200</v>
      </c>
      <c r="X3182" s="2"/>
      <c r="Y3182" s="2"/>
      <c r="Z3182" s="2"/>
      <c r="AA3182" s="2" t="s">
        <v>375</v>
      </c>
      <c r="AB3182" s="2" t="s">
        <v>376</v>
      </c>
      <c r="AC3182" s="4" t="s">
        <v>44</v>
      </c>
    </row>
    <row r="3183" spans="1:29" x14ac:dyDescent="0.25">
      <c r="A3183" s="1">
        <v>1361</v>
      </c>
      <c r="B3183" s="17" t="s">
        <v>14201</v>
      </c>
      <c r="C3183" s="2" t="s">
        <v>14202</v>
      </c>
      <c r="D3183" s="15" t="s">
        <v>14203</v>
      </c>
      <c r="E3183" s="9" t="s">
        <v>1410</v>
      </c>
      <c r="F3183" s="9" t="s">
        <v>4421</v>
      </c>
      <c r="G3183" s="9" t="s">
        <v>3626</v>
      </c>
      <c r="H3183" s="2" t="s">
        <v>35</v>
      </c>
      <c r="I3183" s="3">
        <v>37035</v>
      </c>
      <c r="J3183" s="9" t="str">
        <f t="shared" ca="1" si="52"/>
        <v>22 ans</v>
      </c>
      <c r="K3183" s="2" t="s">
        <v>156</v>
      </c>
      <c r="L3183" s="2" t="str">
        <f>"1089"</f>
        <v>1089</v>
      </c>
      <c r="M3183" s="2"/>
      <c r="N3183" s="2" t="str">
        <f>"RUE DU PÈRE-EUGÈNE"</f>
        <v>RUE DU PÈRE-EUGÈNE</v>
      </c>
      <c r="O3183" s="2" t="s">
        <v>14187</v>
      </c>
      <c r="P3183" s="9" t="str">
        <f>VLOOKUP($O3183,'Liste des Villes'!$B$2:$B$1128,1,FALSE)</f>
        <v>Oka</v>
      </c>
      <c r="Q3183" s="9" t="str">
        <f>IFERROR($P3183,PROPER(VLOOKUP($O3183,'Villes en erreur'!$A$2:$B$72,2,FALSE)))</f>
        <v>Oka</v>
      </c>
      <c r="R3183" s="9" t="s">
        <v>14188</v>
      </c>
      <c r="S3183" s="9" t="str">
        <f>IF(ISBLANK($R3183),"",VLOOKUP($R3183,'Liste des Villes'!$B$2:$H$1128,4,FALSE))</f>
        <v>Laurentides</v>
      </c>
      <c r="T3183" s="2" t="s">
        <v>14189</v>
      </c>
      <c r="U3183" s="2" t="s">
        <v>39</v>
      </c>
      <c r="V3183" s="2" t="s">
        <v>40</v>
      </c>
      <c r="W3183" s="2" t="s">
        <v>14204</v>
      </c>
      <c r="X3183" s="2"/>
      <c r="Y3183" s="2"/>
      <c r="Z3183" s="2"/>
      <c r="AA3183" s="2" t="s">
        <v>375</v>
      </c>
      <c r="AB3183" s="2" t="s">
        <v>376</v>
      </c>
      <c r="AC3183" s="4" t="s">
        <v>44</v>
      </c>
    </row>
    <row r="3184" spans="1:29" x14ac:dyDescent="0.25">
      <c r="A3184" s="1">
        <v>324</v>
      </c>
      <c r="B3184" s="17" t="s">
        <v>14205</v>
      </c>
      <c r="C3184" s="2" t="s">
        <v>14206</v>
      </c>
      <c r="D3184" s="15" t="s">
        <v>13175</v>
      </c>
      <c r="E3184" s="9" t="s">
        <v>341</v>
      </c>
      <c r="F3184" s="9" t="s">
        <v>2729</v>
      </c>
      <c r="G3184" s="9" t="s">
        <v>3626</v>
      </c>
      <c r="H3184" s="2" t="s">
        <v>35</v>
      </c>
      <c r="I3184" s="3">
        <v>37036</v>
      </c>
      <c r="J3184" s="9" t="str">
        <f t="shared" ca="1" si="52"/>
        <v>22 ans</v>
      </c>
      <c r="K3184" s="2" t="s">
        <v>156</v>
      </c>
      <c r="L3184" s="2" t="str">
        <f>"1091"</f>
        <v>1091</v>
      </c>
      <c r="M3184" s="2"/>
      <c r="N3184" s="2" t="str">
        <f>"RUE DU PEUPLIER"</f>
        <v>RUE DU PEUPLIER</v>
      </c>
      <c r="O3184" s="2" t="s">
        <v>14187</v>
      </c>
      <c r="P3184" s="9" t="str">
        <f>VLOOKUP($O3184,'Liste des Villes'!$B$2:$B$1128,1,FALSE)</f>
        <v>Oka</v>
      </c>
      <c r="Q3184" s="9" t="str">
        <f>IFERROR($P3184,PROPER(VLOOKUP($O3184,'Villes en erreur'!$A$2:$B$72,2,FALSE)))</f>
        <v>Oka</v>
      </c>
      <c r="R3184" s="9" t="s">
        <v>14188</v>
      </c>
      <c r="S3184" s="9" t="str">
        <f>IF(ISBLANK($R3184),"",VLOOKUP($R3184,'Liste des Villes'!$B$2:$H$1128,4,FALSE))</f>
        <v>Laurentides</v>
      </c>
      <c r="T3184" s="2" t="s">
        <v>14207</v>
      </c>
      <c r="U3184" s="2" t="s">
        <v>39</v>
      </c>
      <c r="V3184" s="2" t="s">
        <v>40</v>
      </c>
      <c r="W3184" s="2" t="s">
        <v>14208</v>
      </c>
      <c r="X3184" s="2"/>
      <c r="Y3184" s="2"/>
      <c r="Z3184" s="2"/>
      <c r="AA3184" s="2" t="s">
        <v>375</v>
      </c>
      <c r="AB3184" s="2" t="s">
        <v>376</v>
      </c>
      <c r="AC3184" s="4" t="s">
        <v>44</v>
      </c>
    </row>
    <row r="3185" spans="1:29" x14ac:dyDescent="0.25">
      <c r="A3185" s="1">
        <v>1523</v>
      </c>
      <c r="B3185" s="17" t="s">
        <v>14209</v>
      </c>
      <c r="C3185" s="2" t="s">
        <v>2231</v>
      </c>
      <c r="D3185" s="15" t="s">
        <v>2232</v>
      </c>
      <c r="E3185" s="9" t="s">
        <v>348</v>
      </c>
      <c r="F3185" s="9" t="s">
        <v>2233</v>
      </c>
      <c r="G3185" s="9" t="s">
        <v>949</v>
      </c>
      <c r="H3185" s="2" t="s">
        <v>60</v>
      </c>
      <c r="I3185" s="3">
        <v>37034</v>
      </c>
      <c r="J3185" s="9" t="str">
        <f t="shared" ca="1" si="52"/>
        <v>22 ans</v>
      </c>
      <c r="K3185" s="2" t="s">
        <v>156</v>
      </c>
      <c r="L3185" s="2" t="str">
        <f>"1086"</f>
        <v>1086</v>
      </c>
      <c r="M3185" s="2"/>
      <c r="N3185" s="2" t="str">
        <f>"RUE DU PARC"</f>
        <v>RUE DU PARC</v>
      </c>
      <c r="O3185" s="2" t="s">
        <v>14187</v>
      </c>
      <c r="P3185" s="9" t="str">
        <f>VLOOKUP($O3185,'Liste des Villes'!$B$2:$B$1128,1,FALSE)</f>
        <v>Oka</v>
      </c>
      <c r="Q3185" s="9" t="str">
        <f>IFERROR($P3185,PROPER(VLOOKUP($O3185,'Villes en erreur'!$A$2:$B$72,2,FALSE)))</f>
        <v>Oka</v>
      </c>
      <c r="R3185" s="9" t="s">
        <v>14188</v>
      </c>
      <c r="S3185" s="9" t="str">
        <f>IF(ISBLANK($R3185),"",VLOOKUP($R3185,'Liste des Villes'!$B$2:$H$1128,4,FALSE))</f>
        <v>Laurentides</v>
      </c>
      <c r="T3185" s="2" t="s">
        <v>14210</v>
      </c>
      <c r="U3185" s="2" t="s">
        <v>39</v>
      </c>
      <c r="V3185" s="2" t="s">
        <v>40</v>
      </c>
      <c r="W3185" s="2" t="s">
        <v>14211</v>
      </c>
      <c r="X3185" s="2"/>
      <c r="Y3185" s="2"/>
      <c r="Z3185" s="2"/>
      <c r="AA3185" s="2" t="s">
        <v>375</v>
      </c>
      <c r="AB3185" s="2" t="s">
        <v>376</v>
      </c>
      <c r="AC3185" s="4" t="s">
        <v>44</v>
      </c>
    </row>
    <row r="3186" spans="1:29" x14ac:dyDescent="0.25">
      <c r="A3186" s="1">
        <v>3953</v>
      </c>
      <c r="B3186" s="17" t="s">
        <v>14212</v>
      </c>
      <c r="C3186" s="2" t="s">
        <v>4394</v>
      </c>
      <c r="D3186" s="15" t="s">
        <v>617</v>
      </c>
      <c r="E3186" s="9" t="s">
        <v>2404</v>
      </c>
      <c r="F3186" s="9" t="s">
        <v>6124</v>
      </c>
      <c r="G3186" s="9" t="s">
        <v>3626</v>
      </c>
      <c r="H3186" s="2" t="s">
        <v>35</v>
      </c>
      <c r="I3186" s="3">
        <v>37034</v>
      </c>
      <c r="J3186" s="9" t="str">
        <f t="shared" ca="1" si="52"/>
        <v>22 ans</v>
      </c>
      <c r="K3186" s="2" t="s">
        <v>156</v>
      </c>
      <c r="L3186" s="2" t="str">
        <f>"1087"</f>
        <v>1087</v>
      </c>
      <c r="M3186" s="2"/>
      <c r="N3186" s="2" t="str">
        <f>"RUE DU PAVILLON"</f>
        <v>RUE DU PAVILLON</v>
      </c>
      <c r="O3186" s="2" t="s">
        <v>14187</v>
      </c>
      <c r="P3186" s="9" t="str">
        <f>VLOOKUP($O3186,'Liste des Villes'!$B$2:$B$1128,1,FALSE)</f>
        <v>Oka</v>
      </c>
      <c r="Q3186" s="9" t="str">
        <f>IFERROR($P3186,PROPER(VLOOKUP($O3186,'Villes en erreur'!$A$2:$B$72,2,FALSE)))</f>
        <v>Oka</v>
      </c>
      <c r="R3186" s="9" t="s">
        <v>14188</v>
      </c>
      <c r="S3186" s="9" t="str">
        <f>IF(ISBLANK($R3186),"",VLOOKUP($R3186,'Liste des Villes'!$B$2:$H$1128,4,FALSE))</f>
        <v>Laurentides</v>
      </c>
      <c r="T3186" s="2" t="s">
        <v>14189</v>
      </c>
      <c r="U3186" s="2" t="s">
        <v>39</v>
      </c>
      <c r="V3186" s="2" t="s">
        <v>40</v>
      </c>
      <c r="W3186" s="2" t="s">
        <v>14200</v>
      </c>
      <c r="X3186" s="2"/>
      <c r="Y3186" s="2"/>
      <c r="Z3186" s="2"/>
      <c r="AA3186" s="2" t="s">
        <v>375</v>
      </c>
      <c r="AB3186" s="2" t="s">
        <v>376</v>
      </c>
      <c r="AC3186" s="4" t="s">
        <v>44</v>
      </c>
    </row>
    <row r="3187" spans="1:29" x14ac:dyDescent="0.25">
      <c r="A3187" s="1">
        <v>1386</v>
      </c>
      <c r="B3187" s="17" t="s">
        <v>14213</v>
      </c>
      <c r="C3187" s="2" t="s">
        <v>2840</v>
      </c>
      <c r="D3187" s="15" t="s">
        <v>2841</v>
      </c>
      <c r="E3187" s="9" t="s">
        <v>2842</v>
      </c>
      <c r="F3187" s="9" t="s">
        <v>12559</v>
      </c>
      <c r="G3187" s="9" t="s">
        <v>3626</v>
      </c>
      <c r="H3187" s="2" t="s">
        <v>35</v>
      </c>
      <c r="I3187" s="3">
        <v>37035</v>
      </c>
      <c r="J3187" s="9" t="str">
        <f t="shared" ca="1" si="52"/>
        <v>22 ans</v>
      </c>
      <c r="K3187" s="2" t="s">
        <v>156</v>
      </c>
      <c r="L3187" s="2" t="str">
        <f>"1091"</f>
        <v>1091</v>
      </c>
      <c r="M3187" s="2"/>
      <c r="N3187" s="2" t="str">
        <f>"RUE DU PEUPLIER"</f>
        <v>RUE DU PEUPLIER</v>
      </c>
      <c r="O3187" s="2" t="s">
        <v>14187</v>
      </c>
      <c r="P3187" s="9" t="str">
        <f>VLOOKUP($O3187,'Liste des Villes'!$B$2:$B$1128,1,FALSE)</f>
        <v>Oka</v>
      </c>
      <c r="Q3187" s="9" t="str">
        <f>IFERROR($P3187,PROPER(VLOOKUP($O3187,'Villes en erreur'!$A$2:$B$72,2,FALSE)))</f>
        <v>Oka</v>
      </c>
      <c r="R3187" s="9" t="s">
        <v>14188</v>
      </c>
      <c r="S3187" s="9" t="str">
        <f>IF(ISBLANK($R3187),"",VLOOKUP($R3187,'Liste des Villes'!$B$2:$H$1128,4,FALSE))</f>
        <v>Laurentides</v>
      </c>
      <c r="T3187" s="2" t="s">
        <v>14214</v>
      </c>
      <c r="U3187" s="2" t="s">
        <v>39</v>
      </c>
      <c r="V3187" s="2" t="s">
        <v>40</v>
      </c>
      <c r="W3187" s="2" t="s">
        <v>14215</v>
      </c>
      <c r="X3187" s="2"/>
      <c r="Y3187" s="2"/>
      <c r="Z3187" s="2"/>
      <c r="AA3187" s="2" t="s">
        <v>375</v>
      </c>
      <c r="AB3187" s="2" t="s">
        <v>376</v>
      </c>
      <c r="AC3187" s="4" t="s">
        <v>44</v>
      </c>
    </row>
    <row r="3188" spans="1:29" x14ac:dyDescent="0.25">
      <c r="A3188" s="1">
        <v>4556</v>
      </c>
      <c r="B3188" s="17" t="s">
        <v>14216</v>
      </c>
      <c r="C3188" s="2" t="s">
        <v>11664</v>
      </c>
      <c r="D3188" s="15" t="s">
        <v>2099</v>
      </c>
      <c r="E3188" s="9" t="s">
        <v>1246</v>
      </c>
      <c r="F3188" s="9" t="s">
        <v>14217</v>
      </c>
      <c r="G3188" s="9" t="s">
        <v>7168</v>
      </c>
      <c r="H3188" s="2" t="s">
        <v>60</v>
      </c>
      <c r="I3188" s="3">
        <v>37034</v>
      </c>
      <c r="J3188" s="9" t="str">
        <f t="shared" ca="1" si="52"/>
        <v>22 ans</v>
      </c>
      <c r="K3188" s="2" t="s">
        <v>156</v>
      </c>
      <c r="L3188" s="2" t="str">
        <f>"1086"</f>
        <v>1086</v>
      </c>
      <c r="M3188" s="2"/>
      <c r="N3188" s="2" t="str">
        <f>"rue Du Passant"</f>
        <v>rue Du Passant</v>
      </c>
      <c r="O3188" s="2" t="s">
        <v>14187</v>
      </c>
      <c r="P3188" s="9" t="str">
        <f>VLOOKUP($O3188,'Liste des Villes'!$B$2:$B$1128,1,FALSE)</f>
        <v>Oka</v>
      </c>
      <c r="Q3188" s="9" t="str">
        <f>IFERROR($P3188,PROPER(VLOOKUP($O3188,'Villes en erreur'!$A$2:$B$72,2,FALSE)))</f>
        <v>Oka</v>
      </c>
      <c r="R3188" s="9" t="s">
        <v>14188</v>
      </c>
      <c r="S3188" s="9" t="str">
        <f>IF(ISBLANK($R3188),"",VLOOKUP($R3188,'Liste des Villes'!$B$2:$H$1128,4,FALSE))</f>
        <v>Laurentides</v>
      </c>
      <c r="T3188" s="2" t="s">
        <v>14210</v>
      </c>
      <c r="U3188" s="2" t="s">
        <v>39</v>
      </c>
      <c r="V3188" s="2" t="s">
        <v>40</v>
      </c>
      <c r="W3188" s="2" t="s">
        <v>14218</v>
      </c>
      <c r="X3188" s="2"/>
      <c r="Y3188" s="2"/>
      <c r="Z3188" s="2"/>
      <c r="AA3188" s="2" t="s">
        <v>375</v>
      </c>
      <c r="AB3188" s="2" t="s">
        <v>376</v>
      </c>
      <c r="AC3188" s="4" t="s">
        <v>44</v>
      </c>
    </row>
    <row r="3189" spans="1:29" x14ac:dyDescent="0.25">
      <c r="A3189" s="1">
        <v>4257</v>
      </c>
      <c r="B3189" s="17" t="s">
        <v>14219</v>
      </c>
      <c r="C3189" s="2" t="s">
        <v>14220</v>
      </c>
      <c r="D3189" s="15" t="s">
        <v>13744</v>
      </c>
      <c r="E3189" s="9" t="s">
        <v>1248</v>
      </c>
      <c r="F3189" s="9" t="s">
        <v>14221</v>
      </c>
      <c r="G3189" s="9" t="s">
        <v>3626</v>
      </c>
      <c r="H3189" s="2" t="s">
        <v>35</v>
      </c>
      <c r="I3189" s="3">
        <v>37035</v>
      </c>
      <c r="J3189" s="9" t="str">
        <f t="shared" ca="1" si="52"/>
        <v>22 ans</v>
      </c>
      <c r="K3189" s="2" t="s">
        <v>156</v>
      </c>
      <c r="L3189" s="2" t="str">
        <f>"1091"</f>
        <v>1091</v>
      </c>
      <c r="M3189" s="2"/>
      <c r="N3189" s="2" t="str">
        <f>"RUE DU PETIT-SAINT-CHARLE"</f>
        <v>RUE DU PETIT-SAINT-CHARLE</v>
      </c>
      <c r="O3189" s="2" t="s">
        <v>14187</v>
      </c>
      <c r="P3189" s="9" t="str">
        <f>VLOOKUP($O3189,'Liste des Villes'!$B$2:$B$1128,1,FALSE)</f>
        <v>Oka</v>
      </c>
      <c r="Q3189" s="9" t="str">
        <f>IFERROR($P3189,PROPER(VLOOKUP($O3189,'Villes en erreur'!$A$2:$B$72,2,FALSE)))</f>
        <v>Oka</v>
      </c>
      <c r="R3189" s="9" t="s">
        <v>14188</v>
      </c>
      <c r="S3189" s="9" t="str">
        <f>IF(ISBLANK($R3189),"",VLOOKUP($R3189,'Liste des Villes'!$B$2:$H$1128,4,FALSE))</f>
        <v>Laurentides</v>
      </c>
      <c r="T3189" s="2" t="s">
        <v>14222</v>
      </c>
      <c r="U3189" s="2" t="s">
        <v>39</v>
      </c>
      <c r="V3189" s="2" t="s">
        <v>40</v>
      </c>
      <c r="W3189" s="2" t="s">
        <v>14223</v>
      </c>
      <c r="X3189" s="2"/>
      <c r="Y3189" s="2"/>
      <c r="Z3189" s="2"/>
      <c r="AA3189" s="2" t="s">
        <v>375</v>
      </c>
      <c r="AB3189" s="2" t="s">
        <v>376</v>
      </c>
      <c r="AC3189" s="4" t="s">
        <v>44</v>
      </c>
    </row>
    <row r="3190" spans="1:29" x14ac:dyDescent="0.25">
      <c r="A3190" s="1">
        <v>940</v>
      </c>
      <c r="B3190" s="17" t="s">
        <v>14224</v>
      </c>
      <c r="C3190" s="2" t="s">
        <v>14225</v>
      </c>
      <c r="D3190" s="15" t="s">
        <v>7286</v>
      </c>
      <c r="E3190" s="9" t="s">
        <v>600</v>
      </c>
      <c r="F3190" s="9" t="s">
        <v>7285</v>
      </c>
      <c r="G3190" s="9" t="s">
        <v>3626</v>
      </c>
      <c r="H3190" s="2" t="s">
        <v>35</v>
      </c>
      <c r="I3190" s="3">
        <v>37035</v>
      </c>
      <c r="J3190" s="9" t="str">
        <f t="shared" ca="1" si="52"/>
        <v>22 ans</v>
      </c>
      <c r="K3190" s="2" t="s">
        <v>156</v>
      </c>
      <c r="L3190" s="2" t="str">
        <f>"1091"</f>
        <v>1091</v>
      </c>
      <c r="M3190" s="2"/>
      <c r="N3190" s="2" t="str">
        <f>"RUE DU PETIT-SAINT-CHARLES"</f>
        <v>RUE DU PETIT-SAINT-CHARLES</v>
      </c>
      <c r="O3190" s="2" t="s">
        <v>14187</v>
      </c>
      <c r="P3190" s="9" t="str">
        <f>VLOOKUP($O3190,'Liste des Villes'!$B$2:$B$1128,1,FALSE)</f>
        <v>Oka</v>
      </c>
      <c r="Q3190" s="9" t="str">
        <f>IFERROR($P3190,PROPER(VLOOKUP($O3190,'Villes en erreur'!$A$2:$B$72,2,FALSE)))</f>
        <v>Oka</v>
      </c>
      <c r="R3190" s="9" t="s">
        <v>14188</v>
      </c>
      <c r="S3190" s="9" t="str">
        <f>IF(ISBLANK($R3190),"",VLOOKUP($R3190,'Liste des Villes'!$B$2:$H$1128,4,FALSE))</f>
        <v>Laurentides</v>
      </c>
      <c r="T3190" s="2" t="s">
        <v>14214</v>
      </c>
      <c r="U3190" s="2" t="s">
        <v>39</v>
      </c>
      <c r="V3190" s="2" t="s">
        <v>40</v>
      </c>
      <c r="W3190" s="2" t="s">
        <v>14226</v>
      </c>
      <c r="X3190" s="2"/>
      <c r="Y3190" s="2"/>
      <c r="Z3190" s="2"/>
      <c r="AA3190" s="2" t="s">
        <v>375</v>
      </c>
      <c r="AB3190" s="2" t="s">
        <v>376</v>
      </c>
      <c r="AC3190" s="4" t="s">
        <v>44</v>
      </c>
    </row>
    <row r="3191" spans="1:29" x14ac:dyDescent="0.25">
      <c r="A3191" s="1">
        <v>2357</v>
      </c>
      <c r="B3191" s="17" t="s">
        <v>14227</v>
      </c>
      <c r="C3191" s="2" t="s">
        <v>14228</v>
      </c>
      <c r="D3191" s="15" t="s">
        <v>12137</v>
      </c>
      <c r="E3191" s="9" t="s">
        <v>1689</v>
      </c>
      <c r="F3191" s="9" t="s">
        <v>12136</v>
      </c>
      <c r="G3191" s="9" t="s">
        <v>3626</v>
      </c>
      <c r="H3191" s="2" t="s">
        <v>35</v>
      </c>
      <c r="I3191" s="3">
        <v>37035</v>
      </c>
      <c r="J3191" s="9" t="str">
        <f t="shared" ca="1" si="52"/>
        <v>22 ans</v>
      </c>
      <c r="K3191" s="2" t="s">
        <v>156</v>
      </c>
      <c r="L3191" s="2" t="str">
        <f>"1089"</f>
        <v>1089</v>
      </c>
      <c r="M3191" s="2"/>
      <c r="N3191" s="2" t="str">
        <f>"RUE DU PÉRIDOT"</f>
        <v>RUE DU PÉRIDOT</v>
      </c>
      <c r="O3191" s="2" t="s">
        <v>14187</v>
      </c>
      <c r="P3191" s="9" t="str">
        <f>VLOOKUP($O3191,'Liste des Villes'!$B$2:$B$1128,1,FALSE)</f>
        <v>Oka</v>
      </c>
      <c r="Q3191" s="9" t="str">
        <f>IFERROR($P3191,PROPER(VLOOKUP($O3191,'Villes en erreur'!$A$2:$B$72,2,FALSE)))</f>
        <v>Oka</v>
      </c>
      <c r="R3191" s="9" t="s">
        <v>14188</v>
      </c>
      <c r="S3191" s="9" t="str">
        <f>IF(ISBLANK($R3191),"",VLOOKUP($R3191,'Liste des Villes'!$B$2:$H$1128,4,FALSE))</f>
        <v>Laurentides</v>
      </c>
      <c r="T3191" s="2" t="s">
        <v>14189</v>
      </c>
      <c r="U3191" s="2" t="s">
        <v>39</v>
      </c>
      <c r="V3191" s="2" t="s">
        <v>40</v>
      </c>
      <c r="W3191" s="2" t="s">
        <v>14229</v>
      </c>
      <c r="X3191" s="2"/>
      <c r="Y3191" s="2"/>
      <c r="Z3191" s="2"/>
      <c r="AA3191" s="2" t="s">
        <v>375</v>
      </c>
      <c r="AB3191" s="2" t="s">
        <v>376</v>
      </c>
      <c r="AC3191" s="4" t="s">
        <v>44</v>
      </c>
    </row>
    <row r="3192" spans="1:29" x14ac:dyDescent="0.25">
      <c r="A3192" s="1">
        <v>3023</v>
      </c>
      <c r="B3192" s="17" t="s">
        <v>14230</v>
      </c>
      <c r="C3192" s="2" t="s">
        <v>14231</v>
      </c>
      <c r="D3192" s="15" t="s">
        <v>10214</v>
      </c>
      <c r="E3192" s="9" t="s">
        <v>396</v>
      </c>
      <c r="F3192" s="9" t="s">
        <v>34</v>
      </c>
      <c r="G3192" s="9" t="s">
        <v>3626</v>
      </c>
      <c r="H3192" s="2" t="s">
        <v>35</v>
      </c>
      <c r="I3192" s="3">
        <v>37036</v>
      </c>
      <c r="J3192" s="9" t="str">
        <f t="shared" ca="1" si="52"/>
        <v>22 ans</v>
      </c>
      <c r="K3192" s="2" t="s">
        <v>156</v>
      </c>
      <c r="L3192" s="2" t="str">
        <f>"1092"</f>
        <v>1092</v>
      </c>
      <c r="M3192" s="2"/>
      <c r="N3192" s="2" t="str">
        <f>"RUE DU PIGEON D'ARGILE"</f>
        <v>RUE DU PIGEON D'ARGILE</v>
      </c>
      <c r="O3192" s="2" t="s">
        <v>14232</v>
      </c>
      <c r="P3192" s="9" t="str">
        <f>VLOOKUP($O3192,'Liste des Villes'!$B$2:$B$1128,1,FALSE)</f>
        <v>Notre-Dame-des-Prairies</v>
      </c>
      <c r="Q3192" s="9" t="str">
        <f>IFERROR($P3192,PROPER(VLOOKUP($O3192,'Villes en erreur'!$A$2:$B$72,2,FALSE)))</f>
        <v>Notre-Dame-des-Prairies</v>
      </c>
      <c r="R3192" s="9" t="s">
        <v>14233</v>
      </c>
      <c r="S3192" s="9" t="str">
        <f>IF(ISBLANK($R3192),"",VLOOKUP($R3192,'Liste des Villes'!$B$2:$H$1128,4,FALSE))</f>
        <v>Lanaudière</v>
      </c>
      <c r="T3192" s="2" t="s">
        <v>14234</v>
      </c>
      <c r="U3192" s="2" t="s">
        <v>39</v>
      </c>
      <c r="V3192" s="2" t="s">
        <v>40</v>
      </c>
      <c r="W3192" s="2" t="s">
        <v>14235</v>
      </c>
      <c r="X3192" s="2"/>
      <c r="Y3192" s="2"/>
      <c r="Z3192" s="2"/>
      <c r="AA3192" s="2" t="s">
        <v>375</v>
      </c>
      <c r="AB3192" s="2" t="s">
        <v>376</v>
      </c>
      <c r="AC3192" s="4" t="s">
        <v>44</v>
      </c>
    </row>
    <row r="3193" spans="1:29" x14ac:dyDescent="0.25">
      <c r="A3193" s="1">
        <v>2528</v>
      </c>
      <c r="B3193" s="17" t="s">
        <v>14236</v>
      </c>
      <c r="C3193" s="2" t="s">
        <v>14237</v>
      </c>
      <c r="D3193" s="15" t="s">
        <v>371</v>
      </c>
      <c r="E3193" s="9" t="s">
        <v>1774</v>
      </c>
      <c r="F3193" s="9" t="s">
        <v>7067</v>
      </c>
      <c r="G3193" s="9" t="s">
        <v>3626</v>
      </c>
      <c r="H3193" s="2" t="s">
        <v>35</v>
      </c>
      <c r="I3193" s="3">
        <v>37037</v>
      </c>
      <c r="J3193" s="9" t="str">
        <f t="shared" ca="1" si="52"/>
        <v>22 ans</v>
      </c>
      <c r="K3193" s="2" t="s">
        <v>156</v>
      </c>
      <c r="L3193" s="2" t="str">
        <f>"1094"</f>
        <v>1094</v>
      </c>
      <c r="M3193" s="2"/>
      <c r="N3193" s="2" t="str">
        <f>"RUE DU PIRÉE"</f>
        <v>RUE DU PIRÉE</v>
      </c>
      <c r="O3193" s="2" t="s">
        <v>14232</v>
      </c>
      <c r="P3193" s="9" t="str">
        <f>VLOOKUP($O3193,'Liste des Villes'!$B$2:$B$1128,1,FALSE)</f>
        <v>Notre-Dame-des-Prairies</v>
      </c>
      <c r="Q3193" s="9" t="str">
        <f>IFERROR($P3193,PROPER(VLOOKUP($O3193,'Villes en erreur'!$A$2:$B$72,2,FALSE)))</f>
        <v>Notre-Dame-des-Prairies</v>
      </c>
      <c r="R3193" s="9" t="s">
        <v>14233</v>
      </c>
      <c r="S3193" s="9" t="str">
        <f>IF(ISBLANK($R3193),"",VLOOKUP($R3193,'Liste des Villes'!$B$2:$H$1128,4,FALSE))</f>
        <v>Lanaudière</v>
      </c>
      <c r="T3193" s="2" t="s">
        <v>14238</v>
      </c>
      <c r="U3193" s="2" t="s">
        <v>39</v>
      </c>
      <c r="V3193" s="2" t="s">
        <v>40</v>
      </c>
      <c r="W3193" s="2" t="s">
        <v>14239</v>
      </c>
      <c r="X3193" s="2"/>
      <c r="Y3193" s="2"/>
      <c r="Z3193" s="2"/>
      <c r="AA3193" s="2" t="s">
        <v>375</v>
      </c>
      <c r="AB3193" s="2" t="s">
        <v>376</v>
      </c>
      <c r="AC3193" s="4" t="s">
        <v>44</v>
      </c>
    </row>
    <row r="3194" spans="1:29" x14ac:dyDescent="0.25">
      <c r="A3194" s="1">
        <v>749</v>
      </c>
      <c r="B3194" s="17" t="s">
        <v>14240</v>
      </c>
      <c r="C3194" s="2" t="s">
        <v>14241</v>
      </c>
      <c r="D3194" s="15" t="s">
        <v>8191</v>
      </c>
      <c r="E3194" s="9" t="s">
        <v>7291</v>
      </c>
      <c r="F3194" s="9" t="s">
        <v>8189</v>
      </c>
      <c r="G3194" s="9" t="s">
        <v>2370</v>
      </c>
      <c r="H3194" s="2" t="s">
        <v>35</v>
      </c>
      <c r="I3194" s="3">
        <v>37038</v>
      </c>
      <c r="J3194" s="9" t="str">
        <f t="shared" ca="1" si="52"/>
        <v>22 ans</v>
      </c>
      <c r="K3194" s="2" t="s">
        <v>156</v>
      </c>
      <c r="L3194" s="2" t="str">
        <f>"1095"</f>
        <v>1095</v>
      </c>
      <c r="M3194" s="2"/>
      <c r="N3194" s="2" t="str">
        <f>"RUE DU PLATEAU"</f>
        <v>RUE DU PLATEAU</v>
      </c>
      <c r="O3194" s="2" t="s">
        <v>14242</v>
      </c>
      <c r="P3194" s="9" t="str">
        <f>VLOOKUP($O3194,'Liste des Villes'!$B$2:$B$1128,1,FALSE)</f>
        <v>Notre-Dame-de-Pontmain</v>
      </c>
      <c r="Q3194" s="9" t="str">
        <f>IFERROR($P3194,PROPER(VLOOKUP($O3194,'Villes en erreur'!$A$2:$B$72,2,FALSE)))</f>
        <v>Notre-Dame-de-Pontmain</v>
      </c>
      <c r="R3194" s="9" t="s">
        <v>14243</v>
      </c>
      <c r="S3194" s="9" t="str">
        <f>IF(ISBLANK($R3194),"",VLOOKUP($R3194,'Liste des Villes'!$B$2:$H$1128,4,FALSE))</f>
        <v>Laurentides</v>
      </c>
      <c r="T3194" s="2" t="s">
        <v>14244</v>
      </c>
      <c r="U3194" s="2" t="s">
        <v>39</v>
      </c>
      <c r="V3194" s="2" t="s">
        <v>40</v>
      </c>
      <c r="W3194" s="2" t="s">
        <v>14245</v>
      </c>
      <c r="X3194" s="2"/>
      <c r="Y3194" s="2"/>
      <c r="Z3194" s="2"/>
      <c r="AA3194" s="2" t="s">
        <v>375</v>
      </c>
      <c r="AB3194" s="2" t="s">
        <v>376</v>
      </c>
      <c r="AC3194" s="4" t="s">
        <v>44</v>
      </c>
    </row>
    <row r="3195" spans="1:29" x14ac:dyDescent="0.25">
      <c r="A3195" s="1">
        <v>4234</v>
      </c>
      <c r="B3195" s="17" t="s">
        <v>14246</v>
      </c>
      <c r="C3195" s="2" t="s">
        <v>14247</v>
      </c>
      <c r="D3195" s="15" t="s">
        <v>108</v>
      </c>
      <c r="E3195" s="9" t="s">
        <v>956</v>
      </c>
      <c r="F3195" s="9" t="s">
        <v>106</v>
      </c>
      <c r="G3195" s="9" t="s">
        <v>2370</v>
      </c>
      <c r="H3195" s="2" t="s">
        <v>35</v>
      </c>
      <c r="I3195" s="3">
        <v>37037</v>
      </c>
      <c r="J3195" s="9" t="str">
        <f t="shared" ca="1" si="52"/>
        <v>22 ans</v>
      </c>
      <c r="K3195" s="2" t="s">
        <v>156</v>
      </c>
      <c r="L3195" s="2" t="str">
        <f>"1095"</f>
        <v>1095</v>
      </c>
      <c r="M3195" s="2"/>
      <c r="N3195" s="2" t="str">
        <f>"RUE DU PLATEAU"</f>
        <v>RUE DU PLATEAU</v>
      </c>
      <c r="O3195" s="2" t="s">
        <v>14242</v>
      </c>
      <c r="P3195" s="9" t="str">
        <f>VLOOKUP($O3195,'Liste des Villes'!$B$2:$B$1128,1,FALSE)</f>
        <v>Notre-Dame-de-Pontmain</v>
      </c>
      <c r="Q3195" s="9" t="str">
        <f>IFERROR($P3195,PROPER(VLOOKUP($O3195,'Villes en erreur'!$A$2:$B$72,2,FALSE)))</f>
        <v>Notre-Dame-de-Pontmain</v>
      </c>
      <c r="R3195" s="9" t="s">
        <v>14243</v>
      </c>
      <c r="S3195" s="9" t="str">
        <f>IF(ISBLANK($R3195),"",VLOOKUP($R3195,'Liste des Villes'!$B$2:$H$1128,4,FALSE))</f>
        <v>Laurentides</v>
      </c>
      <c r="T3195" s="2" t="s">
        <v>14238</v>
      </c>
      <c r="U3195" s="2" t="s">
        <v>39</v>
      </c>
      <c r="V3195" s="2" t="s">
        <v>40</v>
      </c>
      <c r="W3195" s="2" t="s">
        <v>14248</v>
      </c>
      <c r="X3195" s="2"/>
      <c r="Y3195" s="2"/>
      <c r="Z3195" s="2"/>
      <c r="AA3195" s="2" t="s">
        <v>375</v>
      </c>
      <c r="AB3195" s="2" t="s">
        <v>376</v>
      </c>
      <c r="AC3195" s="4" t="s">
        <v>44</v>
      </c>
    </row>
    <row r="3196" spans="1:29" x14ac:dyDescent="0.25">
      <c r="A3196" s="1">
        <v>171</v>
      </c>
      <c r="B3196" s="17" t="s">
        <v>14249</v>
      </c>
      <c r="C3196" s="2" t="s">
        <v>14250</v>
      </c>
      <c r="D3196" s="15" t="s">
        <v>719</v>
      </c>
      <c r="E3196" s="9" t="s">
        <v>5511</v>
      </c>
      <c r="F3196" s="9" t="s">
        <v>14251</v>
      </c>
      <c r="G3196" s="9" t="s">
        <v>2370</v>
      </c>
      <c r="H3196" s="2" t="s">
        <v>35</v>
      </c>
      <c r="I3196" s="3">
        <v>37038</v>
      </c>
      <c r="J3196" s="9" t="str">
        <f t="shared" ca="1" si="52"/>
        <v>22 ans</v>
      </c>
      <c r="K3196" s="2" t="s">
        <v>156</v>
      </c>
      <c r="L3196" s="2" t="str">
        <f>"1096"</f>
        <v>1096</v>
      </c>
      <c r="M3196" s="2"/>
      <c r="N3196" s="2" t="str">
        <f>"RUE DU PLATEAU"</f>
        <v>RUE DU PLATEAU</v>
      </c>
      <c r="O3196" s="2" t="s">
        <v>14252</v>
      </c>
      <c r="P3196" s="9" t="str">
        <f>VLOOKUP($O3196,'Liste des Villes'!$B$2:$B$1128,1,FALSE)</f>
        <v>Notre-Dame-de-la-Paix</v>
      </c>
      <c r="Q3196" s="9" t="str">
        <f>IFERROR($P3196,PROPER(VLOOKUP($O3196,'Villes en erreur'!$A$2:$B$72,2,FALSE)))</f>
        <v>Notre-Dame-de-la-Paix</v>
      </c>
      <c r="R3196" s="9" t="s">
        <v>14253</v>
      </c>
      <c r="S3196" s="9" t="str">
        <f>IF(ISBLANK($R3196),"",VLOOKUP($R3196,'Liste des Villes'!$B$2:$H$1128,4,FALSE))</f>
        <v>Outaouais</v>
      </c>
      <c r="T3196" s="2" t="s">
        <v>14244</v>
      </c>
      <c r="U3196" s="2" t="s">
        <v>39</v>
      </c>
      <c r="V3196" s="2" t="s">
        <v>40</v>
      </c>
      <c r="W3196" s="2" t="s">
        <v>14254</v>
      </c>
      <c r="X3196" s="2"/>
      <c r="Y3196" s="2"/>
      <c r="Z3196" s="2"/>
      <c r="AA3196" s="2" t="s">
        <v>375</v>
      </c>
      <c r="AB3196" s="2" t="s">
        <v>376</v>
      </c>
      <c r="AC3196" s="4" t="s">
        <v>44</v>
      </c>
    </row>
    <row r="3197" spans="1:29" x14ac:dyDescent="0.25">
      <c r="A3197" s="1">
        <v>1226</v>
      </c>
      <c r="B3197" s="17" t="s">
        <v>14255</v>
      </c>
      <c r="C3197" s="2" t="s">
        <v>981</v>
      </c>
      <c r="D3197" s="15" t="s">
        <v>982</v>
      </c>
      <c r="E3197" s="9" t="s">
        <v>983</v>
      </c>
      <c r="F3197" s="9" t="s">
        <v>14256</v>
      </c>
      <c r="G3197" s="9" t="s">
        <v>2370</v>
      </c>
      <c r="H3197" s="2" t="s">
        <v>35</v>
      </c>
      <c r="I3197" s="3">
        <v>37038</v>
      </c>
      <c r="J3197" s="9" t="str">
        <f t="shared" ca="1" si="52"/>
        <v>22 ans</v>
      </c>
      <c r="K3197" s="2" t="s">
        <v>156</v>
      </c>
      <c r="L3197" s="2" t="str">
        <f>"1097"</f>
        <v>1097</v>
      </c>
      <c r="M3197" s="2"/>
      <c r="N3197" s="2" t="str">
        <f>"RUE DU PLATEAU"</f>
        <v>RUE DU PLATEAU</v>
      </c>
      <c r="O3197" s="2" t="s">
        <v>14257</v>
      </c>
      <c r="P3197" s="9" t="str">
        <f>VLOOKUP($O3197,'Liste des Villes'!$B$2:$B$1128,1,FALSE)</f>
        <v>Notre-Dame-de-la-Merci</v>
      </c>
      <c r="Q3197" s="9" t="str">
        <f>IFERROR($P3197,PROPER(VLOOKUP($O3197,'Villes en erreur'!$A$2:$B$72,2,FALSE)))</f>
        <v>Notre-Dame-de-la-Merci</v>
      </c>
      <c r="R3197" s="9" t="s">
        <v>14258</v>
      </c>
      <c r="S3197" s="9" t="str">
        <f>IF(ISBLANK($R3197),"",VLOOKUP($R3197,'Liste des Villes'!$B$2:$H$1128,4,FALSE))</f>
        <v>Lanaudière</v>
      </c>
      <c r="T3197" s="2" t="s">
        <v>14259</v>
      </c>
      <c r="U3197" s="2" t="s">
        <v>39</v>
      </c>
      <c r="V3197" s="2" t="s">
        <v>40</v>
      </c>
      <c r="W3197" s="2" t="s">
        <v>14260</v>
      </c>
      <c r="X3197" s="2"/>
      <c r="Y3197" s="2"/>
      <c r="Z3197" s="2"/>
      <c r="AA3197" s="2" t="s">
        <v>375</v>
      </c>
      <c r="AB3197" s="2" t="s">
        <v>376</v>
      </c>
      <c r="AC3197" s="4" t="s">
        <v>44</v>
      </c>
    </row>
    <row r="3198" spans="1:29" x14ac:dyDescent="0.25">
      <c r="A3198" s="1">
        <v>1819</v>
      </c>
      <c r="B3198" s="17" t="s">
        <v>14261</v>
      </c>
      <c r="C3198" s="2" t="s">
        <v>6576</v>
      </c>
      <c r="D3198" s="15" t="s">
        <v>6577</v>
      </c>
      <c r="E3198" s="9" t="s">
        <v>87</v>
      </c>
      <c r="F3198" s="9" t="s">
        <v>6578</v>
      </c>
      <c r="G3198" s="9" t="s">
        <v>2370</v>
      </c>
      <c r="H3198" s="2" t="s">
        <v>35</v>
      </c>
      <c r="I3198" s="3">
        <v>37038</v>
      </c>
      <c r="J3198" s="9" t="str">
        <f t="shared" ca="1" si="52"/>
        <v>22 ans</v>
      </c>
      <c r="K3198" s="2" t="s">
        <v>156</v>
      </c>
      <c r="L3198" s="2" t="str">
        <f>"1097"</f>
        <v>1097</v>
      </c>
      <c r="M3198" s="2"/>
      <c r="N3198" s="2" t="str">
        <f>"RUE DU PLATEAU"</f>
        <v>RUE DU PLATEAU</v>
      </c>
      <c r="O3198" s="2" t="s">
        <v>14257</v>
      </c>
      <c r="P3198" s="9" t="str">
        <f>VLOOKUP($O3198,'Liste des Villes'!$B$2:$B$1128,1,FALSE)</f>
        <v>Notre-Dame-de-la-Merci</v>
      </c>
      <c r="Q3198" s="9" t="str">
        <f>IFERROR($P3198,PROPER(VLOOKUP($O3198,'Villes en erreur'!$A$2:$B$72,2,FALSE)))</f>
        <v>Notre-Dame-de-la-Merci</v>
      </c>
      <c r="R3198" s="9" t="s">
        <v>14258</v>
      </c>
      <c r="S3198" s="9" t="str">
        <f>IF(ISBLANK($R3198),"",VLOOKUP($R3198,'Liste des Villes'!$B$2:$H$1128,4,FALSE))</f>
        <v>Lanaudière</v>
      </c>
      <c r="T3198" s="2" t="s">
        <v>14262</v>
      </c>
      <c r="U3198" s="2" t="s">
        <v>39</v>
      </c>
      <c r="V3198" s="2" t="s">
        <v>40</v>
      </c>
      <c r="W3198" s="2" t="s">
        <v>14263</v>
      </c>
      <c r="X3198" s="2"/>
      <c r="Y3198" s="2"/>
      <c r="Z3198" s="2"/>
      <c r="AA3198" s="2" t="s">
        <v>375</v>
      </c>
      <c r="AB3198" s="2" t="s">
        <v>376</v>
      </c>
      <c r="AC3198" s="4" t="s">
        <v>44</v>
      </c>
    </row>
    <row r="3199" spans="1:29" x14ac:dyDescent="0.25">
      <c r="A3199" s="1">
        <v>2438</v>
      </c>
      <c r="B3199" s="17" t="s">
        <v>14264</v>
      </c>
      <c r="C3199" s="2" t="s">
        <v>14265</v>
      </c>
      <c r="D3199" s="15" t="s">
        <v>14266</v>
      </c>
      <c r="E3199" s="9" t="s">
        <v>956</v>
      </c>
      <c r="F3199" s="9" t="s">
        <v>957</v>
      </c>
      <c r="G3199" s="9" t="s">
        <v>14267</v>
      </c>
      <c r="H3199" s="2" t="s">
        <v>35</v>
      </c>
      <c r="I3199" s="3">
        <v>37039</v>
      </c>
      <c r="J3199" s="9" t="str">
        <f t="shared" ca="1" si="52"/>
        <v>22 ans</v>
      </c>
      <c r="K3199" s="2" t="s">
        <v>156</v>
      </c>
      <c r="L3199" s="2" t="str">
        <f>"1098"</f>
        <v>1098</v>
      </c>
      <c r="M3199" s="2"/>
      <c r="N3199" s="2" t="str">
        <f>"RUE DU PLEIN AIR"</f>
        <v>RUE DU PLEIN AIR</v>
      </c>
      <c r="O3199" s="2" t="s">
        <v>14268</v>
      </c>
      <c r="P3199" s="9" t="str">
        <f>VLOOKUP($O3199,'Liste des Villes'!$B$2:$B$1128,1,FALSE)</f>
        <v>Nominingue</v>
      </c>
      <c r="Q3199" s="9" t="str">
        <f>IFERROR($P3199,PROPER(VLOOKUP($O3199,'Villes en erreur'!$A$2:$B$72,2,FALSE)))</f>
        <v>Nominingue</v>
      </c>
      <c r="R3199" s="9" t="s">
        <v>14269</v>
      </c>
      <c r="S3199" s="9" t="str">
        <f>IF(ISBLANK($R3199),"",VLOOKUP($R3199,'Liste des Villes'!$B$2:$H$1128,4,FALSE))</f>
        <v>Laurentides</v>
      </c>
      <c r="T3199" s="2" t="s">
        <v>14270</v>
      </c>
      <c r="U3199" s="2" t="s">
        <v>39</v>
      </c>
      <c r="V3199" s="2" t="s">
        <v>40</v>
      </c>
      <c r="W3199" s="2" t="s">
        <v>14271</v>
      </c>
      <c r="X3199" s="2"/>
      <c r="Y3199" s="2"/>
      <c r="Z3199" s="2"/>
      <c r="AA3199" s="2" t="s">
        <v>375</v>
      </c>
      <c r="AB3199" s="2" t="s">
        <v>376</v>
      </c>
      <c r="AC3199" s="4" t="s">
        <v>44</v>
      </c>
    </row>
    <row r="3200" spans="1:29" x14ac:dyDescent="0.25">
      <c r="A3200" s="1">
        <v>1989</v>
      </c>
      <c r="B3200" s="17" t="s">
        <v>14272</v>
      </c>
      <c r="C3200" s="2" t="s">
        <v>12455</v>
      </c>
      <c r="D3200" s="15" t="s">
        <v>10898</v>
      </c>
      <c r="E3200" s="9" t="s">
        <v>325</v>
      </c>
      <c r="F3200" s="9" t="s">
        <v>10897</v>
      </c>
      <c r="G3200" s="9" t="s">
        <v>1683</v>
      </c>
      <c r="H3200" s="2" t="s">
        <v>35</v>
      </c>
      <c r="I3200" s="3">
        <v>37038</v>
      </c>
      <c r="J3200" s="9" t="str">
        <f t="shared" ca="1" si="52"/>
        <v>22 ans</v>
      </c>
      <c r="K3200" s="2" t="s">
        <v>156</v>
      </c>
      <c r="L3200" s="2" t="str">
        <f>"1097"</f>
        <v>1097</v>
      </c>
      <c r="M3200" s="2"/>
      <c r="N3200" s="2" t="str">
        <f>"RUE DU PLATEAU"</f>
        <v>RUE DU PLATEAU</v>
      </c>
      <c r="O3200" s="2" t="s">
        <v>14268</v>
      </c>
      <c r="P3200" s="9" t="str">
        <f>VLOOKUP($O3200,'Liste des Villes'!$B$2:$B$1128,1,FALSE)</f>
        <v>Nominingue</v>
      </c>
      <c r="Q3200" s="9" t="str">
        <f>IFERROR($P3200,PROPER(VLOOKUP($O3200,'Villes en erreur'!$A$2:$B$72,2,FALSE)))</f>
        <v>Nominingue</v>
      </c>
      <c r="R3200" s="9" t="s">
        <v>14269</v>
      </c>
      <c r="S3200" s="9" t="str">
        <f>IF(ISBLANK($R3200),"",VLOOKUP($R3200,'Liste des Villes'!$B$2:$H$1128,4,FALSE))</f>
        <v>Laurentides</v>
      </c>
      <c r="T3200" s="2" t="s">
        <v>14273</v>
      </c>
      <c r="U3200" s="2" t="s">
        <v>39</v>
      </c>
      <c r="V3200" s="2" t="s">
        <v>40</v>
      </c>
      <c r="W3200" s="2" t="s">
        <v>14274</v>
      </c>
      <c r="X3200" s="2"/>
      <c r="Y3200" s="2"/>
      <c r="Z3200" s="2"/>
      <c r="AA3200" s="2" t="s">
        <v>375</v>
      </c>
      <c r="AB3200" s="2" t="s">
        <v>376</v>
      </c>
      <c r="AC3200" s="4" t="s">
        <v>44</v>
      </c>
    </row>
    <row r="3201" spans="1:29" x14ac:dyDescent="0.25">
      <c r="A3201" s="1">
        <v>3850</v>
      </c>
      <c r="B3201" s="17" t="s">
        <v>14275</v>
      </c>
      <c r="C3201" s="2" t="s">
        <v>14276</v>
      </c>
      <c r="D3201" s="15" t="s">
        <v>9550</v>
      </c>
      <c r="E3201" s="9" t="s">
        <v>1892</v>
      </c>
      <c r="F3201" s="9" t="s">
        <v>9549</v>
      </c>
      <c r="G3201" s="9" t="s">
        <v>9764</v>
      </c>
      <c r="H3201" s="2" t="s">
        <v>60</v>
      </c>
      <c r="I3201" s="3">
        <v>37039</v>
      </c>
      <c r="J3201" s="9" t="str">
        <f t="shared" ca="1" si="52"/>
        <v>22 ans</v>
      </c>
      <c r="K3201" s="2" t="s">
        <v>156</v>
      </c>
      <c r="L3201" s="2" t="str">
        <f>"1098"</f>
        <v>1098</v>
      </c>
      <c r="M3201" s="2"/>
      <c r="N3201" s="2" t="str">
        <f>"RUE DU PLEIN-AIR"</f>
        <v>RUE DU PLEIN-AIR</v>
      </c>
      <c r="O3201" s="2" t="s">
        <v>14268</v>
      </c>
      <c r="P3201" s="9" t="str">
        <f>VLOOKUP($O3201,'Liste des Villes'!$B$2:$B$1128,1,FALSE)</f>
        <v>Nominingue</v>
      </c>
      <c r="Q3201" s="9" t="str">
        <f>IFERROR($P3201,PROPER(VLOOKUP($O3201,'Villes en erreur'!$A$2:$B$72,2,FALSE)))</f>
        <v>Nominingue</v>
      </c>
      <c r="R3201" s="9" t="s">
        <v>14269</v>
      </c>
      <c r="S3201" s="9" t="str">
        <f>IF(ISBLANK($R3201),"",VLOOKUP($R3201,'Liste des Villes'!$B$2:$H$1128,4,FALSE))</f>
        <v>Laurentides</v>
      </c>
      <c r="T3201" s="2" t="s">
        <v>14277</v>
      </c>
      <c r="U3201" s="2" t="s">
        <v>39</v>
      </c>
      <c r="V3201" s="2" t="s">
        <v>40</v>
      </c>
      <c r="W3201" s="2" t="s">
        <v>14278</v>
      </c>
      <c r="X3201" s="2"/>
      <c r="Y3201" s="2"/>
      <c r="Z3201" s="2"/>
      <c r="AA3201" s="2" t="s">
        <v>375</v>
      </c>
      <c r="AB3201" s="2" t="s">
        <v>376</v>
      </c>
      <c r="AC3201" s="4" t="s">
        <v>44</v>
      </c>
    </row>
    <row r="3202" spans="1:29" x14ac:dyDescent="0.25">
      <c r="A3202" s="1">
        <v>4448</v>
      </c>
      <c r="B3202" s="17" t="s">
        <v>14279</v>
      </c>
      <c r="C3202" s="2" t="s">
        <v>8038</v>
      </c>
      <c r="D3202" s="15" t="s">
        <v>6669</v>
      </c>
      <c r="E3202" s="9" t="s">
        <v>8039</v>
      </c>
      <c r="F3202" s="9" t="s">
        <v>449</v>
      </c>
      <c r="G3202" s="9" t="s">
        <v>4352</v>
      </c>
      <c r="H3202" s="2" t="s">
        <v>60</v>
      </c>
      <c r="I3202" s="3">
        <v>37040</v>
      </c>
      <c r="J3202" s="9" t="str">
        <f t="shared" ref="J3202:J3265" ca="1" si="53">_xlfn.CONCAT(INT((TODAY()-$I3202)/365.25)," ans")</f>
        <v>22 ans</v>
      </c>
      <c r="K3202" s="2" t="s">
        <v>156</v>
      </c>
      <c r="L3202" s="2" t="str">
        <f>"1098"</f>
        <v>1098</v>
      </c>
      <c r="M3202" s="2"/>
      <c r="N3202" s="2" t="str">
        <f>"RUE DU PLEIN-AIR"</f>
        <v>RUE DU PLEIN-AIR</v>
      </c>
      <c r="O3202" s="2" t="s">
        <v>14268</v>
      </c>
      <c r="P3202" s="9" t="str">
        <f>VLOOKUP($O3202,'Liste des Villes'!$B$2:$B$1128,1,FALSE)</f>
        <v>Nominingue</v>
      </c>
      <c r="Q3202" s="9" t="str">
        <f>IFERROR($P3202,PROPER(VLOOKUP($O3202,'Villes en erreur'!$A$2:$B$72,2,FALSE)))</f>
        <v>Nominingue</v>
      </c>
      <c r="R3202" s="9" t="s">
        <v>14269</v>
      </c>
      <c r="S3202" s="9" t="str">
        <f>IF(ISBLANK($R3202),"",VLOOKUP($R3202,'Liste des Villes'!$B$2:$H$1128,4,FALSE))</f>
        <v>Laurentides</v>
      </c>
      <c r="T3202" s="2" t="s">
        <v>14280</v>
      </c>
      <c r="U3202" s="2" t="s">
        <v>39</v>
      </c>
      <c r="V3202" s="2" t="s">
        <v>40</v>
      </c>
      <c r="W3202" s="2" t="s">
        <v>14281</v>
      </c>
      <c r="X3202" s="2"/>
      <c r="Y3202" s="2"/>
      <c r="Z3202" s="2"/>
      <c r="AA3202" s="2" t="s">
        <v>375</v>
      </c>
      <c r="AB3202" s="2" t="s">
        <v>376</v>
      </c>
      <c r="AC3202" s="4" t="s">
        <v>44</v>
      </c>
    </row>
    <row r="3203" spans="1:29" x14ac:dyDescent="0.25">
      <c r="A3203" s="1">
        <v>776</v>
      </c>
      <c r="B3203" s="17" t="s">
        <v>14282</v>
      </c>
      <c r="C3203" s="2" t="s">
        <v>14283</v>
      </c>
      <c r="D3203" s="15" t="s">
        <v>8177</v>
      </c>
      <c r="E3203" s="9" t="s">
        <v>5975</v>
      </c>
      <c r="F3203" s="9" t="s">
        <v>8175</v>
      </c>
      <c r="G3203" s="9" t="s">
        <v>7055</v>
      </c>
      <c r="H3203" s="2" t="s">
        <v>35</v>
      </c>
      <c r="I3203" s="3">
        <v>37040</v>
      </c>
      <c r="J3203" s="9" t="str">
        <f t="shared" ca="1" si="53"/>
        <v>22 ans</v>
      </c>
      <c r="K3203" s="2" t="s">
        <v>156</v>
      </c>
      <c r="L3203" s="2" t="str">
        <f>"1100"</f>
        <v>1100</v>
      </c>
      <c r="M3203" s="2"/>
      <c r="N3203" s="2" t="str">
        <f>"RUE DU PRINCE"</f>
        <v>RUE DU PRINCE</v>
      </c>
      <c r="O3203" s="2" t="s">
        <v>14284</v>
      </c>
      <c r="P3203" s="9" t="str">
        <f>VLOOKUP($O3203,'Liste des Villes'!$B$2:$B$1128,1,FALSE)</f>
        <v>Morin-Heights</v>
      </c>
      <c r="Q3203" s="9" t="str">
        <f>IFERROR($P3203,PROPER(VLOOKUP($O3203,'Villes en erreur'!$A$2:$B$72,2,FALSE)))</f>
        <v>Morin-Heights</v>
      </c>
      <c r="R3203" s="9" t="s">
        <v>14285</v>
      </c>
      <c r="S3203" s="9" t="str">
        <f>IF(ISBLANK($R3203),"",VLOOKUP($R3203,'Liste des Villes'!$B$2:$H$1128,4,FALSE))</f>
        <v>Laurentides</v>
      </c>
      <c r="T3203" s="2" t="s">
        <v>14286</v>
      </c>
      <c r="U3203" s="2" t="s">
        <v>39</v>
      </c>
      <c r="V3203" s="2" t="s">
        <v>40</v>
      </c>
      <c r="W3203" s="2" t="s">
        <v>14287</v>
      </c>
      <c r="X3203" s="2"/>
      <c r="Y3203" s="2"/>
      <c r="Z3203" s="2"/>
      <c r="AA3203" s="2" t="s">
        <v>375</v>
      </c>
      <c r="AB3203" s="2" t="s">
        <v>376</v>
      </c>
      <c r="AC3203" s="4" t="s">
        <v>44</v>
      </c>
    </row>
    <row r="3204" spans="1:29" x14ac:dyDescent="0.25">
      <c r="A3204" s="1">
        <v>271</v>
      </c>
      <c r="B3204" s="17" t="s">
        <v>14288</v>
      </c>
      <c r="C3204" s="2" t="s">
        <v>14289</v>
      </c>
      <c r="D3204" s="15" t="s">
        <v>1057</v>
      </c>
      <c r="E3204" s="9" t="s">
        <v>12833</v>
      </c>
      <c r="F3204" s="9" t="s">
        <v>166</v>
      </c>
      <c r="G3204" s="9" t="s">
        <v>11101</v>
      </c>
      <c r="H3204" s="2" t="s">
        <v>35</v>
      </c>
      <c r="I3204" s="3">
        <v>37046</v>
      </c>
      <c r="J3204" s="9" t="str">
        <f t="shared" ca="1" si="53"/>
        <v>22 ans</v>
      </c>
      <c r="K3204" s="2" t="s">
        <v>156</v>
      </c>
      <c r="L3204" s="2" t="str">
        <f>"1108"</f>
        <v>1108</v>
      </c>
      <c r="M3204" s="2"/>
      <c r="N3204" s="2" t="str">
        <f>"RUE DU SANCTUAIRE"</f>
        <v>RUE DU SANCTUAIRE</v>
      </c>
      <c r="O3204" s="2" t="s">
        <v>14284</v>
      </c>
      <c r="P3204" s="9" t="str">
        <f>VLOOKUP($O3204,'Liste des Villes'!$B$2:$B$1128,1,FALSE)</f>
        <v>Morin-Heights</v>
      </c>
      <c r="Q3204" s="9" t="str">
        <f>IFERROR($P3204,PROPER(VLOOKUP($O3204,'Villes en erreur'!$A$2:$B$72,2,FALSE)))</f>
        <v>Morin-Heights</v>
      </c>
      <c r="R3204" s="9" t="s">
        <v>14285</v>
      </c>
      <c r="S3204" s="9" t="str">
        <f>IF(ISBLANK($R3204),"",VLOOKUP($R3204,'Liste des Villes'!$B$2:$H$1128,4,FALSE))</f>
        <v>Laurentides</v>
      </c>
      <c r="T3204" s="2" t="s">
        <v>14290</v>
      </c>
      <c r="U3204" s="2" t="s">
        <v>39</v>
      </c>
      <c r="V3204" s="2" t="s">
        <v>40</v>
      </c>
      <c r="W3204" s="2" t="s">
        <v>14291</v>
      </c>
      <c r="X3204" s="2"/>
      <c r="Y3204" s="2"/>
      <c r="Z3204" s="2"/>
      <c r="AA3204" s="2" t="s">
        <v>375</v>
      </c>
      <c r="AB3204" s="2" t="s">
        <v>376</v>
      </c>
      <c r="AC3204" s="4" t="s">
        <v>44</v>
      </c>
    </row>
    <row r="3205" spans="1:29" x14ac:dyDescent="0.25">
      <c r="A3205" s="1">
        <v>4022</v>
      </c>
      <c r="B3205" s="17" t="s">
        <v>14292</v>
      </c>
      <c r="C3205" s="2" t="s">
        <v>14293</v>
      </c>
      <c r="D3205" s="15" t="s">
        <v>11711</v>
      </c>
      <c r="E3205" s="9" t="s">
        <v>9404</v>
      </c>
      <c r="F3205" s="9" t="s">
        <v>11709</v>
      </c>
      <c r="G3205" s="9" t="s">
        <v>7055</v>
      </c>
      <c r="H3205" s="2" t="s">
        <v>35</v>
      </c>
      <c r="I3205" s="3">
        <v>37040</v>
      </c>
      <c r="J3205" s="9" t="str">
        <f t="shared" ca="1" si="53"/>
        <v>22 ans</v>
      </c>
      <c r="K3205" s="2" t="s">
        <v>156</v>
      </c>
      <c r="L3205" s="2" t="str">
        <f>"1101"</f>
        <v>1101</v>
      </c>
      <c r="M3205" s="2"/>
      <c r="N3205" s="2" t="str">
        <f>"RUE DU PRINCE-ÉDOUARD"</f>
        <v>RUE DU PRINCE-ÉDOUARD</v>
      </c>
      <c r="O3205" s="2" t="s">
        <v>14284</v>
      </c>
      <c r="P3205" s="9" t="str">
        <f>VLOOKUP($O3205,'Liste des Villes'!$B$2:$B$1128,1,FALSE)</f>
        <v>Morin-Heights</v>
      </c>
      <c r="Q3205" s="9" t="str">
        <f>IFERROR($P3205,PROPER(VLOOKUP($O3205,'Villes en erreur'!$A$2:$B$72,2,FALSE)))</f>
        <v>Morin-Heights</v>
      </c>
      <c r="R3205" s="9" t="s">
        <v>14285</v>
      </c>
      <c r="S3205" s="9" t="str">
        <f>IF(ISBLANK($R3205),"",VLOOKUP($R3205,'Liste des Villes'!$B$2:$H$1128,4,FALSE))</f>
        <v>Laurentides</v>
      </c>
      <c r="T3205" s="2" t="s">
        <v>14294</v>
      </c>
      <c r="U3205" s="2" t="s">
        <v>39</v>
      </c>
      <c r="V3205" s="2" t="s">
        <v>40</v>
      </c>
      <c r="W3205" s="2" t="s">
        <v>14295</v>
      </c>
      <c r="X3205" s="2"/>
      <c r="Y3205" s="2"/>
      <c r="Z3205" s="2"/>
      <c r="AA3205" s="2" t="s">
        <v>375</v>
      </c>
      <c r="AB3205" s="2" t="s">
        <v>376</v>
      </c>
      <c r="AC3205" s="4" t="s">
        <v>44</v>
      </c>
    </row>
    <row r="3206" spans="1:29" x14ac:dyDescent="0.25">
      <c r="A3206" s="1">
        <v>3465</v>
      </c>
      <c r="B3206" s="17" t="s">
        <v>14296</v>
      </c>
      <c r="C3206" s="2" t="s">
        <v>14297</v>
      </c>
      <c r="D3206" s="15" t="s">
        <v>14298</v>
      </c>
      <c r="E3206" s="9" t="s">
        <v>1591</v>
      </c>
      <c r="F3206" s="9" t="s">
        <v>1592</v>
      </c>
      <c r="G3206" s="9" t="s">
        <v>14299</v>
      </c>
      <c r="H3206" s="2" t="s">
        <v>60</v>
      </c>
      <c r="I3206" s="3">
        <v>37041</v>
      </c>
      <c r="J3206" s="9" t="str">
        <f t="shared" ca="1" si="53"/>
        <v>22 ans</v>
      </c>
      <c r="K3206" s="2" t="s">
        <v>156</v>
      </c>
      <c r="L3206" s="2" t="str">
        <f>"1103"</f>
        <v>1103</v>
      </c>
      <c r="M3206" s="2"/>
      <c r="N3206" s="2" t="str">
        <f>"RUE DU RAPIDE"</f>
        <v>RUE DU RAPIDE</v>
      </c>
      <c r="O3206" s="2" t="s">
        <v>14284</v>
      </c>
      <c r="P3206" s="9" t="str">
        <f>VLOOKUP($O3206,'Liste des Villes'!$B$2:$B$1128,1,FALSE)</f>
        <v>Morin-Heights</v>
      </c>
      <c r="Q3206" s="9" t="str">
        <f>IFERROR($P3206,PROPER(VLOOKUP($O3206,'Villes en erreur'!$A$2:$B$72,2,FALSE)))</f>
        <v>Morin-Heights</v>
      </c>
      <c r="R3206" s="9" t="s">
        <v>14285</v>
      </c>
      <c r="S3206" s="9" t="str">
        <f>IF(ISBLANK($R3206),"",VLOOKUP($R3206,'Liste des Villes'!$B$2:$H$1128,4,FALSE))</f>
        <v>Laurentides</v>
      </c>
      <c r="T3206" s="2" t="s">
        <v>14300</v>
      </c>
      <c r="U3206" s="2" t="s">
        <v>39</v>
      </c>
      <c r="V3206" s="2" t="s">
        <v>40</v>
      </c>
      <c r="W3206" s="2" t="s">
        <v>14301</v>
      </c>
      <c r="X3206" s="2"/>
      <c r="Y3206" s="2"/>
      <c r="Z3206" s="2"/>
      <c r="AA3206" s="2" t="s">
        <v>375</v>
      </c>
      <c r="AB3206" s="2" t="s">
        <v>376</v>
      </c>
      <c r="AC3206" s="4" t="s">
        <v>44</v>
      </c>
    </row>
    <row r="3207" spans="1:29" x14ac:dyDescent="0.25">
      <c r="A3207" s="1">
        <v>732</v>
      </c>
      <c r="B3207" s="17" t="s">
        <v>14302</v>
      </c>
      <c r="C3207" s="2" t="s">
        <v>6537</v>
      </c>
      <c r="D3207" s="15" t="s">
        <v>818</v>
      </c>
      <c r="E3207" s="9" t="s">
        <v>120</v>
      </c>
      <c r="F3207" s="9" t="s">
        <v>6538</v>
      </c>
      <c r="G3207" s="9" t="s">
        <v>899</v>
      </c>
      <c r="H3207" s="2" t="s">
        <v>60</v>
      </c>
      <c r="I3207" s="3">
        <v>37047</v>
      </c>
      <c r="J3207" s="9" t="str">
        <f t="shared" ca="1" si="53"/>
        <v>22 ans</v>
      </c>
      <c r="K3207" s="2" t="s">
        <v>156</v>
      </c>
      <c r="L3207" s="2" t="str">
        <f>"1110"</f>
        <v>1110</v>
      </c>
      <c r="M3207" s="2"/>
      <c r="N3207" s="2" t="str">
        <f>"RUE DU SAUVAGE MOUILLÉ"</f>
        <v>RUE DU SAUVAGE MOUILLÉ</v>
      </c>
      <c r="O3207" s="2" t="s">
        <v>14284</v>
      </c>
      <c r="P3207" s="9" t="str">
        <f>VLOOKUP($O3207,'Liste des Villes'!$B$2:$B$1128,1,FALSE)</f>
        <v>Morin-Heights</v>
      </c>
      <c r="Q3207" s="9" t="str">
        <f>IFERROR($P3207,PROPER(VLOOKUP($O3207,'Villes en erreur'!$A$2:$B$72,2,FALSE)))</f>
        <v>Morin-Heights</v>
      </c>
      <c r="R3207" s="9" t="s">
        <v>14285</v>
      </c>
      <c r="S3207" s="9" t="str">
        <f>IF(ISBLANK($R3207),"",VLOOKUP($R3207,'Liste des Villes'!$B$2:$H$1128,4,FALSE))</f>
        <v>Laurentides</v>
      </c>
      <c r="T3207" s="2" t="s">
        <v>14303</v>
      </c>
      <c r="U3207" s="2" t="s">
        <v>39</v>
      </c>
      <c r="V3207" s="2" t="s">
        <v>40</v>
      </c>
      <c r="W3207" s="2" t="s">
        <v>14304</v>
      </c>
      <c r="X3207" s="2"/>
      <c r="Y3207" s="2"/>
      <c r="Z3207" s="2"/>
      <c r="AA3207" s="2" t="s">
        <v>375</v>
      </c>
      <c r="AB3207" s="2" t="s">
        <v>376</v>
      </c>
      <c r="AC3207" s="4" t="s">
        <v>44</v>
      </c>
    </row>
    <row r="3208" spans="1:29" x14ac:dyDescent="0.25">
      <c r="A3208" s="1">
        <v>4370</v>
      </c>
      <c r="B3208" s="17" t="s">
        <v>14305</v>
      </c>
      <c r="C3208" s="2" t="s">
        <v>410</v>
      </c>
      <c r="D3208" s="15" t="s">
        <v>411</v>
      </c>
      <c r="E3208" s="9" t="s">
        <v>85</v>
      </c>
      <c r="F3208" s="9" t="s">
        <v>6417</v>
      </c>
      <c r="G3208" s="9" t="s">
        <v>12963</v>
      </c>
      <c r="H3208" s="2" t="s">
        <v>60</v>
      </c>
      <c r="I3208" s="3">
        <v>37041</v>
      </c>
      <c r="J3208" s="9" t="str">
        <f t="shared" ca="1" si="53"/>
        <v>22 ans</v>
      </c>
      <c r="K3208" s="2" t="s">
        <v>156</v>
      </c>
      <c r="L3208" s="2" t="str">
        <f>"1102"</f>
        <v>1102</v>
      </c>
      <c r="M3208" s="2"/>
      <c r="N3208" s="2" t="str">
        <f>"RUE DU RAMAGE"</f>
        <v>RUE DU RAMAGE</v>
      </c>
      <c r="O3208" s="2" t="s">
        <v>14284</v>
      </c>
      <c r="P3208" s="9" t="str">
        <f>VLOOKUP($O3208,'Liste des Villes'!$B$2:$B$1128,1,FALSE)</f>
        <v>Morin-Heights</v>
      </c>
      <c r="Q3208" s="9" t="str">
        <f>IFERROR($P3208,PROPER(VLOOKUP($O3208,'Villes en erreur'!$A$2:$B$72,2,FALSE)))</f>
        <v>Morin-Heights</v>
      </c>
      <c r="R3208" s="9" t="s">
        <v>14285</v>
      </c>
      <c r="S3208" s="9" t="str">
        <f>IF(ISBLANK($R3208),"",VLOOKUP($R3208,'Liste des Villes'!$B$2:$H$1128,4,FALSE))</f>
        <v>Laurentides</v>
      </c>
      <c r="T3208" s="2" t="s">
        <v>14300</v>
      </c>
      <c r="U3208" s="2" t="s">
        <v>39</v>
      </c>
      <c r="V3208" s="2" t="s">
        <v>40</v>
      </c>
      <c r="W3208" s="2" t="s">
        <v>14306</v>
      </c>
      <c r="X3208" s="2"/>
      <c r="Y3208" s="2"/>
      <c r="Z3208" s="2"/>
      <c r="AA3208" s="2" t="s">
        <v>375</v>
      </c>
      <c r="AB3208" s="2" t="s">
        <v>376</v>
      </c>
      <c r="AC3208" s="4" t="s">
        <v>44</v>
      </c>
    </row>
    <row r="3209" spans="1:29" x14ac:dyDescent="0.25">
      <c r="A3209" s="1">
        <v>3049</v>
      </c>
      <c r="B3209" s="17" t="s">
        <v>14307</v>
      </c>
      <c r="C3209" s="2" t="s">
        <v>14308</v>
      </c>
      <c r="D3209" s="15" t="s">
        <v>1703</v>
      </c>
      <c r="E3209" s="9" t="s">
        <v>3404</v>
      </c>
      <c r="F3209" s="9" t="s">
        <v>1701</v>
      </c>
      <c r="G3209" s="9" t="s">
        <v>2238</v>
      </c>
      <c r="H3209" s="2" t="s">
        <v>35</v>
      </c>
      <c r="I3209" s="3">
        <v>37049</v>
      </c>
      <c r="J3209" s="9" t="str">
        <f t="shared" ca="1" si="53"/>
        <v>22 ans</v>
      </c>
      <c r="K3209" s="2" t="s">
        <v>156</v>
      </c>
      <c r="L3209" s="2" t="str">
        <f>"1112"</f>
        <v>1112</v>
      </c>
      <c r="M3209" s="2"/>
      <c r="N3209" s="2" t="str">
        <f>"RUE DU SKIEUR"</f>
        <v>RUE DU SKIEUR</v>
      </c>
      <c r="O3209" s="2" t="s">
        <v>14284</v>
      </c>
      <c r="P3209" s="9" t="str">
        <f>VLOOKUP($O3209,'Liste des Villes'!$B$2:$B$1128,1,FALSE)</f>
        <v>Morin-Heights</v>
      </c>
      <c r="Q3209" s="9" t="str">
        <f>IFERROR($P3209,PROPER(VLOOKUP($O3209,'Villes en erreur'!$A$2:$B$72,2,FALSE)))</f>
        <v>Morin-Heights</v>
      </c>
      <c r="R3209" s="9" t="s">
        <v>14285</v>
      </c>
      <c r="S3209" s="9" t="str">
        <f>IF(ISBLANK($R3209),"",VLOOKUP($R3209,'Liste des Villes'!$B$2:$H$1128,4,FALSE))</f>
        <v>Laurentides</v>
      </c>
      <c r="T3209" s="2" t="s">
        <v>14309</v>
      </c>
      <c r="U3209" s="2" t="s">
        <v>39</v>
      </c>
      <c r="V3209" s="2" t="s">
        <v>40</v>
      </c>
      <c r="W3209" s="2" t="s">
        <v>14310</v>
      </c>
      <c r="X3209" s="2"/>
      <c r="Y3209" s="2"/>
      <c r="Z3209" s="2"/>
      <c r="AA3209" s="2" t="s">
        <v>375</v>
      </c>
      <c r="AB3209" s="2" t="s">
        <v>376</v>
      </c>
      <c r="AC3209" s="4" t="s">
        <v>44</v>
      </c>
    </row>
    <row r="3210" spans="1:29" x14ac:dyDescent="0.25">
      <c r="A3210" s="1">
        <v>2817</v>
      </c>
      <c r="B3210" s="17" t="s">
        <v>14311</v>
      </c>
      <c r="C3210" s="2" t="s">
        <v>6968</v>
      </c>
      <c r="D3210" s="15" t="s">
        <v>6969</v>
      </c>
      <c r="E3210" s="9" t="s">
        <v>6970</v>
      </c>
      <c r="F3210" s="9" t="s">
        <v>1324</v>
      </c>
      <c r="G3210" s="9" t="s">
        <v>4292</v>
      </c>
      <c r="H3210" s="2" t="s">
        <v>60</v>
      </c>
      <c r="I3210" s="3">
        <v>37047</v>
      </c>
      <c r="J3210" s="9" t="str">
        <f t="shared" ca="1" si="53"/>
        <v>22 ans</v>
      </c>
      <c r="K3210" s="2" t="s">
        <v>156</v>
      </c>
      <c r="L3210" s="2" t="str">
        <f>"1108"</f>
        <v>1108</v>
      </c>
      <c r="M3210" s="2"/>
      <c r="N3210" s="2" t="str">
        <f>"RUE DU SAPHIR"</f>
        <v>RUE DU SAPHIR</v>
      </c>
      <c r="O3210" s="2" t="s">
        <v>14284</v>
      </c>
      <c r="P3210" s="9" t="str">
        <f>VLOOKUP($O3210,'Liste des Villes'!$B$2:$B$1128,1,FALSE)</f>
        <v>Morin-Heights</v>
      </c>
      <c r="Q3210" s="9" t="str">
        <f>IFERROR($P3210,PROPER(VLOOKUP($O3210,'Villes en erreur'!$A$2:$B$72,2,FALSE)))</f>
        <v>Morin-Heights</v>
      </c>
      <c r="R3210" s="9" t="s">
        <v>14285</v>
      </c>
      <c r="S3210" s="9" t="str">
        <f>IF(ISBLANK($R3210),"",VLOOKUP($R3210,'Liste des Villes'!$B$2:$H$1128,4,FALSE))</f>
        <v>Laurentides</v>
      </c>
      <c r="T3210" s="2" t="s">
        <v>14312</v>
      </c>
      <c r="U3210" s="2" t="s">
        <v>39</v>
      </c>
      <c r="V3210" s="2" t="s">
        <v>40</v>
      </c>
      <c r="W3210" s="2" t="s">
        <v>14313</v>
      </c>
      <c r="X3210" s="2"/>
      <c r="Y3210" s="2"/>
      <c r="Z3210" s="2"/>
      <c r="AA3210" s="2" t="s">
        <v>375</v>
      </c>
      <c r="AB3210" s="2" t="s">
        <v>376</v>
      </c>
      <c r="AC3210" s="4" t="s">
        <v>44</v>
      </c>
    </row>
    <row r="3211" spans="1:29" x14ac:dyDescent="0.25">
      <c r="A3211" s="1">
        <v>1313</v>
      </c>
      <c r="B3211" s="17" t="s">
        <v>14314</v>
      </c>
      <c r="C3211" s="2" t="s">
        <v>11149</v>
      </c>
      <c r="D3211" s="15" t="s">
        <v>1590</v>
      </c>
      <c r="E3211" s="9" t="s">
        <v>11150</v>
      </c>
      <c r="F3211" s="9" t="s">
        <v>1592</v>
      </c>
      <c r="G3211" s="9" t="s">
        <v>5798</v>
      </c>
      <c r="H3211" s="2" t="s">
        <v>60</v>
      </c>
      <c r="I3211" s="3">
        <v>37043</v>
      </c>
      <c r="J3211" s="9" t="str">
        <f t="shared" ca="1" si="53"/>
        <v>22 ans</v>
      </c>
      <c r="K3211" s="2" t="s">
        <v>156</v>
      </c>
      <c r="L3211" s="2" t="str">
        <f>"1105"</f>
        <v>1105</v>
      </c>
      <c r="M3211" s="2"/>
      <c r="N3211" s="2" t="str">
        <f>"RUE DU RUISSEAU"</f>
        <v>RUE DU RUISSEAU</v>
      </c>
      <c r="O3211" s="2" t="s">
        <v>14284</v>
      </c>
      <c r="P3211" s="9" t="str">
        <f>VLOOKUP($O3211,'Liste des Villes'!$B$2:$B$1128,1,FALSE)</f>
        <v>Morin-Heights</v>
      </c>
      <c r="Q3211" s="9" t="str">
        <f>IFERROR($P3211,PROPER(VLOOKUP($O3211,'Villes en erreur'!$A$2:$B$72,2,FALSE)))</f>
        <v>Morin-Heights</v>
      </c>
      <c r="R3211" s="9" t="s">
        <v>14285</v>
      </c>
      <c r="S3211" s="9" t="str">
        <f>IF(ISBLANK($R3211),"",VLOOKUP($R3211,'Liste des Villes'!$B$2:$H$1128,4,FALSE))</f>
        <v>Laurentides</v>
      </c>
      <c r="T3211" s="2" t="s">
        <v>14315</v>
      </c>
      <c r="U3211" s="2" t="s">
        <v>39</v>
      </c>
      <c r="V3211" s="2" t="s">
        <v>40</v>
      </c>
      <c r="W3211" s="2" t="s">
        <v>14316</v>
      </c>
      <c r="X3211" s="2"/>
      <c r="Y3211" s="2"/>
      <c r="Z3211" s="2"/>
      <c r="AA3211" s="2" t="s">
        <v>375</v>
      </c>
      <c r="AB3211" s="2" t="s">
        <v>376</v>
      </c>
      <c r="AC3211" s="4" t="s">
        <v>44</v>
      </c>
    </row>
    <row r="3212" spans="1:29" x14ac:dyDescent="0.25">
      <c r="A3212" s="1">
        <v>1191</v>
      </c>
      <c r="B3212" s="17" t="s">
        <v>14317</v>
      </c>
      <c r="C3212" s="2" t="s">
        <v>14318</v>
      </c>
      <c r="D3212" s="15" t="s">
        <v>6669</v>
      </c>
      <c r="E3212" s="9" t="s">
        <v>10189</v>
      </c>
      <c r="F3212" s="9" t="s">
        <v>449</v>
      </c>
      <c r="G3212" s="9" t="s">
        <v>7055</v>
      </c>
      <c r="H3212" s="2" t="s">
        <v>35</v>
      </c>
      <c r="I3212" s="3">
        <v>37040</v>
      </c>
      <c r="J3212" s="9" t="str">
        <f t="shared" ca="1" si="53"/>
        <v>22 ans</v>
      </c>
      <c r="K3212" s="2" t="s">
        <v>156</v>
      </c>
      <c r="L3212" s="2" t="str">
        <f>"1100"</f>
        <v>1100</v>
      </c>
      <c r="M3212" s="2"/>
      <c r="N3212" s="2" t="str">
        <f>"RUE DU PRESSIER"</f>
        <v>RUE DU PRESSIER</v>
      </c>
      <c r="O3212" s="2" t="s">
        <v>14284</v>
      </c>
      <c r="P3212" s="9" t="str">
        <f>VLOOKUP($O3212,'Liste des Villes'!$B$2:$B$1128,1,FALSE)</f>
        <v>Morin-Heights</v>
      </c>
      <c r="Q3212" s="9" t="str">
        <f>IFERROR($P3212,PROPER(VLOOKUP($O3212,'Villes en erreur'!$A$2:$B$72,2,FALSE)))</f>
        <v>Morin-Heights</v>
      </c>
      <c r="R3212" s="9" t="s">
        <v>14285</v>
      </c>
      <c r="S3212" s="9" t="str">
        <f>IF(ISBLANK($R3212),"",VLOOKUP($R3212,'Liste des Villes'!$B$2:$H$1128,4,FALSE))</f>
        <v>Laurentides</v>
      </c>
      <c r="T3212" s="2" t="s">
        <v>14319</v>
      </c>
      <c r="U3212" s="2" t="s">
        <v>39</v>
      </c>
      <c r="V3212" s="2" t="s">
        <v>40</v>
      </c>
      <c r="W3212" s="2" t="s">
        <v>14320</v>
      </c>
      <c r="X3212" s="2"/>
      <c r="Y3212" s="2"/>
      <c r="Z3212" s="2"/>
      <c r="AA3212" s="2" t="s">
        <v>375</v>
      </c>
      <c r="AB3212" s="2" t="s">
        <v>376</v>
      </c>
      <c r="AC3212" s="4" t="s">
        <v>44</v>
      </c>
    </row>
    <row r="3213" spans="1:29" x14ac:dyDescent="0.25">
      <c r="A3213" s="1">
        <v>2135</v>
      </c>
      <c r="B3213" s="17" t="s">
        <v>14321</v>
      </c>
      <c r="C3213" s="2" t="s">
        <v>14322</v>
      </c>
      <c r="D3213" s="15" t="s">
        <v>14323</v>
      </c>
      <c r="E3213" s="9" t="s">
        <v>1283</v>
      </c>
      <c r="F3213" s="9" t="s">
        <v>4050</v>
      </c>
      <c r="G3213" s="9" t="s">
        <v>1388</v>
      </c>
      <c r="H3213" s="2" t="s">
        <v>60</v>
      </c>
      <c r="I3213" s="3">
        <v>37050</v>
      </c>
      <c r="J3213" s="9" t="str">
        <f t="shared" ca="1" si="53"/>
        <v>22 ans</v>
      </c>
      <c r="K3213" s="2" t="s">
        <v>156</v>
      </c>
      <c r="L3213" s="2" t="str">
        <f>"1112"</f>
        <v>1112</v>
      </c>
      <c r="M3213" s="2"/>
      <c r="N3213" s="2" t="str">
        <f>"RUE DU SOMMET"</f>
        <v>RUE DU SOMMET</v>
      </c>
      <c r="O3213" s="2" t="s">
        <v>14284</v>
      </c>
      <c r="P3213" s="9" t="str">
        <f>VLOOKUP($O3213,'Liste des Villes'!$B$2:$B$1128,1,FALSE)</f>
        <v>Morin-Heights</v>
      </c>
      <c r="Q3213" s="9" t="str">
        <f>IFERROR($P3213,PROPER(VLOOKUP($O3213,'Villes en erreur'!$A$2:$B$72,2,FALSE)))</f>
        <v>Morin-Heights</v>
      </c>
      <c r="R3213" s="9" t="s">
        <v>14285</v>
      </c>
      <c r="S3213" s="9" t="str">
        <f>IF(ISBLANK($R3213),"",VLOOKUP($R3213,'Liste des Villes'!$B$2:$H$1128,4,FALSE))</f>
        <v>Laurentides</v>
      </c>
      <c r="T3213" s="2" t="s">
        <v>14324</v>
      </c>
      <c r="U3213" s="2" t="s">
        <v>39</v>
      </c>
      <c r="V3213" s="2" t="s">
        <v>40</v>
      </c>
      <c r="W3213" s="2" t="s">
        <v>14325</v>
      </c>
      <c r="X3213" s="2"/>
      <c r="Y3213" s="2"/>
      <c r="Z3213" s="2"/>
      <c r="AA3213" s="2" t="s">
        <v>375</v>
      </c>
      <c r="AB3213" s="2" t="s">
        <v>376</v>
      </c>
      <c r="AC3213" s="4" t="s">
        <v>44</v>
      </c>
    </row>
    <row r="3214" spans="1:29" x14ac:dyDescent="0.25">
      <c r="A3214" s="1">
        <v>2734</v>
      </c>
      <c r="B3214" s="17" t="s">
        <v>14326</v>
      </c>
      <c r="C3214" s="2" t="s">
        <v>4115</v>
      </c>
      <c r="D3214" s="15" t="s">
        <v>762</v>
      </c>
      <c r="E3214" s="9" t="s">
        <v>922</v>
      </c>
      <c r="F3214" s="9" t="s">
        <v>1230</v>
      </c>
      <c r="G3214" s="9" t="s">
        <v>899</v>
      </c>
      <c r="H3214" s="2" t="s">
        <v>60</v>
      </c>
      <c r="I3214" s="3">
        <v>37048</v>
      </c>
      <c r="J3214" s="9" t="str">
        <f t="shared" ca="1" si="53"/>
        <v>22 ans</v>
      </c>
      <c r="K3214" s="2" t="s">
        <v>156</v>
      </c>
      <c r="L3214" s="2" t="str">
        <f>"1112"</f>
        <v>1112</v>
      </c>
      <c r="M3214" s="2"/>
      <c r="N3214" s="2" t="str">
        <f>"RUE DU SIROCCO"</f>
        <v>RUE DU SIROCCO</v>
      </c>
      <c r="O3214" s="2" t="s">
        <v>14284</v>
      </c>
      <c r="P3214" s="9" t="str">
        <f>VLOOKUP($O3214,'Liste des Villes'!$B$2:$B$1128,1,FALSE)</f>
        <v>Morin-Heights</v>
      </c>
      <c r="Q3214" s="9" t="str">
        <f>IFERROR($P3214,PROPER(VLOOKUP($O3214,'Villes en erreur'!$A$2:$B$72,2,FALSE)))</f>
        <v>Morin-Heights</v>
      </c>
      <c r="R3214" s="9" t="s">
        <v>14285</v>
      </c>
      <c r="S3214" s="9" t="str">
        <f>IF(ISBLANK($R3214),"",VLOOKUP($R3214,'Liste des Villes'!$B$2:$H$1128,4,FALSE))</f>
        <v>Laurentides</v>
      </c>
      <c r="T3214" s="2" t="s">
        <v>14327</v>
      </c>
      <c r="U3214" s="2" t="s">
        <v>39</v>
      </c>
      <c r="V3214" s="2" t="s">
        <v>40</v>
      </c>
      <c r="W3214" s="2" t="s">
        <v>14328</v>
      </c>
      <c r="X3214" s="2"/>
      <c r="Y3214" s="2"/>
      <c r="Z3214" s="2"/>
      <c r="AA3214" s="2" t="s">
        <v>375</v>
      </c>
      <c r="AB3214" s="2" t="s">
        <v>376</v>
      </c>
      <c r="AC3214" s="4" t="s">
        <v>44</v>
      </c>
    </row>
    <row r="3215" spans="1:29" x14ac:dyDescent="0.25">
      <c r="A3215" s="1">
        <v>3882</v>
      </c>
      <c r="B3215" s="17" t="s">
        <v>14329</v>
      </c>
      <c r="C3215" s="2" t="s">
        <v>14330</v>
      </c>
      <c r="D3215" s="15" t="s">
        <v>14331</v>
      </c>
      <c r="E3215" s="9" t="s">
        <v>6360</v>
      </c>
      <c r="F3215" s="9" t="s">
        <v>2434</v>
      </c>
      <c r="G3215" s="9" t="s">
        <v>899</v>
      </c>
      <c r="H3215" s="2" t="s">
        <v>60</v>
      </c>
      <c r="I3215" s="3">
        <v>37047</v>
      </c>
      <c r="J3215" s="9" t="str">
        <f t="shared" ca="1" si="53"/>
        <v>22 ans</v>
      </c>
      <c r="K3215" s="2" t="s">
        <v>156</v>
      </c>
      <c r="L3215" s="2" t="str">
        <f>"1111"</f>
        <v>1111</v>
      </c>
      <c r="M3215" s="2"/>
      <c r="N3215" s="2" t="str">
        <f>"RUE DU SÉNATEUR"</f>
        <v>RUE DU SÉNATEUR</v>
      </c>
      <c r="O3215" s="2" t="s">
        <v>14284</v>
      </c>
      <c r="P3215" s="9" t="str">
        <f>VLOOKUP($O3215,'Liste des Villes'!$B$2:$B$1128,1,FALSE)</f>
        <v>Morin-Heights</v>
      </c>
      <c r="Q3215" s="9" t="str">
        <f>IFERROR($P3215,PROPER(VLOOKUP($O3215,'Villes en erreur'!$A$2:$B$72,2,FALSE)))</f>
        <v>Morin-Heights</v>
      </c>
      <c r="R3215" s="9" t="s">
        <v>14285</v>
      </c>
      <c r="S3215" s="9" t="str">
        <f>IF(ISBLANK($R3215),"",VLOOKUP($R3215,'Liste des Villes'!$B$2:$H$1128,4,FALSE))</f>
        <v>Laurentides</v>
      </c>
      <c r="T3215" s="2" t="s">
        <v>14332</v>
      </c>
      <c r="U3215" s="2" t="s">
        <v>39</v>
      </c>
      <c r="V3215" s="2" t="s">
        <v>40</v>
      </c>
      <c r="W3215" s="2" t="s">
        <v>14333</v>
      </c>
      <c r="X3215" s="2"/>
      <c r="Y3215" s="2"/>
      <c r="Z3215" s="2"/>
      <c r="AA3215" s="2" t="s">
        <v>375</v>
      </c>
      <c r="AB3215" s="2" t="s">
        <v>376</v>
      </c>
      <c r="AC3215" s="4" t="s">
        <v>44</v>
      </c>
    </row>
    <row r="3216" spans="1:29" x14ac:dyDescent="0.25">
      <c r="A3216" s="1">
        <v>3895</v>
      </c>
      <c r="B3216" s="17" t="s">
        <v>14334</v>
      </c>
      <c r="C3216" s="2" t="s">
        <v>14335</v>
      </c>
      <c r="D3216" s="15" t="s">
        <v>1859</v>
      </c>
      <c r="E3216" s="9" t="s">
        <v>3404</v>
      </c>
      <c r="F3216" s="9" t="s">
        <v>14336</v>
      </c>
      <c r="G3216" s="9" t="s">
        <v>1388</v>
      </c>
      <c r="H3216" s="2" t="s">
        <v>60</v>
      </c>
      <c r="I3216" s="3">
        <v>37049</v>
      </c>
      <c r="J3216" s="9" t="str">
        <f t="shared" ca="1" si="53"/>
        <v>22 ans</v>
      </c>
      <c r="K3216" s="2" t="s">
        <v>156</v>
      </c>
      <c r="L3216" s="2" t="str">
        <f>"1112"</f>
        <v>1112</v>
      </c>
      <c r="M3216" s="2"/>
      <c r="N3216" s="2" t="str">
        <f>"RUE DU SKIEUR"</f>
        <v>RUE DU SKIEUR</v>
      </c>
      <c r="O3216" s="2" t="s">
        <v>14284</v>
      </c>
      <c r="P3216" s="9" t="str">
        <f>VLOOKUP($O3216,'Liste des Villes'!$B$2:$B$1128,1,FALSE)</f>
        <v>Morin-Heights</v>
      </c>
      <c r="Q3216" s="9" t="str">
        <f>IFERROR($P3216,PROPER(VLOOKUP($O3216,'Villes en erreur'!$A$2:$B$72,2,FALSE)))</f>
        <v>Morin-Heights</v>
      </c>
      <c r="R3216" s="9" t="s">
        <v>14285</v>
      </c>
      <c r="S3216" s="9" t="str">
        <f>IF(ISBLANK($R3216),"",VLOOKUP($R3216,'Liste des Villes'!$B$2:$H$1128,4,FALSE))</f>
        <v>Laurentides</v>
      </c>
      <c r="T3216" s="2" t="s">
        <v>14337</v>
      </c>
      <c r="U3216" s="2" t="s">
        <v>39</v>
      </c>
      <c r="V3216" s="2" t="s">
        <v>40</v>
      </c>
      <c r="W3216" s="2" t="s">
        <v>14310</v>
      </c>
      <c r="X3216" s="2"/>
      <c r="Y3216" s="2"/>
      <c r="Z3216" s="2"/>
      <c r="AA3216" s="2" t="s">
        <v>375</v>
      </c>
      <c r="AB3216" s="2" t="s">
        <v>376</v>
      </c>
      <c r="AC3216" s="4" t="s">
        <v>44</v>
      </c>
    </row>
    <row r="3217" spans="1:29" x14ac:dyDescent="0.25">
      <c r="A3217" s="1">
        <v>1576</v>
      </c>
      <c r="B3217" s="17" t="s">
        <v>14338</v>
      </c>
      <c r="C3217" s="2" t="s">
        <v>14339</v>
      </c>
      <c r="D3217" s="15" t="s">
        <v>8106</v>
      </c>
      <c r="E3217" s="9" t="s">
        <v>622</v>
      </c>
      <c r="F3217" s="9" t="s">
        <v>8105</v>
      </c>
      <c r="G3217" s="9" t="s">
        <v>5798</v>
      </c>
      <c r="H3217" s="2" t="s">
        <v>60</v>
      </c>
      <c r="I3217" s="3">
        <v>37042</v>
      </c>
      <c r="J3217" s="9" t="str">
        <f t="shared" ca="1" si="53"/>
        <v>22 ans</v>
      </c>
      <c r="K3217" s="2" t="s">
        <v>156</v>
      </c>
      <c r="L3217" s="2" t="str">
        <f>"1104"</f>
        <v>1104</v>
      </c>
      <c r="M3217" s="2"/>
      <c r="N3217" s="2" t="str">
        <f>"RUE DU RUISSEAU"</f>
        <v>RUE DU RUISSEAU</v>
      </c>
      <c r="O3217" s="2" t="s">
        <v>14284</v>
      </c>
      <c r="P3217" s="9" t="str">
        <f>VLOOKUP($O3217,'Liste des Villes'!$B$2:$B$1128,1,FALSE)</f>
        <v>Morin-Heights</v>
      </c>
      <c r="Q3217" s="9" t="str">
        <f>IFERROR($P3217,PROPER(VLOOKUP($O3217,'Villes en erreur'!$A$2:$B$72,2,FALSE)))</f>
        <v>Morin-Heights</v>
      </c>
      <c r="R3217" s="9" t="s">
        <v>14285</v>
      </c>
      <c r="S3217" s="9" t="str">
        <f>IF(ISBLANK($R3217),"",VLOOKUP($R3217,'Liste des Villes'!$B$2:$H$1128,4,FALSE))</f>
        <v>Laurentides</v>
      </c>
      <c r="T3217" s="2" t="s">
        <v>14340</v>
      </c>
      <c r="U3217" s="2" t="s">
        <v>39</v>
      </c>
      <c r="V3217" s="2" t="s">
        <v>40</v>
      </c>
      <c r="W3217" s="2" t="s">
        <v>14341</v>
      </c>
      <c r="X3217" s="2"/>
      <c r="Y3217" s="2"/>
      <c r="Z3217" s="2"/>
      <c r="AA3217" s="2" t="s">
        <v>375</v>
      </c>
      <c r="AB3217" s="2" t="s">
        <v>376</v>
      </c>
      <c r="AC3217" s="4" t="s">
        <v>44</v>
      </c>
    </row>
    <row r="3218" spans="1:29" x14ac:dyDescent="0.25">
      <c r="A3218" s="1">
        <v>3248</v>
      </c>
      <c r="B3218" s="17" t="s">
        <v>14342</v>
      </c>
      <c r="C3218" s="2" t="s">
        <v>2273</v>
      </c>
      <c r="D3218" s="15" t="s">
        <v>582</v>
      </c>
      <c r="E3218" s="9" t="s">
        <v>2274</v>
      </c>
      <c r="F3218" s="9" t="s">
        <v>14343</v>
      </c>
      <c r="G3218" s="9" t="s">
        <v>5798</v>
      </c>
      <c r="H3218" s="2" t="s">
        <v>60</v>
      </c>
      <c r="I3218" s="3">
        <v>37045</v>
      </c>
      <c r="J3218" s="9" t="str">
        <f t="shared" ca="1" si="53"/>
        <v>22 ans</v>
      </c>
      <c r="K3218" s="2" t="s">
        <v>156</v>
      </c>
      <c r="L3218" s="2" t="str">
        <f>"1107"</f>
        <v>1107</v>
      </c>
      <c r="M3218" s="2"/>
      <c r="N3218" s="2" t="str">
        <f>"RUE DU SANCTUAIRE"</f>
        <v>RUE DU SANCTUAIRE</v>
      </c>
      <c r="O3218" s="2" t="s">
        <v>14284</v>
      </c>
      <c r="P3218" s="9" t="str">
        <f>VLOOKUP($O3218,'Liste des Villes'!$B$2:$B$1128,1,FALSE)</f>
        <v>Morin-Heights</v>
      </c>
      <c r="Q3218" s="9" t="str">
        <f>IFERROR($P3218,PROPER(VLOOKUP($O3218,'Villes en erreur'!$A$2:$B$72,2,FALSE)))</f>
        <v>Morin-Heights</v>
      </c>
      <c r="R3218" s="9" t="s">
        <v>14285</v>
      </c>
      <c r="S3218" s="9" t="str">
        <f>IF(ISBLANK($R3218),"",VLOOKUP($R3218,'Liste des Villes'!$B$2:$H$1128,4,FALSE))</f>
        <v>Laurentides</v>
      </c>
      <c r="T3218" s="2" t="s">
        <v>14344</v>
      </c>
      <c r="U3218" s="2" t="s">
        <v>39</v>
      </c>
      <c r="V3218" s="2" t="s">
        <v>40</v>
      </c>
      <c r="W3218" s="2" t="s">
        <v>14345</v>
      </c>
      <c r="X3218" s="2"/>
      <c r="Y3218" s="2"/>
      <c r="Z3218" s="2"/>
      <c r="AA3218" s="2" t="s">
        <v>375</v>
      </c>
      <c r="AB3218" s="2" t="s">
        <v>376</v>
      </c>
      <c r="AC3218" s="4" t="s">
        <v>44</v>
      </c>
    </row>
    <row r="3219" spans="1:29" x14ac:dyDescent="0.25">
      <c r="A3219" s="1">
        <v>4489</v>
      </c>
      <c r="B3219" s="17" t="s">
        <v>14346</v>
      </c>
      <c r="C3219" s="2" t="s">
        <v>14347</v>
      </c>
      <c r="D3219" s="15" t="s">
        <v>13357</v>
      </c>
      <c r="E3219" s="9" t="s">
        <v>737</v>
      </c>
      <c r="F3219" s="9" t="s">
        <v>738</v>
      </c>
      <c r="G3219" s="9" t="s">
        <v>14348</v>
      </c>
      <c r="H3219" s="2" t="s">
        <v>35</v>
      </c>
      <c r="I3219" s="3">
        <v>37045</v>
      </c>
      <c r="J3219" s="9" t="str">
        <f t="shared" ca="1" si="53"/>
        <v>22 ans</v>
      </c>
      <c r="K3219" s="2" t="s">
        <v>156</v>
      </c>
      <c r="L3219" s="2" t="str">
        <f>"1107"</f>
        <v>1107</v>
      </c>
      <c r="M3219" s="2"/>
      <c r="N3219" s="2" t="str">
        <f>"RUE DU SANCTUAIRE"</f>
        <v>RUE DU SANCTUAIRE</v>
      </c>
      <c r="O3219" s="2" t="s">
        <v>14284</v>
      </c>
      <c r="P3219" s="9" t="str">
        <f>VLOOKUP($O3219,'Liste des Villes'!$B$2:$B$1128,1,FALSE)</f>
        <v>Morin-Heights</v>
      </c>
      <c r="Q3219" s="9" t="str">
        <f>IFERROR($P3219,PROPER(VLOOKUP($O3219,'Villes en erreur'!$A$2:$B$72,2,FALSE)))</f>
        <v>Morin-Heights</v>
      </c>
      <c r="R3219" s="9" t="s">
        <v>14285</v>
      </c>
      <c r="S3219" s="9" t="str">
        <f>IF(ISBLANK($R3219),"",VLOOKUP($R3219,'Liste des Villes'!$B$2:$H$1128,4,FALSE))</f>
        <v>Laurentides</v>
      </c>
      <c r="T3219" s="2" t="s">
        <v>14349</v>
      </c>
      <c r="U3219" s="2" t="s">
        <v>39</v>
      </c>
      <c r="V3219" s="2" t="s">
        <v>40</v>
      </c>
      <c r="W3219" s="2" t="s">
        <v>14291</v>
      </c>
      <c r="X3219" s="2"/>
      <c r="Y3219" s="2"/>
      <c r="Z3219" s="2"/>
      <c r="AA3219" s="2" t="s">
        <v>375</v>
      </c>
      <c r="AB3219" s="2" t="s">
        <v>376</v>
      </c>
      <c r="AC3219" s="4" t="s">
        <v>44</v>
      </c>
    </row>
    <row r="3220" spans="1:29" x14ac:dyDescent="0.25">
      <c r="A3220" s="1">
        <v>3369</v>
      </c>
      <c r="B3220" s="17" t="s">
        <v>14350</v>
      </c>
      <c r="C3220" s="2" t="s">
        <v>598</v>
      </c>
      <c r="D3220" s="15" t="s">
        <v>599</v>
      </c>
      <c r="E3220" s="9" t="s">
        <v>600</v>
      </c>
      <c r="F3220" s="9" t="s">
        <v>562</v>
      </c>
      <c r="G3220" s="9" t="s">
        <v>5798</v>
      </c>
      <c r="H3220" s="2" t="s">
        <v>60</v>
      </c>
      <c r="I3220" s="3">
        <v>37042</v>
      </c>
      <c r="J3220" s="9" t="str">
        <f t="shared" ca="1" si="53"/>
        <v>22 ans</v>
      </c>
      <c r="K3220" s="2" t="s">
        <v>156</v>
      </c>
      <c r="L3220" s="2" t="str">
        <f>"1103"</f>
        <v>1103</v>
      </c>
      <c r="M3220" s="2"/>
      <c r="N3220" s="2" t="str">
        <f>"RUE DU ROC"</f>
        <v>RUE DU ROC</v>
      </c>
      <c r="O3220" s="2" t="s">
        <v>14284</v>
      </c>
      <c r="P3220" s="9" t="str">
        <f>VLOOKUP($O3220,'Liste des Villes'!$B$2:$B$1128,1,FALSE)</f>
        <v>Morin-Heights</v>
      </c>
      <c r="Q3220" s="9" t="str">
        <f>IFERROR($P3220,PROPER(VLOOKUP($O3220,'Villes en erreur'!$A$2:$B$72,2,FALSE)))</f>
        <v>Morin-Heights</v>
      </c>
      <c r="R3220" s="9" t="s">
        <v>14285</v>
      </c>
      <c r="S3220" s="9" t="str">
        <f>IF(ISBLANK($R3220),"",VLOOKUP($R3220,'Liste des Villes'!$B$2:$H$1128,4,FALSE))</f>
        <v>Laurentides</v>
      </c>
      <c r="T3220" s="2" t="s">
        <v>14351</v>
      </c>
      <c r="U3220" s="2" t="s">
        <v>39</v>
      </c>
      <c r="V3220" s="2" t="s">
        <v>40</v>
      </c>
      <c r="W3220" s="2" t="s">
        <v>14352</v>
      </c>
      <c r="X3220" s="2"/>
      <c r="Y3220" s="2"/>
      <c r="Z3220" s="2"/>
      <c r="AA3220" s="2" t="s">
        <v>375</v>
      </c>
      <c r="AB3220" s="2" t="s">
        <v>376</v>
      </c>
      <c r="AC3220" s="4" t="s">
        <v>44</v>
      </c>
    </row>
    <row r="3221" spans="1:29" x14ac:dyDescent="0.25">
      <c r="A3221" s="1">
        <v>4044</v>
      </c>
      <c r="B3221" s="17" t="s">
        <v>14353</v>
      </c>
      <c r="C3221" s="2" t="s">
        <v>14354</v>
      </c>
      <c r="D3221" s="15" t="s">
        <v>2595</v>
      </c>
      <c r="E3221" s="9" t="s">
        <v>6805</v>
      </c>
      <c r="F3221" s="9" t="s">
        <v>1104</v>
      </c>
      <c r="G3221" s="9" t="s">
        <v>8176</v>
      </c>
      <c r="H3221" s="2" t="s">
        <v>60</v>
      </c>
      <c r="I3221" s="3">
        <v>37040</v>
      </c>
      <c r="J3221" s="9" t="str">
        <f t="shared" ca="1" si="53"/>
        <v>22 ans</v>
      </c>
      <c r="K3221" s="2" t="s">
        <v>156</v>
      </c>
      <c r="L3221" s="2" t="str">
        <f>"1101"</f>
        <v>1101</v>
      </c>
      <c r="M3221" s="2"/>
      <c r="N3221" s="2" t="str">
        <f>"RUE DU RAMAGE"</f>
        <v>RUE DU RAMAGE</v>
      </c>
      <c r="O3221" s="2" t="s">
        <v>14284</v>
      </c>
      <c r="P3221" s="9" t="str">
        <f>VLOOKUP($O3221,'Liste des Villes'!$B$2:$B$1128,1,FALSE)</f>
        <v>Morin-Heights</v>
      </c>
      <c r="Q3221" s="9" t="str">
        <f>IFERROR($P3221,PROPER(VLOOKUP($O3221,'Villes en erreur'!$A$2:$B$72,2,FALSE)))</f>
        <v>Morin-Heights</v>
      </c>
      <c r="R3221" s="9" t="s">
        <v>14285</v>
      </c>
      <c r="S3221" s="9" t="str">
        <f>IF(ISBLANK($R3221),"",VLOOKUP($R3221,'Liste des Villes'!$B$2:$H$1128,4,FALSE))</f>
        <v>Laurentides</v>
      </c>
      <c r="T3221" s="2" t="s">
        <v>14355</v>
      </c>
      <c r="U3221" s="2" t="s">
        <v>39</v>
      </c>
      <c r="V3221" s="2" t="s">
        <v>40</v>
      </c>
      <c r="W3221" s="2" t="s">
        <v>14356</v>
      </c>
      <c r="X3221" s="2"/>
      <c r="Y3221" s="2"/>
      <c r="Z3221" s="2"/>
      <c r="AA3221" s="2" t="s">
        <v>375</v>
      </c>
      <c r="AB3221" s="2" t="s">
        <v>376</v>
      </c>
      <c r="AC3221" s="4" t="s">
        <v>44</v>
      </c>
    </row>
    <row r="3222" spans="1:29" x14ac:dyDescent="0.25">
      <c r="A3222" s="1">
        <v>1483</v>
      </c>
      <c r="B3222" s="17" t="s">
        <v>14357</v>
      </c>
      <c r="C3222" s="2" t="s">
        <v>1029</v>
      </c>
      <c r="D3222" s="15" t="s">
        <v>1030</v>
      </c>
      <c r="E3222" s="9" t="s">
        <v>698</v>
      </c>
      <c r="F3222" s="9" t="s">
        <v>1827</v>
      </c>
      <c r="G3222" s="9" t="s">
        <v>5798</v>
      </c>
      <c r="H3222" s="2" t="s">
        <v>60</v>
      </c>
      <c r="I3222" s="3">
        <v>37044</v>
      </c>
      <c r="J3222" s="9" t="str">
        <f t="shared" ca="1" si="53"/>
        <v>22 ans</v>
      </c>
      <c r="K3222" s="2" t="s">
        <v>156</v>
      </c>
      <c r="L3222" s="2" t="str">
        <f>"1107"</f>
        <v>1107</v>
      </c>
      <c r="M3222" s="2"/>
      <c r="N3222" s="2" t="str">
        <f>"RUE DU SANCTUAIRE"</f>
        <v>RUE DU SANCTUAIRE</v>
      </c>
      <c r="O3222" s="2" t="s">
        <v>14284</v>
      </c>
      <c r="P3222" s="9" t="str">
        <f>VLOOKUP($O3222,'Liste des Villes'!$B$2:$B$1128,1,FALSE)</f>
        <v>Morin-Heights</v>
      </c>
      <c r="Q3222" s="9" t="str">
        <f>IFERROR($P3222,PROPER(VLOOKUP($O3222,'Villes en erreur'!$A$2:$B$72,2,FALSE)))</f>
        <v>Morin-Heights</v>
      </c>
      <c r="R3222" s="9" t="s">
        <v>14285</v>
      </c>
      <c r="S3222" s="9" t="str">
        <f>IF(ISBLANK($R3222),"",VLOOKUP($R3222,'Liste des Villes'!$B$2:$H$1128,4,FALSE))</f>
        <v>Laurentides</v>
      </c>
      <c r="T3222" s="2" t="s">
        <v>14358</v>
      </c>
      <c r="U3222" s="2" t="s">
        <v>39</v>
      </c>
      <c r="V3222" s="2" t="s">
        <v>40</v>
      </c>
      <c r="W3222" s="2" t="s">
        <v>14345</v>
      </c>
      <c r="X3222" s="2"/>
      <c r="Y3222" s="2"/>
      <c r="Z3222" s="2"/>
      <c r="AA3222" s="2" t="s">
        <v>375</v>
      </c>
      <c r="AB3222" s="2" t="s">
        <v>376</v>
      </c>
      <c r="AC3222" s="4" t="s">
        <v>44</v>
      </c>
    </row>
    <row r="3223" spans="1:29" x14ac:dyDescent="0.25">
      <c r="A3223" s="1">
        <v>3150</v>
      </c>
      <c r="B3223" s="17" t="s">
        <v>14359</v>
      </c>
      <c r="C3223" s="2" t="s">
        <v>7953</v>
      </c>
      <c r="D3223" s="15" t="s">
        <v>1746</v>
      </c>
      <c r="E3223" s="9" t="s">
        <v>1135</v>
      </c>
      <c r="F3223" s="9" t="s">
        <v>13612</v>
      </c>
      <c r="G3223" s="9" t="s">
        <v>4292</v>
      </c>
      <c r="H3223" s="2" t="s">
        <v>60</v>
      </c>
      <c r="I3223" s="3">
        <v>37047</v>
      </c>
      <c r="J3223" s="9" t="str">
        <f t="shared" ca="1" si="53"/>
        <v>22 ans</v>
      </c>
      <c r="K3223" s="2" t="s">
        <v>156</v>
      </c>
      <c r="L3223" s="2" t="str">
        <f>"1108"</f>
        <v>1108</v>
      </c>
      <c r="M3223" s="2"/>
      <c r="N3223" s="2" t="str">
        <f>"RUE DU SAPHIR"</f>
        <v>RUE DU SAPHIR</v>
      </c>
      <c r="O3223" s="2" t="s">
        <v>14284</v>
      </c>
      <c r="P3223" s="9" t="str">
        <f>VLOOKUP($O3223,'Liste des Villes'!$B$2:$B$1128,1,FALSE)</f>
        <v>Morin-Heights</v>
      </c>
      <c r="Q3223" s="9" t="str">
        <f>IFERROR($P3223,PROPER(VLOOKUP($O3223,'Villes en erreur'!$A$2:$B$72,2,FALSE)))</f>
        <v>Morin-Heights</v>
      </c>
      <c r="R3223" s="9" t="s">
        <v>14285</v>
      </c>
      <c r="S3223" s="9" t="str">
        <f>IF(ISBLANK($R3223),"",VLOOKUP($R3223,'Liste des Villes'!$B$2:$H$1128,4,FALSE))</f>
        <v>Laurentides</v>
      </c>
      <c r="T3223" s="2" t="s">
        <v>14360</v>
      </c>
      <c r="U3223" s="2" t="s">
        <v>39</v>
      </c>
      <c r="V3223" s="2" t="s">
        <v>40</v>
      </c>
      <c r="W3223" s="2" t="s">
        <v>14313</v>
      </c>
      <c r="X3223" s="2"/>
      <c r="Y3223" s="2"/>
      <c r="Z3223" s="2"/>
      <c r="AA3223" s="2" t="s">
        <v>375</v>
      </c>
      <c r="AB3223" s="2" t="s">
        <v>376</v>
      </c>
      <c r="AC3223" s="4" t="s">
        <v>44</v>
      </c>
    </row>
    <row r="3224" spans="1:29" x14ac:dyDescent="0.25">
      <c r="A3224" s="1">
        <v>693</v>
      </c>
      <c r="B3224" s="17" t="s">
        <v>14361</v>
      </c>
      <c r="C3224" s="2" t="s">
        <v>46</v>
      </c>
      <c r="D3224" s="15" t="s">
        <v>47</v>
      </c>
      <c r="E3224" s="9" t="s">
        <v>48</v>
      </c>
      <c r="F3224" s="9" t="s">
        <v>12556</v>
      </c>
      <c r="G3224" s="9" t="s">
        <v>11101</v>
      </c>
      <c r="H3224" s="2" t="s">
        <v>35</v>
      </c>
      <c r="I3224" s="3">
        <v>37046</v>
      </c>
      <c r="J3224" s="9" t="str">
        <f t="shared" ca="1" si="53"/>
        <v>22 ans</v>
      </c>
      <c r="K3224" s="2" t="s">
        <v>156</v>
      </c>
      <c r="L3224" s="2" t="str">
        <f>"1108"</f>
        <v>1108</v>
      </c>
      <c r="M3224" s="2"/>
      <c r="N3224" s="2" t="str">
        <f>"RUE DU SAPHIR"</f>
        <v>RUE DU SAPHIR</v>
      </c>
      <c r="O3224" s="2" t="s">
        <v>14284</v>
      </c>
      <c r="P3224" s="9" t="str">
        <f>VLOOKUP($O3224,'Liste des Villes'!$B$2:$B$1128,1,FALSE)</f>
        <v>Morin-Heights</v>
      </c>
      <c r="Q3224" s="9" t="str">
        <f>IFERROR($P3224,PROPER(VLOOKUP($O3224,'Villes en erreur'!$A$2:$B$72,2,FALSE)))</f>
        <v>Morin-Heights</v>
      </c>
      <c r="R3224" s="9" t="s">
        <v>14285</v>
      </c>
      <c r="S3224" s="9" t="str">
        <f>IF(ISBLANK($R3224),"",VLOOKUP($R3224,'Liste des Villes'!$B$2:$H$1128,4,FALSE))</f>
        <v>Laurentides</v>
      </c>
      <c r="T3224" s="2" t="s">
        <v>14362</v>
      </c>
      <c r="U3224" s="2" t="s">
        <v>39</v>
      </c>
      <c r="V3224" s="2" t="s">
        <v>40</v>
      </c>
      <c r="W3224" s="2" t="s">
        <v>14363</v>
      </c>
      <c r="X3224" s="2"/>
      <c r="Y3224" s="2"/>
      <c r="Z3224" s="2"/>
      <c r="AA3224" s="2" t="s">
        <v>375</v>
      </c>
      <c r="AB3224" s="2" t="s">
        <v>376</v>
      </c>
      <c r="AC3224" s="4" t="s">
        <v>44</v>
      </c>
    </row>
    <row r="3225" spans="1:29" x14ac:dyDescent="0.25">
      <c r="A3225" s="1">
        <v>1125</v>
      </c>
      <c r="B3225" s="17" t="s">
        <v>14364</v>
      </c>
      <c r="C3225" s="2" t="s">
        <v>14365</v>
      </c>
      <c r="D3225" s="15" t="s">
        <v>10607</v>
      </c>
      <c r="E3225" s="9" t="s">
        <v>1037</v>
      </c>
      <c r="F3225" s="9" t="s">
        <v>10606</v>
      </c>
      <c r="G3225" s="9" t="s">
        <v>5798</v>
      </c>
      <c r="H3225" s="2" t="s">
        <v>60</v>
      </c>
      <c r="I3225" s="3">
        <v>37044</v>
      </c>
      <c r="J3225" s="9" t="str">
        <f t="shared" ca="1" si="53"/>
        <v>22 ans</v>
      </c>
      <c r="K3225" s="2" t="s">
        <v>156</v>
      </c>
      <c r="L3225" s="2" t="str">
        <f>"1107"</f>
        <v>1107</v>
      </c>
      <c r="M3225" s="2"/>
      <c r="N3225" s="2" t="str">
        <f>"RUE DU SABLON"</f>
        <v>RUE DU SABLON</v>
      </c>
      <c r="O3225" s="2" t="s">
        <v>14284</v>
      </c>
      <c r="P3225" s="9" t="str">
        <f>VLOOKUP($O3225,'Liste des Villes'!$B$2:$B$1128,1,FALSE)</f>
        <v>Morin-Heights</v>
      </c>
      <c r="Q3225" s="9" t="str">
        <f>IFERROR($P3225,PROPER(VLOOKUP($O3225,'Villes en erreur'!$A$2:$B$72,2,FALSE)))</f>
        <v>Morin-Heights</v>
      </c>
      <c r="R3225" s="9" t="s">
        <v>14285</v>
      </c>
      <c r="S3225" s="9" t="str">
        <f>IF(ISBLANK($R3225),"",VLOOKUP($R3225,'Liste des Villes'!$B$2:$H$1128,4,FALSE))</f>
        <v>Laurentides</v>
      </c>
      <c r="T3225" s="2" t="s">
        <v>14366</v>
      </c>
      <c r="U3225" s="2" t="s">
        <v>39</v>
      </c>
      <c r="V3225" s="2" t="s">
        <v>40</v>
      </c>
      <c r="W3225" s="2" t="s">
        <v>14367</v>
      </c>
      <c r="X3225" s="2"/>
      <c r="Y3225" s="2"/>
      <c r="Z3225" s="2"/>
      <c r="AA3225" s="2" t="s">
        <v>375</v>
      </c>
      <c r="AB3225" s="2" t="s">
        <v>376</v>
      </c>
      <c r="AC3225" s="4" t="s">
        <v>44</v>
      </c>
    </row>
    <row r="3226" spans="1:29" x14ac:dyDescent="0.25">
      <c r="A3226" s="1">
        <v>3462</v>
      </c>
      <c r="B3226" s="17" t="s">
        <v>14368</v>
      </c>
      <c r="C3226" s="2" t="s">
        <v>14369</v>
      </c>
      <c r="D3226" s="15" t="s">
        <v>11958</v>
      </c>
      <c r="E3226" s="9" t="s">
        <v>2049</v>
      </c>
      <c r="F3226" s="9" t="s">
        <v>2926</v>
      </c>
      <c r="G3226" s="9" t="s">
        <v>4292</v>
      </c>
      <c r="H3226" s="2" t="s">
        <v>60</v>
      </c>
      <c r="I3226" s="3">
        <v>37047</v>
      </c>
      <c r="J3226" s="9" t="str">
        <f t="shared" ca="1" si="53"/>
        <v>22 ans</v>
      </c>
      <c r="K3226" s="2" t="s">
        <v>156</v>
      </c>
      <c r="L3226" s="2" t="str">
        <f>"1108"</f>
        <v>1108</v>
      </c>
      <c r="M3226" s="2"/>
      <c r="N3226" s="2" t="str">
        <f>"RUE DU SAPHIR"</f>
        <v>RUE DU SAPHIR</v>
      </c>
      <c r="O3226" s="2" t="s">
        <v>14284</v>
      </c>
      <c r="P3226" s="9" t="str">
        <f>VLOOKUP($O3226,'Liste des Villes'!$B$2:$B$1128,1,FALSE)</f>
        <v>Morin-Heights</v>
      </c>
      <c r="Q3226" s="9" t="str">
        <f>IFERROR($P3226,PROPER(VLOOKUP($O3226,'Villes en erreur'!$A$2:$B$72,2,FALSE)))</f>
        <v>Morin-Heights</v>
      </c>
      <c r="R3226" s="9" t="s">
        <v>14285</v>
      </c>
      <c r="S3226" s="9" t="str">
        <f>IF(ISBLANK($R3226),"",VLOOKUP($R3226,'Liste des Villes'!$B$2:$H$1128,4,FALSE))</f>
        <v>Laurentides</v>
      </c>
      <c r="T3226" s="2" t="s">
        <v>14370</v>
      </c>
      <c r="U3226" s="2" t="s">
        <v>39</v>
      </c>
      <c r="V3226" s="2" t="s">
        <v>40</v>
      </c>
      <c r="W3226" s="2" t="s">
        <v>14371</v>
      </c>
      <c r="X3226" s="2"/>
      <c r="Y3226" s="2"/>
      <c r="Z3226" s="2"/>
      <c r="AA3226" s="2" t="s">
        <v>375</v>
      </c>
      <c r="AB3226" s="2" t="s">
        <v>376</v>
      </c>
      <c r="AC3226" s="4" t="s">
        <v>44</v>
      </c>
    </row>
    <row r="3227" spans="1:29" x14ac:dyDescent="0.25">
      <c r="A3227" s="1">
        <v>3505</v>
      </c>
      <c r="B3227" s="17" t="s">
        <v>14372</v>
      </c>
      <c r="C3227" s="2" t="s">
        <v>9314</v>
      </c>
      <c r="D3227" s="15" t="s">
        <v>7473</v>
      </c>
      <c r="E3227" s="9" t="s">
        <v>743</v>
      </c>
      <c r="F3227" s="9" t="s">
        <v>6488</v>
      </c>
      <c r="G3227" s="9" t="s">
        <v>899</v>
      </c>
      <c r="H3227" s="2" t="s">
        <v>60</v>
      </c>
      <c r="I3227" s="3">
        <v>37048</v>
      </c>
      <c r="J3227" s="9" t="str">
        <f t="shared" ca="1" si="53"/>
        <v>22 ans</v>
      </c>
      <c r="K3227" s="2" t="s">
        <v>156</v>
      </c>
      <c r="L3227" s="2" t="str">
        <f>"1111"</f>
        <v>1111</v>
      </c>
      <c r="M3227" s="2"/>
      <c r="N3227" s="2" t="str">
        <f>"RUE DU SENTIER"</f>
        <v>RUE DU SENTIER</v>
      </c>
      <c r="O3227" s="2" t="s">
        <v>14284</v>
      </c>
      <c r="P3227" s="9" t="str">
        <f>VLOOKUP($O3227,'Liste des Villes'!$B$2:$B$1128,1,FALSE)</f>
        <v>Morin-Heights</v>
      </c>
      <c r="Q3227" s="9" t="str">
        <f>IFERROR($P3227,PROPER(VLOOKUP($O3227,'Villes en erreur'!$A$2:$B$72,2,FALSE)))</f>
        <v>Morin-Heights</v>
      </c>
      <c r="R3227" s="9" t="s">
        <v>14285</v>
      </c>
      <c r="S3227" s="9" t="str">
        <f>IF(ISBLANK($R3227),"",VLOOKUP($R3227,'Liste des Villes'!$B$2:$H$1128,4,FALSE))</f>
        <v>Laurentides</v>
      </c>
      <c r="T3227" s="2" t="s">
        <v>14373</v>
      </c>
      <c r="U3227" s="2" t="s">
        <v>39</v>
      </c>
      <c r="V3227" s="2" t="s">
        <v>40</v>
      </c>
      <c r="W3227" s="2" t="s">
        <v>14374</v>
      </c>
      <c r="X3227" s="2"/>
      <c r="Y3227" s="2"/>
      <c r="Z3227" s="2"/>
      <c r="AA3227" s="2" t="s">
        <v>375</v>
      </c>
      <c r="AB3227" s="2" t="s">
        <v>376</v>
      </c>
      <c r="AC3227" s="4" t="s">
        <v>44</v>
      </c>
    </row>
    <row r="3228" spans="1:29" x14ac:dyDescent="0.25">
      <c r="A3228" s="1">
        <v>528</v>
      </c>
      <c r="B3228" s="17" t="s">
        <v>14375</v>
      </c>
      <c r="C3228" s="2" t="s">
        <v>4701</v>
      </c>
      <c r="D3228" s="15" t="s">
        <v>363</v>
      </c>
      <c r="E3228" s="9" t="s">
        <v>3695</v>
      </c>
      <c r="F3228" s="9" t="s">
        <v>3617</v>
      </c>
      <c r="G3228" s="9" t="s">
        <v>899</v>
      </c>
      <c r="H3228" s="2" t="s">
        <v>60</v>
      </c>
      <c r="I3228" s="3">
        <v>37048</v>
      </c>
      <c r="J3228" s="9" t="str">
        <f t="shared" ca="1" si="53"/>
        <v>22 ans</v>
      </c>
      <c r="K3228" s="2" t="s">
        <v>156</v>
      </c>
      <c r="L3228" s="2" t="str">
        <f>"1111"</f>
        <v>1111</v>
      </c>
      <c r="M3228" s="2"/>
      <c r="N3228" s="2" t="str">
        <f>"RUE DU SIROCCO"</f>
        <v>RUE DU SIROCCO</v>
      </c>
      <c r="O3228" s="2" t="s">
        <v>14284</v>
      </c>
      <c r="P3228" s="9" t="str">
        <f>VLOOKUP($O3228,'Liste des Villes'!$B$2:$B$1128,1,FALSE)</f>
        <v>Morin-Heights</v>
      </c>
      <c r="Q3228" s="9" t="str">
        <f>IFERROR($P3228,PROPER(VLOOKUP($O3228,'Villes en erreur'!$A$2:$B$72,2,FALSE)))</f>
        <v>Morin-Heights</v>
      </c>
      <c r="R3228" s="9" t="s">
        <v>14285</v>
      </c>
      <c r="S3228" s="9" t="str">
        <f>IF(ISBLANK($R3228),"",VLOOKUP($R3228,'Liste des Villes'!$B$2:$H$1128,4,FALSE))</f>
        <v>Laurentides</v>
      </c>
      <c r="T3228" s="2" t="s">
        <v>14376</v>
      </c>
      <c r="U3228" s="2" t="s">
        <v>39</v>
      </c>
      <c r="V3228" s="2" t="s">
        <v>40</v>
      </c>
      <c r="W3228" s="2" t="s">
        <v>14377</v>
      </c>
      <c r="X3228" s="2"/>
      <c r="Y3228" s="2"/>
      <c r="Z3228" s="2"/>
      <c r="AA3228" s="2" t="s">
        <v>375</v>
      </c>
      <c r="AB3228" s="2" t="s">
        <v>376</v>
      </c>
      <c r="AC3228" s="4" t="s">
        <v>44</v>
      </c>
    </row>
    <row r="3229" spans="1:29" x14ac:dyDescent="0.25">
      <c r="A3229" s="1">
        <v>3521</v>
      </c>
      <c r="B3229" s="17" t="s">
        <v>14378</v>
      </c>
      <c r="C3229" s="2" t="s">
        <v>8049</v>
      </c>
      <c r="D3229" s="15" t="s">
        <v>218</v>
      </c>
      <c r="E3229" s="9" t="s">
        <v>851</v>
      </c>
      <c r="F3229" s="9" t="s">
        <v>7982</v>
      </c>
      <c r="G3229" s="9" t="s">
        <v>5798</v>
      </c>
      <c r="H3229" s="2" t="s">
        <v>60</v>
      </c>
      <c r="I3229" s="3">
        <v>37042</v>
      </c>
      <c r="J3229" s="9" t="str">
        <f t="shared" ca="1" si="53"/>
        <v>22 ans</v>
      </c>
      <c r="K3229" s="2" t="s">
        <v>156</v>
      </c>
      <c r="L3229" s="2" t="str">
        <f>"1104"</f>
        <v>1104</v>
      </c>
      <c r="M3229" s="2"/>
      <c r="N3229" s="2" t="str">
        <f>"RUE DU RUBIS"</f>
        <v>RUE DU RUBIS</v>
      </c>
      <c r="O3229" s="2" t="s">
        <v>14284</v>
      </c>
      <c r="P3229" s="9" t="str">
        <f>VLOOKUP($O3229,'Liste des Villes'!$B$2:$B$1128,1,FALSE)</f>
        <v>Morin-Heights</v>
      </c>
      <c r="Q3229" s="9" t="str">
        <f>IFERROR($P3229,PROPER(VLOOKUP($O3229,'Villes en erreur'!$A$2:$B$72,2,FALSE)))</f>
        <v>Morin-Heights</v>
      </c>
      <c r="R3229" s="9" t="s">
        <v>14285</v>
      </c>
      <c r="S3229" s="9" t="str">
        <f>IF(ISBLANK($R3229),"",VLOOKUP($R3229,'Liste des Villes'!$B$2:$H$1128,4,FALSE))</f>
        <v>Laurentides</v>
      </c>
      <c r="T3229" s="2" t="s">
        <v>14379</v>
      </c>
      <c r="U3229" s="2" t="s">
        <v>39</v>
      </c>
      <c r="V3229" s="2" t="s">
        <v>40</v>
      </c>
      <c r="W3229" s="2" t="s">
        <v>14380</v>
      </c>
      <c r="X3229" s="2"/>
      <c r="Y3229" s="2"/>
      <c r="Z3229" s="2"/>
      <c r="AA3229" s="2" t="s">
        <v>375</v>
      </c>
      <c r="AB3229" s="2" t="s">
        <v>376</v>
      </c>
      <c r="AC3229" s="4" t="s">
        <v>44</v>
      </c>
    </row>
    <row r="3230" spans="1:29" x14ac:dyDescent="0.25">
      <c r="A3230" s="1">
        <v>2463</v>
      </c>
      <c r="B3230" s="17" t="s">
        <v>14381</v>
      </c>
      <c r="C3230" s="2" t="s">
        <v>14382</v>
      </c>
      <c r="D3230" s="15" t="s">
        <v>14383</v>
      </c>
      <c r="E3230" s="9" t="s">
        <v>5476</v>
      </c>
      <c r="F3230" s="9" t="s">
        <v>31</v>
      </c>
      <c r="G3230" s="9" t="s">
        <v>4352</v>
      </c>
      <c r="H3230" s="2" t="s">
        <v>60</v>
      </c>
      <c r="I3230" s="3">
        <v>37040</v>
      </c>
      <c r="J3230" s="9" t="str">
        <f t="shared" ca="1" si="53"/>
        <v>22 ans</v>
      </c>
      <c r="K3230" s="2" t="s">
        <v>156</v>
      </c>
      <c r="L3230" s="2" t="str">
        <f>"1098"</f>
        <v>1098</v>
      </c>
      <c r="M3230" s="2"/>
      <c r="N3230" s="2" t="str">
        <f>"RUE DU PLEIN-AIR"</f>
        <v>RUE DU PLEIN-AIR</v>
      </c>
      <c r="O3230" s="2" t="s">
        <v>14284</v>
      </c>
      <c r="P3230" s="9" t="str">
        <f>VLOOKUP($O3230,'Liste des Villes'!$B$2:$B$1128,1,FALSE)</f>
        <v>Morin-Heights</v>
      </c>
      <c r="Q3230" s="9" t="str">
        <f>IFERROR($P3230,PROPER(VLOOKUP($O3230,'Villes en erreur'!$A$2:$B$72,2,FALSE)))</f>
        <v>Morin-Heights</v>
      </c>
      <c r="R3230" s="9" t="s">
        <v>14285</v>
      </c>
      <c r="S3230" s="9" t="str">
        <f>IF(ISBLANK($R3230),"",VLOOKUP($R3230,'Liste des Villes'!$B$2:$H$1128,4,FALSE))</f>
        <v>Laurentides</v>
      </c>
      <c r="T3230" s="2" t="s">
        <v>14384</v>
      </c>
      <c r="U3230" s="2" t="s">
        <v>39</v>
      </c>
      <c r="V3230" s="2" t="s">
        <v>40</v>
      </c>
      <c r="W3230" s="2" t="s">
        <v>14385</v>
      </c>
      <c r="X3230" s="2"/>
      <c r="Y3230" s="2"/>
      <c r="Z3230" s="2"/>
      <c r="AA3230" s="2" t="s">
        <v>375</v>
      </c>
      <c r="AB3230" s="2" t="s">
        <v>376</v>
      </c>
      <c r="AC3230" s="4" t="s">
        <v>44</v>
      </c>
    </row>
    <row r="3231" spans="1:29" x14ac:dyDescent="0.25">
      <c r="A3231" s="1">
        <v>1205</v>
      </c>
      <c r="B3231" s="17" t="s">
        <v>14386</v>
      </c>
      <c r="C3231" s="2" t="s">
        <v>14387</v>
      </c>
      <c r="D3231" s="15" t="s">
        <v>9923</v>
      </c>
      <c r="E3231" s="9" t="s">
        <v>120</v>
      </c>
      <c r="F3231" s="9" t="s">
        <v>1913</v>
      </c>
      <c r="G3231" s="9" t="s">
        <v>5798</v>
      </c>
      <c r="H3231" s="2" t="s">
        <v>60</v>
      </c>
      <c r="I3231" s="3">
        <v>37044</v>
      </c>
      <c r="J3231" s="9" t="str">
        <f t="shared" ca="1" si="53"/>
        <v>22 ans</v>
      </c>
      <c r="K3231" s="2" t="s">
        <v>156</v>
      </c>
      <c r="L3231" s="2" t="str">
        <f>"1107"</f>
        <v>1107</v>
      </c>
      <c r="M3231" s="2"/>
      <c r="N3231" s="2" t="str">
        <f>"RUE DU SANCTUAIRE"</f>
        <v>RUE DU SANCTUAIRE</v>
      </c>
      <c r="O3231" s="2" t="s">
        <v>14284</v>
      </c>
      <c r="P3231" s="9" t="str">
        <f>VLOOKUP($O3231,'Liste des Villes'!$B$2:$B$1128,1,FALSE)</f>
        <v>Morin-Heights</v>
      </c>
      <c r="Q3231" s="9" t="str">
        <f>IFERROR($P3231,PROPER(VLOOKUP($O3231,'Villes en erreur'!$A$2:$B$72,2,FALSE)))</f>
        <v>Morin-Heights</v>
      </c>
      <c r="R3231" s="9" t="s">
        <v>14285</v>
      </c>
      <c r="S3231" s="9" t="str">
        <f>IF(ISBLANK($R3231),"",VLOOKUP($R3231,'Liste des Villes'!$B$2:$H$1128,4,FALSE))</f>
        <v>Laurentides</v>
      </c>
      <c r="T3231" s="2" t="s">
        <v>14388</v>
      </c>
      <c r="U3231" s="2" t="s">
        <v>39</v>
      </c>
      <c r="V3231" s="2" t="s">
        <v>40</v>
      </c>
      <c r="W3231" s="2" t="s">
        <v>14389</v>
      </c>
      <c r="X3231" s="2"/>
      <c r="Y3231" s="2"/>
      <c r="Z3231" s="2"/>
      <c r="AA3231" s="2" t="s">
        <v>375</v>
      </c>
      <c r="AB3231" s="2" t="s">
        <v>376</v>
      </c>
      <c r="AC3231" s="4" t="s">
        <v>44</v>
      </c>
    </row>
    <row r="3232" spans="1:29" x14ac:dyDescent="0.25">
      <c r="A3232" s="1">
        <v>2280</v>
      </c>
      <c r="B3232" s="17" t="s">
        <v>14390</v>
      </c>
      <c r="C3232" s="2" t="s">
        <v>14391</v>
      </c>
      <c r="D3232" s="15" t="s">
        <v>5999</v>
      </c>
      <c r="E3232" s="9" t="s">
        <v>253</v>
      </c>
      <c r="F3232" s="9" t="s">
        <v>5998</v>
      </c>
      <c r="G3232" s="9" t="s">
        <v>519</v>
      </c>
      <c r="H3232" s="2" t="s">
        <v>35</v>
      </c>
      <c r="I3232" s="3">
        <v>37055</v>
      </c>
      <c r="J3232" s="9" t="str">
        <f t="shared" ca="1" si="53"/>
        <v>22 ans</v>
      </c>
      <c r="K3232" s="2" t="s">
        <v>156</v>
      </c>
      <c r="L3232" s="2" t="str">
        <f>"1123"</f>
        <v>1123</v>
      </c>
      <c r="M3232" s="2"/>
      <c r="N3232" s="2" t="str">
        <f>"RUE DU VERSANT"</f>
        <v>RUE DU VERSANT</v>
      </c>
      <c r="O3232" s="2" t="s">
        <v>14392</v>
      </c>
      <c r="P3232" s="9" t="str">
        <f>VLOOKUP($O3232,'Liste des Villes'!$B$2:$B$1128,1,FALSE)</f>
        <v>Mont-Tremblant</v>
      </c>
      <c r="Q3232" s="9" t="str">
        <f>IFERROR($P3232,PROPER(VLOOKUP($O3232,'Villes en erreur'!$A$2:$B$72,2,FALSE)))</f>
        <v>Mont-Tremblant</v>
      </c>
      <c r="R3232" s="9" t="s">
        <v>14393</v>
      </c>
      <c r="S3232" s="9" t="str">
        <f>IF(ISBLANK($R3232),"",VLOOKUP($R3232,'Liste des Villes'!$B$2:$H$1128,4,FALSE))</f>
        <v>Laurentides</v>
      </c>
      <c r="T3232" s="2" t="s">
        <v>14394</v>
      </c>
      <c r="U3232" s="2" t="s">
        <v>39</v>
      </c>
      <c r="V3232" s="2" t="s">
        <v>40</v>
      </c>
      <c r="W3232" s="2" t="s">
        <v>14395</v>
      </c>
      <c r="X3232" s="2"/>
      <c r="Y3232" s="2"/>
      <c r="Z3232" s="2"/>
      <c r="AA3232" s="2" t="s">
        <v>375</v>
      </c>
      <c r="AB3232" s="2" t="s">
        <v>376</v>
      </c>
      <c r="AC3232" s="4" t="s">
        <v>44</v>
      </c>
    </row>
    <row r="3233" spans="1:29" x14ac:dyDescent="0.25">
      <c r="A3233" s="1">
        <v>617</v>
      </c>
      <c r="B3233" s="17" t="s">
        <v>14396</v>
      </c>
      <c r="C3233" s="2" t="s">
        <v>14397</v>
      </c>
      <c r="D3233" s="15" t="s">
        <v>8464</v>
      </c>
      <c r="E3233" s="9" t="s">
        <v>6737</v>
      </c>
      <c r="F3233" s="9" t="s">
        <v>1649</v>
      </c>
      <c r="G3233" s="9" t="s">
        <v>1388</v>
      </c>
      <c r="H3233" s="2" t="s">
        <v>60</v>
      </c>
      <c r="I3233" s="3">
        <v>37051</v>
      </c>
      <c r="J3233" s="9" t="str">
        <f t="shared" ca="1" si="53"/>
        <v>22 ans</v>
      </c>
      <c r="K3233" s="2" t="s">
        <v>156</v>
      </c>
      <c r="L3233" s="2" t="str">
        <f>"1115"</f>
        <v>1115</v>
      </c>
      <c r="M3233" s="2"/>
      <c r="N3233" s="2" t="str">
        <f>"RUE DU SOMMET-VERT"</f>
        <v>RUE DU SOMMET-VERT</v>
      </c>
      <c r="O3233" s="2" t="s">
        <v>14392</v>
      </c>
      <c r="P3233" s="9" t="str">
        <f>VLOOKUP($O3233,'Liste des Villes'!$B$2:$B$1128,1,FALSE)</f>
        <v>Mont-Tremblant</v>
      </c>
      <c r="Q3233" s="9" t="str">
        <f>IFERROR($P3233,PROPER(VLOOKUP($O3233,'Villes en erreur'!$A$2:$B$72,2,FALSE)))</f>
        <v>Mont-Tremblant</v>
      </c>
      <c r="R3233" s="9" t="s">
        <v>14393</v>
      </c>
      <c r="S3233" s="9" t="str">
        <f>IF(ISBLANK($R3233),"",VLOOKUP($R3233,'Liste des Villes'!$B$2:$H$1128,4,FALSE))</f>
        <v>Laurentides</v>
      </c>
      <c r="T3233" s="2" t="s">
        <v>14398</v>
      </c>
      <c r="U3233" s="2" t="s">
        <v>39</v>
      </c>
      <c r="V3233" s="2" t="s">
        <v>40</v>
      </c>
      <c r="W3233" s="2" t="s">
        <v>14399</v>
      </c>
      <c r="X3233" s="2"/>
      <c r="Y3233" s="2"/>
      <c r="Z3233" s="2"/>
      <c r="AA3233" s="2" t="s">
        <v>375</v>
      </c>
      <c r="AB3233" s="2" t="s">
        <v>376</v>
      </c>
      <c r="AC3233" s="4" t="s">
        <v>44</v>
      </c>
    </row>
    <row r="3234" spans="1:29" x14ac:dyDescent="0.25">
      <c r="A3234" s="1">
        <v>3411</v>
      </c>
      <c r="B3234" s="17" t="s">
        <v>14400</v>
      </c>
      <c r="C3234" s="2" t="s">
        <v>14401</v>
      </c>
      <c r="D3234" s="15" t="s">
        <v>2474</v>
      </c>
      <c r="E3234" s="9" t="s">
        <v>12598</v>
      </c>
      <c r="F3234" s="9" t="s">
        <v>3553</v>
      </c>
      <c r="G3234" s="9" t="s">
        <v>1190</v>
      </c>
      <c r="H3234" s="2" t="s">
        <v>60</v>
      </c>
      <c r="I3234" s="3">
        <v>37052</v>
      </c>
      <c r="J3234" s="9" t="str">
        <f t="shared" ca="1" si="53"/>
        <v>22 ans</v>
      </c>
      <c r="K3234" s="2" t="s">
        <v>156</v>
      </c>
      <c r="L3234" s="2" t="str">
        <f>"1117"</f>
        <v>1117</v>
      </c>
      <c r="M3234" s="2"/>
      <c r="N3234" s="2" t="str">
        <f>"RUE DU SUROÎT"</f>
        <v>RUE DU SUROÎT</v>
      </c>
      <c r="O3234" s="2" t="s">
        <v>14392</v>
      </c>
      <c r="P3234" s="9" t="str">
        <f>VLOOKUP($O3234,'Liste des Villes'!$B$2:$B$1128,1,FALSE)</f>
        <v>Mont-Tremblant</v>
      </c>
      <c r="Q3234" s="9" t="str">
        <f>IFERROR($P3234,PROPER(VLOOKUP($O3234,'Villes en erreur'!$A$2:$B$72,2,FALSE)))</f>
        <v>Mont-Tremblant</v>
      </c>
      <c r="R3234" s="9" t="s">
        <v>14393</v>
      </c>
      <c r="S3234" s="9" t="str">
        <f>IF(ISBLANK($R3234),"",VLOOKUP($R3234,'Liste des Villes'!$B$2:$H$1128,4,FALSE))</f>
        <v>Laurentides</v>
      </c>
      <c r="T3234" s="2" t="s">
        <v>14402</v>
      </c>
      <c r="U3234" s="2" t="s">
        <v>39</v>
      </c>
      <c r="V3234" s="2" t="s">
        <v>40</v>
      </c>
      <c r="W3234" s="2" t="s">
        <v>14403</v>
      </c>
      <c r="X3234" s="2"/>
      <c r="Y3234" s="2"/>
      <c r="Z3234" s="2"/>
      <c r="AA3234" s="2" t="s">
        <v>375</v>
      </c>
      <c r="AB3234" s="2" t="s">
        <v>376</v>
      </c>
      <c r="AC3234" s="4" t="s">
        <v>44</v>
      </c>
    </row>
    <row r="3235" spans="1:29" x14ac:dyDescent="0.25">
      <c r="A3235" s="1">
        <v>3982</v>
      </c>
      <c r="B3235" s="17" t="s">
        <v>14404</v>
      </c>
      <c r="C3235" s="2" t="s">
        <v>5552</v>
      </c>
      <c r="D3235" s="15" t="s">
        <v>2898</v>
      </c>
      <c r="E3235" s="9" t="s">
        <v>704</v>
      </c>
      <c r="F3235" s="9" t="s">
        <v>2896</v>
      </c>
      <c r="G3235" s="9" t="s">
        <v>519</v>
      </c>
      <c r="H3235" s="2" t="s">
        <v>35</v>
      </c>
      <c r="I3235" s="3">
        <v>37054</v>
      </c>
      <c r="J3235" s="9" t="str">
        <f t="shared" ca="1" si="53"/>
        <v>22 ans</v>
      </c>
      <c r="K3235" s="2" t="s">
        <v>156</v>
      </c>
      <c r="L3235" s="2" t="str">
        <f>"1121"</f>
        <v>1121</v>
      </c>
      <c r="M3235" s="2"/>
      <c r="N3235" s="2" t="str">
        <f>"RUE DU VALAIS"</f>
        <v>RUE DU VALAIS</v>
      </c>
      <c r="O3235" s="2" t="s">
        <v>14392</v>
      </c>
      <c r="P3235" s="9" t="str">
        <f>VLOOKUP($O3235,'Liste des Villes'!$B$2:$B$1128,1,FALSE)</f>
        <v>Mont-Tremblant</v>
      </c>
      <c r="Q3235" s="9" t="str">
        <f>IFERROR($P3235,PROPER(VLOOKUP($O3235,'Villes en erreur'!$A$2:$B$72,2,FALSE)))</f>
        <v>Mont-Tremblant</v>
      </c>
      <c r="R3235" s="9" t="s">
        <v>14393</v>
      </c>
      <c r="S3235" s="9" t="str">
        <f>IF(ISBLANK($R3235),"",VLOOKUP($R3235,'Liste des Villes'!$B$2:$H$1128,4,FALSE))</f>
        <v>Laurentides</v>
      </c>
      <c r="T3235" s="2" t="s">
        <v>14405</v>
      </c>
      <c r="U3235" s="2" t="s">
        <v>39</v>
      </c>
      <c r="V3235" s="2" t="s">
        <v>40</v>
      </c>
      <c r="W3235" s="2" t="s">
        <v>14406</v>
      </c>
      <c r="X3235" s="2"/>
      <c r="Y3235" s="2"/>
      <c r="Z3235" s="2"/>
      <c r="AA3235" s="2" t="s">
        <v>375</v>
      </c>
      <c r="AB3235" s="2" t="s">
        <v>376</v>
      </c>
      <c r="AC3235" s="4" t="s">
        <v>44</v>
      </c>
    </row>
    <row r="3236" spans="1:29" x14ac:dyDescent="0.25">
      <c r="A3236" s="1">
        <v>3387</v>
      </c>
      <c r="B3236" s="17" t="s">
        <v>14407</v>
      </c>
      <c r="C3236" s="2" t="s">
        <v>14408</v>
      </c>
      <c r="D3236" s="15" t="s">
        <v>14409</v>
      </c>
      <c r="E3236" s="9" t="s">
        <v>1410</v>
      </c>
      <c r="F3236" s="9" t="s">
        <v>14410</v>
      </c>
      <c r="G3236" s="9" t="s">
        <v>1388</v>
      </c>
      <c r="H3236" s="2" t="s">
        <v>60</v>
      </c>
      <c r="I3236" s="3">
        <v>37050</v>
      </c>
      <c r="J3236" s="9" t="str">
        <f t="shared" ca="1" si="53"/>
        <v>22 ans</v>
      </c>
      <c r="K3236" s="2" t="s">
        <v>156</v>
      </c>
      <c r="L3236" s="2" t="str">
        <f>"1115"</f>
        <v>1115</v>
      </c>
      <c r="M3236" s="2"/>
      <c r="N3236" s="2" t="str">
        <f>"RUE DU SOMMET-VERT"</f>
        <v>RUE DU SOMMET-VERT</v>
      </c>
      <c r="O3236" s="2" t="s">
        <v>14392</v>
      </c>
      <c r="P3236" s="9" t="str">
        <f>VLOOKUP($O3236,'Liste des Villes'!$B$2:$B$1128,1,FALSE)</f>
        <v>Mont-Tremblant</v>
      </c>
      <c r="Q3236" s="9" t="str">
        <f>IFERROR($P3236,PROPER(VLOOKUP($O3236,'Villes en erreur'!$A$2:$B$72,2,FALSE)))</f>
        <v>Mont-Tremblant</v>
      </c>
      <c r="R3236" s="9" t="s">
        <v>14393</v>
      </c>
      <c r="S3236" s="9" t="str">
        <f>IF(ISBLANK($R3236),"",VLOOKUP($R3236,'Liste des Villes'!$B$2:$H$1128,4,FALSE))</f>
        <v>Laurentides</v>
      </c>
      <c r="T3236" s="2" t="s">
        <v>14411</v>
      </c>
      <c r="U3236" s="2" t="s">
        <v>39</v>
      </c>
      <c r="V3236" s="2" t="s">
        <v>40</v>
      </c>
      <c r="W3236" s="2" t="s">
        <v>14412</v>
      </c>
      <c r="X3236" s="2"/>
      <c r="Y3236" s="2"/>
      <c r="Z3236" s="2"/>
      <c r="AA3236" s="2" t="s">
        <v>375</v>
      </c>
      <c r="AB3236" s="2" t="s">
        <v>376</v>
      </c>
      <c r="AC3236" s="4" t="s">
        <v>44</v>
      </c>
    </row>
    <row r="3237" spans="1:29" x14ac:dyDescent="0.25">
      <c r="A3237" s="1">
        <v>3389</v>
      </c>
      <c r="B3237" s="17" t="s">
        <v>14413</v>
      </c>
      <c r="C3237" s="2" t="s">
        <v>3835</v>
      </c>
      <c r="D3237" s="15" t="s">
        <v>1031</v>
      </c>
      <c r="E3237" s="9" t="s">
        <v>1397</v>
      </c>
      <c r="F3237" s="9" t="s">
        <v>1030</v>
      </c>
      <c r="G3237" s="9" t="s">
        <v>519</v>
      </c>
      <c r="H3237" s="2" t="s">
        <v>35</v>
      </c>
      <c r="I3237" s="3">
        <v>37054</v>
      </c>
      <c r="J3237" s="9" t="str">
        <f t="shared" ca="1" si="53"/>
        <v>22 ans</v>
      </c>
      <c r="K3237" s="2" t="s">
        <v>156</v>
      </c>
      <c r="L3237" s="2" t="str">
        <f>"1122"</f>
        <v>1122</v>
      </c>
      <c r="M3237" s="2"/>
      <c r="N3237" s="2" t="str">
        <f>"RUE DU VALLON"</f>
        <v>RUE DU VALLON</v>
      </c>
      <c r="O3237" s="2" t="s">
        <v>14392</v>
      </c>
      <c r="P3237" s="9" t="str">
        <f>VLOOKUP($O3237,'Liste des Villes'!$B$2:$B$1128,1,FALSE)</f>
        <v>Mont-Tremblant</v>
      </c>
      <c r="Q3237" s="9" t="str">
        <f>IFERROR($P3237,PROPER(VLOOKUP($O3237,'Villes en erreur'!$A$2:$B$72,2,FALSE)))</f>
        <v>Mont-Tremblant</v>
      </c>
      <c r="R3237" s="9" t="s">
        <v>14393</v>
      </c>
      <c r="S3237" s="9" t="str">
        <f>IF(ISBLANK($R3237),"",VLOOKUP($R3237,'Liste des Villes'!$B$2:$H$1128,4,FALSE))</f>
        <v>Laurentides</v>
      </c>
      <c r="T3237" s="2" t="s">
        <v>14414</v>
      </c>
      <c r="U3237" s="2" t="s">
        <v>39</v>
      </c>
      <c r="V3237" s="2" t="s">
        <v>40</v>
      </c>
      <c r="W3237" s="2" t="s">
        <v>14415</v>
      </c>
      <c r="X3237" s="2"/>
      <c r="Y3237" s="2"/>
      <c r="Z3237" s="2"/>
      <c r="AA3237" s="2" t="s">
        <v>375</v>
      </c>
      <c r="AB3237" s="2" t="s">
        <v>376</v>
      </c>
      <c r="AC3237" s="4" t="s">
        <v>44</v>
      </c>
    </row>
    <row r="3238" spans="1:29" x14ac:dyDescent="0.25">
      <c r="A3238" s="1">
        <v>3787</v>
      </c>
      <c r="B3238" s="17" t="s">
        <v>14416</v>
      </c>
      <c r="C3238" s="2" t="s">
        <v>14417</v>
      </c>
      <c r="D3238" s="15" t="s">
        <v>7228</v>
      </c>
      <c r="E3238" s="9" t="s">
        <v>8802</v>
      </c>
      <c r="F3238" s="9" t="s">
        <v>56</v>
      </c>
      <c r="G3238" s="9" t="s">
        <v>519</v>
      </c>
      <c r="H3238" s="2" t="s">
        <v>35</v>
      </c>
      <c r="I3238" s="3">
        <v>37053</v>
      </c>
      <c r="J3238" s="9" t="str">
        <f t="shared" ca="1" si="53"/>
        <v>22 ans</v>
      </c>
      <c r="K3238" s="2" t="s">
        <v>156</v>
      </c>
      <c r="L3238" s="2" t="str">
        <f>"1120"</f>
        <v>1120</v>
      </c>
      <c r="M3238" s="2"/>
      <c r="N3238" s="2" t="str">
        <f>"RUE DU VAL DES COLS"</f>
        <v>RUE DU VAL DES COLS</v>
      </c>
      <c r="O3238" s="2" t="s">
        <v>14392</v>
      </c>
      <c r="P3238" s="9" t="str">
        <f>VLOOKUP($O3238,'Liste des Villes'!$B$2:$B$1128,1,FALSE)</f>
        <v>Mont-Tremblant</v>
      </c>
      <c r="Q3238" s="9" t="str">
        <f>IFERROR($P3238,PROPER(VLOOKUP($O3238,'Villes en erreur'!$A$2:$B$72,2,FALSE)))</f>
        <v>Mont-Tremblant</v>
      </c>
      <c r="R3238" s="9" t="s">
        <v>14393</v>
      </c>
      <c r="S3238" s="9" t="str">
        <f>IF(ISBLANK($R3238),"",VLOOKUP($R3238,'Liste des Villes'!$B$2:$H$1128,4,FALSE))</f>
        <v>Laurentides</v>
      </c>
      <c r="T3238" s="2" t="s">
        <v>14418</v>
      </c>
      <c r="U3238" s="2" t="s">
        <v>39</v>
      </c>
      <c r="V3238" s="2" t="s">
        <v>40</v>
      </c>
      <c r="W3238" s="2" t="s">
        <v>14419</v>
      </c>
      <c r="X3238" s="2"/>
      <c r="Y3238" s="2"/>
      <c r="Z3238" s="2"/>
      <c r="AA3238" s="2" t="s">
        <v>375</v>
      </c>
      <c r="AB3238" s="2" t="s">
        <v>376</v>
      </c>
      <c r="AC3238" s="4" t="s">
        <v>44</v>
      </c>
    </row>
    <row r="3239" spans="1:29" x14ac:dyDescent="0.25">
      <c r="A3239" s="1">
        <v>1580</v>
      </c>
      <c r="B3239" s="17" t="s">
        <v>14420</v>
      </c>
      <c r="C3239" s="2" t="s">
        <v>1244</v>
      </c>
      <c r="D3239" s="15" t="s">
        <v>1245</v>
      </c>
      <c r="E3239" s="9" t="s">
        <v>1246</v>
      </c>
      <c r="F3239" s="9" t="s">
        <v>12345</v>
      </c>
      <c r="G3239" s="9" t="s">
        <v>1190</v>
      </c>
      <c r="H3239" s="2" t="s">
        <v>60</v>
      </c>
      <c r="I3239" s="3">
        <v>37053</v>
      </c>
      <c r="J3239" s="9" t="str">
        <f t="shared" ca="1" si="53"/>
        <v>22 ans</v>
      </c>
      <c r="K3239" s="2" t="s">
        <v>156</v>
      </c>
      <c r="L3239" s="2" t="str">
        <f>"1117"</f>
        <v>1117</v>
      </c>
      <c r="M3239" s="2"/>
      <c r="N3239" s="2" t="str">
        <f>"RUE DU TAILLANDIER"</f>
        <v>RUE DU TAILLANDIER</v>
      </c>
      <c r="O3239" s="2" t="s">
        <v>14392</v>
      </c>
      <c r="P3239" s="9" t="str">
        <f>VLOOKUP($O3239,'Liste des Villes'!$B$2:$B$1128,1,FALSE)</f>
        <v>Mont-Tremblant</v>
      </c>
      <c r="Q3239" s="9" t="str">
        <f>IFERROR($P3239,PROPER(VLOOKUP($O3239,'Villes en erreur'!$A$2:$B$72,2,FALSE)))</f>
        <v>Mont-Tremblant</v>
      </c>
      <c r="R3239" s="9" t="s">
        <v>14393</v>
      </c>
      <c r="S3239" s="9" t="str">
        <f>IF(ISBLANK($R3239),"",VLOOKUP($R3239,'Liste des Villes'!$B$2:$H$1128,4,FALSE))</f>
        <v>Laurentides</v>
      </c>
      <c r="T3239" s="2" t="s">
        <v>14421</v>
      </c>
      <c r="U3239" s="2" t="s">
        <v>39</v>
      </c>
      <c r="V3239" s="2" t="s">
        <v>40</v>
      </c>
      <c r="W3239" s="2" t="s">
        <v>14422</v>
      </c>
      <c r="X3239" s="2"/>
      <c r="Y3239" s="2"/>
      <c r="Z3239" s="2"/>
      <c r="AA3239" s="2" t="s">
        <v>375</v>
      </c>
      <c r="AB3239" s="2" t="s">
        <v>376</v>
      </c>
      <c r="AC3239" s="4" t="s">
        <v>44</v>
      </c>
    </row>
    <row r="3240" spans="1:29" x14ac:dyDescent="0.25">
      <c r="A3240" s="1">
        <v>1325</v>
      </c>
      <c r="B3240" s="17" t="s">
        <v>14423</v>
      </c>
      <c r="C3240" s="2" t="s">
        <v>14424</v>
      </c>
      <c r="D3240" s="15" t="s">
        <v>10402</v>
      </c>
      <c r="E3240" s="9" t="s">
        <v>8742</v>
      </c>
      <c r="F3240" s="9" t="s">
        <v>164</v>
      </c>
      <c r="G3240" s="9" t="s">
        <v>10712</v>
      </c>
      <c r="H3240" s="2" t="s">
        <v>60</v>
      </c>
      <c r="I3240" s="3">
        <v>37051</v>
      </c>
      <c r="J3240" s="9" t="str">
        <f t="shared" ca="1" si="53"/>
        <v>22 ans</v>
      </c>
      <c r="K3240" s="2" t="s">
        <v>156</v>
      </c>
      <c r="L3240" s="2" t="str">
        <f>"1115"</f>
        <v>1115</v>
      </c>
      <c r="M3240" s="2"/>
      <c r="N3240" s="2" t="str">
        <f>"RUE DU SOUVENIR"</f>
        <v>RUE DU SOUVENIR</v>
      </c>
      <c r="O3240" s="2" t="s">
        <v>14392</v>
      </c>
      <c r="P3240" s="9" t="str">
        <f>VLOOKUP($O3240,'Liste des Villes'!$B$2:$B$1128,1,FALSE)</f>
        <v>Mont-Tremblant</v>
      </c>
      <c r="Q3240" s="9" t="str">
        <f>IFERROR($P3240,PROPER(VLOOKUP($O3240,'Villes en erreur'!$A$2:$B$72,2,FALSE)))</f>
        <v>Mont-Tremblant</v>
      </c>
      <c r="R3240" s="9" t="s">
        <v>14393</v>
      </c>
      <c r="S3240" s="9" t="str">
        <f>IF(ISBLANK($R3240),"",VLOOKUP($R3240,'Liste des Villes'!$B$2:$H$1128,4,FALSE))</f>
        <v>Laurentides</v>
      </c>
      <c r="T3240" s="2" t="s">
        <v>14425</v>
      </c>
      <c r="U3240" s="2" t="s">
        <v>39</v>
      </c>
      <c r="V3240" s="2" t="s">
        <v>40</v>
      </c>
      <c r="W3240" s="2" t="s">
        <v>14426</v>
      </c>
      <c r="X3240" s="2"/>
      <c r="Y3240" s="2"/>
      <c r="Z3240" s="2"/>
      <c r="AA3240" s="2" t="s">
        <v>375</v>
      </c>
      <c r="AB3240" s="2" t="s">
        <v>376</v>
      </c>
      <c r="AC3240" s="4" t="s">
        <v>44</v>
      </c>
    </row>
    <row r="3241" spans="1:29" x14ac:dyDescent="0.25">
      <c r="A3241" s="1">
        <v>2913</v>
      </c>
      <c r="B3241" s="17" t="s">
        <v>14427</v>
      </c>
      <c r="C3241" s="2" t="s">
        <v>14428</v>
      </c>
      <c r="D3241" s="15" t="s">
        <v>9869</v>
      </c>
      <c r="E3241" s="9" t="s">
        <v>3162</v>
      </c>
      <c r="F3241" s="9" t="s">
        <v>2474</v>
      </c>
      <c r="G3241" s="9" t="s">
        <v>3409</v>
      </c>
      <c r="H3241" s="2" t="s">
        <v>35</v>
      </c>
      <c r="I3241" s="3">
        <v>37053</v>
      </c>
      <c r="J3241" s="9" t="str">
        <f t="shared" ca="1" si="53"/>
        <v>22 ans</v>
      </c>
      <c r="K3241" s="2" t="s">
        <v>156</v>
      </c>
      <c r="L3241" s="2" t="str">
        <f>"1120"</f>
        <v>1120</v>
      </c>
      <c r="M3241" s="2"/>
      <c r="N3241" s="2" t="str">
        <f>"RUE DU VAL DES BOIS"</f>
        <v>RUE DU VAL DES BOIS</v>
      </c>
      <c r="O3241" s="2" t="s">
        <v>14392</v>
      </c>
      <c r="P3241" s="9" t="str">
        <f>VLOOKUP($O3241,'Liste des Villes'!$B$2:$B$1128,1,FALSE)</f>
        <v>Mont-Tremblant</v>
      </c>
      <c r="Q3241" s="9" t="str">
        <f>IFERROR($P3241,PROPER(VLOOKUP($O3241,'Villes en erreur'!$A$2:$B$72,2,FALSE)))</f>
        <v>Mont-Tremblant</v>
      </c>
      <c r="R3241" s="9" t="s">
        <v>14393</v>
      </c>
      <c r="S3241" s="9" t="str">
        <f>IF(ISBLANK($R3241),"",VLOOKUP($R3241,'Liste des Villes'!$B$2:$H$1128,4,FALSE))</f>
        <v>Laurentides</v>
      </c>
      <c r="T3241" s="2" t="s">
        <v>14429</v>
      </c>
      <c r="U3241" s="2" t="s">
        <v>39</v>
      </c>
      <c r="V3241" s="2" t="s">
        <v>40</v>
      </c>
      <c r="W3241" s="2" t="s">
        <v>14430</v>
      </c>
      <c r="X3241" s="2"/>
      <c r="Y3241" s="2"/>
      <c r="Z3241" s="2"/>
      <c r="AA3241" s="2" t="s">
        <v>375</v>
      </c>
      <c r="AB3241" s="2" t="s">
        <v>376</v>
      </c>
      <c r="AC3241" s="4" t="s">
        <v>44</v>
      </c>
    </row>
    <row r="3242" spans="1:29" x14ac:dyDescent="0.25">
      <c r="A3242" s="1">
        <v>2282</v>
      </c>
      <c r="B3242" s="17" t="s">
        <v>14431</v>
      </c>
      <c r="C3242" s="2" t="s">
        <v>14432</v>
      </c>
      <c r="D3242" s="15" t="s">
        <v>14251</v>
      </c>
      <c r="E3242" s="9" t="s">
        <v>381</v>
      </c>
      <c r="F3242" s="9" t="s">
        <v>719</v>
      </c>
      <c r="G3242" s="9" t="s">
        <v>1190</v>
      </c>
      <c r="H3242" s="2" t="s">
        <v>60</v>
      </c>
      <c r="I3242" s="3">
        <v>37053</v>
      </c>
      <c r="J3242" s="9" t="str">
        <f t="shared" ca="1" si="53"/>
        <v>22 ans</v>
      </c>
      <c r="K3242" s="2" t="s">
        <v>156</v>
      </c>
      <c r="L3242" s="2" t="str">
        <f>"1117"</f>
        <v>1117</v>
      </c>
      <c r="M3242" s="2"/>
      <c r="N3242" s="2" t="str">
        <f>"RUE DU SUROÎT"</f>
        <v>RUE DU SUROÎT</v>
      </c>
      <c r="O3242" s="2" t="s">
        <v>14392</v>
      </c>
      <c r="P3242" s="9" t="str">
        <f>VLOOKUP($O3242,'Liste des Villes'!$B$2:$B$1128,1,FALSE)</f>
        <v>Mont-Tremblant</v>
      </c>
      <c r="Q3242" s="9" t="str">
        <f>IFERROR($P3242,PROPER(VLOOKUP($O3242,'Villes en erreur'!$A$2:$B$72,2,FALSE)))</f>
        <v>Mont-Tremblant</v>
      </c>
      <c r="R3242" s="9" t="s">
        <v>14393</v>
      </c>
      <c r="S3242" s="9" t="str">
        <f>IF(ISBLANK($R3242),"",VLOOKUP($R3242,'Liste des Villes'!$B$2:$H$1128,4,FALSE))</f>
        <v>Laurentides</v>
      </c>
      <c r="T3242" s="2" t="s">
        <v>14433</v>
      </c>
      <c r="U3242" s="2" t="s">
        <v>39</v>
      </c>
      <c r="V3242" s="2" t="s">
        <v>40</v>
      </c>
      <c r="W3242" s="2" t="s">
        <v>14434</v>
      </c>
      <c r="X3242" s="2"/>
      <c r="Y3242" s="2"/>
      <c r="Z3242" s="2"/>
      <c r="AA3242" s="2" t="s">
        <v>375</v>
      </c>
      <c r="AB3242" s="2" t="s">
        <v>376</v>
      </c>
      <c r="AC3242" s="4" t="s">
        <v>44</v>
      </c>
    </row>
    <row r="3243" spans="1:29" x14ac:dyDescent="0.25">
      <c r="A3243" s="1">
        <v>589</v>
      </c>
      <c r="B3243" s="17" t="s">
        <v>14435</v>
      </c>
      <c r="C3243" s="2" t="s">
        <v>14436</v>
      </c>
      <c r="D3243" s="15" t="s">
        <v>1452</v>
      </c>
      <c r="E3243" s="9" t="s">
        <v>2049</v>
      </c>
      <c r="F3243" s="9" t="s">
        <v>7681</v>
      </c>
      <c r="G3243" s="9" t="s">
        <v>1190</v>
      </c>
      <c r="H3243" s="2" t="s">
        <v>60</v>
      </c>
      <c r="I3243" s="3">
        <v>37052</v>
      </c>
      <c r="J3243" s="9" t="str">
        <f t="shared" ca="1" si="53"/>
        <v>22 ans</v>
      </c>
      <c r="K3243" s="2" t="s">
        <v>156</v>
      </c>
      <c r="L3243" s="2" t="str">
        <f>"1116"</f>
        <v>1116</v>
      </c>
      <c r="M3243" s="2"/>
      <c r="N3243" s="2" t="str">
        <f>"rue Du Souvenir"</f>
        <v>rue Du Souvenir</v>
      </c>
      <c r="O3243" s="2" t="s">
        <v>14392</v>
      </c>
      <c r="P3243" s="9" t="str">
        <f>VLOOKUP($O3243,'Liste des Villes'!$B$2:$B$1128,1,FALSE)</f>
        <v>Mont-Tremblant</v>
      </c>
      <c r="Q3243" s="9" t="str">
        <f>IFERROR($P3243,PROPER(VLOOKUP($O3243,'Villes en erreur'!$A$2:$B$72,2,FALSE)))</f>
        <v>Mont-Tremblant</v>
      </c>
      <c r="R3243" s="9" t="s">
        <v>14393</v>
      </c>
      <c r="S3243" s="9" t="str">
        <f>IF(ISBLANK($R3243),"",VLOOKUP($R3243,'Liste des Villes'!$B$2:$H$1128,4,FALSE))</f>
        <v>Laurentides</v>
      </c>
      <c r="T3243" s="2" t="s">
        <v>14437</v>
      </c>
      <c r="U3243" s="2" t="s">
        <v>39</v>
      </c>
      <c r="V3243" s="2" t="s">
        <v>40</v>
      </c>
      <c r="W3243" s="2" t="s">
        <v>14438</v>
      </c>
      <c r="X3243" s="2"/>
      <c r="Y3243" s="2"/>
      <c r="Z3243" s="2"/>
      <c r="AA3243" s="2" t="s">
        <v>375</v>
      </c>
      <c r="AB3243" s="2" t="s">
        <v>376</v>
      </c>
      <c r="AC3243" s="4" t="s">
        <v>44</v>
      </c>
    </row>
    <row r="3244" spans="1:29" x14ac:dyDescent="0.25">
      <c r="A3244" s="1">
        <v>2512</v>
      </c>
      <c r="B3244" s="17" t="s">
        <v>14439</v>
      </c>
      <c r="C3244" s="2" t="s">
        <v>14440</v>
      </c>
      <c r="D3244" s="15" t="s">
        <v>5896</v>
      </c>
      <c r="E3244" s="9" t="s">
        <v>996</v>
      </c>
      <c r="F3244" s="9" t="s">
        <v>5895</v>
      </c>
      <c r="G3244" s="9" t="s">
        <v>13003</v>
      </c>
      <c r="H3244" s="2" t="s">
        <v>60</v>
      </c>
      <c r="I3244" s="3">
        <v>37055</v>
      </c>
      <c r="J3244" s="9" t="str">
        <f t="shared" ca="1" si="53"/>
        <v>22 ans</v>
      </c>
      <c r="K3244" s="2" t="s">
        <v>156</v>
      </c>
      <c r="L3244" s="2" t="str">
        <f>"1124"</f>
        <v>1124</v>
      </c>
      <c r="M3244" s="2"/>
      <c r="N3244" s="2" t="str">
        <f>"RUE DU VERSANT"</f>
        <v>RUE DU VERSANT</v>
      </c>
      <c r="O3244" s="2" t="s">
        <v>14393</v>
      </c>
      <c r="P3244" s="9" t="str">
        <f>VLOOKUP($O3244,'Liste des Villes'!$B$2:$B$1128,1,FALSE)</f>
        <v>Mont-Tremblant</v>
      </c>
      <c r="Q3244" s="9" t="str">
        <f>IFERROR($P3244,PROPER(VLOOKUP($O3244,'Villes en erreur'!$A$2:$B$72,2,FALSE)))</f>
        <v>Mont-Tremblant</v>
      </c>
      <c r="R3244" s="9" t="s">
        <v>14393</v>
      </c>
      <c r="S3244" s="9" t="str">
        <f>IF(ISBLANK($R3244),"",VLOOKUP($R3244,'Liste des Villes'!$B$2:$H$1128,4,FALSE))</f>
        <v>Laurentides</v>
      </c>
      <c r="T3244" s="2" t="s">
        <v>14441</v>
      </c>
      <c r="U3244" s="2" t="s">
        <v>39</v>
      </c>
      <c r="V3244" s="2" t="s">
        <v>40</v>
      </c>
      <c r="W3244" s="2" t="s">
        <v>14442</v>
      </c>
      <c r="X3244" s="2"/>
      <c r="Y3244" s="2"/>
      <c r="Z3244" s="2"/>
      <c r="AA3244" s="2" t="s">
        <v>375</v>
      </c>
      <c r="AB3244" s="2" t="s">
        <v>376</v>
      </c>
      <c r="AC3244" s="4" t="s">
        <v>44</v>
      </c>
    </row>
    <row r="3245" spans="1:29" x14ac:dyDescent="0.25">
      <c r="A3245" s="1">
        <v>4228</v>
      </c>
      <c r="B3245" s="17" t="s">
        <v>14443</v>
      </c>
      <c r="C3245" s="2" t="s">
        <v>6516</v>
      </c>
      <c r="D3245" s="15" t="s">
        <v>584</v>
      </c>
      <c r="E3245" s="9" t="s">
        <v>305</v>
      </c>
      <c r="F3245" s="9" t="s">
        <v>14444</v>
      </c>
      <c r="G3245" s="9" t="s">
        <v>519</v>
      </c>
      <c r="H3245" s="2" t="s">
        <v>35</v>
      </c>
      <c r="I3245" s="3">
        <v>37054</v>
      </c>
      <c r="J3245" s="9" t="str">
        <f t="shared" ca="1" si="53"/>
        <v>22 ans</v>
      </c>
      <c r="K3245" s="2" t="s">
        <v>156</v>
      </c>
      <c r="L3245" s="2" t="str">
        <f>"1123"</f>
        <v>1123</v>
      </c>
      <c r="M3245" s="2"/>
      <c r="N3245" s="2" t="str">
        <f>"RUE DU VERSANT"</f>
        <v>RUE DU VERSANT</v>
      </c>
      <c r="O3245" s="2" t="s">
        <v>14392</v>
      </c>
      <c r="P3245" s="9" t="str">
        <f>VLOOKUP($O3245,'Liste des Villes'!$B$2:$B$1128,1,FALSE)</f>
        <v>Mont-Tremblant</v>
      </c>
      <c r="Q3245" s="9" t="str">
        <f>IFERROR($P3245,PROPER(VLOOKUP($O3245,'Villes en erreur'!$A$2:$B$72,2,FALSE)))</f>
        <v>Mont-Tremblant</v>
      </c>
      <c r="R3245" s="9" t="s">
        <v>14393</v>
      </c>
      <c r="S3245" s="9" t="str">
        <f>IF(ISBLANK($R3245),"",VLOOKUP($R3245,'Liste des Villes'!$B$2:$H$1128,4,FALSE))</f>
        <v>Laurentides</v>
      </c>
      <c r="T3245" s="2" t="s">
        <v>14445</v>
      </c>
      <c r="U3245" s="2" t="s">
        <v>39</v>
      </c>
      <c r="V3245" s="2" t="s">
        <v>40</v>
      </c>
      <c r="W3245" s="2" t="s">
        <v>14446</v>
      </c>
      <c r="X3245" s="2"/>
      <c r="Y3245" s="2"/>
      <c r="Z3245" s="2"/>
      <c r="AA3245" s="2" t="s">
        <v>375</v>
      </c>
      <c r="AB3245" s="2" t="s">
        <v>376</v>
      </c>
      <c r="AC3245" s="4" t="s">
        <v>44</v>
      </c>
    </row>
    <row r="3246" spans="1:29" x14ac:dyDescent="0.25">
      <c r="A3246" s="1">
        <v>1318</v>
      </c>
      <c r="B3246" s="17" t="s">
        <v>14447</v>
      </c>
      <c r="C3246" s="2" t="s">
        <v>11221</v>
      </c>
      <c r="D3246" s="15" t="s">
        <v>3843</v>
      </c>
      <c r="E3246" s="9" t="s">
        <v>5476</v>
      </c>
      <c r="F3246" s="9" t="s">
        <v>31</v>
      </c>
      <c r="G3246" s="9" t="s">
        <v>1190</v>
      </c>
      <c r="H3246" s="2" t="s">
        <v>60</v>
      </c>
      <c r="I3246" s="3">
        <v>37052</v>
      </c>
      <c r="J3246" s="9" t="str">
        <f t="shared" ca="1" si="53"/>
        <v>22 ans</v>
      </c>
      <c r="K3246" s="2" t="s">
        <v>156</v>
      </c>
      <c r="L3246" s="2" t="str">
        <f>"1116"</f>
        <v>1116</v>
      </c>
      <c r="M3246" s="2"/>
      <c r="N3246" s="2" t="str">
        <f>"RUE DU SUPERBE"</f>
        <v>RUE DU SUPERBE</v>
      </c>
      <c r="O3246" s="2" t="s">
        <v>14392</v>
      </c>
      <c r="P3246" s="9" t="str">
        <f>VLOOKUP($O3246,'Liste des Villes'!$B$2:$B$1128,1,FALSE)</f>
        <v>Mont-Tremblant</v>
      </c>
      <c r="Q3246" s="9" t="str">
        <f>IFERROR($P3246,PROPER(VLOOKUP($O3246,'Villes en erreur'!$A$2:$B$72,2,FALSE)))</f>
        <v>Mont-Tremblant</v>
      </c>
      <c r="R3246" s="9" t="s">
        <v>14393</v>
      </c>
      <c r="S3246" s="9" t="str">
        <f>IF(ISBLANK($R3246),"",VLOOKUP($R3246,'Liste des Villes'!$B$2:$H$1128,4,FALSE))</f>
        <v>Laurentides</v>
      </c>
      <c r="T3246" s="2" t="s">
        <v>14448</v>
      </c>
      <c r="U3246" s="2" t="s">
        <v>39</v>
      </c>
      <c r="V3246" s="2" t="s">
        <v>40</v>
      </c>
      <c r="W3246" s="2" t="s">
        <v>14449</v>
      </c>
      <c r="X3246" s="2"/>
      <c r="Y3246" s="2"/>
      <c r="Z3246" s="2"/>
      <c r="AA3246" s="2" t="s">
        <v>375</v>
      </c>
      <c r="AB3246" s="2" t="s">
        <v>376</v>
      </c>
      <c r="AC3246" s="4" t="s">
        <v>44</v>
      </c>
    </row>
    <row r="3247" spans="1:29" x14ac:dyDescent="0.25">
      <c r="A3247" s="1">
        <v>4445</v>
      </c>
      <c r="B3247" s="17" t="s">
        <v>14450</v>
      </c>
      <c r="C3247" s="2" t="s">
        <v>11100</v>
      </c>
      <c r="D3247" s="15" t="s">
        <v>3773</v>
      </c>
      <c r="E3247" s="9" t="s">
        <v>11101</v>
      </c>
      <c r="F3247" s="9" t="s">
        <v>11882</v>
      </c>
      <c r="G3247" s="9" t="s">
        <v>1190</v>
      </c>
      <c r="H3247" s="2" t="s">
        <v>60</v>
      </c>
      <c r="I3247" s="3">
        <v>37053</v>
      </c>
      <c r="J3247" s="9" t="str">
        <f t="shared" ca="1" si="53"/>
        <v>22 ans</v>
      </c>
      <c r="K3247" s="2" t="s">
        <v>156</v>
      </c>
      <c r="L3247" s="2" t="str">
        <f>"1119"</f>
        <v>1119</v>
      </c>
      <c r="M3247" s="2"/>
      <c r="N3247" s="2" t="str">
        <f>"RUE DU TOUR DU LAC"</f>
        <v>RUE DU TOUR DU LAC</v>
      </c>
      <c r="O3247" s="2" t="s">
        <v>14392</v>
      </c>
      <c r="P3247" s="9" t="str">
        <f>VLOOKUP($O3247,'Liste des Villes'!$B$2:$B$1128,1,FALSE)</f>
        <v>Mont-Tremblant</v>
      </c>
      <c r="Q3247" s="9" t="str">
        <f>IFERROR($P3247,PROPER(VLOOKUP($O3247,'Villes en erreur'!$A$2:$B$72,2,FALSE)))</f>
        <v>Mont-Tremblant</v>
      </c>
      <c r="R3247" s="9" t="s">
        <v>14393</v>
      </c>
      <c r="S3247" s="9" t="str">
        <f>IF(ISBLANK($R3247),"",VLOOKUP($R3247,'Liste des Villes'!$B$2:$H$1128,4,FALSE))</f>
        <v>Laurentides</v>
      </c>
      <c r="T3247" s="2" t="s">
        <v>14421</v>
      </c>
      <c r="U3247" s="2" t="s">
        <v>39</v>
      </c>
      <c r="V3247" s="2" t="s">
        <v>40</v>
      </c>
      <c r="W3247" s="2" t="s">
        <v>14451</v>
      </c>
      <c r="X3247" s="2"/>
      <c r="Y3247" s="2"/>
      <c r="Z3247" s="2"/>
      <c r="AA3247" s="2" t="s">
        <v>375</v>
      </c>
      <c r="AB3247" s="2" t="s">
        <v>376</v>
      </c>
      <c r="AC3247" s="4" t="s">
        <v>44</v>
      </c>
    </row>
    <row r="3248" spans="1:29" x14ac:dyDescent="0.25">
      <c r="A3248" s="1">
        <v>4267</v>
      </c>
      <c r="B3248" s="17" t="s">
        <v>14452</v>
      </c>
      <c r="C3248" s="2" t="s">
        <v>14453</v>
      </c>
      <c r="D3248" s="15" t="s">
        <v>11608</v>
      </c>
      <c r="E3248" s="9" t="s">
        <v>14454</v>
      </c>
      <c r="F3248" s="9" t="s">
        <v>1964</v>
      </c>
      <c r="G3248" s="9" t="s">
        <v>14455</v>
      </c>
      <c r="H3248" s="2" t="s">
        <v>60</v>
      </c>
      <c r="I3248" s="3">
        <v>37056</v>
      </c>
      <c r="J3248" s="9" t="str">
        <f t="shared" ca="1" si="53"/>
        <v>22 ans</v>
      </c>
      <c r="K3248" s="2" t="s">
        <v>156</v>
      </c>
      <c r="L3248" s="2" t="str">
        <f>"1124"</f>
        <v>1124</v>
      </c>
      <c r="M3248" s="2"/>
      <c r="N3248" s="2" t="str">
        <f>"RUE DU VERSANT-DU-RUISSEAU"</f>
        <v>RUE DU VERSANT-DU-RUISSEAU</v>
      </c>
      <c r="O3248" s="2" t="s">
        <v>14392</v>
      </c>
      <c r="P3248" s="9" t="str">
        <f>VLOOKUP($O3248,'Liste des Villes'!$B$2:$B$1128,1,FALSE)</f>
        <v>Mont-Tremblant</v>
      </c>
      <c r="Q3248" s="9" t="str">
        <f>IFERROR($P3248,PROPER(VLOOKUP($O3248,'Villes en erreur'!$A$2:$B$72,2,FALSE)))</f>
        <v>Mont-Tremblant</v>
      </c>
      <c r="R3248" s="9" t="s">
        <v>14393</v>
      </c>
      <c r="S3248" s="9" t="str">
        <f>IF(ISBLANK($R3248),"",VLOOKUP($R3248,'Liste des Villes'!$B$2:$H$1128,4,FALSE))</f>
        <v>Laurentides</v>
      </c>
      <c r="T3248" s="2" t="s">
        <v>14456</v>
      </c>
      <c r="U3248" s="2" t="s">
        <v>39</v>
      </c>
      <c r="V3248" s="2" t="s">
        <v>40</v>
      </c>
      <c r="W3248" s="2" t="s">
        <v>14457</v>
      </c>
      <c r="X3248" s="2"/>
      <c r="Y3248" s="2"/>
      <c r="Z3248" s="2"/>
      <c r="AA3248" s="2" t="s">
        <v>375</v>
      </c>
      <c r="AB3248" s="2" t="s">
        <v>376</v>
      </c>
      <c r="AC3248" s="4" t="s">
        <v>44</v>
      </c>
    </row>
    <row r="3249" spans="1:29" x14ac:dyDescent="0.25">
      <c r="A3249" s="1">
        <v>695</v>
      </c>
      <c r="B3249" s="17" t="s">
        <v>14458</v>
      </c>
      <c r="C3249" s="2" t="s">
        <v>6383</v>
      </c>
      <c r="D3249" s="15" t="s">
        <v>6384</v>
      </c>
      <c r="E3249" s="9" t="s">
        <v>4324</v>
      </c>
      <c r="F3249" s="9" t="s">
        <v>14459</v>
      </c>
      <c r="G3249" s="9" t="s">
        <v>5430</v>
      </c>
      <c r="H3249" s="2" t="s">
        <v>60</v>
      </c>
      <c r="I3249" s="3">
        <v>37053</v>
      </c>
      <c r="J3249" s="9" t="str">
        <f t="shared" ca="1" si="53"/>
        <v>22 ans</v>
      </c>
      <c r="K3249" s="2" t="s">
        <v>156</v>
      </c>
      <c r="L3249" s="2" t="str">
        <f>"1120"</f>
        <v>1120</v>
      </c>
      <c r="M3249" s="2"/>
      <c r="N3249" s="2" t="str">
        <f>"RUE DU TOUR-DU-LAC"</f>
        <v>RUE DU TOUR-DU-LAC</v>
      </c>
      <c r="O3249" s="2" t="s">
        <v>14392</v>
      </c>
      <c r="P3249" s="9" t="str">
        <f>VLOOKUP($O3249,'Liste des Villes'!$B$2:$B$1128,1,FALSE)</f>
        <v>Mont-Tremblant</v>
      </c>
      <c r="Q3249" s="9" t="str">
        <f>IFERROR($P3249,PROPER(VLOOKUP($O3249,'Villes en erreur'!$A$2:$B$72,2,FALSE)))</f>
        <v>Mont-Tremblant</v>
      </c>
      <c r="R3249" s="9" t="s">
        <v>14393</v>
      </c>
      <c r="S3249" s="9" t="str">
        <f>IF(ISBLANK($R3249),"",VLOOKUP($R3249,'Liste des Villes'!$B$2:$H$1128,4,FALSE))</f>
        <v>Laurentides</v>
      </c>
      <c r="T3249" s="2" t="s">
        <v>14460</v>
      </c>
      <c r="U3249" s="2" t="s">
        <v>39</v>
      </c>
      <c r="V3249" s="2" t="s">
        <v>40</v>
      </c>
      <c r="W3249" s="2" t="s">
        <v>14461</v>
      </c>
      <c r="X3249" s="2"/>
      <c r="Y3249" s="2"/>
      <c r="Z3249" s="2"/>
      <c r="AA3249" s="2" t="s">
        <v>375</v>
      </c>
      <c r="AB3249" s="2" t="s">
        <v>376</v>
      </c>
      <c r="AC3249" s="4" t="s">
        <v>44</v>
      </c>
    </row>
    <row r="3250" spans="1:29" x14ac:dyDescent="0.25">
      <c r="A3250" s="1">
        <v>2959</v>
      </c>
      <c r="B3250" s="17" t="s">
        <v>14462</v>
      </c>
      <c r="C3250" s="2" t="s">
        <v>14463</v>
      </c>
      <c r="D3250" s="15" t="s">
        <v>9330</v>
      </c>
      <c r="E3250" s="9" t="s">
        <v>13332</v>
      </c>
      <c r="F3250" s="9" t="s">
        <v>9329</v>
      </c>
      <c r="G3250" s="9" t="s">
        <v>286</v>
      </c>
      <c r="H3250" s="2" t="s">
        <v>60</v>
      </c>
      <c r="I3250" s="3">
        <v>37056</v>
      </c>
      <c r="J3250" s="9" t="str">
        <f t="shared" ca="1" si="53"/>
        <v>22 ans</v>
      </c>
      <c r="K3250" s="2" t="s">
        <v>156</v>
      </c>
      <c r="L3250" s="2" t="str">
        <f>"1124"</f>
        <v>1124</v>
      </c>
      <c r="M3250" s="2"/>
      <c r="N3250" s="2" t="str">
        <f>"RUE DU VICOMTE"</f>
        <v>RUE DU VICOMTE</v>
      </c>
      <c r="O3250" s="2" t="s">
        <v>14392</v>
      </c>
      <c r="P3250" s="9" t="str">
        <f>VLOOKUP($O3250,'Liste des Villes'!$B$2:$B$1128,1,FALSE)</f>
        <v>Mont-Tremblant</v>
      </c>
      <c r="Q3250" s="9" t="str">
        <f>IFERROR($P3250,PROPER(VLOOKUP($O3250,'Villes en erreur'!$A$2:$B$72,2,FALSE)))</f>
        <v>Mont-Tremblant</v>
      </c>
      <c r="R3250" s="9" t="s">
        <v>14393</v>
      </c>
      <c r="S3250" s="9" t="str">
        <f>IF(ISBLANK($R3250),"",VLOOKUP($R3250,'Liste des Villes'!$B$2:$H$1128,4,FALSE))</f>
        <v>Laurentides</v>
      </c>
      <c r="T3250" s="2" t="s">
        <v>14464</v>
      </c>
      <c r="U3250" s="2" t="s">
        <v>39</v>
      </c>
      <c r="V3250" s="2" t="s">
        <v>40</v>
      </c>
      <c r="W3250" s="2" t="s">
        <v>14465</v>
      </c>
      <c r="X3250" s="2"/>
      <c r="Y3250" s="2"/>
      <c r="Z3250" s="2"/>
      <c r="AA3250" s="2" t="s">
        <v>375</v>
      </c>
      <c r="AB3250" s="2" t="s">
        <v>376</v>
      </c>
      <c r="AC3250" s="4" t="s">
        <v>44</v>
      </c>
    </row>
    <row r="3251" spans="1:29" x14ac:dyDescent="0.25">
      <c r="A3251" s="1">
        <v>2938</v>
      </c>
      <c r="B3251" s="17" t="s">
        <v>14466</v>
      </c>
      <c r="C3251" s="2" t="s">
        <v>11344</v>
      </c>
      <c r="D3251" s="15" t="s">
        <v>5394</v>
      </c>
      <c r="E3251" s="9" t="s">
        <v>509</v>
      </c>
      <c r="F3251" s="9" t="s">
        <v>2698</v>
      </c>
      <c r="G3251" s="9" t="s">
        <v>14467</v>
      </c>
      <c r="H3251" s="2" t="s">
        <v>60</v>
      </c>
      <c r="I3251" s="3">
        <v>37051</v>
      </c>
      <c r="J3251" s="9" t="str">
        <f t="shared" ca="1" si="53"/>
        <v>22 ans</v>
      </c>
      <c r="K3251" s="2" t="s">
        <v>156</v>
      </c>
      <c r="L3251" s="2" t="str">
        <f>"1115"</f>
        <v>1115</v>
      </c>
      <c r="M3251" s="2"/>
      <c r="N3251" s="2" t="str">
        <f>"RUE DU SOUVENIR"</f>
        <v>RUE DU SOUVENIR</v>
      </c>
      <c r="O3251" s="2" t="s">
        <v>14392</v>
      </c>
      <c r="P3251" s="9" t="str">
        <f>VLOOKUP($O3251,'Liste des Villes'!$B$2:$B$1128,1,FALSE)</f>
        <v>Mont-Tremblant</v>
      </c>
      <c r="Q3251" s="9" t="str">
        <f>IFERROR($P3251,PROPER(VLOOKUP($O3251,'Villes en erreur'!$A$2:$B$72,2,FALSE)))</f>
        <v>Mont-Tremblant</v>
      </c>
      <c r="R3251" s="9" t="s">
        <v>14393</v>
      </c>
      <c r="S3251" s="9" t="str">
        <f>IF(ISBLANK($R3251),"",VLOOKUP($R3251,'Liste des Villes'!$B$2:$H$1128,4,FALSE))</f>
        <v>Laurentides</v>
      </c>
      <c r="T3251" s="2" t="s">
        <v>14425</v>
      </c>
      <c r="U3251" s="2" t="s">
        <v>39</v>
      </c>
      <c r="V3251" s="2" t="s">
        <v>40</v>
      </c>
      <c r="W3251" s="2" t="s">
        <v>14468</v>
      </c>
      <c r="X3251" s="2"/>
      <c r="Y3251" s="2"/>
      <c r="Z3251" s="2"/>
      <c r="AA3251" s="2" t="s">
        <v>375</v>
      </c>
      <c r="AB3251" s="2" t="s">
        <v>376</v>
      </c>
      <c r="AC3251" s="4" t="s">
        <v>44</v>
      </c>
    </row>
    <row r="3252" spans="1:29" x14ac:dyDescent="0.25">
      <c r="A3252" s="1">
        <v>3857</v>
      </c>
      <c r="B3252" s="17" t="s">
        <v>14469</v>
      </c>
      <c r="C3252" s="2" t="s">
        <v>2354</v>
      </c>
      <c r="D3252" s="15" t="s">
        <v>582</v>
      </c>
      <c r="E3252" s="9" t="s">
        <v>2355</v>
      </c>
      <c r="F3252" s="9" t="s">
        <v>2001</v>
      </c>
      <c r="G3252" s="9" t="s">
        <v>1190</v>
      </c>
      <c r="H3252" s="2" t="s">
        <v>60</v>
      </c>
      <c r="I3252" s="3">
        <v>37052</v>
      </c>
      <c r="J3252" s="9" t="str">
        <f t="shared" ca="1" si="53"/>
        <v>22 ans</v>
      </c>
      <c r="K3252" s="2" t="s">
        <v>156</v>
      </c>
      <c r="L3252" s="2" t="str">
        <f>"1116"</f>
        <v>1116</v>
      </c>
      <c r="M3252" s="2"/>
      <c r="N3252" s="2" t="str">
        <f>"RUE DU SOUVENIR"</f>
        <v>RUE DU SOUVENIR</v>
      </c>
      <c r="O3252" s="2" t="s">
        <v>14392</v>
      </c>
      <c r="P3252" s="9" t="str">
        <f>VLOOKUP($O3252,'Liste des Villes'!$B$2:$B$1128,1,FALSE)</f>
        <v>Mont-Tremblant</v>
      </c>
      <c r="Q3252" s="9" t="str">
        <f>IFERROR($P3252,PROPER(VLOOKUP($O3252,'Villes en erreur'!$A$2:$B$72,2,FALSE)))</f>
        <v>Mont-Tremblant</v>
      </c>
      <c r="R3252" s="9" t="s">
        <v>14393</v>
      </c>
      <c r="S3252" s="9" t="str">
        <f>IF(ISBLANK($R3252),"",VLOOKUP($R3252,'Liste des Villes'!$B$2:$H$1128,4,FALSE))</f>
        <v>Laurentides</v>
      </c>
      <c r="T3252" s="2" t="s">
        <v>14470</v>
      </c>
      <c r="U3252" s="2" t="s">
        <v>39</v>
      </c>
      <c r="V3252" s="2" t="s">
        <v>40</v>
      </c>
      <c r="W3252" s="2" t="s">
        <v>14449</v>
      </c>
      <c r="X3252" s="2"/>
      <c r="Y3252" s="2"/>
      <c r="Z3252" s="2"/>
      <c r="AA3252" s="2" t="s">
        <v>375</v>
      </c>
      <c r="AB3252" s="2" t="s">
        <v>376</v>
      </c>
      <c r="AC3252" s="4" t="s">
        <v>44</v>
      </c>
    </row>
    <row r="3253" spans="1:29" x14ac:dyDescent="0.25">
      <c r="A3253" s="1">
        <v>3657</v>
      </c>
      <c r="B3253" s="17" t="s">
        <v>14471</v>
      </c>
      <c r="C3253" s="2" t="s">
        <v>14472</v>
      </c>
      <c r="D3253" s="15" t="s">
        <v>562</v>
      </c>
      <c r="E3253" s="9" t="s">
        <v>14473</v>
      </c>
      <c r="F3253" s="9" t="s">
        <v>599</v>
      </c>
      <c r="G3253" s="9" t="s">
        <v>519</v>
      </c>
      <c r="H3253" s="2" t="s">
        <v>35</v>
      </c>
      <c r="I3253" s="3">
        <v>37055</v>
      </c>
      <c r="J3253" s="9" t="str">
        <f t="shared" ca="1" si="53"/>
        <v>22 ans</v>
      </c>
      <c r="K3253" s="2" t="s">
        <v>156</v>
      </c>
      <c r="L3253" s="2" t="str">
        <f>"1123"</f>
        <v>1123</v>
      </c>
      <c r="M3253" s="2"/>
      <c r="N3253" s="2" t="str">
        <f>"RUE DU VERSANT"</f>
        <v>RUE DU VERSANT</v>
      </c>
      <c r="O3253" s="2" t="s">
        <v>14392</v>
      </c>
      <c r="P3253" s="9" t="str">
        <f>VLOOKUP($O3253,'Liste des Villes'!$B$2:$B$1128,1,FALSE)</f>
        <v>Mont-Tremblant</v>
      </c>
      <c r="Q3253" s="9" t="str">
        <f>IFERROR($P3253,PROPER(VLOOKUP($O3253,'Villes en erreur'!$A$2:$B$72,2,FALSE)))</f>
        <v>Mont-Tremblant</v>
      </c>
      <c r="R3253" s="9" t="s">
        <v>14393</v>
      </c>
      <c r="S3253" s="9" t="str">
        <f>IF(ISBLANK($R3253),"",VLOOKUP($R3253,'Liste des Villes'!$B$2:$H$1128,4,FALSE))</f>
        <v>Laurentides</v>
      </c>
      <c r="T3253" s="2" t="s">
        <v>14474</v>
      </c>
      <c r="U3253" s="2" t="s">
        <v>39</v>
      </c>
      <c r="V3253" s="2" t="s">
        <v>40</v>
      </c>
      <c r="W3253" s="2" t="s">
        <v>14475</v>
      </c>
      <c r="X3253" s="2"/>
      <c r="Y3253" s="2"/>
      <c r="Z3253" s="2"/>
      <c r="AA3253" s="2" t="s">
        <v>375</v>
      </c>
      <c r="AB3253" s="2" t="s">
        <v>376</v>
      </c>
      <c r="AC3253" s="4" t="s">
        <v>44</v>
      </c>
    </row>
    <row r="3254" spans="1:29" x14ac:dyDescent="0.25">
      <c r="A3254" s="1">
        <v>2536</v>
      </c>
      <c r="B3254" s="17" t="s">
        <v>14476</v>
      </c>
      <c r="C3254" s="2" t="s">
        <v>46</v>
      </c>
      <c r="D3254" s="15" t="s">
        <v>47</v>
      </c>
      <c r="E3254" s="9" t="s">
        <v>48</v>
      </c>
      <c r="F3254" s="9" t="s">
        <v>3729</v>
      </c>
      <c r="G3254" s="9" t="s">
        <v>519</v>
      </c>
      <c r="H3254" s="2" t="s">
        <v>35</v>
      </c>
      <c r="I3254" s="3">
        <v>37054</v>
      </c>
      <c r="J3254" s="9" t="str">
        <f t="shared" ca="1" si="53"/>
        <v>22 ans</v>
      </c>
      <c r="K3254" s="2" t="s">
        <v>156</v>
      </c>
      <c r="L3254" s="2" t="str">
        <f>"1122"</f>
        <v>1122</v>
      </c>
      <c r="M3254" s="2"/>
      <c r="N3254" s="2" t="str">
        <f>"RUE DU VALLON"</f>
        <v>RUE DU VALLON</v>
      </c>
      <c r="O3254" s="2" t="s">
        <v>14392</v>
      </c>
      <c r="P3254" s="9" t="str">
        <f>VLOOKUP($O3254,'Liste des Villes'!$B$2:$B$1128,1,FALSE)</f>
        <v>Mont-Tremblant</v>
      </c>
      <c r="Q3254" s="9" t="str">
        <f>IFERROR($P3254,PROPER(VLOOKUP($O3254,'Villes en erreur'!$A$2:$B$72,2,FALSE)))</f>
        <v>Mont-Tremblant</v>
      </c>
      <c r="R3254" s="9" t="s">
        <v>14393</v>
      </c>
      <c r="S3254" s="9" t="str">
        <f>IF(ISBLANK($R3254),"",VLOOKUP($R3254,'Liste des Villes'!$B$2:$H$1128,4,FALSE))</f>
        <v>Laurentides</v>
      </c>
      <c r="T3254" s="2" t="s">
        <v>14477</v>
      </c>
      <c r="U3254" s="2" t="s">
        <v>39</v>
      </c>
      <c r="V3254" s="2" t="s">
        <v>40</v>
      </c>
      <c r="W3254" s="2" t="s">
        <v>14478</v>
      </c>
      <c r="X3254" s="2"/>
      <c r="Y3254" s="2"/>
      <c r="Z3254" s="2"/>
      <c r="AA3254" s="2" t="s">
        <v>375</v>
      </c>
      <c r="AB3254" s="2" t="s">
        <v>376</v>
      </c>
      <c r="AC3254" s="4" t="s">
        <v>44</v>
      </c>
    </row>
    <row r="3255" spans="1:29" x14ac:dyDescent="0.25">
      <c r="A3255" s="1">
        <v>583</v>
      </c>
      <c r="B3255" s="17" t="s">
        <v>14479</v>
      </c>
      <c r="C3255" s="2" t="s">
        <v>3699</v>
      </c>
      <c r="D3255" s="15" t="s">
        <v>1716</v>
      </c>
      <c r="E3255" s="9" t="s">
        <v>3700</v>
      </c>
      <c r="F3255" s="9" t="s">
        <v>13439</v>
      </c>
      <c r="G3255" s="9" t="s">
        <v>775</v>
      </c>
      <c r="H3255" s="2" t="s">
        <v>60</v>
      </c>
      <c r="I3255" s="3">
        <v>37062</v>
      </c>
      <c r="J3255" s="9" t="str">
        <f t="shared" ca="1" si="53"/>
        <v>22 ans</v>
      </c>
      <c r="K3255" s="2" t="s">
        <v>156</v>
      </c>
      <c r="L3255" s="2" t="str">
        <f>"1133"</f>
        <v>1133</v>
      </c>
      <c r="M3255" s="2"/>
      <c r="N3255" s="2" t="str">
        <f>"RUE DUMONTIER"</f>
        <v>RUE DUMONTIER</v>
      </c>
      <c r="O3255" s="2" t="s">
        <v>14480</v>
      </c>
      <c r="P3255" s="9" t="str">
        <f>VLOOKUP($O3255,'Liste des Villes'!$B$2:$B$1128,1,FALSE)</f>
        <v>Montréal</v>
      </c>
      <c r="Q3255" s="9" t="str">
        <f>IFERROR($P3255,PROPER(VLOOKUP($O3255,'Villes en erreur'!$A$2:$B$72,2,FALSE)))</f>
        <v>Montréal</v>
      </c>
      <c r="R3255" s="9" t="s">
        <v>14481</v>
      </c>
      <c r="S3255" s="9" t="str">
        <f>IF(ISBLANK($R3255),"",VLOOKUP($R3255,'Liste des Villes'!$B$2:$H$1128,4,FALSE))</f>
        <v>Montréal</v>
      </c>
      <c r="T3255" s="2" t="s">
        <v>14482</v>
      </c>
      <c r="U3255" s="2" t="s">
        <v>39</v>
      </c>
      <c r="V3255" s="2" t="s">
        <v>40</v>
      </c>
      <c r="W3255" s="2" t="s">
        <v>14483</v>
      </c>
      <c r="X3255" s="2"/>
      <c r="Y3255" s="2"/>
      <c r="Z3255" s="2"/>
      <c r="AA3255" s="2" t="s">
        <v>375</v>
      </c>
      <c r="AB3255" s="2" t="s">
        <v>376</v>
      </c>
      <c r="AC3255" s="4" t="s">
        <v>44</v>
      </c>
    </row>
    <row r="3256" spans="1:29" x14ac:dyDescent="0.25">
      <c r="A3256" s="1">
        <v>1400</v>
      </c>
      <c r="B3256" s="17" t="s">
        <v>14484</v>
      </c>
      <c r="C3256" s="2" t="s">
        <v>14485</v>
      </c>
      <c r="D3256" s="15" t="s">
        <v>12650</v>
      </c>
      <c r="E3256" s="9" t="s">
        <v>664</v>
      </c>
      <c r="F3256" s="9" t="s">
        <v>2216</v>
      </c>
      <c r="G3256" s="9" t="s">
        <v>65</v>
      </c>
      <c r="H3256" s="2" t="s">
        <v>60</v>
      </c>
      <c r="I3256" s="3">
        <v>37060</v>
      </c>
      <c r="J3256" s="9" t="str">
        <f t="shared" ca="1" si="53"/>
        <v>22 ans</v>
      </c>
      <c r="K3256" s="2" t="s">
        <v>156</v>
      </c>
      <c r="L3256" s="2" t="str">
        <f>"1129"</f>
        <v>1129</v>
      </c>
      <c r="M3256" s="2"/>
      <c r="N3256" s="2" t="str">
        <f>"RUE DUBOIS"</f>
        <v>RUE DUBOIS</v>
      </c>
      <c r="O3256" s="2" t="s">
        <v>14480</v>
      </c>
      <c r="P3256" s="9" t="str">
        <f>VLOOKUP($O3256,'Liste des Villes'!$B$2:$B$1128,1,FALSE)</f>
        <v>Montréal</v>
      </c>
      <c r="Q3256" s="9" t="str">
        <f>IFERROR($P3256,PROPER(VLOOKUP($O3256,'Villes en erreur'!$A$2:$B$72,2,FALSE)))</f>
        <v>Montréal</v>
      </c>
      <c r="R3256" s="9" t="s">
        <v>14481</v>
      </c>
      <c r="S3256" s="9" t="str">
        <f>IF(ISBLANK($R3256),"",VLOOKUP($R3256,'Liste des Villes'!$B$2:$H$1128,4,FALSE))</f>
        <v>Montréal</v>
      </c>
      <c r="T3256" s="2" t="s">
        <v>14486</v>
      </c>
      <c r="U3256" s="2" t="s">
        <v>39</v>
      </c>
      <c r="V3256" s="2" t="s">
        <v>40</v>
      </c>
      <c r="W3256" s="2" t="s">
        <v>14487</v>
      </c>
      <c r="X3256" s="2"/>
      <c r="Y3256" s="2"/>
      <c r="Z3256" s="2"/>
      <c r="AA3256" s="2" t="s">
        <v>375</v>
      </c>
      <c r="AB3256" s="2" t="s">
        <v>376</v>
      </c>
      <c r="AC3256" s="4" t="s">
        <v>44</v>
      </c>
    </row>
    <row r="3257" spans="1:29" x14ac:dyDescent="0.25">
      <c r="A3257" s="1">
        <v>4214</v>
      </c>
      <c r="B3257" s="17" t="s">
        <v>14488</v>
      </c>
      <c r="C3257" s="2" t="s">
        <v>9586</v>
      </c>
      <c r="D3257" s="15" t="s">
        <v>304</v>
      </c>
      <c r="E3257" s="9" t="s">
        <v>9587</v>
      </c>
      <c r="F3257" s="9" t="s">
        <v>2181</v>
      </c>
      <c r="G3257" s="9" t="s">
        <v>8223</v>
      </c>
      <c r="H3257" s="2" t="s">
        <v>35</v>
      </c>
      <c r="I3257" s="3">
        <v>37060</v>
      </c>
      <c r="J3257" s="9" t="str">
        <f t="shared" ca="1" si="53"/>
        <v>22 ans</v>
      </c>
      <c r="K3257" s="2" t="s">
        <v>156</v>
      </c>
      <c r="L3257" s="2" t="str">
        <f>"1130"</f>
        <v>1130</v>
      </c>
      <c r="M3257" s="2"/>
      <c r="N3257" s="2" t="str">
        <f>"RUE DUBORD"</f>
        <v>RUE DUBORD</v>
      </c>
      <c r="O3257" s="2" t="s">
        <v>14480</v>
      </c>
      <c r="P3257" s="9" t="str">
        <f>VLOOKUP($O3257,'Liste des Villes'!$B$2:$B$1128,1,FALSE)</f>
        <v>Montréal</v>
      </c>
      <c r="Q3257" s="9" t="str">
        <f>IFERROR($P3257,PROPER(VLOOKUP($O3257,'Villes en erreur'!$A$2:$B$72,2,FALSE)))</f>
        <v>Montréal</v>
      </c>
      <c r="R3257" s="9" t="s">
        <v>14481</v>
      </c>
      <c r="S3257" s="9" t="str">
        <f>IF(ISBLANK($R3257),"",VLOOKUP($R3257,'Liste des Villes'!$B$2:$H$1128,4,FALSE))</f>
        <v>Montréal</v>
      </c>
      <c r="T3257" s="2" t="s">
        <v>14489</v>
      </c>
      <c r="U3257" s="2" t="s">
        <v>39</v>
      </c>
      <c r="V3257" s="2" t="s">
        <v>40</v>
      </c>
      <c r="W3257" s="2" t="s">
        <v>14490</v>
      </c>
      <c r="X3257" s="2"/>
      <c r="Y3257" s="2"/>
      <c r="Z3257" s="2"/>
      <c r="AA3257" s="2" t="s">
        <v>375</v>
      </c>
      <c r="AB3257" s="2" t="s">
        <v>376</v>
      </c>
      <c r="AC3257" s="4" t="s">
        <v>44</v>
      </c>
    </row>
    <row r="3258" spans="1:29" x14ac:dyDescent="0.25">
      <c r="A3258" s="1">
        <v>2566</v>
      </c>
      <c r="B3258" s="17" t="s">
        <v>14491</v>
      </c>
      <c r="C3258" s="2" t="s">
        <v>8013</v>
      </c>
      <c r="D3258" s="15" t="s">
        <v>677</v>
      </c>
      <c r="E3258" s="9" t="s">
        <v>2381</v>
      </c>
      <c r="F3258" s="9" t="s">
        <v>4745</v>
      </c>
      <c r="G3258" s="9" t="s">
        <v>775</v>
      </c>
      <c r="H3258" s="2" t="s">
        <v>60</v>
      </c>
      <c r="I3258" s="3">
        <v>37069</v>
      </c>
      <c r="J3258" s="9" t="str">
        <f t="shared" ca="1" si="53"/>
        <v>22 ans</v>
      </c>
      <c r="K3258" s="2" t="s">
        <v>156</v>
      </c>
      <c r="L3258" s="2" t="str">
        <f>"1138"</f>
        <v>1138</v>
      </c>
      <c r="M3258" s="2"/>
      <c r="N3258" s="2" t="str">
        <f>"RUE ÉDITH"</f>
        <v>RUE ÉDITH</v>
      </c>
      <c r="O3258" s="2" t="s">
        <v>14480</v>
      </c>
      <c r="P3258" s="9" t="str">
        <f>VLOOKUP($O3258,'Liste des Villes'!$B$2:$B$1128,1,FALSE)</f>
        <v>Montréal</v>
      </c>
      <c r="Q3258" s="9" t="str">
        <f>IFERROR($P3258,PROPER(VLOOKUP($O3258,'Villes en erreur'!$A$2:$B$72,2,FALSE)))</f>
        <v>Montréal</v>
      </c>
      <c r="R3258" s="9" t="s">
        <v>14481</v>
      </c>
      <c r="S3258" s="9" t="str">
        <f>IF(ISBLANK($R3258),"",VLOOKUP($R3258,'Liste des Villes'!$B$2:$H$1128,4,FALSE))</f>
        <v>Montréal</v>
      </c>
      <c r="T3258" s="2" t="s">
        <v>14492</v>
      </c>
      <c r="U3258" s="2" t="s">
        <v>39</v>
      </c>
      <c r="V3258" s="2" t="s">
        <v>40</v>
      </c>
      <c r="W3258" s="2" t="s">
        <v>14493</v>
      </c>
      <c r="X3258" s="2"/>
      <c r="Y3258" s="2"/>
      <c r="Z3258" s="2"/>
      <c r="AA3258" s="2" t="s">
        <v>375</v>
      </c>
      <c r="AB3258" s="2" t="s">
        <v>376</v>
      </c>
      <c r="AC3258" s="4" t="s">
        <v>44</v>
      </c>
    </row>
    <row r="3259" spans="1:29" x14ac:dyDescent="0.25">
      <c r="A3259" s="1">
        <v>2307</v>
      </c>
      <c r="B3259" s="17" t="s">
        <v>14494</v>
      </c>
      <c r="C3259" s="2" t="s">
        <v>14495</v>
      </c>
      <c r="D3259" s="15" t="s">
        <v>9064</v>
      </c>
      <c r="E3259" s="9" t="s">
        <v>107</v>
      </c>
      <c r="F3259" s="9" t="s">
        <v>3122</v>
      </c>
      <c r="G3259" s="9" t="s">
        <v>775</v>
      </c>
      <c r="H3259" s="2" t="s">
        <v>60</v>
      </c>
      <c r="I3259" s="3">
        <v>37067</v>
      </c>
      <c r="J3259" s="9" t="str">
        <f t="shared" ca="1" si="53"/>
        <v>22 ans</v>
      </c>
      <c r="K3259" s="2" t="s">
        <v>156</v>
      </c>
      <c r="L3259" s="2" t="str">
        <f>"1135"</f>
        <v>1135</v>
      </c>
      <c r="M3259" s="2"/>
      <c r="N3259" s="2" t="str">
        <f>"RUE DUVERNAY"</f>
        <v>RUE DUVERNAY</v>
      </c>
      <c r="O3259" s="2" t="s">
        <v>14480</v>
      </c>
      <c r="P3259" s="9" t="str">
        <f>VLOOKUP($O3259,'Liste des Villes'!$B$2:$B$1128,1,FALSE)</f>
        <v>Montréal</v>
      </c>
      <c r="Q3259" s="9" t="str">
        <f>IFERROR($P3259,PROPER(VLOOKUP($O3259,'Villes en erreur'!$A$2:$B$72,2,FALSE)))</f>
        <v>Montréal</v>
      </c>
      <c r="R3259" s="9" t="s">
        <v>14481</v>
      </c>
      <c r="S3259" s="9" t="str">
        <f>IF(ISBLANK($R3259),"",VLOOKUP($R3259,'Liste des Villes'!$B$2:$H$1128,4,FALSE))</f>
        <v>Montréal</v>
      </c>
      <c r="T3259" s="2" t="s">
        <v>14496</v>
      </c>
      <c r="U3259" s="2" t="s">
        <v>39</v>
      </c>
      <c r="V3259" s="2" t="s">
        <v>40</v>
      </c>
      <c r="W3259" s="2" t="s">
        <v>14497</v>
      </c>
      <c r="X3259" s="2"/>
      <c r="Y3259" s="2"/>
      <c r="Z3259" s="2"/>
      <c r="AA3259" s="2" t="s">
        <v>375</v>
      </c>
      <c r="AB3259" s="2" t="s">
        <v>376</v>
      </c>
      <c r="AC3259" s="4" t="s">
        <v>44</v>
      </c>
    </row>
    <row r="3260" spans="1:29" x14ac:dyDescent="0.25">
      <c r="A3260" s="1">
        <v>2580</v>
      </c>
      <c r="B3260" s="17" t="s">
        <v>14498</v>
      </c>
      <c r="C3260" s="2" t="s">
        <v>14499</v>
      </c>
      <c r="D3260" s="15" t="s">
        <v>3617</v>
      </c>
      <c r="E3260" s="9" t="s">
        <v>14500</v>
      </c>
      <c r="F3260" s="9" t="s">
        <v>363</v>
      </c>
      <c r="G3260" s="9" t="s">
        <v>65</v>
      </c>
      <c r="H3260" s="2" t="s">
        <v>60</v>
      </c>
      <c r="I3260" s="3">
        <v>37059</v>
      </c>
      <c r="J3260" s="9" t="str">
        <f t="shared" ca="1" si="53"/>
        <v>22 ans</v>
      </c>
      <c r="K3260" s="2" t="s">
        <v>156</v>
      </c>
      <c r="L3260" s="2" t="str">
        <f>"1129"</f>
        <v>1129</v>
      </c>
      <c r="M3260" s="2"/>
      <c r="N3260" s="2" t="str">
        <f>"RUE DUBOIS"</f>
        <v>RUE DUBOIS</v>
      </c>
      <c r="O3260" s="2" t="s">
        <v>14480</v>
      </c>
      <c r="P3260" s="9" t="str">
        <f>VLOOKUP($O3260,'Liste des Villes'!$B$2:$B$1128,1,FALSE)</f>
        <v>Montréal</v>
      </c>
      <c r="Q3260" s="9" t="str">
        <f>IFERROR($P3260,PROPER(VLOOKUP($O3260,'Villes en erreur'!$A$2:$B$72,2,FALSE)))</f>
        <v>Montréal</v>
      </c>
      <c r="R3260" s="9" t="s">
        <v>14481</v>
      </c>
      <c r="S3260" s="9" t="str">
        <f>IF(ISBLANK($R3260),"",VLOOKUP($R3260,'Liste des Villes'!$B$2:$H$1128,4,FALSE))</f>
        <v>Montréal</v>
      </c>
      <c r="T3260" s="2" t="s">
        <v>14501</v>
      </c>
      <c r="U3260" s="2" t="s">
        <v>39</v>
      </c>
      <c r="V3260" s="2" t="s">
        <v>40</v>
      </c>
      <c r="W3260" s="2" t="s">
        <v>14502</v>
      </c>
      <c r="X3260" s="2"/>
      <c r="Y3260" s="2"/>
      <c r="Z3260" s="2"/>
      <c r="AA3260" s="2" t="s">
        <v>375</v>
      </c>
      <c r="AB3260" s="2" t="s">
        <v>376</v>
      </c>
      <c r="AC3260" s="4" t="s">
        <v>44</v>
      </c>
    </row>
    <row r="3261" spans="1:29" x14ac:dyDescent="0.25">
      <c r="A3261" s="1">
        <v>3909</v>
      </c>
      <c r="B3261" s="17" t="s">
        <v>14503</v>
      </c>
      <c r="C3261" s="2" t="s">
        <v>14504</v>
      </c>
      <c r="D3261" s="15" t="s">
        <v>718</v>
      </c>
      <c r="E3261" s="9" t="s">
        <v>2996</v>
      </c>
      <c r="F3261" s="9" t="s">
        <v>6608</v>
      </c>
      <c r="G3261" s="9" t="s">
        <v>775</v>
      </c>
      <c r="H3261" s="2" t="s">
        <v>60</v>
      </c>
      <c r="I3261" s="3">
        <v>37064</v>
      </c>
      <c r="J3261" s="9" t="str">
        <f t="shared" ca="1" si="53"/>
        <v>22 ans</v>
      </c>
      <c r="K3261" s="2" t="s">
        <v>156</v>
      </c>
      <c r="L3261" s="2" t="str">
        <f>"1133"</f>
        <v>1133</v>
      </c>
      <c r="M3261" s="2"/>
      <c r="N3261" s="2" t="str">
        <f>"RUE DUPÉRÉ"</f>
        <v>RUE DUPÉRÉ</v>
      </c>
      <c r="O3261" s="2" t="s">
        <v>14480</v>
      </c>
      <c r="P3261" s="9" t="str">
        <f>VLOOKUP($O3261,'Liste des Villes'!$B$2:$B$1128,1,FALSE)</f>
        <v>Montréal</v>
      </c>
      <c r="Q3261" s="9" t="str">
        <f>IFERROR($P3261,PROPER(VLOOKUP($O3261,'Villes en erreur'!$A$2:$B$72,2,FALSE)))</f>
        <v>Montréal</v>
      </c>
      <c r="R3261" s="9" t="s">
        <v>14481</v>
      </c>
      <c r="S3261" s="9" t="str">
        <f>IF(ISBLANK($R3261),"",VLOOKUP($R3261,'Liste des Villes'!$B$2:$H$1128,4,FALSE))</f>
        <v>Montréal</v>
      </c>
      <c r="T3261" s="2" t="s">
        <v>14505</v>
      </c>
      <c r="U3261" s="2" t="s">
        <v>39</v>
      </c>
      <c r="V3261" s="2" t="s">
        <v>40</v>
      </c>
      <c r="W3261" s="2" t="s">
        <v>14506</v>
      </c>
      <c r="X3261" s="2"/>
      <c r="Y3261" s="2"/>
      <c r="Z3261" s="2"/>
      <c r="AA3261" s="2" t="s">
        <v>375</v>
      </c>
      <c r="AB3261" s="2" t="s">
        <v>376</v>
      </c>
      <c r="AC3261" s="4" t="s">
        <v>44</v>
      </c>
    </row>
    <row r="3262" spans="1:29" x14ac:dyDescent="0.25">
      <c r="A3262" s="1">
        <v>556</v>
      </c>
      <c r="B3262" s="17" t="s">
        <v>14507</v>
      </c>
      <c r="C3262" s="2" t="s">
        <v>14508</v>
      </c>
      <c r="D3262" s="15" t="s">
        <v>4712</v>
      </c>
      <c r="E3262" s="9" t="s">
        <v>704</v>
      </c>
      <c r="F3262" s="9" t="s">
        <v>4711</v>
      </c>
      <c r="G3262" s="9" t="s">
        <v>775</v>
      </c>
      <c r="H3262" s="2" t="s">
        <v>60</v>
      </c>
      <c r="I3262" s="3">
        <v>37061</v>
      </c>
      <c r="J3262" s="9" t="str">
        <f t="shared" ca="1" si="53"/>
        <v>22 ans</v>
      </c>
      <c r="K3262" s="2" t="s">
        <v>156</v>
      </c>
      <c r="L3262" s="2" t="str">
        <f>"1130"</f>
        <v>1130</v>
      </c>
      <c r="M3262" s="2"/>
      <c r="N3262" s="2" t="str">
        <f>"RUE DUFORT"</f>
        <v>RUE DUFORT</v>
      </c>
      <c r="O3262" s="2" t="s">
        <v>14480</v>
      </c>
      <c r="P3262" s="9" t="str">
        <f>VLOOKUP($O3262,'Liste des Villes'!$B$2:$B$1128,1,FALSE)</f>
        <v>Montréal</v>
      </c>
      <c r="Q3262" s="9" t="str">
        <f>IFERROR($P3262,PROPER(VLOOKUP($O3262,'Villes en erreur'!$A$2:$B$72,2,FALSE)))</f>
        <v>Montréal</v>
      </c>
      <c r="R3262" s="9" t="s">
        <v>14481</v>
      </c>
      <c r="S3262" s="9" t="str">
        <f>IF(ISBLANK($R3262),"",VLOOKUP($R3262,'Liste des Villes'!$B$2:$H$1128,4,FALSE))</f>
        <v>Montréal</v>
      </c>
      <c r="T3262" s="2" t="s">
        <v>14509</v>
      </c>
      <c r="U3262" s="2" t="s">
        <v>39</v>
      </c>
      <c r="V3262" s="2" t="s">
        <v>40</v>
      </c>
      <c r="W3262" s="2" t="s">
        <v>14510</v>
      </c>
      <c r="X3262" s="2"/>
      <c r="Y3262" s="2"/>
      <c r="Z3262" s="2"/>
      <c r="AA3262" s="2" t="s">
        <v>375</v>
      </c>
      <c r="AB3262" s="2" t="s">
        <v>376</v>
      </c>
      <c r="AC3262" s="4" t="s">
        <v>44</v>
      </c>
    </row>
    <row r="3263" spans="1:29" x14ac:dyDescent="0.25">
      <c r="A3263" s="1">
        <v>2078</v>
      </c>
      <c r="B3263" s="17" t="s">
        <v>14511</v>
      </c>
      <c r="C3263" s="2" t="s">
        <v>14512</v>
      </c>
      <c r="D3263" s="15" t="s">
        <v>9441</v>
      </c>
      <c r="E3263" s="9" t="s">
        <v>4823</v>
      </c>
      <c r="F3263" s="9" t="s">
        <v>875</v>
      </c>
      <c r="G3263" s="9" t="s">
        <v>775</v>
      </c>
      <c r="H3263" s="2" t="s">
        <v>60</v>
      </c>
      <c r="I3263" s="3">
        <v>37061</v>
      </c>
      <c r="J3263" s="9" t="str">
        <f t="shared" ca="1" si="53"/>
        <v>22 ans</v>
      </c>
      <c r="K3263" s="2" t="s">
        <v>156</v>
      </c>
      <c r="L3263" s="2" t="str">
        <f>"1132"</f>
        <v>1132</v>
      </c>
      <c r="M3263" s="2"/>
      <c r="N3263" s="2" t="str">
        <f>"RUE DUHAMEL"</f>
        <v>RUE DUHAMEL</v>
      </c>
      <c r="O3263" s="2" t="s">
        <v>14480</v>
      </c>
      <c r="P3263" s="9" t="str">
        <f>VLOOKUP($O3263,'Liste des Villes'!$B$2:$B$1128,1,FALSE)</f>
        <v>Montréal</v>
      </c>
      <c r="Q3263" s="9" t="str">
        <f>IFERROR($P3263,PROPER(VLOOKUP($O3263,'Villes en erreur'!$A$2:$B$72,2,FALSE)))</f>
        <v>Montréal</v>
      </c>
      <c r="R3263" s="9" t="s">
        <v>14481</v>
      </c>
      <c r="S3263" s="9" t="str">
        <f>IF(ISBLANK($R3263),"",VLOOKUP($R3263,'Liste des Villes'!$B$2:$H$1128,4,FALSE))</f>
        <v>Montréal</v>
      </c>
      <c r="T3263" s="2" t="s">
        <v>14513</v>
      </c>
      <c r="U3263" s="2" t="s">
        <v>39</v>
      </c>
      <c r="V3263" s="2" t="s">
        <v>40</v>
      </c>
      <c r="W3263" s="2" t="s">
        <v>14514</v>
      </c>
      <c r="X3263" s="2"/>
      <c r="Y3263" s="2"/>
      <c r="Z3263" s="2"/>
      <c r="AA3263" s="2" t="s">
        <v>375</v>
      </c>
      <c r="AB3263" s="2" t="s">
        <v>376</v>
      </c>
      <c r="AC3263" s="4" t="s">
        <v>44</v>
      </c>
    </row>
    <row r="3264" spans="1:29" x14ac:dyDescent="0.25">
      <c r="A3264" s="1">
        <v>1405</v>
      </c>
      <c r="B3264" s="17" t="s">
        <v>14515</v>
      </c>
      <c r="C3264" s="2" t="s">
        <v>1288</v>
      </c>
      <c r="D3264" s="15" t="s">
        <v>601</v>
      </c>
      <c r="E3264" s="9" t="s">
        <v>1289</v>
      </c>
      <c r="F3264" s="9" t="s">
        <v>599</v>
      </c>
      <c r="G3264" s="9" t="s">
        <v>775</v>
      </c>
      <c r="H3264" s="2" t="s">
        <v>60</v>
      </c>
      <c r="I3264" s="3">
        <v>37061</v>
      </c>
      <c r="J3264" s="9" t="str">
        <f t="shared" ca="1" si="53"/>
        <v>22 ans</v>
      </c>
      <c r="K3264" s="2" t="s">
        <v>156</v>
      </c>
      <c r="L3264" s="2" t="str">
        <f>"1132"</f>
        <v>1132</v>
      </c>
      <c r="M3264" s="2"/>
      <c r="N3264" s="2" t="str">
        <f>"RUE DUMONT"</f>
        <v>RUE DUMONT</v>
      </c>
      <c r="O3264" s="2" t="s">
        <v>14480</v>
      </c>
      <c r="P3264" s="9" t="str">
        <f>VLOOKUP($O3264,'Liste des Villes'!$B$2:$B$1128,1,FALSE)</f>
        <v>Montréal</v>
      </c>
      <c r="Q3264" s="9" t="str">
        <f>IFERROR($P3264,PROPER(VLOOKUP($O3264,'Villes en erreur'!$A$2:$B$72,2,FALSE)))</f>
        <v>Montréal</v>
      </c>
      <c r="R3264" s="9" t="s">
        <v>14481</v>
      </c>
      <c r="S3264" s="9" t="str">
        <f>IF(ISBLANK($R3264),"",VLOOKUP($R3264,'Liste des Villes'!$B$2:$H$1128,4,FALSE))</f>
        <v>Montréal</v>
      </c>
      <c r="T3264" s="2" t="s">
        <v>14516</v>
      </c>
      <c r="U3264" s="2" t="s">
        <v>39</v>
      </c>
      <c r="V3264" s="2" t="s">
        <v>40</v>
      </c>
      <c r="W3264" s="2" t="s">
        <v>14517</v>
      </c>
      <c r="X3264" s="2"/>
      <c r="Y3264" s="2"/>
      <c r="Z3264" s="2"/>
      <c r="AA3264" s="2" t="s">
        <v>375</v>
      </c>
      <c r="AB3264" s="2" t="s">
        <v>376</v>
      </c>
      <c r="AC3264" s="4" t="s">
        <v>44</v>
      </c>
    </row>
    <row r="3265" spans="1:29" x14ac:dyDescent="0.25">
      <c r="A3265" s="1">
        <v>2576</v>
      </c>
      <c r="B3265" s="17" t="s">
        <v>14518</v>
      </c>
      <c r="C3265" s="2" t="s">
        <v>14519</v>
      </c>
      <c r="D3265" s="15" t="s">
        <v>14520</v>
      </c>
      <c r="E3265" s="9" t="s">
        <v>487</v>
      </c>
      <c r="F3265" s="9" t="s">
        <v>488</v>
      </c>
      <c r="G3265" s="9" t="s">
        <v>775</v>
      </c>
      <c r="H3265" s="2" t="s">
        <v>60</v>
      </c>
      <c r="I3265" s="3">
        <v>37061</v>
      </c>
      <c r="J3265" s="9" t="str">
        <f t="shared" ca="1" si="53"/>
        <v>22 ans</v>
      </c>
      <c r="K3265" s="2" t="s">
        <v>156</v>
      </c>
      <c r="L3265" s="2" t="str">
        <f>"1132"</f>
        <v>1132</v>
      </c>
      <c r="M3265" s="2"/>
      <c r="N3265" s="2" t="str">
        <f>"RUE DUMAS"</f>
        <v>RUE DUMAS</v>
      </c>
      <c r="O3265" s="2" t="s">
        <v>14480</v>
      </c>
      <c r="P3265" s="9" t="str">
        <f>VLOOKUP($O3265,'Liste des Villes'!$B$2:$B$1128,1,FALSE)</f>
        <v>Montréal</v>
      </c>
      <c r="Q3265" s="9" t="str">
        <f>IFERROR($P3265,PROPER(VLOOKUP($O3265,'Villes en erreur'!$A$2:$B$72,2,FALSE)))</f>
        <v>Montréal</v>
      </c>
      <c r="R3265" s="9" t="s">
        <v>14481</v>
      </c>
      <c r="S3265" s="9" t="str">
        <f>IF(ISBLANK($R3265),"",VLOOKUP($R3265,'Liste des Villes'!$B$2:$H$1128,4,FALSE))</f>
        <v>Montréal</v>
      </c>
      <c r="T3265" s="2" t="s">
        <v>14521</v>
      </c>
      <c r="U3265" s="2" t="s">
        <v>39</v>
      </c>
      <c r="V3265" s="2" t="s">
        <v>40</v>
      </c>
      <c r="W3265" s="2" t="s">
        <v>14522</v>
      </c>
      <c r="X3265" s="2"/>
      <c r="Y3265" s="2"/>
      <c r="Z3265" s="2"/>
      <c r="AA3265" s="2" t="s">
        <v>375</v>
      </c>
      <c r="AB3265" s="2" t="s">
        <v>376</v>
      </c>
      <c r="AC3265" s="4" t="s">
        <v>44</v>
      </c>
    </row>
    <row r="3266" spans="1:29" x14ac:dyDescent="0.25">
      <c r="A3266" s="1">
        <v>4452</v>
      </c>
      <c r="B3266" s="17" t="s">
        <v>14523</v>
      </c>
      <c r="C3266" s="2" t="s">
        <v>14524</v>
      </c>
      <c r="D3266" s="15" t="s">
        <v>12366</v>
      </c>
      <c r="E3266" s="9" t="s">
        <v>253</v>
      </c>
      <c r="F3266" s="9" t="s">
        <v>12365</v>
      </c>
      <c r="G3266" s="9" t="s">
        <v>775</v>
      </c>
      <c r="H3266" s="2" t="s">
        <v>60</v>
      </c>
      <c r="I3266" s="3">
        <v>37069</v>
      </c>
      <c r="J3266" s="9" t="str">
        <f t="shared" ref="J3266:J3329" ca="1" si="54">_xlfn.CONCAT(INT((TODAY()-$I3266)/365.25)," ans")</f>
        <v>22 ans</v>
      </c>
      <c r="K3266" s="2" t="s">
        <v>156</v>
      </c>
      <c r="L3266" s="2" t="str">
        <f>"1138"</f>
        <v>1138</v>
      </c>
      <c r="M3266" s="2"/>
      <c r="N3266" s="2" t="str">
        <f>"RUE EDMOND"</f>
        <v>RUE EDMOND</v>
      </c>
      <c r="O3266" s="2" t="s">
        <v>14480</v>
      </c>
      <c r="P3266" s="9" t="str">
        <f>VLOOKUP($O3266,'Liste des Villes'!$B$2:$B$1128,1,FALSE)</f>
        <v>Montréal</v>
      </c>
      <c r="Q3266" s="9" t="str">
        <f>IFERROR($P3266,PROPER(VLOOKUP($O3266,'Villes en erreur'!$A$2:$B$72,2,FALSE)))</f>
        <v>Montréal</v>
      </c>
      <c r="R3266" s="9" t="s">
        <v>14481</v>
      </c>
      <c r="S3266" s="9" t="str">
        <f>IF(ISBLANK($R3266),"",VLOOKUP($R3266,'Liste des Villes'!$B$2:$H$1128,4,FALSE))</f>
        <v>Montréal</v>
      </c>
      <c r="T3266" s="2" t="s">
        <v>14525</v>
      </c>
      <c r="U3266" s="2" t="s">
        <v>39</v>
      </c>
      <c r="V3266" s="2" t="s">
        <v>40</v>
      </c>
      <c r="W3266" s="2" t="s">
        <v>14526</v>
      </c>
      <c r="X3266" s="2"/>
      <c r="Y3266" s="2"/>
      <c r="Z3266" s="2"/>
      <c r="AA3266" s="2" t="s">
        <v>375</v>
      </c>
      <c r="AB3266" s="2" t="s">
        <v>376</v>
      </c>
      <c r="AC3266" s="4" t="s">
        <v>44</v>
      </c>
    </row>
    <row r="3267" spans="1:29" x14ac:dyDescent="0.25">
      <c r="A3267" s="1">
        <v>1289</v>
      </c>
      <c r="B3267" s="17" t="s">
        <v>14527</v>
      </c>
      <c r="C3267" s="2" t="s">
        <v>14528</v>
      </c>
      <c r="D3267" s="15" t="s">
        <v>9448</v>
      </c>
      <c r="E3267" s="9" t="s">
        <v>11007</v>
      </c>
      <c r="F3267" s="9" t="s">
        <v>9446</v>
      </c>
      <c r="G3267" s="9" t="s">
        <v>775</v>
      </c>
      <c r="H3267" s="2" t="s">
        <v>60</v>
      </c>
      <c r="I3267" s="3">
        <v>37065</v>
      </c>
      <c r="J3267" s="9" t="str">
        <f t="shared" ca="1" si="54"/>
        <v>22 ans</v>
      </c>
      <c r="K3267" s="2" t="s">
        <v>156</v>
      </c>
      <c r="L3267" s="2" t="str">
        <f>"1135"</f>
        <v>1135</v>
      </c>
      <c r="M3267" s="2"/>
      <c r="N3267" s="2" t="str">
        <f>"RUE DUPRÉ"</f>
        <v>RUE DUPRÉ</v>
      </c>
      <c r="O3267" s="2" t="s">
        <v>14480</v>
      </c>
      <c r="P3267" s="9" t="str">
        <f>VLOOKUP($O3267,'Liste des Villes'!$B$2:$B$1128,1,FALSE)</f>
        <v>Montréal</v>
      </c>
      <c r="Q3267" s="9" t="str">
        <f>IFERROR($P3267,PROPER(VLOOKUP($O3267,'Villes en erreur'!$A$2:$B$72,2,FALSE)))</f>
        <v>Montréal</v>
      </c>
      <c r="R3267" s="9" t="s">
        <v>14481</v>
      </c>
      <c r="S3267" s="9" t="str">
        <f>IF(ISBLANK($R3267),"",VLOOKUP($R3267,'Liste des Villes'!$B$2:$H$1128,4,FALSE))</f>
        <v>Montréal</v>
      </c>
      <c r="T3267" s="2" t="s">
        <v>14529</v>
      </c>
      <c r="U3267" s="2" t="s">
        <v>39</v>
      </c>
      <c r="V3267" s="2" t="s">
        <v>40</v>
      </c>
      <c r="W3267" s="2" t="s">
        <v>14530</v>
      </c>
      <c r="X3267" s="2"/>
      <c r="Y3267" s="2"/>
      <c r="Z3267" s="2"/>
      <c r="AA3267" s="2" t="s">
        <v>375</v>
      </c>
      <c r="AB3267" s="2" t="s">
        <v>376</v>
      </c>
      <c r="AC3267" s="4" t="s">
        <v>44</v>
      </c>
    </row>
    <row r="3268" spans="1:29" x14ac:dyDescent="0.25">
      <c r="A3268" s="1">
        <v>1416</v>
      </c>
      <c r="B3268" s="17" t="s">
        <v>14531</v>
      </c>
      <c r="C3268" s="2" t="s">
        <v>14532</v>
      </c>
      <c r="D3268" s="15" t="s">
        <v>4642</v>
      </c>
      <c r="E3268" s="9" t="s">
        <v>5559</v>
      </c>
      <c r="F3268" s="9" t="s">
        <v>4643</v>
      </c>
      <c r="G3268" s="9" t="s">
        <v>775</v>
      </c>
      <c r="H3268" s="2" t="s">
        <v>60</v>
      </c>
      <c r="I3268" s="3">
        <v>37064</v>
      </c>
      <c r="J3268" s="9" t="str">
        <f t="shared" ca="1" si="54"/>
        <v>22 ans</v>
      </c>
      <c r="K3268" s="2" t="s">
        <v>156</v>
      </c>
      <c r="L3268" s="2" t="str">
        <f>"1133"</f>
        <v>1133</v>
      </c>
      <c r="M3268" s="2"/>
      <c r="N3268" s="2" t="str">
        <f>"RUE DUPÉRÉ"</f>
        <v>RUE DUPÉRÉ</v>
      </c>
      <c r="O3268" s="2" t="s">
        <v>14480</v>
      </c>
      <c r="P3268" s="9" t="str">
        <f>VLOOKUP($O3268,'Liste des Villes'!$B$2:$B$1128,1,FALSE)</f>
        <v>Montréal</v>
      </c>
      <c r="Q3268" s="9" t="str">
        <f>IFERROR($P3268,PROPER(VLOOKUP($O3268,'Villes en erreur'!$A$2:$B$72,2,FALSE)))</f>
        <v>Montréal</v>
      </c>
      <c r="R3268" s="9" t="s">
        <v>14481</v>
      </c>
      <c r="S3268" s="9" t="str">
        <f>IF(ISBLANK($R3268),"",VLOOKUP($R3268,'Liste des Villes'!$B$2:$H$1128,4,FALSE))</f>
        <v>Montréal</v>
      </c>
      <c r="T3268" s="2" t="s">
        <v>14533</v>
      </c>
      <c r="U3268" s="2" t="s">
        <v>39</v>
      </c>
      <c r="V3268" s="2" t="s">
        <v>40</v>
      </c>
      <c r="W3268" s="2" t="s">
        <v>14534</v>
      </c>
      <c r="X3268" s="2"/>
      <c r="Y3268" s="2"/>
      <c r="Z3268" s="2"/>
      <c r="AA3268" s="2" t="s">
        <v>375</v>
      </c>
      <c r="AB3268" s="2" t="s">
        <v>376</v>
      </c>
      <c r="AC3268" s="4" t="s">
        <v>44</v>
      </c>
    </row>
    <row r="3269" spans="1:29" x14ac:dyDescent="0.25">
      <c r="A3269" s="1">
        <v>2106</v>
      </c>
      <c r="B3269" s="17" t="s">
        <v>14535</v>
      </c>
      <c r="C3269" s="2" t="s">
        <v>14536</v>
      </c>
      <c r="D3269" s="15" t="s">
        <v>4112</v>
      </c>
      <c r="E3269" s="9" t="s">
        <v>4898</v>
      </c>
      <c r="F3269" s="9" t="s">
        <v>451</v>
      </c>
      <c r="G3269" s="9" t="s">
        <v>2217</v>
      </c>
      <c r="H3269" s="2" t="s">
        <v>60</v>
      </c>
      <c r="I3269" s="3">
        <v>37069</v>
      </c>
      <c r="J3269" s="9" t="str">
        <f t="shared" ca="1" si="54"/>
        <v>22 ans</v>
      </c>
      <c r="K3269" s="2" t="s">
        <v>156</v>
      </c>
      <c r="L3269" s="2" t="str">
        <f>"1138"</f>
        <v>1138</v>
      </c>
      <c r="M3269" s="2"/>
      <c r="N3269" s="2" t="str">
        <f>"RUE EDMOND-MASSICOTTE"</f>
        <v>RUE EDMOND-MASSICOTTE</v>
      </c>
      <c r="O3269" s="2" t="s">
        <v>14480</v>
      </c>
      <c r="P3269" s="9" t="str">
        <f>VLOOKUP($O3269,'Liste des Villes'!$B$2:$B$1128,1,FALSE)</f>
        <v>Montréal</v>
      </c>
      <c r="Q3269" s="9" t="str">
        <f>IFERROR($P3269,PROPER(VLOOKUP($O3269,'Villes en erreur'!$A$2:$B$72,2,FALSE)))</f>
        <v>Montréal</v>
      </c>
      <c r="R3269" s="9" t="s">
        <v>14481</v>
      </c>
      <c r="S3269" s="9" t="str">
        <f>IF(ISBLANK($R3269),"",VLOOKUP($R3269,'Liste des Villes'!$B$2:$H$1128,4,FALSE))</f>
        <v>Montréal</v>
      </c>
      <c r="T3269" s="2" t="s">
        <v>14537</v>
      </c>
      <c r="U3269" s="2" t="s">
        <v>39</v>
      </c>
      <c r="V3269" s="2" t="s">
        <v>40</v>
      </c>
      <c r="W3269" s="2" t="s">
        <v>14538</v>
      </c>
      <c r="X3269" s="2"/>
      <c r="Y3269" s="2"/>
      <c r="Z3269" s="2"/>
      <c r="AA3269" s="2" t="s">
        <v>375</v>
      </c>
      <c r="AB3269" s="2" t="s">
        <v>376</v>
      </c>
      <c r="AC3269" s="4" t="s">
        <v>44</v>
      </c>
    </row>
    <row r="3270" spans="1:29" x14ac:dyDescent="0.25">
      <c r="A3270" s="1">
        <v>279</v>
      </c>
      <c r="B3270" s="17" t="s">
        <v>14539</v>
      </c>
      <c r="C3270" s="2" t="s">
        <v>14540</v>
      </c>
      <c r="D3270" s="15" t="s">
        <v>7492</v>
      </c>
      <c r="E3270" s="9" t="s">
        <v>616</v>
      </c>
      <c r="F3270" s="9" t="s">
        <v>617</v>
      </c>
      <c r="G3270" s="9" t="s">
        <v>775</v>
      </c>
      <c r="H3270" s="2" t="s">
        <v>60</v>
      </c>
      <c r="I3270" s="3">
        <v>37068</v>
      </c>
      <c r="J3270" s="9" t="str">
        <f t="shared" ca="1" si="54"/>
        <v>22 ans</v>
      </c>
      <c r="K3270" s="2" t="s">
        <v>156</v>
      </c>
      <c r="L3270" s="2" t="str">
        <f>"1138"</f>
        <v>1138</v>
      </c>
      <c r="M3270" s="2"/>
      <c r="N3270" s="2" t="str">
        <f>"RUE DUVERNAY"</f>
        <v>RUE DUVERNAY</v>
      </c>
      <c r="O3270" s="2" t="s">
        <v>14480</v>
      </c>
      <c r="P3270" s="9" t="str">
        <f>VLOOKUP($O3270,'Liste des Villes'!$B$2:$B$1128,1,FALSE)</f>
        <v>Montréal</v>
      </c>
      <c r="Q3270" s="9" t="str">
        <f>IFERROR($P3270,PROPER(VLOOKUP($O3270,'Villes en erreur'!$A$2:$B$72,2,FALSE)))</f>
        <v>Montréal</v>
      </c>
      <c r="R3270" s="9" t="s">
        <v>14481</v>
      </c>
      <c r="S3270" s="9" t="str">
        <f>IF(ISBLANK($R3270),"",VLOOKUP($R3270,'Liste des Villes'!$B$2:$H$1128,4,FALSE))</f>
        <v>Montréal</v>
      </c>
      <c r="T3270" s="2" t="s">
        <v>14541</v>
      </c>
      <c r="U3270" s="2" t="s">
        <v>39</v>
      </c>
      <c r="V3270" s="2" t="s">
        <v>40</v>
      </c>
      <c r="W3270" s="2" t="s">
        <v>14542</v>
      </c>
      <c r="X3270" s="2"/>
      <c r="Y3270" s="2"/>
      <c r="Z3270" s="2"/>
      <c r="AA3270" s="2" t="s">
        <v>375</v>
      </c>
      <c r="AB3270" s="2" t="s">
        <v>376</v>
      </c>
      <c r="AC3270" s="4" t="s">
        <v>44</v>
      </c>
    </row>
    <row r="3271" spans="1:29" x14ac:dyDescent="0.25">
      <c r="A3271" s="1">
        <v>1199</v>
      </c>
      <c r="B3271" s="17" t="s">
        <v>14543</v>
      </c>
      <c r="C3271" s="2" t="s">
        <v>14544</v>
      </c>
      <c r="D3271" s="15" t="s">
        <v>7299</v>
      </c>
      <c r="E3271" s="9" t="s">
        <v>12200</v>
      </c>
      <c r="F3271" s="9" t="s">
        <v>2199</v>
      </c>
      <c r="G3271" s="9" t="s">
        <v>775</v>
      </c>
      <c r="H3271" s="2" t="s">
        <v>60</v>
      </c>
      <c r="I3271" s="3">
        <v>37066</v>
      </c>
      <c r="J3271" s="9" t="str">
        <f t="shared" ca="1" si="54"/>
        <v>22 ans</v>
      </c>
      <c r="K3271" s="2" t="s">
        <v>156</v>
      </c>
      <c r="L3271" s="2" t="str">
        <f>"1135"</f>
        <v>1135</v>
      </c>
      <c r="M3271" s="2"/>
      <c r="N3271" s="2" t="str">
        <f>"RUE DUQUETTE"</f>
        <v>RUE DUQUETTE</v>
      </c>
      <c r="O3271" s="2" t="s">
        <v>14480</v>
      </c>
      <c r="P3271" s="9" t="str">
        <f>VLOOKUP($O3271,'Liste des Villes'!$B$2:$B$1128,1,FALSE)</f>
        <v>Montréal</v>
      </c>
      <c r="Q3271" s="9" t="str">
        <f>IFERROR($P3271,PROPER(VLOOKUP($O3271,'Villes en erreur'!$A$2:$B$72,2,FALSE)))</f>
        <v>Montréal</v>
      </c>
      <c r="R3271" s="9" t="s">
        <v>14481</v>
      </c>
      <c r="S3271" s="9" t="str">
        <f>IF(ISBLANK($R3271),"",VLOOKUP($R3271,'Liste des Villes'!$B$2:$H$1128,4,FALSE))</f>
        <v>Montréal</v>
      </c>
      <c r="T3271" s="2" t="s">
        <v>14545</v>
      </c>
      <c r="U3271" s="2" t="s">
        <v>39</v>
      </c>
      <c r="V3271" s="2" t="s">
        <v>40</v>
      </c>
      <c r="W3271" s="2" t="s">
        <v>14546</v>
      </c>
      <c r="X3271" s="2"/>
      <c r="Y3271" s="2"/>
      <c r="Z3271" s="2"/>
      <c r="AA3271" s="2" t="s">
        <v>375</v>
      </c>
      <c r="AB3271" s="2" t="s">
        <v>376</v>
      </c>
      <c r="AC3271" s="4" t="s">
        <v>44</v>
      </c>
    </row>
    <row r="3272" spans="1:29" x14ac:dyDescent="0.25">
      <c r="A3272" s="1">
        <v>4424</v>
      </c>
      <c r="B3272" s="17" t="s">
        <v>14547</v>
      </c>
      <c r="C3272" s="2" t="s">
        <v>14548</v>
      </c>
      <c r="D3272" s="15" t="s">
        <v>12523</v>
      </c>
      <c r="E3272" s="9" t="s">
        <v>14549</v>
      </c>
      <c r="F3272" s="9" t="s">
        <v>12522</v>
      </c>
      <c r="G3272" s="9" t="s">
        <v>775</v>
      </c>
      <c r="H3272" s="2" t="s">
        <v>60</v>
      </c>
      <c r="I3272" s="3">
        <v>37067</v>
      </c>
      <c r="J3272" s="9" t="str">
        <f t="shared" ca="1" si="54"/>
        <v>22 ans</v>
      </c>
      <c r="K3272" s="2" t="s">
        <v>156</v>
      </c>
      <c r="L3272" s="2" t="str">
        <f>"1137"</f>
        <v>1137</v>
      </c>
      <c r="M3272" s="2"/>
      <c r="N3272" s="2" t="str">
        <f>"RUE DUVERNAY"</f>
        <v>RUE DUVERNAY</v>
      </c>
      <c r="O3272" s="2" t="s">
        <v>14480</v>
      </c>
      <c r="P3272" s="9" t="str">
        <f>VLOOKUP($O3272,'Liste des Villes'!$B$2:$B$1128,1,FALSE)</f>
        <v>Montréal</v>
      </c>
      <c r="Q3272" s="9" t="str">
        <f>IFERROR($P3272,PROPER(VLOOKUP($O3272,'Villes en erreur'!$A$2:$B$72,2,FALSE)))</f>
        <v>Montréal</v>
      </c>
      <c r="R3272" s="9" t="s">
        <v>14481</v>
      </c>
      <c r="S3272" s="9" t="str">
        <f>IF(ISBLANK($R3272),"",VLOOKUP($R3272,'Liste des Villes'!$B$2:$H$1128,4,FALSE))</f>
        <v>Montréal</v>
      </c>
      <c r="T3272" s="2" t="s">
        <v>14550</v>
      </c>
      <c r="U3272" s="2" t="s">
        <v>39</v>
      </c>
      <c r="V3272" s="2" t="s">
        <v>40</v>
      </c>
      <c r="W3272" s="2" t="s">
        <v>14551</v>
      </c>
      <c r="X3272" s="2"/>
      <c r="Y3272" s="2"/>
      <c r="Z3272" s="2"/>
      <c r="AA3272" s="2" t="s">
        <v>375</v>
      </c>
      <c r="AB3272" s="2" t="s">
        <v>376</v>
      </c>
      <c r="AC3272" s="4" t="s">
        <v>44</v>
      </c>
    </row>
    <row r="3273" spans="1:29" x14ac:dyDescent="0.25">
      <c r="A3273" s="1">
        <v>4432</v>
      </c>
      <c r="B3273" s="17" t="s">
        <v>14552</v>
      </c>
      <c r="C3273" s="2" t="s">
        <v>4492</v>
      </c>
      <c r="D3273" s="15" t="s">
        <v>4493</v>
      </c>
      <c r="E3273" s="9" t="s">
        <v>370</v>
      </c>
      <c r="F3273" s="9" t="s">
        <v>9158</v>
      </c>
      <c r="G3273" s="9" t="s">
        <v>775</v>
      </c>
      <c r="H3273" s="2" t="s">
        <v>60</v>
      </c>
      <c r="I3273" s="3">
        <v>37064</v>
      </c>
      <c r="J3273" s="9" t="str">
        <f t="shared" ca="1" si="54"/>
        <v>22 ans</v>
      </c>
      <c r="K3273" s="2" t="s">
        <v>156</v>
      </c>
      <c r="L3273" s="2" t="str">
        <f>"1134"</f>
        <v>1134</v>
      </c>
      <c r="M3273" s="2"/>
      <c r="N3273" s="2" t="str">
        <f>"RUE DUPÉRÉ"</f>
        <v>RUE DUPÉRÉ</v>
      </c>
      <c r="O3273" s="2" t="s">
        <v>14480</v>
      </c>
      <c r="P3273" s="9" t="str">
        <f>VLOOKUP($O3273,'Liste des Villes'!$B$2:$B$1128,1,FALSE)</f>
        <v>Montréal</v>
      </c>
      <c r="Q3273" s="9" t="str">
        <f>IFERROR($P3273,PROPER(VLOOKUP($O3273,'Villes en erreur'!$A$2:$B$72,2,FALSE)))</f>
        <v>Montréal</v>
      </c>
      <c r="R3273" s="9" t="s">
        <v>14481</v>
      </c>
      <c r="S3273" s="9" t="str">
        <f>IF(ISBLANK($R3273),"",VLOOKUP($R3273,'Liste des Villes'!$B$2:$H$1128,4,FALSE))</f>
        <v>Montréal</v>
      </c>
      <c r="T3273" s="2" t="s">
        <v>14533</v>
      </c>
      <c r="U3273" s="2" t="s">
        <v>39</v>
      </c>
      <c r="V3273" s="2" t="s">
        <v>40</v>
      </c>
      <c r="W3273" s="2" t="s">
        <v>14553</v>
      </c>
      <c r="X3273" s="2"/>
      <c r="Y3273" s="2"/>
      <c r="Z3273" s="2"/>
      <c r="AA3273" s="2" t="s">
        <v>375</v>
      </c>
      <c r="AB3273" s="2" t="s">
        <v>376</v>
      </c>
      <c r="AC3273" s="4" t="s">
        <v>44</v>
      </c>
    </row>
    <row r="3274" spans="1:29" x14ac:dyDescent="0.25">
      <c r="A3274" s="1">
        <v>2639</v>
      </c>
      <c r="B3274" s="17" t="s">
        <v>14554</v>
      </c>
      <c r="C3274" s="2" t="s">
        <v>14555</v>
      </c>
      <c r="D3274" s="15" t="s">
        <v>14556</v>
      </c>
      <c r="E3274" s="9" t="s">
        <v>3731</v>
      </c>
      <c r="F3274" s="9" t="s">
        <v>14557</v>
      </c>
      <c r="G3274" s="9" t="s">
        <v>775</v>
      </c>
      <c r="H3274" s="2" t="s">
        <v>60</v>
      </c>
      <c r="I3274" s="3">
        <v>37066</v>
      </c>
      <c r="J3274" s="9" t="str">
        <f t="shared" ca="1" si="54"/>
        <v>22 ans</v>
      </c>
      <c r="K3274" s="2" t="s">
        <v>156</v>
      </c>
      <c r="L3274" s="2" t="str">
        <f>"1135"</f>
        <v>1135</v>
      </c>
      <c r="M3274" s="2"/>
      <c r="N3274" s="2" t="str">
        <f>"RUE DUROCHER"</f>
        <v>RUE DUROCHER</v>
      </c>
      <c r="O3274" s="2" t="s">
        <v>14480</v>
      </c>
      <c r="P3274" s="9" t="str">
        <f>VLOOKUP($O3274,'Liste des Villes'!$B$2:$B$1128,1,FALSE)</f>
        <v>Montréal</v>
      </c>
      <c r="Q3274" s="9" t="str">
        <f>IFERROR($P3274,PROPER(VLOOKUP($O3274,'Villes en erreur'!$A$2:$B$72,2,FALSE)))</f>
        <v>Montréal</v>
      </c>
      <c r="R3274" s="9" t="s">
        <v>14481</v>
      </c>
      <c r="S3274" s="9" t="str">
        <f>IF(ISBLANK($R3274),"",VLOOKUP($R3274,'Liste des Villes'!$B$2:$H$1128,4,FALSE))</f>
        <v>Montréal</v>
      </c>
      <c r="T3274" s="2" t="s">
        <v>14558</v>
      </c>
      <c r="U3274" s="2" t="s">
        <v>39</v>
      </c>
      <c r="V3274" s="2" t="s">
        <v>40</v>
      </c>
      <c r="W3274" s="2" t="s">
        <v>14559</v>
      </c>
      <c r="X3274" s="2"/>
      <c r="Y3274" s="2"/>
      <c r="Z3274" s="2"/>
      <c r="AA3274" s="2" t="s">
        <v>375</v>
      </c>
      <c r="AB3274" s="2" t="s">
        <v>376</v>
      </c>
      <c r="AC3274" s="4" t="s">
        <v>44</v>
      </c>
    </row>
    <row r="3275" spans="1:29" x14ac:dyDescent="0.25">
      <c r="A3275" s="1">
        <v>2696</v>
      </c>
      <c r="B3275" s="17" t="s">
        <v>14560</v>
      </c>
      <c r="C3275" s="2" t="s">
        <v>13961</v>
      </c>
      <c r="D3275" s="15" t="s">
        <v>31</v>
      </c>
      <c r="E3275" s="9" t="s">
        <v>4989</v>
      </c>
      <c r="F3275" s="9" t="s">
        <v>8694</v>
      </c>
      <c r="G3275" s="9" t="s">
        <v>775</v>
      </c>
      <c r="H3275" s="2" t="s">
        <v>60</v>
      </c>
      <c r="I3275" s="3">
        <v>37068</v>
      </c>
      <c r="J3275" s="9" t="str">
        <f t="shared" ca="1" si="54"/>
        <v>22 ans</v>
      </c>
      <c r="K3275" s="2" t="s">
        <v>156</v>
      </c>
      <c r="L3275" s="2" t="str">
        <f>"1138"</f>
        <v>1138</v>
      </c>
      <c r="M3275" s="2"/>
      <c r="N3275" s="2" t="str">
        <f>"RUE DUVERNAY"</f>
        <v>RUE DUVERNAY</v>
      </c>
      <c r="O3275" s="2" t="s">
        <v>14480</v>
      </c>
      <c r="P3275" s="9" t="str">
        <f>VLOOKUP($O3275,'Liste des Villes'!$B$2:$B$1128,1,FALSE)</f>
        <v>Montréal</v>
      </c>
      <c r="Q3275" s="9" t="str">
        <f>IFERROR($P3275,PROPER(VLOOKUP($O3275,'Villes en erreur'!$A$2:$B$72,2,FALSE)))</f>
        <v>Montréal</v>
      </c>
      <c r="R3275" s="9" t="s">
        <v>14481</v>
      </c>
      <c r="S3275" s="9" t="str">
        <f>IF(ISBLANK($R3275),"",VLOOKUP($R3275,'Liste des Villes'!$B$2:$H$1128,4,FALSE))</f>
        <v>Montréal</v>
      </c>
      <c r="T3275" s="2" t="s">
        <v>14550</v>
      </c>
      <c r="U3275" s="2" t="s">
        <v>39</v>
      </c>
      <c r="V3275" s="2" t="s">
        <v>40</v>
      </c>
      <c r="W3275" s="2" t="s">
        <v>14561</v>
      </c>
      <c r="X3275" s="2"/>
      <c r="Y3275" s="2"/>
      <c r="Z3275" s="2"/>
      <c r="AA3275" s="2" t="s">
        <v>375</v>
      </c>
      <c r="AB3275" s="2" t="s">
        <v>376</v>
      </c>
      <c r="AC3275" s="4" t="s">
        <v>44</v>
      </c>
    </row>
    <row r="3276" spans="1:29" x14ac:dyDescent="0.25">
      <c r="A3276" s="1">
        <v>434</v>
      </c>
      <c r="B3276" s="17" t="s">
        <v>14562</v>
      </c>
      <c r="C3276" s="2" t="s">
        <v>3848</v>
      </c>
      <c r="D3276" s="15" t="s">
        <v>839</v>
      </c>
      <c r="E3276" s="9" t="s">
        <v>3849</v>
      </c>
      <c r="F3276" s="9" t="s">
        <v>1076</v>
      </c>
      <c r="G3276" s="9" t="s">
        <v>775</v>
      </c>
      <c r="H3276" s="2" t="s">
        <v>60</v>
      </c>
      <c r="I3276" s="3">
        <v>37069</v>
      </c>
      <c r="J3276" s="9" t="str">
        <f t="shared" ca="1" si="54"/>
        <v>22 ans</v>
      </c>
      <c r="K3276" s="2" t="s">
        <v>156</v>
      </c>
      <c r="L3276" s="2" t="str">
        <f>"1138"</f>
        <v>1138</v>
      </c>
      <c r="M3276" s="2"/>
      <c r="N3276" s="2" t="str">
        <f>"RUE EDGEWOOD"</f>
        <v>RUE EDGEWOOD</v>
      </c>
      <c r="O3276" s="2" t="s">
        <v>14480</v>
      </c>
      <c r="P3276" s="9" t="str">
        <f>VLOOKUP($O3276,'Liste des Villes'!$B$2:$B$1128,1,FALSE)</f>
        <v>Montréal</v>
      </c>
      <c r="Q3276" s="9" t="str">
        <f>IFERROR($P3276,PROPER(VLOOKUP($O3276,'Villes en erreur'!$A$2:$B$72,2,FALSE)))</f>
        <v>Montréal</v>
      </c>
      <c r="R3276" s="9" t="s">
        <v>14481</v>
      </c>
      <c r="S3276" s="9" t="str">
        <f>IF(ISBLANK($R3276),"",VLOOKUP($R3276,'Liste des Villes'!$B$2:$H$1128,4,FALSE))</f>
        <v>Montréal</v>
      </c>
      <c r="T3276" s="2" t="s">
        <v>14563</v>
      </c>
      <c r="U3276" s="2" t="s">
        <v>39</v>
      </c>
      <c r="V3276" s="2" t="s">
        <v>40</v>
      </c>
      <c r="W3276" s="2" t="s">
        <v>14564</v>
      </c>
      <c r="X3276" s="2"/>
      <c r="Y3276" s="2"/>
      <c r="Z3276" s="2"/>
      <c r="AA3276" s="2" t="s">
        <v>375</v>
      </c>
      <c r="AB3276" s="2" t="s">
        <v>376</v>
      </c>
      <c r="AC3276" s="4" t="s">
        <v>44</v>
      </c>
    </row>
    <row r="3277" spans="1:29" x14ac:dyDescent="0.25">
      <c r="A3277" s="1">
        <v>1130</v>
      </c>
      <c r="B3277" s="17" t="s">
        <v>14565</v>
      </c>
      <c r="C3277" s="2" t="s">
        <v>14566</v>
      </c>
      <c r="D3277" s="15" t="s">
        <v>8247</v>
      </c>
      <c r="E3277" s="9" t="s">
        <v>3218</v>
      </c>
      <c r="F3277" s="9" t="s">
        <v>3072</v>
      </c>
      <c r="G3277" s="9" t="s">
        <v>775</v>
      </c>
      <c r="H3277" s="2" t="s">
        <v>60</v>
      </c>
      <c r="I3277" s="3">
        <v>37061</v>
      </c>
      <c r="J3277" s="9" t="str">
        <f t="shared" ca="1" si="54"/>
        <v>22 ans</v>
      </c>
      <c r="K3277" s="2" t="s">
        <v>156</v>
      </c>
      <c r="L3277" s="2" t="str">
        <f>"1131"</f>
        <v>1131</v>
      </c>
      <c r="M3277" s="2"/>
      <c r="N3277" s="2" t="str">
        <f>"RUE DUGAS"</f>
        <v>RUE DUGAS</v>
      </c>
      <c r="O3277" s="2" t="s">
        <v>14480</v>
      </c>
      <c r="P3277" s="9" t="str">
        <f>VLOOKUP($O3277,'Liste des Villes'!$B$2:$B$1128,1,FALSE)</f>
        <v>Montréal</v>
      </c>
      <c r="Q3277" s="9" t="str">
        <f>IFERROR($P3277,PROPER(VLOOKUP($O3277,'Villes en erreur'!$A$2:$B$72,2,FALSE)))</f>
        <v>Montréal</v>
      </c>
      <c r="R3277" s="9" t="s">
        <v>14481</v>
      </c>
      <c r="S3277" s="9" t="str">
        <f>IF(ISBLANK($R3277),"",VLOOKUP($R3277,'Liste des Villes'!$B$2:$H$1128,4,FALSE))</f>
        <v>Montréal</v>
      </c>
      <c r="T3277" s="2" t="s">
        <v>14567</v>
      </c>
      <c r="U3277" s="2" t="s">
        <v>39</v>
      </c>
      <c r="V3277" s="2" t="s">
        <v>40</v>
      </c>
      <c r="W3277" s="2" t="s">
        <v>14568</v>
      </c>
      <c r="X3277" s="2"/>
      <c r="Y3277" s="2"/>
      <c r="Z3277" s="2"/>
      <c r="AA3277" s="2" t="s">
        <v>375</v>
      </c>
      <c r="AB3277" s="2" t="s">
        <v>376</v>
      </c>
      <c r="AC3277" s="4" t="s">
        <v>44</v>
      </c>
    </row>
    <row r="3278" spans="1:29" x14ac:dyDescent="0.25">
      <c r="A3278" s="1">
        <v>3042</v>
      </c>
      <c r="B3278" s="17" t="s">
        <v>14569</v>
      </c>
      <c r="C3278" s="2" t="s">
        <v>14570</v>
      </c>
      <c r="D3278" s="15" t="s">
        <v>312</v>
      </c>
      <c r="E3278" s="9" t="s">
        <v>8706</v>
      </c>
      <c r="F3278" s="9" t="s">
        <v>311</v>
      </c>
      <c r="G3278" s="9" t="s">
        <v>775</v>
      </c>
      <c r="H3278" s="2" t="s">
        <v>60</v>
      </c>
      <c r="I3278" s="3">
        <v>37067</v>
      </c>
      <c r="J3278" s="9" t="str">
        <f t="shared" ca="1" si="54"/>
        <v>22 ans</v>
      </c>
      <c r="K3278" s="2" t="s">
        <v>156</v>
      </c>
      <c r="L3278" s="2" t="str">
        <f>"1136"</f>
        <v>1136</v>
      </c>
      <c r="M3278" s="2"/>
      <c r="N3278" s="2" t="str">
        <f>"RUE DUVERNAY"</f>
        <v>RUE DUVERNAY</v>
      </c>
      <c r="O3278" s="2" t="s">
        <v>14480</v>
      </c>
      <c r="P3278" s="9" t="str">
        <f>VLOOKUP($O3278,'Liste des Villes'!$B$2:$B$1128,1,FALSE)</f>
        <v>Montréal</v>
      </c>
      <c r="Q3278" s="9" t="str">
        <f>IFERROR($P3278,PROPER(VLOOKUP($O3278,'Villes en erreur'!$A$2:$B$72,2,FALSE)))</f>
        <v>Montréal</v>
      </c>
      <c r="R3278" s="9" t="s">
        <v>14481</v>
      </c>
      <c r="S3278" s="9" t="str">
        <f>IF(ISBLANK($R3278),"",VLOOKUP($R3278,'Liste des Villes'!$B$2:$H$1128,4,FALSE))</f>
        <v>Montréal</v>
      </c>
      <c r="T3278" s="2" t="s">
        <v>14571</v>
      </c>
      <c r="U3278" s="2" t="s">
        <v>39</v>
      </c>
      <c r="V3278" s="2" t="s">
        <v>40</v>
      </c>
      <c r="W3278" s="2" t="s">
        <v>14572</v>
      </c>
      <c r="X3278" s="2"/>
      <c r="Y3278" s="2"/>
      <c r="Z3278" s="2"/>
      <c r="AA3278" s="2" t="s">
        <v>375</v>
      </c>
      <c r="AB3278" s="2" t="s">
        <v>376</v>
      </c>
      <c r="AC3278" s="4" t="s">
        <v>44</v>
      </c>
    </row>
    <row r="3279" spans="1:29" x14ac:dyDescent="0.25">
      <c r="A3279" s="1">
        <v>3553</v>
      </c>
      <c r="B3279" s="17" t="s">
        <v>14573</v>
      </c>
      <c r="C3279" s="2" t="s">
        <v>598</v>
      </c>
      <c r="D3279" s="15" t="s">
        <v>599</v>
      </c>
      <c r="E3279" s="9" t="s">
        <v>600</v>
      </c>
      <c r="F3279" s="9" t="s">
        <v>601</v>
      </c>
      <c r="G3279" s="9" t="s">
        <v>775</v>
      </c>
      <c r="H3279" s="2" t="s">
        <v>60</v>
      </c>
      <c r="I3279" s="3">
        <v>37064</v>
      </c>
      <c r="J3279" s="9" t="str">
        <f t="shared" ca="1" si="54"/>
        <v>22 ans</v>
      </c>
      <c r="K3279" s="2" t="s">
        <v>156</v>
      </c>
      <c r="L3279" s="2" t="str">
        <f>"1134"</f>
        <v>1134</v>
      </c>
      <c r="M3279" s="2"/>
      <c r="N3279" s="2" t="str">
        <f>"RUE DUPÉRÉ"</f>
        <v>RUE DUPÉRÉ</v>
      </c>
      <c r="O3279" s="2" t="s">
        <v>14480</v>
      </c>
      <c r="P3279" s="9" t="str">
        <f>VLOOKUP($O3279,'Liste des Villes'!$B$2:$B$1128,1,FALSE)</f>
        <v>Montréal</v>
      </c>
      <c r="Q3279" s="9" t="str">
        <f>IFERROR($P3279,PROPER(VLOOKUP($O3279,'Villes en erreur'!$A$2:$B$72,2,FALSE)))</f>
        <v>Montréal</v>
      </c>
      <c r="R3279" s="9" t="s">
        <v>14481</v>
      </c>
      <c r="S3279" s="9" t="str">
        <f>IF(ISBLANK($R3279),"",VLOOKUP($R3279,'Liste des Villes'!$B$2:$H$1128,4,FALSE))</f>
        <v>Montréal</v>
      </c>
      <c r="T3279" s="2" t="s">
        <v>14529</v>
      </c>
      <c r="U3279" s="2" t="s">
        <v>39</v>
      </c>
      <c r="V3279" s="2" t="s">
        <v>40</v>
      </c>
      <c r="W3279" s="2" t="s">
        <v>14574</v>
      </c>
      <c r="X3279" s="2"/>
      <c r="Y3279" s="2"/>
      <c r="Z3279" s="2"/>
      <c r="AA3279" s="2" t="s">
        <v>375</v>
      </c>
      <c r="AB3279" s="2" t="s">
        <v>376</v>
      </c>
      <c r="AC3279" s="4" t="s">
        <v>44</v>
      </c>
    </row>
    <row r="3280" spans="1:29" x14ac:dyDescent="0.25">
      <c r="A3280" s="1">
        <v>2934</v>
      </c>
      <c r="B3280" s="17" t="s">
        <v>14575</v>
      </c>
      <c r="C3280" s="2" t="s">
        <v>3787</v>
      </c>
      <c r="D3280" s="15" t="s">
        <v>2474</v>
      </c>
      <c r="E3280" s="9" t="s">
        <v>293</v>
      </c>
      <c r="F3280" s="9" t="s">
        <v>2623</v>
      </c>
      <c r="G3280" s="9" t="s">
        <v>2217</v>
      </c>
      <c r="H3280" s="2" t="s">
        <v>60</v>
      </c>
      <c r="I3280" s="3">
        <v>37069</v>
      </c>
      <c r="J3280" s="9" t="str">
        <f t="shared" ca="1" si="54"/>
        <v>22 ans</v>
      </c>
      <c r="K3280" s="2" t="s">
        <v>156</v>
      </c>
      <c r="L3280" s="2" t="str">
        <f>"1140"</f>
        <v>1140</v>
      </c>
      <c r="M3280" s="2"/>
      <c r="N3280" s="2" t="str">
        <f>"RUE EDMOND-MASSICOTTE"</f>
        <v>RUE EDMOND-MASSICOTTE</v>
      </c>
      <c r="O3280" s="2" t="s">
        <v>14480</v>
      </c>
      <c r="P3280" s="9" t="str">
        <f>VLOOKUP($O3280,'Liste des Villes'!$B$2:$B$1128,1,FALSE)</f>
        <v>Montréal</v>
      </c>
      <c r="Q3280" s="9" t="str">
        <f>IFERROR($P3280,PROPER(VLOOKUP($O3280,'Villes en erreur'!$A$2:$B$72,2,FALSE)))</f>
        <v>Montréal</v>
      </c>
      <c r="R3280" s="9" t="s">
        <v>14481</v>
      </c>
      <c r="S3280" s="9" t="str">
        <f>IF(ISBLANK($R3280),"",VLOOKUP($R3280,'Liste des Villes'!$B$2:$H$1128,4,FALSE))</f>
        <v>Montréal</v>
      </c>
      <c r="T3280" s="2" t="s">
        <v>14576</v>
      </c>
      <c r="U3280" s="2" t="s">
        <v>39</v>
      </c>
      <c r="V3280" s="2" t="s">
        <v>40</v>
      </c>
      <c r="W3280" s="2" t="s">
        <v>14577</v>
      </c>
      <c r="X3280" s="2"/>
      <c r="Y3280" s="2"/>
      <c r="Z3280" s="2"/>
      <c r="AA3280" s="2" t="s">
        <v>375</v>
      </c>
      <c r="AB3280" s="2" t="s">
        <v>376</v>
      </c>
      <c r="AC3280" s="4" t="s">
        <v>44</v>
      </c>
    </row>
    <row r="3281" spans="1:29" x14ac:dyDescent="0.25">
      <c r="A3281" s="1">
        <v>3427</v>
      </c>
      <c r="B3281" s="17" t="s">
        <v>14578</v>
      </c>
      <c r="C3281" s="2" t="s">
        <v>7470</v>
      </c>
      <c r="D3281" s="15" t="s">
        <v>49</v>
      </c>
      <c r="E3281" s="9" t="s">
        <v>1315</v>
      </c>
      <c r="F3281" s="9" t="s">
        <v>47</v>
      </c>
      <c r="G3281" s="9" t="s">
        <v>2217</v>
      </c>
      <c r="H3281" s="2" t="s">
        <v>60</v>
      </c>
      <c r="I3281" s="3">
        <v>37069</v>
      </c>
      <c r="J3281" s="9" t="str">
        <f t="shared" ca="1" si="54"/>
        <v>22 ans</v>
      </c>
      <c r="K3281" s="2" t="s">
        <v>156</v>
      </c>
      <c r="L3281" s="2" t="str">
        <f>"1141"</f>
        <v>1141</v>
      </c>
      <c r="M3281" s="2"/>
      <c r="N3281" s="2" t="str">
        <f>"RUE ÉDOUARD-DROUIN"</f>
        <v>RUE ÉDOUARD-DROUIN</v>
      </c>
      <c r="O3281" s="2" t="s">
        <v>14579</v>
      </c>
      <c r="P3281" s="9" t="str">
        <f>VLOOKUP($O3281,'Liste des Villes'!$B$2:$B$1128,1,FALSE)</f>
        <v>Montmagny</v>
      </c>
      <c r="Q3281" s="9" t="str">
        <f>IFERROR($P3281,PROPER(VLOOKUP($O3281,'Villes en erreur'!$A$2:$B$72,2,FALSE)))</f>
        <v>Montmagny</v>
      </c>
      <c r="R3281" s="9" t="s">
        <v>14579</v>
      </c>
      <c r="S3281" s="9" t="str">
        <f>IF(ISBLANK($R3281),"",VLOOKUP($R3281,'Liste des Villes'!$B$2:$H$1128,4,FALSE))</f>
        <v>Chaudière-Appalaches</v>
      </c>
      <c r="T3281" s="2" t="s">
        <v>14580</v>
      </c>
      <c r="U3281" s="2" t="s">
        <v>39</v>
      </c>
      <c r="V3281" s="2" t="s">
        <v>40</v>
      </c>
      <c r="W3281" s="2" t="s">
        <v>14577</v>
      </c>
      <c r="X3281" s="2"/>
      <c r="Y3281" s="2"/>
      <c r="Z3281" s="2"/>
      <c r="AA3281" s="2" t="s">
        <v>375</v>
      </c>
      <c r="AB3281" s="2" t="s">
        <v>376</v>
      </c>
      <c r="AC3281" s="4" t="s">
        <v>44</v>
      </c>
    </row>
    <row r="3282" spans="1:29" x14ac:dyDescent="0.25">
      <c r="A3282" s="1">
        <v>1869</v>
      </c>
      <c r="B3282" s="17" t="s">
        <v>14581</v>
      </c>
      <c r="C3282" s="2" t="s">
        <v>14582</v>
      </c>
      <c r="D3282" s="15" t="s">
        <v>5799</v>
      </c>
      <c r="E3282" s="9" t="s">
        <v>4686</v>
      </c>
      <c r="F3282" s="9" t="s">
        <v>5797</v>
      </c>
      <c r="G3282" s="9" t="s">
        <v>2217</v>
      </c>
      <c r="H3282" s="2" t="s">
        <v>60</v>
      </c>
      <c r="I3282" s="3">
        <v>37071</v>
      </c>
      <c r="J3282" s="9" t="str">
        <f t="shared" ca="1" si="54"/>
        <v>22 ans</v>
      </c>
      <c r="K3282" s="2" t="s">
        <v>156</v>
      </c>
      <c r="L3282" s="2" t="str">
        <f>"1144"</f>
        <v>1144</v>
      </c>
      <c r="M3282" s="2"/>
      <c r="N3282" s="2" t="str">
        <f>"RUE ÉMILE"</f>
        <v>RUE ÉMILE</v>
      </c>
      <c r="O3282" s="2" t="s">
        <v>14583</v>
      </c>
      <c r="P3282" s="9" t="str">
        <f>VLOOKUP($O3282,'Liste des Villes'!$B$2:$B$1128,1,FALSE)</f>
        <v>Mont-Laurier</v>
      </c>
      <c r="Q3282" s="9" t="str">
        <f>IFERROR($P3282,PROPER(VLOOKUP($O3282,'Villes en erreur'!$A$2:$B$72,2,FALSE)))</f>
        <v>Mont-Laurier</v>
      </c>
      <c r="R3282" s="9" t="s">
        <v>14584</v>
      </c>
      <c r="S3282" s="9" t="str">
        <f>IF(ISBLANK($R3282),"",VLOOKUP($R3282,'Liste des Villes'!$B$2:$H$1128,4,FALSE))</f>
        <v>Laurentides</v>
      </c>
      <c r="T3282" s="2" t="s">
        <v>14585</v>
      </c>
      <c r="U3282" s="2" t="s">
        <v>39</v>
      </c>
      <c r="V3282" s="2" t="s">
        <v>40</v>
      </c>
      <c r="W3282" s="2" t="s">
        <v>14586</v>
      </c>
      <c r="X3282" s="2"/>
      <c r="Y3282" s="2"/>
      <c r="Z3282" s="2"/>
      <c r="AA3282" s="2" t="s">
        <v>375</v>
      </c>
      <c r="AB3282" s="2" t="s">
        <v>376</v>
      </c>
      <c r="AC3282" s="4" t="s">
        <v>44</v>
      </c>
    </row>
    <row r="3283" spans="1:29" x14ac:dyDescent="0.25">
      <c r="A3283" s="1">
        <v>1223</v>
      </c>
      <c r="B3283" s="17" t="s">
        <v>14587</v>
      </c>
      <c r="C3283" s="2" t="s">
        <v>14588</v>
      </c>
      <c r="D3283" s="15" t="s">
        <v>14589</v>
      </c>
      <c r="E3283" s="9" t="s">
        <v>10950</v>
      </c>
      <c r="F3283" s="9" t="s">
        <v>14589</v>
      </c>
      <c r="G3283" s="9" t="s">
        <v>2217</v>
      </c>
      <c r="H3283" s="2" t="s">
        <v>60</v>
      </c>
      <c r="I3283" s="3">
        <v>37075</v>
      </c>
      <c r="J3283" s="9" t="str">
        <f t="shared" ca="1" si="54"/>
        <v>22 ans</v>
      </c>
      <c r="K3283" s="2" t="s">
        <v>156</v>
      </c>
      <c r="L3283" s="2" t="str">
        <f>"1150"</f>
        <v>1150</v>
      </c>
      <c r="M3283" s="2"/>
      <c r="N3283" s="2" t="str">
        <f>"RUE ÉMILE-YELLE"</f>
        <v>RUE ÉMILE-YELLE</v>
      </c>
      <c r="O3283" s="2" t="s">
        <v>14583</v>
      </c>
      <c r="P3283" s="9" t="str">
        <f>VLOOKUP($O3283,'Liste des Villes'!$B$2:$B$1128,1,FALSE)</f>
        <v>Mont-Laurier</v>
      </c>
      <c r="Q3283" s="9" t="str">
        <f>IFERROR($P3283,PROPER(VLOOKUP($O3283,'Villes en erreur'!$A$2:$B$72,2,FALSE)))</f>
        <v>Mont-Laurier</v>
      </c>
      <c r="R3283" s="9" t="s">
        <v>14584</v>
      </c>
      <c r="S3283" s="9" t="str">
        <f>IF(ISBLANK($R3283),"",VLOOKUP($R3283,'Liste des Villes'!$B$2:$H$1128,4,FALSE))</f>
        <v>Laurentides</v>
      </c>
      <c r="T3283" s="2" t="s">
        <v>14590</v>
      </c>
      <c r="U3283" s="2" t="s">
        <v>39</v>
      </c>
      <c r="V3283" s="2" t="s">
        <v>40</v>
      </c>
      <c r="W3283" s="2" t="s">
        <v>14591</v>
      </c>
      <c r="X3283" s="2"/>
      <c r="Y3283" s="2"/>
      <c r="Z3283" s="2"/>
      <c r="AA3283" s="2" t="s">
        <v>375</v>
      </c>
      <c r="AB3283" s="2" t="s">
        <v>376</v>
      </c>
      <c r="AC3283" s="4" t="s">
        <v>44</v>
      </c>
    </row>
    <row r="3284" spans="1:29" x14ac:dyDescent="0.25">
      <c r="A3284" s="1">
        <v>353</v>
      </c>
      <c r="B3284" s="17" t="s">
        <v>14592</v>
      </c>
      <c r="C3284" s="2" t="s">
        <v>14593</v>
      </c>
      <c r="D3284" s="15" t="s">
        <v>8398</v>
      </c>
      <c r="E3284" s="9" t="s">
        <v>12646</v>
      </c>
      <c r="F3284" s="9" t="s">
        <v>14053</v>
      </c>
      <c r="G3284" s="9" t="s">
        <v>2217</v>
      </c>
      <c r="H3284" s="2" t="s">
        <v>60</v>
      </c>
      <c r="I3284" s="3">
        <v>37071</v>
      </c>
      <c r="J3284" s="9" t="str">
        <f t="shared" ca="1" si="54"/>
        <v>22 ans</v>
      </c>
      <c r="K3284" s="2" t="s">
        <v>156</v>
      </c>
      <c r="L3284" s="2" t="str">
        <f>"1144"</f>
        <v>1144</v>
      </c>
      <c r="M3284" s="2"/>
      <c r="N3284" s="2" t="str">
        <f>"RUE ELIZABETH"</f>
        <v>RUE ELIZABETH</v>
      </c>
      <c r="O3284" s="2" t="s">
        <v>14583</v>
      </c>
      <c r="P3284" s="9" t="str">
        <f>VLOOKUP($O3284,'Liste des Villes'!$B$2:$B$1128,1,FALSE)</f>
        <v>Mont-Laurier</v>
      </c>
      <c r="Q3284" s="9" t="str">
        <f>IFERROR($P3284,PROPER(VLOOKUP($O3284,'Villes en erreur'!$A$2:$B$72,2,FALSE)))</f>
        <v>Mont-Laurier</v>
      </c>
      <c r="R3284" s="9" t="s">
        <v>14584</v>
      </c>
      <c r="S3284" s="9" t="str">
        <f>IF(ISBLANK($R3284),"",VLOOKUP($R3284,'Liste des Villes'!$B$2:$H$1128,4,FALSE))</f>
        <v>Laurentides</v>
      </c>
      <c r="T3284" s="2" t="s">
        <v>14594</v>
      </c>
      <c r="U3284" s="2" t="s">
        <v>39</v>
      </c>
      <c r="V3284" s="2" t="s">
        <v>40</v>
      </c>
      <c r="W3284" s="2" t="s">
        <v>14595</v>
      </c>
      <c r="X3284" s="2"/>
      <c r="Y3284" s="2"/>
      <c r="Z3284" s="2"/>
      <c r="AA3284" s="2" t="s">
        <v>375</v>
      </c>
      <c r="AB3284" s="2" t="s">
        <v>376</v>
      </c>
      <c r="AC3284" s="4" t="s">
        <v>44</v>
      </c>
    </row>
    <row r="3285" spans="1:29" x14ac:dyDescent="0.25">
      <c r="A3285" s="1">
        <v>899</v>
      </c>
      <c r="B3285" s="17" t="s">
        <v>14596</v>
      </c>
      <c r="C3285" s="2" t="s">
        <v>14597</v>
      </c>
      <c r="D3285" s="15" t="s">
        <v>9569</v>
      </c>
      <c r="E3285" s="9" t="s">
        <v>1315</v>
      </c>
      <c r="F3285" s="9" t="s">
        <v>1329</v>
      </c>
      <c r="G3285" s="9" t="s">
        <v>2217</v>
      </c>
      <c r="H3285" s="2" t="s">
        <v>60</v>
      </c>
      <c r="I3285" s="3">
        <v>37070</v>
      </c>
      <c r="J3285" s="9" t="str">
        <f t="shared" ca="1" si="54"/>
        <v>22 ans</v>
      </c>
      <c r="K3285" s="2" t="s">
        <v>156</v>
      </c>
      <c r="L3285" s="2" t="str">
        <f>"1143"</f>
        <v>1143</v>
      </c>
      <c r="M3285" s="2"/>
      <c r="N3285" s="2" t="str">
        <f>"RUE ÉLISÉE-MARTEL"</f>
        <v>RUE ÉLISÉE-MARTEL</v>
      </c>
      <c r="O3285" s="2" t="s">
        <v>14583</v>
      </c>
      <c r="P3285" s="9" t="str">
        <f>VLOOKUP($O3285,'Liste des Villes'!$B$2:$B$1128,1,FALSE)</f>
        <v>Mont-Laurier</v>
      </c>
      <c r="Q3285" s="9" t="str">
        <f>IFERROR($P3285,PROPER(VLOOKUP($O3285,'Villes en erreur'!$A$2:$B$72,2,FALSE)))</f>
        <v>Mont-Laurier</v>
      </c>
      <c r="R3285" s="9" t="s">
        <v>14584</v>
      </c>
      <c r="S3285" s="9" t="str">
        <f>IF(ISBLANK($R3285),"",VLOOKUP($R3285,'Liste des Villes'!$B$2:$H$1128,4,FALSE))</f>
        <v>Laurentides</v>
      </c>
      <c r="T3285" s="2" t="s">
        <v>14598</v>
      </c>
      <c r="U3285" s="2" t="s">
        <v>39</v>
      </c>
      <c r="V3285" s="2" t="s">
        <v>40</v>
      </c>
      <c r="W3285" s="2" t="s">
        <v>14599</v>
      </c>
      <c r="X3285" s="2"/>
      <c r="Y3285" s="2"/>
      <c r="Z3285" s="2"/>
      <c r="AA3285" s="2" t="s">
        <v>375</v>
      </c>
      <c r="AB3285" s="2" t="s">
        <v>376</v>
      </c>
      <c r="AC3285" s="4" t="s">
        <v>44</v>
      </c>
    </row>
    <row r="3286" spans="1:29" x14ac:dyDescent="0.25">
      <c r="A3286" s="1">
        <v>817</v>
      </c>
      <c r="B3286" s="17" t="s">
        <v>14600</v>
      </c>
      <c r="C3286" s="2" t="s">
        <v>13677</v>
      </c>
      <c r="D3286" s="15" t="s">
        <v>841</v>
      </c>
      <c r="E3286" s="9" t="s">
        <v>332</v>
      </c>
      <c r="F3286" s="9" t="s">
        <v>839</v>
      </c>
      <c r="G3286" s="9" t="s">
        <v>2217</v>
      </c>
      <c r="H3286" s="2" t="s">
        <v>60</v>
      </c>
      <c r="I3286" s="3">
        <v>37070</v>
      </c>
      <c r="J3286" s="9" t="str">
        <f t="shared" ca="1" si="54"/>
        <v>22 ans</v>
      </c>
      <c r="K3286" s="2" t="s">
        <v>156</v>
      </c>
      <c r="L3286" s="2" t="str">
        <f>"1142"</f>
        <v>1142</v>
      </c>
      <c r="M3286" s="2"/>
      <c r="N3286" s="2" t="str">
        <f>"RUE ÉLISABETH"</f>
        <v>RUE ÉLISABETH</v>
      </c>
      <c r="O3286" s="2" t="s">
        <v>14583</v>
      </c>
      <c r="P3286" s="9" t="str">
        <f>VLOOKUP($O3286,'Liste des Villes'!$B$2:$B$1128,1,FALSE)</f>
        <v>Mont-Laurier</v>
      </c>
      <c r="Q3286" s="9" t="str">
        <f>IFERROR($P3286,PROPER(VLOOKUP($O3286,'Villes en erreur'!$A$2:$B$72,2,FALSE)))</f>
        <v>Mont-Laurier</v>
      </c>
      <c r="R3286" s="9" t="s">
        <v>14584</v>
      </c>
      <c r="S3286" s="9" t="str">
        <f>IF(ISBLANK($R3286),"",VLOOKUP($R3286,'Liste des Villes'!$B$2:$H$1128,4,FALSE))</f>
        <v>Laurentides</v>
      </c>
      <c r="T3286" s="2" t="s">
        <v>14601</v>
      </c>
      <c r="U3286" s="2" t="s">
        <v>39</v>
      </c>
      <c r="V3286" s="2" t="s">
        <v>40</v>
      </c>
      <c r="W3286" s="2" t="s">
        <v>14602</v>
      </c>
      <c r="X3286" s="2"/>
      <c r="Y3286" s="2"/>
      <c r="Z3286" s="2"/>
      <c r="AA3286" s="2" t="s">
        <v>375</v>
      </c>
      <c r="AB3286" s="2" t="s">
        <v>376</v>
      </c>
      <c r="AC3286" s="4" t="s">
        <v>44</v>
      </c>
    </row>
    <row r="3287" spans="1:29" x14ac:dyDescent="0.25">
      <c r="A3287" s="1">
        <v>2237</v>
      </c>
      <c r="B3287" s="17" t="s">
        <v>14603</v>
      </c>
      <c r="C3287" s="2" t="s">
        <v>1733</v>
      </c>
      <c r="D3287" s="15" t="s">
        <v>100</v>
      </c>
      <c r="E3287" s="9" t="s">
        <v>122</v>
      </c>
      <c r="F3287" s="9" t="s">
        <v>14604</v>
      </c>
      <c r="G3287" s="9" t="s">
        <v>2217</v>
      </c>
      <c r="H3287" s="2" t="s">
        <v>60</v>
      </c>
      <c r="I3287" s="3">
        <v>37070</v>
      </c>
      <c r="J3287" s="9" t="str">
        <f t="shared" ca="1" si="54"/>
        <v>22 ans</v>
      </c>
      <c r="K3287" s="2" t="s">
        <v>156</v>
      </c>
      <c r="L3287" s="2" t="str">
        <f>"1143"</f>
        <v>1143</v>
      </c>
      <c r="M3287" s="2"/>
      <c r="N3287" s="2" t="str">
        <f>"RUE ÉLISÉE-MARTEL"</f>
        <v>RUE ÉLISÉE-MARTEL</v>
      </c>
      <c r="O3287" s="2" t="s">
        <v>14583</v>
      </c>
      <c r="P3287" s="9" t="str">
        <f>VLOOKUP($O3287,'Liste des Villes'!$B$2:$B$1128,1,FALSE)</f>
        <v>Mont-Laurier</v>
      </c>
      <c r="Q3287" s="9" t="str">
        <f>IFERROR($P3287,PROPER(VLOOKUP($O3287,'Villes en erreur'!$A$2:$B$72,2,FALSE)))</f>
        <v>Mont-Laurier</v>
      </c>
      <c r="R3287" s="9" t="s">
        <v>14584</v>
      </c>
      <c r="S3287" s="9" t="str">
        <f>IF(ISBLANK($R3287),"",VLOOKUP($R3287,'Liste des Villes'!$B$2:$H$1128,4,FALSE))</f>
        <v>Laurentides</v>
      </c>
      <c r="T3287" s="2" t="s">
        <v>14605</v>
      </c>
      <c r="U3287" s="2" t="s">
        <v>39</v>
      </c>
      <c r="V3287" s="2" t="s">
        <v>40</v>
      </c>
      <c r="W3287" s="2" t="s">
        <v>14606</v>
      </c>
      <c r="X3287" s="2"/>
      <c r="Y3287" s="2"/>
      <c r="Z3287" s="2"/>
      <c r="AA3287" s="2" t="s">
        <v>375</v>
      </c>
      <c r="AB3287" s="2" t="s">
        <v>376</v>
      </c>
      <c r="AC3287" s="4" t="s">
        <v>44</v>
      </c>
    </row>
    <row r="3288" spans="1:29" x14ac:dyDescent="0.25">
      <c r="A3288" s="1">
        <v>1350</v>
      </c>
      <c r="B3288" s="17" t="s">
        <v>14607</v>
      </c>
      <c r="C3288" s="2" t="s">
        <v>14608</v>
      </c>
      <c r="D3288" s="15" t="s">
        <v>7012</v>
      </c>
      <c r="E3288" s="9" t="s">
        <v>1341</v>
      </c>
      <c r="F3288" s="9" t="s">
        <v>7011</v>
      </c>
      <c r="G3288" s="9" t="s">
        <v>2217</v>
      </c>
      <c r="H3288" s="2" t="s">
        <v>60</v>
      </c>
      <c r="I3288" s="3">
        <v>37074</v>
      </c>
      <c r="J3288" s="9" t="str">
        <f t="shared" ca="1" si="54"/>
        <v>22 ans</v>
      </c>
      <c r="K3288" s="2" t="s">
        <v>156</v>
      </c>
      <c r="L3288" s="2" t="str">
        <f>"1149"</f>
        <v>1149</v>
      </c>
      <c r="M3288" s="2"/>
      <c r="N3288" s="2" t="str">
        <f>"RUE ÉMILE-NELLIGAN"</f>
        <v>RUE ÉMILE-NELLIGAN</v>
      </c>
      <c r="O3288" s="2" t="s">
        <v>14583</v>
      </c>
      <c r="P3288" s="9" t="str">
        <f>VLOOKUP($O3288,'Liste des Villes'!$B$2:$B$1128,1,FALSE)</f>
        <v>Mont-Laurier</v>
      </c>
      <c r="Q3288" s="9" t="str">
        <f>IFERROR($P3288,PROPER(VLOOKUP($O3288,'Villes en erreur'!$A$2:$B$72,2,FALSE)))</f>
        <v>Mont-Laurier</v>
      </c>
      <c r="R3288" s="9" t="s">
        <v>14584</v>
      </c>
      <c r="S3288" s="9" t="str">
        <f>IF(ISBLANK($R3288),"",VLOOKUP($R3288,'Liste des Villes'!$B$2:$H$1128,4,FALSE))</f>
        <v>Laurentides</v>
      </c>
      <c r="T3288" s="2" t="s">
        <v>14609</v>
      </c>
      <c r="U3288" s="2" t="s">
        <v>39</v>
      </c>
      <c r="V3288" s="2" t="s">
        <v>40</v>
      </c>
      <c r="W3288" s="2" t="s">
        <v>14610</v>
      </c>
      <c r="X3288" s="2"/>
      <c r="Y3288" s="2"/>
      <c r="Z3288" s="2"/>
      <c r="AA3288" s="2" t="s">
        <v>375</v>
      </c>
      <c r="AB3288" s="2" t="s">
        <v>376</v>
      </c>
      <c r="AC3288" s="4" t="s">
        <v>44</v>
      </c>
    </row>
    <row r="3289" spans="1:29" x14ac:dyDescent="0.25">
      <c r="A3289" s="1">
        <v>509</v>
      </c>
      <c r="B3289" s="17" t="s">
        <v>14611</v>
      </c>
      <c r="C3289" s="2" t="s">
        <v>4678</v>
      </c>
      <c r="D3289" s="15" t="s">
        <v>4679</v>
      </c>
      <c r="E3289" s="9" t="s">
        <v>196</v>
      </c>
      <c r="F3289" s="9" t="s">
        <v>197</v>
      </c>
      <c r="G3289" s="9" t="s">
        <v>2217</v>
      </c>
      <c r="H3289" s="2" t="s">
        <v>60</v>
      </c>
      <c r="I3289" s="3">
        <v>37072</v>
      </c>
      <c r="J3289" s="9" t="str">
        <f t="shared" ca="1" si="54"/>
        <v>22 ans</v>
      </c>
      <c r="K3289" s="2" t="s">
        <v>156</v>
      </c>
      <c r="L3289" s="2" t="str">
        <f>"1147"</f>
        <v>1147</v>
      </c>
      <c r="M3289" s="2"/>
      <c r="N3289" s="2" t="str">
        <f>"RUE ÉMILE NELLIGAN"</f>
        <v>RUE ÉMILE NELLIGAN</v>
      </c>
      <c r="O3289" s="2" t="s">
        <v>14583</v>
      </c>
      <c r="P3289" s="9" t="str">
        <f>VLOOKUP($O3289,'Liste des Villes'!$B$2:$B$1128,1,FALSE)</f>
        <v>Mont-Laurier</v>
      </c>
      <c r="Q3289" s="9" t="str">
        <f>IFERROR($P3289,PROPER(VLOOKUP($O3289,'Villes en erreur'!$A$2:$B$72,2,FALSE)))</f>
        <v>Mont-Laurier</v>
      </c>
      <c r="R3289" s="9" t="s">
        <v>14584</v>
      </c>
      <c r="S3289" s="9" t="str">
        <f>IF(ISBLANK($R3289),"",VLOOKUP($R3289,'Liste des Villes'!$B$2:$H$1128,4,FALSE))</f>
        <v>Laurentides</v>
      </c>
      <c r="T3289" s="2" t="s">
        <v>14612</v>
      </c>
      <c r="U3289" s="2" t="s">
        <v>39</v>
      </c>
      <c r="V3289" s="2" t="s">
        <v>40</v>
      </c>
      <c r="W3289" s="2" t="s">
        <v>14613</v>
      </c>
      <c r="X3289" s="2"/>
      <c r="Y3289" s="2"/>
      <c r="Z3289" s="2"/>
      <c r="AA3289" s="2" t="s">
        <v>375</v>
      </c>
      <c r="AB3289" s="2" t="s">
        <v>376</v>
      </c>
      <c r="AC3289" s="4" t="s">
        <v>44</v>
      </c>
    </row>
    <row r="3290" spans="1:29" x14ac:dyDescent="0.25">
      <c r="A3290" s="1">
        <v>4255</v>
      </c>
      <c r="B3290" s="17" t="s">
        <v>14614</v>
      </c>
      <c r="C3290" s="2" t="s">
        <v>5552</v>
      </c>
      <c r="D3290" s="15" t="s">
        <v>2898</v>
      </c>
      <c r="E3290" s="9" t="s">
        <v>704</v>
      </c>
      <c r="F3290" s="9" t="s">
        <v>7773</v>
      </c>
      <c r="G3290" s="9" t="s">
        <v>2217</v>
      </c>
      <c r="H3290" s="2" t="s">
        <v>60</v>
      </c>
      <c r="I3290" s="3">
        <v>37075</v>
      </c>
      <c r="J3290" s="9" t="str">
        <f t="shared" ca="1" si="54"/>
        <v>22 ans</v>
      </c>
      <c r="K3290" s="2" t="s">
        <v>156</v>
      </c>
      <c r="L3290" s="2" t="str">
        <f>"1150"</f>
        <v>1150</v>
      </c>
      <c r="M3290" s="2"/>
      <c r="N3290" s="2" t="str">
        <f>"RUE ÉMILIE-DESJARDINS"</f>
        <v>RUE ÉMILIE-DESJARDINS</v>
      </c>
      <c r="O3290" s="2" t="s">
        <v>14583</v>
      </c>
      <c r="P3290" s="9" t="str">
        <f>VLOOKUP($O3290,'Liste des Villes'!$B$2:$B$1128,1,FALSE)</f>
        <v>Mont-Laurier</v>
      </c>
      <c r="Q3290" s="9" t="str">
        <f>IFERROR($P3290,PROPER(VLOOKUP($O3290,'Villes en erreur'!$A$2:$B$72,2,FALSE)))</f>
        <v>Mont-Laurier</v>
      </c>
      <c r="R3290" s="9" t="s">
        <v>14584</v>
      </c>
      <c r="S3290" s="9" t="str">
        <f>IF(ISBLANK($R3290),"",VLOOKUP($R3290,'Liste des Villes'!$B$2:$H$1128,4,FALSE))</f>
        <v>Laurentides</v>
      </c>
      <c r="T3290" s="2" t="s">
        <v>14615</v>
      </c>
      <c r="U3290" s="2" t="s">
        <v>39</v>
      </c>
      <c r="V3290" s="2" t="s">
        <v>40</v>
      </c>
      <c r="W3290" s="2" t="s">
        <v>14616</v>
      </c>
      <c r="X3290" s="2"/>
      <c r="Y3290" s="2"/>
      <c r="Z3290" s="2"/>
      <c r="AA3290" s="2" t="s">
        <v>375</v>
      </c>
      <c r="AB3290" s="2" t="s">
        <v>376</v>
      </c>
      <c r="AC3290" s="4" t="s">
        <v>44</v>
      </c>
    </row>
    <row r="3291" spans="1:29" x14ac:dyDescent="0.25">
      <c r="A3291" s="1">
        <v>1037</v>
      </c>
      <c r="B3291" s="17" t="s">
        <v>14617</v>
      </c>
      <c r="C3291" s="2" t="s">
        <v>14618</v>
      </c>
      <c r="D3291" s="15" t="s">
        <v>14619</v>
      </c>
      <c r="E3291" s="9" t="s">
        <v>1423</v>
      </c>
      <c r="F3291" s="9" t="s">
        <v>7931</v>
      </c>
      <c r="G3291" s="9" t="s">
        <v>2217</v>
      </c>
      <c r="H3291" s="2" t="s">
        <v>60</v>
      </c>
      <c r="I3291" s="3">
        <v>37076</v>
      </c>
      <c r="J3291" s="9" t="str">
        <f t="shared" ca="1" si="54"/>
        <v>22 ans</v>
      </c>
      <c r="K3291" s="2" t="s">
        <v>156</v>
      </c>
      <c r="L3291" s="2" t="str">
        <f>"1152"</f>
        <v>1152</v>
      </c>
      <c r="M3291" s="2"/>
      <c r="N3291" s="2" t="str">
        <f>"RUE EMMANUELLE"</f>
        <v>RUE EMMANUELLE</v>
      </c>
      <c r="O3291" s="2" t="s">
        <v>14583</v>
      </c>
      <c r="P3291" s="9" t="str">
        <f>VLOOKUP($O3291,'Liste des Villes'!$B$2:$B$1128,1,FALSE)</f>
        <v>Mont-Laurier</v>
      </c>
      <c r="Q3291" s="9" t="str">
        <f>IFERROR($P3291,PROPER(VLOOKUP($O3291,'Villes en erreur'!$A$2:$B$72,2,FALSE)))</f>
        <v>Mont-Laurier</v>
      </c>
      <c r="R3291" s="9" t="s">
        <v>14584</v>
      </c>
      <c r="S3291" s="9" t="str">
        <f>IF(ISBLANK($R3291),"",VLOOKUP($R3291,'Liste des Villes'!$B$2:$H$1128,4,FALSE))</f>
        <v>Laurentides</v>
      </c>
      <c r="T3291" s="2" t="s">
        <v>14620</v>
      </c>
      <c r="U3291" s="2" t="s">
        <v>39</v>
      </c>
      <c r="V3291" s="2" t="s">
        <v>40</v>
      </c>
      <c r="W3291" s="2" t="s">
        <v>14621</v>
      </c>
      <c r="X3291" s="2"/>
      <c r="Y3291" s="2"/>
      <c r="Z3291" s="2"/>
      <c r="AA3291" s="2" t="s">
        <v>375</v>
      </c>
      <c r="AB3291" s="2" t="s">
        <v>376</v>
      </c>
      <c r="AC3291" s="4" t="s">
        <v>44</v>
      </c>
    </row>
    <row r="3292" spans="1:29" x14ac:dyDescent="0.25">
      <c r="A3292" s="1">
        <v>3736</v>
      </c>
      <c r="B3292" s="17" t="s">
        <v>14622</v>
      </c>
      <c r="C3292" s="2" t="s">
        <v>2914</v>
      </c>
      <c r="D3292" s="15" t="s">
        <v>164</v>
      </c>
      <c r="E3292" s="9" t="s">
        <v>602</v>
      </c>
      <c r="F3292" s="9" t="s">
        <v>5584</v>
      </c>
      <c r="G3292" s="9" t="s">
        <v>2217</v>
      </c>
      <c r="H3292" s="2" t="s">
        <v>60</v>
      </c>
      <c r="I3292" s="3">
        <v>37072</v>
      </c>
      <c r="J3292" s="9" t="str">
        <f t="shared" ca="1" si="54"/>
        <v>22 ans</v>
      </c>
      <c r="K3292" s="2" t="s">
        <v>156</v>
      </c>
      <c r="L3292" s="2" t="str">
        <f>"1145"</f>
        <v>1145</v>
      </c>
      <c r="M3292" s="2"/>
      <c r="N3292" s="2" t="str">
        <f>"RUE ÉMILE"</f>
        <v>RUE ÉMILE</v>
      </c>
      <c r="O3292" s="2" t="s">
        <v>14583</v>
      </c>
      <c r="P3292" s="9" t="str">
        <f>VLOOKUP($O3292,'Liste des Villes'!$B$2:$B$1128,1,FALSE)</f>
        <v>Mont-Laurier</v>
      </c>
      <c r="Q3292" s="9" t="str">
        <f>IFERROR($P3292,PROPER(VLOOKUP($O3292,'Villes en erreur'!$A$2:$B$72,2,FALSE)))</f>
        <v>Mont-Laurier</v>
      </c>
      <c r="R3292" s="9" t="s">
        <v>14584</v>
      </c>
      <c r="S3292" s="9" t="str">
        <f>IF(ISBLANK($R3292),"",VLOOKUP($R3292,'Liste des Villes'!$B$2:$H$1128,4,FALSE))</f>
        <v>Laurentides</v>
      </c>
      <c r="T3292" s="2" t="s">
        <v>14623</v>
      </c>
      <c r="U3292" s="2" t="s">
        <v>39</v>
      </c>
      <c r="V3292" s="2" t="s">
        <v>40</v>
      </c>
      <c r="W3292" s="2" t="s">
        <v>14624</v>
      </c>
      <c r="X3292" s="2"/>
      <c r="Y3292" s="2"/>
      <c r="Z3292" s="2"/>
      <c r="AA3292" s="2" t="s">
        <v>375</v>
      </c>
      <c r="AB3292" s="2" t="s">
        <v>376</v>
      </c>
      <c r="AC3292" s="4" t="s">
        <v>44</v>
      </c>
    </row>
    <row r="3293" spans="1:29" x14ac:dyDescent="0.25">
      <c r="A3293" s="1">
        <v>210</v>
      </c>
      <c r="B3293" s="17" t="s">
        <v>14625</v>
      </c>
      <c r="C3293" s="2" t="s">
        <v>14626</v>
      </c>
      <c r="D3293" s="15" t="s">
        <v>13376</v>
      </c>
      <c r="E3293" s="9" t="s">
        <v>2381</v>
      </c>
      <c r="F3293" s="9" t="s">
        <v>13375</v>
      </c>
      <c r="G3293" s="9" t="s">
        <v>2217</v>
      </c>
      <c r="H3293" s="2" t="s">
        <v>60</v>
      </c>
      <c r="I3293" s="3">
        <v>37075</v>
      </c>
      <c r="J3293" s="9" t="str">
        <f t="shared" ca="1" si="54"/>
        <v>22 ans</v>
      </c>
      <c r="K3293" s="2" t="s">
        <v>156</v>
      </c>
      <c r="L3293" s="2" t="str">
        <f>"1151"</f>
        <v>1151</v>
      </c>
      <c r="M3293" s="2"/>
      <c r="N3293" s="2" t="str">
        <f>"rue Emilien-Frenette"</f>
        <v>rue Emilien-Frenette</v>
      </c>
      <c r="O3293" s="2" t="s">
        <v>14583</v>
      </c>
      <c r="P3293" s="9" t="str">
        <f>VLOOKUP($O3293,'Liste des Villes'!$B$2:$B$1128,1,FALSE)</f>
        <v>Mont-Laurier</v>
      </c>
      <c r="Q3293" s="9" t="str">
        <f>IFERROR($P3293,PROPER(VLOOKUP($O3293,'Villes en erreur'!$A$2:$B$72,2,FALSE)))</f>
        <v>Mont-Laurier</v>
      </c>
      <c r="R3293" s="9" t="s">
        <v>14584</v>
      </c>
      <c r="S3293" s="9" t="str">
        <f>IF(ISBLANK($R3293),"",VLOOKUP($R3293,'Liste des Villes'!$B$2:$H$1128,4,FALSE))</f>
        <v>Laurentides</v>
      </c>
      <c r="T3293" s="2" t="s">
        <v>14627</v>
      </c>
      <c r="U3293" s="2" t="s">
        <v>39</v>
      </c>
      <c r="V3293" s="2" t="s">
        <v>40</v>
      </c>
      <c r="W3293" s="2" t="s">
        <v>14628</v>
      </c>
      <c r="X3293" s="2"/>
      <c r="Y3293" s="2"/>
      <c r="Z3293" s="2"/>
      <c r="AA3293" s="2" t="s">
        <v>375</v>
      </c>
      <c r="AB3293" s="2" t="s">
        <v>376</v>
      </c>
      <c r="AC3293" s="4" t="s">
        <v>44</v>
      </c>
    </row>
    <row r="3294" spans="1:29" x14ac:dyDescent="0.25">
      <c r="A3294" s="1">
        <v>1377</v>
      </c>
      <c r="B3294" s="17" t="s">
        <v>14629</v>
      </c>
      <c r="C3294" s="2" t="s">
        <v>14630</v>
      </c>
      <c r="D3294" s="15" t="s">
        <v>342</v>
      </c>
      <c r="E3294" s="9" t="s">
        <v>396</v>
      </c>
      <c r="F3294" s="9" t="s">
        <v>340</v>
      </c>
      <c r="G3294" s="9" t="s">
        <v>2217</v>
      </c>
      <c r="H3294" s="2" t="s">
        <v>60</v>
      </c>
      <c r="I3294" s="3">
        <v>37075</v>
      </c>
      <c r="J3294" s="9" t="str">
        <f t="shared" ca="1" si="54"/>
        <v>22 ans</v>
      </c>
      <c r="K3294" s="2" t="s">
        <v>156</v>
      </c>
      <c r="L3294" s="2" t="str">
        <f>"1150"</f>
        <v>1150</v>
      </c>
      <c r="M3294" s="2"/>
      <c r="N3294" s="2" t="str">
        <f>"RUE ÉMILE-NELLIGAN"</f>
        <v>RUE ÉMILE-NELLIGAN</v>
      </c>
      <c r="O3294" s="2" t="s">
        <v>14583</v>
      </c>
      <c r="P3294" s="9" t="str">
        <f>VLOOKUP($O3294,'Liste des Villes'!$B$2:$B$1128,1,FALSE)</f>
        <v>Mont-Laurier</v>
      </c>
      <c r="Q3294" s="9" t="str">
        <f>IFERROR($P3294,PROPER(VLOOKUP($O3294,'Villes en erreur'!$A$2:$B$72,2,FALSE)))</f>
        <v>Mont-Laurier</v>
      </c>
      <c r="R3294" s="9" t="s">
        <v>14584</v>
      </c>
      <c r="S3294" s="9" t="str">
        <f>IF(ISBLANK($R3294),"",VLOOKUP($R3294,'Liste des Villes'!$B$2:$H$1128,4,FALSE))</f>
        <v>Laurentides</v>
      </c>
      <c r="T3294" s="2" t="s">
        <v>14631</v>
      </c>
      <c r="U3294" s="2" t="s">
        <v>39</v>
      </c>
      <c r="V3294" s="2" t="s">
        <v>40</v>
      </c>
      <c r="W3294" s="2" t="s">
        <v>14632</v>
      </c>
      <c r="X3294" s="2"/>
      <c r="Y3294" s="2"/>
      <c r="Z3294" s="2"/>
      <c r="AA3294" s="2" t="s">
        <v>375</v>
      </c>
      <c r="AB3294" s="2" t="s">
        <v>376</v>
      </c>
      <c r="AC3294" s="4" t="s">
        <v>44</v>
      </c>
    </row>
    <row r="3295" spans="1:29" x14ac:dyDescent="0.25">
      <c r="A3295" s="1">
        <v>3526</v>
      </c>
      <c r="B3295" s="17" t="s">
        <v>14633</v>
      </c>
      <c r="C3295" s="2" t="s">
        <v>14634</v>
      </c>
      <c r="D3295" s="15" t="s">
        <v>10361</v>
      </c>
      <c r="E3295" s="9" t="s">
        <v>14635</v>
      </c>
      <c r="F3295" s="9" t="s">
        <v>12264</v>
      </c>
      <c r="G3295" s="9" t="s">
        <v>2217</v>
      </c>
      <c r="H3295" s="2" t="s">
        <v>60</v>
      </c>
      <c r="I3295" s="3">
        <v>37076</v>
      </c>
      <c r="J3295" s="9" t="str">
        <f t="shared" ca="1" si="54"/>
        <v>22 ans</v>
      </c>
      <c r="K3295" s="2" t="s">
        <v>156</v>
      </c>
      <c r="L3295" s="2" t="str">
        <f>"1153"</f>
        <v>1153</v>
      </c>
      <c r="M3295" s="2"/>
      <c r="N3295" s="2" t="str">
        <f>"RUE EMPAIN"</f>
        <v>RUE EMPAIN</v>
      </c>
      <c r="O3295" s="2" t="s">
        <v>14583</v>
      </c>
      <c r="P3295" s="9" t="str">
        <f>VLOOKUP($O3295,'Liste des Villes'!$B$2:$B$1128,1,FALSE)</f>
        <v>Mont-Laurier</v>
      </c>
      <c r="Q3295" s="9" t="str">
        <f>IFERROR($P3295,PROPER(VLOOKUP($O3295,'Villes en erreur'!$A$2:$B$72,2,FALSE)))</f>
        <v>Mont-Laurier</v>
      </c>
      <c r="R3295" s="9" t="s">
        <v>14584</v>
      </c>
      <c r="S3295" s="9" t="str">
        <f>IF(ISBLANK($R3295),"",VLOOKUP($R3295,'Liste des Villes'!$B$2:$H$1128,4,FALSE))</f>
        <v>Laurentides</v>
      </c>
      <c r="T3295" s="2" t="s">
        <v>14636</v>
      </c>
      <c r="U3295" s="2" t="s">
        <v>39</v>
      </c>
      <c r="V3295" s="2" t="s">
        <v>40</v>
      </c>
      <c r="W3295" s="2" t="s">
        <v>14637</v>
      </c>
      <c r="X3295" s="2"/>
      <c r="Y3295" s="2"/>
      <c r="Z3295" s="2"/>
      <c r="AA3295" s="2" t="s">
        <v>375</v>
      </c>
      <c r="AB3295" s="2" t="s">
        <v>376</v>
      </c>
      <c r="AC3295" s="4" t="s">
        <v>44</v>
      </c>
    </row>
    <row r="3296" spans="1:29" x14ac:dyDescent="0.25">
      <c r="A3296" s="1">
        <v>3548</v>
      </c>
      <c r="B3296" s="17" t="s">
        <v>14638</v>
      </c>
      <c r="C3296" s="2" t="s">
        <v>4637</v>
      </c>
      <c r="D3296" s="15" t="s">
        <v>2780</v>
      </c>
      <c r="E3296" s="9" t="s">
        <v>172</v>
      </c>
      <c r="F3296" s="9" t="s">
        <v>14639</v>
      </c>
      <c r="G3296" s="9" t="s">
        <v>2217</v>
      </c>
      <c r="H3296" s="2" t="s">
        <v>60</v>
      </c>
      <c r="I3296" s="3">
        <v>37072</v>
      </c>
      <c r="J3296" s="9" t="str">
        <f t="shared" ca="1" si="54"/>
        <v>22 ans</v>
      </c>
      <c r="K3296" s="2" t="s">
        <v>156</v>
      </c>
      <c r="L3296" s="2" t="str">
        <f>"1146"</f>
        <v>1146</v>
      </c>
      <c r="M3296" s="2"/>
      <c r="N3296" s="2" t="str">
        <f>"RUE ÉMILE NELLIGAN"</f>
        <v>RUE ÉMILE NELLIGAN</v>
      </c>
      <c r="O3296" s="2" t="s">
        <v>14583</v>
      </c>
      <c r="P3296" s="9" t="str">
        <f>VLOOKUP($O3296,'Liste des Villes'!$B$2:$B$1128,1,FALSE)</f>
        <v>Mont-Laurier</v>
      </c>
      <c r="Q3296" s="9" t="str">
        <f>IFERROR($P3296,PROPER(VLOOKUP($O3296,'Villes en erreur'!$A$2:$B$72,2,FALSE)))</f>
        <v>Mont-Laurier</v>
      </c>
      <c r="R3296" s="9" t="s">
        <v>14584</v>
      </c>
      <c r="S3296" s="9" t="str">
        <f>IF(ISBLANK($R3296),"",VLOOKUP($R3296,'Liste des Villes'!$B$2:$H$1128,4,FALSE))</f>
        <v>Laurentides</v>
      </c>
      <c r="T3296" s="2" t="s">
        <v>14640</v>
      </c>
      <c r="U3296" s="2" t="s">
        <v>39</v>
      </c>
      <c r="V3296" s="2" t="s">
        <v>40</v>
      </c>
      <c r="W3296" s="2" t="s">
        <v>14641</v>
      </c>
      <c r="X3296" s="2"/>
      <c r="Y3296" s="2"/>
      <c r="Z3296" s="2"/>
      <c r="AA3296" s="2" t="s">
        <v>375</v>
      </c>
      <c r="AB3296" s="2" t="s">
        <v>376</v>
      </c>
      <c r="AC3296" s="4" t="s">
        <v>44</v>
      </c>
    </row>
    <row r="3297" spans="1:29" x14ac:dyDescent="0.25">
      <c r="A3297" s="1">
        <v>1432</v>
      </c>
      <c r="B3297" s="17" t="s">
        <v>14642</v>
      </c>
      <c r="C3297" s="2" t="s">
        <v>14643</v>
      </c>
      <c r="D3297" s="15" t="s">
        <v>5347</v>
      </c>
      <c r="E3297" s="9" t="s">
        <v>1900</v>
      </c>
      <c r="F3297" s="9" t="s">
        <v>982</v>
      </c>
      <c r="G3297" s="9" t="s">
        <v>2217</v>
      </c>
      <c r="H3297" s="2" t="s">
        <v>60</v>
      </c>
      <c r="I3297" s="3">
        <v>37070</v>
      </c>
      <c r="J3297" s="9" t="str">
        <f t="shared" ca="1" si="54"/>
        <v>22 ans</v>
      </c>
      <c r="K3297" s="2" t="s">
        <v>156</v>
      </c>
      <c r="L3297" s="2" t="str">
        <f>"1141"</f>
        <v>1141</v>
      </c>
      <c r="M3297" s="2"/>
      <c r="N3297" s="2" t="str">
        <f>"RUE ÉLIE"</f>
        <v>RUE ÉLIE</v>
      </c>
      <c r="O3297" s="2" t="s">
        <v>14583</v>
      </c>
      <c r="P3297" s="9" t="str">
        <f>VLOOKUP($O3297,'Liste des Villes'!$B$2:$B$1128,1,FALSE)</f>
        <v>Mont-Laurier</v>
      </c>
      <c r="Q3297" s="9" t="str">
        <f>IFERROR($P3297,PROPER(VLOOKUP($O3297,'Villes en erreur'!$A$2:$B$72,2,FALSE)))</f>
        <v>Mont-Laurier</v>
      </c>
      <c r="R3297" s="9" t="s">
        <v>14584</v>
      </c>
      <c r="S3297" s="9" t="str">
        <f>IF(ISBLANK($R3297),"",VLOOKUP($R3297,'Liste des Villes'!$B$2:$H$1128,4,FALSE))</f>
        <v>Laurentides</v>
      </c>
      <c r="T3297" s="2" t="s">
        <v>14644</v>
      </c>
      <c r="U3297" s="2" t="s">
        <v>39</v>
      </c>
      <c r="V3297" s="2" t="s">
        <v>40</v>
      </c>
      <c r="W3297" s="2" t="s">
        <v>14645</v>
      </c>
      <c r="X3297" s="2"/>
      <c r="Y3297" s="2"/>
      <c r="Z3297" s="2"/>
      <c r="AA3297" s="2" t="s">
        <v>375</v>
      </c>
      <c r="AB3297" s="2" t="s">
        <v>376</v>
      </c>
      <c r="AC3297" s="4" t="s">
        <v>44</v>
      </c>
    </row>
    <row r="3298" spans="1:29" x14ac:dyDescent="0.25">
      <c r="A3298" s="1">
        <v>811</v>
      </c>
      <c r="B3298" s="17" t="s">
        <v>14646</v>
      </c>
      <c r="C3298" s="2" t="s">
        <v>6537</v>
      </c>
      <c r="D3298" s="15" t="s">
        <v>818</v>
      </c>
      <c r="E3298" s="9" t="s">
        <v>120</v>
      </c>
      <c r="F3298" s="9" t="s">
        <v>816</v>
      </c>
      <c r="G3298" s="9" t="s">
        <v>2217</v>
      </c>
      <c r="H3298" s="2" t="s">
        <v>60</v>
      </c>
      <c r="I3298" s="3">
        <v>37070</v>
      </c>
      <c r="J3298" s="9" t="str">
        <f t="shared" ca="1" si="54"/>
        <v>22 ans</v>
      </c>
      <c r="K3298" s="2" t="s">
        <v>156</v>
      </c>
      <c r="L3298" s="2" t="str">
        <f>"1141"</f>
        <v>1141</v>
      </c>
      <c r="M3298" s="2"/>
      <c r="N3298" s="2" t="str">
        <f>"RUE ELDÈGE LACROIX"</f>
        <v>RUE ELDÈGE LACROIX</v>
      </c>
      <c r="O3298" s="2" t="s">
        <v>14583</v>
      </c>
      <c r="P3298" s="9" t="str">
        <f>VLOOKUP($O3298,'Liste des Villes'!$B$2:$B$1128,1,FALSE)</f>
        <v>Mont-Laurier</v>
      </c>
      <c r="Q3298" s="9" t="str">
        <f>IFERROR($P3298,PROPER(VLOOKUP($O3298,'Villes en erreur'!$A$2:$B$72,2,FALSE)))</f>
        <v>Mont-Laurier</v>
      </c>
      <c r="R3298" s="9" t="s">
        <v>14584</v>
      </c>
      <c r="S3298" s="9" t="str">
        <f>IF(ISBLANK($R3298),"",VLOOKUP($R3298,'Liste des Villes'!$B$2:$H$1128,4,FALSE))</f>
        <v>Laurentides</v>
      </c>
      <c r="T3298" s="2" t="s">
        <v>14647</v>
      </c>
      <c r="U3298" s="2" t="s">
        <v>39</v>
      </c>
      <c r="V3298" s="2" t="s">
        <v>40</v>
      </c>
      <c r="W3298" s="2" t="s">
        <v>14648</v>
      </c>
      <c r="X3298" s="2"/>
      <c r="Y3298" s="2"/>
      <c r="Z3298" s="2"/>
      <c r="AA3298" s="2" t="s">
        <v>375</v>
      </c>
      <c r="AB3298" s="2" t="s">
        <v>376</v>
      </c>
      <c r="AC3298" s="4" t="s">
        <v>44</v>
      </c>
    </row>
    <row r="3299" spans="1:29" x14ac:dyDescent="0.25">
      <c r="A3299" s="1">
        <v>1038</v>
      </c>
      <c r="B3299" s="17" t="s">
        <v>14649</v>
      </c>
      <c r="C3299" s="2" t="s">
        <v>4420</v>
      </c>
      <c r="D3299" s="15" t="s">
        <v>4421</v>
      </c>
      <c r="E3299" s="9" t="s">
        <v>4422</v>
      </c>
      <c r="F3299" s="9" t="s">
        <v>13811</v>
      </c>
      <c r="G3299" s="9" t="s">
        <v>2217</v>
      </c>
      <c r="H3299" s="2" t="s">
        <v>60</v>
      </c>
      <c r="I3299" s="3">
        <v>37074</v>
      </c>
      <c r="J3299" s="9" t="str">
        <f t="shared" ca="1" si="54"/>
        <v>22 ans</v>
      </c>
      <c r="K3299" s="2" t="s">
        <v>156</v>
      </c>
      <c r="L3299" s="2" t="str">
        <f>"1148"</f>
        <v>1148</v>
      </c>
      <c r="M3299" s="2"/>
      <c r="N3299" s="2" t="str">
        <f>"RUE ÉMILE-AUGIER"</f>
        <v>RUE ÉMILE-AUGIER</v>
      </c>
      <c r="O3299" s="2" t="s">
        <v>14583</v>
      </c>
      <c r="P3299" s="9" t="str">
        <f>VLOOKUP($O3299,'Liste des Villes'!$B$2:$B$1128,1,FALSE)</f>
        <v>Mont-Laurier</v>
      </c>
      <c r="Q3299" s="9" t="str">
        <f>IFERROR($P3299,PROPER(VLOOKUP($O3299,'Villes en erreur'!$A$2:$B$72,2,FALSE)))</f>
        <v>Mont-Laurier</v>
      </c>
      <c r="R3299" s="9" t="s">
        <v>14584</v>
      </c>
      <c r="S3299" s="9" t="str">
        <f>IF(ISBLANK($R3299),"",VLOOKUP($R3299,'Liste des Villes'!$B$2:$H$1128,4,FALSE))</f>
        <v>Laurentides</v>
      </c>
      <c r="T3299" s="2" t="s">
        <v>14650</v>
      </c>
      <c r="U3299" s="2" t="s">
        <v>39</v>
      </c>
      <c r="V3299" s="2" t="s">
        <v>40</v>
      </c>
      <c r="W3299" s="2" t="s">
        <v>14651</v>
      </c>
      <c r="X3299" s="2"/>
      <c r="Y3299" s="2"/>
      <c r="Z3299" s="2"/>
      <c r="AA3299" s="2" t="s">
        <v>375</v>
      </c>
      <c r="AB3299" s="2" t="s">
        <v>376</v>
      </c>
      <c r="AC3299" s="4" t="s">
        <v>44</v>
      </c>
    </row>
    <row r="3300" spans="1:29" x14ac:dyDescent="0.25">
      <c r="A3300" s="1">
        <v>1240</v>
      </c>
      <c r="B3300" s="17" t="s">
        <v>14652</v>
      </c>
      <c r="C3300" s="2" t="s">
        <v>11856</v>
      </c>
      <c r="D3300" s="15" t="s">
        <v>3341</v>
      </c>
      <c r="E3300" s="9" t="s">
        <v>172</v>
      </c>
      <c r="F3300" s="9" t="s">
        <v>7610</v>
      </c>
      <c r="G3300" s="9" t="s">
        <v>2217</v>
      </c>
      <c r="H3300" s="2" t="s">
        <v>60</v>
      </c>
      <c r="I3300" s="3">
        <v>37070</v>
      </c>
      <c r="J3300" s="9" t="str">
        <f t="shared" ca="1" si="54"/>
        <v>22 ans</v>
      </c>
      <c r="K3300" s="2" t="s">
        <v>156</v>
      </c>
      <c r="L3300" s="2" t="str">
        <f>"1142"</f>
        <v>1142</v>
      </c>
      <c r="M3300" s="2"/>
      <c r="N3300" s="2" t="str">
        <f>"RUE ÉLISABETH"</f>
        <v>RUE ÉLISABETH</v>
      </c>
      <c r="O3300" s="2" t="s">
        <v>14583</v>
      </c>
      <c r="P3300" s="9" t="str">
        <f>VLOOKUP($O3300,'Liste des Villes'!$B$2:$B$1128,1,FALSE)</f>
        <v>Mont-Laurier</v>
      </c>
      <c r="Q3300" s="9" t="str">
        <f>IFERROR($P3300,PROPER(VLOOKUP($O3300,'Villes en erreur'!$A$2:$B$72,2,FALSE)))</f>
        <v>Mont-Laurier</v>
      </c>
      <c r="R3300" s="9" t="s">
        <v>14584</v>
      </c>
      <c r="S3300" s="9" t="str">
        <f>IF(ISBLANK($R3300),"",VLOOKUP($R3300,'Liste des Villes'!$B$2:$H$1128,4,FALSE))</f>
        <v>Laurentides</v>
      </c>
      <c r="T3300" s="2" t="s">
        <v>14653</v>
      </c>
      <c r="U3300" s="2" t="s">
        <v>39</v>
      </c>
      <c r="V3300" s="2" t="s">
        <v>40</v>
      </c>
      <c r="W3300" s="2" t="s">
        <v>14654</v>
      </c>
      <c r="X3300" s="2"/>
      <c r="Y3300" s="2"/>
      <c r="Z3300" s="2"/>
      <c r="AA3300" s="2" t="s">
        <v>375</v>
      </c>
      <c r="AB3300" s="2" t="s">
        <v>376</v>
      </c>
      <c r="AC3300" s="4" t="s">
        <v>44</v>
      </c>
    </row>
    <row r="3301" spans="1:29" x14ac:dyDescent="0.25">
      <c r="A3301" s="1">
        <v>1321</v>
      </c>
      <c r="B3301" s="17" t="s">
        <v>14655</v>
      </c>
      <c r="C3301" s="2" t="s">
        <v>14656</v>
      </c>
      <c r="D3301" s="15" t="s">
        <v>9662</v>
      </c>
      <c r="E3301" s="9" t="s">
        <v>348</v>
      </c>
      <c r="F3301" s="9" t="s">
        <v>762</v>
      </c>
      <c r="G3301" s="9" t="s">
        <v>2217</v>
      </c>
      <c r="H3301" s="2" t="s">
        <v>60</v>
      </c>
      <c r="I3301" s="3">
        <v>37076</v>
      </c>
      <c r="J3301" s="9" t="str">
        <f t="shared" ca="1" si="54"/>
        <v>22 ans</v>
      </c>
      <c r="K3301" s="2" t="s">
        <v>156</v>
      </c>
      <c r="L3301" s="2" t="str">
        <f>"1155"</f>
        <v>1155</v>
      </c>
      <c r="M3301" s="2"/>
      <c r="N3301" s="2" t="str">
        <f>"RUE ÉRIC"</f>
        <v>RUE ÉRIC</v>
      </c>
      <c r="O3301" s="2" t="s">
        <v>14657</v>
      </c>
      <c r="P3301" s="9" t="str">
        <f>VLOOKUP($O3301,'Liste des Villes'!$B$2:$B$1128,1,FALSE)</f>
        <v>Montcalm</v>
      </c>
      <c r="Q3301" s="9" t="str">
        <f>IFERROR($P3301,PROPER(VLOOKUP($O3301,'Villes en erreur'!$A$2:$B$72,2,FALSE)))</f>
        <v>Montcalm</v>
      </c>
      <c r="R3301" s="9" t="s">
        <v>14658</v>
      </c>
      <c r="S3301" s="9" t="str">
        <f>IF(ISBLANK($R3301),"",VLOOKUP($R3301,'Liste des Villes'!$B$2:$H$1128,4,FALSE))</f>
        <v>Laurentides</v>
      </c>
      <c r="T3301" s="2" t="s">
        <v>14636</v>
      </c>
      <c r="U3301" s="2" t="s">
        <v>39</v>
      </c>
      <c r="V3301" s="2" t="s">
        <v>40</v>
      </c>
      <c r="W3301" s="2" t="s">
        <v>14659</v>
      </c>
      <c r="X3301" s="2"/>
      <c r="Y3301" s="2"/>
      <c r="Z3301" s="2"/>
      <c r="AA3301" s="2" t="s">
        <v>375</v>
      </c>
      <c r="AB3301" s="2" t="s">
        <v>376</v>
      </c>
      <c r="AC3301" s="4" t="s">
        <v>44</v>
      </c>
    </row>
    <row r="3302" spans="1:29" x14ac:dyDescent="0.25">
      <c r="A3302" s="1">
        <v>3096</v>
      </c>
      <c r="B3302" s="17" t="s">
        <v>14660</v>
      </c>
      <c r="C3302" s="2" t="s">
        <v>1288</v>
      </c>
      <c r="D3302" s="15" t="s">
        <v>601</v>
      </c>
      <c r="E3302" s="9" t="s">
        <v>1289</v>
      </c>
      <c r="F3302" s="9" t="s">
        <v>599</v>
      </c>
      <c r="G3302" s="9" t="s">
        <v>4243</v>
      </c>
      <c r="H3302" s="2" t="s">
        <v>60</v>
      </c>
      <c r="I3302" s="3">
        <v>37160</v>
      </c>
      <c r="J3302" s="9" t="str">
        <f t="shared" ca="1" si="54"/>
        <v>21 ans</v>
      </c>
      <c r="K3302" s="2" t="s">
        <v>156</v>
      </c>
      <c r="L3302" s="2" t="str">
        <f>"1517"</f>
        <v>1517</v>
      </c>
      <c r="M3302" s="2"/>
      <c r="N3302" s="2" t="str">
        <f>"RUE JEAN-BAPTISTE-DUFRESN"</f>
        <v>RUE JEAN-BAPTISTE-DUFRESN</v>
      </c>
      <c r="O3302" s="2" t="s">
        <v>14661</v>
      </c>
      <c r="P3302" s="9" t="str">
        <f>VLOOKUP($O3302,'Liste des Villes'!$B$2:$B$1128,1,FALSE)</f>
        <v>Mirabel</v>
      </c>
      <c r="Q3302" s="9" t="str">
        <f>IFERROR($P3302,PROPER(VLOOKUP($O3302,'Villes en erreur'!$A$2:$B$72,2,FALSE)))</f>
        <v>Mirabel</v>
      </c>
      <c r="R3302" s="9" t="s">
        <v>14662</v>
      </c>
      <c r="S3302" s="9" t="str">
        <f>IF(ISBLANK($R3302),"",VLOOKUP($R3302,'Liste des Villes'!$B$2:$H$1128,4,FALSE))</f>
        <v>Laurentides</v>
      </c>
      <c r="T3302" s="2" t="s">
        <v>14663</v>
      </c>
      <c r="U3302" s="2" t="s">
        <v>39</v>
      </c>
      <c r="V3302" s="2" t="s">
        <v>40</v>
      </c>
      <c r="W3302" s="2" t="s">
        <v>14664</v>
      </c>
      <c r="X3302" s="2"/>
      <c r="Y3302" s="2"/>
      <c r="Z3302" s="2"/>
      <c r="AA3302" s="2" t="s">
        <v>708</v>
      </c>
      <c r="AB3302" s="2" t="s">
        <v>376</v>
      </c>
      <c r="AC3302" s="4" t="s">
        <v>44</v>
      </c>
    </row>
    <row r="3303" spans="1:29" x14ac:dyDescent="0.25">
      <c r="A3303" s="1">
        <v>4299</v>
      </c>
      <c r="B3303" s="17" t="s">
        <v>14665</v>
      </c>
      <c r="C3303" s="2" t="s">
        <v>14666</v>
      </c>
      <c r="D3303" s="15" t="s">
        <v>7946</v>
      </c>
      <c r="E3303" s="9" t="s">
        <v>1377</v>
      </c>
      <c r="F3303" s="9" t="s">
        <v>7945</v>
      </c>
      <c r="G3303" s="9" t="s">
        <v>1091</v>
      </c>
      <c r="H3303" s="2" t="s">
        <v>60</v>
      </c>
      <c r="I3303" s="3">
        <v>37211</v>
      </c>
      <c r="J3303" s="9" t="str">
        <f t="shared" ca="1" si="54"/>
        <v>21 ans</v>
      </c>
      <c r="K3303" s="2" t="s">
        <v>262</v>
      </c>
      <c r="L3303" s="2" t="str">
        <f>"1886"</f>
        <v>1886</v>
      </c>
      <c r="M3303" s="2"/>
      <c r="N3303" s="2" t="str">
        <f>"RUE LAMIRANDE"</f>
        <v>RUE LAMIRANDE</v>
      </c>
      <c r="O3303" s="2" t="s">
        <v>14661</v>
      </c>
      <c r="P3303" s="9" t="str">
        <f>VLOOKUP($O3303,'Liste des Villes'!$B$2:$B$1128,1,FALSE)</f>
        <v>Mirabel</v>
      </c>
      <c r="Q3303" s="9" t="str">
        <f>IFERROR($P3303,PROPER(VLOOKUP($O3303,'Villes en erreur'!$A$2:$B$72,2,FALSE)))</f>
        <v>Mirabel</v>
      </c>
      <c r="R3303" s="9" t="s">
        <v>14662</v>
      </c>
      <c r="S3303" s="9" t="str">
        <f>IF(ISBLANK($R3303),"",VLOOKUP($R3303,'Liste des Villes'!$B$2:$H$1128,4,FALSE))</f>
        <v>Laurentides</v>
      </c>
      <c r="T3303" s="2" t="s">
        <v>14667</v>
      </c>
      <c r="U3303" s="2" t="s">
        <v>39</v>
      </c>
      <c r="V3303" s="2" t="s">
        <v>40</v>
      </c>
      <c r="W3303" s="2" t="s">
        <v>14668</v>
      </c>
      <c r="X3303" s="2"/>
      <c r="Y3303" s="2"/>
      <c r="Z3303" s="2"/>
      <c r="AA3303" s="2" t="s">
        <v>708</v>
      </c>
      <c r="AB3303" s="2" t="s">
        <v>14669</v>
      </c>
      <c r="AC3303" s="4" t="s">
        <v>44</v>
      </c>
    </row>
    <row r="3304" spans="1:29" x14ac:dyDescent="0.25">
      <c r="A3304" s="1">
        <v>4100</v>
      </c>
      <c r="B3304" s="17" t="s">
        <v>14670</v>
      </c>
      <c r="C3304" s="2" t="s">
        <v>14671</v>
      </c>
      <c r="D3304" s="15" t="s">
        <v>11954</v>
      </c>
      <c r="E3304" s="9" t="s">
        <v>781</v>
      </c>
      <c r="F3304" s="9" t="s">
        <v>782</v>
      </c>
      <c r="G3304" s="9" t="s">
        <v>12252</v>
      </c>
      <c r="H3304" s="2" t="s">
        <v>60</v>
      </c>
      <c r="I3304" s="3">
        <v>37193</v>
      </c>
      <c r="J3304" s="9" t="str">
        <f t="shared" ca="1" si="54"/>
        <v>21 ans</v>
      </c>
      <c r="K3304" s="2" t="s">
        <v>262</v>
      </c>
      <c r="L3304" s="2" t="str">
        <f>"1723"</f>
        <v>1723</v>
      </c>
      <c r="M3304" s="2"/>
      <c r="N3304" s="2" t="str">
        <f>"RUE LABELLE"</f>
        <v>RUE LABELLE</v>
      </c>
      <c r="O3304" s="2" t="s">
        <v>14661</v>
      </c>
      <c r="P3304" s="9" t="str">
        <f>VLOOKUP($O3304,'Liste des Villes'!$B$2:$B$1128,1,FALSE)</f>
        <v>Mirabel</v>
      </c>
      <c r="Q3304" s="9" t="str">
        <f>IFERROR($P3304,PROPER(VLOOKUP($O3304,'Villes en erreur'!$A$2:$B$72,2,FALSE)))</f>
        <v>Mirabel</v>
      </c>
      <c r="R3304" s="9" t="s">
        <v>14662</v>
      </c>
      <c r="S3304" s="9" t="str">
        <f>IF(ISBLANK($R3304),"",VLOOKUP($R3304,'Liste des Villes'!$B$2:$H$1128,4,FALSE))</f>
        <v>Laurentides</v>
      </c>
      <c r="T3304" s="2" t="s">
        <v>14672</v>
      </c>
      <c r="U3304" s="2" t="s">
        <v>39</v>
      </c>
      <c r="V3304" s="2" t="s">
        <v>40</v>
      </c>
      <c r="W3304" s="2" t="s">
        <v>14673</v>
      </c>
      <c r="X3304" s="2"/>
      <c r="Y3304" s="2"/>
      <c r="Z3304" s="2"/>
      <c r="AA3304" s="2" t="s">
        <v>708</v>
      </c>
      <c r="AB3304" s="2" t="s">
        <v>14669</v>
      </c>
      <c r="AC3304" s="4" t="s">
        <v>44</v>
      </c>
    </row>
    <row r="3305" spans="1:29" x14ac:dyDescent="0.25">
      <c r="A3305" s="1">
        <v>3761</v>
      </c>
      <c r="B3305" s="17" t="s">
        <v>14674</v>
      </c>
      <c r="C3305" s="2" t="s">
        <v>14675</v>
      </c>
      <c r="D3305" s="15" t="s">
        <v>56</v>
      </c>
      <c r="E3305" s="9" t="s">
        <v>12934</v>
      </c>
      <c r="F3305" s="9" t="s">
        <v>14676</v>
      </c>
      <c r="G3305" s="9" t="s">
        <v>5476</v>
      </c>
      <c r="H3305" s="2" t="s">
        <v>35</v>
      </c>
      <c r="I3305" s="3">
        <v>37134</v>
      </c>
      <c r="J3305" s="9" t="str">
        <f t="shared" ca="1" si="54"/>
        <v>21 ans</v>
      </c>
      <c r="K3305" s="2" t="s">
        <v>156</v>
      </c>
      <c r="L3305" s="2" t="str">
        <f>"1363"</f>
        <v>1363</v>
      </c>
      <c r="M3305" s="2"/>
      <c r="N3305" s="2" t="str">
        <f>"RUE HENRI JULIEN"</f>
        <v>RUE HENRI JULIEN</v>
      </c>
      <c r="O3305" s="2" t="s">
        <v>14661</v>
      </c>
      <c r="P3305" s="9" t="str">
        <f>VLOOKUP($O3305,'Liste des Villes'!$B$2:$B$1128,1,FALSE)</f>
        <v>Mirabel</v>
      </c>
      <c r="Q3305" s="9" t="str">
        <f>IFERROR($P3305,PROPER(VLOOKUP($O3305,'Villes en erreur'!$A$2:$B$72,2,FALSE)))</f>
        <v>Mirabel</v>
      </c>
      <c r="R3305" s="9" t="s">
        <v>14662</v>
      </c>
      <c r="S3305" s="9" t="str">
        <f>IF(ISBLANK($R3305),"",VLOOKUP($R3305,'Liste des Villes'!$B$2:$H$1128,4,FALSE))</f>
        <v>Laurentides</v>
      </c>
      <c r="T3305" s="2" t="s">
        <v>14677</v>
      </c>
      <c r="U3305" s="2" t="s">
        <v>39</v>
      </c>
      <c r="V3305" s="2" t="s">
        <v>40</v>
      </c>
      <c r="W3305" s="2" t="s">
        <v>14678</v>
      </c>
      <c r="X3305" s="2"/>
      <c r="Y3305" s="2"/>
      <c r="Z3305" s="2"/>
      <c r="AA3305" s="2" t="s">
        <v>375</v>
      </c>
      <c r="AB3305" s="2" t="s">
        <v>376</v>
      </c>
      <c r="AC3305" s="4" t="s">
        <v>44</v>
      </c>
    </row>
    <row r="3306" spans="1:29" x14ac:dyDescent="0.25">
      <c r="A3306" s="1">
        <v>3730</v>
      </c>
      <c r="B3306" s="17" t="s">
        <v>14679</v>
      </c>
      <c r="C3306" s="2" t="s">
        <v>14680</v>
      </c>
      <c r="D3306" s="15" t="s">
        <v>6083</v>
      </c>
      <c r="E3306" s="9" t="s">
        <v>4324</v>
      </c>
      <c r="F3306" s="9" t="s">
        <v>12337</v>
      </c>
      <c r="G3306" s="9" t="s">
        <v>1650</v>
      </c>
      <c r="H3306" s="2" t="s">
        <v>35</v>
      </c>
      <c r="I3306" s="3">
        <v>37125</v>
      </c>
      <c r="J3306" s="9" t="str">
        <f t="shared" ca="1" si="54"/>
        <v>22 ans</v>
      </c>
      <c r="K3306" s="2" t="s">
        <v>156</v>
      </c>
      <c r="L3306" s="2" t="str">
        <f>"1328"</f>
        <v>1328</v>
      </c>
      <c r="M3306" s="2"/>
      <c r="N3306" s="2" t="str">
        <f>"RUE GRIGNON"</f>
        <v>RUE GRIGNON</v>
      </c>
      <c r="O3306" s="2" t="s">
        <v>14661</v>
      </c>
      <c r="P3306" s="9" t="str">
        <f>VLOOKUP($O3306,'Liste des Villes'!$B$2:$B$1128,1,FALSE)</f>
        <v>Mirabel</v>
      </c>
      <c r="Q3306" s="9" t="str">
        <f>IFERROR($P3306,PROPER(VLOOKUP($O3306,'Villes en erreur'!$A$2:$B$72,2,FALSE)))</f>
        <v>Mirabel</v>
      </c>
      <c r="R3306" s="9" t="s">
        <v>14662</v>
      </c>
      <c r="S3306" s="9" t="str">
        <f>IF(ISBLANK($R3306),"",VLOOKUP($R3306,'Liste des Villes'!$B$2:$H$1128,4,FALSE))</f>
        <v>Laurentides</v>
      </c>
      <c r="T3306" s="2" t="s">
        <v>14681</v>
      </c>
      <c r="U3306" s="2" t="s">
        <v>39</v>
      </c>
      <c r="V3306" s="2" t="s">
        <v>40</v>
      </c>
      <c r="W3306" s="2" t="s">
        <v>14682</v>
      </c>
      <c r="X3306" s="2"/>
      <c r="Y3306" s="2"/>
      <c r="Z3306" s="2"/>
      <c r="AA3306" s="2" t="s">
        <v>375</v>
      </c>
      <c r="AB3306" s="2" t="s">
        <v>376</v>
      </c>
      <c r="AC3306" s="4" t="s">
        <v>44</v>
      </c>
    </row>
    <row r="3307" spans="1:29" x14ac:dyDescent="0.25">
      <c r="A3307" s="1">
        <v>2842</v>
      </c>
      <c r="B3307" s="17" t="s">
        <v>14683</v>
      </c>
      <c r="C3307" s="2" t="s">
        <v>14684</v>
      </c>
      <c r="D3307" s="15" t="s">
        <v>14685</v>
      </c>
      <c r="E3307" s="9" t="s">
        <v>541</v>
      </c>
      <c r="F3307" s="9" t="s">
        <v>3705</v>
      </c>
      <c r="G3307" s="9" t="s">
        <v>14549</v>
      </c>
      <c r="H3307" s="2" t="s">
        <v>60</v>
      </c>
      <c r="I3307" s="3">
        <v>37114</v>
      </c>
      <c r="J3307" s="9" t="str">
        <f t="shared" ca="1" si="54"/>
        <v>22 ans</v>
      </c>
      <c r="K3307" s="2" t="s">
        <v>156</v>
      </c>
      <c r="L3307" s="2" t="str">
        <f>"1281"</f>
        <v>1281</v>
      </c>
      <c r="M3307" s="2"/>
      <c r="N3307" s="2" t="str">
        <f>"RUE GEORGE-VI"</f>
        <v>RUE GEORGE-VI</v>
      </c>
      <c r="O3307" s="2" t="s">
        <v>14661</v>
      </c>
      <c r="P3307" s="9" t="str">
        <f>VLOOKUP($O3307,'Liste des Villes'!$B$2:$B$1128,1,FALSE)</f>
        <v>Mirabel</v>
      </c>
      <c r="Q3307" s="9" t="str">
        <f>IFERROR($P3307,PROPER(VLOOKUP($O3307,'Villes en erreur'!$A$2:$B$72,2,FALSE)))</f>
        <v>Mirabel</v>
      </c>
      <c r="R3307" s="9" t="s">
        <v>14662</v>
      </c>
      <c r="S3307" s="9" t="str">
        <f>IF(ISBLANK($R3307),"",VLOOKUP($R3307,'Liste des Villes'!$B$2:$H$1128,4,FALSE))</f>
        <v>Laurentides</v>
      </c>
      <c r="T3307" s="2" t="s">
        <v>14686</v>
      </c>
      <c r="U3307" s="2" t="s">
        <v>39</v>
      </c>
      <c r="V3307" s="2" t="s">
        <v>40</v>
      </c>
      <c r="W3307" s="2" t="s">
        <v>14687</v>
      </c>
      <c r="X3307" s="2"/>
      <c r="Y3307" s="2"/>
      <c r="Z3307" s="2"/>
      <c r="AA3307" s="2" t="s">
        <v>375</v>
      </c>
      <c r="AB3307" s="2" t="s">
        <v>376</v>
      </c>
      <c r="AC3307" s="4" t="s">
        <v>44</v>
      </c>
    </row>
    <row r="3308" spans="1:29" x14ac:dyDescent="0.25">
      <c r="A3308" s="1">
        <v>2460</v>
      </c>
      <c r="B3308" s="17" t="s">
        <v>14688</v>
      </c>
      <c r="C3308" s="2" t="s">
        <v>2542</v>
      </c>
      <c r="D3308" s="15" t="s">
        <v>34</v>
      </c>
      <c r="E3308" s="9" t="s">
        <v>341</v>
      </c>
      <c r="F3308" s="9" t="s">
        <v>782</v>
      </c>
      <c r="G3308" s="9" t="s">
        <v>743</v>
      </c>
      <c r="H3308" s="2" t="s">
        <v>60</v>
      </c>
      <c r="I3308" s="3">
        <v>37173</v>
      </c>
      <c r="J3308" s="9" t="str">
        <f t="shared" ca="1" si="54"/>
        <v>21 ans</v>
      </c>
      <c r="K3308" s="2" t="s">
        <v>156</v>
      </c>
      <c r="L3308" s="2" t="str">
        <f>"1619"</f>
        <v>1619</v>
      </c>
      <c r="M3308" s="2"/>
      <c r="N3308" s="2" t="str">
        <f>"RUE JONATHAN"</f>
        <v>RUE JONATHAN</v>
      </c>
      <c r="O3308" s="2" t="s">
        <v>14661</v>
      </c>
      <c r="P3308" s="9" t="str">
        <f>VLOOKUP($O3308,'Liste des Villes'!$B$2:$B$1128,1,FALSE)</f>
        <v>Mirabel</v>
      </c>
      <c r="Q3308" s="9" t="str">
        <f>IFERROR($P3308,PROPER(VLOOKUP($O3308,'Villes en erreur'!$A$2:$B$72,2,FALSE)))</f>
        <v>Mirabel</v>
      </c>
      <c r="R3308" s="9" t="s">
        <v>14662</v>
      </c>
      <c r="S3308" s="9" t="str">
        <f>IF(ISBLANK($R3308),"",VLOOKUP($R3308,'Liste des Villes'!$B$2:$H$1128,4,FALSE))</f>
        <v>Laurentides</v>
      </c>
      <c r="T3308" s="2" t="s">
        <v>14689</v>
      </c>
      <c r="U3308" s="2" t="s">
        <v>39</v>
      </c>
      <c r="V3308" s="2" t="s">
        <v>40</v>
      </c>
      <c r="W3308" s="2" t="s">
        <v>14690</v>
      </c>
      <c r="X3308" s="2"/>
      <c r="Y3308" s="2"/>
      <c r="Z3308" s="2"/>
      <c r="AA3308" s="2" t="s">
        <v>708</v>
      </c>
      <c r="AB3308" s="2" t="s">
        <v>14669</v>
      </c>
      <c r="AC3308" s="4" t="s">
        <v>44</v>
      </c>
    </row>
    <row r="3309" spans="1:29" x14ac:dyDescent="0.25">
      <c r="A3309" s="1">
        <v>1727</v>
      </c>
      <c r="B3309" s="17" t="s">
        <v>14691</v>
      </c>
      <c r="C3309" s="2" t="s">
        <v>14692</v>
      </c>
      <c r="D3309" s="15" t="s">
        <v>3683</v>
      </c>
      <c r="E3309" s="9" t="s">
        <v>539</v>
      </c>
      <c r="F3309" s="9" t="s">
        <v>540</v>
      </c>
      <c r="G3309" s="9" t="s">
        <v>12606</v>
      </c>
      <c r="H3309" s="2" t="s">
        <v>35</v>
      </c>
      <c r="I3309" s="3">
        <v>37127</v>
      </c>
      <c r="J3309" s="9" t="str">
        <f t="shared" ca="1" si="54"/>
        <v>22 ans</v>
      </c>
      <c r="K3309" s="2" t="s">
        <v>156</v>
      </c>
      <c r="L3309" s="2" t="str">
        <f>"1335"</f>
        <v>1335</v>
      </c>
      <c r="M3309" s="2"/>
      <c r="N3309" s="2" t="str">
        <f>"RUE GUAY"</f>
        <v>RUE GUAY</v>
      </c>
      <c r="O3309" s="2" t="s">
        <v>14662</v>
      </c>
      <c r="P3309" s="9" t="str">
        <f>VLOOKUP($O3309,'Liste des Villes'!$B$2:$B$1128,1,FALSE)</f>
        <v>Mirabel</v>
      </c>
      <c r="Q3309" s="9" t="str">
        <f>IFERROR($P3309,PROPER(VLOOKUP($O3309,'Villes en erreur'!$A$2:$B$72,2,FALSE)))</f>
        <v>Mirabel</v>
      </c>
      <c r="R3309" s="9" t="s">
        <v>14662</v>
      </c>
      <c r="S3309" s="9" t="str">
        <f>IF(ISBLANK($R3309),"",VLOOKUP($R3309,'Liste des Villes'!$B$2:$H$1128,4,FALSE))</f>
        <v>Laurentides</v>
      </c>
      <c r="T3309" s="2" t="s">
        <v>14693</v>
      </c>
      <c r="U3309" s="2" t="s">
        <v>39</v>
      </c>
      <c r="V3309" s="2" t="s">
        <v>40</v>
      </c>
      <c r="W3309" s="2" t="s">
        <v>14694</v>
      </c>
      <c r="X3309" s="2"/>
      <c r="Y3309" s="2"/>
      <c r="Z3309" s="2"/>
      <c r="AA3309" s="2" t="s">
        <v>375</v>
      </c>
      <c r="AB3309" s="2" t="s">
        <v>376</v>
      </c>
      <c r="AC3309" s="4" t="s">
        <v>44</v>
      </c>
    </row>
    <row r="3310" spans="1:29" x14ac:dyDescent="0.25">
      <c r="A3310" s="1">
        <v>957</v>
      </c>
      <c r="B3310" s="17" t="s">
        <v>14695</v>
      </c>
      <c r="C3310" s="2" t="s">
        <v>14696</v>
      </c>
      <c r="D3310" s="15" t="s">
        <v>3177</v>
      </c>
      <c r="E3310" s="9" t="s">
        <v>7925</v>
      </c>
      <c r="F3310" s="9" t="s">
        <v>14697</v>
      </c>
      <c r="G3310" s="9" t="s">
        <v>1091</v>
      </c>
      <c r="H3310" s="2" t="s">
        <v>60</v>
      </c>
      <c r="I3310" s="3">
        <v>37209</v>
      </c>
      <c r="J3310" s="9" t="str">
        <f t="shared" ca="1" si="54"/>
        <v>21 ans</v>
      </c>
      <c r="K3310" s="2" t="s">
        <v>262</v>
      </c>
      <c r="L3310" s="2" t="str">
        <f>"1842"</f>
        <v>1842</v>
      </c>
      <c r="M3310" s="2"/>
      <c r="N3310" s="2" t="str">
        <f>"RUE LAJEUNESSE"</f>
        <v>RUE LAJEUNESSE</v>
      </c>
      <c r="O3310" s="2" t="s">
        <v>14661</v>
      </c>
      <c r="P3310" s="9" t="str">
        <f>VLOOKUP($O3310,'Liste des Villes'!$B$2:$B$1128,1,FALSE)</f>
        <v>Mirabel</v>
      </c>
      <c r="Q3310" s="9" t="str">
        <f>IFERROR($P3310,PROPER(VLOOKUP($O3310,'Villes en erreur'!$A$2:$B$72,2,FALSE)))</f>
        <v>Mirabel</v>
      </c>
      <c r="R3310" s="9" t="s">
        <v>14662</v>
      </c>
      <c r="S3310" s="9" t="str">
        <f>IF(ISBLANK($R3310),"",VLOOKUP($R3310,'Liste des Villes'!$B$2:$H$1128,4,FALSE))</f>
        <v>Laurentides</v>
      </c>
      <c r="T3310" s="2" t="s">
        <v>14698</v>
      </c>
      <c r="U3310" s="2" t="s">
        <v>39</v>
      </c>
      <c r="V3310" s="2" t="s">
        <v>40</v>
      </c>
      <c r="W3310" s="2" t="s">
        <v>14699</v>
      </c>
      <c r="X3310" s="2"/>
      <c r="Y3310" s="2"/>
      <c r="Z3310" s="2"/>
      <c r="AA3310" s="2" t="s">
        <v>708</v>
      </c>
      <c r="AB3310" s="2" t="s">
        <v>14669</v>
      </c>
      <c r="AC3310" s="4" t="s">
        <v>44</v>
      </c>
    </row>
    <row r="3311" spans="1:29" x14ac:dyDescent="0.25">
      <c r="A3311" s="1">
        <v>2916</v>
      </c>
      <c r="B3311" s="17" t="s">
        <v>14700</v>
      </c>
      <c r="C3311" s="2" t="s">
        <v>14701</v>
      </c>
      <c r="D3311" s="15" t="s">
        <v>3729</v>
      </c>
      <c r="E3311" s="9" t="s">
        <v>10875</v>
      </c>
      <c r="F3311" s="9" t="s">
        <v>47</v>
      </c>
      <c r="G3311" s="9" t="s">
        <v>4760</v>
      </c>
      <c r="H3311" s="2" t="s">
        <v>60</v>
      </c>
      <c r="I3311" s="3">
        <v>37113</v>
      </c>
      <c r="J3311" s="9" t="str">
        <f t="shared" ca="1" si="54"/>
        <v>22 ans</v>
      </c>
      <c r="K3311" s="2" t="s">
        <v>156</v>
      </c>
      <c r="L3311" s="2" t="str">
        <f>"1278"</f>
        <v>1278</v>
      </c>
      <c r="M3311" s="2"/>
      <c r="N3311" s="2" t="str">
        <f>"RUE GEORGE-HERIOT"</f>
        <v>RUE GEORGE-HERIOT</v>
      </c>
      <c r="O3311" s="2" t="s">
        <v>14661</v>
      </c>
      <c r="P3311" s="9" t="str">
        <f>VLOOKUP($O3311,'Liste des Villes'!$B$2:$B$1128,1,FALSE)</f>
        <v>Mirabel</v>
      </c>
      <c r="Q3311" s="9" t="str">
        <f>IFERROR($P3311,PROPER(VLOOKUP($O3311,'Villes en erreur'!$A$2:$B$72,2,FALSE)))</f>
        <v>Mirabel</v>
      </c>
      <c r="R3311" s="9" t="s">
        <v>14662</v>
      </c>
      <c r="S3311" s="9" t="str">
        <f>IF(ISBLANK($R3311),"",VLOOKUP($R3311,'Liste des Villes'!$B$2:$H$1128,4,FALSE))</f>
        <v>Laurentides</v>
      </c>
      <c r="T3311" s="2" t="s">
        <v>14702</v>
      </c>
      <c r="U3311" s="2" t="s">
        <v>39</v>
      </c>
      <c r="V3311" s="2" t="s">
        <v>40</v>
      </c>
      <c r="W3311" s="2" t="s">
        <v>14703</v>
      </c>
      <c r="X3311" s="2"/>
      <c r="Y3311" s="2"/>
      <c r="Z3311" s="2"/>
      <c r="AA3311" s="2" t="s">
        <v>375</v>
      </c>
      <c r="AB3311" s="2" t="s">
        <v>376</v>
      </c>
      <c r="AC3311" s="4" t="s">
        <v>44</v>
      </c>
    </row>
    <row r="3312" spans="1:29" x14ac:dyDescent="0.25">
      <c r="A3312" s="1">
        <v>42</v>
      </c>
      <c r="B3312" s="17" t="s">
        <v>14704</v>
      </c>
      <c r="C3312" s="2" t="s">
        <v>14705</v>
      </c>
      <c r="D3312" s="15" t="s">
        <v>11801</v>
      </c>
      <c r="E3312" s="9" t="s">
        <v>3668</v>
      </c>
      <c r="F3312" s="9" t="s">
        <v>11800</v>
      </c>
      <c r="G3312" s="9" t="s">
        <v>11938</v>
      </c>
      <c r="H3312" s="2" t="s">
        <v>60</v>
      </c>
      <c r="I3312" s="3">
        <v>37098</v>
      </c>
      <c r="J3312" s="9" t="str">
        <f t="shared" ca="1" si="54"/>
        <v>22 ans</v>
      </c>
      <c r="K3312" s="2" t="s">
        <v>156</v>
      </c>
      <c r="L3312" s="2" t="str">
        <f>"1227"</f>
        <v>1227</v>
      </c>
      <c r="M3312" s="2"/>
      <c r="N3312" s="2" t="str">
        <f>"RUE FOURNIER"</f>
        <v>RUE FOURNIER</v>
      </c>
      <c r="O3312" s="2" t="s">
        <v>14661</v>
      </c>
      <c r="P3312" s="9" t="str">
        <f>VLOOKUP($O3312,'Liste des Villes'!$B$2:$B$1128,1,FALSE)</f>
        <v>Mirabel</v>
      </c>
      <c r="Q3312" s="9" t="str">
        <f>IFERROR($P3312,PROPER(VLOOKUP($O3312,'Villes en erreur'!$A$2:$B$72,2,FALSE)))</f>
        <v>Mirabel</v>
      </c>
      <c r="R3312" s="9" t="s">
        <v>14662</v>
      </c>
      <c r="S3312" s="9" t="str">
        <f>IF(ISBLANK($R3312),"",VLOOKUP($R3312,'Liste des Villes'!$B$2:$H$1128,4,FALSE))</f>
        <v>Laurentides</v>
      </c>
      <c r="T3312" s="2" t="s">
        <v>14706</v>
      </c>
      <c r="U3312" s="2" t="s">
        <v>39</v>
      </c>
      <c r="V3312" s="2" t="s">
        <v>40</v>
      </c>
      <c r="W3312" s="2" t="s">
        <v>14707</v>
      </c>
      <c r="X3312" s="2"/>
      <c r="Y3312" s="2"/>
      <c r="Z3312" s="2"/>
      <c r="AA3312" s="2" t="s">
        <v>375</v>
      </c>
      <c r="AB3312" s="2" t="s">
        <v>376</v>
      </c>
      <c r="AC3312" s="4" t="s">
        <v>44</v>
      </c>
    </row>
    <row r="3313" spans="1:29" x14ac:dyDescent="0.25">
      <c r="A3313" s="1">
        <v>3925</v>
      </c>
      <c r="B3313" s="17" t="s">
        <v>14708</v>
      </c>
      <c r="C3313" s="2" t="s">
        <v>6516</v>
      </c>
      <c r="D3313" s="15" t="s">
        <v>584</v>
      </c>
      <c r="E3313" s="9" t="s">
        <v>305</v>
      </c>
      <c r="F3313" s="9" t="s">
        <v>582</v>
      </c>
      <c r="G3313" s="9" t="s">
        <v>14709</v>
      </c>
      <c r="H3313" s="2" t="s">
        <v>60</v>
      </c>
      <c r="I3313" s="3">
        <v>37112</v>
      </c>
      <c r="J3313" s="9" t="str">
        <f t="shared" ca="1" si="54"/>
        <v>22 ans</v>
      </c>
      <c r="K3313" s="2" t="s">
        <v>156</v>
      </c>
      <c r="L3313" s="2" t="str">
        <f>"1274"</f>
        <v>1274</v>
      </c>
      <c r="M3313" s="2"/>
      <c r="N3313" s="2" t="str">
        <f>"RUE GAUTHIER"</f>
        <v>RUE GAUTHIER</v>
      </c>
      <c r="O3313" s="2" t="s">
        <v>14661</v>
      </c>
      <c r="P3313" s="9" t="str">
        <f>VLOOKUP($O3313,'Liste des Villes'!$B$2:$B$1128,1,FALSE)</f>
        <v>Mirabel</v>
      </c>
      <c r="Q3313" s="9" t="str">
        <f>IFERROR($P3313,PROPER(VLOOKUP($O3313,'Villes en erreur'!$A$2:$B$72,2,FALSE)))</f>
        <v>Mirabel</v>
      </c>
      <c r="R3313" s="9" t="s">
        <v>14662</v>
      </c>
      <c r="S3313" s="9" t="str">
        <f>IF(ISBLANK($R3313),"",VLOOKUP($R3313,'Liste des Villes'!$B$2:$H$1128,4,FALSE))</f>
        <v>Laurentides</v>
      </c>
      <c r="T3313" s="2" t="s">
        <v>14710</v>
      </c>
      <c r="U3313" s="2" t="s">
        <v>39</v>
      </c>
      <c r="V3313" s="2" t="s">
        <v>40</v>
      </c>
      <c r="W3313" s="2" t="s">
        <v>14711</v>
      </c>
      <c r="X3313" s="2"/>
      <c r="Y3313" s="2"/>
      <c r="Z3313" s="2"/>
      <c r="AA3313" s="2" t="s">
        <v>375</v>
      </c>
      <c r="AB3313" s="2" t="s">
        <v>376</v>
      </c>
      <c r="AC3313" s="4" t="s">
        <v>44</v>
      </c>
    </row>
    <row r="3314" spans="1:29" x14ac:dyDescent="0.25">
      <c r="A3314" s="1">
        <v>1029</v>
      </c>
      <c r="B3314" s="17" t="s">
        <v>14712</v>
      </c>
      <c r="C3314" s="2" t="s">
        <v>14713</v>
      </c>
      <c r="D3314" s="15" t="s">
        <v>6578</v>
      </c>
      <c r="E3314" s="9" t="s">
        <v>1996</v>
      </c>
      <c r="F3314" s="9" t="s">
        <v>6577</v>
      </c>
      <c r="G3314" s="9" t="s">
        <v>4557</v>
      </c>
      <c r="H3314" s="2" t="s">
        <v>60</v>
      </c>
      <c r="I3314" s="3">
        <v>37206</v>
      </c>
      <c r="J3314" s="9" t="str">
        <f t="shared" ca="1" si="54"/>
        <v>21 ans</v>
      </c>
      <c r="K3314" s="2" t="s">
        <v>262</v>
      </c>
      <c r="L3314" s="2" t="str">
        <f>"1794"</f>
        <v>1794</v>
      </c>
      <c r="M3314" s="2"/>
      <c r="N3314" s="2" t="str">
        <f>"RUE LADOUCEUR"</f>
        <v>RUE LADOUCEUR</v>
      </c>
      <c r="O3314" s="2" t="s">
        <v>14661</v>
      </c>
      <c r="P3314" s="9" t="str">
        <f>VLOOKUP($O3314,'Liste des Villes'!$B$2:$B$1128,1,FALSE)</f>
        <v>Mirabel</v>
      </c>
      <c r="Q3314" s="9" t="str">
        <f>IFERROR($P3314,PROPER(VLOOKUP($O3314,'Villes en erreur'!$A$2:$B$72,2,FALSE)))</f>
        <v>Mirabel</v>
      </c>
      <c r="R3314" s="9" t="s">
        <v>14662</v>
      </c>
      <c r="S3314" s="9" t="str">
        <f>IF(ISBLANK($R3314),"",VLOOKUP($R3314,'Liste des Villes'!$B$2:$H$1128,4,FALSE))</f>
        <v>Laurentides</v>
      </c>
      <c r="T3314" s="2" t="s">
        <v>14714</v>
      </c>
      <c r="U3314" s="2" t="s">
        <v>39</v>
      </c>
      <c r="V3314" s="2" t="s">
        <v>40</v>
      </c>
      <c r="W3314" s="2" t="s">
        <v>14715</v>
      </c>
      <c r="X3314" s="2"/>
      <c r="Y3314" s="2"/>
      <c r="Z3314" s="2"/>
      <c r="AA3314" s="2" t="s">
        <v>708</v>
      </c>
      <c r="AB3314" s="2" t="s">
        <v>14669</v>
      </c>
      <c r="AC3314" s="4" t="s">
        <v>44</v>
      </c>
    </row>
    <row r="3315" spans="1:29" x14ac:dyDescent="0.25">
      <c r="A3315" s="1">
        <v>214</v>
      </c>
      <c r="B3315" s="17" t="s">
        <v>14716</v>
      </c>
      <c r="C3315" s="2" t="s">
        <v>14717</v>
      </c>
      <c r="D3315" s="15" t="s">
        <v>218</v>
      </c>
      <c r="E3315" s="9" t="s">
        <v>2764</v>
      </c>
      <c r="F3315" s="9" t="s">
        <v>14718</v>
      </c>
      <c r="G3315" s="9" t="s">
        <v>11938</v>
      </c>
      <c r="H3315" s="2" t="s">
        <v>60</v>
      </c>
      <c r="I3315" s="3">
        <v>37098</v>
      </c>
      <c r="J3315" s="9" t="str">
        <f t="shared" ca="1" si="54"/>
        <v>22 ans</v>
      </c>
      <c r="K3315" s="2" t="s">
        <v>156</v>
      </c>
      <c r="L3315" s="2" t="str">
        <f>"1224"</f>
        <v>1224</v>
      </c>
      <c r="M3315" s="2"/>
      <c r="N3315" s="2" t="str">
        <f>"RUE FOURNIER"</f>
        <v>RUE FOURNIER</v>
      </c>
      <c r="O3315" s="2" t="s">
        <v>14661</v>
      </c>
      <c r="P3315" s="9" t="str">
        <f>VLOOKUP($O3315,'Liste des Villes'!$B$2:$B$1128,1,FALSE)</f>
        <v>Mirabel</v>
      </c>
      <c r="Q3315" s="9" t="str">
        <f>IFERROR($P3315,PROPER(VLOOKUP($O3315,'Villes en erreur'!$A$2:$B$72,2,FALSE)))</f>
        <v>Mirabel</v>
      </c>
      <c r="R3315" s="9" t="s">
        <v>14662</v>
      </c>
      <c r="S3315" s="9" t="str">
        <f>IF(ISBLANK($R3315),"",VLOOKUP($R3315,'Liste des Villes'!$B$2:$H$1128,4,FALSE))</f>
        <v>Laurentides</v>
      </c>
      <c r="T3315" s="2" t="s">
        <v>14719</v>
      </c>
      <c r="U3315" s="2" t="s">
        <v>39</v>
      </c>
      <c r="V3315" s="2" t="s">
        <v>40</v>
      </c>
      <c r="W3315" s="2" t="s">
        <v>14720</v>
      </c>
      <c r="X3315" s="2"/>
      <c r="Y3315" s="2"/>
      <c r="Z3315" s="2"/>
      <c r="AA3315" s="2" t="s">
        <v>375</v>
      </c>
      <c r="AB3315" s="2" t="s">
        <v>376</v>
      </c>
      <c r="AC3315" s="4" t="s">
        <v>44</v>
      </c>
    </row>
    <row r="3316" spans="1:29" x14ac:dyDescent="0.25">
      <c r="A3316" s="1">
        <v>3864</v>
      </c>
      <c r="B3316" s="17" t="s">
        <v>14721</v>
      </c>
      <c r="C3316" s="2" t="s">
        <v>2836</v>
      </c>
      <c r="D3316" s="15" t="s">
        <v>2837</v>
      </c>
      <c r="E3316" s="9" t="s">
        <v>509</v>
      </c>
      <c r="F3316" s="9" t="s">
        <v>1068</v>
      </c>
      <c r="G3316" s="9" t="s">
        <v>6315</v>
      </c>
      <c r="H3316" s="2" t="s">
        <v>35</v>
      </c>
      <c r="I3316" s="3">
        <v>37183</v>
      </c>
      <c r="J3316" s="9" t="str">
        <f t="shared" ca="1" si="54"/>
        <v>21 ans</v>
      </c>
      <c r="K3316" s="2" t="s">
        <v>262</v>
      </c>
      <c r="L3316" s="2" t="str">
        <f>"1695"</f>
        <v>1695</v>
      </c>
      <c r="M3316" s="2"/>
      <c r="N3316" s="2" t="str">
        <f>"RUE KENNA"</f>
        <v>RUE KENNA</v>
      </c>
      <c r="O3316" s="2" t="s">
        <v>14661</v>
      </c>
      <c r="P3316" s="9" t="str">
        <f>VLOOKUP($O3316,'Liste des Villes'!$B$2:$B$1128,1,FALSE)</f>
        <v>Mirabel</v>
      </c>
      <c r="Q3316" s="9" t="str">
        <f>IFERROR($P3316,PROPER(VLOOKUP($O3316,'Villes en erreur'!$A$2:$B$72,2,FALSE)))</f>
        <v>Mirabel</v>
      </c>
      <c r="R3316" s="9" t="s">
        <v>14662</v>
      </c>
      <c r="S3316" s="9" t="str">
        <f>IF(ISBLANK($R3316),"",VLOOKUP($R3316,'Liste des Villes'!$B$2:$H$1128,4,FALSE))</f>
        <v>Laurentides</v>
      </c>
      <c r="T3316" s="2" t="s">
        <v>14722</v>
      </c>
      <c r="U3316" s="2" t="s">
        <v>39</v>
      </c>
      <c r="V3316" s="2" t="s">
        <v>40</v>
      </c>
      <c r="W3316" s="2" t="s">
        <v>14723</v>
      </c>
      <c r="X3316" s="2"/>
      <c r="Y3316" s="2"/>
      <c r="Z3316" s="2"/>
      <c r="AA3316" s="2" t="s">
        <v>708</v>
      </c>
      <c r="AB3316" s="2" t="s">
        <v>14669</v>
      </c>
      <c r="AC3316" s="4" t="s">
        <v>44</v>
      </c>
    </row>
    <row r="3317" spans="1:29" x14ac:dyDescent="0.25">
      <c r="A3317" s="1">
        <v>2567</v>
      </c>
      <c r="B3317" s="17" t="s">
        <v>14724</v>
      </c>
      <c r="C3317" s="2" t="s">
        <v>10929</v>
      </c>
      <c r="D3317" s="15" t="s">
        <v>6023</v>
      </c>
      <c r="E3317" s="9" t="s">
        <v>635</v>
      </c>
      <c r="F3317" s="9" t="s">
        <v>6022</v>
      </c>
      <c r="G3317" s="9" t="s">
        <v>1004</v>
      </c>
      <c r="H3317" s="2" t="s">
        <v>60</v>
      </c>
      <c r="I3317" s="3">
        <v>37105</v>
      </c>
      <c r="J3317" s="9" t="str">
        <f t="shared" ca="1" si="54"/>
        <v>22 ans</v>
      </c>
      <c r="K3317" s="2" t="s">
        <v>156</v>
      </c>
      <c r="L3317" s="2" t="str">
        <f>"1248"</f>
        <v>1248</v>
      </c>
      <c r="M3317" s="2"/>
      <c r="N3317" s="2" t="str">
        <f>"RUE GAGNON"</f>
        <v>RUE GAGNON</v>
      </c>
      <c r="O3317" s="2" t="s">
        <v>14661</v>
      </c>
      <c r="P3317" s="9" t="str">
        <f>VLOOKUP($O3317,'Liste des Villes'!$B$2:$B$1128,1,FALSE)</f>
        <v>Mirabel</v>
      </c>
      <c r="Q3317" s="9" t="str">
        <f>IFERROR($P3317,PROPER(VLOOKUP($O3317,'Villes en erreur'!$A$2:$B$72,2,FALSE)))</f>
        <v>Mirabel</v>
      </c>
      <c r="R3317" s="9" t="s">
        <v>14662</v>
      </c>
      <c r="S3317" s="9" t="str">
        <f>IF(ISBLANK($R3317),"",VLOOKUP($R3317,'Liste des Villes'!$B$2:$H$1128,4,FALSE))</f>
        <v>Laurentides</v>
      </c>
      <c r="T3317" s="2" t="s">
        <v>14725</v>
      </c>
      <c r="U3317" s="2" t="s">
        <v>39</v>
      </c>
      <c r="V3317" s="2" t="s">
        <v>40</v>
      </c>
      <c r="W3317" s="2" t="s">
        <v>14726</v>
      </c>
      <c r="X3317" s="2"/>
      <c r="Y3317" s="2"/>
      <c r="Z3317" s="2"/>
      <c r="AA3317" s="2" t="s">
        <v>375</v>
      </c>
      <c r="AB3317" s="2" t="s">
        <v>376</v>
      </c>
      <c r="AC3317" s="4" t="s">
        <v>44</v>
      </c>
    </row>
    <row r="3318" spans="1:29" x14ac:dyDescent="0.25">
      <c r="A3318" s="1">
        <v>4329</v>
      </c>
      <c r="B3318" s="17" t="s">
        <v>14727</v>
      </c>
      <c r="C3318" s="2" t="s">
        <v>410</v>
      </c>
      <c r="D3318" s="15" t="s">
        <v>411</v>
      </c>
      <c r="E3318" s="9" t="s">
        <v>85</v>
      </c>
      <c r="F3318" s="9" t="s">
        <v>2291</v>
      </c>
      <c r="G3318" s="9" t="s">
        <v>1212</v>
      </c>
      <c r="H3318" s="2" t="s">
        <v>60</v>
      </c>
      <c r="I3318" s="3">
        <v>37096</v>
      </c>
      <c r="J3318" s="9" t="str">
        <f t="shared" ca="1" si="54"/>
        <v>22 ans</v>
      </c>
      <c r="K3318" s="2" t="s">
        <v>156</v>
      </c>
      <c r="L3318" s="2" t="str">
        <f>"1212"</f>
        <v>1212</v>
      </c>
      <c r="M3318" s="2"/>
      <c r="N3318" s="2" t="str">
        <f>"RUE FOURNIER"</f>
        <v>RUE FOURNIER</v>
      </c>
      <c r="O3318" s="2" t="s">
        <v>14661</v>
      </c>
      <c r="P3318" s="9" t="str">
        <f>VLOOKUP($O3318,'Liste des Villes'!$B$2:$B$1128,1,FALSE)</f>
        <v>Mirabel</v>
      </c>
      <c r="Q3318" s="9" t="str">
        <f>IFERROR($P3318,PROPER(VLOOKUP($O3318,'Villes en erreur'!$A$2:$B$72,2,FALSE)))</f>
        <v>Mirabel</v>
      </c>
      <c r="R3318" s="9" t="s">
        <v>14662</v>
      </c>
      <c r="S3318" s="9" t="str">
        <f>IF(ISBLANK($R3318),"",VLOOKUP($R3318,'Liste des Villes'!$B$2:$H$1128,4,FALSE))</f>
        <v>Laurentides</v>
      </c>
      <c r="T3318" s="2" t="s">
        <v>14728</v>
      </c>
      <c r="U3318" s="2" t="s">
        <v>39</v>
      </c>
      <c r="V3318" s="2" t="s">
        <v>40</v>
      </c>
      <c r="W3318" s="2" t="s">
        <v>14729</v>
      </c>
      <c r="X3318" s="2"/>
      <c r="Y3318" s="2"/>
      <c r="Z3318" s="2"/>
      <c r="AA3318" s="2" t="s">
        <v>375</v>
      </c>
      <c r="AB3318" s="2" t="s">
        <v>376</v>
      </c>
      <c r="AC3318" s="4" t="s">
        <v>44</v>
      </c>
    </row>
    <row r="3319" spans="1:29" x14ac:dyDescent="0.25">
      <c r="A3319" s="1">
        <v>4084</v>
      </c>
      <c r="B3319" s="17" t="s">
        <v>14730</v>
      </c>
      <c r="C3319" s="2" t="s">
        <v>3169</v>
      </c>
      <c r="D3319" s="15" t="s">
        <v>3170</v>
      </c>
      <c r="E3319" s="9" t="s">
        <v>3171</v>
      </c>
      <c r="F3319" s="9" t="s">
        <v>6503</v>
      </c>
      <c r="G3319" s="9" t="s">
        <v>10675</v>
      </c>
      <c r="H3319" s="2" t="s">
        <v>60</v>
      </c>
      <c r="I3319" s="3">
        <v>37167</v>
      </c>
      <c r="J3319" s="9" t="str">
        <f t="shared" ca="1" si="54"/>
        <v>21 ans</v>
      </c>
      <c r="K3319" s="2" t="s">
        <v>156</v>
      </c>
      <c r="L3319" s="2" t="str">
        <f>"1562"</f>
        <v>1562</v>
      </c>
      <c r="M3319" s="2"/>
      <c r="N3319" s="2" t="str">
        <f>"RUE JEAN-PAUL-RIOPELLE"</f>
        <v>RUE JEAN-PAUL-RIOPELLE</v>
      </c>
      <c r="O3319" s="2" t="s">
        <v>14661</v>
      </c>
      <c r="P3319" s="9" t="str">
        <f>VLOOKUP($O3319,'Liste des Villes'!$B$2:$B$1128,1,FALSE)</f>
        <v>Mirabel</v>
      </c>
      <c r="Q3319" s="9" t="str">
        <f>IFERROR($P3319,PROPER(VLOOKUP($O3319,'Villes en erreur'!$A$2:$B$72,2,FALSE)))</f>
        <v>Mirabel</v>
      </c>
      <c r="R3319" s="9" t="s">
        <v>14662</v>
      </c>
      <c r="S3319" s="9" t="str">
        <f>IF(ISBLANK($R3319),"",VLOOKUP($R3319,'Liste des Villes'!$B$2:$H$1128,4,FALSE))</f>
        <v>Laurentides</v>
      </c>
      <c r="T3319" s="2" t="s">
        <v>14731</v>
      </c>
      <c r="U3319" s="2" t="s">
        <v>39</v>
      </c>
      <c r="V3319" s="2" t="s">
        <v>40</v>
      </c>
      <c r="W3319" s="2" t="s">
        <v>14732</v>
      </c>
      <c r="X3319" s="2"/>
      <c r="Y3319" s="2"/>
      <c r="Z3319" s="2"/>
      <c r="AA3319" s="2" t="s">
        <v>708</v>
      </c>
      <c r="AB3319" s="2" t="s">
        <v>376</v>
      </c>
      <c r="AC3319" s="4" t="s">
        <v>44</v>
      </c>
    </row>
    <row r="3320" spans="1:29" x14ac:dyDescent="0.25">
      <c r="A3320" s="1">
        <v>2868</v>
      </c>
      <c r="B3320" s="17" t="s">
        <v>14733</v>
      </c>
      <c r="C3320" s="2" t="s">
        <v>14734</v>
      </c>
      <c r="D3320" s="15" t="s">
        <v>4774</v>
      </c>
      <c r="E3320" s="9" t="s">
        <v>1410</v>
      </c>
      <c r="F3320" s="9" t="s">
        <v>4773</v>
      </c>
      <c r="G3320" s="9" t="s">
        <v>1924</v>
      </c>
      <c r="H3320" s="2" t="s">
        <v>35</v>
      </c>
      <c r="I3320" s="3">
        <v>37196</v>
      </c>
      <c r="J3320" s="9" t="str">
        <f t="shared" ca="1" si="54"/>
        <v>21 ans</v>
      </c>
      <c r="K3320" s="2" t="s">
        <v>262</v>
      </c>
      <c r="L3320" s="2" t="str">
        <f>"1736"</f>
        <v>1736</v>
      </c>
      <c r="M3320" s="2"/>
      <c r="N3320" s="2" t="str">
        <f>"RUE LABELLE"</f>
        <v>RUE LABELLE</v>
      </c>
      <c r="O3320" s="2" t="s">
        <v>14661</v>
      </c>
      <c r="P3320" s="9" t="str">
        <f>VLOOKUP($O3320,'Liste des Villes'!$B$2:$B$1128,1,FALSE)</f>
        <v>Mirabel</v>
      </c>
      <c r="Q3320" s="9" t="str">
        <f>IFERROR($P3320,PROPER(VLOOKUP($O3320,'Villes en erreur'!$A$2:$B$72,2,FALSE)))</f>
        <v>Mirabel</v>
      </c>
      <c r="R3320" s="9" t="s">
        <v>14662</v>
      </c>
      <c r="S3320" s="9" t="str">
        <f>IF(ISBLANK($R3320),"",VLOOKUP($R3320,'Liste des Villes'!$B$2:$H$1128,4,FALSE))</f>
        <v>Laurentides</v>
      </c>
      <c r="T3320" s="2" t="s">
        <v>14735</v>
      </c>
      <c r="U3320" s="2" t="s">
        <v>39</v>
      </c>
      <c r="V3320" s="2" t="s">
        <v>40</v>
      </c>
      <c r="W3320" s="2" t="s">
        <v>14736</v>
      </c>
      <c r="X3320" s="2"/>
      <c r="Y3320" s="2"/>
      <c r="Z3320" s="2"/>
      <c r="AA3320" s="2" t="s">
        <v>708</v>
      </c>
      <c r="AB3320" s="2" t="s">
        <v>14669</v>
      </c>
      <c r="AC3320" s="4" t="s">
        <v>44</v>
      </c>
    </row>
    <row r="3321" spans="1:29" x14ac:dyDescent="0.25">
      <c r="A3321" s="1">
        <v>2983</v>
      </c>
      <c r="B3321" s="17" t="s">
        <v>14737</v>
      </c>
      <c r="C3321" s="2" t="s">
        <v>5766</v>
      </c>
      <c r="D3321" s="15" t="s">
        <v>33</v>
      </c>
      <c r="E3321" s="9" t="s">
        <v>5476</v>
      </c>
      <c r="F3321" s="9" t="s">
        <v>14738</v>
      </c>
      <c r="G3321" s="9" t="s">
        <v>3739</v>
      </c>
      <c r="H3321" s="2" t="s">
        <v>60</v>
      </c>
      <c r="I3321" s="3">
        <v>37146</v>
      </c>
      <c r="J3321" s="9" t="str">
        <f t="shared" ca="1" si="54"/>
        <v>21 ans</v>
      </c>
      <c r="K3321" s="2" t="s">
        <v>156</v>
      </c>
      <c r="L3321" s="2" t="str">
        <f>"1421"</f>
        <v>1421</v>
      </c>
      <c r="M3321" s="2"/>
      <c r="N3321" s="2" t="str">
        <f>"RUE ISAAC-JOGUES"</f>
        <v>RUE ISAAC-JOGUES</v>
      </c>
      <c r="O3321" s="2" t="s">
        <v>14661</v>
      </c>
      <c r="P3321" s="9" t="str">
        <f>VLOOKUP($O3321,'Liste des Villes'!$B$2:$B$1128,1,FALSE)</f>
        <v>Mirabel</v>
      </c>
      <c r="Q3321" s="9" t="str">
        <f>IFERROR($P3321,PROPER(VLOOKUP($O3321,'Villes en erreur'!$A$2:$B$72,2,FALSE)))</f>
        <v>Mirabel</v>
      </c>
      <c r="R3321" s="9" t="s">
        <v>14662</v>
      </c>
      <c r="S3321" s="9" t="str">
        <f>IF(ISBLANK($R3321),"",VLOOKUP($R3321,'Liste des Villes'!$B$2:$H$1128,4,FALSE))</f>
        <v>Laurentides</v>
      </c>
      <c r="T3321" s="2" t="s">
        <v>14739</v>
      </c>
      <c r="U3321" s="2" t="s">
        <v>39</v>
      </c>
      <c r="V3321" s="2" t="s">
        <v>40</v>
      </c>
      <c r="W3321" s="2" t="s">
        <v>14740</v>
      </c>
      <c r="X3321" s="2"/>
      <c r="Y3321" s="2"/>
      <c r="Z3321" s="2"/>
      <c r="AA3321" s="2" t="s">
        <v>708</v>
      </c>
      <c r="AB3321" s="2" t="s">
        <v>376</v>
      </c>
      <c r="AC3321" s="4" t="s">
        <v>44</v>
      </c>
    </row>
    <row r="3322" spans="1:29" x14ac:dyDescent="0.25">
      <c r="A3322" s="1">
        <v>1718</v>
      </c>
      <c r="B3322" s="17" t="s">
        <v>14741</v>
      </c>
      <c r="C3322" s="2" t="s">
        <v>118</v>
      </c>
      <c r="D3322" s="15" t="s">
        <v>119</v>
      </c>
      <c r="E3322" s="9" t="s">
        <v>120</v>
      </c>
      <c r="F3322" s="9" t="s">
        <v>121</v>
      </c>
      <c r="G3322" s="9" t="s">
        <v>13803</v>
      </c>
      <c r="H3322" s="2" t="s">
        <v>60</v>
      </c>
      <c r="I3322" s="3">
        <v>37087</v>
      </c>
      <c r="J3322" s="9" t="str">
        <f t="shared" ca="1" si="54"/>
        <v>22 ans</v>
      </c>
      <c r="K3322" s="2" t="s">
        <v>156</v>
      </c>
      <c r="L3322" s="2" t="str">
        <f>"1190"</f>
        <v>1190</v>
      </c>
      <c r="M3322" s="2"/>
      <c r="N3322" s="2" t="str">
        <f>"RUE FILION"</f>
        <v>RUE FILION</v>
      </c>
      <c r="O3322" s="2" t="s">
        <v>14661</v>
      </c>
      <c r="P3322" s="9" t="str">
        <f>VLOOKUP($O3322,'Liste des Villes'!$B$2:$B$1128,1,FALSE)</f>
        <v>Mirabel</v>
      </c>
      <c r="Q3322" s="9" t="str">
        <f>IFERROR($P3322,PROPER(VLOOKUP($O3322,'Villes en erreur'!$A$2:$B$72,2,FALSE)))</f>
        <v>Mirabel</v>
      </c>
      <c r="R3322" s="9" t="s">
        <v>14662</v>
      </c>
      <c r="S3322" s="9" t="str">
        <f>IF(ISBLANK($R3322),"",VLOOKUP($R3322,'Liste des Villes'!$B$2:$H$1128,4,FALSE))</f>
        <v>Laurentides</v>
      </c>
      <c r="T3322" s="2" t="s">
        <v>14742</v>
      </c>
      <c r="U3322" s="2" t="s">
        <v>39</v>
      </c>
      <c r="V3322" s="2" t="s">
        <v>40</v>
      </c>
      <c r="W3322" s="2" t="s">
        <v>14743</v>
      </c>
      <c r="X3322" s="2"/>
      <c r="Y3322" s="2"/>
      <c r="Z3322" s="2"/>
      <c r="AA3322" s="2" t="s">
        <v>375</v>
      </c>
      <c r="AB3322" s="2" t="s">
        <v>376</v>
      </c>
      <c r="AC3322" s="4" t="s">
        <v>44</v>
      </c>
    </row>
    <row r="3323" spans="1:29" x14ac:dyDescent="0.25">
      <c r="A3323" s="1">
        <v>3035</v>
      </c>
      <c r="B3323" s="17" t="s">
        <v>14744</v>
      </c>
      <c r="C3323" s="2" t="s">
        <v>14745</v>
      </c>
      <c r="D3323" s="15" t="s">
        <v>782</v>
      </c>
      <c r="E3323" s="9" t="s">
        <v>2905</v>
      </c>
      <c r="F3323" s="9" t="s">
        <v>34</v>
      </c>
      <c r="G3323" s="9" t="s">
        <v>1702</v>
      </c>
      <c r="H3323" s="2" t="s">
        <v>35</v>
      </c>
      <c r="I3323" s="3">
        <v>37152</v>
      </c>
      <c r="J3323" s="9" t="str">
        <f t="shared" ca="1" si="54"/>
        <v>21 ans</v>
      </c>
      <c r="K3323" s="2" t="s">
        <v>156</v>
      </c>
      <c r="L3323" s="2" t="str">
        <f>"1458"</f>
        <v>1458</v>
      </c>
      <c r="M3323" s="2"/>
      <c r="N3323" s="2" t="str">
        <f>"RUE JACINTHE"</f>
        <v>RUE JACINTHE</v>
      </c>
      <c r="O3323" s="2" t="s">
        <v>14661</v>
      </c>
      <c r="P3323" s="9" t="str">
        <f>VLOOKUP($O3323,'Liste des Villes'!$B$2:$B$1128,1,FALSE)</f>
        <v>Mirabel</v>
      </c>
      <c r="Q3323" s="9" t="str">
        <f>IFERROR($P3323,PROPER(VLOOKUP($O3323,'Villes en erreur'!$A$2:$B$72,2,FALSE)))</f>
        <v>Mirabel</v>
      </c>
      <c r="R3323" s="9" t="s">
        <v>14662</v>
      </c>
      <c r="S3323" s="9" t="str">
        <f>IF(ISBLANK($R3323),"",VLOOKUP($R3323,'Liste des Villes'!$B$2:$H$1128,4,FALSE))</f>
        <v>Laurentides</v>
      </c>
      <c r="T3323" s="2" t="s">
        <v>14746</v>
      </c>
      <c r="U3323" s="2" t="s">
        <v>39</v>
      </c>
      <c r="V3323" s="2" t="s">
        <v>40</v>
      </c>
      <c r="W3323" s="2" t="s">
        <v>14747</v>
      </c>
      <c r="X3323" s="2"/>
      <c r="Y3323" s="2"/>
      <c r="Z3323" s="2"/>
      <c r="AA3323" s="2" t="s">
        <v>708</v>
      </c>
      <c r="AB3323" s="2" t="s">
        <v>376</v>
      </c>
      <c r="AC3323" s="4" t="s">
        <v>44</v>
      </c>
    </row>
    <row r="3324" spans="1:29" x14ac:dyDescent="0.25">
      <c r="A3324" s="1">
        <v>3943</v>
      </c>
      <c r="B3324" s="17" t="s">
        <v>14748</v>
      </c>
      <c r="C3324" s="2" t="s">
        <v>14749</v>
      </c>
      <c r="D3324" s="15" t="s">
        <v>14750</v>
      </c>
      <c r="E3324" s="9" t="s">
        <v>59</v>
      </c>
      <c r="F3324" s="9" t="s">
        <v>657</v>
      </c>
      <c r="G3324" s="9" t="s">
        <v>11195</v>
      </c>
      <c r="H3324" s="2" t="s">
        <v>60</v>
      </c>
      <c r="I3324" s="3">
        <v>37095</v>
      </c>
      <c r="J3324" s="9" t="str">
        <f t="shared" ca="1" si="54"/>
        <v>22 ans</v>
      </c>
      <c r="K3324" s="2" t="s">
        <v>156</v>
      </c>
      <c r="L3324" s="2" t="str">
        <f>"1210"</f>
        <v>1210</v>
      </c>
      <c r="M3324" s="2"/>
      <c r="N3324" s="2" t="str">
        <f>"RUE FOURNIER"</f>
        <v>RUE FOURNIER</v>
      </c>
      <c r="O3324" s="2" t="s">
        <v>14661</v>
      </c>
      <c r="P3324" s="9" t="str">
        <f>VLOOKUP($O3324,'Liste des Villes'!$B$2:$B$1128,1,FALSE)</f>
        <v>Mirabel</v>
      </c>
      <c r="Q3324" s="9" t="str">
        <f>IFERROR($P3324,PROPER(VLOOKUP($O3324,'Villes en erreur'!$A$2:$B$72,2,FALSE)))</f>
        <v>Mirabel</v>
      </c>
      <c r="R3324" s="9" t="s">
        <v>14662</v>
      </c>
      <c r="S3324" s="9" t="str">
        <f>IF(ISBLANK($R3324),"",VLOOKUP($R3324,'Liste des Villes'!$B$2:$H$1128,4,FALSE))</f>
        <v>Laurentides</v>
      </c>
      <c r="T3324" s="2" t="s">
        <v>14728</v>
      </c>
      <c r="U3324" s="2" t="s">
        <v>39</v>
      </c>
      <c r="V3324" s="2" t="s">
        <v>40</v>
      </c>
      <c r="W3324" s="2" t="s">
        <v>14751</v>
      </c>
      <c r="X3324" s="2"/>
      <c r="Y3324" s="2"/>
      <c r="Z3324" s="2"/>
      <c r="AA3324" s="2" t="s">
        <v>375</v>
      </c>
      <c r="AB3324" s="2" t="s">
        <v>376</v>
      </c>
      <c r="AC3324" s="4" t="s">
        <v>44</v>
      </c>
    </row>
    <row r="3325" spans="1:29" x14ac:dyDescent="0.25">
      <c r="A3325" s="1">
        <v>3760</v>
      </c>
      <c r="B3325" s="17" t="s">
        <v>14752</v>
      </c>
      <c r="C3325" s="2" t="s">
        <v>2354</v>
      </c>
      <c r="D3325" s="15" t="s">
        <v>582</v>
      </c>
      <c r="E3325" s="9" t="s">
        <v>2355</v>
      </c>
      <c r="F3325" s="9" t="s">
        <v>2001</v>
      </c>
      <c r="G3325" s="9" t="s">
        <v>7724</v>
      </c>
      <c r="H3325" s="2" t="s">
        <v>60</v>
      </c>
      <c r="I3325" s="3">
        <v>37088</v>
      </c>
      <c r="J3325" s="9" t="str">
        <f t="shared" ca="1" si="54"/>
        <v>22 ans</v>
      </c>
      <c r="K3325" s="2" t="s">
        <v>156</v>
      </c>
      <c r="L3325" s="2" t="str">
        <f>"1196"</f>
        <v>1196</v>
      </c>
      <c r="M3325" s="2"/>
      <c r="N3325" s="2" t="str">
        <f>"rue Forget"</f>
        <v>rue Forget</v>
      </c>
      <c r="O3325" s="2" t="s">
        <v>14661</v>
      </c>
      <c r="P3325" s="9" t="str">
        <f>VLOOKUP($O3325,'Liste des Villes'!$B$2:$B$1128,1,FALSE)</f>
        <v>Mirabel</v>
      </c>
      <c r="Q3325" s="9" t="str">
        <f>IFERROR($P3325,PROPER(VLOOKUP($O3325,'Villes en erreur'!$A$2:$B$72,2,FALSE)))</f>
        <v>Mirabel</v>
      </c>
      <c r="R3325" s="9" t="s">
        <v>14662</v>
      </c>
      <c r="S3325" s="9" t="str">
        <f>IF(ISBLANK($R3325),"",VLOOKUP($R3325,'Liste des Villes'!$B$2:$H$1128,4,FALSE))</f>
        <v>Laurentides</v>
      </c>
      <c r="T3325" s="2" t="s">
        <v>14753</v>
      </c>
      <c r="U3325" s="2" t="s">
        <v>39</v>
      </c>
      <c r="V3325" s="2" t="s">
        <v>40</v>
      </c>
      <c r="W3325" s="2" t="s">
        <v>14754</v>
      </c>
      <c r="X3325" s="2"/>
      <c r="Y3325" s="2"/>
      <c r="Z3325" s="2"/>
      <c r="AA3325" s="2" t="s">
        <v>375</v>
      </c>
      <c r="AB3325" s="2" t="s">
        <v>376</v>
      </c>
      <c r="AC3325" s="4" t="s">
        <v>44</v>
      </c>
    </row>
    <row r="3326" spans="1:29" x14ac:dyDescent="0.25">
      <c r="A3326" s="1">
        <v>836</v>
      </c>
      <c r="B3326" s="17" t="s">
        <v>14755</v>
      </c>
      <c r="C3326" s="2" t="s">
        <v>14756</v>
      </c>
      <c r="D3326" s="15" t="s">
        <v>14757</v>
      </c>
      <c r="E3326" s="9" t="s">
        <v>441</v>
      </c>
      <c r="F3326" s="9" t="s">
        <v>14758</v>
      </c>
      <c r="G3326" s="9" t="s">
        <v>14759</v>
      </c>
      <c r="H3326" s="2" t="s">
        <v>60</v>
      </c>
      <c r="I3326" s="3">
        <v>37122</v>
      </c>
      <c r="J3326" s="9" t="str">
        <f t="shared" ca="1" si="54"/>
        <v>22 ans</v>
      </c>
      <c r="K3326" s="2" t="s">
        <v>156</v>
      </c>
      <c r="L3326" s="2" t="str">
        <f>"1310"</f>
        <v>1310</v>
      </c>
      <c r="M3326" s="2"/>
      <c r="N3326" s="2" t="str">
        <f>"RUE GILLES-VILLENEUVE"</f>
        <v>RUE GILLES-VILLENEUVE</v>
      </c>
      <c r="O3326" s="2" t="s">
        <v>14661</v>
      </c>
      <c r="P3326" s="9" t="str">
        <f>VLOOKUP($O3326,'Liste des Villes'!$B$2:$B$1128,1,FALSE)</f>
        <v>Mirabel</v>
      </c>
      <c r="Q3326" s="9" t="str">
        <f>IFERROR($P3326,PROPER(VLOOKUP($O3326,'Villes en erreur'!$A$2:$B$72,2,FALSE)))</f>
        <v>Mirabel</v>
      </c>
      <c r="R3326" s="9" t="s">
        <v>14662</v>
      </c>
      <c r="S3326" s="9" t="str">
        <f>IF(ISBLANK($R3326),"",VLOOKUP($R3326,'Liste des Villes'!$B$2:$H$1128,4,FALSE))</f>
        <v>Laurentides</v>
      </c>
      <c r="T3326" s="2" t="s">
        <v>14760</v>
      </c>
      <c r="U3326" s="2" t="s">
        <v>39</v>
      </c>
      <c r="V3326" s="2" t="s">
        <v>40</v>
      </c>
      <c r="W3326" s="2" t="s">
        <v>14761</v>
      </c>
      <c r="X3326" s="2"/>
      <c r="Y3326" s="2"/>
      <c r="Z3326" s="2"/>
      <c r="AA3326" s="2" t="s">
        <v>375</v>
      </c>
      <c r="AB3326" s="2" t="s">
        <v>376</v>
      </c>
      <c r="AC3326" s="4" t="s">
        <v>44</v>
      </c>
    </row>
    <row r="3327" spans="1:29" x14ac:dyDescent="0.25">
      <c r="A3327" s="1">
        <v>272</v>
      </c>
      <c r="B3327" s="17" t="s">
        <v>14762</v>
      </c>
      <c r="C3327" s="2" t="s">
        <v>5840</v>
      </c>
      <c r="D3327" s="15" t="s">
        <v>1011</v>
      </c>
      <c r="E3327" s="9" t="s">
        <v>186</v>
      </c>
      <c r="F3327" s="9" t="s">
        <v>1010</v>
      </c>
      <c r="G3327" s="9" t="s">
        <v>325</v>
      </c>
      <c r="H3327" s="2" t="s">
        <v>35</v>
      </c>
      <c r="I3327" s="3">
        <v>37232</v>
      </c>
      <c r="J3327" s="9" t="str">
        <f t="shared" ca="1" si="54"/>
        <v>21 ans</v>
      </c>
      <c r="K3327" s="2" t="s">
        <v>262</v>
      </c>
      <c r="L3327" s="2" t="str">
        <f>"2015"</f>
        <v>2015</v>
      </c>
      <c r="M3327" s="2"/>
      <c r="N3327" s="2" t="str">
        <f>"RUE LAUZON"</f>
        <v>RUE LAUZON</v>
      </c>
      <c r="O3327" s="2" t="s">
        <v>14661</v>
      </c>
      <c r="P3327" s="9" t="str">
        <f>VLOOKUP($O3327,'Liste des Villes'!$B$2:$B$1128,1,FALSE)</f>
        <v>Mirabel</v>
      </c>
      <c r="Q3327" s="9" t="str">
        <f>IFERROR($P3327,PROPER(VLOOKUP($O3327,'Villes en erreur'!$A$2:$B$72,2,FALSE)))</f>
        <v>Mirabel</v>
      </c>
      <c r="R3327" s="9" t="s">
        <v>14662</v>
      </c>
      <c r="S3327" s="9" t="str">
        <f>IF(ISBLANK($R3327),"",VLOOKUP($R3327,'Liste des Villes'!$B$2:$H$1128,4,FALSE))</f>
        <v>Laurentides</v>
      </c>
      <c r="T3327" s="2" t="s">
        <v>14763</v>
      </c>
      <c r="U3327" s="2" t="s">
        <v>39</v>
      </c>
      <c r="V3327" s="2" t="s">
        <v>40</v>
      </c>
      <c r="W3327" s="2" t="s">
        <v>14764</v>
      </c>
      <c r="X3327" s="2"/>
      <c r="Y3327" s="2"/>
      <c r="Z3327" s="2"/>
      <c r="AA3327" s="2" t="s">
        <v>708</v>
      </c>
      <c r="AB3327" s="2" t="s">
        <v>14669</v>
      </c>
      <c r="AC3327" s="4" t="s">
        <v>44</v>
      </c>
    </row>
    <row r="3328" spans="1:29" x14ac:dyDescent="0.25">
      <c r="A3328" s="1">
        <v>872</v>
      </c>
      <c r="B3328" s="17" t="s">
        <v>14765</v>
      </c>
      <c r="C3328" s="2" t="s">
        <v>14766</v>
      </c>
      <c r="D3328" s="15" t="s">
        <v>14767</v>
      </c>
      <c r="E3328" s="9" t="s">
        <v>495</v>
      </c>
      <c r="F3328" s="9" t="s">
        <v>2801</v>
      </c>
      <c r="G3328" s="9" t="s">
        <v>14768</v>
      </c>
      <c r="H3328" s="2" t="s">
        <v>35</v>
      </c>
      <c r="I3328" s="3">
        <v>37176</v>
      </c>
      <c r="J3328" s="9" t="str">
        <f t="shared" ca="1" si="54"/>
        <v>21 ans</v>
      </c>
      <c r="K3328" s="2" t="s">
        <v>156</v>
      </c>
      <c r="L3328" s="2" t="str">
        <f>"1627"</f>
        <v>1627</v>
      </c>
      <c r="M3328" s="2"/>
      <c r="N3328" s="2" t="str">
        <f>"RUE JOSEPH"</f>
        <v>RUE JOSEPH</v>
      </c>
      <c r="O3328" s="2" t="s">
        <v>14661</v>
      </c>
      <c r="P3328" s="9" t="str">
        <f>VLOOKUP($O3328,'Liste des Villes'!$B$2:$B$1128,1,FALSE)</f>
        <v>Mirabel</v>
      </c>
      <c r="Q3328" s="9" t="str">
        <f>IFERROR($P3328,PROPER(VLOOKUP($O3328,'Villes en erreur'!$A$2:$B$72,2,FALSE)))</f>
        <v>Mirabel</v>
      </c>
      <c r="R3328" s="9" t="s">
        <v>14662</v>
      </c>
      <c r="S3328" s="9" t="str">
        <f>IF(ISBLANK($R3328),"",VLOOKUP($R3328,'Liste des Villes'!$B$2:$H$1128,4,FALSE))</f>
        <v>Laurentides</v>
      </c>
      <c r="T3328" s="2" t="s">
        <v>14769</v>
      </c>
      <c r="U3328" s="2" t="s">
        <v>39</v>
      </c>
      <c r="V3328" s="2" t="s">
        <v>40</v>
      </c>
      <c r="W3328" s="2" t="s">
        <v>14770</v>
      </c>
      <c r="X3328" s="2"/>
      <c r="Y3328" s="2"/>
      <c r="Z3328" s="2"/>
      <c r="AA3328" s="2" t="s">
        <v>708</v>
      </c>
      <c r="AB3328" s="2" t="s">
        <v>14669</v>
      </c>
      <c r="AC3328" s="4" t="s">
        <v>44</v>
      </c>
    </row>
    <row r="3329" spans="1:29" x14ac:dyDescent="0.25">
      <c r="A3329" s="1">
        <v>365</v>
      </c>
      <c r="B3329" s="17" t="s">
        <v>14771</v>
      </c>
      <c r="C3329" s="2" t="s">
        <v>14772</v>
      </c>
      <c r="D3329" s="15" t="s">
        <v>14773</v>
      </c>
      <c r="E3329" s="9" t="s">
        <v>14774</v>
      </c>
      <c r="F3329" s="9" t="s">
        <v>10584</v>
      </c>
      <c r="G3329" s="9" t="s">
        <v>13803</v>
      </c>
      <c r="H3329" s="2" t="s">
        <v>60</v>
      </c>
      <c r="I3329" s="3">
        <v>37087</v>
      </c>
      <c r="J3329" s="9" t="str">
        <f t="shared" ca="1" si="54"/>
        <v>22 ans</v>
      </c>
      <c r="K3329" s="2" t="s">
        <v>156</v>
      </c>
      <c r="L3329" s="2" t="str">
        <f>"1190"</f>
        <v>1190</v>
      </c>
      <c r="M3329" s="2"/>
      <c r="N3329" s="2" t="str">
        <f>"RUE FILION"</f>
        <v>RUE FILION</v>
      </c>
      <c r="O3329" s="2" t="s">
        <v>14661</v>
      </c>
      <c r="P3329" s="9" t="str">
        <f>VLOOKUP($O3329,'Liste des Villes'!$B$2:$B$1128,1,FALSE)</f>
        <v>Mirabel</v>
      </c>
      <c r="Q3329" s="9" t="str">
        <f>IFERROR($P3329,PROPER(VLOOKUP($O3329,'Villes en erreur'!$A$2:$B$72,2,FALSE)))</f>
        <v>Mirabel</v>
      </c>
      <c r="R3329" s="9" t="s">
        <v>14662</v>
      </c>
      <c r="S3329" s="9" t="str">
        <f>IF(ISBLANK($R3329),"",VLOOKUP($R3329,'Liste des Villes'!$B$2:$H$1128,4,FALSE))</f>
        <v>Laurentides</v>
      </c>
      <c r="T3329" s="2" t="s">
        <v>14742</v>
      </c>
      <c r="U3329" s="2" t="s">
        <v>39</v>
      </c>
      <c r="V3329" s="2" t="s">
        <v>40</v>
      </c>
      <c r="W3329" s="2" t="s">
        <v>14775</v>
      </c>
      <c r="X3329" s="2"/>
      <c r="Y3329" s="2"/>
      <c r="Z3329" s="2"/>
      <c r="AA3329" s="2" t="s">
        <v>375</v>
      </c>
      <c r="AB3329" s="2" t="s">
        <v>376</v>
      </c>
      <c r="AC3329" s="4" t="s">
        <v>44</v>
      </c>
    </row>
    <row r="3330" spans="1:29" x14ac:dyDescent="0.25">
      <c r="A3330" s="1">
        <v>4438</v>
      </c>
      <c r="B3330" s="17" t="s">
        <v>14776</v>
      </c>
      <c r="C3330" s="2" t="s">
        <v>14777</v>
      </c>
      <c r="D3330" s="15" t="s">
        <v>14697</v>
      </c>
      <c r="E3330" s="9" t="s">
        <v>137</v>
      </c>
      <c r="F3330" s="9" t="s">
        <v>3177</v>
      </c>
      <c r="G3330" s="9" t="s">
        <v>1591</v>
      </c>
      <c r="H3330" s="2" t="s">
        <v>35</v>
      </c>
      <c r="I3330" s="3">
        <v>37246</v>
      </c>
      <c r="J3330" s="9" t="str">
        <f t="shared" ref="J3330:J3393" ca="1" si="55">_xlfn.CONCAT(INT((TODAY()-$I3330)/365.25)," ans")</f>
        <v>21 ans</v>
      </c>
      <c r="K3330" s="2" t="s">
        <v>262</v>
      </c>
      <c r="L3330" s="2" t="str">
        <f>"2087"</f>
        <v>2087</v>
      </c>
      <c r="M3330" s="2"/>
      <c r="N3330" s="2" t="str">
        <f>"RUE LÉONNE"</f>
        <v>RUE LÉONNE</v>
      </c>
      <c r="O3330" s="2" t="s">
        <v>14661</v>
      </c>
      <c r="P3330" s="9" t="str">
        <f>VLOOKUP($O3330,'Liste des Villes'!$B$2:$B$1128,1,FALSE)</f>
        <v>Mirabel</v>
      </c>
      <c r="Q3330" s="9" t="str">
        <f>IFERROR($P3330,PROPER(VLOOKUP($O3330,'Villes en erreur'!$A$2:$B$72,2,FALSE)))</f>
        <v>Mirabel</v>
      </c>
      <c r="R3330" s="9" t="s">
        <v>14662</v>
      </c>
      <c r="S3330" s="9" t="str">
        <f>IF(ISBLANK($R3330),"",VLOOKUP($R3330,'Liste des Villes'!$B$2:$H$1128,4,FALSE))</f>
        <v>Laurentides</v>
      </c>
      <c r="T3330" s="2" t="s">
        <v>14778</v>
      </c>
      <c r="U3330" s="2" t="s">
        <v>39</v>
      </c>
      <c r="V3330" s="2" t="s">
        <v>40</v>
      </c>
      <c r="W3330" s="2" t="s">
        <v>14779</v>
      </c>
      <c r="X3330" s="2"/>
      <c r="Y3330" s="2"/>
      <c r="Z3330" s="2"/>
      <c r="AA3330" s="2" t="s">
        <v>708</v>
      </c>
      <c r="AB3330" s="2" t="s">
        <v>14669</v>
      </c>
      <c r="AC3330" s="4" t="s">
        <v>44</v>
      </c>
    </row>
    <row r="3331" spans="1:29" x14ac:dyDescent="0.25">
      <c r="A3331" s="1">
        <v>3339</v>
      </c>
      <c r="B3331" s="17" t="s">
        <v>14780</v>
      </c>
      <c r="C3331" s="2" t="s">
        <v>14781</v>
      </c>
      <c r="D3331" s="15" t="s">
        <v>7665</v>
      </c>
      <c r="E3331" s="9" t="s">
        <v>685</v>
      </c>
      <c r="F3331" s="9" t="s">
        <v>6652</v>
      </c>
      <c r="G3331" s="9" t="s">
        <v>7375</v>
      </c>
      <c r="H3331" s="2" t="s">
        <v>60</v>
      </c>
      <c r="I3331" s="3">
        <v>37101</v>
      </c>
      <c r="J3331" s="9" t="str">
        <f t="shared" ca="1" si="55"/>
        <v>22 ans</v>
      </c>
      <c r="K3331" s="2" t="s">
        <v>156</v>
      </c>
      <c r="L3331" s="2" t="str">
        <f>"1238"</f>
        <v>1238</v>
      </c>
      <c r="M3331" s="2"/>
      <c r="N3331" s="2" t="str">
        <f>"RUE FRANÇOIS LEBRUN"</f>
        <v>RUE FRANÇOIS LEBRUN</v>
      </c>
      <c r="O3331" s="2" t="s">
        <v>14661</v>
      </c>
      <c r="P3331" s="9" t="str">
        <f>VLOOKUP($O3331,'Liste des Villes'!$B$2:$B$1128,1,FALSE)</f>
        <v>Mirabel</v>
      </c>
      <c r="Q3331" s="9" t="str">
        <f>IFERROR($P3331,PROPER(VLOOKUP($O3331,'Villes en erreur'!$A$2:$B$72,2,FALSE)))</f>
        <v>Mirabel</v>
      </c>
      <c r="R3331" s="9" t="s">
        <v>14662</v>
      </c>
      <c r="S3331" s="9" t="str">
        <f>IF(ISBLANK($R3331),"",VLOOKUP($R3331,'Liste des Villes'!$B$2:$H$1128,4,FALSE))</f>
        <v>Laurentides</v>
      </c>
      <c r="T3331" s="2" t="s">
        <v>14782</v>
      </c>
      <c r="U3331" s="2" t="s">
        <v>39</v>
      </c>
      <c r="V3331" s="2" t="s">
        <v>40</v>
      </c>
      <c r="W3331" s="2" t="s">
        <v>14783</v>
      </c>
      <c r="X3331" s="2"/>
      <c r="Y3331" s="2"/>
      <c r="Z3331" s="2"/>
      <c r="AA3331" s="2" t="s">
        <v>375</v>
      </c>
      <c r="AB3331" s="2" t="s">
        <v>376</v>
      </c>
      <c r="AC3331" s="4" t="s">
        <v>44</v>
      </c>
    </row>
    <row r="3332" spans="1:29" x14ac:dyDescent="0.25">
      <c r="A3332" s="1">
        <v>4125</v>
      </c>
      <c r="B3332" s="17" t="s">
        <v>14784</v>
      </c>
      <c r="C3332" s="2" t="s">
        <v>3933</v>
      </c>
      <c r="D3332" s="15" t="s">
        <v>101</v>
      </c>
      <c r="E3332" s="9" t="s">
        <v>341</v>
      </c>
      <c r="F3332" s="9" t="s">
        <v>6612</v>
      </c>
      <c r="G3332" s="9" t="s">
        <v>4092</v>
      </c>
      <c r="H3332" s="2" t="s">
        <v>35</v>
      </c>
      <c r="I3332" s="3">
        <v>37129</v>
      </c>
      <c r="J3332" s="9" t="str">
        <f t="shared" ca="1" si="55"/>
        <v>21 ans</v>
      </c>
      <c r="K3332" s="2" t="s">
        <v>156</v>
      </c>
      <c r="L3332" s="2" t="str">
        <f>"1349"</f>
        <v>1349</v>
      </c>
      <c r="M3332" s="2"/>
      <c r="N3332" s="2" t="str">
        <f>"RUE GUYON"</f>
        <v>RUE GUYON</v>
      </c>
      <c r="O3332" s="2" t="s">
        <v>14661</v>
      </c>
      <c r="P3332" s="9" t="str">
        <f>VLOOKUP($O3332,'Liste des Villes'!$B$2:$B$1128,1,FALSE)</f>
        <v>Mirabel</v>
      </c>
      <c r="Q3332" s="9" t="str">
        <f>IFERROR($P3332,PROPER(VLOOKUP($O3332,'Villes en erreur'!$A$2:$B$72,2,FALSE)))</f>
        <v>Mirabel</v>
      </c>
      <c r="R3332" s="9" t="s">
        <v>14662</v>
      </c>
      <c r="S3332" s="9" t="str">
        <f>IF(ISBLANK($R3332),"",VLOOKUP($R3332,'Liste des Villes'!$B$2:$H$1128,4,FALSE))</f>
        <v>Laurentides</v>
      </c>
      <c r="T3332" s="2" t="s">
        <v>14785</v>
      </c>
      <c r="U3332" s="2" t="s">
        <v>39</v>
      </c>
      <c r="V3332" s="2" t="s">
        <v>40</v>
      </c>
      <c r="W3332" s="2" t="s">
        <v>14786</v>
      </c>
      <c r="X3332" s="2"/>
      <c r="Y3332" s="2"/>
      <c r="Z3332" s="2"/>
      <c r="AA3332" s="2" t="s">
        <v>375</v>
      </c>
      <c r="AB3332" s="2" t="s">
        <v>376</v>
      </c>
      <c r="AC3332" s="4" t="s">
        <v>44</v>
      </c>
    </row>
    <row r="3333" spans="1:29" x14ac:dyDescent="0.25">
      <c r="A3333" s="1">
        <v>4331</v>
      </c>
      <c r="B3333" s="17" t="s">
        <v>14787</v>
      </c>
      <c r="C3333" s="2" t="s">
        <v>9288</v>
      </c>
      <c r="D3333" s="15" t="s">
        <v>808</v>
      </c>
      <c r="E3333" s="9" t="s">
        <v>929</v>
      </c>
      <c r="F3333" s="9" t="s">
        <v>807</v>
      </c>
      <c r="G3333" s="9" t="s">
        <v>3235</v>
      </c>
      <c r="H3333" s="2" t="s">
        <v>60</v>
      </c>
      <c r="I3333" s="3">
        <v>37144</v>
      </c>
      <c r="J3333" s="9" t="str">
        <f t="shared" ca="1" si="55"/>
        <v>21 ans</v>
      </c>
      <c r="K3333" s="2" t="s">
        <v>156</v>
      </c>
      <c r="L3333" s="2" t="str">
        <f>"1420"</f>
        <v>1420</v>
      </c>
      <c r="M3333" s="2"/>
      <c r="N3333" s="2" t="str">
        <f>"RUE IRÉNÉE"</f>
        <v>RUE IRÉNÉE</v>
      </c>
      <c r="O3333" s="2" t="s">
        <v>14661</v>
      </c>
      <c r="P3333" s="9" t="str">
        <f>VLOOKUP($O3333,'Liste des Villes'!$B$2:$B$1128,1,FALSE)</f>
        <v>Mirabel</v>
      </c>
      <c r="Q3333" s="9" t="str">
        <f>IFERROR($P3333,PROPER(VLOOKUP($O3333,'Villes en erreur'!$A$2:$B$72,2,FALSE)))</f>
        <v>Mirabel</v>
      </c>
      <c r="R3333" s="9" t="s">
        <v>14662</v>
      </c>
      <c r="S3333" s="9" t="str">
        <f>IF(ISBLANK($R3333),"",VLOOKUP($R3333,'Liste des Villes'!$B$2:$H$1128,4,FALSE))</f>
        <v>Laurentides</v>
      </c>
      <c r="T3333" s="2" t="s">
        <v>14788</v>
      </c>
      <c r="U3333" s="2" t="s">
        <v>39</v>
      </c>
      <c r="V3333" s="2" t="s">
        <v>40</v>
      </c>
      <c r="W3333" s="2" t="s">
        <v>14789</v>
      </c>
      <c r="X3333" s="2"/>
      <c r="Y3333" s="2"/>
      <c r="Z3333" s="2"/>
      <c r="AA3333" s="2" t="s">
        <v>708</v>
      </c>
      <c r="AB3333" s="2" t="s">
        <v>376</v>
      </c>
      <c r="AC3333" s="4" t="s">
        <v>44</v>
      </c>
    </row>
    <row r="3334" spans="1:29" x14ac:dyDescent="0.25">
      <c r="A3334" s="1">
        <v>2338</v>
      </c>
      <c r="B3334" s="17" t="s">
        <v>14790</v>
      </c>
      <c r="C3334" s="2" t="s">
        <v>1883</v>
      </c>
      <c r="D3334" s="15" t="s">
        <v>1005</v>
      </c>
      <c r="E3334" s="9" t="s">
        <v>1884</v>
      </c>
      <c r="F3334" s="9" t="s">
        <v>1003</v>
      </c>
      <c r="G3334" s="9" t="s">
        <v>2920</v>
      </c>
      <c r="H3334" s="2" t="s">
        <v>60</v>
      </c>
      <c r="I3334" s="3">
        <v>37097</v>
      </c>
      <c r="J3334" s="9" t="str">
        <f t="shared" ca="1" si="55"/>
        <v>22 ans</v>
      </c>
      <c r="K3334" s="2" t="s">
        <v>156</v>
      </c>
      <c r="L3334" s="2" t="str">
        <f>"1219"</f>
        <v>1219</v>
      </c>
      <c r="M3334" s="2"/>
      <c r="N3334" s="2" t="str">
        <f>"RUE FOURNIER"</f>
        <v>RUE FOURNIER</v>
      </c>
      <c r="O3334" s="2" t="s">
        <v>14661</v>
      </c>
      <c r="P3334" s="9" t="str">
        <f>VLOOKUP($O3334,'Liste des Villes'!$B$2:$B$1128,1,FALSE)</f>
        <v>Mirabel</v>
      </c>
      <c r="Q3334" s="9" t="str">
        <f>IFERROR($P3334,PROPER(VLOOKUP($O3334,'Villes en erreur'!$A$2:$B$72,2,FALSE)))</f>
        <v>Mirabel</v>
      </c>
      <c r="R3334" s="9" t="s">
        <v>14662</v>
      </c>
      <c r="S3334" s="9" t="str">
        <f>IF(ISBLANK($R3334),"",VLOOKUP($R3334,'Liste des Villes'!$B$2:$H$1128,4,FALSE))</f>
        <v>Laurentides</v>
      </c>
      <c r="T3334" s="2" t="s">
        <v>14791</v>
      </c>
      <c r="U3334" s="2" t="s">
        <v>39</v>
      </c>
      <c r="V3334" s="2" t="s">
        <v>40</v>
      </c>
      <c r="W3334" s="2" t="s">
        <v>14792</v>
      </c>
      <c r="X3334" s="2"/>
      <c r="Y3334" s="2"/>
      <c r="Z3334" s="2"/>
      <c r="AA3334" s="2" t="s">
        <v>375</v>
      </c>
      <c r="AB3334" s="2" t="s">
        <v>376</v>
      </c>
      <c r="AC3334" s="4" t="s">
        <v>44</v>
      </c>
    </row>
    <row r="3335" spans="1:29" x14ac:dyDescent="0.25">
      <c r="A3335" s="1">
        <v>4335</v>
      </c>
      <c r="B3335" s="17" t="s">
        <v>14793</v>
      </c>
      <c r="C3335" s="2" t="s">
        <v>14794</v>
      </c>
      <c r="D3335" s="15" t="s">
        <v>2115</v>
      </c>
      <c r="E3335" s="9" t="s">
        <v>8063</v>
      </c>
      <c r="F3335" s="9" t="s">
        <v>1268</v>
      </c>
      <c r="G3335" s="9" t="s">
        <v>325</v>
      </c>
      <c r="H3335" s="2" t="s">
        <v>35</v>
      </c>
      <c r="I3335" s="3">
        <v>37235</v>
      </c>
      <c r="J3335" s="9" t="str">
        <f t="shared" ca="1" si="55"/>
        <v>21 ans</v>
      </c>
      <c r="K3335" s="2" t="s">
        <v>262</v>
      </c>
      <c r="L3335" s="2" t="str">
        <f>"2020"</f>
        <v>2020</v>
      </c>
      <c r="M3335" s="2"/>
      <c r="N3335" s="2" t="str">
        <f>"RUE LAVALLEE"</f>
        <v>RUE LAVALLEE</v>
      </c>
      <c r="O3335" s="2" t="s">
        <v>14661</v>
      </c>
      <c r="P3335" s="9" t="str">
        <f>VLOOKUP($O3335,'Liste des Villes'!$B$2:$B$1128,1,FALSE)</f>
        <v>Mirabel</v>
      </c>
      <c r="Q3335" s="9" t="str">
        <f>IFERROR($P3335,PROPER(VLOOKUP($O3335,'Villes en erreur'!$A$2:$B$72,2,FALSE)))</f>
        <v>Mirabel</v>
      </c>
      <c r="R3335" s="9" t="s">
        <v>14662</v>
      </c>
      <c r="S3335" s="9" t="str">
        <f>IF(ISBLANK($R3335),"",VLOOKUP($R3335,'Liste des Villes'!$B$2:$H$1128,4,FALSE))</f>
        <v>Laurentides</v>
      </c>
      <c r="T3335" s="2" t="s">
        <v>14795</v>
      </c>
      <c r="U3335" s="2" t="s">
        <v>39</v>
      </c>
      <c r="V3335" s="2" t="s">
        <v>40</v>
      </c>
      <c r="W3335" s="2" t="s">
        <v>14796</v>
      </c>
      <c r="X3335" s="2"/>
      <c r="Y3335" s="2"/>
      <c r="Z3335" s="2"/>
      <c r="AA3335" s="2" t="s">
        <v>708</v>
      </c>
      <c r="AB3335" s="2" t="s">
        <v>14669</v>
      </c>
      <c r="AC3335" s="4" t="s">
        <v>44</v>
      </c>
    </row>
    <row r="3336" spans="1:29" x14ac:dyDescent="0.25">
      <c r="A3336" s="1">
        <v>3560</v>
      </c>
      <c r="B3336" s="17" t="s">
        <v>14797</v>
      </c>
      <c r="C3336" s="2" t="s">
        <v>14798</v>
      </c>
      <c r="D3336" s="15" t="s">
        <v>2099</v>
      </c>
      <c r="E3336" s="9" t="s">
        <v>5242</v>
      </c>
      <c r="F3336" s="9" t="s">
        <v>2497</v>
      </c>
      <c r="G3336" s="9" t="s">
        <v>14709</v>
      </c>
      <c r="H3336" s="2" t="s">
        <v>60</v>
      </c>
      <c r="I3336" s="3">
        <v>37113</v>
      </c>
      <c r="J3336" s="9" t="str">
        <f t="shared" ca="1" si="55"/>
        <v>22 ans</v>
      </c>
      <c r="K3336" s="2" t="s">
        <v>156</v>
      </c>
      <c r="L3336" s="2" t="str">
        <f>"1275"</f>
        <v>1275</v>
      </c>
      <c r="M3336" s="2"/>
      <c r="N3336" s="2" t="str">
        <f>"RUE GAUTHIER"</f>
        <v>RUE GAUTHIER</v>
      </c>
      <c r="O3336" s="2" t="s">
        <v>14661</v>
      </c>
      <c r="P3336" s="9" t="str">
        <f>VLOOKUP($O3336,'Liste des Villes'!$B$2:$B$1128,1,FALSE)</f>
        <v>Mirabel</v>
      </c>
      <c r="Q3336" s="9" t="str">
        <f>IFERROR($P3336,PROPER(VLOOKUP($O3336,'Villes en erreur'!$A$2:$B$72,2,FALSE)))</f>
        <v>Mirabel</v>
      </c>
      <c r="R3336" s="9" t="s">
        <v>14662</v>
      </c>
      <c r="S3336" s="9" t="str">
        <f>IF(ISBLANK($R3336),"",VLOOKUP($R3336,'Liste des Villes'!$B$2:$H$1128,4,FALSE))</f>
        <v>Laurentides</v>
      </c>
      <c r="T3336" s="2" t="s">
        <v>14799</v>
      </c>
      <c r="U3336" s="2" t="s">
        <v>39</v>
      </c>
      <c r="V3336" s="2" t="s">
        <v>40</v>
      </c>
      <c r="W3336" s="2" t="s">
        <v>14800</v>
      </c>
      <c r="X3336" s="2"/>
      <c r="Y3336" s="2"/>
      <c r="Z3336" s="2"/>
      <c r="AA3336" s="2" t="s">
        <v>375</v>
      </c>
      <c r="AB3336" s="2" t="s">
        <v>376</v>
      </c>
      <c r="AC3336" s="4" t="s">
        <v>44</v>
      </c>
    </row>
    <row r="3337" spans="1:29" x14ac:dyDescent="0.25">
      <c r="A3337" s="1">
        <v>3856</v>
      </c>
      <c r="B3337" s="17" t="s">
        <v>14801</v>
      </c>
      <c r="C3337" s="2" t="s">
        <v>8375</v>
      </c>
      <c r="D3337" s="15" t="s">
        <v>6983</v>
      </c>
      <c r="E3337" s="9" t="s">
        <v>3265</v>
      </c>
      <c r="F3337" s="9" t="s">
        <v>6982</v>
      </c>
      <c r="G3337" s="9" t="s">
        <v>3235</v>
      </c>
      <c r="H3337" s="2" t="s">
        <v>60</v>
      </c>
      <c r="I3337" s="3">
        <v>37141</v>
      </c>
      <c r="J3337" s="9" t="str">
        <f t="shared" ca="1" si="55"/>
        <v>21 ans</v>
      </c>
      <c r="K3337" s="2" t="s">
        <v>156</v>
      </c>
      <c r="L3337" s="2" t="str">
        <f>"1413"</f>
        <v>1413</v>
      </c>
      <c r="M3337" s="2"/>
      <c r="N3337" s="2" t="str">
        <f>"RUE HUGUES"</f>
        <v>RUE HUGUES</v>
      </c>
      <c r="O3337" s="2" t="s">
        <v>14661</v>
      </c>
      <c r="P3337" s="9" t="str">
        <f>VLOOKUP($O3337,'Liste des Villes'!$B$2:$B$1128,1,FALSE)</f>
        <v>Mirabel</v>
      </c>
      <c r="Q3337" s="9" t="str">
        <f>IFERROR($P3337,PROPER(VLOOKUP($O3337,'Villes en erreur'!$A$2:$B$72,2,FALSE)))</f>
        <v>Mirabel</v>
      </c>
      <c r="R3337" s="9" t="s">
        <v>14662</v>
      </c>
      <c r="S3337" s="9" t="str">
        <f>IF(ISBLANK($R3337),"",VLOOKUP($R3337,'Liste des Villes'!$B$2:$H$1128,4,FALSE))</f>
        <v>Laurentides</v>
      </c>
      <c r="T3337" s="2" t="s">
        <v>14802</v>
      </c>
      <c r="U3337" s="2" t="s">
        <v>39</v>
      </c>
      <c r="V3337" s="2" t="s">
        <v>40</v>
      </c>
      <c r="W3337" s="2" t="s">
        <v>14803</v>
      </c>
      <c r="X3337" s="2"/>
      <c r="Y3337" s="2"/>
      <c r="Z3337" s="2"/>
      <c r="AA3337" s="2" t="s">
        <v>708</v>
      </c>
      <c r="AB3337" s="2" t="s">
        <v>376</v>
      </c>
      <c r="AC3337" s="4" t="s">
        <v>44</v>
      </c>
    </row>
    <row r="3338" spans="1:29" x14ac:dyDescent="0.25">
      <c r="A3338" s="1">
        <v>2897</v>
      </c>
      <c r="B3338" s="17" t="s">
        <v>14804</v>
      </c>
      <c r="C3338" s="2" t="s">
        <v>14805</v>
      </c>
      <c r="D3338" s="15" t="s">
        <v>4196</v>
      </c>
      <c r="E3338" s="9" t="s">
        <v>4988</v>
      </c>
      <c r="F3338" s="9" t="s">
        <v>1070</v>
      </c>
      <c r="G3338" s="9" t="s">
        <v>860</v>
      </c>
      <c r="H3338" s="2" t="s">
        <v>60</v>
      </c>
      <c r="I3338" s="3">
        <v>37186</v>
      </c>
      <c r="J3338" s="9" t="str">
        <f t="shared" ca="1" si="55"/>
        <v>21 ans</v>
      </c>
      <c r="K3338" s="2" t="s">
        <v>262</v>
      </c>
      <c r="L3338" s="2" t="str">
        <f>"1700"</f>
        <v>1700</v>
      </c>
      <c r="M3338" s="2"/>
      <c r="N3338" s="2" t="str">
        <f>"RUE LA QUÉBÉCOISE"</f>
        <v>RUE LA QUÉBÉCOISE</v>
      </c>
      <c r="O3338" s="2" t="s">
        <v>14661</v>
      </c>
      <c r="P3338" s="9" t="str">
        <f>VLOOKUP($O3338,'Liste des Villes'!$B$2:$B$1128,1,FALSE)</f>
        <v>Mirabel</v>
      </c>
      <c r="Q3338" s="9" t="str">
        <f>IFERROR($P3338,PROPER(VLOOKUP($O3338,'Villes en erreur'!$A$2:$B$72,2,FALSE)))</f>
        <v>Mirabel</v>
      </c>
      <c r="R3338" s="9" t="s">
        <v>14662</v>
      </c>
      <c r="S3338" s="9" t="str">
        <f>IF(ISBLANK($R3338),"",VLOOKUP($R3338,'Liste des Villes'!$B$2:$H$1128,4,FALSE))</f>
        <v>Laurentides</v>
      </c>
      <c r="T3338" s="2" t="s">
        <v>14806</v>
      </c>
      <c r="U3338" s="2" t="s">
        <v>39</v>
      </c>
      <c r="V3338" s="2" t="s">
        <v>40</v>
      </c>
      <c r="W3338" s="2" t="s">
        <v>14807</v>
      </c>
      <c r="X3338" s="2"/>
      <c r="Y3338" s="2"/>
      <c r="Z3338" s="2"/>
      <c r="AA3338" s="2" t="s">
        <v>708</v>
      </c>
      <c r="AB3338" s="2" t="s">
        <v>14669</v>
      </c>
      <c r="AC3338" s="4" t="s">
        <v>44</v>
      </c>
    </row>
    <row r="3339" spans="1:29" x14ac:dyDescent="0.25">
      <c r="A3339" s="1">
        <v>4146</v>
      </c>
      <c r="B3339" s="17" t="s">
        <v>14808</v>
      </c>
      <c r="C3339" s="2" t="s">
        <v>6409</v>
      </c>
      <c r="D3339" s="15" t="s">
        <v>272</v>
      </c>
      <c r="E3339" s="9" t="s">
        <v>6410</v>
      </c>
      <c r="F3339" s="9" t="s">
        <v>270</v>
      </c>
      <c r="G3339" s="9" t="s">
        <v>2872</v>
      </c>
      <c r="H3339" s="2" t="s">
        <v>35</v>
      </c>
      <c r="I3339" s="3">
        <v>37195</v>
      </c>
      <c r="J3339" s="9" t="str">
        <f t="shared" ca="1" si="55"/>
        <v>21 ans</v>
      </c>
      <c r="K3339" s="2" t="s">
        <v>262</v>
      </c>
      <c r="L3339" s="2" t="str">
        <f>"1734"</f>
        <v>1734</v>
      </c>
      <c r="M3339" s="2"/>
      <c r="N3339" s="2" t="str">
        <f>"RUE LABELLE"</f>
        <v>RUE LABELLE</v>
      </c>
      <c r="O3339" s="2" t="s">
        <v>14661</v>
      </c>
      <c r="P3339" s="9" t="str">
        <f>VLOOKUP($O3339,'Liste des Villes'!$B$2:$B$1128,1,FALSE)</f>
        <v>Mirabel</v>
      </c>
      <c r="Q3339" s="9" t="str">
        <f>IFERROR($P3339,PROPER(VLOOKUP($O3339,'Villes en erreur'!$A$2:$B$72,2,FALSE)))</f>
        <v>Mirabel</v>
      </c>
      <c r="R3339" s="9" t="s">
        <v>14662</v>
      </c>
      <c r="S3339" s="9" t="str">
        <f>IF(ISBLANK($R3339),"",VLOOKUP($R3339,'Liste des Villes'!$B$2:$H$1128,4,FALSE))</f>
        <v>Laurentides</v>
      </c>
      <c r="T3339" s="2" t="s">
        <v>14809</v>
      </c>
      <c r="U3339" s="2" t="s">
        <v>39</v>
      </c>
      <c r="V3339" s="2" t="s">
        <v>40</v>
      </c>
      <c r="W3339" s="2" t="s">
        <v>14810</v>
      </c>
      <c r="X3339" s="2"/>
      <c r="Y3339" s="2"/>
      <c r="Z3339" s="2"/>
      <c r="AA3339" s="2" t="s">
        <v>708</v>
      </c>
      <c r="AB3339" s="2" t="s">
        <v>14669</v>
      </c>
      <c r="AC3339" s="4" t="s">
        <v>44</v>
      </c>
    </row>
    <row r="3340" spans="1:29" x14ac:dyDescent="0.25">
      <c r="A3340" s="1">
        <v>2746</v>
      </c>
      <c r="B3340" s="17" t="s">
        <v>14811</v>
      </c>
      <c r="C3340" s="2" t="s">
        <v>14812</v>
      </c>
      <c r="D3340" s="15" t="s">
        <v>14813</v>
      </c>
      <c r="E3340" s="9" t="s">
        <v>380</v>
      </c>
      <c r="F3340" s="9" t="s">
        <v>304</v>
      </c>
      <c r="G3340" s="9" t="s">
        <v>233</v>
      </c>
      <c r="H3340" s="2" t="s">
        <v>60</v>
      </c>
      <c r="I3340" s="3">
        <v>37219</v>
      </c>
      <c r="J3340" s="9" t="str">
        <f t="shared" ca="1" si="55"/>
        <v>21 ans</v>
      </c>
      <c r="K3340" s="2" t="s">
        <v>262</v>
      </c>
      <c r="L3340" s="2" t="str">
        <f>"1920"</f>
        <v>1920</v>
      </c>
      <c r="M3340" s="2"/>
      <c r="N3340" s="2" t="str">
        <f>"RUE LAPOINTE"</f>
        <v>RUE LAPOINTE</v>
      </c>
      <c r="O3340" s="2" t="s">
        <v>14661</v>
      </c>
      <c r="P3340" s="9" t="str">
        <f>VLOOKUP($O3340,'Liste des Villes'!$B$2:$B$1128,1,FALSE)</f>
        <v>Mirabel</v>
      </c>
      <c r="Q3340" s="9" t="str">
        <f>IFERROR($P3340,PROPER(VLOOKUP($O3340,'Villes en erreur'!$A$2:$B$72,2,FALSE)))</f>
        <v>Mirabel</v>
      </c>
      <c r="R3340" s="9" t="s">
        <v>14662</v>
      </c>
      <c r="S3340" s="9" t="str">
        <f>IF(ISBLANK($R3340),"",VLOOKUP($R3340,'Liste des Villes'!$B$2:$H$1128,4,FALSE))</f>
        <v>Laurentides</v>
      </c>
      <c r="T3340" s="2" t="s">
        <v>14814</v>
      </c>
      <c r="U3340" s="2" t="s">
        <v>39</v>
      </c>
      <c r="V3340" s="2" t="s">
        <v>40</v>
      </c>
      <c r="W3340" s="2" t="s">
        <v>14815</v>
      </c>
      <c r="X3340" s="2"/>
      <c r="Y3340" s="2"/>
      <c r="Z3340" s="2"/>
      <c r="AA3340" s="2" t="s">
        <v>708</v>
      </c>
      <c r="AB3340" s="2" t="s">
        <v>14669</v>
      </c>
      <c r="AC3340" s="4" t="s">
        <v>44</v>
      </c>
    </row>
    <row r="3341" spans="1:29" x14ac:dyDescent="0.25">
      <c r="A3341" s="1">
        <v>3245</v>
      </c>
      <c r="B3341" s="17" t="s">
        <v>14816</v>
      </c>
      <c r="C3341" s="2" t="s">
        <v>14817</v>
      </c>
      <c r="D3341" s="15" t="s">
        <v>14818</v>
      </c>
      <c r="E3341" s="9" t="s">
        <v>622</v>
      </c>
      <c r="F3341" s="9" t="s">
        <v>11806</v>
      </c>
      <c r="G3341" s="9" t="s">
        <v>11559</v>
      </c>
      <c r="H3341" s="2" t="s">
        <v>60</v>
      </c>
      <c r="I3341" s="3">
        <v>37237</v>
      </c>
      <c r="J3341" s="9" t="str">
        <f t="shared" ca="1" si="55"/>
        <v>21 ans</v>
      </c>
      <c r="K3341" s="2" t="s">
        <v>262</v>
      </c>
      <c r="L3341" s="2" t="str">
        <f>"2039"</f>
        <v>2039</v>
      </c>
      <c r="M3341" s="2"/>
      <c r="N3341" s="2" t="str">
        <f>"RUE LEBEAU"</f>
        <v>RUE LEBEAU</v>
      </c>
      <c r="O3341" s="2" t="s">
        <v>14661</v>
      </c>
      <c r="P3341" s="9" t="str">
        <f>VLOOKUP($O3341,'Liste des Villes'!$B$2:$B$1128,1,FALSE)</f>
        <v>Mirabel</v>
      </c>
      <c r="Q3341" s="9" t="str">
        <f>IFERROR($P3341,PROPER(VLOOKUP($O3341,'Villes en erreur'!$A$2:$B$72,2,FALSE)))</f>
        <v>Mirabel</v>
      </c>
      <c r="R3341" s="9" t="s">
        <v>14662</v>
      </c>
      <c r="S3341" s="9" t="str">
        <f>IF(ISBLANK($R3341),"",VLOOKUP($R3341,'Liste des Villes'!$B$2:$H$1128,4,FALSE))</f>
        <v>Laurentides</v>
      </c>
      <c r="T3341" s="2" t="s">
        <v>14819</v>
      </c>
      <c r="U3341" s="2" t="s">
        <v>39</v>
      </c>
      <c r="V3341" s="2" t="s">
        <v>40</v>
      </c>
      <c r="W3341" s="2" t="s">
        <v>14820</v>
      </c>
      <c r="X3341" s="2"/>
      <c r="Y3341" s="2"/>
      <c r="Z3341" s="2"/>
      <c r="AA3341" s="2" t="s">
        <v>708</v>
      </c>
      <c r="AB3341" s="2" t="s">
        <v>14669</v>
      </c>
      <c r="AC3341" s="4" t="s">
        <v>44</v>
      </c>
    </row>
    <row r="3342" spans="1:29" x14ac:dyDescent="0.25">
      <c r="A3342" s="1">
        <v>1077</v>
      </c>
      <c r="B3342" s="17" t="s">
        <v>14821</v>
      </c>
      <c r="C3342" s="2" t="s">
        <v>14822</v>
      </c>
      <c r="D3342" s="15" t="s">
        <v>2729</v>
      </c>
      <c r="E3342" s="9" t="s">
        <v>1754</v>
      </c>
      <c r="F3342" s="9" t="s">
        <v>6853</v>
      </c>
      <c r="G3342" s="9" t="s">
        <v>1004</v>
      </c>
      <c r="H3342" s="2" t="s">
        <v>60</v>
      </c>
      <c r="I3342" s="3">
        <v>37107</v>
      </c>
      <c r="J3342" s="9" t="str">
        <f t="shared" ca="1" si="55"/>
        <v>22 ans</v>
      </c>
      <c r="K3342" s="2" t="s">
        <v>156</v>
      </c>
      <c r="L3342" s="2" t="str">
        <f>"1255"</f>
        <v>1255</v>
      </c>
      <c r="M3342" s="2"/>
      <c r="N3342" s="2" t="str">
        <f>"RUE GASTON-POIRIER"</f>
        <v>RUE GASTON-POIRIER</v>
      </c>
      <c r="O3342" s="2" t="s">
        <v>14661</v>
      </c>
      <c r="P3342" s="9" t="str">
        <f>VLOOKUP($O3342,'Liste des Villes'!$B$2:$B$1128,1,FALSE)</f>
        <v>Mirabel</v>
      </c>
      <c r="Q3342" s="9" t="str">
        <f>IFERROR($P3342,PROPER(VLOOKUP($O3342,'Villes en erreur'!$A$2:$B$72,2,FALSE)))</f>
        <v>Mirabel</v>
      </c>
      <c r="R3342" s="9" t="s">
        <v>14662</v>
      </c>
      <c r="S3342" s="9" t="str">
        <f>IF(ISBLANK($R3342),"",VLOOKUP($R3342,'Liste des Villes'!$B$2:$H$1128,4,FALSE))</f>
        <v>Laurentides</v>
      </c>
      <c r="T3342" s="2" t="s">
        <v>14823</v>
      </c>
      <c r="U3342" s="2" t="s">
        <v>39</v>
      </c>
      <c r="V3342" s="2" t="s">
        <v>40</v>
      </c>
      <c r="W3342" s="2" t="s">
        <v>14824</v>
      </c>
      <c r="X3342" s="2"/>
      <c r="Y3342" s="2"/>
      <c r="Z3342" s="2"/>
      <c r="AA3342" s="2" t="s">
        <v>375</v>
      </c>
      <c r="AB3342" s="2" t="s">
        <v>376</v>
      </c>
      <c r="AC3342" s="4" t="s">
        <v>44</v>
      </c>
    </row>
    <row r="3343" spans="1:29" x14ac:dyDescent="0.25">
      <c r="A3343" s="1">
        <v>3459</v>
      </c>
      <c r="B3343" s="17" t="s">
        <v>14825</v>
      </c>
      <c r="C3343" s="2" t="s">
        <v>3787</v>
      </c>
      <c r="D3343" s="15" t="s">
        <v>2474</v>
      </c>
      <c r="E3343" s="9" t="s">
        <v>293</v>
      </c>
      <c r="F3343" s="9" t="s">
        <v>3719</v>
      </c>
      <c r="G3343" s="9" t="s">
        <v>9730</v>
      </c>
      <c r="H3343" s="2" t="s">
        <v>35</v>
      </c>
      <c r="I3343" s="3">
        <v>37215</v>
      </c>
      <c r="J3343" s="9" t="str">
        <f t="shared" ca="1" si="55"/>
        <v>21 ans</v>
      </c>
      <c r="K3343" s="2" t="s">
        <v>262</v>
      </c>
      <c r="L3343" s="2" t="str">
        <f>"1896"</f>
        <v>1896</v>
      </c>
      <c r="M3343" s="2"/>
      <c r="N3343" s="2" t="str">
        <f>"RUE LAMPRON"</f>
        <v>RUE LAMPRON</v>
      </c>
      <c r="O3343" s="2" t="s">
        <v>14661</v>
      </c>
      <c r="P3343" s="9" t="str">
        <f>VLOOKUP($O3343,'Liste des Villes'!$B$2:$B$1128,1,FALSE)</f>
        <v>Mirabel</v>
      </c>
      <c r="Q3343" s="9" t="str">
        <f>IFERROR($P3343,PROPER(VLOOKUP($O3343,'Villes en erreur'!$A$2:$B$72,2,FALSE)))</f>
        <v>Mirabel</v>
      </c>
      <c r="R3343" s="9" t="s">
        <v>14662</v>
      </c>
      <c r="S3343" s="9" t="str">
        <f>IF(ISBLANK($R3343),"",VLOOKUP($R3343,'Liste des Villes'!$B$2:$H$1128,4,FALSE))</f>
        <v>Laurentides</v>
      </c>
      <c r="T3343" s="2" t="s">
        <v>14826</v>
      </c>
      <c r="U3343" s="2" t="s">
        <v>39</v>
      </c>
      <c r="V3343" s="2" t="s">
        <v>40</v>
      </c>
      <c r="W3343" s="2" t="s">
        <v>14827</v>
      </c>
      <c r="X3343" s="2"/>
      <c r="Y3343" s="2"/>
      <c r="Z3343" s="2"/>
      <c r="AA3343" s="2" t="s">
        <v>708</v>
      </c>
      <c r="AB3343" s="2" t="s">
        <v>14669</v>
      </c>
      <c r="AC3343" s="4" t="s">
        <v>44</v>
      </c>
    </row>
    <row r="3344" spans="1:29" x14ac:dyDescent="0.25">
      <c r="A3344" s="1">
        <v>859</v>
      </c>
      <c r="B3344" s="17" t="s">
        <v>14828</v>
      </c>
      <c r="C3344" s="2" t="s">
        <v>14829</v>
      </c>
      <c r="D3344" s="15" t="s">
        <v>8564</v>
      </c>
      <c r="E3344" s="9" t="s">
        <v>643</v>
      </c>
      <c r="F3344" s="9" t="s">
        <v>1104</v>
      </c>
      <c r="G3344" s="9" t="s">
        <v>325</v>
      </c>
      <c r="H3344" s="2" t="s">
        <v>35</v>
      </c>
      <c r="I3344" s="3">
        <v>37235</v>
      </c>
      <c r="J3344" s="9" t="str">
        <f t="shared" ca="1" si="55"/>
        <v>21 ans</v>
      </c>
      <c r="K3344" s="2" t="s">
        <v>262</v>
      </c>
      <c r="L3344" s="2" t="str">
        <f>"2021"</f>
        <v>2021</v>
      </c>
      <c r="M3344" s="2"/>
      <c r="N3344" s="2" t="str">
        <f>"RUE LAVERDURE"</f>
        <v>RUE LAVERDURE</v>
      </c>
      <c r="O3344" s="2" t="s">
        <v>14661</v>
      </c>
      <c r="P3344" s="9" t="str">
        <f>VLOOKUP($O3344,'Liste des Villes'!$B$2:$B$1128,1,FALSE)</f>
        <v>Mirabel</v>
      </c>
      <c r="Q3344" s="9" t="str">
        <f>IFERROR($P3344,PROPER(VLOOKUP($O3344,'Villes en erreur'!$A$2:$B$72,2,FALSE)))</f>
        <v>Mirabel</v>
      </c>
      <c r="R3344" s="9" t="s">
        <v>14662</v>
      </c>
      <c r="S3344" s="9" t="str">
        <f>IF(ISBLANK($R3344),"",VLOOKUP($R3344,'Liste des Villes'!$B$2:$H$1128,4,FALSE))</f>
        <v>Laurentides</v>
      </c>
      <c r="T3344" s="2" t="s">
        <v>14830</v>
      </c>
      <c r="U3344" s="2" t="s">
        <v>39</v>
      </c>
      <c r="V3344" s="2" t="s">
        <v>40</v>
      </c>
      <c r="W3344" s="2" t="s">
        <v>14831</v>
      </c>
      <c r="X3344" s="2"/>
      <c r="Y3344" s="2"/>
      <c r="Z3344" s="2"/>
      <c r="AA3344" s="2" t="s">
        <v>708</v>
      </c>
      <c r="AB3344" s="2" t="s">
        <v>14669</v>
      </c>
      <c r="AC3344" s="4" t="s">
        <v>44</v>
      </c>
    </row>
    <row r="3345" spans="1:29" x14ac:dyDescent="0.25">
      <c r="A3345" s="1">
        <v>3282</v>
      </c>
      <c r="B3345" s="17" t="s">
        <v>14832</v>
      </c>
      <c r="C3345" s="2" t="s">
        <v>13802</v>
      </c>
      <c r="D3345" s="15" t="s">
        <v>562</v>
      </c>
      <c r="E3345" s="9" t="s">
        <v>13803</v>
      </c>
      <c r="F3345" s="9" t="s">
        <v>599</v>
      </c>
      <c r="G3345" s="9" t="s">
        <v>1176</v>
      </c>
      <c r="H3345" s="2" t="s">
        <v>60</v>
      </c>
      <c r="I3345" s="3">
        <v>37193</v>
      </c>
      <c r="J3345" s="9" t="str">
        <f t="shared" ca="1" si="55"/>
        <v>21 ans</v>
      </c>
      <c r="K3345" s="2" t="s">
        <v>262</v>
      </c>
      <c r="L3345" s="2" t="str">
        <f>"1716"</f>
        <v>1716</v>
      </c>
      <c r="M3345" s="2"/>
      <c r="N3345" s="2" t="str">
        <f>"RUE LABELLE"</f>
        <v>RUE LABELLE</v>
      </c>
      <c r="O3345" s="2" t="s">
        <v>14661</v>
      </c>
      <c r="P3345" s="9" t="str">
        <f>VLOOKUP($O3345,'Liste des Villes'!$B$2:$B$1128,1,FALSE)</f>
        <v>Mirabel</v>
      </c>
      <c r="Q3345" s="9" t="str">
        <f>IFERROR($P3345,PROPER(VLOOKUP($O3345,'Villes en erreur'!$A$2:$B$72,2,FALSE)))</f>
        <v>Mirabel</v>
      </c>
      <c r="R3345" s="9" t="s">
        <v>14662</v>
      </c>
      <c r="S3345" s="9" t="str">
        <f>IF(ISBLANK($R3345),"",VLOOKUP($R3345,'Liste des Villes'!$B$2:$H$1128,4,FALSE))</f>
        <v>Laurentides</v>
      </c>
      <c r="T3345" s="2" t="s">
        <v>14833</v>
      </c>
      <c r="U3345" s="2" t="s">
        <v>39</v>
      </c>
      <c r="V3345" s="2" t="s">
        <v>40</v>
      </c>
      <c r="W3345" s="2" t="s">
        <v>14834</v>
      </c>
      <c r="X3345" s="2"/>
      <c r="Y3345" s="2"/>
      <c r="Z3345" s="2"/>
      <c r="AA3345" s="2" t="s">
        <v>708</v>
      </c>
      <c r="AB3345" s="2" t="s">
        <v>14669</v>
      </c>
      <c r="AC3345" s="4" t="s">
        <v>44</v>
      </c>
    </row>
    <row r="3346" spans="1:29" x14ac:dyDescent="0.25">
      <c r="A3346" s="1">
        <v>2359</v>
      </c>
      <c r="B3346" s="17" t="s">
        <v>14835</v>
      </c>
      <c r="C3346" s="2" t="s">
        <v>14836</v>
      </c>
      <c r="D3346" s="15" t="s">
        <v>9272</v>
      </c>
      <c r="E3346" s="9" t="s">
        <v>14837</v>
      </c>
      <c r="F3346" s="9" t="s">
        <v>9271</v>
      </c>
      <c r="G3346" s="9" t="s">
        <v>5865</v>
      </c>
      <c r="H3346" s="2" t="s">
        <v>35</v>
      </c>
      <c r="I3346" s="3">
        <v>37099</v>
      </c>
      <c r="J3346" s="9" t="str">
        <f t="shared" ca="1" si="55"/>
        <v>22 ans</v>
      </c>
      <c r="K3346" s="2" t="s">
        <v>156</v>
      </c>
      <c r="L3346" s="2" t="str">
        <f>"1235"</f>
        <v>1235</v>
      </c>
      <c r="M3346" s="2"/>
      <c r="N3346" s="2" t="str">
        <f>"RUE FRANÇOIS"</f>
        <v>RUE FRANÇOIS</v>
      </c>
      <c r="O3346" s="2" t="s">
        <v>14661</v>
      </c>
      <c r="P3346" s="9" t="str">
        <f>VLOOKUP($O3346,'Liste des Villes'!$B$2:$B$1128,1,FALSE)</f>
        <v>Mirabel</v>
      </c>
      <c r="Q3346" s="9" t="str">
        <f>IFERROR($P3346,PROPER(VLOOKUP($O3346,'Villes en erreur'!$A$2:$B$72,2,FALSE)))</f>
        <v>Mirabel</v>
      </c>
      <c r="R3346" s="9" t="s">
        <v>14662</v>
      </c>
      <c r="S3346" s="9" t="str">
        <f>IF(ISBLANK($R3346),"",VLOOKUP($R3346,'Liste des Villes'!$B$2:$H$1128,4,FALSE))</f>
        <v>Laurentides</v>
      </c>
      <c r="T3346" s="2" t="s">
        <v>14838</v>
      </c>
      <c r="U3346" s="2" t="s">
        <v>39</v>
      </c>
      <c r="V3346" s="2" t="s">
        <v>40</v>
      </c>
      <c r="W3346" s="2" t="s">
        <v>14839</v>
      </c>
      <c r="X3346" s="2"/>
      <c r="Y3346" s="2"/>
      <c r="Z3346" s="2"/>
      <c r="AA3346" s="2" t="s">
        <v>375</v>
      </c>
      <c r="AB3346" s="2" t="s">
        <v>376</v>
      </c>
      <c r="AC3346" s="4" t="s">
        <v>44</v>
      </c>
    </row>
    <row r="3347" spans="1:29" x14ac:dyDescent="0.25">
      <c r="A3347" s="1">
        <v>578</v>
      </c>
      <c r="B3347" s="17" t="s">
        <v>14840</v>
      </c>
      <c r="C3347" s="2" t="s">
        <v>14841</v>
      </c>
      <c r="D3347" s="15" t="s">
        <v>4099</v>
      </c>
      <c r="E3347" s="9" t="s">
        <v>14467</v>
      </c>
      <c r="F3347" s="9" t="s">
        <v>4098</v>
      </c>
      <c r="G3347" s="9" t="s">
        <v>1650</v>
      </c>
      <c r="H3347" s="2" t="s">
        <v>35</v>
      </c>
      <c r="I3347" s="3">
        <v>37125</v>
      </c>
      <c r="J3347" s="9" t="str">
        <f t="shared" ca="1" si="55"/>
        <v>22 ans</v>
      </c>
      <c r="K3347" s="2" t="s">
        <v>156</v>
      </c>
      <c r="L3347" s="2" t="str">
        <f>"1327"</f>
        <v>1327</v>
      </c>
      <c r="M3347" s="2"/>
      <c r="N3347" s="2" t="str">
        <f>"RUE GRENIER"</f>
        <v>RUE GRENIER</v>
      </c>
      <c r="O3347" s="2" t="s">
        <v>14661</v>
      </c>
      <c r="P3347" s="9" t="str">
        <f>VLOOKUP($O3347,'Liste des Villes'!$B$2:$B$1128,1,FALSE)</f>
        <v>Mirabel</v>
      </c>
      <c r="Q3347" s="9" t="str">
        <f>IFERROR($P3347,PROPER(VLOOKUP($O3347,'Villes en erreur'!$A$2:$B$72,2,FALSE)))</f>
        <v>Mirabel</v>
      </c>
      <c r="R3347" s="9" t="s">
        <v>14662</v>
      </c>
      <c r="S3347" s="9" t="str">
        <f>IF(ISBLANK($R3347),"",VLOOKUP($R3347,'Liste des Villes'!$B$2:$H$1128,4,FALSE))</f>
        <v>Laurentides</v>
      </c>
      <c r="T3347" s="2" t="s">
        <v>14681</v>
      </c>
      <c r="U3347" s="2" t="s">
        <v>39</v>
      </c>
      <c r="V3347" s="2" t="s">
        <v>40</v>
      </c>
      <c r="W3347" s="2" t="s">
        <v>14842</v>
      </c>
      <c r="X3347" s="2"/>
      <c r="Y3347" s="2"/>
      <c r="Z3347" s="2"/>
      <c r="AA3347" s="2" t="s">
        <v>375</v>
      </c>
      <c r="AB3347" s="2" t="s">
        <v>376</v>
      </c>
      <c r="AC3347" s="4" t="s">
        <v>44</v>
      </c>
    </row>
    <row r="3348" spans="1:29" x14ac:dyDescent="0.25">
      <c r="A3348" s="1">
        <v>2198</v>
      </c>
      <c r="B3348" s="17" t="s">
        <v>14843</v>
      </c>
      <c r="C3348" s="2" t="s">
        <v>14844</v>
      </c>
      <c r="D3348" s="15" t="s">
        <v>14845</v>
      </c>
      <c r="E3348" s="9" t="s">
        <v>3595</v>
      </c>
      <c r="F3348" s="9" t="s">
        <v>7033</v>
      </c>
      <c r="G3348" s="9" t="s">
        <v>5476</v>
      </c>
      <c r="H3348" s="2" t="s">
        <v>35</v>
      </c>
      <c r="I3348" s="3">
        <v>37136</v>
      </c>
      <c r="J3348" s="9" t="str">
        <f t="shared" ca="1" si="55"/>
        <v>21 ans</v>
      </c>
      <c r="K3348" s="2" t="s">
        <v>156</v>
      </c>
      <c r="L3348" s="2" t="str">
        <f>"1375"</f>
        <v>1375</v>
      </c>
      <c r="M3348" s="2"/>
      <c r="N3348" s="2" t="str">
        <f>"RUE HENRI-PICHÉ"</f>
        <v>RUE HENRI-PICHÉ</v>
      </c>
      <c r="O3348" s="2" t="s">
        <v>14661</v>
      </c>
      <c r="P3348" s="9" t="str">
        <f>VLOOKUP($O3348,'Liste des Villes'!$B$2:$B$1128,1,FALSE)</f>
        <v>Mirabel</v>
      </c>
      <c r="Q3348" s="9" t="str">
        <f>IFERROR($P3348,PROPER(VLOOKUP($O3348,'Villes en erreur'!$A$2:$B$72,2,FALSE)))</f>
        <v>Mirabel</v>
      </c>
      <c r="R3348" s="9" t="s">
        <v>14662</v>
      </c>
      <c r="S3348" s="9" t="str">
        <f>IF(ISBLANK($R3348),"",VLOOKUP($R3348,'Liste des Villes'!$B$2:$H$1128,4,FALSE))</f>
        <v>Laurentides</v>
      </c>
      <c r="T3348" s="2" t="s">
        <v>14846</v>
      </c>
      <c r="U3348" s="2" t="s">
        <v>39</v>
      </c>
      <c r="V3348" s="2" t="s">
        <v>40</v>
      </c>
      <c r="W3348" s="2" t="s">
        <v>14847</v>
      </c>
      <c r="X3348" s="2"/>
      <c r="Y3348" s="2"/>
      <c r="Z3348" s="2"/>
      <c r="AA3348" s="2" t="s">
        <v>708</v>
      </c>
      <c r="AB3348" s="2" t="s">
        <v>376</v>
      </c>
      <c r="AC3348" s="4" t="s">
        <v>44</v>
      </c>
    </row>
    <row r="3349" spans="1:29" x14ac:dyDescent="0.25">
      <c r="A3349" s="1">
        <v>534</v>
      </c>
      <c r="B3349" s="17" t="s">
        <v>14848</v>
      </c>
      <c r="C3349" s="2" t="s">
        <v>8757</v>
      </c>
      <c r="D3349" s="15" t="s">
        <v>3133</v>
      </c>
      <c r="E3349" s="9" t="s">
        <v>354</v>
      </c>
      <c r="F3349" s="9" t="s">
        <v>4547</v>
      </c>
      <c r="G3349" s="9" t="s">
        <v>6044</v>
      </c>
      <c r="H3349" s="2" t="s">
        <v>60</v>
      </c>
      <c r="I3349" s="3">
        <v>37109</v>
      </c>
      <c r="J3349" s="9" t="str">
        <f t="shared" ca="1" si="55"/>
        <v>22 ans</v>
      </c>
      <c r="K3349" s="2" t="s">
        <v>156</v>
      </c>
      <c r="L3349" s="2" t="str">
        <f>"1259"</f>
        <v>1259</v>
      </c>
      <c r="M3349" s="2"/>
      <c r="N3349" s="2" t="str">
        <f>"RUE GAUDREAU"</f>
        <v>RUE GAUDREAU</v>
      </c>
      <c r="O3349" s="2" t="s">
        <v>14661</v>
      </c>
      <c r="P3349" s="9" t="str">
        <f>VLOOKUP($O3349,'Liste des Villes'!$B$2:$B$1128,1,FALSE)</f>
        <v>Mirabel</v>
      </c>
      <c r="Q3349" s="9" t="str">
        <f>IFERROR($P3349,PROPER(VLOOKUP($O3349,'Villes en erreur'!$A$2:$B$72,2,FALSE)))</f>
        <v>Mirabel</v>
      </c>
      <c r="R3349" s="9" t="s">
        <v>14662</v>
      </c>
      <c r="S3349" s="9" t="str">
        <f>IF(ISBLANK($R3349),"",VLOOKUP($R3349,'Liste des Villes'!$B$2:$H$1128,4,FALSE))</f>
        <v>Laurentides</v>
      </c>
      <c r="T3349" s="2" t="s">
        <v>14849</v>
      </c>
      <c r="U3349" s="2" t="s">
        <v>39</v>
      </c>
      <c r="V3349" s="2" t="s">
        <v>40</v>
      </c>
      <c r="W3349" s="2" t="s">
        <v>14850</v>
      </c>
      <c r="X3349" s="2"/>
      <c r="Y3349" s="2"/>
      <c r="Z3349" s="2"/>
      <c r="AA3349" s="2" t="s">
        <v>375</v>
      </c>
      <c r="AB3349" s="2" t="s">
        <v>376</v>
      </c>
      <c r="AC3349" s="4" t="s">
        <v>44</v>
      </c>
    </row>
    <row r="3350" spans="1:29" x14ac:dyDescent="0.25">
      <c r="A3350" s="1">
        <v>216</v>
      </c>
      <c r="B3350" s="17" t="s">
        <v>14851</v>
      </c>
      <c r="C3350" s="2" t="s">
        <v>14852</v>
      </c>
      <c r="D3350" s="15" t="s">
        <v>14853</v>
      </c>
      <c r="E3350" s="9" t="s">
        <v>5763</v>
      </c>
      <c r="F3350" s="9" t="s">
        <v>1746</v>
      </c>
      <c r="G3350" s="9" t="s">
        <v>5528</v>
      </c>
      <c r="H3350" s="2" t="s">
        <v>60</v>
      </c>
      <c r="I3350" s="3">
        <v>37083</v>
      </c>
      <c r="J3350" s="9" t="str">
        <f t="shared" ca="1" si="55"/>
        <v>22 ans</v>
      </c>
      <c r="K3350" s="2" t="s">
        <v>156</v>
      </c>
      <c r="L3350" s="2" t="str">
        <f>"1172"</f>
        <v>1172</v>
      </c>
      <c r="M3350" s="2"/>
      <c r="N3350" s="2" t="str">
        <f>"RUE FÉLIX-LECLERC"</f>
        <v>RUE FÉLIX-LECLERC</v>
      </c>
      <c r="O3350" s="2" t="s">
        <v>14661</v>
      </c>
      <c r="P3350" s="9" t="str">
        <f>VLOOKUP($O3350,'Liste des Villes'!$B$2:$B$1128,1,FALSE)</f>
        <v>Mirabel</v>
      </c>
      <c r="Q3350" s="9" t="str">
        <f>IFERROR($P3350,PROPER(VLOOKUP($O3350,'Villes en erreur'!$A$2:$B$72,2,FALSE)))</f>
        <v>Mirabel</v>
      </c>
      <c r="R3350" s="9" t="s">
        <v>14662</v>
      </c>
      <c r="S3350" s="9" t="str">
        <f>IF(ISBLANK($R3350),"",VLOOKUP($R3350,'Liste des Villes'!$B$2:$H$1128,4,FALSE))</f>
        <v>Laurentides</v>
      </c>
      <c r="T3350" s="2" t="s">
        <v>14854</v>
      </c>
      <c r="U3350" s="2" t="s">
        <v>39</v>
      </c>
      <c r="V3350" s="2" t="s">
        <v>40</v>
      </c>
      <c r="W3350" s="2" t="s">
        <v>14855</v>
      </c>
      <c r="X3350" s="2"/>
      <c r="Y3350" s="2"/>
      <c r="Z3350" s="2"/>
      <c r="AA3350" s="2" t="s">
        <v>375</v>
      </c>
      <c r="AB3350" s="2" t="s">
        <v>376</v>
      </c>
      <c r="AC3350" s="4" t="s">
        <v>44</v>
      </c>
    </row>
    <row r="3351" spans="1:29" x14ac:dyDescent="0.25">
      <c r="A3351" s="1">
        <v>3759</v>
      </c>
      <c r="B3351" s="17" t="s">
        <v>14856</v>
      </c>
      <c r="C3351" s="2" t="s">
        <v>14857</v>
      </c>
      <c r="D3351" s="15" t="s">
        <v>4962</v>
      </c>
      <c r="E3351" s="9" t="s">
        <v>3451</v>
      </c>
      <c r="F3351" s="9" t="s">
        <v>961</v>
      </c>
      <c r="G3351" s="9" t="s">
        <v>4243</v>
      </c>
      <c r="H3351" s="2" t="s">
        <v>60</v>
      </c>
      <c r="I3351" s="3">
        <v>37165</v>
      </c>
      <c r="J3351" s="9" t="str">
        <f t="shared" ca="1" si="55"/>
        <v>21 ans</v>
      </c>
      <c r="K3351" s="2" t="s">
        <v>156</v>
      </c>
      <c r="L3351" s="2" t="str">
        <f>"1547"</f>
        <v>1547</v>
      </c>
      <c r="M3351" s="2"/>
      <c r="N3351" s="2" t="str">
        <f>"RUE JEAN-MARC-DANSRO"</f>
        <v>RUE JEAN-MARC-DANSRO</v>
      </c>
      <c r="O3351" s="2" t="s">
        <v>14661</v>
      </c>
      <c r="P3351" s="9" t="str">
        <f>VLOOKUP($O3351,'Liste des Villes'!$B$2:$B$1128,1,FALSE)</f>
        <v>Mirabel</v>
      </c>
      <c r="Q3351" s="9" t="str">
        <f>IFERROR($P3351,PROPER(VLOOKUP($O3351,'Villes en erreur'!$A$2:$B$72,2,FALSE)))</f>
        <v>Mirabel</v>
      </c>
      <c r="R3351" s="9" t="s">
        <v>14662</v>
      </c>
      <c r="S3351" s="9" t="str">
        <f>IF(ISBLANK($R3351),"",VLOOKUP($R3351,'Liste des Villes'!$B$2:$H$1128,4,FALSE))</f>
        <v>Laurentides</v>
      </c>
      <c r="T3351" s="2" t="s">
        <v>14858</v>
      </c>
      <c r="U3351" s="2" t="s">
        <v>39</v>
      </c>
      <c r="V3351" s="2" t="s">
        <v>40</v>
      </c>
      <c r="W3351" s="2" t="s">
        <v>14859</v>
      </c>
      <c r="X3351" s="2"/>
      <c r="Y3351" s="2"/>
      <c r="Z3351" s="2"/>
      <c r="AA3351" s="2" t="s">
        <v>708</v>
      </c>
      <c r="AB3351" s="2" t="s">
        <v>376</v>
      </c>
      <c r="AC3351" s="4" t="s">
        <v>44</v>
      </c>
    </row>
    <row r="3352" spans="1:29" x14ac:dyDescent="0.25">
      <c r="A3352" s="1">
        <v>2548</v>
      </c>
      <c r="B3352" s="17" t="s">
        <v>14860</v>
      </c>
      <c r="C3352" s="2" t="s">
        <v>14861</v>
      </c>
      <c r="D3352" s="15" t="s">
        <v>304</v>
      </c>
      <c r="E3352" s="9" t="s">
        <v>14862</v>
      </c>
      <c r="F3352" s="9" t="s">
        <v>14863</v>
      </c>
      <c r="G3352" s="9" t="s">
        <v>5116</v>
      </c>
      <c r="H3352" s="2" t="s">
        <v>60</v>
      </c>
      <c r="I3352" s="3">
        <v>37123</v>
      </c>
      <c r="J3352" s="9" t="str">
        <f t="shared" ca="1" si="55"/>
        <v>22 ans</v>
      </c>
      <c r="K3352" s="2" t="s">
        <v>156</v>
      </c>
      <c r="L3352" s="2" t="str">
        <f>"1318"</f>
        <v>1318</v>
      </c>
      <c r="M3352" s="2"/>
      <c r="N3352" s="2" t="str">
        <f>"RUE GRACE"</f>
        <v>RUE GRACE</v>
      </c>
      <c r="O3352" s="2" t="s">
        <v>14661</v>
      </c>
      <c r="P3352" s="9" t="str">
        <f>VLOOKUP($O3352,'Liste des Villes'!$B$2:$B$1128,1,FALSE)</f>
        <v>Mirabel</v>
      </c>
      <c r="Q3352" s="9" t="str">
        <f>IFERROR($P3352,PROPER(VLOOKUP($O3352,'Villes en erreur'!$A$2:$B$72,2,FALSE)))</f>
        <v>Mirabel</v>
      </c>
      <c r="R3352" s="9" t="s">
        <v>14662</v>
      </c>
      <c r="S3352" s="9" t="str">
        <f>IF(ISBLANK($R3352),"",VLOOKUP($R3352,'Liste des Villes'!$B$2:$H$1128,4,FALSE))</f>
        <v>Laurentides</v>
      </c>
      <c r="T3352" s="2" t="s">
        <v>14864</v>
      </c>
      <c r="U3352" s="2" t="s">
        <v>39</v>
      </c>
      <c r="V3352" s="2" t="s">
        <v>40</v>
      </c>
      <c r="W3352" s="2" t="s">
        <v>14865</v>
      </c>
      <c r="X3352" s="2"/>
      <c r="Y3352" s="2"/>
      <c r="Z3352" s="2"/>
      <c r="AA3352" s="2" t="s">
        <v>375</v>
      </c>
      <c r="AB3352" s="2" t="s">
        <v>376</v>
      </c>
      <c r="AC3352" s="4" t="s">
        <v>44</v>
      </c>
    </row>
    <row r="3353" spans="1:29" x14ac:dyDescent="0.25">
      <c r="A3353" s="1">
        <v>193</v>
      </c>
      <c r="B3353" s="17" t="s">
        <v>14866</v>
      </c>
      <c r="C3353" s="2" t="s">
        <v>14867</v>
      </c>
      <c r="D3353" s="15" t="s">
        <v>3575</v>
      </c>
      <c r="E3353" s="9" t="s">
        <v>1416</v>
      </c>
      <c r="F3353" s="9" t="s">
        <v>6594</v>
      </c>
      <c r="G3353" s="9" t="s">
        <v>14868</v>
      </c>
      <c r="H3353" s="2" t="s">
        <v>35</v>
      </c>
      <c r="I3353" s="3">
        <v>37224</v>
      </c>
      <c r="J3353" s="9" t="str">
        <f t="shared" ca="1" si="55"/>
        <v>21 ans</v>
      </c>
      <c r="K3353" s="2" t="s">
        <v>262</v>
      </c>
      <c r="L3353" s="2" t="str">
        <f>"1965"</f>
        <v>1965</v>
      </c>
      <c r="M3353" s="2"/>
      <c r="N3353" s="2" t="str">
        <f>"RUE LATOUR"</f>
        <v>RUE LATOUR</v>
      </c>
      <c r="O3353" s="2" t="s">
        <v>14661</v>
      </c>
      <c r="P3353" s="9" t="str">
        <f>VLOOKUP($O3353,'Liste des Villes'!$B$2:$B$1128,1,FALSE)</f>
        <v>Mirabel</v>
      </c>
      <c r="Q3353" s="9" t="str">
        <f>IFERROR($P3353,PROPER(VLOOKUP($O3353,'Villes en erreur'!$A$2:$B$72,2,FALSE)))</f>
        <v>Mirabel</v>
      </c>
      <c r="R3353" s="9" t="s">
        <v>14662</v>
      </c>
      <c r="S3353" s="9" t="str">
        <f>IF(ISBLANK($R3353),"",VLOOKUP($R3353,'Liste des Villes'!$B$2:$H$1128,4,FALSE))</f>
        <v>Laurentides</v>
      </c>
      <c r="T3353" s="2" t="s">
        <v>14869</v>
      </c>
      <c r="U3353" s="2" t="s">
        <v>39</v>
      </c>
      <c r="V3353" s="2" t="s">
        <v>40</v>
      </c>
      <c r="W3353" s="2" t="s">
        <v>14870</v>
      </c>
      <c r="X3353" s="2"/>
      <c r="Y3353" s="2"/>
      <c r="Z3353" s="2"/>
      <c r="AA3353" s="2" t="s">
        <v>708</v>
      </c>
      <c r="AB3353" s="2" t="s">
        <v>14669</v>
      </c>
      <c r="AC3353" s="4" t="s">
        <v>44</v>
      </c>
    </row>
    <row r="3354" spans="1:29" x14ac:dyDescent="0.25">
      <c r="A3354" s="1">
        <v>3131</v>
      </c>
      <c r="B3354" s="17" t="s">
        <v>14871</v>
      </c>
      <c r="C3354" s="2" t="s">
        <v>11221</v>
      </c>
      <c r="D3354" s="15" t="s">
        <v>3843</v>
      </c>
      <c r="E3354" s="9" t="s">
        <v>5476</v>
      </c>
      <c r="F3354" s="9" t="s">
        <v>31</v>
      </c>
      <c r="G3354" s="9" t="s">
        <v>14872</v>
      </c>
      <c r="H3354" s="2" t="s">
        <v>60</v>
      </c>
      <c r="I3354" s="3">
        <v>37097</v>
      </c>
      <c r="J3354" s="9" t="str">
        <f t="shared" ca="1" si="55"/>
        <v>22 ans</v>
      </c>
      <c r="K3354" s="2" t="s">
        <v>156</v>
      </c>
      <c r="L3354" s="2" t="str">
        <f>"1217"</f>
        <v>1217</v>
      </c>
      <c r="M3354" s="2"/>
      <c r="N3354" s="2" t="str">
        <f>"RUE FOURNIER"</f>
        <v>RUE FOURNIER</v>
      </c>
      <c r="O3354" s="2" t="s">
        <v>14661</v>
      </c>
      <c r="P3354" s="9" t="str">
        <f>VLOOKUP($O3354,'Liste des Villes'!$B$2:$B$1128,1,FALSE)</f>
        <v>Mirabel</v>
      </c>
      <c r="Q3354" s="9" t="str">
        <f>IFERROR($P3354,PROPER(VLOOKUP($O3354,'Villes en erreur'!$A$2:$B$72,2,FALSE)))</f>
        <v>Mirabel</v>
      </c>
      <c r="R3354" s="9" t="s">
        <v>14662</v>
      </c>
      <c r="S3354" s="9" t="str">
        <f>IF(ISBLANK($R3354),"",VLOOKUP($R3354,'Liste des Villes'!$B$2:$H$1128,4,FALSE))</f>
        <v>Laurentides</v>
      </c>
      <c r="T3354" s="2" t="s">
        <v>14791</v>
      </c>
      <c r="U3354" s="2" t="s">
        <v>39</v>
      </c>
      <c r="V3354" s="2" t="s">
        <v>40</v>
      </c>
      <c r="W3354" s="2" t="s">
        <v>14873</v>
      </c>
      <c r="X3354" s="2"/>
      <c r="Y3354" s="2"/>
      <c r="Z3354" s="2"/>
      <c r="AA3354" s="2" t="s">
        <v>375</v>
      </c>
      <c r="AB3354" s="2" t="s">
        <v>376</v>
      </c>
      <c r="AC3354" s="4" t="s">
        <v>44</v>
      </c>
    </row>
    <row r="3355" spans="1:29" x14ac:dyDescent="0.25">
      <c r="A3355" s="1">
        <v>815</v>
      </c>
      <c r="B3355" s="17" t="s">
        <v>14874</v>
      </c>
      <c r="C3355" s="2" t="s">
        <v>4283</v>
      </c>
      <c r="D3355" s="15" t="s">
        <v>875</v>
      </c>
      <c r="E3355" s="9" t="s">
        <v>3574</v>
      </c>
      <c r="F3355" s="9" t="s">
        <v>14875</v>
      </c>
      <c r="G3355" s="9" t="s">
        <v>976</v>
      </c>
      <c r="H3355" s="2" t="s">
        <v>60</v>
      </c>
      <c r="I3355" s="3">
        <v>37156</v>
      </c>
      <c r="J3355" s="9" t="str">
        <f t="shared" ca="1" si="55"/>
        <v>21 ans</v>
      </c>
      <c r="K3355" s="2" t="s">
        <v>156</v>
      </c>
      <c r="L3355" s="2" t="str">
        <f>"1491"</f>
        <v>1491</v>
      </c>
      <c r="M3355" s="2"/>
      <c r="N3355" s="2" t="str">
        <f>"RUE JAMES-PORTEOUS"</f>
        <v>RUE JAMES-PORTEOUS</v>
      </c>
      <c r="O3355" s="2" t="s">
        <v>14661</v>
      </c>
      <c r="P3355" s="9" t="str">
        <f>VLOOKUP($O3355,'Liste des Villes'!$B$2:$B$1128,1,FALSE)</f>
        <v>Mirabel</v>
      </c>
      <c r="Q3355" s="9" t="str">
        <f>IFERROR($P3355,PROPER(VLOOKUP($O3355,'Villes en erreur'!$A$2:$B$72,2,FALSE)))</f>
        <v>Mirabel</v>
      </c>
      <c r="R3355" s="9" t="s">
        <v>14662</v>
      </c>
      <c r="S3355" s="9" t="str">
        <f>IF(ISBLANK($R3355),"",VLOOKUP($R3355,'Liste des Villes'!$B$2:$H$1128,4,FALSE))</f>
        <v>Laurentides</v>
      </c>
      <c r="T3355" s="2" t="s">
        <v>14876</v>
      </c>
      <c r="U3355" s="2" t="s">
        <v>39</v>
      </c>
      <c r="V3355" s="2" t="s">
        <v>40</v>
      </c>
      <c r="W3355" s="2" t="s">
        <v>14877</v>
      </c>
      <c r="X3355" s="2"/>
      <c r="Y3355" s="2"/>
      <c r="Z3355" s="2"/>
      <c r="AA3355" s="2" t="s">
        <v>708</v>
      </c>
      <c r="AB3355" s="2" t="s">
        <v>376</v>
      </c>
      <c r="AC3355" s="4" t="s">
        <v>44</v>
      </c>
    </row>
    <row r="3356" spans="1:29" x14ac:dyDescent="0.25">
      <c r="A3356" s="1">
        <v>603</v>
      </c>
      <c r="B3356" s="17" t="s">
        <v>14878</v>
      </c>
      <c r="C3356" s="2" t="s">
        <v>14265</v>
      </c>
      <c r="D3356" s="15" t="s">
        <v>14266</v>
      </c>
      <c r="E3356" s="9" t="s">
        <v>956</v>
      </c>
      <c r="F3356" s="9" t="s">
        <v>957</v>
      </c>
      <c r="G3356" s="9" t="s">
        <v>6244</v>
      </c>
      <c r="H3356" s="2" t="s">
        <v>60</v>
      </c>
      <c r="I3356" s="3">
        <v>37177</v>
      </c>
      <c r="J3356" s="9" t="str">
        <f t="shared" ca="1" si="55"/>
        <v>21 ans</v>
      </c>
      <c r="K3356" s="2" t="s">
        <v>156</v>
      </c>
      <c r="L3356" s="2" t="str">
        <f>"1638"</f>
        <v>1638</v>
      </c>
      <c r="M3356" s="2"/>
      <c r="N3356" s="2" t="str">
        <f>"RUE JOSEPH-AUBIN"</f>
        <v>RUE JOSEPH-AUBIN</v>
      </c>
      <c r="O3356" s="2" t="s">
        <v>14661</v>
      </c>
      <c r="P3356" s="9" t="str">
        <f>VLOOKUP($O3356,'Liste des Villes'!$B$2:$B$1128,1,FALSE)</f>
        <v>Mirabel</v>
      </c>
      <c r="Q3356" s="9" t="str">
        <f>IFERROR($P3356,PROPER(VLOOKUP($O3356,'Villes en erreur'!$A$2:$B$72,2,FALSE)))</f>
        <v>Mirabel</v>
      </c>
      <c r="R3356" s="9" t="s">
        <v>14662</v>
      </c>
      <c r="S3356" s="9" t="str">
        <f>IF(ISBLANK($R3356),"",VLOOKUP($R3356,'Liste des Villes'!$B$2:$H$1128,4,FALSE))</f>
        <v>Laurentides</v>
      </c>
      <c r="T3356" s="2" t="s">
        <v>14879</v>
      </c>
      <c r="U3356" s="2" t="s">
        <v>39</v>
      </c>
      <c r="V3356" s="2" t="s">
        <v>40</v>
      </c>
      <c r="W3356" s="2" t="s">
        <v>14880</v>
      </c>
      <c r="X3356" s="2"/>
      <c r="Y3356" s="2"/>
      <c r="Z3356" s="2"/>
      <c r="AA3356" s="2" t="s">
        <v>708</v>
      </c>
      <c r="AB3356" s="2" t="s">
        <v>14669</v>
      </c>
      <c r="AC3356" s="4" t="s">
        <v>44</v>
      </c>
    </row>
    <row r="3357" spans="1:29" x14ac:dyDescent="0.25">
      <c r="A3357" s="1">
        <v>536</v>
      </c>
      <c r="B3357" s="17" t="s">
        <v>14881</v>
      </c>
      <c r="C3357" s="2" t="s">
        <v>10701</v>
      </c>
      <c r="D3357" s="15" t="s">
        <v>2580</v>
      </c>
      <c r="E3357" s="9" t="s">
        <v>396</v>
      </c>
      <c r="F3357" s="9" t="s">
        <v>3694</v>
      </c>
      <c r="G3357" s="9" t="s">
        <v>325</v>
      </c>
      <c r="H3357" s="2" t="s">
        <v>35</v>
      </c>
      <c r="I3357" s="3">
        <v>37231</v>
      </c>
      <c r="J3357" s="9" t="str">
        <f t="shared" ca="1" si="55"/>
        <v>21 ans</v>
      </c>
      <c r="K3357" s="2" t="s">
        <v>262</v>
      </c>
      <c r="L3357" s="2" t="str">
        <f>"2003"</f>
        <v>2003</v>
      </c>
      <c r="M3357" s="2"/>
      <c r="N3357" s="2" t="str">
        <f>"RUE LAUZON"</f>
        <v>RUE LAUZON</v>
      </c>
      <c r="O3357" s="2" t="s">
        <v>14661</v>
      </c>
      <c r="P3357" s="9" t="str">
        <f>VLOOKUP($O3357,'Liste des Villes'!$B$2:$B$1128,1,FALSE)</f>
        <v>Mirabel</v>
      </c>
      <c r="Q3357" s="9" t="str">
        <f>IFERROR($P3357,PROPER(VLOOKUP($O3357,'Villes en erreur'!$A$2:$B$72,2,FALSE)))</f>
        <v>Mirabel</v>
      </c>
      <c r="R3357" s="9" t="s">
        <v>14662</v>
      </c>
      <c r="S3357" s="9" t="str">
        <f>IF(ISBLANK($R3357),"",VLOOKUP($R3357,'Liste des Villes'!$B$2:$H$1128,4,FALSE))</f>
        <v>Laurentides</v>
      </c>
      <c r="T3357" s="2" t="s">
        <v>14882</v>
      </c>
      <c r="U3357" s="2" t="s">
        <v>39</v>
      </c>
      <c r="V3357" s="2" t="s">
        <v>40</v>
      </c>
      <c r="W3357" s="2" t="s">
        <v>14883</v>
      </c>
      <c r="X3357" s="2"/>
      <c r="Y3357" s="2"/>
      <c r="Z3357" s="2"/>
      <c r="AA3357" s="2" t="s">
        <v>708</v>
      </c>
      <c r="AB3357" s="2" t="s">
        <v>14669</v>
      </c>
      <c r="AC3357" s="4" t="s">
        <v>44</v>
      </c>
    </row>
    <row r="3358" spans="1:29" x14ac:dyDescent="0.25">
      <c r="A3358" s="1">
        <v>4565</v>
      </c>
      <c r="B3358" s="17" t="s">
        <v>14884</v>
      </c>
      <c r="C3358" s="2" t="s">
        <v>14885</v>
      </c>
      <c r="D3358" s="15" t="s">
        <v>11337</v>
      </c>
      <c r="E3358" s="9" t="s">
        <v>14886</v>
      </c>
      <c r="F3358" s="9" t="s">
        <v>11336</v>
      </c>
      <c r="G3358" s="9" t="s">
        <v>13448</v>
      </c>
      <c r="H3358" s="2" t="s">
        <v>60</v>
      </c>
      <c r="I3358" s="3">
        <v>37189</v>
      </c>
      <c r="J3358" s="9" t="str">
        <f t="shared" ca="1" si="55"/>
        <v>21 ans</v>
      </c>
      <c r="K3358" s="2" t="s">
        <v>262</v>
      </c>
      <c r="L3358" s="2" t="str">
        <f>"1705"</f>
        <v>1705</v>
      </c>
      <c r="M3358" s="2"/>
      <c r="N3358" s="2" t="str">
        <f>"RUE LA ROCHELLE"</f>
        <v>RUE LA ROCHELLE</v>
      </c>
      <c r="O3358" s="2" t="s">
        <v>14661</v>
      </c>
      <c r="P3358" s="9" t="str">
        <f>VLOOKUP($O3358,'Liste des Villes'!$B$2:$B$1128,1,FALSE)</f>
        <v>Mirabel</v>
      </c>
      <c r="Q3358" s="9" t="str">
        <f>IFERROR($P3358,PROPER(VLOOKUP($O3358,'Villes en erreur'!$A$2:$B$72,2,FALSE)))</f>
        <v>Mirabel</v>
      </c>
      <c r="R3358" s="9" t="s">
        <v>14662</v>
      </c>
      <c r="S3358" s="9" t="str">
        <f>IF(ISBLANK($R3358),"",VLOOKUP($R3358,'Liste des Villes'!$B$2:$H$1128,4,FALSE))</f>
        <v>Laurentides</v>
      </c>
      <c r="T3358" s="2" t="s">
        <v>14887</v>
      </c>
      <c r="U3358" s="2" t="s">
        <v>39</v>
      </c>
      <c r="V3358" s="2" t="s">
        <v>40</v>
      </c>
      <c r="W3358" s="2" t="s">
        <v>14888</v>
      </c>
      <c r="X3358" s="2"/>
      <c r="Y3358" s="2"/>
      <c r="Z3358" s="2"/>
      <c r="AA3358" s="2" t="s">
        <v>708</v>
      </c>
      <c r="AB3358" s="2" t="s">
        <v>14669</v>
      </c>
      <c r="AC3358" s="4" t="s">
        <v>44</v>
      </c>
    </row>
    <row r="3359" spans="1:29" x14ac:dyDescent="0.25">
      <c r="A3359" s="1">
        <v>1280</v>
      </c>
      <c r="B3359" s="17" t="s">
        <v>14889</v>
      </c>
      <c r="C3359" s="2" t="s">
        <v>7480</v>
      </c>
      <c r="D3359" s="15" t="s">
        <v>7481</v>
      </c>
      <c r="E3359" s="9" t="s">
        <v>1024</v>
      </c>
      <c r="F3359" s="9" t="s">
        <v>1845</v>
      </c>
      <c r="G3359" s="9" t="s">
        <v>10959</v>
      </c>
      <c r="H3359" s="2" t="s">
        <v>35</v>
      </c>
      <c r="I3359" s="3">
        <v>37226</v>
      </c>
      <c r="J3359" s="9" t="str">
        <f t="shared" ca="1" si="55"/>
        <v>21 ans</v>
      </c>
      <c r="K3359" s="2" t="s">
        <v>262</v>
      </c>
      <c r="L3359" s="2" t="str">
        <f>"1977"</f>
        <v>1977</v>
      </c>
      <c r="M3359" s="2"/>
      <c r="N3359" s="2" t="str">
        <f>"RUE LAURIER"</f>
        <v>RUE LAURIER</v>
      </c>
      <c r="O3359" s="2" t="s">
        <v>14661</v>
      </c>
      <c r="P3359" s="9" t="str">
        <f>VLOOKUP($O3359,'Liste des Villes'!$B$2:$B$1128,1,FALSE)</f>
        <v>Mirabel</v>
      </c>
      <c r="Q3359" s="9" t="str">
        <f>IFERROR($P3359,PROPER(VLOOKUP($O3359,'Villes en erreur'!$A$2:$B$72,2,FALSE)))</f>
        <v>Mirabel</v>
      </c>
      <c r="R3359" s="9" t="s">
        <v>14662</v>
      </c>
      <c r="S3359" s="9" t="str">
        <f>IF(ISBLANK($R3359),"",VLOOKUP($R3359,'Liste des Villes'!$B$2:$H$1128,4,FALSE))</f>
        <v>Laurentides</v>
      </c>
      <c r="T3359" s="2" t="s">
        <v>14890</v>
      </c>
      <c r="U3359" s="2" t="s">
        <v>39</v>
      </c>
      <c r="V3359" s="2" t="s">
        <v>40</v>
      </c>
      <c r="W3359" s="2" t="s">
        <v>14891</v>
      </c>
      <c r="X3359" s="2"/>
      <c r="Y3359" s="2"/>
      <c r="Z3359" s="2"/>
      <c r="AA3359" s="2" t="s">
        <v>708</v>
      </c>
      <c r="AB3359" s="2" t="s">
        <v>14669</v>
      </c>
      <c r="AC3359" s="4" t="s">
        <v>44</v>
      </c>
    </row>
    <row r="3360" spans="1:29" x14ac:dyDescent="0.25">
      <c r="A3360" s="1">
        <v>2875</v>
      </c>
      <c r="B3360" s="17" t="s">
        <v>14892</v>
      </c>
      <c r="C3360" s="2" t="s">
        <v>14893</v>
      </c>
      <c r="D3360" s="15" t="s">
        <v>14676</v>
      </c>
      <c r="E3360" s="9" t="s">
        <v>3085</v>
      </c>
      <c r="F3360" s="9" t="s">
        <v>56</v>
      </c>
      <c r="G3360" s="9" t="s">
        <v>4243</v>
      </c>
      <c r="H3360" s="2" t="s">
        <v>60</v>
      </c>
      <c r="I3360" s="3">
        <v>37163</v>
      </c>
      <c r="J3360" s="9" t="str">
        <f t="shared" ca="1" si="55"/>
        <v>21 ans</v>
      </c>
      <c r="K3360" s="2" t="s">
        <v>156</v>
      </c>
      <c r="L3360" s="2" t="str">
        <f>"1536"</f>
        <v>1536</v>
      </c>
      <c r="M3360" s="2"/>
      <c r="N3360" s="2" t="str">
        <f>"RUE JEAN-DESPREZ"</f>
        <v>RUE JEAN-DESPREZ</v>
      </c>
      <c r="O3360" s="2" t="s">
        <v>14661</v>
      </c>
      <c r="P3360" s="9" t="str">
        <f>VLOOKUP($O3360,'Liste des Villes'!$B$2:$B$1128,1,FALSE)</f>
        <v>Mirabel</v>
      </c>
      <c r="Q3360" s="9" t="str">
        <f>IFERROR($P3360,PROPER(VLOOKUP($O3360,'Villes en erreur'!$A$2:$B$72,2,FALSE)))</f>
        <v>Mirabel</v>
      </c>
      <c r="R3360" s="9" t="s">
        <v>14662</v>
      </c>
      <c r="S3360" s="9" t="str">
        <f>IF(ISBLANK($R3360),"",VLOOKUP($R3360,'Liste des Villes'!$B$2:$H$1128,4,FALSE))</f>
        <v>Laurentides</v>
      </c>
      <c r="T3360" s="2" t="s">
        <v>14894</v>
      </c>
      <c r="U3360" s="2" t="s">
        <v>39</v>
      </c>
      <c r="V3360" s="2" t="s">
        <v>40</v>
      </c>
      <c r="W3360" s="2" t="s">
        <v>14895</v>
      </c>
      <c r="X3360" s="2"/>
      <c r="Y3360" s="2"/>
      <c r="Z3360" s="2"/>
      <c r="AA3360" s="2" t="s">
        <v>708</v>
      </c>
      <c r="AB3360" s="2" t="s">
        <v>376</v>
      </c>
      <c r="AC3360" s="4" t="s">
        <v>44</v>
      </c>
    </row>
    <row r="3361" spans="1:29" x14ac:dyDescent="0.25">
      <c r="A3361" s="1">
        <v>2154</v>
      </c>
      <c r="B3361" s="17" t="s">
        <v>14896</v>
      </c>
      <c r="C3361" s="2" t="s">
        <v>14897</v>
      </c>
      <c r="D3361" s="15" t="s">
        <v>13889</v>
      </c>
      <c r="E3361" s="9" t="s">
        <v>2635</v>
      </c>
      <c r="F3361" s="9" t="s">
        <v>13887</v>
      </c>
      <c r="G3361" s="9" t="s">
        <v>8161</v>
      </c>
      <c r="H3361" s="2" t="s">
        <v>60</v>
      </c>
      <c r="I3361" s="3">
        <v>37203</v>
      </c>
      <c r="J3361" s="9" t="str">
        <f t="shared" ca="1" si="55"/>
        <v>21 ans</v>
      </c>
      <c r="K3361" s="2" t="s">
        <v>262</v>
      </c>
      <c r="L3361" s="2" t="str">
        <f>"1775"</f>
        <v>1775</v>
      </c>
      <c r="M3361" s="2"/>
      <c r="N3361" s="2" t="str">
        <f>"RUE LACHAPELLE"</f>
        <v>RUE LACHAPELLE</v>
      </c>
      <c r="O3361" s="2" t="s">
        <v>14661</v>
      </c>
      <c r="P3361" s="9" t="str">
        <f>VLOOKUP($O3361,'Liste des Villes'!$B$2:$B$1128,1,FALSE)</f>
        <v>Mirabel</v>
      </c>
      <c r="Q3361" s="9" t="str">
        <f>IFERROR($P3361,PROPER(VLOOKUP($O3361,'Villes en erreur'!$A$2:$B$72,2,FALSE)))</f>
        <v>Mirabel</v>
      </c>
      <c r="R3361" s="9" t="s">
        <v>14662</v>
      </c>
      <c r="S3361" s="9" t="str">
        <f>IF(ISBLANK($R3361),"",VLOOKUP($R3361,'Liste des Villes'!$B$2:$H$1128,4,FALSE))</f>
        <v>Laurentides</v>
      </c>
      <c r="T3361" s="2" t="s">
        <v>14898</v>
      </c>
      <c r="U3361" s="2" t="s">
        <v>39</v>
      </c>
      <c r="V3361" s="2" t="s">
        <v>40</v>
      </c>
      <c r="W3361" s="2" t="s">
        <v>14899</v>
      </c>
      <c r="X3361" s="2"/>
      <c r="Y3361" s="2"/>
      <c r="Z3361" s="2"/>
      <c r="AA3361" s="2" t="s">
        <v>708</v>
      </c>
      <c r="AB3361" s="2" t="s">
        <v>14669</v>
      </c>
      <c r="AC3361" s="4" t="s">
        <v>44</v>
      </c>
    </row>
    <row r="3362" spans="1:29" x14ac:dyDescent="0.25">
      <c r="A3362" s="1">
        <v>1797</v>
      </c>
      <c r="B3362" s="17" t="s">
        <v>14900</v>
      </c>
      <c r="C3362" s="2" t="s">
        <v>1589</v>
      </c>
      <c r="D3362" s="15" t="s">
        <v>1590</v>
      </c>
      <c r="E3362" s="9" t="s">
        <v>1591</v>
      </c>
      <c r="F3362" s="9" t="s">
        <v>1592</v>
      </c>
      <c r="G3362" s="9" t="s">
        <v>1176</v>
      </c>
      <c r="H3362" s="2" t="s">
        <v>60</v>
      </c>
      <c r="I3362" s="3">
        <v>37192</v>
      </c>
      <c r="J3362" s="9" t="str">
        <f t="shared" ca="1" si="55"/>
        <v>21 ans</v>
      </c>
      <c r="K3362" s="2" t="s">
        <v>262</v>
      </c>
      <c r="L3362" s="2" t="str">
        <f>"1716"</f>
        <v>1716</v>
      </c>
      <c r="M3362" s="2"/>
      <c r="N3362" s="2" t="str">
        <f>"RUE LABELLE"</f>
        <v>RUE LABELLE</v>
      </c>
      <c r="O3362" s="2" t="s">
        <v>14661</v>
      </c>
      <c r="P3362" s="9" t="str">
        <f>VLOOKUP($O3362,'Liste des Villes'!$B$2:$B$1128,1,FALSE)</f>
        <v>Mirabel</v>
      </c>
      <c r="Q3362" s="9" t="str">
        <f>IFERROR($P3362,PROPER(VLOOKUP($O3362,'Villes en erreur'!$A$2:$B$72,2,FALSE)))</f>
        <v>Mirabel</v>
      </c>
      <c r="R3362" s="9" t="s">
        <v>14662</v>
      </c>
      <c r="S3362" s="9" t="str">
        <f>IF(ISBLANK($R3362),"",VLOOKUP($R3362,'Liste des Villes'!$B$2:$H$1128,4,FALSE))</f>
        <v>Laurentides</v>
      </c>
      <c r="T3362" s="2" t="s">
        <v>14901</v>
      </c>
      <c r="U3362" s="2" t="s">
        <v>39</v>
      </c>
      <c r="V3362" s="2" t="s">
        <v>40</v>
      </c>
      <c r="W3362" s="2" t="s">
        <v>14902</v>
      </c>
      <c r="X3362" s="2"/>
      <c r="Y3362" s="2"/>
      <c r="Z3362" s="2"/>
      <c r="AA3362" s="2" t="s">
        <v>708</v>
      </c>
      <c r="AB3362" s="2" t="s">
        <v>14669</v>
      </c>
      <c r="AC3362" s="4" t="s">
        <v>44</v>
      </c>
    </row>
    <row r="3363" spans="1:29" x14ac:dyDescent="0.25">
      <c r="A3363" s="1">
        <v>3237</v>
      </c>
      <c r="B3363" s="17" t="s">
        <v>14903</v>
      </c>
      <c r="C3363" s="2" t="s">
        <v>14904</v>
      </c>
      <c r="D3363" s="15" t="s">
        <v>3020</v>
      </c>
      <c r="E3363" s="9" t="s">
        <v>698</v>
      </c>
      <c r="F3363" s="9" t="s">
        <v>3018</v>
      </c>
      <c r="G3363" s="9" t="s">
        <v>3849</v>
      </c>
      <c r="H3363" s="2" t="s">
        <v>60</v>
      </c>
      <c r="I3363" s="3">
        <v>37180</v>
      </c>
      <c r="J3363" s="9" t="str">
        <f t="shared" ca="1" si="55"/>
        <v>21 ans</v>
      </c>
      <c r="K3363" s="2" t="s">
        <v>262</v>
      </c>
      <c r="L3363" s="2" t="str">
        <f>"1653"</f>
        <v>1653</v>
      </c>
      <c r="M3363" s="2"/>
      <c r="N3363" s="2" t="str">
        <f>"RUE JOY"</f>
        <v>RUE JOY</v>
      </c>
      <c r="O3363" s="2" t="s">
        <v>14661</v>
      </c>
      <c r="P3363" s="9" t="str">
        <f>VLOOKUP($O3363,'Liste des Villes'!$B$2:$B$1128,1,FALSE)</f>
        <v>Mirabel</v>
      </c>
      <c r="Q3363" s="9" t="str">
        <f>IFERROR($P3363,PROPER(VLOOKUP($O3363,'Villes en erreur'!$A$2:$B$72,2,FALSE)))</f>
        <v>Mirabel</v>
      </c>
      <c r="R3363" s="9" t="s">
        <v>14662</v>
      </c>
      <c r="S3363" s="9" t="str">
        <f>IF(ISBLANK($R3363),"",VLOOKUP($R3363,'Liste des Villes'!$B$2:$H$1128,4,FALSE))</f>
        <v>Laurentides</v>
      </c>
      <c r="T3363" s="2" t="s">
        <v>14905</v>
      </c>
      <c r="U3363" s="2" t="s">
        <v>39</v>
      </c>
      <c r="V3363" s="2" t="s">
        <v>40</v>
      </c>
      <c r="W3363" s="2" t="s">
        <v>14906</v>
      </c>
      <c r="X3363" s="2"/>
      <c r="Y3363" s="2"/>
      <c r="Z3363" s="2"/>
      <c r="AA3363" s="2" t="s">
        <v>708</v>
      </c>
      <c r="AB3363" s="2" t="s">
        <v>14669</v>
      </c>
      <c r="AC3363" s="4" t="s">
        <v>44</v>
      </c>
    </row>
    <row r="3364" spans="1:29" x14ac:dyDescent="0.25">
      <c r="A3364" s="1">
        <v>2476</v>
      </c>
      <c r="B3364" s="17" t="s">
        <v>14907</v>
      </c>
      <c r="C3364" s="2" t="s">
        <v>14908</v>
      </c>
      <c r="D3364" s="15" t="s">
        <v>1560</v>
      </c>
      <c r="E3364" s="9" t="s">
        <v>1004</v>
      </c>
      <c r="F3364" s="9" t="s">
        <v>3714</v>
      </c>
      <c r="G3364" s="9" t="s">
        <v>3240</v>
      </c>
      <c r="H3364" s="2" t="s">
        <v>60</v>
      </c>
      <c r="I3364" s="3">
        <v>37239</v>
      </c>
      <c r="J3364" s="9" t="str">
        <f t="shared" ca="1" si="55"/>
        <v>21 ans</v>
      </c>
      <c r="K3364" s="2" t="s">
        <v>262</v>
      </c>
      <c r="L3364" s="2" t="str">
        <f>"2042"</f>
        <v>2042</v>
      </c>
      <c r="M3364" s="2"/>
      <c r="N3364" s="2" t="str">
        <f>"RUE LEBEAU"</f>
        <v>RUE LEBEAU</v>
      </c>
      <c r="O3364" s="2" t="s">
        <v>14661</v>
      </c>
      <c r="P3364" s="9" t="str">
        <f>VLOOKUP($O3364,'Liste des Villes'!$B$2:$B$1128,1,FALSE)</f>
        <v>Mirabel</v>
      </c>
      <c r="Q3364" s="9" t="str">
        <f>IFERROR($P3364,PROPER(VLOOKUP($O3364,'Villes en erreur'!$A$2:$B$72,2,FALSE)))</f>
        <v>Mirabel</v>
      </c>
      <c r="R3364" s="9" t="s">
        <v>14662</v>
      </c>
      <c r="S3364" s="9" t="str">
        <f>IF(ISBLANK($R3364),"",VLOOKUP($R3364,'Liste des Villes'!$B$2:$H$1128,4,FALSE))</f>
        <v>Laurentides</v>
      </c>
      <c r="T3364" s="2" t="s">
        <v>14909</v>
      </c>
      <c r="U3364" s="2" t="s">
        <v>39</v>
      </c>
      <c r="V3364" s="2" t="s">
        <v>40</v>
      </c>
      <c r="W3364" s="2" t="s">
        <v>14910</v>
      </c>
      <c r="X3364" s="2"/>
      <c r="Y3364" s="2"/>
      <c r="Z3364" s="2"/>
      <c r="AA3364" s="2" t="s">
        <v>708</v>
      </c>
      <c r="AB3364" s="2" t="s">
        <v>14669</v>
      </c>
      <c r="AC3364" s="4" t="s">
        <v>44</v>
      </c>
    </row>
    <row r="3365" spans="1:29" x14ac:dyDescent="0.25">
      <c r="A3365" s="1">
        <v>1763</v>
      </c>
      <c r="B3365" s="17" t="s">
        <v>14911</v>
      </c>
      <c r="C3365" s="2" t="s">
        <v>13541</v>
      </c>
      <c r="D3365" s="15" t="s">
        <v>2698</v>
      </c>
      <c r="E3365" s="9" t="s">
        <v>8733</v>
      </c>
      <c r="F3365" s="9" t="s">
        <v>2946</v>
      </c>
      <c r="G3365" s="9" t="s">
        <v>7781</v>
      </c>
      <c r="H3365" s="2" t="s">
        <v>35</v>
      </c>
      <c r="I3365" s="3">
        <v>37123</v>
      </c>
      <c r="J3365" s="9" t="str">
        <f t="shared" ca="1" si="55"/>
        <v>22 ans</v>
      </c>
      <c r="K3365" s="2" t="s">
        <v>156</v>
      </c>
      <c r="L3365" s="2" t="str">
        <f>"1318"</f>
        <v>1318</v>
      </c>
      <c r="M3365" s="2"/>
      <c r="N3365" s="2" t="str">
        <f>"RUE GOYER"</f>
        <v>RUE GOYER</v>
      </c>
      <c r="O3365" s="2" t="s">
        <v>14661</v>
      </c>
      <c r="P3365" s="9" t="str">
        <f>VLOOKUP($O3365,'Liste des Villes'!$B$2:$B$1128,1,FALSE)</f>
        <v>Mirabel</v>
      </c>
      <c r="Q3365" s="9" t="str">
        <f>IFERROR($P3365,PROPER(VLOOKUP($O3365,'Villes en erreur'!$A$2:$B$72,2,FALSE)))</f>
        <v>Mirabel</v>
      </c>
      <c r="R3365" s="9" t="s">
        <v>14662</v>
      </c>
      <c r="S3365" s="9" t="str">
        <f>IF(ISBLANK($R3365),"",VLOOKUP($R3365,'Liste des Villes'!$B$2:$H$1128,4,FALSE))</f>
        <v>Laurentides</v>
      </c>
      <c r="T3365" s="2" t="s">
        <v>14912</v>
      </c>
      <c r="U3365" s="2" t="s">
        <v>39</v>
      </c>
      <c r="V3365" s="2" t="s">
        <v>40</v>
      </c>
      <c r="W3365" s="2" t="s">
        <v>14913</v>
      </c>
      <c r="X3365" s="2"/>
      <c r="Y3365" s="2"/>
      <c r="Z3365" s="2"/>
      <c r="AA3365" s="2" t="s">
        <v>375</v>
      </c>
      <c r="AB3365" s="2" t="s">
        <v>376</v>
      </c>
      <c r="AC3365" s="4" t="s">
        <v>44</v>
      </c>
    </row>
    <row r="3366" spans="1:29" x14ac:dyDescent="0.25">
      <c r="A3366" s="1">
        <v>4525</v>
      </c>
      <c r="B3366" s="17" t="s">
        <v>14914</v>
      </c>
      <c r="C3366" s="2" t="s">
        <v>14915</v>
      </c>
      <c r="D3366" s="15" t="s">
        <v>488</v>
      </c>
      <c r="E3366" s="9" t="s">
        <v>14916</v>
      </c>
      <c r="F3366" s="9" t="s">
        <v>486</v>
      </c>
      <c r="G3366" s="9" t="s">
        <v>3235</v>
      </c>
      <c r="H3366" s="2" t="s">
        <v>60</v>
      </c>
      <c r="I3366" s="3">
        <v>37144</v>
      </c>
      <c r="J3366" s="9" t="str">
        <f t="shared" ca="1" si="55"/>
        <v>21 ans</v>
      </c>
      <c r="K3366" s="2" t="s">
        <v>156</v>
      </c>
      <c r="L3366" s="2" t="str">
        <f>"1420"</f>
        <v>1420</v>
      </c>
      <c r="M3366" s="2"/>
      <c r="N3366" s="2" t="str">
        <f>"RUE IRÉNÉE"</f>
        <v>RUE IRÉNÉE</v>
      </c>
      <c r="O3366" s="2" t="s">
        <v>14661</v>
      </c>
      <c r="P3366" s="9" t="str">
        <f>VLOOKUP($O3366,'Liste des Villes'!$B$2:$B$1128,1,FALSE)</f>
        <v>Mirabel</v>
      </c>
      <c r="Q3366" s="9" t="str">
        <f>IFERROR($P3366,PROPER(VLOOKUP($O3366,'Villes en erreur'!$A$2:$B$72,2,FALSE)))</f>
        <v>Mirabel</v>
      </c>
      <c r="R3366" s="9" t="s">
        <v>14662</v>
      </c>
      <c r="S3366" s="9" t="str">
        <f>IF(ISBLANK($R3366),"",VLOOKUP($R3366,'Liste des Villes'!$B$2:$H$1128,4,FALSE))</f>
        <v>Laurentides</v>
      </c>
      <c r="T3366" s="2" t="s">
        <v>14788</v>
      </c>
      <c r="U3366" s="2" t="s">
        <v>39</v>
      </c>
      <c r="V3366" s="2" t="s">
        <v>40</v>
      </c>
      <c r="W3366" s="2" t="s">
        <v>14917</v>
      </c>
      <c r="X3366" s="2"/>
      <c r="Y3366" s="2"/>
      <c r="Z3366" s="2"/>
      <c r="AA3366" s="2" t="s">
        <v>708</v>
      </c>
      <c r="AB3366" s="2" t="s">
        <v>376</v>
      </c>
      <c r="AC3366" s="4" t="s">
        <v>44</v>
      </c>
    </row>
    <row r="3367" spans="1:29" x14ac:dyDescent="0.25">
      <c r="A3367" s="1">
        <v>595</v>
      </c>
      <c r="B3367" s="17" t="s">
        <v>14918</v>
      </c>
      <c r="C3367" s="2" t="s">
        <v>14919</v>
      </c>
      <c r="D3367" s="15" t="s">
        <v>6660</v>
      </c>
      <c r="E3367" s="9" t="s">
        <v>14920</v>
      </c>
      <c r="F3367" s="9" t="s">
        <v>6659</v>
      </c>
      <c r="G3367" s="9" t="s">
        <v>1924</v>
      </c>
      <c r="H3367" s="2" t="s">
        <v>35</v>
      </c>
      <c r="I3367" s="3">
        <v>37197</v>
      </c>
      <c r="J3367" s="9" t="str">
        <f t="shared" ca="1" si="55"/>
        <v>21 ans</v>
      </c>
      <c r="K3367" s="2" t="s">
        <v>262</v>
      </c>
      <c r="L3367" s="2" t="str">
        <f>"1736"</f>
        <v>1736</v>
      </c>
      <c r="M3367" s="2"/>
      <c r="N3367" s="2" t="str">
        <f>"RUE LABERGE"</f>
        <v>RUE LABERGE</v>
      </c>
      <c r="O3367" s="2" t="s">
        <v>14661</v>
      </c>
      <c r="P3367" s="9" t="str">
        <f>VLOOKUP($O3367,'Liste des Villes'!$B$2:$B$1128,1,FALSE)</f>
        <v>Mirabel</v>
      </c>
      <c r="Q3367" s="9" t="str">
        <f>IFERROR($P3367,PROPER(VLOOKUP($O3367,'Villes en erreur'!$A$2:$B$72,2,FALSE)))</f>
        <v>Mirabel</v>
      </c>
      <c r="R3367" s="9" t="s">
        <v>14662</v>
      </c>
      <c r="S3367" s="9" t="str">
        <f>IF(ISBLANK($R3367),"",VLOOKUP($R3367,'Liste des Villes'!$B$2:$H$1128,4,FALSE))</f>
        <v>Laurentides</v>
      </c>
      <c r="T3367" s="2" t="s">
        <v>14735</v>
      </c>
      <c r="U3367" s="2" t="s">
        <v>39</v>
      </c>
      <c r="V3367" s="2" t="s">
        <v>40</v>
      </c>
      <c r="W3367" s="2" t="s">
        <v>14921</v>
      </c>
      <c r="X3367" s="2"/>
      <c r="Y3367" s="2"/>
      <c r="Z3367" s="2"/>
      <c r="AA3367" s="2" t="s">
        <v>708</v>
      </c>
      <c r="AB3367" s="2" t="s">
        <v>14669</v>
      </c>
      <c r="AC3367" s="4" t="s">
        <v>44</v>
      </c>
    </row>
    <row r="3368" spans="1:29" x14ac:dyDescent="0.25">
      <c r="A3368" s="1">
        <v>1735</v>
      </c>
      <c r="B3368" s="17" t="s">
        <v>14922</v>
      </c>
      <c r="C3368" s="2" t="s">
        <v>14923</v>
      </c>
      <c r="D3368" s="15" t="s">
        <v>5363</v>
      </c>
      <c r="E3368" s="9" t="s">
        <v>3404</v>
      </c>
      <c r="F3368" s="9" t="s">
        <v>5362</v>
      </c>
      <c r="G3368" s="9" t="s">
        <v>4243</v>
      </c>
      <c r="H3368" s="2" t="s">
        <v>60</v>
      </c>
      <c r="I3368" s="3">
        <v>37161</v>
      </c>
      <c r="J3368" s="9" t="str">
        <f t="shared" ca="1" si="55"/>
        <v>21 ans</v>
      </c>
      <c r="K3368" s="2" t="s">
        <v>156</v>
      </c>
      <c r="L3368" s="2" t="str">
        <f>"1520"</f>
        <v>1520</v>
      </c>
      <c r="M3368" s="2"/>
      <c r="N3368" s="2" t="str">
        <f>"RUE JEAN-CHAUVIN"</f>
        <v>RUE JEAN-CHAUVIN</v>
      </c>
      <c r="O3368" s="2" t="s">
        <v>14661</v>
      </c>
      <c r="P3368" s="9" t="str">
        <f>VLOOKUP($O3368,'Liste des Villes'!$B$2:$B$1128,1,FALSE)</f>
        <v>Mirabel</v>
      </c>
      <c r="Q3368" s="9" t="str">
        <f>IFERROR($P3368,PROPER(VLOOKUP($O3368,'Villes en erreur'!$A$2:$B$72,2,FALSE)))</f>
        <v>Mirabel</v>
      </c>
      <c r="R3368" s="9" t="s">
        <v>14662</v>
      </c>
      <c r="S3368" s="9" t="str">
        <f>IF(ISBLANK($R3368),"",VLOOKUP($R3368,'Liste des Villes'!$B$2:$H$1128,4,FALSE))</f>
        <v>Laurentides</v>
      </c>
      <c r="T3368" s="2" t="s">
        <v>14663</v>
      </c>
      <c r="U3368" s="2" t="s">
        <v>39</v>
      </c>
      <c r="V3368" s="2" t="s">
        <v>40</v>
      </c>
      <c r="W3368" s="2" t="s">
        <v>14924</v>
      </c>
      <c r="X3368" s="2"/>
      <c r="Y3368" s="2"/>
      <c r="Z3368" s="2"/>
      <c r="AA3368" s="2" t="s">
        <v>708</v>
      </c>
      <c r="AB3368" s="2" t="s">
        <v>376</v>
      </c>
      <c r="AC3368" s="4" t="s">
        <v>44</v>
      </c>
    </row>
    <row r="3369" spans="1:29" x14ac:dyDescent="0.25">
      <c r="A3369" s="1">
        <v>3510</v>
      </c>
      <c r="B3369" s="17" t="s">
        <v>14925</v>
      </c>
      <c r="C3369" s="2" t="s">
        <v>14926</v>
      </c>
      <c r="D3369" s="15" t="s">
        <v>11701</v>
      </c>
      <c r="E3369" s="9" t="s">
        <v>85</v>
      </c>
      <c r="F3369" s="9" t="s">
        <v>11700</v>
      </c>
      <c r="G3369" s="9" t="s">
        <v>1591</v>
      </c>
      <c r="H3369" s="2" t="s">
        <v>35</v>
      </c>
      <c r="I3369" s="3">
        <v>37245</v>
      </c>
      <c r="J3369" s="9" t="str">
        <f t="shared" ca="1" si="55"/>
        <v>21 ans</v>
      </c>
      <c r="K3369" s="2" t="s">
        <v>262</v>
      </c>
      <c r="L3369" s="2" t="str">
        <f>"2087"</f>
        <v>2087</v>
      </c>
      <c r="M3369" s="2"/>
      <c r="N3369" s="2" t="str">
        <f>"RUE LÉONARD"</f>
        <v>RUE LÉONARD</v>
      </c>
      <c r="O3369" s="2" t="s">
        <v>14661</v>
      </c>
      <c r="P3369" s="9" t="str">
        <f>VLOOKUP($O3369,'Liste des Villes'!$B$2:$B$1128,1,FALSE)</f>
        <v>Mirabel</v>
      </c>
      <c r="Q3369" s="9" t="str">
        <f>IFERROR($P3369,PROPER(VLOOKUP($O3369,'Villes en erreur'!$A$2:$B$72,2,FALSE)))</f>
        <v>Mirabel</v>
      </c>
      <c r="R3369" s="9" t="s">
        <v>14662</v>
      </c>
      <c r="S3369" s="9" t="str">
        <f>IF(ISBLANK($R3369),"",VLOOKUP($R3369,'Liste des Villes'!$B$2:$H$1128,4,FALSE))</f>
        <v>Laurentides</v>
      </c>
      <c r="T3369" s="2" t="s">
        <v>14927</v>
      </c>
      <c r="U3369" s="2" t="s">
        <v>39</v>
      </c>
      <c r="V3369" s="2" t="s">
        <v>40</v>
      </c>
      <c r="W3369" s="2" t="s">
        <v>14928</v>
      </c>
      <c r="X3369" s="2"/>
      <c r="Y3369" s="2"/>
      <c r="Z3369" s="2"/>
      <c r="AA3369" s="2" t="s">
        <v>708</v>
      </c>
      <c r="AB3369" s="2" t="s">
        <v>14669</v>
      </c>
      <c r="AC3369" s="4" t="s">
        <v>44</v>
      </c>
    </row>
    <row r="3370" spans="1:29" x14ac:dyDescent="0.25">
      <c r="A3370" s="1">
        <v>935</v>
      </c>
      <c r="B3370" s="17" t="s">
        <v>14929</v>
      </c>
      <c r="C3370" s="2" t="s">
        <v>14930</v>
      </c>
      <c r="D3370" s="15" t="s">
        <v>2742</v>
      </c>
      <c r="E3370" s="9" t="s">
        <v>13034</v>
      </c>
      <c r="F3370" s="9" t="s">
        <v>100</v>
      </c>
      <c r="G3370" s="9" t="s">
        <v>1924</v>
      </c>
      <c r="H3370" s="2" t="s">
        <v>35</v>
      </c>
      <c r="I3370" s="3">
        <v>37200</v>
      </c>
      <c r="J3370" s="9" t="str">
        <f t="shared" ca="1" si="55"/>
        <v>21 ans</v>
      </c>
      <c r="K3370" s="2" t="s">
        <v>262</v>
      </c>
      <c r="L3370" s="2" t="str">
        <f>"1755"</f>
        <v>1755</v>
      </c>
      <c r="M3370" s="2"/>
      <c r="N3370" s="2" t="str">
        <f>"RUE LABRÈCHE"</f>
        <v>RUE LABRÈCHE</v>
      </c>
      <c r="O3370" s="2" t="s">
        <v>14661</v>
      </c>
      <c r="P3370" s="9" t="str">
        <f>VLOOKUP($O3370,'Liste des Villes'!$B$2:$B$1128,1,FALSE)</f>
        <v>Mirabel</v>
      </c>
      <c r="Q3370" s="9" t="str">
        <f>IFERROR($P3370,PROPER(VLOOKUP($O3370,'Villes en erreur'!$A$2:$B$72,2,FALSE)))</f>
        <v>Mirabel</v>
      </c>
      <c r="R3370" s="9" t="s">
        <v>14662</v>
      </c>
      <c r="S3370" s="9" t="str">
        <f>IF(ISBLANK($R3370),"",VLOOKUP($R3370,'Liste des Villes'!$B$2:$H$1128,4,FALSE))</f>
        <v>Laurentides</v>
      </c>
      <c r="T3370" s="2" t="s">
        <v>14931</v>
      </c>
      <c r="U3370" s="2" t="s">
        <v>39</v>
      </c>
      <c r="V3370" s="2" t="s">
        <v>40</v>
      </c>
      <c r="W3370" s="2" t="s">
        <v>14932</v>
      </c>
      <c r="X3370" s="2"/>
      <c r="Y3370" s="2"/>
      <c r="Z3370" s="2"/>
      <c r="AA3370" s="2" t="s">
        <v>708</v>
      </c>
      <c r="AB3370" s="2" t="s">
        <v>14669</v>
      </c>
      <c r="AC3370" s="4" t="s">
        <v>44</v>
      </c>
    </row>
    <row r="3371" spans="1:29" x14ac:dyDescent="0.25">
      <c r="A3371" s="1">
        <v>417</v>
      </c>
      <c r="B3371" s="17" t="s">
        <v>14933</v>
      </c>
      <c r="C3371" s="2" t="s">
        <v>849</v>
      </c>
      <c r="D3371" s="15" t="s">
        <v>850</v>
      </c>
      <c r="E3371" s="9" t="s">
        <v>851</v>
      </c>
      <c r="F3371" s="9" t="s">
        <v>2061</v>
      </c>
      <c r="G3371" s="9" t="s">
        <v>14549</v>
      </c>
      <c r="H3371" s="2" t="s">
        <v>60</v>
      </c>
      <c r="I3371" s="3">
        <v>37114</v>
      </c>
      <c r="J3371" s="9" t="str">
        <f t="shared" ca="1" si="55"/>
        <v>22 ans</v>
      </c>
      <c r="K3371" s="2" t="s">
        <v>156</v>
      </c>
      <c r="L3371" s="2" t="str">
        <f>"1283"</f>
        <v>1283</v>
      </c>
      <c r="M3371" s="2"/>
      <c r="N3371" s="2" t="str">
        <f>"RUE GÉRALD-THIBOUTÔT"</f>
        <v>RUE GÉRALD-THIBOUTÔT</v>
      </c>
      <c r="O3371" s="2" t="s">
        <v>14661</v>
      </c>
      <c r="P3371" s="9" t="str">
        <f>VLOOKUP($O3371,'Liste des Villes'!$B$2:$B$1128,1,FALSE)</f>
        <v>Mirabel</v>
      </c>
      <c r="Q3371" s="9" t="str">
        <f>IFERROR($P3371,PROPER(VLOOKUP($O3371,'Villes en erreur'!$A$2:$B$72,2,FALSE)))</f>
        <v>Mirabel</v>
      </c>
      <c r="R3371" s="9" t="s">
        <v>14662</v>
      </c>
      <c r="S3371" s="9" t="str">
        <f>IF(ISBLANK($R3371),"",VLOOKUP($R3371,'Liste des Villes'!$B$2:$H$1128,4,FALSE))</f>
        <v>Laurentides</v>
      </c>
      <c r="T3371" s="2" t="s">
        <v>14934</v>
      </c>
      <c r="U3371" s="2" t="s">
        <v>39</v>
      </c>
      <c r="V3371" s="2" t="s">
        <v>40</v>
      </c>
      <c r="W3371" s="2" t="s">
        <v>14935</v>
      </c>
      <c r="X3371" s="2"/>
      <c r="Y3371" s="2"/>
      <c r="Z3371" s="2"/>
      <c r="AA3371" s="2" t="s">
        <v>375</v>
      </c>
      <c r="AB3371" s="2" t="s">
        <v>376</v>
      </c>
      <c r="AC3371" s="4" t="s">
        <v>44</v>
      </c>
    </row>
    <row r="3372" spans="1:29" x14ac:dyDescent="0.25">
      <c r="A3372" s="1">
        <v>3786</v>
      </c>
      <c r="B3372" s="17" t="s">
        <v>14936</v>
      </c>
      <c r="C3372" s="2" t="s">
        <v>4715</v>
      </c>
      <c r="D3372" s="15" t="s">
        <v>76</v>
      </c>
      <c r="E3372" s="9" t="s">
        <v>4716</v>
      </c>
      <c r="F3372" s="9" t="s">
        <v>12579</v>
      </c>
      <c r="G3372" s="9" t="s">
        <v>6165</v>
      </c>
      <c r="H3372" s="2" t="s">
        <v>35</v>
      </c>
      <c r="I3372" s="3">
        <v>37112</v>
      </c>
      <c r="J3372" s="9" t="str">
        <f t="shared" ca="1" si="55"/>
        <v>22 ans</v>
      </c>
      <c r="K3372" s="2" t="s">
        <v>156</v>
      </c>
      <c r="L3372" s="2" t="str">
        <f>"1274"</f>
        <v>1274</v>
      </c>
      <c r="M3372" s="2"/>
      <c r="N3372" s="2" t="str">
        <f>"RUE GAUTHIER"</f>
        <v>RUE GAUTHIER</v>
      </c>
      <c r="O3372" s="2" t="s">
        <v>14661</v>
      </c>
      <c r="P3372" s="9" t="str">
        <f>VLOOKUP($O3372,'Liste des Villes'!$B$2:$B$1128,1,FALSE)</f>
        <v>Mirabel</v>
      </c>
      <c r="Q3372" s="9" t="str">
        <f>IFERROR($P3372,PROPER(VLOOKUP($O3372,'Villes en erreur'!$A$2:$B$72,2,FALSE)))</f>
        <v>Mirabel</v>
      </c>
      <c r="R3372" s="9" t="s">
        <v>14662</v>
      </c>
      <c r="S3372" s="9" t="str">
        <f>IF(ISBLANK($R3372),"",VLOOKUP($R3372,'Liste des Villes'!$B$2:$H$1128,4,FALSE))</f>
        <v>Laurentides</v>
      </c>
      <c r="T3372" s="2" t="s">
        <v>14937</v>
      </c>
      <c r="U3372" s="2" t="s">
        <v>39</v>
      </c>
      <c r="V3372" s="2" t="s">
        <v>40</v>
      </c>
      <c r="W3372" s="2" t="s">
        <v>14938</v>
      </c>
      <c r="X3372" s="2"/>
      <c r="Y3372" s="2"/>
      <c r="Z3372" s="2"/>
      <c r="AA3372" s="2" t="s">
        <v>375</v>
      </c>
      <c r="AB3372" s="2" t="s">
        <v>376</v>
      </c>
      <c r="AC3372" s="4" t="s">
        <v>44</v>
      </c>
    </row>
    <row r="3373" spans="1:29" x14ac:dyDescent="0.25">
      <c r="A3373" s="1">
        <v>3218</v>
      </c>
      <c r="B3373" s="17" t="s">
        <v>14939</v>
      </c>
      <c r="C3373" s="2" t="s">
        <v>1103</v>
      </c>
      <c r="D3373" s="15" t="s">
        <v>1104</v>
      </c>
      <c r="E3373" s="9" t="s">
        <v>277</v>
      </c>
      <c r="F3373" s="9" t="s">
        <v>10159</v>
      </c>
      <c r="G3373" s="9" t="s">
        <v>3574</v>
      </c>
      <c r="H3373" s="2" t="s">
        <v>35</v>
      </c>
      <c r="I3373" s="3">
        <v>37121</v>
      </c>
      <c r="J3373" s="9" t="str">
        <f t="shared" ca="1" si="55"/>
        <v>22 ans</v>
      </c>
      <c r="K3373" s="2" t="s">
        <v>156</v>
      </c>
      <c r="L3373" s="2" t="str">
        <f>"1310"</f>
        <v>1310</v>
      </c>
      <c r="M3373" s="2"/>
      <c r="N3373" s="2" t="str">
        <f>"RUE GILLES VILLENEUVE"</f>
        <v>RUE GILLES VILLENEUVE</v>
      </c>
      <c r="O3373" s="2" t="s">
        <v>14661</v>
      </c>
      <c r="P3373" s="9" t="str">
        <f>VLOOKUP($O3373,'Liste des Villes'!$B$2:$B$1128,1,FALSE)</f>
        <v>Mirabel</v>
      </c>
      <c r="Q3373" s="9" t="str">
        <f>IFERROR($P3373,PROPER(VLOOKUP($O3373,'Villes en erreur'!$A$2:$B$72,2,FALSE)))</f>
        <v>Mirabel</v>
      </c>
      <c r="R3373" s="9" t="s">
        <v>14662</v>
      </c>
      <c r="S3373" s="9" t="str">
        <f>IF(ISBLANK($R3373),"",VLOOKUP($R3373,'Liste des Villes'!$B$2:$H$1128,4,FALSE))</f>
        <v>Laurentides</v>
      </c>
      <c r="T3373" s="2" t="s">
        <v>14940</v>
      </c>
      <c r="U3373" s="2" t="s">
        <v>39</v>
      </c>
      <c r="V3373" s="2" t="s">
        <v>40</v>
      </c>
      <c r="W3373" s="2" t="s">
        <v>14941</v>
      </c>
      <c r="X3373" s="2"/>
      <c r="Y3373" s="2"/>
      <c r="Z3373" s="2"/>
      <c r="AA3373" s="2" t="s">
        <v>375</v>
      </c>
      <c r="AB3373" s="2" t="s">
        <v>376</v>
      </c>
      <c r="AC3373" s="4" t="s">
        <v>44</v>
      </c>
    </row>
    <row r="3374" spans="1:29" x14ac:dyDescent="0.25">
      <c r="A3374" s="1">
        <v>2828</v>
      </c>
      <c r="B3374" s="17" t="s">
        <v>14942</v>
      </c>
      <c r="C3374" s="2" t="s">
        <v>14943</v>
      </c>
      <c r="D3374" s="15" t="s">
        <v>14063</v>
      </c>
      <c r="E3374" s="9" t="s">
        <v>4760</v>
      </c>
      <c r="F3374" s="9" t="s">
        <v>5717</v>
      </c>
      <c r="G3374" s="9" t="s">
        <v>8542</v>
      </c>
      <c r="H3374" s="2" t="s">
        <v>60</v>
      </c>
      <c r="I3374" s="3">
        <v>37112</v>
      </c>
      <c r="J3374" s="9" t="str">
        <f t="shared" ca="1" si="55"/>
        <v>22 ans</v>
      </c>
      <c r="K3374" s="2" t="s">
        <v>156</v>
      </c>
      <c r="L3374" s="2" t="str">
        <f>"1270"</f>
        <v>1270</v>
      </c>
      <c r="M3374" s="2"/>
      <c r="N3374" s="2" t="str">
        <f>"RUE GAUTHIER"</f>
        <v>RUE GAUTHIER</v>
      </c>
      <c r="O3374" s="2" t="s">
        <v>14661</v>
      </c>
      <c r="P3374" s="9" t="str">
        <f>VLOOKUP($O3374,'Liste des Villes'!$B$2:$B$1128,1,FALSE)</f>
        <v>Mirabel</v>
      </c>
      <c r="Q3374" s="9" t="str">
        <f>IFERROR($P3374,PROPER(VLOOKUP($O3374,'Villes en erreur'!$A$2:$B$72,2,FALSE)))</f>
        <v>Mirabel</v>
      </c>
      <c r="R3374" s="9" t="s">
        <v>14662</v>
      </c>
      <c r="S3374" s="9" t="str">
        <f>IF(ISBLANK($R3374),"",VLOOKUP($R3374,'Liste des Villes'!$B$2:$H$1128,4,FALSE))</f>
        <v>Laurentides</v>
      </c>
      <c r="T3374" s="2" t="s">
        <v>14944</v>
      </c>
      <c r="U3374" s="2" t="s">
        <v>39</v>
      </c>
      <c r="V3374" s="2" t="s">
        <v>40</v>
      </c>
      <c r="W3374" s="2" t="s">
        <v>14945</v>
      </c>
      <c r="X3374" s="2"/>
      <c r="Y3374" s="2"/>
      <c r="Z3374" s="2"/>
      <c r="AA3374" s="2" t="s">
        <v>375</v>
      </c>
      <c r="AB3374" s="2" t="s">
        <v>376</v>
      </c>
      <c r="AC3374" s="4" t="s">
        <v>44</v>
      </c>
    </row>
    <row r="3375" spans="1:29" x14ac:dyDescent="0.25">
      <c r="A3375" s="1">
        <v>744</v>
      </c>
      <c r="B3375" s="17" t="s">
        <v>14946</v>
      </c>
      <c r="C3375" s="2" t="s">
        <v>14947</v>
      </c>
      <c r="D3375" s="15" t="s">
        <v>1773</v>
      </c>
      <c r="E3375" s="9" t="s">
        <v>3441</v>
      </c>
      <c r="F3375" s="9" t="s">
        <v>1772</v>
      </c>
      <c r="G3375" s="9" t="s">
        <v>1289</v>
      </c>
      <c r="H3375" s="2" t="s">
        <v>35</v>
      </c>
      <c r="I3375" s="3">
        <v>37081</v>
      </c>
      <c r="J3375" s="9" t="str">
        <f t="shared" ca="1" si="55"/>
        <v>22 ans</v>
      </c>
      <c r="K3375" s="2" t="s">
        <v>156</v>
      </c>
      <c r="L3375" s="2" t="str">
        <f>"1165"</f>
        <v>1165</v>
      </c>
      <c r="M3375" s="2"/>
      <c r="N3375" s="2" t="str">
        <f>"RUE FAUBERT"</f>
        <v>RUE FAUBERT</v>
      </c>
      <c r="O3375" s="2" t="s">
        <v>14661</v>
      </c>
      <c r="P3375" s="9" t="str">
        <f>VLOOKUP($O3375,'Liste des Villes'!$B$2:$B$1128,1,FALSE)</f>
        <v>Mirabel</v>
      </c>
      <c r="Q3375" s="9" t="str">
        <f>IFERROR($P3375,PROPER(VLOOKUP($O3375,'Villes en erreur'!$A$2:$B$72,2,FALSE)))</f>
        <v>Mirabel</v>
      </c>
      <c r="R3375" s="9" t="s">
        <v>14662</v>
      </c>
      <c r="S3375" s="9" t="str">
        <f>IF(ISBLANK($R3375),"",VLOOKUP($R3375,'Liste des Villes'!$B$2:$H$1128,4,FALSE))</f>
        <v>Laurentides</v>
      </c>
      <c r="T3375" s="2" t="s">
        <v>14948</v>
      </c>
      <c r="U3375" s="2" t="s">
        <v>39</v>
      </c>
      <c r="V3375" s="2" t="s">
        <v>40</v>
      </c>
      <c r="W3375" s="2" t="s">
        <v>14949</v>
      </c>
      <c r="X3375" s="2"/>
      <c r="Y3375" s="2"/>
      <c r="Z3375" s="2"/>
      <c r="AA3375" s="2" t="s">
        <v>375</v>
      </c>
      <c r="AB3375" s="2" t="s">
        <v>376</v>
      </c>
      <c r="AC3375" s="4" t="s">
        <v>44</v>
      </c>
    </row>
    <row r="3376" spans="1:29" x14ac:dyDescent="0.25">
      <c r="A3376" s="1">
        <v>4407</v>
      </c>
      <c r="B3376" s="17" t="s">
        <v>14950</v>
      </c>
      <c r="C3376" s="2" t="s">
        <v>14951</v>
      </c>
      <c r="D3376" s="15" t="s">
        <v>7273</v>
      </c>
      <c r="E3376" s="9" t="s">
        <v>956</v>
      </c>
      <c r="F3376" s="9" t="s">
        <v>3121</v>
      </c>
      <c r="G3376" s="9" t="s">
        <v>743</v>
      </c>
      <c r="H3376" s="2" t="s">
        <v>60</v>
      </c>
      <c r="I3376" s="3">
        <v>37169</v>
      </c>
      <c r="J3376" s="9" t="str">
        <f t="shared" ca="1" si="55"/>
        <v>21 ans</v>
      </c>
      <c r="K3376" s="2" t="s">
        <v>156</v>
      </c>
      <c r="L3376" s="2" t="str">
        <f>"1574"</f>
        <v>1574</v>
      </c>
      <c r="M3376" s="2"/>
      <c r="N3376" s="2" t="str">
        <f>"RUE JODOIN"</f>
        <v>RUE JODOIN</v>
      </c>
      <c r="O3376" s="2" t="s">
        <v>14661</v>
      </c>
      <c r="P3376" s="9" t="str">
        <f>VLOOKUP($O3376,'Liste des Villes'!$B$2:$B$1128,1,FALSE)</f>
        <v>Mirabel</v>
      </c>
      <c r="Q3376" s="9" t="str">
        <f>IFERROR($P3376,PROPER(VLOOKUP($O3376,'Villes en erreur'!$A$2:$B$72,2,FALSE)))</f>
        <v>Mirabel</v>
      </c>
      <c r="R3376" s="9" t="s">
        <v>14662</v>
      </c>
      <c r="S3376" s="9" t="str">
        <f>IF(ISBLANK($R3376),"",VLOOKUP($R3376,'Liste des Villes'!$B$2:$H$1128,4,FALSE))</f>
        <v>Laurentides</v>
      </c>
      <c r="T3376" s="2" t="s">
        <v>14952</v>
      </c>
      <c r="U3376" s="2" t="s">
        <v>39</v>
      </c>
      <c r="V3376" s="2" t="s">
        <v>40</v>
      </c>
      <c r="W3376" s="2" t="s">
        <v>14953</v>
      </c>
      <c r="X3376" s="2"/>
      <c r="Y3376" s="2"/>
      <c r="Z3376" s="2"/>
      <c r="AA3376" s="2" t="s">
        <v>708</v>
      </c>
      <c r="AB3376" s="2" t="s">
        <v>376</v>
      </c>
      <c r="AC3376" s="4" t="s">
        <v>44</v>
      </c>
    </row>
    <row r="3377" spans="1:29" x14ac:dyDescent="0.25">
      <c r="A3377" s="1">
        <v>3957</v>
      </c>
      <c r="B3377" s="17" t="s">
        <v>14954</v>
      </c>
      <c r="C3377" s="2" t="s">
        <v>14955</v>
      </c>
      <c r="D3377" s="15" t="s">
        <v>14956</v>
      </c>
      <c r="E3377" s="9" t="s">
        <v>2114</v>
      </c>
      <c r="F3377" s="9" t="s">
        <v>2115</v>
      </c>
      <c r="G3377" s="9" t="s">
        <v>4220</v>
      </c>
      <c r="H3377" s="2" t="s">
        <v>60</v>
      </c>
      <c r="I3377" s="3">
        <v>37214</v>
      </c>
      <c r="J3377" s="9" t="str">
        <f t="shared" ca="1" si="55"/>
        <v>21 ans</v>
      </c>
      <c r="K3377" s="2" t="s">
        <v>262</v>
      </c>
      <c r="L3377" s="2" t="str">
        <f>"1896"</f>
        <v>1896</v>
      </c>
      <c r="M3377" s="2"/>
      <c r="N3377" s="2" t="str">
        <f>"RUE LAMONTAGNE"</f>
        <v>RUE LAMONTAGNE</v>
      </c>
      <c r="O3377" s="2" t="s">
        <v>14662</v>
      </c>
      <c r="P3377" s="9" t="str">
        <f>VLOOKUP($O3377,'Liste des Villes'!$B$2:$B$1128,1,FALSE)</f>
        <v>Mirabel</v>
      </c>
      <c r="Q3377" s="9" t="str">
        <f>IFERROR($P3377,PROPER(VLOOKUP($O3377,'Villes en erreur'!$A$2:$B$72,2,FALSE)))</f>
        <v>Mirabel</v>
      </c>
      <c r="R3377" s="9" t="s">
        <v>14662</v>
      </c>
      <c r="S3377" s="9" t="str">
        <f>IF(ISBLANK($R3377),"",VLOOKUP($R3377,'Liste des Villes'!$B$2:$H$1128,4,FALSE))</f>
        <v>Laurentides</v>
      </c>
      <c r="T3377" s="2" t="s">
        <v>14957</v>
      </c>
      <c r="U3377" s="2" t="s">
        <v>39</v>
      </c>
      <c r="V3377" s="2" t="s">
        <v>40</v>
      </c>
      <c r="W3377" s="2" t="s">
        <v>14958</v>
      </c>
      <c r="X3377" s="2"/>
      <c r="Y3377" s="2"/>
      <c r="Z3377" s="2"/>
      <c r="AA3377" s="2" t="s">
        <v>708</v>
      </c>
      <c r="AB3377" s="2" t="s">
        <v>14669</v>
      </c>
      <c r="AC3377" s="4" t="s">
        <v>44</v>
      </c>
    </row>
    <row r="3378" spans="1:29" x14ac:dyDescent="0.25">
      <c r="A3378" s="1">
        <v>3486</v>
      </c>
      <c r="B3378" s="17" t="s">
        <v>14959</v>
      </c>
      <c r="C3378" s="2" t="s">
        <v>14960</v>
      </c>
      <c r="D3378" s="15" t="s">
        <v>912</v>
      </c>
      <c r="E3378" s="9" t="s">
        <v>1390</v>
      </c>
      <c r="F3378" s="9" t="s">
        <v>914</v>
      </c>
      <c r="G3378" s="9" t="s">
        <v>1004</v>
      </c>
      <c r="H3378" s="2" t="s">
        <v>60</v>
      </c>
      <c r="I3378" s="3">
        <v>37106</v>
      </c>
      <c r="J3378" s="9" t="str">
        <f t="shared" ca="1" si="55"/>
        <v>22 ans</v>
      </c>
      <c r="K3378" s="2" t="s">
        <v>156</v>
      </c>
      <c r="L3378" s="2" t="str">
        <f>"1249"</f>
        <v>1249</v>
      </c>
      <c r="M3378" s="2"/>
      <c r="N3378" s="2" t="str">
        <f>"RUE GAMBLE"</f>
        <v>RUE GAMBLE</v>
      </c>
      <c r="O3378" s="2" t="s">
        <v>14661</v>
      </c>
      <c r="P3378" s="9" t="str">
        <f>VLOOKUP($O3378,'Liste des Villes'!$B$2:$B$1128,1,FALSE)</f>
        <v>Mirabel</v>
      </c>
      <c r="Q3378" s="9" t="str">
        <f>IFERROR($P3378,PROPER(VLOOKUP($O3378,'Villes en erreur'!$A$2:$B$72,2,FALSE)))</f>
        <v>Mirabel</v>
      </c>
      <c r="R3378" s="9" t="s">
        <v>14662</v>
      </c>
      <c r="S3378" s="9" t="str">
        <f>IF(ISBLANK($R3378),"",VLOOKUP($R3378,'Liste des Villes'!$B$2:$H$1128,4,FALSE))</f>
        <v>Laurentides</v>
      </c>
      <c r="T3378" s="2" t="s">
        <v>14961</v>
      </c>
      <c r="U3378" s="2" t="s">
        <v>39</v>
      </c>
      <c r="V3378" s="2" t="s">
        <v>40</v>
      </c>
      <c r="W3378" s="2" t="s">
        <v>14962</v>
      </c>
      <c r="X3378" s="2"/>
      <c r="Y3378" s="2"/>
      <c r="Z3378" s="2"/>
      <c r="AA3378" s="2" t="s">
        <v>375</v>
      </c>
      <c r="AB3378" s="2" t="s">
        <v>376</v>
      </c>
      <c r="AC3378" s="4" t="s">
        <v>44</v>
      </c>
    </row>
    <row r="3379" spans="1:29" x14ac:dyDescent="0.25">
      <c r="A3379" s="1">
        <v>1054</v>
      </c>
      <c r="B3379" s="17" t="s">
        <v>14963</v>
      </c>
      <c r="C3379" s="2" t="s">
        <v>14964</v>
      </c>
      <c r="D3379" s="15" t="s">
        <v>2434</v>
      </c>
      <c r="E3379" s="9" t="s">
        <v>551</v>
      </c>
      <c r="F3379" s="9" t="s">
        <v>10796</v>
      </c>
      <c r="G3379" s="9" t="s">
        <v>5865</v>
      </c>
      <c r="H3379" s="2" t="s">
        <v>35</v>
      </c>
      <c r="I3379" s="3">
        <v>37100</v>
      </c>
      <c r="J3379" s="9" t="str">
        <f t="shared" ca="1" si="55"/>
        <v>22 ans</v>
      </c>
      <c r="K3379" s="2" t="s">
        <v>156</v>
      </c>
      <c r="L3379" s="2" t="str">
        <f>"1238"</f>
        <v>1238</v>
      </c>
      <c r="M3379" s="2"/>
      <c r="N3379" s="2" t="str">
        <f>"RUE FRANÇOIS BAILLAIRGÉ"</f>
        <v>RUE FRANÇOIS BAILLAIRGÉ</v>
      </c>
      <c r="O3379" s="2" t="s">
        <v>14661</v>
      </c>
      <c r="P3379" s="9" t="str">
        <f>VLOOKUP($O3379,'Liste des Villes'!$B$2:$B$1128,1,FALSE)</f>
        <v>Mirabel</v>
      </c>
      <c r="Q3379" s="9" t="str">
        <f>IFERROR($P3379,PROPER(VLOOKUP($O3379,'Villes en erreur'!$A$2:$B$72,2,FALSE)))</f>
        <v>Mirabel</v>
      </c>
      <c r="R3379" s="9" t="s">
        <v>14662</v>
      </c>
      <c r="S3379" s="9" t="str">
        <f>IF(ISBLANK($R3379),"",VLOOKUP($R3379,'Liste des Villes'!$B$2:$H$1128,4,FALSE))</f>
        <v>Laurentides</v>
      </c>
      <c r="T3379" s="2" t="s">
        <v>14838</v>
      </c>
      <c r="U3379" s="2" t="s">
        <v>39</v>
      </c>
      <c r="V3379" s="2" t="s">
        <v>40</v>
      </c>
      <c r="W3379" s="2" t="s">
        <v>14965</v>
      </c>
      <c r="X3379" s="2"/>
      <c r="Y3379" s="2"/>
      <c r="Z3379" s="2"/>
      <c r="AA3379" s="2" t="s">
        <v>375</v>
      </c>
      <c r="AB3379" s="2" t="s">
        <v>376</v>
      </c>
      <c r="AC3379" s="4" t="s">
        <v>44</v>
      </c>
    </row>
    <row r="3380" spans="1:29" x14ac:dyDescent="0.25">
      <c r="A3380" s="1">
        <v>2472</v>
      </c>
      <c r="B3380" s="17" t="s">
        <v>14966</v>
      </c>
      <c r="C3380" s="2" t="s">
        <v>14967</v>
      </c>
      <c r="D3380" s="15" t="s">
        <v>12998</v>
      </c>
      <c r="E3380" s="9" t="s">
        <v>3708</v>
      </c>
      <c r="F3380" s="9" t="s">
        <v>3810</v>
      </c>
      <c r="G3380" s="9" t="s">
        <v>1004</v>
      </c>
      <c r="H3380" s="2" t="s">
        <v>60</v>
      </c>
      <c r="I3380" s="3">
        <v>37107</v>
      </c>
      <c r="J3380" s="9" t="str">
        <f t="shared" ca="1" si="55"/>
        <v>22 ans</v>
      </c>
      <c r="K3380" s="2" t="s">
        <v>156</v>
      </c>
      <c r="L3380" s="2" t="str">
        <f>"1254"</f>
        <v>1254</v>
      </c>
      <c r="M3380" s="2"/>
      <c r="N3380" s="2" t="str">
        <f>"RUE GASTON-POIRIER"</f>
        <v>RUE GASTON-POIRIER</v>
      </c>
      <c r="O3380" s="2" t="s">
        <v>14661</v>
      </c>
      <c r="P3380" s="9" t="str">
        <f>VLOOKUP($O3380,'Liste des Villes'!$B$2:$B$1128,1,FALSE)</f>
        <v>Mirabel</v>
      </c>
      <c r="Q3380" s="9" t="str">
        <f>IFERROR($P3380,PROPER(VLOOKUP($O3380,'Villes en erreur'!$A$2:$B$72,2,FALSE)))</f>
        <v>Mirabel</v>
      </c>
      <c r="R3380" s="9" t="s">
        <v>14662</v>
      </c>
      <c r="S3380" s="9" t="str">
        <f>IF(ISBLANK($R3380),"",VLOOKUP($R3380,'Liste des Villes'!$B$2:$H$1128,4,FALSE))</f>
        <v>Laurentides</v>
      </c>
      <c r="T3380" s="2" t="s">
        <v>14823</v>
      </c>
      <c r="U3380" s="2" t="s">
        <v>39</v>
      </c>
      <c r="V3380" s="2" t="s">
        <v>40</v>
      </c>
      <c r="W3380" s="2" t="s">
        <v>14968</v>
      </c>
      <c r="X3380" s="2"/>
      <c r="Y3380" s="2"/>
      <c r="Z3380" s="2"/>
      <c r="AA3380" s="2" t="s">
        <v>375</v>
      </c>
      <c r="AB3380" s="2" t="s">
        <v>376</v>
      </c>
      <c r="AC3380" s="4" t="s">
        <v>44</v>
      </c>
    </row>
    <row r="3381" spans="1:29" x14ac:dyDescent="0.25">
      <c r="A3381" s="1">
        <v>1141</v>
      </c>
      <c r="B3381" s="17" t="s">
        <v>14969</v>
      </c>
      <c r="C3381" s="2" t="s">
        <v>9181</v>
      </c>
      <c r="D3381" s="15" t="s">
        <v>4835</v>
      </c>
      <c r="E3381" s="9" t="s">
        <v>4324</v>
      </c>
      <c r="F3381" s="9" t="s">
        <v>3596</v>
      </c>
      <c r="G3381" s="9" t="s">
        <v>14549</v>
      </c>
      <c r="H3381" s="2" t="s">
        <v>60</v>
      </c>
      <c r="I3381" s="3">
        <v>37114</v>
      </c>
      <c r="J3381" s="9" t="str">
        <f t="shared" ca="1" si="55"/>
        <v>22 ans</v>
      </c>
      <c r="K3381" s="2" t="s">
        <v>156</v>
      </c>
      <c r="L3381" s="2" t="str">
        <f>"1280"</f>
        <v>1280</v>
      </c>
      <c r="M3381" s="2"/>
      <c r="N3381" s="2" t="str">
        <f>"RUE GEORGES-VEZINA"</f>
        <v>RUE GEORGES-VEZINA</v>
      </c>
      <c r="O3381" s="2" t="s">
        <v>14661</v>
      </c>
      <c r="P3381" s="9" t="str">
        <f>VLOOKUP($O3381,'Liste des Villes'!$B$2:$B$1128,1,FALSE)</f>
        <v>Mirabel</v>
      </c>
      <c r="Q3381" s="9" t="str">
        <f>IFERROR($P3381,PROPER(VLOOKUP($O3381,'Villes en erreur'!$A$2:$B$72,2,FALSE)))</f>
        <v>Mirabel</v>
      </c>
      <c r="R3381" s="9" t="s">
        <v>14662</v>
      </c>
      <c r="S3381" s="9" t="str">
        <f>IF(ISBLANK($R3381),"",VLOOKUP($R3381,'Liste des Villes'!$B$2:$H$1128,4,FALSE))</f>
        <v>Laurentides</v>
      </c>
      <c r="T3381" s="2" t="s">
        <v>14970</v>
      </c>
      <c r="U3381" s="2" t="s">
        <v>39</v>
      </c>
      <c r="V3381" s="2" t="s">
        <v>40</v>
      </c>
      <c r="W3381" s="2" t="s">
        <v>14971</v>
      </c>
      <c r="X3381" s="2"/>
      <c r="Y3381" s="2"/>
      <c r="Z3381" s="2"/>
      <c r="AA3381" s="2" t="s">
        <v>375</v>
      </c>
      <c r="AB3381" s="2" t="s">
        <v>376</v>
      </c>
      <c r="AC3381" s="4" t="s">
        <v>44</v>
      </c>
    </row>
    <row r="3382" spans="1:29" x14ac:dyDescent="0.25">
      <c r="A3382" s="1">
        <v>2503</v>
      </c>
      <c r="B3382" s="17" t="s">
        <v>14972</v>
      </c>
      <c r="C3382" s="2" t="s">
        <v>14973</v>
      </c>
      <c r="D3382" s="15" t="s">
        <v>12737</v>
      </c>
      <c r="E3382" s="9" t="s">
        <v>396</v>
      </c>
      <c r="F3382" s="9" t="s">
        <v>12736</v>
      </c>
      <c r="G3382" s="9" t="s">
        <v>1924</v>
      </c>
      <c r="H3382" s="2" t="s">
        <v>35</v>
      </c>
      <c r="I3382" s="3">
        <v>37199</v>
      </c>
      <c r="J3382" s="9" t="str">
        <f t="shared" ca="1" si="55"/>
        <v>21 ans</v>
      </c>
      <c r="K3382" s="2" t="s">
        <v>262</v>
      </c>
      <c r="L3382" s="2" t="str">
        <f>"1751"</f>
        <v>1751</v>
      </c>
      <c r="M3382" s="2"/>
      <c r="N3382" s="2" t="str">
        <f>"RUE LABRÈCHE"</f>
        <v>RUE LABRÈCHE</v>
      </c>
      <c r="O3382" s="2" t="s">
        <v>14661</v>
      </c>
      <c r="P3382" s="9" t="str">
        <f>VLOOKUP($O3382,'Liste des Villes'!$B$2:$B$1128,1,FALSE)</f>
        <v>Mirabel</v>
      </c>
      <c r="Q3382" s="9" t="str">
        <f>IFERROR($P3382,PROPER(VLOOKUP($O3382,'Villes en erreur'!$A$2:$B$72,2,FALSE)))</f>
        <v>Mirabel</v>
      </c>
      <c r="R3382" s="9" t="s">
        <v>14662</v>
      </c>
      <c r="S3382" s="9" t="str">
        <f>IF(ISBLANK($R3382),"",VLOOKUP($R3382,'Liste des Villes'!$B$2:$H$1128,4,FALSE))</f>
        <v>Laurentides</v>
      </c>
      <c r="T3382" s="2" t="s">
        <v>14974</v>
      </c>
      <c r="U3382" s="2" t="s">
        <v>39</v>
      </c>
      <c r="V3382" s="2" t="s">
        <v>40</v>
      </c>
      <c r="W3382" s="2" t="s">
        <v>14975</v>
      </c>
      <c r="X3382" s="2"/>
      <c r="Y3382" s="2"/>
      <c r="Z3382" s="2"/>
      <c r="AA3382" s="2" t="s">
        <v>708</v>
      </c>
      <c r="AB3382" s="2" t="s">
        <v>14669</v>
      </c>
      <c r="AC3382" s="4" t="s">
        <v>44</v>
      </c>
    </row>
    <row r="3383" spans="1:29" x14ac:dyDescent="0.25">
      <c r="A3383" s="1">
        <v>464</v>
      </c>
      <c r="B3383" s="17" t="s">
        <v>14976</v>
      </c>
      <c r="C3383" s="2" t="s">
        <v>1370</v>
      </c>
      <c r="D3383" s="15" t="s">
        <v>1092</v>
      </c>
      <c r="E3383" s="9" t="s">
        <v>92</v>
      </c>
      <c r="F3383" s="9" t="s">
        <v>14977</v>
      </c>
      <c r="G3383" s="9" t="s">
        <v>13332</v>
      </c>
      <c r="H3383" s="2" t="s">
        <v>60</v>
      </c>
      <c r="I3383" s="3">
        <v>37090</v>
      </c>
      <c r="J3383" s="9" t="str">
        <f t="shared" ca="1" si="55"/>
        <v>22 ans</v>
      </c>
      <c r="K3383" s="2" t="s">
        <v>156</v>
      </c>
      <c r="L3383" s="2" t="str">
        <f>"1205"</f>
        <v>1205</v>
      </c>
      <c r="M3383" s="2"/>
      <c r="N3383" s="2" t="str">
        <f>"RUE FOURNIER"</f>
        <v>RUE FOURNIER</v>
      </c>
      <c r="O3383" s="2" t="s">
        <v>14661</v>
      </c>
      <c r="P3383" s="9" t="str">
        <f>VLOOKUP($O3383,'Liste des Villes'!$B$2:$B$1128,1,FALSE)</f>
        <v>Mirabel</v>
      </c>
      <c r="Q3383" s="9" t="str">
        <f>IFERROR($P3383,PROPER(VLOOKUP($O3383,'Villes en erreur'!$A$2:$B$72,2,FALSE)))</f>
        <v>Mirabel</v>
      </c>
      <c r="R3383" s="9" t="s">
        <v>14662</v>
      </c>
      <c r="S3383" s="9" t="str">
        <f>IF(ISBLANK($R3383),"",VLOOKUP($R3383,'Liste des Villes'!$B$2:$H$1128,4,FALSE))</f>
        <v>Laurentides</v>
      </c>
      <c r="T3383" s="2" t="s">
        <v>14978</v>
      </c>
      <c r="U3383" s="2" t="s">
        <v>39</v>
      </c>
      <c r="V3383" s="2" t="s">
        <v>40</v>
      </c>
      <c r="W3383" s="2" t="s">
        <v>14979</v>
      </c>
      <c r="X3383" s="2"/>
      <c r="Y3383" s="2"/>
      <c r="Z3383" s="2"/>
      <c r="AA3383" s="2" t="s">
        <v>375</v>
      </c>
      <c r="AB3383" s="2" t="s">
        <v>376</v>
      </c>
      <c r="AC3383" s="4" t="s">
        <v>44</v>
      </c>
    </row>
    <row r="3384" spans="1:29" x14ac:dyDescent="0.25">
      <c r="A3384" s="1">
        <v>3500</v>
      </c>
      <c r="B3384" s="17" t="s">
        <v>14980</v>
      </c>
      <c r="C3384" s="2" t="s">
        <v>14981</v>
      </c>
      <c r="D3384" s="15" t="s">
        <v>2698</v>
      </c>
      <c r="E3384" s="9" t="s">
        <v>9151</v>
      </c>
      <c r="F3384" s="9" t="s">
        <v>2700</v>
      </c>
      <c r="G3384" s="9" t="s">
        <v>1091</v>
      </c>
      <c r="H3384" s="2" t="s">
        <v>60</v>
      </c>
      <c r="I3384" s="3">
        <v>37211</v>
      </c>
      <c r="J3384" s="9" t="str">
        <f t="shared" ca="1" si="55"/>
        <v>21 ans</v>
      </c>
      <c r="K3384" s="2" t="s">
        <v>262</v>
      </c>
      <c r="L3384" s="2" t="str">
        <f>"1878"</f>
        <v>1878</v>
      </c>
      <c r="M3384" s="2"/>
      <c r="N3384" s="2" t="str">
        <f>"RUE LAMARCHE"</f>
        <v>RUE LAMARCHE</v>
      </c>
      <c r="O3384" s="2" t="s">
        <v>14661</v>
      </c>
      <c r="P3384" s="9" t="str">
        <f>VLOOKUP($O3384,'Liste des Villes'!$B$2:$B$1128,1,FALSE)</f>
        <v>Mirabel</v>
      </c>
      <c r="Q3384" s="9" t="str">
        <f>IFERROR($P3384,PROPER(VLOOKUP($O3384,'Villes en erreur'!$A$2:$B$72,2,FALSE)))</f>
        <v>Mirabel</v>
      </c>
      <c r="R3384" s="9" t="s">
        <v>14662</v>
      </c>
      <c r="S3384" s="9" t="str">
        <f>IF(ISBLANK($R3384),"",VLOOKUP($R3384,'Liste des Villes'!$B$2:$H$1128,4,FALSE))</f>
        <v>Laurentides</v>
      </c>
      <c r="T3384" s="2" t="s">
        <v>14667</v>
      </c>
      <c r="U3384" s="2" t="s">
        <v>39</v>
      </c>
      <c r="V3384" s="2" t="s">
        <v>40</v>
      </c>
      <c r="W3384" s="2" t="s">
        <v>14982</v>
      </c>
      <c r="X3384" s="2"/>
      <c r="Y3384" s="2"/>
      <c r="Z3384" s="2"/>
      <c r="AA3384" s="2" t="s">
        <v>708</v>
      </c>
      <c r="AB3384" s="2" t="s">
        <v>14669</v>
      </c>
      <c r="AC3384" s="4" t="s">
        <v>44</v>
      </c>
    </row>
    <row r="3385" spans="1:29" x14ac:dyDescent="0.25">
      <c r="A3385" s="1">
        <v>1487</v>
      </c>
      <c r="B3385" s="17" t="s">
        <v>14983</v>
      </c>
      <c r="C3385" s="2" t="s">
        <v>14984</v>
      </c>
      <c r="D3385" s="15" t="s">
        <v>14985</v>
      </c>
      <c r="E3385" s="9" t="s">
        <v>5197</v>
      </c>
      <c r="F3385" s="9" t="s">
        <v>2139</v>
      </c>
      <c r="G3385" s="9" t="s">
        <v>3868</v>
      </c>
      <c r="H3385" s="2" t="s">
        <v>60</v>
      </c>
      <c r="I3385" s="3">
        <v>37138</v>
      </c>
      <c r="J3385" s="9" t="str">
        <f t="shared" ca="1" si="55"/>
        <v>21 ans</v>
      </c>
      <c r="K3385" s="2" t="s">
        <v>156</v>
      </c>
      <c r="L3385" s="2" t="str">
        <f>"1393"</f>
        <v>1393</v>
      </c>
      <c r="M3385" s="2"/>
      <c r="N3385" s="2" t="str">
        <f>"RUE HOGUE"</f>
        <v>RUE HOGUE</v>
      </c>
      <c r="O3385" s="2" t="s">
        <v>14661</v>
      </c>
      <c r="P3385" s="9" t="str">
        <f>VLOOKUP($O3385,'Liste des Villes'!$B$2:$B$1128,1,FALSE)</f>
        <v>Mirabel</v>
      </c>
      <c r="Q3385" s="9" t="str">
        <f>IFERROR($P3385,PROPER(VLOOKUP($O3385,'Villes en erreur'!$A$2:$B$72,2,FALSE)))</f>
        <v>Mirabel</v>
      </c>
      <c r="R3385" s="9" t="s">
        <v>14662</v>
      </c>
      <c r="S3385" s="9" t="str">
        <f>IF(ISBLANK($R3385),"",VLOOKUP($R3385,'Liste des Villes'!$B$2:$H$1128,4,FALSE))</f>
        <v>Laurentides</v>
      </c>
      <c r="T3385" s="2" t="s">
        <v>14986</v>
      </c>
      <c r="U3385" s="2" t="s">
        <v>39</v>
      </c>
      <c r="V3385" s="2" t="s">
        <v>40</v>
      </c>
      <c r="W3385" s="2" t="s">
        <v>14987</v>
      </c>
      <c r="X3385" s="2"/>
      <c r="Y3385" s="2"/>
      <c r="Z3385" s="2"/>
      <c r="AA3385" s="2" t="s">
        <v>708</v>
      </c>
      <c r="AB3385" s="2" t="s">
        <v>376</v>
      </c>
      <c r="AC3385" s="4" t="s">
        <v>44</v>
      </c>
    </row>
    <row r="3386" spans="1:29" x14ac:dyDescent="0.25">
      <c r="A3386" s="1">
        <v>2063</v>
      </c>
      <c r="B3386" s="17" t="s">
        <v>14988</v>
      </c>
      <c r="C3386" s="2" t="s">
        <v>2009</v>
      </c>
      <c r="D3386" s="15" t="s">
        <v>1076</v>
      </c>
      <c r="E3386" s="9" t="s">
        <v>332</v>
      </c>
      <c r="F3386" s="9" t="s">
        <v>7473</v>
      </c>
      <c r="G3386" s="9" t="s">
        <v>12370</v>
      </c>
      <c r="H3386" s="2" t="s">
        <v>60</v>
      </c>
      <c r="I3386" s="3">
        <v>37084</v>
      </c>
      <c r="J3386" s="9" t="str">
        <f t="shared" ca="1" si="55"/>
        <v>22 ans</v>
      </c>
      <c r="K3386" s="2" t="s">
        <v>156</v>
      </c>
      <c r="L3386" s="2" t="str">
        <f>"1180"</f>
        <v>1180</v>
      </c>
      <c r="M3386" s="2"/>
      <c r="N3386" s="2" t="str">
        <f>"RUE FERNAND"</f>
        <v>RUE FERNAND</v>
      </c>
      <c r="O3386" s="2" t="s">
        <v>14661</v>
      </c>
      <c r="P3386" s="9" t="str">
        <f>VLOOKUP($O3386,'Liste des Villes'!$B$2:$B$1128,1,FALSE)</f>
        <v>Mirabel</v>
      </c>
      <c r="Q3386" s="9" t="str">
        <f>IFERROR($P3386,PROPER(VLOOKUP($O3386,'Villes en erreur'!$A$2:$B$72,2,FALSE)))</f>
        <v>Mirabel</v>
      </c>
      <c r="R3386" s="9" t="s">
        <v>14662</v>
      </c>
      <c r="S3386" s="9" t="str">
        <f>IF(ISBLANK($R3386),"",VLOOKUP($R3386,'Liste des Villes'!$B$2:$H$1128,4,FALSE))</f>
        <v>Laurentides</v>
      </c>
      <c r="T3386" s="2" t="s">
        <v>14989</v>
      </c>
      <c r="U3386" s="2" t="s">
        <v>39</v>
      </c>
      <c r="V3386" s="2" t="s">
        <v>40</v>
      </c>
      <c r="W3386" s="2" t="s">
        <v>14990</v>
      </c>
      <c r="X3386" s="2"/>
      <c r="Y3386" s="2"/>
      <c r="Z3386" s="2"/>
      <c r="AA3386" s="2" t="s">
        <v>375</v>
      </c>
      <c r="AB3386" s="2" t="s">
        <v>376</v>
      </c>
      <c r="AC3386" s="4" t="s">
        <v>44</v>
      </c>
    </row>
    <row r="3387" spans="1:29" x14ac:dyDescent="0.25">
      <c r="A3387" s="1">
        <v>1503</v>
      </c>
      <c r="B3387" s="17" t="s">
        <v>14991</v>
      </c>
      <c r="C3387" s="2" t="s">
        <v>14992</v>
      </c>
      <c r="D3387" s="15" t="s">
        <v>5042</v>
      </c>
      <c r="E3387" s="9" t="s">
        <v>6423</v>
      </c>
      <c r="F3387" s="9" t="s">
        <v>4066</v>
      </c>
      <c r="G3387" s="9" t="s">
        <v>11559</v>
      </c>
      <c r="H3387" s="2" t="s">
        <v>60</v>
      </c>
      <c r="I3387" s="3">
        <v>37237</v>
      </c>
      <c r="J3387" s="9" t="str">
        <f t="shared" ca="1" si="55"/>
        <v>21 ans</v>
      </c>
      <c r="K3387" s="2" t="s">
        <v>262</v>
      </c>
      <c r="L3387" s="2" t="str">
        <f>"2040"</f>
        <v>2040</v>
      </c>
      <c r="M3387" s="2"/>
      <c r="N3387" s="2" t="str">
        <f>"RUE LEBEAU"</f>
        <v>RUE LEBEAU</v>
      </c>
      <c r="O3387" s="2" t="s">
        <v>14661</v>
      </c>
      <c r="P3387" s="9" t="str">
        <f>VLOOKUP($O3387,'Liste des Villes'!$B$2:$B$1128,1,FALSE)</f>
        <v>Mirabel</v>
      </c>
      <c r="Q3387" s="9" t="str">
        <f>IFERROR($P3387,PROPER(VLOOKUP($O3387,'Villes en erreur'!$A$2:$B$72,2,FALSE)))</f>
        <v>Mirabel</v>
      </c>
      <c r="R3387" s="9" t="s">
        <v>14662</v>
      </c>
      <c r="S3387" s="9" t="str">
        <f>IF(ISBLANK($R3387),"",VLOOKUP($R3387,'Liste des Villes'!$B$2:$H$1128,4,FALSE))</f>
        <v>Laurentides</v>
      </c>
      <c r="T3387" s="2" t="s">
        <v>14819</v>
      </c>
      <c r="U3387" s="2" t="s">
        <v>39</v>
      </c>
      <c r="V3387" s="2" t="s">
        <v>40</v>
      </c>
      <c r="W3387" s="2" t="s">
        <v>14993</v>
      </c>
      <c r="X3387" s="2"/>
      <c r="Y3387" s="2"/>
      <c r="Z3387" s="2"/>
      <c r="AA3387" s="2" t="s">
        <v>708</v>
      </c>
      <c r="AB3387" s="2" t="s">
        <v>14669</v>
      </c>
      <c r="AC3387" s="4" t="s">
        <v>44</v>
      </c>
    </row>
    <row r="3388" spans="1:29" x14ac:dyDescent="0.25">
      <c r="A3388" s="1">
        <v>1281</v>
      </c>
      <c r="B3388" s="17" t="s">
        <v>14994</v>
      </c>
      <c r="C3388" s="2" t="s">
        <v>4483</v>
      </c>
      <c r="D3388" s="15" t="s">
        <v>3341</v>
      </c>
      <c r="E3388" s="9" t="s">
        <v>4484</v>
      </c>
      <c r="F3388" s="9" t="s">
        <v>14995</v>
      </c>
      <c r="G3388" s="9" t="s">
        <v>1289</v>
      </c>
      <c r="H3388" s="2" t="s">
        <v>35</v>
      </c>
      <c r="I3388" s="3">
        <v>37082</v>
      </c>
      <c r="J3388" s="9" t="str">
        <f t="shared" ca="1" si="55"/>
        <v>22 ans</v>
      </c>
      <c r="K3388" s="2" t="s">
        <v>156</v>
      </c>
      <c r="L3388" s="2" t="str">
        <f>"1171"</f>
        <v>1171</v>
      </c>
      <c r="M3388" s="2"/>
      <c r="N3388" s="2" t="str">
        <f>"RUE FÉLIX-L'ALLIER"</f>
        <v>RUE FÉLIX-L'ALLIER</v>
      </c>
      <c r="O3388" s="2" t="s">
        <v>14661</v>
      </c>
      <c r="P3388" s="9" t="str">
        <f>VLOOKUP($O3388,'Liste des Villes'!$B$2:$B$1128,1,FALSE)</f>
        <v>Mirabel</v>
      </c>
      <c r="Q3388" s="9" t="str">
        <f>IFERROR($P3388,PROPER(VLOOKUP($O3388,'Villes en erreur'!$A$2:$B$72,2,FALSE)))</f>
        <v>Mirabel</v>
      </c>
      <c r="R3388" s="9" t="s">
        <v>14662</v>
      </c>
      <c r="S3388" s="9" t="str">
        <f>IF(ISBLANK($R3388),"",VLOOKUP($R3388,'Liste des Villes'!$B$2:$H$1128,4,FALSE))</f>
        <v>Laurentides</v>
      </c>
      <c r="T3388" s="2" t="s">
        <v>14996</v>
      </c>
      <c r="U3388" s="2" t="s">
        <v>39</v>
      </c>
      <c r="V3388" s="2" t="s">
        <v>40</v>
      </c>
      <c r="W3388" s="2" t="s">
        <v>14997</v>
      </c>
      <c r="X3388" s="2"/>
      <c r="Y3388" s="2"/>
      <c r="Z3388" s="2"/>
      <c r="AA3388" s="2" t="s">
        <v>375</v>
      </c>
      <c r="AB3388" s="2" t="s">
        <v>376</v>
      </c>
      <c r="AC3388" s="4" t="s">
        <v>44</v>
      </c>
    </row>
    <row r="3389" spans="1:29" x14ac:dyDescent="0.25">
      <c r="A3389" s="1">
        <v>2850</v>
      </c>
      <c r="B3389" s="17" t="s">
        <v>14998</v>
      </c>
      <c r="C3389" s="2" t="s">
        <v>13759</v>
      </c>
      <c r="D3389" s="15" t="s">
        <v>11860</v>
      </c>
      <c r="E3389" s="9" t="s">
        <v>11195</v>
      </c>
      <c r="F3389" s="9" t="s">
        <v>9966</v>
      </c>
      <c r="G3389" s="9" t="s">
        <v>233</v>
      </c>
      <c r="H3389" s="2" t="s">
        <v>60</v>
      </c>
      <c r="I3389" s="3">
        <v>37215</v>
      </c>
      <c r="J3389" s="9" t="str">
        <f t="shared" ca="1" si="55"/>
        <v>21 ans</v>
      </c>
      <c r="K3389" s="2" t="s">
        <v>262</v>
      </c>
      <c r="L3389" s="2" t="str">
        <f>"1900"</f>
        <v>1900</v>
      </c>
      <c r="M3389" s="2"/>
      <c r="N3389" s="2" t="str">
        <f>"RUE LANDRY"</f>
        <v>RUE LANDRY</v>
      </c>
      <c r="O3389" s="2" t="s">
        <v>14661</v>
      </c>
      <c r="P3389" s="9" t="str">
        <f>VLOOKUP($O3389,'Liste des Villes'!$B$2:$B$1128,1,FALSE)</f>
        <v>Mirabel</v>
      </c>
      <c r="Q3389" s="9" t="str">
        <f>IFERROR($P3389,PROPER(VLOOKUP($O3389,'Villes en erreur'!$A$2:$B$72,2,FALSE)))</f>
        <v>Mirabel</v>
      </c>
      <c r="R3389" s="9" t="s">
        <v>14662</v>
      </c>
      <c r="S3389" s="9" t="str">
        <f>IF(ISBLANK($R3389),"",VLOOKUP($R3389,'Liste des Villes'!$B$2:$H$1128,4,FALSE))</f>
        <v>Laurentides</v>
      </c>
      <c r="T3389" s="2" t="s">
        <v>14826</v>
      </c>
      <c r="U3389" s="2" t="s">
        <v>39</v>
      </c>
      <c r="V3389" s="2" t="s">
        <v>40</v>
      </c>
      <c r="W3389" s="2" t="s">
        <v>14999</v>
      </c>
      <c r="X3389" s="2"/>
      <c r="Y3389" s="2"/>
      <c r="Z3389" s="2"/>
      <c r="AA3389" s="2" t="s">
        <v>708</v>
      </c>
      <c r="AB3389" s="2" t="s">
        <v>14669</v>
      </c>
      <c r="AC3389" s="4" t="s">
        <v>44</v>
      </c>
    </row>
    <row r="3390" spans="1:29" x14ac:dyDescent="0.25">
      <c r="A3390" s="1">
        <v>2932</v>
      </c>
      <c r="B3390" s="17" t="s">
        <v>15000</v>
      </c>
      <c r="C3390" s="2" t="s">
        <v>11651</v>
      </c>
      <c r="D3390" s="15" t="s">
        <v>11652</v>
      </c>
      <c r="E3390" s="9" t="s">
        <v>1004</v>
      </c>
      <c r="F3390" s="9" t="s">
        <v>203</v>
      </c>
      <c r="G3390" s="9" t="s">
        <v>3849</v>
      </c>
      <c r="H3390" s="2" t="s">
        <v>60</v>
      </c>
      <c r="I3390" s="3">
        <v>37180</v>
      </c>
      <c r="J3390" s="9" t="str">
        <f t="shared" ca="1" si="55"/>
        <v>21 ans</v>
      </c>
      <c r="K3390" s="2" t="s">
        <v>262</v>
      </c>
      <c r="L3390" s="2" t="str">
        <f>"1658"</f>
        <v>1658</v>
      </c>
      <c r="M3390" s="2"/>
      <c r="N3390" s="2" t="str">
        <f>"RUE JULIE"</f>
        <v>RUE JULIE</v>
      </c>
      <c r="O3390" s="2" t="s">
        <v>14661</v>
      </c>
      <c r="P3390" s="9" t="str">
        <f>VLOOKUP($O3390,'Liste des Villes'!$B$2:$B$1128,1,FALSE)</f>
        <v>Mirabel</v>
      </c>
      <c r="Q3390" s="9" t="str">
        <f>IFERROR($P3390,PROPER(VLOOKUP($O3390,'Villes en erreur'!$A$2:$B$72,2,FALSE)))</f>
        <v>Mirabel</v>
      </c>
      <c r="R3390" s="9" t="s">
        <v>14662</v>
      </c>
      <c r="S3390" s="9" t="str">
        <f>IF(ISBLANK($R3390),"",VLOOKUP($R3390,'Liste des Villes'!$B$2:$H$1128,4,FALSE))</f>
        <v>Laurentides</v>
      </c>
      <c r="T3390" s="2" t="s">
        <v>14905</v>
      </c>
      <c r="U3390" s="2" t="s">
        <v>39</v>
      </c>
      <c r="V3390" s="2" t="s">
        <v>40</v>
      </c>
      <c r="W3390" s="2" t="s">
        <v>15001</v>
      </c>
      <c r="X3390" s="2"/>
      <c r="Y3390" s="2"/>
      <c r="Z3390" s="2"/>
      <c r="AA3390" s="2" t="s">
        <v>708</v>
      </c>
      <c r="AB3390" s="2" t="s">
        <v>14669</v>
      </c>
      <c r="AC3390" s="4" t="s">
        <v>44</v>
      </c>
    </row>
    <row r="3391" spans="1:29" x14ac:dyDescent="0.25">
      <c r="A3391" s="1">
        <v>2902</v>
      </c>
      <c r="B3391" s="17" t="s">
        <v>15002</v>
      </c>
      <c r="C3391" s="2" t="s">
        <v>5414</v>
      </c>
      <c r="D3391" s="15" t="s">
        <v>4357</v>
      </c>
      <c r="E3391" s="9" t="s">
        <v>3626</v>
      </c>
      <c r="F3391" s="9" t="s">
        <v>3783</v>
      </c>
      <c r="G3391" s="9" t="s">
        <v>15003</v>
      </c>
      <c r="H3391" s="2" t="s">
        <v>35</v>
      </c>
      <c r="I3391" s="3">
        <v>37115</v>
      </c>
      <c r="J3391" s="9" t="str">
        <f t="shared" ca="1" si="55"/>
        <v>22 ans</v>
      </c>
      <c r="K3391" s="2" t="s">
        <v>156</v>
      </c>
      <c r="L3391" s="2" t="str">
        <f>"1284"</f>
        <v>1284</v>
      </c>
      <c r="M3391" s="2"/>
      <c r="N3391" s="2" t="str">
        <f>"RUE GÉRARD CLOUTIER"</f>
        <v>RUE GÉRARD CLOUTIER</v>
      </c>
      <c r="O3391" s="2" t="s">
        <v>14661</v>
      </c>
      <c r="P3391" s="9" t="str">
        <f>VLOOKUP($O3391,'Liste des Villes'!$B$2:$B$1128,1,FALSE)</f>
        <v>Mirabel</v>
      </c>
      <c r="Q3391" s="9" t="str">
        <f>IFERROR($P3391,PROPER(VLOOKUP($O3391,'Villes en erreur'!$A$2:$B$72,2,FALSE)))</f>
        <v>Mirabel</v>
      </c>
      <c r="R3391" s="9" t="s">
        <v>14662</v>
      </c>
      <c r="S3391" s="9" t="str">
        <f>IF(ISBLANK($R3391),"",VLOOKUP($R3391,'Liste des Villes'!$B$2:$H$1128,4,FALSE))</f>
        <v>Laurentides</v>
      </c>
      <c r="T3391" s="2" t="s">
        <v>15004</v>
      </c>
      <c r="U3391" s="2" t="s">
        <v>39</v>
      </c>
      <c r="V3391" s="2" t="s">
        <v>40</v>
      </c>
      <c r="W3391" s="2" t="s">
        <v>15005</v>
      </c>
      <c r="X3391" s="2"/>
      <c r="Y3391" s="2"/>
      <c r="Z3391" s="2"/>
      <c r="AA3391" s="2" t="s">
        <v>375</v>
      </c>
      <c r="AB3391" s="2" t="s">
        <v>376</v>
      </c>
      <c r="AC3391" s="4" t="s">
        <v>44</v>
      </c>
    </row>
    <row r="3392" spans="1:29" x14ac:dyDescent="0.25">
      <c r="A3392" s="1">
        <v>936</v>
      </c>
      <c r="B3392" s="17" t="s">
        <v>15006</v>
      </c>
      <c r="C3392" s="2" t="s">
        <v>15007</v>
      </c>
      <c r="D3392" s="15" t="s">
        <v>171</v>
      </c>
      <c r="E3392" s="9" t="s">
        <v>11518</v>
      </c>
      <c r="F3392" s="9" t="s">
        <v>1236</v>
      </c>
      <c r="G3392" s="9" t="s">
        <v>6244</v>
      </c>
      <c r="H3392" s="2" t="s">
        <v>60</v>
      </c>
      <c r="I3392" s="3">
        <v>37176</v>
      </c>
      <c r="J3392" s="9" t="str">
        <f t="shared" ca="1" si="55"/>
        <v>21 ans</v>
      </c>
      <c r="K3392" s="2" t="s">
        <v>156</v>
      </c>
      <c r="L3392" s="2" t="str">
        <f>"1629"</f>
        <v>1629</v>
      </c>
      <c r="M3392" s="2"/>
      <c r="N3392" s="2" t="str">
        <f>"RUE JOSEPH"</f>
        <v>RUE JOSEPH</v>
      </c>
      <c r="O3392" s="2" t="s">
        <v>14661</v>
      </c>
      <c r="P3392" s="9" t="str">
        <f>VLOOKUP($O3392,'Liste des Villes'!$B$2:$B$1128,1,FALSE)</f>
        <v>Mirabel</v>
      </c>
      <c r="Q3392" s="9" t="str">
        <f>IFERROR($P3392,PROPER(VLOOKUP($O3392,'Villes en erreur'!$A$2:$B$72,2,FALSE)))</f>
        <v>Mirabel</v>
      </c>
      <c r="R3392" s="9" t="s">
        <v>14662</v>
      </c>
      <c r="S3392" s="9" t="str">
        <f>IF(ISBLANK($R3392),"",VLOOKUP($R3392,'Liste des Villes'!$B$2:$H$1128,4,FALSE))</f>
        <v>Laurentides</v>
      </c>
      <c r="T3392" s="2" t="s">
        <v>15008</v>
      </c>
      <c r="U3392" s="2" t="s">
        <v>39</v>
      </c>
      <c r="V3392" s="2" t="s">
        <v>40</v>
      </c>
      <c r="W3392" s="2" t="s">
        <v>15009</v>
      </c>
      <c r="X3392" s="2"/>
      <c r="Y3392" s="2"/>
      <c r="Z3392" s="2"/>
      <c r="AA3392" s="2" t="s">
        <v>708</v>
      </c>
      <c r="AB3392" s="2" t="s">
        <v>14669</v>
      </c>
      <c r="AC3392" s="4" t="s">
        <v>44</v>
      </c>
    </row>
    <row r="3393" spans="1:29" x14ac:dyDescent="0.25">
      <c r="A3393" s="1">
        <v>4428</v>
      </c>
      <c r="B3393" s="17" t="s">
        <v>15010</v>
      </c>
      <c r="C3393" s="2" t="s">
        <v>15011</v>
      </c>
      <c r="D3393" s="15" t="s">
        <v>4769</v>
      </c>
      <c r="E3393" s="9" t="s">
        <v>2142</v>
      </c>
      <c r="F3393" s="9" t="s">
        <v>4768</v>
      </c>
      <c r="G3393" s="9" t="s">
        <v>1004</v>
      </c>
      <c r="H3393" s="2" t="s">
        <v>60</v>
      </c>
      <c r="I3393" s="3">
        <v>37103</v>
      </c>
      <c r="J3393" s="9" t="str">
        <f t="shared" ca="1" si="55"/>
        <v>22 ans</v>
      </c>
      <c r="K3393" s="2" t="s">
        <v>156</v>
      </c>
      <c r="L3393" s="2" t="str">
        <f>"1241"</f>
        <v>1241</v>
      </c>
      <c r="M3393" s="2"/>
      <c r="N3393" s="2" t="str">
        <f>"RUE GABRIELLE-ROY"</f>
        <v>RUE GABRIELLE-ROY</v>
      </c>
      <c r="O3393" s="2" t="s">
        <v>14661</v>
      </c>
      <c r="P3393" s="9" t="str">
        <f>VLOOKUP($O3393,'Liste des Villes'!$B$2:$B$1128,1,FALSE)</f>
        <v>Mirabel</v>
      </c>
      <c r="Q3393" s="9" t="str">
        <f>IFERROR($P3393,PROPER(VLOOKUP($O3393,'Villes en erreur'!$A$2:$B$72,2,FALSE)))</f>
        <v>Mirabel</v>
      </c>
      <c r="R3393" s="9" t="s">
        <v>14662</v>
      </c>
      <c r="S3393" s="9" t="str">
        <f>IF(ISBLANK($R3393),"",VLOOKUP($R3393,'Liste des Villes'!$B$2:$H$1128,4,FALSE))</f>
        <v>Laurentides</v>
      </c>
      <c r="T3393" s="2" t="s">
        <v>15012</v>
      </c>
      <c r="U3393" s="2" t="s">
        <v>39</v>
      </c>
      <c r="V3393" s="2" t="s">
        <v>40</v>
      </c>
      <c r="W3393" s="2" t="s">
        <v>15013</v>
      </c>
      <c r="X3393" s="2"/>
      <c r="Y3393" s="2"/>
      <c r="Z3393" s="2"/>
      <c r="AA3393" s="2" t="s">
        <v>375</v>
      </c>
      <c r="AB3393" s="2" t="s">
        <v>376</v>
      </c>
      <c r="AC3393" s="4" t="s">
        <v>44</v>
      </c>
    </row>
    <row r="3394" spans="1:29" x14ac:dyDescent="0.25">
      <c r="A3394" s="1">
        <v>2256</v>
      </c>
      <c r="B3394" s="17" t="s">
        <v>15014</v>
      </c>
      <c r="C3394" s="2" t="s">
        <v>15015</v>
      </c>
      <c r="D3394" s="15" t="s">
        <v>390</v>
      </c>
      <c r="E3394" s="9" t="s">
        <v>253</v>
      </c>
      <c r="F3394" s="9" t="s">
        <v>388</v>
      </c>
      <c r="G3394" s="9" t="s">
        <v>2749</v>
      </c>
      <c r="H3394" s="2" t="s">
        <v>35</v>
      </c>
      <c r="I3394" s="3">
        <v>37148</v>
      </c>
      <c r="J3394" s="9" t="str">
        <f t="shared" ref="J3394:J3457" ca="1" si="56">_xlfn.CONCAT(INT((TODAY()-$I3394)/365.25)," ans")</f>
        <v>21 ans</v>
      </c>
      <c r="K3394" s="2" t="s">
        <v>156</v>
      </c>
      <c r="L3394" s="2" t="str">
        <f>"1436"</f>
        <v>1436</v>
      </c>
      <c r="M3394" s="2"/>
      <c r="N3394" s="2" t="str">
        <f>"RUE ISABELLE"</f>
        <v>RUE ISABELLE</v>
      </c>
      <c r="O3394" s="2" t="s">
        <v>14661</v>
      </c>
      <c r="P3394" s="9" t="str">
        <f>VLOOKUP($O3394,'Liste des Villes'!$B$2:$B$1128,1,FALSE)</f>
        <v>Mirabel</v>
      </c>
      <c r="Q3394" s="9" t="str">
        <f>IFERROR($P3394,PROPER(VLOOKUP($O3394,'Villes en erreur'!$A$2:$B$72,2,FALSE)))</f>
        <v>Mirabel</v>
      </c>
      <c r="R3394" s="9" t="s">
        <v>14662</v>
      </c>
      <c r="S3394" s="9" t="str">
        <f>IF(ISBLANK($R3394),"",VLOOKUP($R3394,'Liste des Villes'!$B$2:$H$1128,4,FALSE))</f>
        <v>Laurentides</v>
      </c>
      <c r="T3394" s="2" t="s">
        <v>15016</v>
      </c>
      <c r="U3394" s="2" t="s">
        <v>39</v>
      </c>
      <c r="V3394" s="2" t="s">
        <v>40</v>
      </c>
      <c r="W3394" s="2" t="s">
        <v>15017</v>
      </c>
      <c r="X3394" s="2"/>
      <c r="Y3394" s="2"/>
      <c r="Z3394" s="2"/>
      <c r="AA3394" s="2" t="s">
        <v>708</v>
      </c>
      <c r="AB3394" s="2" t="s">
        <v>376</v>
      </c>
      <c r="AC3394" s="4" t="s">
        <v>44</v>
      </c>
    </row>
    <row r="3395" spans="1:29" x14ac:dyDescent="0.25">
      <c r="A3395" s="1">
        <v>263</v>
      </c>
      <c r="B3395" s="17" t="s">
        <v>15018</v>
      </c>
      <c r="C3395" s="2" t="s">
        <v>2689</v>
      </c>
      <c r="D3395" s="15" t="s">
        <v>1548</v>
      </c>
      <c r="E3395" s="9" t="s">
        <v>1673</v>
      </c>
      <c r="F3395" s="9" t="s">
        <v>1547</v>
      </c>
      <c r="G3395" s="9" t="s">
        <v>5486</v>
      </c>
      <c r="H3395" s="2" t="s">
        <v>60</v>
      </c>
      <c r="I3395" s="3">
        <v>37097</v>
      </c>
      <c r="J3395" s="9" t="str">
        <f t="shared" ca="1" si="56"/>
        <v>22 ans</v>
      </c>
      <c r="K3395" s="2" t="s">
        <v>156</v>
      </c>
      <c r="L3395" s="2" t="str">
        <f>"1217"</f>
        <v>1217</v>
      </c>
      <c r="M3395" s="2"/>
      <c r="N3395" s="2" t="str">
        <f>"RUE FOURNIER"</f>
        <v>RUE FOURNIER</v>
      </c>
      <c r="O3395" s="2" t="s">
        <v>14661</v>
      </c>
      <c r="P3395" s="9" t="str">
        <f>VLOOKUP($O3395,'Liste des Villes'!$B$2:$B$1128,1,FALSE)</f>
        <v>Mirabel</v>
      </c>
      <c r="Q3395" s="9" t="str">
        <f>IFERROR($P3395,PROPER(VLOOKUP($O3395,'Villes en erreur'!$A$2:$B$72,2,FALSE)))</f>
        <v>Mirabel</v>
      </c>
      <c r="R3395" s="9" t="s">
        <v>14662</v>
      </c>
      <c r="S3395" s="9" t="str">
        <f>IF(ISBLANK($R3395),"",VLOOKUP($R3395,'Liste des Villes'!$B$2:$H$1128,4,FALSE))</f>
        <v>Laurentides</v>
      </c>
      <c r="T3395" s="2" t="s">
        <v>14791</v>
      </c>
      <c r="U3395" s="2" t="s">
        <v>39</v>
      </c>
      <c r="V3395" s="2" t="s">
        <v>40</v>
      </c>
      <c r="W3395" s="2" t="s">
        <v>15019</v>
      </c>
      <c r="X3395" s="2"/>
      <c r="Y3395" s="2"/>
      <c r="Z3395" s="2"/>
      <c r="AA3395" s="2" t="s">
        <v>375</v>
      </c>
      <c r="AB3395" s="2" t="s">
        <v>376</v>
      </c>
      <c r="AC3395" s="4" t="s">
        <v>44</v>
      </c>
    </row>
    <row r="3396" spans="1:29" x14ac:dyDescent="0.25">
      <c r="A3396" s="1">
        <v>4254</v>
      </c>
      <c r="B3396" s="17" t="s">
        <v>15020</v>
      </c>
      <c r="C3396" s="2" t="s">
        <v>13085</v>
      </c>
      <c r="D3396" s="15" t="s">
        <v>8455</v>
      </c>
      <c r="E3396" s="9" t="s">
        <v>271</v>
      </c>
      <c r="F3396" s="9" t="s">
        <v>4256</v>
      </c>
      <c r="G3396" s="9" t="s">
        <v>1091</v>
      </c>
      <c r="H3396" s="2" t="s">
        <v>60</v>
      </c>
      <c r="I3396" s="3">
        <v>37209</v>
      </c>
      <c r="J3396" s="9" t="str">
        <f t="shared" ca="1" si="56"/>
        <v>21 ans</v>
      </c>
      <c r="K3396" s="2" t="s">
        <v>262</v>
      </c>
      <c r="L3396" s="2" t="str">
        <f>"1830"</f>
        <v>1830</v>
      </c>
      <c r="M3396" s="2"/>
      <c r="N3396" s="2" t="str">
        <f>"RUE LAJEUNESSE"</f>
        <v>RUE LAJEUNESSE</v>
      </c>
      <c r="O3396" s="2" t="s">
        <v>14661</v>
      </c>
      <c r="P3396" s="9" t="str">
        <f>VLOOKUP($O3396,'Liste des Villes'!$B$2:$B$1128,1,FALSE)</f>
        <v>Mirabel</v>
      </c>
      <c r="Q3396" s="9" t="str">
        <f>IFERROR($P3396,PROPER(VLOOKUP($O3396,'Villes en erreur'!$A$2:$B$72,2,FALSE)))</f>
        <v>Mirabel</v>
      </c>
      <c r="R3396" s="9" t="s">
        <v>14662</v>
      </c>
      <c r="S3396" s="9" t="str">
        <f>IF(ISBLANK($R3396),"",VLOOKUP($R3396,'Liste des Villes'!$B$2:$H$1128,4,FALSE))</f>
        <v>Laurentides</v>
      </c>
      <c r="T3396" s="2" t="s">
        <v>15021</v>
      </c>
      <c r="U3396" s="2" t="s">
        <v>39</v>
      </c>
      <c r="V3396" s="2" t="s">
        <v>40</v>
      </c>
      <c r="W3396" s="2" t="s">
        <v>15022</v>
      </c>
      <c r="X3396" s="2"/>
      <c r="Y3396" s="2"/>
      <c r="Z3396" s="2"/>
      <c r="AA3396" s="2" t="s">
        <v>708</v>
      </c>
      <c r="AB3396" s="2" t="s">
        <v>14669</v>
      </c>
      <c r="AC3396" s="4" t="s">
        <v>44</v>
      </c>
    </row>
    <row r="3397" spans="1:29" x14ac:dyDescent="0.25">
      <c r="A3397" s="1">
        <v>3185</v>
      </c>
      <c r="B3397" s="17" t="s">
        <v>15023</v>
      </c>
      <c r="C3397" s="2" t="s">
        <v>15024</v>
      </c>
      <c r="D3397" s="15" t="s">
        <v>9196</v>
      </c>
      <c r="E3397" s="9" t="s">
        <v>219</v>
      </c>
      <c r="F3397" s="9" t="s">
        <v>4978</v>
      </c>
      <c r="G3397" s="9" t="s">
        <v>876</v>
      </c>
      <c r="H3397" s="2" t="s">
        <v>35</v>
      </c>
      <c r="I3397" s="3">
        <v>37119</v>
      </c>
      <c r="J3397" s="9" t="str">
        <f t="shared" ca="1" si="56"/>
        <v>22 ans</v>
      </c>
      <c r="K3397" s="2" t="s">
        <v>156</v>
      </c>
      <c r="L3397" s="2" t="str">
        <f>"1305"</f>
        <v>1305</v>
      </c>
      <c r="M3397" s="2"/>
      <c r="N3397" s="2" t="str">
        <f>"RUE GILLES"</f>
        <v>RUE GILLES</v>
      </c>
      <c r="O3397" s="2" t="s">
        <v>14661</v>
      </c>
      <c r="P3397" s="9" t="str">
        <f>VLOOKUP($O3397,'Liste des Villes'!$B$2:$B$1128,1,FALSE)</f>
        <v>Mirabel</v>
      </c>
      <c r="Q3397" s="9" t="str">
        <f>IFERROR($P3397,PROPER(VLOOKUP($O3397,'Villes en erreur'!$A$2:$B$72,2,FALSE)))</f>
        <v>Mirabel</v>
      </c>
      <c r="R3397" s="9" t="s">
        <v>14662</v>
      </c>
      <c r="S3397" s="9" t="str">
        <f>IF(ISBLANK($R3397),"",VLOOKUP($R3397,'Liste des Villes'!$B$2:$H$1128,4,FALSE))</f>
        <v>Laurentides</v>
      </c>
      <c r="T3397" s="2" t="s">
        <v>15025</v>
      </c>
      <c r="U3397" s="2" t="s">
        <v>39</v>
      </c>
      <c r="V3397" s="2" t="s">
        <v>40</v>
      </c>
      <c r="W3397" s="2" t="s">
        <v>15026</v>
      </c>
      <c r="X3397" s="2"/>
      <c r="Y3397" s="2"/>
      <c r="Z3397" s="2"/>
      <c r="AA3397" s="2" t="s">
        <v>375</v>
      </c>
      <c r="AB3397" s="2" t="s">
        <v>376</v>
      </c>
      <c r="AC3397" s="4" t="s">
        <v>44</v>
      </c>
    </row>
    <row r="3398" spans="1:29" x14ac:dyDescent="0.25">
      <c r="A3398" s="1">
        <v>4493</v>
      </c>
      <c r="B3398" s="17" t="s">
        <v>15027</v>
      </c>
      <c r="C3398" s="2" t="s">
        <v>12512</v>
      </c>
      <c r="D3398" s="15" t="s">
        <v>12513</v>
      </c>
      <c r="E3398" s="9" t="s">
        <v>2404</v>
      </c>
      <c r="F3398" s="9" t="s">
        <v>14125</v>
      </c>
      <c r="G3398" s="9" t="s">
        <v>1858</v>
      </c>
      <c r="H3398" s="2" t="s">
        <v>60</v>
      </c>
      <c r="I3398" s="3">
        <v>37150</v>
      </c>
      <c r="J3398" s="9" t="str">
        <f t="shared" ca="1" si="56"/>
        <v>21 ans</v>
      </c>
      <c r="K3398" s="2" t="s">
        <v>156</v>
      </c>
      <c r="L3398" s="2" t="str">
        <f>"1442"</f>
        <v>1442</v>
      </c>
      <c r="M3398" s="2"/>
      <c r="N3398" s="2" t="str">
        <f>"RUE J.-A.-BOMBARDIER"</f>
        <v>RUE J.-A.-BOMBARDIER</v>
      </c>
      <c r="O3398" s="2" t="s">
        <v>14661</v>
      </c>
      <c r="P3398" s="9" t="str">
        <f>VLOOKUP($O3398,'Liste des Villes'!$B$2:$B$1128,1,FALSE)</f>
        <v>Mirabel</v>
      </c>
      <c r="Q3398" s="9" t="str">
        <f>IFERROR($P3398,PROPER(VLOOKUP($O3398,'Villes en erreur'!$A$2:$B$72,2,FALSE)))</f>
        <v>Mirabel</v>
      </c>
      <c r="R3398" s="9" t="s">
        <v>14662</v>
      </c>
      <c r="S3398" s="9" t="str">
        <f>IF(ISBLANK($R3398),"",VLOOKUP($R3398,'Liste des Villes'!$B$2:$H$1128,4,FALSE))</f>
        <v>Laurentides</v>
      </c>
      <c r="T3398" s="2" t="s">
        <v>15028</v>
      </c>
      <c r="U3398" s="2" t="s">
        <v>39</v>
      </c>
      <c r="V3398" s="2" t="s">
        <v>40</v>
      </c>
      <c r="W3398" s="2" t="s">
        <v>15029</v>
      </c>
      <c r="X3398" s="2"/>
      <c r="Y3398" s="2"/>
      <c r="Z3398" s="2"/>
      <c r="AA3398" s="2" t="s">
        <v>708</v>
      </c>
      <c r="AB3398" s="2" t="s">
        <v>376</v>
      </c>
      <c r="AC3398" s="4" t="s">
        <v>44</v>
      </c>
    </row>
    <row r="3399" spans="1:29" x14ac:dyDescent="0.25">
      <c r="A3399" s="1">
        <v>1292</v>
      </c>
      <c r="B3399" s="17" t="s">
        <v>15030</v>
      </c>
      <c r="C3399" s="2" t="s">
        <v>1949</v>
      </c>
      <c r="D3399" s="15" t="s">
        <v>1950</v>
      </c>
      <c r="E3399" s="9" t="s">
        <v>277</v>
      </c>
      <c r="F3399" s="9" t="s">
        <v>1951</v>
      </c>
      <c r="G3399" s="9" t="s">
        <v>14454</v>
      </c>
      <c r="H3399" s="2" t="s">
        <v>35</v>
      </c>
      <c r="I3399" s="3">
        <v>37116</v>
      </c>
      <c r="J3399" s="9" t="str">
        <f t="shared" ca="1" si="56"/>
        <v>22 ans</v>
      </c>
      <c r="K3399" s="2" t="s">
        <v>156</v>
      </c>
      <c r="L3399" s="2" t="str">
        <f>"1285"</f>
        <v>1285</v>
      </c>
      <c r="M3399" s="2"/>
      <c r="N3399" s="2" t="str">
        <f>"RUE GÉRARD-CÔTÉ"</f>
        <v>RUE GÉRARD-CÔTÉ</v>
      </c>
      <c r="O3399" s="2" t="s">
        <v>14661</v>
      </c>
      <c r="P3399" s="9" t="str">
        <f>VLOOKUP($O3399,'Liste des Villes'!$B$2:$B$1128,1,FALSE)</f>
        <v>Mirabel</v>
      </c>
      <c r="Q3399" s="9" t="str">
        <f>IFERROR($P3399,PROPER(VLOOKUP($O3399,'Villes en erreur'!$A$2:$B$72,2,FALSE)))</f>
        <v>Mirabel</v>
      </c>
      <c r="R3399" s="9" t="s">
        <v>14662</v>
      </c>
      <c r="S3399" s="9" t="str">
        <f>IF(ISBLANK($R3399),"",VLOOKUP($R3399,'Liste des Villes'!$B$2:$H$1128,4,FALSE))</f>
        <v>Laurentides</v>
      </c>
      <c r="T3399" s="2" t="s">
        <v>15031</v>
      </c>
      <c r="U3399" s="2" t="s">
        <v>39</v>
      </c>
      <c r="V3399" s="2" t="s">
        <v>40</v>
      </c>
      <c r="W3399" s="2" t="s">
        <v>15032</v>
      </c>
      <c r="X3399" s="2"/>
      <c r="Y3399" s="2"/>
      <c r="Z3399" s="2"/>
      <c r="AA3399" s="2" t="s">
        <v>375</v>
      </c>
      <c r="AB3399" s="2" t="s">
        <v>376</v>
      </c>
      <c r="AC3399" s="4" t="s">
        <v>44</v>
      </c>
    </row>
    <row r="3400" spans="1:29" x14ac:dyDescent="0.25">
      <c r="A3400" s="1">
        <v>2426</v>
      </c>
      <c r="B3400" s="17" t="s">
        <v>15033</v>
      </c>
      <c r="C3400" s="2" t="s">
        <v>15034</v>
      </c>
      <c r="D3400" s="15" t="s">
        <v>4479</v>
      </c>
      <c r="E3400" s="9" t="s">
        <v>789</v>
      </c>
      <c r="F3400" s="9" t="s">
        <v>144</v>
      </c>
      <c r="G3400" s="9" t="s">
        <v>1176</v>
      </c>
      <c r="H3400" s="2" t="s">
        <v>60</v>
      </c>
      <c r="I3400" s="3">
        <v>37190</v>
      </c>
      <c r="J3400" s="9" t="str">
        <f t="shared" ca="1" si="56"/>
        <v>21 ans</v>
      </c>
      <c r="K3400" s="2" t="s">
        <v>262</v>
      </c>
      <c r="L3400" s="2" t="str">
        <f>"1705"</f>
        <v>1705</v>
      </c>
      <c r="M3400" s="2"/>
      <c r="N3400" s="2" t="str">
        <f>"RUE LA ROCHELLE"</f>
        <v>RUE LA ROCHELLE</v>
      </c>
      <c r="O3400" s="2" t="s">
        <v>14661</v>
      </c>
      <c r="P3400" s="9" t="str">
        <f>VLOOKUP($O3400,'Liste des Villes'!$B$2:$B$1128,1,FALSE)</f>
        <v>Mirabel</v>
      </c>
      <c r="Q3400" s="9" t="str">
        <f>IFERROR($P3400,PROPER(VLOOKUP($O3400,'Villes en erreur'!$A$2:$B$72,2,FALSE)))</f>
        <v>Mirabel</v>
      </c>
      <c r="R3400" s="9" t="s">
        <v>14662</v>
      </c>
      <c r="S3400" s="9" t="str">
        <f>IF(ISBLANK($R3400),"",VLOOKUP($R3400,'Liste des Villes'!$B$2:$H$1128,4,FALSE))</f>
        <v>Laurentides</v>
      </c>
      <c r="T3400" s="2" t="s">
        <v>14887</v>
      </c>
      <c r="U3400" s="2" t="s">
        <v>39</v>
      </c>
      <c r="V3400" s="2" t="s">
        <v>40</v>
      </c>
      <c r="W3400" s="2" t="s">
        <v>15035</v>
      </c>
      <c r="X3400" s="2"/>
      <c r="Y3400" s="2"/>
      <c r="Z3400" s="2"/>
      <c r="AA3400" s="2" t="s">
        <v>708</v>
      </c>
      <c r="AB3400" s="2" t="s">
        <v>14669</v>
      </c>
      <c r="AC3400" s="4" t="s">
        <v>44</v>
      </c>
    </row>
    <row r="3401" spans="1:29" x14ac:dyDescent="0.25">
      <c r="A3401" s="1">
        <v>3777</v>
      </c>
      <c r="B3401" s="17" t="s">
        <v>15036</v>
      </c>
      <c r="C3401" s="2" t="s">
        <v>15037</v>
      </c>
      <c r="D3401" s="15" t="s">
        <v>2765</v>
      </c>
      <c r="E3401" s="9" t="s">
        <v>14106</v>
      </c>
      <c r="F3401" s="9" t="s">
        <v>10113</v>
      </c>
      <c r="G3401" s="9" t="s">
        <v>8747</v>
      </c>
      <c r="H3401" s="2" t="s">
        <v>35</v>
      </c>
      <c r="I3401" s="3">
        <v>37229</v>
      </c>
      <c r="J3401" s="9" t="str">
        <f t="shared" ca="1" si="56"/>
        <v>21 ans</v>
      </c>
      <c r="K3401" s="2" t="s">
        <v>262</v>
      </c>
      <c r="L3401" s="2" t="str">
        <f>"1986"</f>
        <v>1986</v>
      </c>
      <c r="M3401" s="2"/>
      <c r="N3401" s="2" t="str">
        <f>"RUE LAURIN"</f>
        <v>RUE LAURIN</v>
      </c>
      <c r="O3401" s="2" t="s">
        <v>14661</v>
      </c>
      <c r="P3401" s="9" t="str">
        <f>VLOOKUP($O3401,'Liste des Villes'!$B$2:$B$1128,1,FALSE)</f>
        <v>Mirabel</v>
      </c>
      <c r="Q3401" s="9" t="str">
        <f>IFERROR($P3401,PROPER(VLOOKUP($O3401,'Villes en erreur'!$A$2:$B$72,2,FALSE)))</f>
        <v>Mirabel</v>
      </c>
      <c r="R3401" s="9" t="s">
        <v>14662</v>
      </c>
      <c r="S3401" s="9" t="str">
        <f>IF(ISBLANK($R3401),"",VLOOKUP($R3401,'Liste des Villes'!$B$2:$H$1128,4,FALSE))</f>
        <v>Laurentides</v>
      </c>
      <c r="T3401" s="2" t="s">
        <v>15038</v>
      </c>
      <c r="U3401" s="2" t="s">
        <v>39</v>
      </c>
      <c r="V3401" s="2" t="s">
        <v>40</v>
      </c>
      <c r="W3401" s="2" t="s">
        <v>15039</v>
      </c>
      <c r="X3401" s="2"/>
      <c r="Y3401" s="2"/>
      <c r="Z3401" s="2"/>
      <c r="AA3401" s="2" t="s">
        <v>708</v>
      </c>
      <c r="AB3401" s="2" t="s">
        <v>14669</v>
      </c>
      <c r="AC3401" s="4" t="s">
        <v>44</v>
      </c>
    </row>
    <row r="3402" spans="1:29" x14ac:dyDescent="0.25">
      <c r="A3402" s="1">
        <v>4313</v>
      </c>
      <c r="B3402" s="17" t="s">
        <v>15040</v>
      </c>
      <c r="C3402" s="2" t="s">
        <v>3320</v>
      </c>
      <c r="D3402" s="15" t="s">
        <v>1371</v>
      </c>
      <c r="E3402" s="9" t="s">
        <v>1091</v>
      </c>
      <c r="F3402" s="9" t="s">
        <v>15041</v>
      </c>
      <c r="G3402" s="9" t="s">
        <v>1176</v>
      </c>
      <c r="H3402" s="2" t="s">
        <v>60</v>
      </c>
      <c r="I3402" s="3">
        <v>37190</v>
      </c>
      <c r="J3402" s="9" t="str">
        <f t="shared" ca="1" si="56"/>
        <v>21 ans</v>
      </c>
      <c r="K3402" s="2" t="s">
        <v>262</v>
      </c>
      <c r="L3402" s="2" t="str">
        <f>"1709"</f>
        <v>1709</v>
      </c>
      <c r="M3402" s="2"/>
      <c r="N3402" s="2" t="str">
        <f>"RUE LA ROCHELLE"</f>
        <v>RUE LA ROCHELLE</v>
      </c>
      <c r="O3402" s="2" t="s">
        <v>14661</v>
      </c>
      <c r="P3402" s="9" t="str">
        <f>VLOOKUP($O3402,'Liste des Villes'!$B$2:$B$1128,1,FALSE)</f>
        <v>Mirabel</v>
      </c>
      <c r="Q3402" s="9" t="str">
        <f>IFERROR($P3402,PROPER(VLOOKUP($O3402,'Villes en erreur'!$A$2:$B$72,2,FALSE)))</f>
        <v>Mirabel</v>
      </c>
      <c r="R3402" s="9" t="s">
        <v>14662</v>
      </c>
      <c r="S3402" s="9" t="str">
        <f>IF(ISBLANK($R3402),"",VLOOKUP($R3402,'Liste des Villes'!$B$2:$H$1128,4,FALSE))</f>
        <v>Laurentides</v>
      </c>
      <c r="T3402" s="2" t="s">
        <v>14887</v>
      </c>
      <c r="U3402" s="2" t="s">
        <v>39</v>
      </c>
      <c r="V3402" s="2" t="s">
        <v>40</v>
      </c>
      <c r="W3402" s="2" t="s">
        <v>15042</v>
      </c>
      <c r="X3402" s="2"/>
      <c r="Y3402" s="2"/>
      <c r="Z3402" s="2"/>
      <c r="AA3402" s="2" t="s">
        <v>708</v>
      </c>
      <c r="AB3402" s="2" t="s">
        <v>14669</v>
      </c>
      <c r="AC3402" s="4" t="s">
        <v>44</v>
      </c>
    </row>
    <row r="3403" spans="1:29" x14ac:dyDescent="0.25">
      <c r="A3403" s="1">
        <v>3964</v>
      </c>
      <c r="B3403" s="17" t="s">
        <v>15043</v>
      </c>
      <c r="C3403" s="2" t="s">
        <v>3227</v>
      </c>
      <c r="D3403" s="15" t="s">
        <v>3228</v>
      </c>
      <c r="E3403" s="9" t="s">
        <v>2381</v>
      </c>
      <c r="F3403" s="9" t="s">
        <v>15044</v>
      </c>
      <c r="G3403" s="9" t="s">
        <v>1924</v>
      </c>
      <c r="H3403" s="2" t="s">
        <v>35</v>
      </c>
      <c r="I3403" s="3">
        <v>37197</v>
      </c>
      <c r="J3403" s="9" t="str">
        <f t="shared" ca="1" si="56"/>
        <v>21 ans</v>
      </c>
      <c r="K3403" s="2" t="s">
        <v>262</v>
      </c>
      <c r="L3403" s="2" t="str">
        <f>"1742"</f>
        <v>1742</v>
      </c>
      <c r="M3403" s="2"/>
      <c r="N3403" s="2" t="str">
        <f>"RUE LABRÈCHE"</f>
        <v>RUE LABRÈCHE</v>
      </c>
      <c r="O3403" s="2" t="s">
        <v>14661</v>
      </c>
      <c r="P3403" s="9" t="str">
        <f>VLOOKUP($O3403,'Liste des Villes'!$B$2:$B$1128,1,FALSE)</f>
        <v>Mirabel</v>
      </c>
      <c r="Q3403" s="9" t="str">
        <f>IFERROR($P3403,PROPER(VLOOKUP($O3403,'Villes en erreur'!$A$2:$B$72,2,FALSE)))</f>
        <v>Mirabel</v>
      </c>
      <c r="R3403" s="9" t="s">
        <v>14662</v>
      </c>
      <c r="S3403" s="9" t="str">
        <f>IF(ISBLANK($R3403),"",VLOOKUP($R3403,'Liste des Villes'!$B$2:$H$1128,4,FALSE))</f>
        <v>Laurentides</v>
      </c>
      <c r="T3403" s="2" t="s">
        <v>15045</v>
      </c>
      <c r="U3403" s="2" t="s">
        <v>39</v>
      </c>
      <c r="V3403" s="2" t="s">
        <v>40</v>
      </c>
      <c r="W3403" s="2" t="s">
        <v>15046</v>
      </c>
      <c r="X3403" s="2"/>
      <c r="Y3403" s="2"/>
      <c r="Z3403" s="2"/>
      <c r="AA3403" s="2" t="s">
        <v>708</v>
      </c>
      <c r="AB3403" s="2" t="s">
        <v>14669</v>
      </c>
      <c r="AC3403" s="4" t="s">
        <v>44</v>
      </c>
    </row>
    <row r="3404" spans="1:29" x14ac:dyDescent="0.25">
      <c r="A3404" s="1">
        <v>4550</v>
      </c>
      <c r="B3404" s="17" t="s">
        <v>15047</v>
      </c>
      <c r="C3404" s="2" t="s">
        <v>15048</v>
      </c>
      <c r="D3404" s="15" t="s">
        <v>449</v>
      </c>
      <c r="E3404" s="9" t="s">
        <v>12079</v>
      </c>
      <c r="F3404" s="9" t="s">
        <v>13807</v>
      </c>
      <c r="G3404" s="9" t="s">
        <v>8463</v>
      </c>
      <c r="H3404" s="2" t="s">
        <v>60</v>
      </c>
      <c r="I3404" s="3">
        <v>37127</v>
      </c>
      <c r="J3404" s="9" t="str">
        <f t="shared" ca="1" si="56"/>
        <v>22 ans</v>
      </c>
      <c r="K3404" s="2" t="s">
        <v>156</v>
      </c>
      <c r="L3404" s="2" t="str">
        <f>"1340"</f>
        <v>1340</v>
      </c>
      <c r="M3404" s="2"/>
      <c r="N3404" s="2" t="str">
        <f>"RUE GUÉNETTE"</f>
        <v>RUE GUÉNETTE</v>
      </c>
      <c r="O3404" s="2" t="s">
        <v>14661</v>
      </c>
      <c r="P3404" s="9" t="str">
        <f>VLOOKUP($O3404,'Liste des Villes'!$B$2:$B$1128,1,FALSE)</f>
        <v>Mirabel</v>
      </c>
      <c r="Q3404" s="9" t="str">
        <f>IFERROR($P3404,PROPER(VLOOKUP($O3404,'Villes en erreur'!$A$2:$B$72,2,FALSE)))</f>
        <v>Mirabel</v>
      </c>
      <c r="R3404" s="9" t="s">
        <v>14662</v>
      </c>
      <c r="S3404" s="9" t="str">
        <f>IF(ISBLANK($R3404),"",VLOOKUP($R3404,'Liste des Villes'!$B$2:$H$1128,4,FALSE))</f>
        <v>Laurentides</v>
      </c>
      <c r="T3404" s="2" t="s">
        <v>15049</v>
      </c>
      <c r="U3404" s="2" t="s">
        <v>39</v>
      </c>
      <c r="V3404" s="2" t="s">
        <v>40</v>
      </c>
      <c r="W3404" s="2" t="s">
        <v>15050</v>
      </c>
      <c r="X3404" s="2"/>
      <c r="Y3404" s="2"/>
      <c r="Z3404" s="2"/>
      <c r="AA3404" s="2" t="s">
        <v>375</v>
      </c>
      <c r="AB3404" s="2" t="s">
        <v>376</v>
      </c>
      <c r="AC3404" s="4" t="s">
        <v>44</v>
      </c>
    </row>
    <row r="3405" spans="1:29" x14ac:dyDescent="0.25">
      <c r="A3405" s="1">
        <v>4140</v>
      </c>
      <c r="B3405" s="17" t="s">
        <v>15051</v>
      </c>
      <c r="C3405" s="2" t="s">
        <v>15052</v>
      </c>
      <c r="D3405" s="15" t="s">
        <v>7046</v>
      </c>
      <c r="E3405" s="9" t="s">
        <v>757</v>
      </c>
      <c r="F3405" s="9" t="s">
        <v>584</v>
      </c>
      <c r="G3405" s="9" t="s">
        <v>5528</v>
      </c>
      <c r="H3405" s="2" t="s">
        <v>60</v>
      </c>
      <c r="I3405" s="3">
        <v>37083</v>
      </c>
      <c r="J3405" s="9" t="str">
        <f t="shared" ca="1" si="56"/>
        <v>22 ans</v>
      </c>
      <c r="K3405" s="2" t="s">
        <v>156</v>
      </c>
      <c r="L3405" s="2" t="str">
        <f>"1176"</f>
        <v>1176</v>
      </c>
      <c r="M3405" s="2"/>
      <c r="N3405" s="2" t="str">
        <f>"RUE FÉLIX-LECLERC"</f>
        <v>RUE FÉLIX-LECLERC</v>
      </c>
      <c r="O3405" s="2" t="s">
        <v>14661</v>
      </c>
      <c r="P3405" s="9" t="str">
        <f>VLOOKUP($O3405,'Liste des Villes'!$B$2:$B$1128,1,FALSE)</f>
        <v>Mirabel</v>
      </c>
      <c r="Q3405" s="9" t="str">
        <f>IFERROR($P3405,PROPER(VLOOKUP($O3405,'Villes en erreur'!$A$2:$B$72,2,FALSE)))</f>
        <v>Mirabel</v>
      </c>
      <c r="R3405" s="9" t="s">
        <v>14662</v>
      </c>
      <c r="S3405" s="9" t="str">
        <f>IF(ISBLANK($R3405),"",VLOOKUP($R3405,'Liste des Villes'!$B$2:$H$1128,4,FALSE))</f>
        <v>Laurentides</v>
      </c>
      <c r="T3405" s="2" t="s">
        <v>15053</v>
      </c>
      <c r="U3405" s="2" t="s">
        <v>39</v>
      </c>
      <c r="V3405" s="2" t="s">
        <v>40</v>
      </c>
      <c r="W3405" s="2" t="s">
        <v>15054</v>
      </c>
      <c r="X3405" s="2"/>
      <c r="Y3405" s="2"/>
      <c r="Z3405" s="2"/>
      <c r="AA3405" s="2" t="s">
        <v>375</v>
      </c>
      <c r="AB3405" s="2" t="s">
        <v>376</v>
      </c>
      <c r="AC3405" s="4" t="s">
        <v>44</v>
      </c>
    </row>
    <row r="3406" spans="1:29" x14ac:dyDescent="0.25">
      <c r="A3406" s="1">
        <v>942</v>
      </c>
      <c r="B3406" s="17" t="s">
        <v>15055</v>
      </c>
      <c r="C3406" s="2" t="s">
        <v>15056</v>
      </c>
      <c r="D3406" s="15" t="s">
        <v>9015</v>
      </c>
      <c r="E3406" s="9" t="s">
        <v>1582</v>
      </c>
      <c r="F3406" s="9" t="s">
        <v>9014</v>
      </c>
      <c r="G3406" s="9" t="s">
        <v>6244</v>
      </c>
      <c r="H3406" s="2" t="s">
        <v>60</v>
      </c>
      <c r="I3406" s="3">
        <v>37177</v>
      </c>
      <c r="J3406" s="9" t="str">
        <f t="shared" ca="1" si="56"/>
        <v>21 ans</v>
      </c>
      <c r="K3406" s="2" t="s">
        <v>156</v>
      </c>
      <c r="L3406" s="2" t="str">
        <f>"1638"</f>
        <v>1638</v>
      </c>
      <c r="M3406" s="2"/>
      <c r="N3406" s="2" t="str">
        <f>"RUE JOSEPH FORTIER"</f>
        <v>RUE JOSEPH FORTIER</v>
      </c>
      <c r="O3406" s="2" t="s">
        <v>14661</v>
      </c>
      <c r="P3406" s="9" t="str">
        <f>VLOOKUP($O3406,'Liste des Villes'!$B$2:$B$1128,1,FALSE)</f>
        <v>Mirabel</v>
      </c>
      <c r="Q3406" s="9" t="str">
        <f>IFERROR($P3406,PROPER(VLOOKUP($O3406,'Villes en erreur'!$A$2:$B$72,2,FALSE)))</f>
        <v>Mirabel</v>
      </c>
      <c r="R3406" s="9" t="s">
        <v>14662</v>
      </c>
      <c r="S3406" s="9" t="str">
        <f>IF(ISBLANK($R3406),"",VLOOKUP($R3406,'Liste des Villes'!$B$2:$H$1128,4,FALSE))</f>
        <v>Laurentides</v>
      </c>
      <c r="T3406" s="2" t="s">
        <v>14879</v>
      </c>
      <c r="U3406" s="2" t="s">
        <v>39</v>
      </c>
      <c r="V3406" s="2" t="s">
        <v>40</v>
      </c>
      <c r="W3406" s="2" t="s">
        <v>14880</v>
      </c>
      <c r="X3406" s="2"/>
      <c r="Y3406" s="2"/>
      <c r="Z3406" s="2"/>
      <c r="AA3406" s="2" t="s">
        <v>708</v>
      </c>
      <c r="AB3406" s="2" t="s">
        <v>14669</v>
      </c>
      <c r="AC3406" s="4" t="s">
        <v>44</v>
      </c>
    </row>
    <row r="3407" spans="1:29" x14ac:dyDescent="0.25">
      <c r="A3407" s="1">
        <v>1953</v>
      </c>
      <c r="B3407" s="17" t="s">
        <v>15057</v>
      </c>
      <c r="C3407" s="2" t="s">
        <v>15058</v>
      </c>
      <c r="D3407" s="15" t="s">
        <v>12074</v>
      </c>
      <c r="E3407" s="9" t="s">
        <v>13474</v>
      </c>
      <c r="F3407" s="9" t="s">
        <v>1959</v>
      </c>
      <c r="G3407" s="9" t="s">
        <v>4092</v>
      </c>
      <c r="H3407" s="2" t="s">
        <v>35</v>
      </c>
      <c r="I3407" s="3">
        <v>37130</v>
      </c>
      <c r="J3407" s="9" t="str">
        <f t="shared" ca="1" si="56"/>
        <v>21 ans</v>
      </c>
      <c r="K3407" s="2" t="s">
        <v>156</v>
      </c>
      <c r="L3407" s="2" t="str">
        <f>"1350"</f>
        <v>1350</v>
      </c>
      <c r="M3407" s="2"/>
      <c r="N3407" s="2" t="str">
        <f>"RUE GUY-RACICOT"</f>
        <v>RUE GUY-RACICOT</v>
      </c>
      <c r="O3407" s="2" t="s">
        <v>14661</v>
      </c>
      <c r="P3407" s="9" t="str">
        <f>VLOOKUP($O3407,'Liste des Villes'!$B$2:$B$1128,1,FALSE)</f>
        <v>Mirabel</v>
      </c>
      <c r="Q3407" s="9" t="str">
        <f>IFERROR($P3407,PROPER(VLOOKUP($O3407,'Villes en erreur'!$A$2:$B$72,2,FALSE)))</f>
        <v>Mirabel</v>
      </c>
      <c r="R3407" s="9" t="s">
        <v>14662</v>
      </c>
      <c r="S3407" s="9" t="str">
        <f>IF(ISBLANK($R3407),"",VLOOKUP($R3407,'Liste des Villes'!$B$2:$H$1128,4,FALSE))</f>
        <v>Laurentides</v>
      </c>
      <c r="T3407" s="2" t="s">
        <v>15059</v>
      </c>
      <c r="U3407" s="2" t="s">
        <v>39</v>
      </c>
      <c r="V3407" s="2" t="s">
        <v>40</v>
      </c>
      <c r="W3407" s="2" t="s">
        <v>15060</v>
      </c>
      <c r="X3407" s="2"/>
      <c r="Y3407" s="2"/>
      <c r="Z3407" s="2"/>
      <c r="AA3407" s="2" t="s">
        <v>375</v>
      </c>
      <c r="AB3407" s="2" t="s">
        <v>376</v>
      </c>
      <c r="AC3407" s="4" t="s">
        <v>44</v>
      </c>
    </row>
    <row r="3408" spans="1:29" x14ac:dyDescent="0.25">
      <c r="A3408" s="1">
        <v>4196</v>
      </c>
      <c r="B3408" s="17" t="s">
        <v>15061</v>
      </c>
      <c r="C3408" s="2" t="s">
        <v>3610</v>
      </c>
      <c r="D3408" s="15" t="s">
        <v>569</v>
      </c>
      <c r="E3408" s="9" t="s">
        <v>1295</v>
      </c>
      <c r="F3408" s="9" t="s">
        <v>14139</v>
      </c>
      <c r="G3408" s="9" t="s">
        <v>4859</v>
      </c>
      <c r="H3408" s="2" t="s">
        <v>60</v>
      </c>
      <c r="I3408" s="3">
        <v>37168</v>
      </c>
      <c r="J3408" s="9" t="str">
        <f t="shared" ca="1" si="56"/>
        <v>21 ans</v>
      </c>
      <c r="K3408" s="2" t="s">
        <v>156</v>
      </c>
      <c r="L3408" s="2" t="str">
        <f>"1567"</f>
        <v>1567</v>
      </c>
      <c r="M3408" s="2"/>
      <c r="N3408" s="2" t="str">
        <f>"RUE JESSIE"</f>
        <v>RUE JESSIE</v>
      </c>
      <c r="O3408" s="2" t="s">
        <v>14661</v>
      </c>
      <c r="P3408" s="9" t="str">
        <f>VLOOKUP($O3408,'Liste des Villes'!$B$2:$B$1128,1,FALSE)</f>
        <v>Mirabel</v>
      </c>
      <c r="Q3408" s="9" t="str">
        <f>IFERROR($P3408,PROPER(VLOOKUP($O3408,'Villes en erreur'!$A$2:$B$72,2,FALSE)))</f>
        <v>Mirabel</v>
      </c>
      <c r="R3408" s="9" t="s">
        <v>14662</v>
      </c>
      <c r="S3408" s="9" t="str">
        <f>IF(ISBLANK($R3408),"",VLOOKUP($R3408,'Liste des Villes'!$B$2:$H$1128,4,FALSE))</f>
        <v>Laurentides</v>
      </c>
      <c r="T3408" s="2" t="s">
        <v>15062</v>
      </c>
      <c r="U3408" s="2" t="s">
        <v>39</v>
      </c>
      <c r="V3408" s="2" t="s">
        <v>40</v>
      </c>
      <c r="W3408" s="2" t="s">
        <v>15063</v>
      </c>
      <c r="X3408" s="2"/>
      <c r="Y3408" s="2"/>
      <c r="Z3408" s="2"/>
      <c r="AA3408" s="2" t="s">
        <v>708</v>
      </c>
      <c r="AB3408" s="2" t="s">
        <v>376</v>
      </c>
      <c r="AC3408" s="4" t="s">
        <v>44</v>
      </c>
    </row>
    <row r="3409" spans="1:29" x14ac:dyDescent="0.25">
      <c r="A3409" s="1">
        <v>146</v>
      </c>
      <c r="B3409" s="17" t="s">
        <v>15064</v>
      </c>
      <c r="C3409" s="2" t="s">
        <v>15065</v>
      </c>
      <c r="D3409" s="15" t="s">
        <v>782</v>
      </c>
      <c r="E3409" s="9" t="s">
        <v>2707</v>
      </c>
      <c r="F3409" s="9" t="s">
        <v>34</v>
      </c>
      <c r="G3409" s="9" t="s">
        <v>6874</v>
      </c>
      <c r="H3409" s="2" t="s">
        <v>60</v>
      </c>
      <c r="I3409" s="3">
        <v>37128</v>
      </c>
      <c r="J3409" s="9" t="str">
        <f t="shared" ca="1" si="56"/>
        <v>21 ans</v>
      </c>
      <c r="K3409" s="2" t="s">
        <v>156</v>
      </c>
      <c r="L3409" s="2" t="str">
        <f>"1343"</f>
        <v>1343</v>
      </c>
      <c r="M3409" s="2"/>
      <c r="N3409" s="2" t="str">
        <f>"RUE GUÉRIN"</f>
        <v>RUE GUÉRIN</v>
      </c>
      <c r="O3409" s="2" t="s">
        <v>14661</v>
      </c>
      <c r="P3409" s="9" t="str">
        <f>VLOOKUP($O3409,'Liste des Villes'!$B$2:$B$1128,1,FALSE)</f>
        <v>Mirabel</v>
      </c>
      <c r="Q3409" s="9" t="str">
        <f>IFERROR($P3409,PROPER(VLOOKUP($O3409,'Villes en erreur'!$A$2:$B$72,2,FALSE)))</f>
        <v>Mirabel</v>
      </c>
      <c r="R3409" s="9" t="s">
        <v>14662</v>
      </c>
      <c r="S3409" s="9" t="str">
        <f>IF(ISBLANK($R3409),"",VLOOKUP($R3409,'Liste des Villes'!$B$2:$H$1128,4,FALSE))</f>
        <v>Laurentides</v>
      </c>
      <c r="T3409" s="2" t="s">
        <v>15066</v>
      </c>
      <c r="U3409" s="2" t="s">
        <v>39</v>
      </c>
      <c r="V3409" s="2" t="s">
        <v>40</v>
      </c>
      <c r="W3409" s="2" t="s">
        <v>15067</v>
      </c>
      <c r="X3409" s="2"/>
      <c r="Y3409" s="2"/>
      <c r="Z3409" s="2"/>
      <c r="AA3409" s="2" t="s">
        <v>375</v>
      </c>
      <c r="AB3409" s="2" t="s">
        <v>376</v>
      </c>
      <c r="AC3409" s="4" t="s">
        <v>44</v>
      </c>
    </row>
    <row r="3410" spans="1:29" x14ac:dyDescent="0.25">
      <c r="A3410" s="1">
        <v>3211</v>
      </c>
      <c r="B3410" s="17" t="s">
        <v>15068</v>
      </c>
      <c r="C3410" s="2" t="s">
        <v>1103</v>
      </c>
      <c r="D3410" s="15" t="s">
        <v>1104</v>
      </c>
      <c r="E3410" s="9" t="s">
        <v>277</v>
      </c>
      <c r="F3410" s="9" t="s">
        <v>15069</v>
      </c>
      <c r="G3410" s="9" t="s">
        <v>10891</v>
      </c>
      <c r="H3410" s="2" t="s">
        <v>35</v>
      </c>
      <c r="I3410" s="3">
        <v>37085</v>
      </c>
      <c r="J3410" s="9" t="str">
        <f t="shared" ca="1" si="56"/>
        <v>22 ans</v>
      </c>
      <c r="K3410" s="2" t="s">
        <v>156</v>
      </c>
      <c r="L3410" s="2" t="str">
        <f>"1185"</f>
        <v>1185</v>
      </c>
      <c r="M3410" s="2"/>
      <c r="N3410" s="2" t="str">
        <f>"RUE FILION"</f>
        <v>RUE FILION</v>
      </c>
      <c r="O3410" s="2" t="s">
        <v>14661</v>
      </c>
      <c r="P3410" s="9" t="str">
        <f>VLOOKUP($O3410,'Liste des Villes'!$B$2:$B$1128,1,FALSE)</f>
        <v>Mirabel</v>
      </c>
      <c r="Q3410" s="9" t="str">
        <f>IFERROR($P3410,PROPER(VLOOKUP($O3410,'Villes en erreur'!$A$2:$B$72,2,FALSE)))</f>
        <v>Mirabel</v>
      </c>
      <c r="R3410" s="9" t="s">
        <v>14662</v>
      </c>
      <c r="S3410" s="9" t="str">
        <f>IF(ISBLANK($R3410),"",VLOOKUP($R3410,'Liste des Villes'!$B$2:$H$1128,4,FALSE))</f>
        <v>Laurentides</v>
      </c>
      <c r="T3410" s="2" t="s">
        <v>15070</v>
      </c>
      <c r="U3410" s="2" t="s">
        <v>39</v>
      </c>
      <c r="V3410" s="2" t="s">
        <v>40</v>
      </c>
      <c r="W3410" s="2" t="s">
        <v>15071</v>
      </c>
      <c r="X3410" s="2"/>
      <c r="Y3410" s="2"/>
      <c r="Z3410" s="2"/>
      <c r="AA3410" s="2" t="s">
        <v>375</v>
      </c>
      <c r="AB3410" s="2" t="s">
        <v>376</v>
      </c>
      <c r="AC3410" s="4" t="s">
        <v>44</v>
      </c>
    </row>
    <row r="3411" spans="1:29" x14ac:dyDescent="0.25">
      <c r="A3411" s="1">
        <v>2969</v>
      </c>
      <c r="B3411" s="17" t="s">
        <v>15072</v>
      </c>
      <c r="C3411" s="2" t="s">
        <v>6318</v>
      </c>
      <c r="D3411" s="15" t="s">
        <v>1767</v>
      </c>
      <c r="E3411" s="9" t="s">
        <v>380</v>
      </c>
      <c r="F3411" s="9" t="s">
        <v>304</v>
      </c>
      <c r="G3411" s="9" t="s">
        <v>2281</v>
      </c>
      <c r="H3411" s="2" t="s">
        <v>60</v>
      </c>
      <c r="I3411" s="3">
        <v>37099</v>
      </c>
      <c r="J3411" s="9" t="str">
        <f t="shared" ca="1" si="56"/>
        <v>22 ans</v>
      </c>
      <c r="K3411" s="2" t="s">
        <v>156</v>
      </c>
      <c r="L3411" s="2" t="str">
        <f>"1232"</f>
        <v>1232</v>
      </c>
      <c r="M3411" s="2"/>
      <c r="N3411" s="2" t="str">
        <f>"RUE FRANCINE"</f>
        <v>RUE FRANCINE</v>
      </c>
      <c r="O3411" s="2" t="s">
        <v>14661</v>
      </c>
      <c r="P3411" s="9" t="str">
        <f>VLOOKUP($O3411,'Liste des Villes'!$B$2:$B$1128,1,FALSE)</f>
        <v>Mirabel</v>
      </c>
      <c r="Q3411" s="9" t="str">
        <f>IFERROR($P3411,PROPER(VLOOKUP($O3411,'Villes en erreur'!$A$2:$B$72,2,FALSE)))</f>
        <v>Mirabel</v>
      </c>
      <c r="R3411" s="9" t="s">
        <v>14662</v>
      </c>
      <c r="S3411" s="9" t="str">
        <f>IF(ISBLANK($R3411),"",VLOOKUP($R3411,'Liste des Villes'!$B$2:$H$1128,4,FALSE))</f>
        <v>Laurentides</v>
      </c>
      <c r="T3411" s="2" t="s">
        <v>15073</v>
      </c>
      <c r="U3411" s="2" t="s">
        <v>39</v>
      </c>
      <c r="V3411" s="2" t="s">
        <v>40</v>
      </c>
      <c r="W3411" s="2" t="s">
        <v>15074</v>
      </c>
      <c r="X3411" s="2"/>
      <c r="Y3411" s="2"/>
      <c r="Z3411" s="2"/>
      <c r="AA3411" s="2" t="s">
        <v>375</v>
      </c>
      <c r="AB3411" s="2" t="s">
        <v>376</v>
      </c>
      <c r="AC3411" s="4" t="s">
        <v>44</v>
      </c>
    </row>
    <row r="3412" spans="1:29" x14ac:dyDescent="0.25">
      <c r="A3412" s="1">
        <v>4304</v>
      </c>
      <c r="B3412" s="17" t="s">
        <v>15075</v>
      </c>
      <c r="C3412" s="2" t="s">
        <v>15076</v>
      </c>
      <c r="D3412" s="15" t="s">
        <v>3055</v>
      </c>
      <c r="E3412" s="9" t="s">
        <v>10782</v>
      </c>
      <c r="F3412" s="9" t="s">
        <v>2486</v>
      </c>
      <c r="G3412" s="9" t="s">
        <v>743</v>
      </c>
      <c r="H3412" s="2" t="s">
        <v>60</v>
      </c>
      <c r="I3412" s="3">
        <v>37173</v>
      </c>
      <c r="J3412" s="9" t="str">
        <f t="shared" ca="1" si="56"/>
        <v>21 ans</v>
      </c>
      <c r="K3412" s="2" t="s">
        <v>156</v>
      </c>
      <c r="L3412" s="2" t="str">
        <f>"1618"</f>
        <v>1618</v>
      </c>
      <c r="M3412" s="2"/>
      <c r="N3412" s="2" t="str">
        <f>"RUE JONATHAN"</f>
        <v>RUE JONATHAN</v>
      </c>
      <c r="O3412" s="2" t="s">
        <v>14661</v>
      </c>
      <c r="P3412" s="9" t="str">
        <f>VLOOKUP($O3412,'Liste des Villes'!$B$2:$B$1128,1,FALSE)</f>
        <v>Mirabel</v>
      </c>
      <c r="Q3412" s="9" t="str">
        <f>IFERROR($P3412,PROPER(VLOOKUP($O3412,'Villes en erreur'!$A$2:$B$72,2,FALSE)))</f>
        <v>Mirabel</v>
      </c>
      <c r="R3412" s="9" t="s">
        <v>14662</v>
      </c>
      <c r="S3412" s="9" t="str">
        <f>IF(ISBLANK($R3412),"",VLOOKUP($R3412,'Liste des Villes'!$B$2:$H$1128,4,FALSE))</f>
        <v>Laurentides</v>
      </c>
      <c r="T3412" s="2" t="s">
        <v>14689</v>
      </c>
      <c r="U3412" s="2" t="s">
        <v>39</v>
      </c>
      <c r="V3412" s="2" t="s">
        <v>40</v>
      </c>
      <c r="W3412" s="2" t="s">
        <v>14690</v>
      </c>
      <c r="X3412" s="2"/>
      <c r="Y3412" s="2"/>
      <c r="Z3412" s="2"/>
      <c r="AA3412" s="2" t="s">
        <v>708</v>
      </c>
      <c r="AB3412" s="2" t="s">
        <v>14669</v>
      </c>
      <c r="AC3412" s="4" t="s">
        <v>44</v>
      </c>
    </row>
    <row r="3413" spans="1:29" x14ac:dyDescent="0.25">
      <c r="A3413" s="1">
        <v>1409</v>
      </c>
      <c r="B3413" s="17" t="s">
        <v>15077</v>
      </c>
      <c r="C3413" s="2" t="s">
        <v>15078</v>
      </c>
      <c r="D3413" s="15" t="s">
        <v>7693</v>
      </c>
      <c r="E3413" s="9" t="s">
        <v>3423</v>
      </c>
      <c r="F3413" s="9" t="s">
        <v>1800</v>
      </c>
      <c r="G3413" s="9" t="s">
        <v>15079</v>
      </c>
      <c r="H3413" s="2" t="s">
        <v>60</v>
      </c>
      <c r="I3413" s="3">
        <v>37154</v>
      </c>
      <c r="J3413" s="9" t="str">
        <f t="shared" ca="1" si="56"/>
        <v>21 ans</v>
      </c>
      <c r="K3413" s="2" t="s">
        <v>156</v>
      </c>
      <c r="L3413" s="2" t="str">
        <f>"1470"</f>
        <v>1470</v>
      </c>
      <c r="M3413" s="2"/>
      <c r="N3413" s="2" t="str">
        <f>"RUE JACQUES PLANTE"</f>
        <v>RUE JACQUES PLANTE</v>
      </c>
      <c r="O3413" s="2" t="s">
        <v>14661</v>
      </c>
      <c r="P3413" s="9" t="str">
        <f>VLOOKUP($O3413,'Liste des Villes'!$B$2:$B$1128,1,FALSE)</f>
        <v>Mirabel</v>
      </c>
      <c r="Q3413" s="9" t="str">
        <f>IFERROR($P3413,PROPER(VLOOKUP($O3413,'Villes en erreur'!$A$2:$B$72,2,FALSE)))</f>
        <v>Mirabel</v>
      </c>
      <c r="R3413" s="9" t="s">
        <v>14662</v>
      </c>
      <c r="S3413" s="9" t="str">
        <f>IF(ISBLANK($R3413),"",VLOOKUP($R3413,'Liste des Villes'!$B$2:$H$1128,4,FALSE))</f>
        <v>Laurentides</v>
      </c>
      <c r="T3413" s="2" t="s">
        <v>15080</v>
      </c>
      <c r="U3413" s="2" t="s">
        <v>39</v>
      </c>
      <c r="V3413" s="2" t="s">
        <v>40</v>
      </c>
      <c r="W3413" s="2" t="s">
        <v>15081</v>
      </c>
      <c r="X3413" s="2"/>
      <c r="Y3413" s="2"/>
      <c r="Z3413" s="2"/>
      <c r="AA3413" s="2" t="s">
        <v>708</v>
      </c>
      <c r="AB3413" s="2" t="s">
        <v>376</v>
      </c>
      <c r="AC3413" s="4" t="s">
        <v>44</v>
      </c>
    </row>
    <row r="3414" spans="1:29" x14ac:dyDescent="0.25">
      <c r="A3414" s="1">
        <v>1618</v>
      </c>
      <c r="B3414" s="17" t="s">
        <v>15082</v>
      </c>
      <c r="C3414" s="2" t="s">
        <v>1793</v>
      </c>
      <c r="D3414" s="15" t="s">
        <v>349</v>
      </c>
      <c r="E3414" s="9" t="s">
        <v>622</v>
      </c>
      <c r="F3414" s="9" t="s">
        <v>347</v>
      </c>
      <c r="G3414" s="9" t="s">
        <v>1004</v>
      </c>
      <c r="H3414" s="2" t="s">
        <v>60</v>
      </c>
      <c r="I3414" s="3">
        <v>37104</v>
      </c>
      <c r="J3414" s="9" t="str">
        <f t="shared" ca="1" si="56"/>
        <v>22 ans</v>
      </c>
      <c r="K3414" s="2" t="s">
        <v>156</v>
      </c>
      <c r="L3414" s="2" t="str">
        <f>"1244"</f>
        <v>1244</v>
      </c>
      <c r="M3414" s="2"/>
      <c r="N3414" s="2" t="str">
        <f>"RUE GAÉTANE"</f>
        <v>RUE GAÉTANE</v>
      </c>
      <c r="O3414" s="2" t="s">
        <v>14661</v>
      </c>
      <c r="P3414" s="9" t="str">
        <f>VLOOKUP($O3414,'Liste des Villes'!$B$2:$B$1128,1,FALSE)</f>
        <v>Mirabel</v>
      </c>
      <c r="Q3414" s="9" t="str">
        <f>IFERROR($P3414,PROPER(VLOOKUP($O3414,'Villes en erreur'!$A$2:$B$72,2,FALSE)))</f>
        <v>Mirabel</v>
      </c>
      <c r="R3414" s="9" t="s">
        <v>14662</v>
      </c>
      <c r="S3414" s="9" t="str">
        <f>IF(ISBLANK($R3414),"",VLOOKUP($R3414,'Liste des Villes'!$B$2:$H$1128,4,FALSE))</f>
        <v>Laurentides</v>
      </c>
      <c r="T3414" s="2" t="s">
        <v>15083</v>
      </c>
      <c r="U3414" s="2" t="s">
        <v>39</v>
      </c>
      <c r="V3414" s="2" t="s">
        <v>40</v>
      </c>
      <c r="W3414" s="2" t="s">
        <v>15084</v>
      </c>
      <c r="X3414" s="2"/>
      <c r="Y3414" s="2"/>
      <c r="Z3414" s="2"/>
      <c r="AA3414" s="2" t="s">
        <v>375</v>
      </c>
      <c r="AB3414" s="2" t="s">
        <v>376</v>
      </c>
      <c r="AC3414" s="4" t="s">
        <v>44</v>
      </c>
    </row>
    <row r="3415" spans="1:29" x14ac:dyDescent="0.25">
      <c r="A3415" s="1">
        <v>1375</v>
      </c>
      <c r="B3415" s="17" t="s">
        <v>15085</v>
      </c>
      <c r="C3415" s="2" t="s">
        <v>15086</v>
      </c>
      <c r="D3415" s="15" t="s">
        <v>15087</v>
      </c>
      <c r="E3415" s="9" t="s">
        <v>14872</v>
      </c>
      <c r="F3415" s="9" t="s">
        <v>15088</v>
      </c>
      <c r="G3415" s="9" t="s">
        <v>743</v>
      </c>
      <c r="H3415" s="2" t="s">
        <v>60</v>
      </c>
      <c r="I3415" s="3">
        <v>37173</v>
      </c>
      <c r="J3415" s="9" t="str">
        <f t="shared" ca="1" si="56"/>
        <v>21 ans</v>
      </c>
      <c r="K3415" s="2" t="s">
        <v>156</v>
      </c>
      <c r="L3415" s="2" t="str">
        <f>"1617"</f>
        <v>1617</v>
      </c>
      <c r="M3415" s="2"/>
      <c r="N3415" s="2" t="str">
        <f>"RUE JOLY"</f>
        <v>RUE JOLY</v>
      </c>
      <c r="O3415" s="2" t="s">
        <v>14661</v>
      </c>
      <c r="P3415" s="9" t="str">
        <f>VLOOKUP($O3415,'Liste des Villes'!$B$2:$B$1128,1,FALSE)</f>
        <v>Mirabel</v>
      </c>
      <c r="Q3415" s="9" t="str">
        <f>IFERROR($P3415,PROPER(VLOOKUP($O3415,'Villes en erreur'!$A$2:$B$72,2,FALSE)))</f>
        <v>Mirabel</v>
      </c>
      <c r="R3415" s="9" t="s">
        <v>14662</v>
      </c>
      <c r="S3415" s="9" t="str">
        <f>IF(ISBLANK($R3415),"",VLOOKUP($R3415,'Liste des Villes'!$B$2:$H$1128,4,FALSE))</f>
        <v>Laurentides</v>
      </c>
      <c r="T3415" s="2" t="s">
        <v>15089</v>
      </c>
      <c r="U3415" s="2" t="s">
        <v>39</v>
      </c>
      <c r="V3415" s="2" t="s">
        <v>40</v>
      </c>
      <c r="W3415" s="2" t="s">
        <v>15090</v>
      </c>
      <c r="X3415" s="2"/>
      <c r="Y3415" s="2"/>
      <c r="Z3415" s="2"/>
      <c r="AA3415" s="2" t="s">
        <v>708</v>
      </c>
      <c r="AB3415" s="2" t="s">
        <v>14669</v>
      </c>
      <c r="AC3415" s="4" t="s">
        <v>44</v>
      </c>
    </row>
    <row r="3416" spans="1:29" x14ac:dyDescent="0.25">
      <c r="A3416" s="1">
        <v>1479</v>
      </c>
      <c r="B3416" s="17" t="s">
        <v>15091</v>
      </c>
      <c r="C3416" s="2" t="s">
        <v>1144</v>
      </c>
      <c r="D3416" s="15" t="s">
        <v>1145</v>
      </c>
      <c r="E3416" s="9" t="s">
        <v>495</v>
      </c>
      <c r="F3416" s="9" t="s">
        <v>5844</v>
      </c>
      <c r="G3416" s="9" t="s">
        <v>11938</v>
      </c>
      <c r="H3416" s="2" t="s">
        <v>60</v>
      </c>
      <c r="I3416" s="3">
        <v>37098</v>
      </c>
      <c r="J3416" s="9" t="str">
        <f t="shared" ca="1" si="56"/>
        <v>22 ans</v>
      </c>
      <c r="K3416" s="2" t="s">
        <v>156</v>
      </c>
      <c r="L3416" s="2" t="str">
        <f>"1227"</f>
        <v>1227</v>
      </c>
      <c r="M3416" s="2"/>
      <c r="N3416" s="2" t="str">
        <f>"RUE FOURNIER"</f>
        <v>RUE FOURNIER</v>
      </c>
      <c r="O3416" s="2" t="s">
        <v>14662</v>
      </c>
      <c r="P3416" s="9" t="str">
        <f>VLOOKUP($O3416,'Liste des Villes'!$B$2:$B$1128,1,FALSE)</f>
        <v>Mirabel</v>
      </c>
      <c r="Q3416" s="9" t="str">
        <f>IFERROR($P3416,PROPER(VLOOKUP($O3416,'Villes en erreur'!$A$2:$B$72,2,FALSE)))</f>
        <v>Mirabel</v>
      </c>
      <c r="R3416" s="9" t="s">
        <v>14662</v>
      </c>
      <c r="S3416" s="9" t="str">
        <f>IF(ISBLANK($R3416),"",VLOOKUP($R3416,'Liste des Villes'!$B$2:$H$1128,4,FALSE))</f>
        <v>Laurentides</v>
      </c>
      <c r="T3416" s="2" t="s">
        <v>15092</v>
      </c>
      <c r="U3416" s="2" t="s">
        <v>39</v>
      </c>
      <c r="V3416" s="2" t="s">
        <v>40</v>
      </c>
      <c r="W3416" s="2" t="s">
        <v>15093</v>
      </c>
      <c r="X3416" s="2"/>
      <c r="Y3416" s="2"/>
      <c r="Z3416" s="2"/>
      <c r="AA3416" s="2" t="s">
        <v>375</v>
      </c>
      <c r="AB3416" s="2" t="s">
        <v>376</v>
      </c>
      <c r="AC3416" s="4" t="s">
        <v>44</v>
      </c>
    </row>
    <row r="3417" spans="1:29" x14ac:dyDescent="0.25">
      <c r="A3417" s="1">
        <v>301</v>
      </c>
      <c r="B3417" s="17" t="s">
        <v>15094</v>
      </c>
      <c r="C3417" s="2" t="s">
        <v>15095</v>
      </c>
      <c r="D3417" s="15" t="s">
        <v>15096</v>
      </c>
      <c r="E3417" s="9" t="s">
        <v>1754</v>
      </c>
      <c r="F3417" s="9" t="s">
        <v>15097</v>
      </c>
      <c r="G3417" s="9" t="s">
        <v>3849</v>
      </c>
      <c r="H3417" s="2" t="s">
        <v>60</v>
      </c>
      <c r="I3417" s="3">
        <v>37181</v>
      </c>
      <c r="J3417" s="9" t="str">
        <f t="shared" ca="1" si="56"/>
        <v>21 ans</v>
      </c>
      <c r="K3417" s="2" t="s">
        <v>262</v>
      </c>
      <c r="L3417" s="2" t="str">
        <f>"1673"</f>
        <v>1673</v>
      </c>
      <c r="M3417" s="2"/>
      <c r="N3417" s="2" t="str">
        <f>"RUE JUNOT"</f>
        <v>RUE JUNOT</v>
      </c>
      <c r="O3417" s="2" t="s">
        <v>14661</v>
      </c>
      <c r="P3417" s="9" t="str">
        <f>VLOOKUP($O3417,'Liste des Villes'!$B$2:$B$1128,1,FALSE)</f>
        <v>Mirabel</v>
      </c>
      <c r="Q3417" s="9" t="str">
        <f>IFERROR($P3417,PROPER(VLOOKUP($O3417,'Villes en erreur'!$A$2:$B$72,2,FALSE)))</f>
        <v>Mirabel</v>
      </c>
      <c r="R3417" s="9" t="s">
        <v>14662</v>
      </c>
      <c r="S3417" s="9" t="str">
        <f>IF(ISBLANK($R3417),"",VLOOKUP($R3417,'Liste des Villes'!$B$2:$H$1128,4,FALSE))</f>
        <v>Laurentides</v>
      </c>
      <c r="T3417" s="2" t="s">
        <v>15098</v>
      </c>
      <c r="U3417" s="2" t="s">
        <v>39</v>
      </c>
      <c r="V3417" s="2" t="s">
        <v>40</v>
      </c>
      <c r="W3417" s="2" t="s">
        <v>15099</v>
      </c>
      <c r="X3417" s="2"/>
      <c r="Y3417" s="2"/>
      <c r="Z3417" s="2"/>
      <c r="AA3417" s="2" t="s">
        <v>708</v>
      </c>
      <c r="AB3417" s="2" t="s">
        <v>14669</v>
      </c>
      <c r="AC3417" s="4" t="s">
        <v>44</v>
      </c>
    </row>
    <row r="3418" spans="1:29" x14ac:dyDescent="0.25">
      <c r="A3418" s="1">
        <v>2192</v>
      </c>
      <c r="B3418" s="17" t="s">
        <v>15100</v>
      </c>
      <c r="C3418" s="2" t="s">
        <v>1288</v>
      </c>
      <c r="D3418" s="15" t="s">
        <v>601</v>
      </c>
      <c r="E3418" s="9" t="s">
        <v>1289</v>
      </c>
      <c r="F3418" s="9" t="s">
        <v>599</v>
      </c>
      <c r="G3418" s="9" t="s">
        <v>1591</v>
      </c>
      <c r="H3418" s="2" t="s">
        <v>35</v>
      </c>
      <c r="I3418" s="3">
        <v>37244</v>
      </c>
      <c r="J3418" s="9" t="str">
        <f t="shared" ca="1" si="56"/>
        <v>21 ans</v>
      </c>
      <c r="K3418" s="2" t="s">
        <v>262</v>
      </c>
      <c r="L3418" s="2" t="str">
        <f>"2075"</f>
        <v>2075</v>
      </c>
      <c r="M3418" s="2"/>
      <c r="N3418" s="2" t="str">
        <f>"RUE LEMIRE"</f>
        <v>RUE LEMIRE</v>
      </c>
      <c r="O3418" s="2" t="s">
        <v>14661</v>
      </c>
      <c r="P3418" s="9" t="str">
        <f>VLOOKUP($O3418,'Liste des Villes'!$B$2:$B$1128,1,FALSE)</f>
        <v>Mirabel</v>
      </c>
      <c r="Q3418" s="9" t="str">
        <f>IFERROR($P3418,PROPER(VLOOKUP($O3418,'Villes en erreur'!$A$2:$B$72,2,FALSE)))</f>
        <v>Mirabel</v>
      </c>
      <c r="R3418" s="9" t="s">
        <v>14662</v>
      </c>
      <c r="S3418" s="9" t="str">
        <f>IF(ISBLANK($R3418),"",VLOOKUP($R3418,'Liste des Villes'!$B$2:$H$1128,4,FALSE))</f>
        <v>Laurentides</v>
      </c>
      <c r="T3418" s="2" t="s">
        <v>15101</v>
      </c>
      <c r="U3418" s="2" t="s">
        <v>39</v>
      </c>
      <c r="V3418" s="2" t="s">
        <v>40</v>
      </c>
      <c r="W3418" s="2" t="s">
        <v>15102</v>
      </c>
      <c r="X3418" s="2"/>
      <c r="Y3418" s="2"/>
      <c r="Z3418" s="2"/>
      <c r="AA3418" s="2" t="s">
        <v>708</v>
      </c>
      <c r="AB3418" s="2" t="s">
        <v>14669</v>
      </c>
      <c r="AC3418" s="4" t="s">
        <v>44</v>
      </c>
    </row>
    <row r="3419" spans="1:29" x14ac:dyDescent="0.25">
      <c r="A3419" s="1">
        <v>1056</v>
      </c>
      <c r="B3419" s="17" t="s">
        <v>15103</v>
      </c>
      <c r="C3419" s="2" t="s">
        <v>8030</v>
      </c>
      <c r="D3419" s="15" t="s">
        <v>4330</v>
      </c>
      <c r="E3419" s="9" t="s">
        <v>3485</v>
      </c>
      <c r="F3419" s="9" t="s">
        <v>4328</v>
      </c>
      <c r="G3419" s="9" t="s">
        <v>1591</v>
      </c>
      <c r="H3419" s="2" t="s">
        <v>35</v>
      </c>
      <c r="I3419" s="3">
        <v>37244</v>
      </c>
      <c r="J3419" s="9" t="str">
        <f t="shared" ca="1" si="56"/>
        <v>21 ans</v>
      </c>
      <c r="K3419" s="2" t="s">
        <v>262</v>
      </c>
      <c r="L3419" s="2" t="str">
        <f>"2082"</f>
        <v>2082</v>
      </c>
      <c r="M3419" s="2"/>
      <c r="N3419" s="2" t="str">
        <f>"RUE LEMIRE"</f>
        <v>RUE LEMIRE</v>
      </c>
      <c r="O3419" s="2" t="s">
        <v>14661</v>
      </c>
      <c r="P3419" s="9" t="str">
        <f>VLOOKUP($O3419,'Liste des Villes'!$B$2:$B$1128,1,FALSE)</f>
        <v>Mirabel</v>
      </c>
      <c r="Q3419" s="9" t="str">
        <f>IFERROR($P3419,PROPER(VLOOKUP($O3419,'Villes en erreur'!$A$2:$B$72,2,FALSE)))</f>
        <v>Mirabel</v>
      </c>
      <c r="R3419" s="9" t="s">
        <v>14662</v>
      </c>
      <c r="S3419" s="9" t="str">
        <f>IF(ISBLANK($R3419),"",VLOOKUP($R3419,'Liste des Villes'!$B$2:$H$1128,4,FALSE))</f>
        <v>Laurentides</v>
      </c>
      <c r="T3419" s="2" t="s">
        <v>14927</v>
      </c>
      <c r="U3419" s="2" t="s">
        <v>39</v>
      </c>
      <c r="V3419" s="2" t="s">
        <v>40</v>
      </c>
      <c r="W3419" s="2" t="s">
        <v>15104</v>
      </c>
      <c r="X3419" s="2"/>
      <c r="Y3419" s="2"/>
      <c r="Z3419" s="2"/>
      <c r="AA3419" s="2" t="s">
        <v>708</v>
      </c>
      <c r="AB3419" s="2" t="s">
        <v>14669</v>
      </c>
      <c r="AC3419" s="4" t="s">
        <v>44</v>
      </c>
    </row>
    <row r="3420" spans="1:29" x14ac:dyDescent="0.25">
      <c r="A3420" s="1">
        <v>1474</v>
      </c>
      <c r="B3420" s="17" t="s">
        <v>15105</v>
      </c>
      <c r="C3420" s="2" t="s">
        <v>2209</v>
      </c>
      <c r="D3420" s="15" t="s">
        <v>782</v>
      </c>
      <c r="E3420" s="9" t="s">
        <v>2210</v>
      </c>
      <c r="F3420" s="9" t="s">
        <v>2693</v>
      </c>
      <c r="G3420" s="9" t="s">
        <v>1091</v>
      </c>
      <c r="H3420" s="2" t="s">
        <v>60</v>
      </c>
      <c r="I3420" s="3">
        <v>37208</v>
      </c>
      <c r="J3420" s="9" t="str">
        <f t="shared" ca="1" si="56"/>
        <v>21 ans</v>
      </c>
      <c r="K3420" s="2" t="s">
        <v>262</v>
      </c>
      <c r="L3420" s="2" t="str">
        <f>"1821"</f>
        <v>1821</v>
      </c>
      <c r="M3420" s="2"/>
      <c r="N3420" s="2" t="str">
        <f>"RUE LAHAIE"</f>
        <v>RUE LAHAIE</v>
      </c>
      <c r="O3420" s="2" t="s">
        <v>14661</v>
      </c>
      <c r="P3420" s="9" t="str">
        <f>VLOOKUP($O3420,'Liste des Villes'!$B$2:$B$1128,1,FALSE)</f>
        <v>Mirabel</v>
      </c>
      <c r="Q3420" s="9" t="str">
        <f>IFERROR($P3420,PROPER(VLOOKUP($O3420,'Villes en erreur'!$A$2:$B$72,2,FALSE)))</f>
        <v>Mirabel</v>
      </c>
      <c r="R3420" s="9" t="s">
        <v>14662</v>
      </c>
      <c r="S3420" s="9" t="str">
        <f>IF(ISBLANK($R3420),"",VLOOKUP($R3420,'Liste des Villes'!$B$2:$H$1128,4,FALSE))</f>
        <v>Laurentides</v>
      </c>
      <c r="T3420" s="2" t="s">
        <v>15021</v>
      </c>
      <c r="U3420" s="2" t="s">
        <v>39</v>
      </c>
      <c r="V3420" s="2" t="s">
        <v>40</v>
      </c>
      <c r="W3420" s="2" t="s">
        <v>15106</v>
      </c>
      <c r="X3420" s="2"/>
      <c r="Y3420" s="2"/>
      <c r="Z3420" s="2"/>
      <c r="AA3420" s="2" t="s">
        <v>708</v>
      </c>
      <c r="AB3420" s="2" t="s">
        <v>14669</v>
      </c>
      <c r="AC3420" s="4" t="s">
        <v>44</v>
      </c>
    </row>
    <row r="3421" spans="1:29" x14ac:dyDescent="0.25">
      <c r="A3421" s="1">
        <v>206</v>
      </c>
      <c r="B3421" s="17" t="s">
        <v>15107</v>
      </c>
      <c r="C3421" s="2" t="s">
        <v>4230</v>
      </c>
      <c r="D3421" s="15" t="s">
        <v>957</v>
      </c>
      <c r="E3421" s="9" t="s">
        <v>4231</v>
      </c>
      <c r="F3421" s="9" t="s">
        <v>14266</v>
      </c>
      <c r="G3421" s="9" t="s">
        <v>3849</v>
      </c>
      <c r="H3421" s="2" t="s">
        <v>60</v>
      </c>
      <c r="I3421" s="3">
        <v>37182</v>
      </c>
      <c r="J3421" s="9" t="str">
        <f t="shared" ca="1" si="56"/>
        <v>21 ans</v>
      </c>
      <c r="K3421" s="2" t="s">
        <v>262</v>
      </c>
      <c r="L3421" s="2" t="str">
        <f>"1688"</f>
        <v>1688</v>
      </c>
      <c r="M3421" s="2"/>
      <c r="N3421" s="2" t="str">
        <f>"RUE JUSTINE-LACOSTE"</f>
        <v>RUE JUSTINE-LACOSTE</v>
      </c>
      <c r="O3421" s="2" t="s">
        <v>14661</v>
      </c>
      <c r="P3421" s="9" t="str">
        <f>VLOOKUP($O3421,'Liste des Villes'!$B$2:$B$1128,1,FALSE)</f>
        <v>Mirabel</v>
      </c>
      <c r="Q3421" s="9" t="str">
        <f>IFERROR($P3421,PROPER(VLOOKUP($O3421,'Villes en erreur'!$A$2:$B$72,2,FALSE)))</f>
        <v>Mirabel</v>
      </c>
      <c r="R3421" s="9" t="s">
        <v>14662</v>
      </c>
      <c r="S3421" s="9" t="str">
        <f>IF(ISBLANK($R3421),"",VLOOKUP($R3421,'Liste des Villes'!$B$2:$H$1128,4,FALSE))</f>
        <v>Laurentides</v>
      </c>
      <c r="T3421" s="2" t="s">
        <v>15108</v>
      </c>
      <c r="U3421" s="2" t="s">
        <v>39</v>
      </c>
      <c r="V3421" s="2" t="s">
        <v>40</v>
      </c>
      <c r="W3421" s="2" t="s">
        <v>15109</v>
      </c>
      <c r="X3421" s="2"/>
      <c r="Y3421" s="2"/>
      <c r="Z3421" s="2"/>
      <c r="AA3421" s="2" t="s">
        <v>708</v>
      </c>
      <c r="AB3421" s="2" t="s">
        <v>14669</v>
      </c>
      <c r="AC3421" s="4" t="s">
        <v>44</v>
      </c>
    </row>
    <row r="3422" spans="1:29" x14ac:dyDescent="0.25">
      <c r="A3422" s="1">
        <v>4476</v>
      </c>
      <c r="B3422" s="17" t="s">
        <v>15110</v>
      </c>
      <c r="C3422" s="2" t="s">
        <v>8915</v>
      </c>
      <c r="D3422" s="15" t="s">
        <v>2434</v>
      </c>
      <c r="E3422" s="9" t="s">
        <v>8916</v>
      </c>
      <c r="F3422" s="9" t="s">
        <v>12256</v>
      </c>
      <c r="G3422" s="9" t="s">
        <v>11394</v>
      </c>
      <c r="H3422" s="2" t="s">
        <v>35</v>
      </c>
      <c r="I3422" s="3">
        <v>37156</v>
      </c>
      <c r="J3422" s="9" t="str">
        <f t="shared" ca="1" si="56"/>
        <v>21 ans</v>
      </c>
      <c r="K3422" s="2" t="s">
        <v>156</v>
      </c>
      <c r="L3422" s="2" t="str">
        <f>"1485"</f>
        <v>1485</v>
      </c>
      <c r="M3422" s="2"/>
      <c r="N3422" s="2" t="str">
        <f>"RUE JACQUES-LAVIGNE"</f>
        <v>RUE JACQUES-LAVIGNE</v>
      </c>
      <c r="O3422" s="2" t="s">
        <v>14661</v>
      </c>
      <c r="P3422" s="9" t="str">
        <f>VLOOKUP($O3422,'Liste des Villes'!$B$2:$B$1128,1,FALSE)</f>
        <v>Mirabel</v>
      </c>
      <c r="Q3422" s="9" t="str">
        <f>IFERROR($P3422,PROPER(VLOOKUP($O3422,'Villes en erreur'!$A$2:$B$72,2,FALSE)))</f>
        <v>Mirabel</v>
      </c>
      <c r="R3422" s="9" t="s">
        <v>14662</v>
      </c>
      <c r="S3422" s="9" t="str">
        <f>IF(ISBLANK($R3422),"",VLOOKUP($R3422,'Liste des Villes'!$B$2:$H$1128,4,FALSE))</f>
        <v>Laurentides</v>
      </c>
      <c r="T3422" s="2" t="s">
        <v>14876</v>
      </c>
      <c r="U3422" s="2" t="s">
        <v>39</v>
      </c>
      <c r="V3422" s="2" t="s">
        <v>40</v>
      </c>
      <c r="W3422" s="2" t="s">
        <v>15111</v>
      </c>
      <c r="X3422" s="2"/>
      <c r="Y3422" s="2"/>
      <c r="Z3422" s="2"/>
      <c r="AA3422" s="2" t="s">
        <v>708</v>
      </c>
      <c r="AB3422" s="2" t="s">
        <v>376</v>
      </c>
      <c r="AC3422" s="4" t="s">
        <v>44</v>
      </c>
    </row>
    <row r="3423" spans="1:29" x14ac:dyDescent="0.25">
      <c r="A3423" s="1">
        <v>1910</v>
      </c>
      <c r="B3423" s="17" t="s">
        <v>15112</v>
      </c>
      <c r="C3423" s="2" t="s">
        <v>4214</v>
      </c>
      <c r="D3423" s="15" t="s">
        <v>914</v>
      </c>
      <c r="E3423" s="9" t="s">
        <v>253</v>
      </c>
      <c r="F3423" s="9" t="s">
        <v>912</v>
      </c>
      <c r="G3423" s="9" t="s">
        <v>15113</v>
      </c>
      <c r="H3423" s="2" t="s">
        <v>60</v>
      </c>
      <c r="I3423" s="3">
        <v>37182</v>
      </c>
      <c r="J3423" s="9" t="str">
        <f t="shared" ca="1" si="56"/>
        <v>21 ans</v>
      </c>
      <c r="K3423" s="2" t="s">
        <v>262</v>
      </c>
      <c r="L3423" s="2" t="str">
        <f>"1694"</f>
        <v>1694</v>
      </c>
      <c r="M3423" s="2"/>
      <c r="N3423" s="2" t="str">
        <f>"RUE JUTRAS"</f>
        <v>RUE JUTRAS</v>
      </c>
      <c r="O3423" s="2" t="s">
        <v>14661</v>
      </c>
      <c r="P3423" s="9" t="str">
        <f>VLOOKUP($O3423,'Liste des Villes'!$B$2:$B$1128,1,FALSE)</f>
        <v>Mirabel</v>
      </c>
      <c r="Q3423" s="9" t="str">
        <f>IFERROR($P3423,PROPER(VLOOKUP($O3423,'Villes en erreur'!$A$2:$B$72,2,FALSE)))</f>
        <v>Mirabel</v>
      </c>
      <c r="R3423" s="9" t="s">
        <v>14662</v>
      </c>
      <c r="S3423" s="9" t="str">
        <f>IF(ISBLANK($R3423),"",VLOOKUP($R3423,'Liste des Villes'!$B$2:$H$1128,4,FALSE))</f>
        <v>Laurentides</v>
      </c>
      <c r="T3423" s="2" t="s">
        <v>15108</v>
      </c>
      <c r="U3423" s="2" t="s">
        <v>39</v>
      </c>
      <c r="V3423" s="2" t="s">
        <v>40</v>
      </c>
      <c r="W3423" s="2" t="s">
        <v>15114</v>
      </c>
      <c r="X3423" s="2"/>
      <c r="Y3423" s="2"/>
      <c r="Z3423" s="2"/>
      <c r="AA3423" s="2" t="s">
        <v>708</v>
      </c>
      <c r="AB3423" s="2" t="s">
        <v>14669</v>
      </c>
      <c r="AC3423" s="4" t="s">
        <v>44</v>
      </c>
    </row>
    <row r="3424" spans="1:29" x14ac:dyDescent="0.25">
      <c r="A3424" s="1">
        <v>4281</v>
      </c>
      <c r="B3424" s="17" t="s">
        <v>15115</v>
      </c>
      <c r="C3424" s="2" t="s">
        <v>15116</v>
      </c>
      <c r="D3424" s="15" t="s">
        <v>934</v>
      </c>
      <c r="E3424" s="9" t="s">
        <v>470</v>
      </c>
      <c r="F3424" s="9" t="s">
        <v>657</v>
      </c>
      <c r="G3424" s="9" t="s">
        <v>1091</v>
      </c>
      <c r="H3424" s="2" t="s">
        <v>60</v>
      </c>
      <c r="I3424" s="3">
        <v>37208</v>
      </c>
      <c r="J3424" s="9" t="str">
        <f t="shared" ca="1" si="56"/>
        <v>21 ans</v>
      </c>
      <c r="K3424" s="2" t="s">
        <v>262</v>
      </c>
      <c r="L3424" s="2" t="str">
        <f>"1815"</f>
        <v>1815</v>
      </c>
      <c r="M3424" s="2"/>
      <c r="N3424" s="2" t="str">
        <f>"RUE LAFLAMME"</f>
        <v>RUE LAFLAMME</v>
      </c>
      <c r="O3424" s="2" t="s">
        <v>14661</v>
      </c>
      <c r="P3424" s="9" t="str">
        <f>VLOOKUP($O3424,'Liste des Villes'!$B$2:$B$1128,1,FALSE)</f>
        <v>Mirabel</v>
      </c>
      <c r="Q3424" s="9" t="str">
        <f>IFERROR($P3424,PROPER(VLOOKUP($O3424,'Villes en erreur'!$A$2:$B$72,2,FALSE)))</f>
        <v>Mirabel</v>
      </c>
      <c r="R3424" s="9" t="s">
        <v>14662</v>
      </c>
      <c r="S3424" s="9" t="str">
        <f>IF(ISBLANK($R3424),"",VLOOKUP($R3424,'Liste des Villes'!$B$2:$H$1128,4,FALSE))</f>
        <v>Laurentides</v>
      </c>
      <c r="T3424" s="2" t="s">
        <v>15117</v>
      </c>
      <c r="U3424" s="2" t="s">
        <v>39</v>
      </c>
      <c r="V3424" s="2" t="s">
        <v>40</v>
      </c>
      <c r="W3424" s="2" t="s">
        <v>15118</v>
      </c>
      <c r="X3424" s="2"/>
      <c r="Y3424" s="2"/>
      <c r="Z3424" s="2"/>
      <c r="AA3424" s="2" t="s">
        <v>708</v>
      </c>
      <c r="AB3424" s="2" t="s">
        <v>14669</v>
      </c>
      <c r="AC3424" s="4" t="s">
        <v>44</v>
      </c>
    </row>
    <row r="3425" spans="1:29" x14ac:dyDescent="0.25">
      <c r="A3425" s="1">
        <v>3435</v>
      </c>
      <c r="B3425" s="17" t="s">
        <v>15119</v>
      </c>
      <c r="C3425" s="2" t="s">
        <v>15120</v>
      </c>
      <c r="D3425" s="15" t="s">
        <v>8125</v>
      </c>
      <c r="E3425" s="9" t="s">
        <v>1315</v>
      </c>
      <c r="F3425" s="9" t="s">
        <v>47</v>
      </c>
      <c r="G3425" s="9" t="s">
        <v>7201</v>
      </c>
      <c r="H3425" s="2" t="s">
        <v>60</v>
      </c>
      <c r="I3425" s="3">
        <v>37158</v>
      </c>
      <c r="J3425" s="9" t="str">
        <f t="shared" ca="1" si="56"/>
        <v>21 ans</v>
      </c>
      <c r="K3425" s="2" t="s">
        <v>156</v>
      </c>
      <c r="L3425" s="2" t="str">
        <f>"1496"</f>
        <v>1496</v>
      </c>
      <c r="M3425" s="2"/>
      <c r="N3425" s="2" t="str">
        <f>"RUE JEAN"</f>
        <v>RUE JEAN</v>
      </c>
      <c r="O3425" s="2" t="s">
        <v>14661</v>
      </c>
      <c r="P3425" s="9" t="str">
        <f>VLOOKUP($O3425,'Liste des Villes'!$B$2:$B$1128,1,FALSE)</f>
        <v>Mirabel</v>
      </c>
      <c r="Q3425" s="9" t="str">
        <f>IFERROR($P3425,PROPER(VLOOKUP($O3425,'Villes en erreur'!$A$2:$B$72,2,FALSE)))</f>
        <v>Mirabel</v>
      </c>
      <c r="R3425" s="9" t="s">
        <v>14662</v>
      </c>
      <c r="S3425" s="9" t="str">
        <f>IF(ISBLANK($R3425),"",VLOOKUP($R3425,'Liste des Villes'!$B$2:$H$1128,4,FALSE))</f>
        <v>Laurentides</v>
      </c>
      <c r="T3425" s="2" t="s">
        <v>15121</v>
      </c>
      <c r="U3425" s="2" t="s">
        <v>39</v>
      </c>
      <c r="V3425" s="2" t="s">
        <v>40</v>
      </c>
      <c r="W3425" s="2" t="s">
        <v>15122</v>
      </c>
      <c r="X3425" s="2"/>
      <c r="Y3425" s="2"/>
      <c r="Z3425" s="2"/>
      <c r="AA3425" s="2" t="s">
        <v>708</v>
      </c>
      <c r="AB3425" s="2" t="s">
        <v>376</v>
      </c>
      <c r="AC3425" s="4" t="s">
        <v>44</v>
      </c>
    </row>
    <row r="3426" spans="1:29" x14ac:dyDescent="0.25">
      <c r="A3426" s="1">
        <v>239</v>
      </c>
      <c r="B3426" s="17" t="s">
        <v>15123</v>
      </c>
      <c r="C3426" s="2" t="s">
        <v>15124</v>
      </c>
      <c r="D3426" s="15" t="s">
        <v>56</v>
      </c>
      <c r="E3426" s="9" t="s">
        <v>12939</v>
      </c>
      <c r="F3426" s="9" t="s">
        <v>7228</v>
      </c>
      <c r="G3426" s="9" t="s">
        <v>12928</v>
      </c>
      <c r="H3426" s="2" t="s">
        <v>35</v>
      </c>
      <c r="I3426" s="3">
        <v>37099</v>
      </c>
      <c r="J3426" s="9" t="str">
        <f t="shared" ca="1" si="56"/>
        <v>22 ans</v>
      </c>
      <c r="K3426" s="2" t="s">
        <v>156</v>
      </c>
      <c r="L3426" s="2" t="str">
        <f>"1232"</f>
        <v>1232</v>
      </c>
      <c r="M3426" s="2"/>
      <c r="N3426" s="2" t="str">
        <f>"RUE FRANÇOIS"</f>
        <v>RUE FRANÇOIS</v>
      </c>
      <c r="O3426" s="2" t="s">
        <v>14661</v>
      </c>
      <c r="P3426" s="9" t="str">
        <f>VLOOKUP($O3426,'Liste des Villes'!$B$2:$B$1128,1,FALSE)</f>
        <v>Mirabel</v>
      </c>
      <c r="Q3426" s="9" t="str">
        <f>IFERROR($P3426,PROPER(VLOOKUP($O3426,'Villes en erreur'!$A$2:$B$72,2,FALSE)))</f>
        <v>Mirabel</v>
      </c>
      <c r="R3426" s="9" t="s">
        <v>14662</v>
      </c>
      <c r="S3426" s="9" t="str">
        <f>IF(ISBLANK($R3426),"",VLOOKUP($R3426,'Liste des Villes'!$B$2:$H$1128,4,FALSE))</f>
        <v>Laurentides</v>
      </c>
      <c r="T3426" s="2" t="s">
        <v>15125</v>
      </c>
      <c r="U3426" s="2" t="s">
        <v>39</v>
      </c>
      <c r="V3426" s="2" t="s">
        <v>40</v>
      </c>
      <c r="W3426" s="2" t="s">
        <v>15126</v>
      </c>
      <c r="X3426" s="2"/>
      <c r="Y3426" s="2"/>
      <c r="Z3426" s="2"/>
      <c r="AA3426" s="2" t="s">
        <v>375</v>
      </c>
      <c r="AB3426" s="2" t="s">
        <v>376</v>
      </c>
      <c r="AC3426" s="4" t="s">
        <v>44</v>
      </c>
    </row>
    <row r="3427" spans="1:29" x14ac:dyDescent="0.25">
      <c r="A3427" s="1">
        <v>3051</v>
      </c>
      <c r="B3427" s="17" t="s">
        <v>15127</v>
      </c>
      <c r="C3427" s="2" t="s">
        <v>15128</v>
      </c>
      <c r="D3427" s="15" t="s">
        <v>7081</v>
      </c>
      <c r="E3427" s="9" t="s">
        <v>6703</v>
      </c>
      <c r="F3427" s="9" t="s">
        <v>7080</v>
      </c>
      <c r="G3427" s="9" t="s">
        <v>1043</v>
      </c>
      <c r="H3427" s="2" t="s">
        <v>35</v>
      </c>
      <c r="I3427" s="3">
        <v>37083</v>
      </c>
      <c r="J3427" s="9" t="str">
        <f t="shared" ca="1" si="56"/>
        <v>22 ans</v>
      </c>
      <c r="K3427" s="2" t="s">
        <v>156</v>
      </c>
      <c r="L3427" s="2" t="str">
        <f>"1171"</f>
        <v>1171</v>
      </c>
      <c r="M3427" s="2"/>
      <c r="N3427" s="2" t="str">
        <f>"RUE FÉLIX-L'ALLIER"</f>
        <v>RUE FÉLIX-L'ALLIER</v>
      </c>
      <c r="O3427" s="2" t="s">
        <v>14661</v>
      </c>
      <c r="P3427" s="9" t="str">
        <f>VLOOKUP($O3427,'Liste des Villes'!$B$2:$B$1128,1,FALSE)</f>
        <v>Mirabel</v>
      </c>
      <c r="Q3427" s="9" t="str">
        <f>IFERROR($P3427,PROPER(VLOOKUP($O3427,'Villes en erreur'!$A$2:$B$72,2,FALSE)))</f>
        <v>Mirabel</v>
      </c>
      <c r="R3427" s="9" t="s">
        <v>14662</v>
      </c>
      <c r="S3427" s="9" t="str">
        <f>IF(ISBLANK($R3427),"",VLOOKUP($R3427,'Liste des Villes'!$B$2:$H$1128,4,FALSE))</f>
        <v>Laurentides</v>
      </c>
      <c r="T3427" s="2" t="s">
        <v>15129</v>
      </c>
      <c r="U3427" s="2" t="s">
        <v>39</v>
      </c>
      <c r="V3427" s="2" t="s">
        <v>40</v>
      </c>
      <c r="W3427" s="2" t="s">
        <v>15130</v>
      </c>
      <c r="X3427" s="2"/>
      <c r="Y3427" s="2"/>
      <c r="Z3427" s="2"/>
      <c r="AA3427" s="2" t="s">
        <v>375</v>
      </c>
      <c r="AB3427" s="2" t="s">
        <v>376</v>
      </c>
      <c r="AC3427" s="4" t="s">
        <v>44</v>
      </c>
    </row>
    <row r="3428" spans="1:29" x14ac:dyDescent="0.25">
      <c r="A3428" s="1">
        <v>2555</v>
      </c>
      <c r="B3428" s="17" t="s">
        <v>15131</v>
      </c>
      <c r="C3428" s="2" t="s">
        <v>15132</v>
      </c>
      <c r="D3428" s="15" t="s">
        <v>15133</v>
      </c>
      <c r="E3428" s="9" t="s">
        <v>452</v>
      </c>
      <c r="F3428" s="9" t="s">
        <v>934</v>
      </c>
      <c r="G3428" s="9" t="s">
        <v>3478</v>
      </c>
      <c r="H3428" s="2" t="s">
        <v>60</v>
      </c>
      <c r="I3428" s="3">
        <v>37113</v>
      </c>
      <c r="J3428" s="9" t="str">
        <f t="shared" ca="1" si="56"/>
        <v>22 ans</v>
      </c>
      <c r="K3428" s="2" t="s">
        <v>156</v>
      </c>
      <c r="L3428" s="2" t="str">
        <f>"1276"</f>
        <v>1276</v>
      </c>
      <c r="M3428" s="2"/>
      <c r="N3428" s="2" t="str">
        <f>"RUE GAUTHIER"</f>
        <v>RUE GAUTHIER</v>
      </c>
      <c r="O3428" s="2" t="s">
        <v>14661</v>
      </c>
      <c r="P3428" s="9" t="str">
        <f>VLOOKUP($O3428,'Liste des Villes'!$B$2:$B$1128,1,FALSE)</f>
        <v>Mirabel</v>
      </c>
      <c r="Q3428" s="9" t="str">
        <f>IFERROR($P3428,PROPER(VLOOKUP($O3428,'Villes en erreur'!$A$2:$B$72,2,FALSE)))</f>
        <v>Mirabel</v>
      </c>
      <c r="R3428" s="9" t="s">
        <v>14662</v>
      </c>
      <c r="S3428" s="9" t="str">
        <f>IF(ISBLANK($R3428),"",VLOOKUP($R3428,'Liste des Villes'!$B$2:$H$1128,4,FALSE))</f>
        <v>Laurentides</v>
      </c>
      <c r="T3428" s="2" t="s">
        <v>15134</v>
      </c>
      <c r="U3428" s="2" t="s">
        <v>39</v>
      </c>
      <c r="V3428" s="2" t="s">
        <v>40</v>
      </c>
      <c r="W3428" s="2" t="s">
        <v>15135</v>
      </c>
      <c r="X3428" s="2"/>
      <c r="Y3428" s="2"/>
      <c r="Z3428" s="2"/>
      <c r="AA3428" s="2" t="s">
        <v>375</v>
      </c>
      <c r="AB3428" s="2" t="s">
        <v>376</v>
      </c>
      <c r="AC3428" s="4" t="s">
        <v>44</v>
      </c>
    </row>
    <row r="3429" spans="1:29" x14ac:dyDescent="0.25">
      <c r="A3429" s="1">
        <v>454</v>
      </c>
      <c r="B3429" s="17" t="s">
        <v>15136</v>
      </c>
      <c r="C3429" s="2" t="s">
        <v>1336</v>
      </c>
      <c r="D3429" s="15" t="s">
        <v>1236</v>
      </c>
      <c r="E3429" s="9" t="s">
        <v>1337</v>
      </c>
      <c r="F3429" s="9" t="s">
        <v>171</v>
      </c>
      <c r="G3429" s="9" t="s">
        <v>3739</v>
      </c>
      <c r="H3429" s="2" t="s">
        <v>60</v>
      </c>
      <c r="I3429" s="3">
        <v>37147</v>
      </c>
      <c r="J3429" s="9" t="str">
        <f t="shared" ca="1" si="56"/>
        <v>21 ans</v>
      </c>
      <c r="K3429" s="2" t="s">
        <v>156</v>
      </c>
      <c r="L3429" s="2" t="str">
        <f>"1427"</f>
        <v>1427</v>
      </c>
      <c r="M3429" s="2"/>
      <c r="N3429" s="2" t="str">
        <f>"RUE ISAAC-JOGUES"</f>
        <v>RUE ISAAC-JOGUES</v>
      </c>
      <c r="O3429" s="2" t="s">
        <v>14661</v>
      </c>
      <c r="P3429" s="9" t="str">
        <f>VLOOKUP($O3429,'Liste des Villes'!$B$2:$B$1128,1,FALSE)</f>
        <v>Mirabel</v>
      </c>
      <c r="Q3429" s="9" t="str">
        <f>IFERROR($P3429,PROPER(VLOOKUP($O3429,'Villes en erreur'!$A$2:$B$72,2,FALSE)))</f>
        <v>Mirabel</v>
      </c>
      <c r="R3429" s="9" t="s">
        <v>14662</v>
      </c>
      <c r="S3429" s="9" t="str">
        <f>IF(ISBLANK($R3429),"",VLOOKUP($R3429,'Liste des Villes'!$B$2:$H$1128,4,FALSE))</f>
        <v>Laurentides</v>
      </c>
      <c r="T3429" s="2" t="s">
        <v>15137</v>
      </c>
      <c r="U3429" s="2" t="s">
        <v>39</v>
      </c>
      <c r="V3429" s="2" t="s">
        <v>40</v>
      </c>
      <c r="W3429" s="2" t="s">
        <v>15138</v>
      </c>
      <c r="X3429" s="2"/>
      <c r="Y3429" s="2"/>
      <c r="Z3429" s="2"/>
      <c r="AA3429" s="2" t="s">
        <v>708</v>
      </c>
      <c r="AB3429" s="2" t="s">
        <v>376</v>
      </c>
      <c r="AC3429" s="4" t="s">
        <v>44</v>
      </c>
    </row>
    <row r="3430" spans="1:29" x14ac:dyDescent="0.25">
      <c r="A3430" s="1">
        <v>1542</v>
      </c>
      <c r="B3430" s="17" t="s">
        <v>15139</v>
      </c>
      <c r="C3430" s="2" t="s">
        <v>46</v>
      </c>
      <c r="D3430" s="15" t="s">
        <v>47</v>
      </c>
      <c r="E3430" s="9" t="s">
        <v>48</v>
      </c>
      <c r="F3430" s="9" t="s">
        <v>5792</v>
      </c>
      <c r="G3430" s="9" t="s">
        <v>1091</v>
      </c>
      <c r="H3430" s="2" t="s">
        <v>60</v>
      </c>
      <c r="I3430" s="3">
        <v>37208</v>
      </c>
      <c r="J3430" s="9" t="str">
        <f t="shared" ca="1" si="56"/>
        <v>21 ans</v>
      </c>
      <c r="K3430" s="2" t="s">
        <v>262</v>
      </c>
      <c r="L3430" s="2" t="str">
        <f>"1815"</f>
        <v>1815</v>
      </c>
      <c r="M3430" s="2"/>
      <c r="N3430" s="2" t="str">
        <f>"RUE LAFLEUR"</f>
        <v>RUE LAFLEUR</v>
      </c>
      <c r="O3430" s="2" t="s">
        <v>14661</v>
      </c>
      <c r="P3430" s="9" t="str">
        <f>VLOOKUP($O3430,'Liste des Villes'!$B$2:$B$1128,1,FALSE)</f>
        <v>Mirabel</v>
      </c>
      <c r="Q3430" s="9" t="str">
        <f>IFERROR($P3430,PROPER(VLOOKUP($O3430,'Villes en erreur'!$A$2:$B$72,2,FALSE)))</f>
        <v>Mirabel</v>
      </c>
      <c r="R3430" s="9" t="s">
        <v>14662</v>
      </c>
      <c r="S3430" s="9" t="str">
        <f>IF(ISBLANK($R3430),"",VLOOKUP($R3430,'Liste des Villes'!$B$2:$H$1128,4,FALSE))</f>
        <v>Laurentides</v>
      </c>
      <c r="T3430" s="2" t="s">
        <v>15117</v>
      </c>
      <c r="U3430" s="2" t="s">
        <v>39</v>
      </c>
      <c r="V3430" s="2" t="s">
        <v>40</v>
      </c>
      <c r="W3430" s="2" t="s">
        <v>15140</v>
      </c>
      <c r="X3430" s="2"/>
      <c r="Y3430" s="2"/>
      <c r="Z3430" s="2"/>
      <c r="AA3430" s="2" t="s">
        <v>708</v>
      </c>
      <c r="AB3430" s="2" t="s">
        <v>14669</v>
      </c>
      <c r="AC3430" s="4" t="s">
        <v>44</v>
      </c>
    </row>
    <row r="3431" spans="1:29" x14ac:dyDescent="0.25">
      <c r="A3431" s="1">
        <v>427</v>
      </c>
      <c r="B3431" s="17" t="s">
        <v>15141</v>
      </c>
      <c r="C3431" s="2" t="s">
        <v>15142</v>
      </c>
      <c r="D3431" s="15" t="s">
        <v>15143</v>
      </c>
      <c r="E3431" s="9" t="s">
        <v>610</v>
      </c>
      <c r="F3431" s="9" t="s">
        <v>15144</v>
      </c>
      <c r="G3431" s="9" t="s">
        <v>3700</v>
      </c>
      <c r="H3431" s="2" t="s">
        <v>60</v>
      </c>
      <c r="I3431" s="3">
        <v>37141</v>
      </c>
      <c r="J3431" s="9" t="str">
        <f t="shared" ca="1" si="56"/>
        <v>21 ans</v>
      </c>
      <c r="K3431" s="2" t="s">
        <v>156</v>
      </c>
      <c r="L3431" s="2" t="str">
        <f>"1410"</f>
        <v>1410</v>
      </c>
      <c r="M3431" s="2"/>
      <c r="N3431" s="2" t="str">
        <f>"RUE HUGUES"</f>
        <v>RUE HUGUES</v>
      </c>
      <c r="O3431" s="2" t="s">
        <v>14661</v>
      </c>
      <c r="P3431" s="9" t="str">
        <f>VLOOKUP($O3431,'Liste des Villes'!$B$2:$B$1128,1,FALSE)</f>
        <v>Mirabel</v>
      </c>
      <c r="Q3431" s="9" t="str">
        <f>IFERROR($P3431,PROPER(VLOOKUP($O3431,'Villes en erreur'!$A$2:$B$72,2,FALSE)))</f>
        <v>Mirabel</v>
      </c>
      <c r="R3431" s="9" t="s">
        <v>14662</v>
      </c>
      <c r="S3431" s="9" t="str">
        <f>IF(ISBLANK($R3431),"",VLOOKUP($R3431,'Liste des Villes'!$B$2:$H$1128,4,FALSE))</f>
        <v>Laurentides</v>
      </c>
      <c r="T3431" s="2" t="s">
        <v>15145</v>
      </c>
      <c r="U3431" s="2" t="s">
        <v>39</v>
      </c>
      <c r="V3431" s="2" t="s">
        <v>40</v>
      </c>
      <c r="W3431" s="2" t="s">
        <v>15146</v>
      </c>
      <c r="X3431" s="2"/>
      <c r="Y3431" s="2"/>
      <c r="Z3431" s="2"/>
      <c r="AA3431" s="2" t="s">
        <v>708</v>
      </c>
      <c r="AB3431" s="2" t="s">
        <v>376</v>
      </c>
      <c r="AC3431" s="4" t="s">
        <v>44</v>
      </c>
    </row>
    <row r="3432" spans="1:29" x14ac:dyDescent="0.25">
      <c r="A3432" s="1">
        <v>3827</v>
      </c>
      <c r="B3432" s="17" t="s">
        <v>15147</v>
      </c>
      <c r="C3432" s="2" t="s">
        <v>15116</v>
      </c>
      <c r="D3432" s="15" t="s">
        <v>934</v>
      </c>
      <c r="E3432" s="9" t="s">
        <v>470</v>
      </c>
      <c r="F3432" s="9" t="s">
        <v>15133</v>
      </c>
      <c r="G3432" s="9" t="s">
        <v>1075</v>
      </c>
      <c r="H3432" s="2" t="s">
        <v>60</v>
      </c>
      <c r="I3432" s="3">
        <v>37180</v>
      </c>
      <c r="J3432" s="9" t="str">
        <f t="shared" ca="1" si="56"/>
        <v>21 ans</v>
      </c>
      <c r="K3432" s="2" t="s">
        <v>262</v>
      </c>
      <c r="L3432" s="2" t="str">
        <f>"1652"</f>
        <v>1652</v>
      </c>
      <c r="M3432" s="2"/>
      <c r="N3432" s="2" t="str">
        <f>"RUE JOSEPH-PAQUETTE"</f>
        <v>RUE JOSEPH-PAQUETTE</v>
      </c>
      <c r="O3432" s="2" t="s">
        <v>14661</v>
      </c>
      <c r="P3432" s="9" t="str">
        <f>VLOOKUP($O3432,'Liste des Villes'!$B$2:$B$1128,1,FALSE)</f>
        <v>Mirabel</v>
      </c>
      <c r="Q3432" s="9" t="str">
        <f>IFERROR($P3432,PROPER(VLOOKUP($O3432,'Villes en erreur'!$A$2:$B$72,2,FALSE)))</f>
        <v>Mirabel</v>
      </c>
      <c r="R3432" s="9" t="s">
        <v>14662</v>
      </c>
      <c r="S3432" s="9" t="str">
        <f>IF(ISBLANK($R3432),"",VLOOKUP($R3432,'Liste des Villes'!$B$2:$H$1128,4,FALSE))</f>
        <v>Laurentides</v>
      </c>
      <c r="T3432" s="2" t="s">
        <v>15148</v>
      </c>
      <c r="U3432" s="2" t="s">
        <v>39</v>
      </c>
      <c r="V3432" s="2" t="s">
        <v>40</v>
      </c>
      <c r="W3432" s="2" t="s">
        <v>15149</v>
      </c>
      <c r="X3432" s="2"/>
      <c r="Y3432" s="2"/>
      <c r="Z3432" s="2"/>
      <c r="AA3432" s="2" t="s">
        <v>708</v>
      </c>
      <c r="AB3432" s="2" t="s">
        <v>14669</v>
      </c>
      <c r="AC3432" s="4" t="s">
        <v>44</v>
      </c>
    </row>
    <row r="3433" spans="1:29" x14ac:dyDescent="0.25">
      <c r="A3433" s="1">
        <v>4033</v>
      </c>
      <c r="B3433" s="17" t="s">
        <v>15150</v>
      </c>
      <c r="C3433" s="2" t="s">
        <v>15151</v>
      </c>
      <c r="D3433" s="15" t="s">
        <v>4324</v>
      </c>
      <c r="E3433" s="9" t="s">
        <v>2107</v>
      </c>
      <c r="F3433" s="9" t="s">
        <v>3484</v>
      </c>
      <c r="G3433" s="9" t="s">
        <v>11517</v>
      </c>
      <c r="H3433" s="2" t="s">
        <v>35</v>
      </c>
      <c r="I3433" s="3">
        <v>37241</v>
      </c>
      <c r="J3433" s="9" t="str">
        <f t="shared" ca="1" si="56"/>
        <v>21 ans</v>
      </c>
      <c r="K3433" s="2" t="s">
        <v>262</v>
      </c>
      <c r="L3433" s="2" t="str">
        <f>"2053"</f>
        <v>2053</v>
      </c>
      <c r="M3433" s="2"/>
      <c r="N3433" s="2" t="str">
        <f>"RUE LECLERC"</f>
        <v>RUE LECLERC</v>
      </c>
      <c r="O3433" s="2" t="s">
        <v>14661</v>
      </c>
      <c r="P3433" s="9" t="str">
        <f>VLOOKUP($O3433,'Liste des Villes'!$B$2:$B$1128,1,FALSE)</f>
        <v>Mirabel</v>
      </c>
      <c r="Q3433" s="9" t="str">
        <f>IFERROR($P3433,PROPER(VLOOKUP($O3433,'Villes en erreur'!$A$2:$B$72,2,FALSE)))</f>
        <v>Mirabel</v>
      </c>
      <c r="R3433" s="9" t="s">
        <v>14662</v>
      </c>
      <c r="S3433" s="9" t="str">
        <f>IF(ISBLANK($R3433),"",VLOOKUP($R3433,'Liste des Villes'!$B$2:$H$1128,4,FALSE))</f>
        <v>Laurentides</v>
      </c>
      <c r="T3433" s="2" t="s">
        <v>15152</v>
      </c>
      <c r="U3433" s="2" t="s">
        <v>39</v>
      </c>
      <c r="V3433" s="2" t="s">
        <v>40</v>
      </c>
      <c r="W3433" s="2" t="s">
        <v>15153</v>
      </c>
      <c r="X3433" s="2"/>
      <c r="Y3433" s="2"/>
      <c r="Z3433" s="2"/>
      <c r="AA3433" s="2" t="s">
        <v>708</v>
      </c>
      <c r="AB3433" s="2" t="s">
        <v>14669</v>
      </c>
      <c r="AC3433" s="4" t="s">
        <v>44</v>
      </c>
    </row>
    <row r="3434" spans="1:29" x14ac:dyDescent="0.25">
      <c r="A3434" s="1">
        <v>916</v>
      </c>
      <c r="B3434" s="17" t="s">
        <v>15154</v>
      </c>
      <c r="C3434" s="2" t="s">
        <v>2451</v>
      </c>
      <c r="D3434" s="15" t="s">
        <v>504</v>
      </c>
      <c r="E3434" s="9" t="s">
        <v>1673</v>
      </c>
      <c r="F3434" s="9" t="s">
        <v>12626</v>
      </c>
      <c r="G3434" s="9" t="s">
        <v>1091</v>
      </c>
      <c r="H3434" s="2" t="s">
        <v>60</v>
      </c>
      <c r="I3434" s="3">
        <v>37207</v>
      </c>
      <c r="J3434" s="9" t="str">
        <f t="shared" ca="1" si="56"/>
        <v>21 ans</v>
      </c>
      <c r="K3434" s="2" t="s">
        <v>262</v>
      </c>
      <c r="L3434" s="2" t="str">
        <f>"1811"</f>
        <v>1811</v>
      </c>
      <c r="M3434" s="2"/>
      <c r="N3434" s="2" t="str">
        <f>"RUE LAFLAMME"</f>
        <v>RUE LAFLAMME</v>
      </c>
      <c r="O3434" s="2" t="s">
        <v>14661</v>
      </c>
      <c r="P3434" s="9" t="str">
        <f>VLOOKUP($O3434,'Liste des Villes'!$B$2:$B$1128,1,FALSE)</f>
        <v>Mirabel</v>
      </c>
      <c r="Q3434" s="9" t="str">
        <f>IFERROR($P3434,PROPER(VLOOKUP($O3434,'Villes en erreur'!$A$2:$B$72,2,FALSE)))</f>
        <v>Mirabel</v>
      </c>
      <c r="R3434" s="9" t="s">
        <v>14662</v>
      </c>
      <c r="S3434" s="9" t="str">
        <f>IF(ISBLANK($R3434),"",VLOOKUP($R3434,'Liste des Villes'!$B$2:$H$1128,4,FALSE))</f>
        <v>Laurentides</v>
      </c>
      <c r="T3434" s="2" t="s">
        <v>15155</v>
      </c>
      <c r="U3434" s="2" t="s">
        <v>39</v>
      </c>
      <c r="V3434" s="2" t="s">
        <v>40</v>
      </c>
      <c r="W3434" s="2" t="s">
        <v>15156</v>
      </c>
      <c r="X3434" s="2"/>
      <c r="Y3434" s="2"/>
      <c r="Z3434" s="2"/>
      <c r="AA3434" s="2" t="s">
        <v>708</v>
      </c>
      <c r="AB3434" s="2" t="s">
        <v>14669</v>
      </c>
      <c r="AC3434" s="4" t="s">
        <v>44</v>
      </c>
    </row>
    <row r="3435" spans="1:29" x14ac:dyDescent="0.25">
      <c r="A3435" s="1">
        <v>3524</v>
      </c>
      <c r="B3435" s="17" t="s">
        <v>15157</v>
      </c>
      <c r="C3435" s="2" t="s">
        <v>15158</v>
      </c>
      <c r="D3435" s="15" t="s">
        <v>8403</v>
      </c>
      <c r="E3435" s="9" t="s">
        <v>1886</v>
      </c>
      <c r="F3435" s="9" t="s">
        <v>10706</v>
      </c>
      <c r="G3435" s="9" t="s">
        <v>4343</v>
      </c>
      <c r="H3435" s="2" t="s">
        <v>60</v>
      </c>
      <c r="I3435" s="3">
        <v>37168</v>
      </c>
      <c r="J3435" s="9" t="str">
        <f t="shared" ca="1" si="56"/>
        <v>21 ans</v>
      </c>
      <c r="K3435" s="2" t="s">
        <v>156</v>
      </c>
      <c r="L3435" s="2" t="str">
        <f>"1567"</f>
        <v>1567</v>
      </c>
      <c r="M3435" s="2"/>
      <c r="N3435" s="2" t="str">
        <f>"RUE JEAN-PAUL-RIOPELLE"</f>
        <v>RUE JEAN-PAUL-RIOPELLE</v>
      </c>
      <c r="O3435" s="2" t="s">
        <v>14661</v>
      </c>
      <c r="P3435" s="9" t="str">
        <f>VLOOKUP($O3435,'Liste des Villes'!$B$2:$B$1128,1,FALSE)</f>
        <v>Mirabel</v>
      </c>
      <c r="Q3435" s="9" t="str">
        <f>IFERROR($P3435,PROPER(VLOOKUP($O3435,'Villes en erreur'!$A$2:$B$72,2,FALSE)))</f>
        <v>Mirabel</v>
      </c>
      <c r="R3435" s="9" t="s">
        <v>14662</v>
      </c>
      <c r="S3435" s="9" t="str">
        <f>IF(ISBLANK($R3435),"",VLOOKUP($R3435,'Liste des Villes'!$B$2:$H$1128,4,FALSE))</f>
        <v>Laurentides</v>
      </c>
      <c r="T3435" s="2" t="s">
        <v>15062</v>
      </c>
      <c r="U3435" s="2" t="s">
        <v>39</v>
      </c>
      <c r="V3435" s="2" t="s">
        <v>40</v>
      </c>
      <c r="W3435" s="2" t="s">
        <v>15159</v>
      </c>
      <c r="X3435" s="2"/>
      <c r="Y3435" s="2"/>
      <c r="Z3435" s="2"/>
      <c r="AA3435" s="2" t="s">
        <v>708</v>
      </c>
      <c r="AB3435" s="2" t="s">
        <v>376</v>
      </c>
      <c r="AC3435" s="4" t="s">
        <v>44</v>
      </c>
    </row>
    <row r="3436" spans="1:29" x14ac:dyDescent="0.25">
      <c r="A3436" s="1">
        <v>3622</v>
      </c>
      <c r="B3436" s="17" t="s">
        <v>15160</v>
      </c>
      <c r="C3436" s="2" t="s">
        <v>2000</v>
      </c>
      <c r="D3436" s="15" t="s">
        <v>2001</v>
      </c>
      <c r="E3436" s="9" t="s">
        <v>219</v>
      </c>
      <c r="F3436" s="9" t="s">
        <v>582</v>
      </c>
      <c r="G3436" s="9" t="s">
        <v>2920</v>
      </c>
      <c r="H3436" s="2" t="s">
        <v>60</v>
      </c>
      <c r="I3436" s="3">
        <v>37098</v>
      </c>
      <c r="J3436" s="9" t="str">
        <f t="shared" ca="1" si="56"/>
        <v>22 ans</v>
      </c>
      <c r="K3436" s="2" t="s">
        <v>156</v>
      </c>
      <c r="L3436" s="2" t="str">
        <f>"1221"</f>
        <v>1221</v>
      </c>
      <c r="M3436" s="2"/>
      <c r="N3436" s="2" t="str">
        <f>"RUE FOURNIER"</f>
        <v>RUE FOURNIER</v>
      </c>
      <c r="O3436" s="2" t="s">
        <v>14661</v>
      </c>
      <c r="P3436" s="9" t="str">
        <f>VLOOKUP($O3436,'Liste des Villes'!$B$2:$B$1128,1,FALSE)</f>
        <v>Mirabel</v>
      </c>
      <c r="Q3436" s="9" t="str">
        <f>IFERROR($P3436,PROPER(VLOOKUP($O3436,'Villes en erreur'!$A$2:$B$72,2,FALSE)))</f>
        <v>Mirabel</v>
      </c>
      <c r="R3436" s="9" t="s">
        <v>14662</v>
      </c>
      <c r="S3436" s="9" t="str">
        <f>IF(ISBLANK($R3436),"",VLOOKUP($R3436,'Liste des Villes'!$B$2:$H$1128,4,FALSE))</f>
        <v>Laurentides</v>
      </c>
      <c r="T3436" s="2" t="s">
        <v>14791</v>
      </c>
      <c r="U3436" s="2" t="s">
        <v>39</v>
      </c>
      <c r="V3436" s="2" t="s">
        <v>40</v>
      </c>
      <c r="W3436" s="2" t="s">
        <v>15161</v>
      </c>
      <c r="X3436" s="2"/>
      <c r="Y3436" s="2"/>
      <c r="Z3436" s="2"/>
      <c r="AA3436" s="2" t="s">
        <v>375</v>
      </c>
      <c r="AB3436" s="2" t="s">
        <v>376</v>
      </c>
      <c r="AC3436" s="4" t="s">
        <v>44</v>
      </c>
    </row>
    <row r="3437" spans="1:29" x14ac:dyDescent="0.25">
      <c r="A3437" s="1">
        <v>1216</v>
      </c>
      <c r="B3437" s="17" t="s">
        <v>15162</v>
      </c>
      <c r="C3437" s="2" t="s">
        <v>15163</v>
      </c>
      <c r="D3437" s="15" t="s">
        <v>13028</v>
      </c>
      <c r="E3437" s="9" t="s">
        <v>10571</v>
      </c>
      <c r="F3437" s="9" t="s">
        <v>8728</v>
      </c>
      <c r="G3437" s="9" t="s">
        <v>2920</v>
      </c>
      <c r="H3437" s="2" t="s">
        <v>60</v>
      </c>
      <c r="I3437" s="3">
        <v>37097</v>
      </c>
      <c r="J3437" s="9" t="str">
        <f t="shared" ca="1" si="56"/>
        <v>22 ans</v>
      </c>
      <c r="K3437" s="2" t="s">
        <v>156</v>
      </c>
      <c r="L3437" s="2" t="str">
        <f>"1220"</f>
        <v>1220</v>
      </c>
      <c r="M3437" s="2"/>
      <c r="N3437" s="2" t="str">
        <f>"RUE FOURNIER"</f>
        <v>RUE FOURNIER</v>
      </c>
      <c r="O3437" s="2" t="s">
        <v>14661</v>
      </c>
      <c r="P3437" s="9" t="str">
        <f>VLOOKUP($O3437,'Liste des Villes'!$B$2:$B$1128,1,FALSE)</f>
        <v>Mirabel</v>
      </c>
      <c r="Q3437" s="9" t="str">
        <f>IFERROR($P3437,PROPER(VLOOKUP($O3437,'Villes en erreur'!$A$2:$B$72,2,FALSE)))</f>
        <v>Mirabel</v>
      </c>
      <c r="R3437" s="9" t="s">
        <v>14662</v>
      </c>
      <c r="S3437" s="9" t="str">
        <f>IF(ISBLANK($R3437),"",VLOOKUP($R3437,'Liste des Villes'!$B$2:$H$1128,4,FALSE))</f>
        <v>Laurentides</v>
      </c>
      <c r="T3437" s="2" t="s">
        <v>14791</v>
      </c>
      <c r="U3437" s="2" t="s">
        <v>39</v>
      </c>
      <c r="V3437" s="2" t="s">
        <v>40</v>
      </c>
      <c r="W3437" s="2" t="s">
        <v>15164</v>
      </c>
      <c r="X3437" s="2"/>
      <c r="Y3437" s="2"/>
      <c r="Z3437" s="2"/>
      <c r="AA3437" s="2" t="s">
        <v>375</v>
      </c>
      <c r="AB3437" s="2" t="s">
        <v>376</v>
      </c>
      <c r="AC3437" s="4" t="s">
        <v>44</v>
      </c>
    </row>
    <row r="3438" spans="1:29" x14ac:dyDescent="0.25">
      <c r="A3438" s="1">
        <v>2054</v>
      </c>
      <c r="B3438" s="17" t="s">
        <v>15165</v>
      </c>
      <c r="C3438" s="2" t="s">
        <v>3096</v>
      </c>
      <c r="D3438" s="15" t="s">
        <v>3097</v>
      </c>
      <c r="E3438" s="9" t="s">
        <v>3098</v>
      </c>
      <c r="F3438" s="9" t="s">
        <v>2139</v>
      </c>
      <c r="G3438" s="9" t="s">
        <v>233</v>
      </c>
      <c r="H3438" s="2" t="s">
        <v>60</v>
      </c>
      <c r="I3438" s="3">
        <v>37218</v>
      </c>
      <c r="J3438" s="9" t="str">
        <f t="shared" ca="1" si="56"/>
        <v>21 ans</v>
      </c>
      <c r="K3438" s="2" t="s">
        <v>262</v>
      </c>
      <c r="L3438" s="2" t="str">
        <f>"1917"</f>
        <v>1917</v>
      </c>
      <c r="M3438" s="2"/>
      <c r="N3438" s="2" t="str">
        <f>"RUE LAPOINTE"</f>
        <v>RUE LAPOINTE</v>
      </c>
      <c r="O3438" s="2" t="s">
        <v>14661</v>
      </c>
      <c r="P3438" s="9" t="str">
        <f>VLOOKUP($O3438,'Liste des Villes'!$B$2:$B$1128,1,FALSE)</f>
        <v>Mirabel</v>
      </c>
      <c r="Q3438" s="9" t="str">
        <f>IFERROR($P3438,PROPER(VLOOKUP($O3438,'Villes en erreur'!$A$2:$B$72,2,FALSE)))</f>
        <v>Mirabel</v>
      </c>
      <c r="R3438" s="9" t="s">
        <v>14662</v>
      </c>
      <c r="S3438" s="9" t="str">
        <f>IF(ISBLANK($R3438),"",VLOOKUP($R3438,'Liste des Villes'!$B$2:$H$1128,4,FALSE))</f>
        <v>Laurentides</v>
      </c>
      <c r="T3438" s="2" t="s">
        <v>15166</v>
      </c>
      <c r="U3438" s="2" t="s">
        <v>39</v>
      </c>
      <c r="V3438" s="2" t="s">
        <v>40</v>
      </c>
      <c r="W3438" s="2" t="s">
        <v>15167</v>
      </c>
      <c r="X3438" s="2"/>
      <c r="Y3438" s="2"/>
      <c r="Z3438" s="2"/>
      <c r="AA3438" s="2" t="s">
        <v>708</v>
      </c>
      <c r="AB3438" s="2" t="s">
        <v>14669</v>
      </c>
      <c r="AC3438" s="4" t="s">
        <v>44</v>
      </c>
    </row>
    <row r="3439" spans="1:29" x14ac:dyDescent="0.25">
      <c r="A3439" s="1">
        <v>1703</v>
      </c>
      <c r="B3439" s="17" t="s">
        <v>15168</v>
      </c>
      <c r="C3439" s="2" t="s">
        <v>15169</v>
      </c>
      <c r="D3439" s="15" t="s">
        <v>4954</v>
      </c>
      <c r="E3439" s="9" t="s">
        <v>14868</v>
      </c>
      <c r="F3439" s="9" t="s">
        <v>5003</v>
      </c>
      <c r="G3439" s="9" t="s">
        <v>325</v>
      </c>
      <c r="H3439" s="2" t="s">
        <v>35</v>
      </c>
      <c r="I3439" s="3">
        <v>37230</v>
      </c>
      <c r="J3439" s="9" t="str">
        <f t="shared" ca="1" si="56"/>
        <v>21 ans</v>
      </c>
      <c r="K3439" s="2" t="s">
        <v>262</v>
      </c>
      <c r="L3439" s="2" t="str">
        <f>"1996"</f>
        <v>1996</v>
      </c>
      <c r="M3439" s="2"/>
      <c r="N3439" s="2" t="str">
        <f>"RUE LAURIN"</f>
        <v>RUE LAURIN</v>
      </c>
      <c r="O3439" s="2" t="s">
        <v>14661</v>
      </c>
      <c r="P3439" s="9" t="str">
        <f>VLOOKUP($O3439,'Liste des Villes'!$B$2:$B$1128,1,FALSE)</f>
        <v>Mirabel</v>
      </c>
      <c r="Q3439" s="9" t="str">
        <f>IFERROR($P3439,PROPER(VLOOKUP($O3439,'Villes en erreur'!$A$2:$B$72,2,FALSE)))</f>
        <v>Mirabel</v>
      </c>
      <c r="R3439" s="9" t="s">
        <v>14662</v>
      </c>
      <c r="S3439" s="9" t="str">
        <f>IF(ISBLANK($R3439),"",VLOOKUP($R3439,'Liste des Villes'!$B$2:$H$1128,4,FALSE))</f>
        <v>Laurentides</v>
      </c>
      <c r="T3439" s="2" t="s">
        <v>15170</v>
      </c>
      <c r="U3439" s="2" t="s">
        <v>39</v>
      </c>
      <c r="V3439" s="2" t="s">
        <v>40</v>
      </c>
      <c r="W3439" s="2" t="s">
        <v>15171</v>
      </c>
      <c r="X3439" s="2"/>
      <c r="Y3439" s="2"/>
      <c r="Z3439" s="2"/>
      <c r="AA3439" s="2" t="s">
        <v>708</v>
      </c>
      <c r="AB3439" s="2" t="s">
        <v>14669</v>
      </c>
      <c r="AC3439" s="4" t="s">
        <v>44</v>
      </c>
    </row>
    <row r="3440" spans="1:29" x14ac:dyDescent="0.25">
      <c r="A3440" s="1">
        <v>4532</v>
      </c>
      <c r="B3440" s="17" t="s">
        <v>15172</v>
      </c>
      <c r="C3440" s="2" t="s">
        <v>8867</v>
      </c>
      <c r="D3440" s="15" t="s">
        <v>449</v>
      </c>
      <c r="E3440" s="9" t="s">
        <v>8868</v>
      </c>
      <c r="F3440" s="9" t="s">
        <v>6669</v>
      </c>
      <c r="G3440" s="9" t="s">
        <v>325</v>
      </c>
      <c r="H3440" s="2" t="s">
        <v>35</v>
      </c>
      <c r="I3440" s="3">
        <v>37237</v>
      </c>
      <c r="J3440" s="9" t="str">
        <f t="shared" ca="1" si="56"/>
        <v>21 ans</v>
      </c>
      <c r="K3440" s="2" t="s">
        <v>262</v>
      </c>
      <c r="L3440" s="2" t="str">
        <f>"2026"</f>
        <v>2026</v>
      </c>
      <c r="M3440" s="2"/>
      <c r="N3440" s="2" t="str">
        <f>"RUE LAVIOLETTE"</f>
        <v>RUE LAVIOLETTE</v>
      </c>
      <c r="O3440" s="2" t="s">
        <v>14661</v>
      </c>
      <c r="P3440" s="9" t="str">
        <f>VLOOKUP($O3440,'Liste des Villes'!$B$2:$B$1128,1,FALSE)</f>
        <v>Mirabel</v>
      </c>
      <c r="Q3440" s="9" t="str">
        <f>IFERROR($P3440,PROPER(VLOOKUP($O3440,'Villes en erreur'!$A$2:$B$72,2,FALSE)))</f>
        <v>Mirabel</v>
      </c>
      <c r="R3440" s="9" t="s">
        <v>14662</v>
      </c>
      <c r="S3440" s="9" t="str">
        <f>IF(ISBLANK($R3440),"",VLOOKUP($R3440,'Liste des Villes'!$B$2:$H$1128,4,FALSE))</f>
        <v>Laurentides</v>
      </c>
      <c r="T3440" s="2" t="s">
        <v>15173</v>
      </c>
      <c r="U3440" s="2" t="s">
        <v>39</v>
      </c>
      <c r="V3440" s="2" t="s">
        <v>40</v>
      </c>
      <c r="W3440" s="2" t="s">
        <v>15174</v>
      </c>
      <c r="X3440" s="2"/>
      <c r="Y3440" s="2"/>
      <c r="Z3440" s="2"/>
      <c r="AA3440" s="2" t="s">
        <v>708</v>
      </c>
      <c r="AB3440" s="2" t="s">
        <v>14669</v>
      </c>
      <c r="AC3440" s="4" t="s">
        <v>44</v>
      </c>
    </row>
    <row r="3441" spans="1:29" x14ac:dyDescent="0.25">
      <c r="A3441" s="1">
        <v>3149</v>
      </c>
      <c r="B3441" s="17" t="s">
        <v>15175</v>
      </c>
      <c r="C3441" s="2" t="s">
        <v>15176</v>
      </c>
      <c r="D3441" s="15" t="s">
        <v>15177</v>
      </c>
      <c r="E3441" s="9" t="s">
        <v>851</v>
      </c>
      <c r="F3441" s="9" t="s">
        <v>589</v>
      </c>
      <c r="G3441" s="9" t="s">
        <v>8841</v>
      </c>
      <c r="H3441" s="2" t="s">
        <v>35</v>
      </c>
      <c r="I3441" s="3">
        <v>37246</v>
      </c>
      <c r="J3441" s="9" t="str">
        <f t="shared" ca="1" si="56"/>
        <v>21 ans</v>
      </c>
      <c r="K3441" s="2" t="s">
        <v>262</v>
      </c>
      <c r="L3441" s="2" t="str">
        <f>"2091"</f>
        <v>2091</v>
      </c>
      <c r="M3441" s="2"/>
      <c r="N3441" s="2" t="str">
        <f>"RUE LÉOPOLD BESNER"</f>
        <v>RUE LÉOPOLD BESNER</v>
      </c>
      <c r="O3441" s="2" t="s">
        <v>14661</v>
      </c>
      <c r="P3441" s="9" t="str">
        <f>VLOOKUP($O3441,'Liste des Villes'!$B$2:$B$1128,1,FALSE)</f>
        <v>Mirabel</v>
      </c>
      <c r="Q3441" s="9" t="str">
        <f>IFERROR($P3441,PROPER(VLOOKUP($O3441,'Villes en erreur'!$A$2:$B$72,2,FALSE)))</f>
        <v>Mirabel</v>
      </c>
      <c r="R3441" s="9" t="s">
        <v>14662</v>
      </c>
      <c r="S3441" s="9" t="str">
        <f>IF(ISBLANK($R3441),"",VLOOKUP($R3441,'Liste des Villes'!$B$2:$H$1128,4,FALSE))</f>
        <v>Laurentides</v>
      </c>
      <c r="T3441" s="2" t="s">
        <v>15178</v>
      </c>
      <c r="U3441" s="2" t="s">
        <v>39</v>
      </c>
      <c r="V3441" s="2" t="s">
        <v>40</v>
      </c>
      <c r="W3441" s="2" t="s">
        <v>15179</v>
      </c>
      <c r="X3441" s="2"/>
      <c r="Y3441" s="2"/>
      <c r="Z3441" s="2"/>
      <c r="AA3441" s="2" t="s">
        <v>708</v>
      </c>
      <c r="AB3441" s="2" t="s">
        <v>14669</v>
      </c>
      <c r="AC3441" s="4" t="s">
        <v>44</v>
      </c>
    </row>
    <row r="3442" spans="1:29" x14ac:dyDescent="0.25">
      <c r="A3442" s="1">
        <v>2014</v>
      </c>
      <c r="B3442" s="17" t="s">
        <v>15180</v>
      </c>
      <c r="C3442" s="2" t="s">
        <v>7741</v>
      </c>
      <c r="D3442" s="15" t="s">
        <v>7742</v>
      </c>
      <c r="E3442" s="9" t="s">
        <v>137</v>
      </c>
      <c r="F3442" s="9" t="s">
        <v>12971</v>
      </c>
      <c r="G3442" s="9" t="s">
        <v>1091</v>
      </c>
      <c r="H3442" s="2" t="s">
        <v>60</v>
      </c>
      <c r="I3442" s="3">
        <v>37208</v>
      </c>
      <c r="J3442" s="9" t="str">
        <f t="shared" ca="1" si="56"/>
        <v>21 ans</v>
      </c>
      <c r="K3442" s="2" t="s">
        <v>262</v>
      </c>
      <c r="L3442" s="2" t="str">
        <f>"1818"</f>
        <v>1818</v>
      </c>
      <c r="M3442" s="2"/>
      <c r="N3442" s="2" t="str">
        <f>"RUE LAFONTAINE"</f>
        <v>RUE LAFONTAINE</v>
      </c>
      <c r="O3442" s="2" t="s">
        <v>14661</v>
      </c>
      <c r="P3442" s="9" t="str">
        <f>VLOOKUP($O3442,'Liste des Villes'!$B$2:$B$1128,1,FALSE)</f>
        <v>Mirabel</v>
      </c>
      <c r="Q3442" s="9" t="str">
        <f>IFERROR($P3442,PROPER(VLOOKUP($O3442,'Villes en erreur'!$A$2:$B$72,2,FALSE)))</f>
        <v>Mirabel</v>
      </c>
      <c r="R3442" s="9" t="s">
        <v>14662</v>
      </c>
      <c r="S3442" s="9" t="str">
        <f>IF(ISBLANK($R3442),"",VLOOKUP($R3442,'Liste des Villes'!$B$2:$H$1128,4,FALSE))</f>
        <v>Laurentides</v>
      </c>
      <c r="T3442" s="2" t="s">
        <v>15117</v>
      </c>
      <c r="U3442" s="2" t="s">
        <v>39</v>
      </c>
      <c r="V3442" s="2" t="s">
        <v>40</v>
      </c>
      <c r="W3442" s="2" t="s">
        <v>15140</v>
      </c>
      <c r="X3442" s="2"/>
      <c r="Y3442" s="2"/>
      <c r="Z3442" s="2"/>
      <c r="AA3442" s="2" t="s">
        <v>708</v>
      </c>
      <c r="AB3442" s="2" t="s">
        <v>14669</v>
      </c>
      <c r="AC3442" s="4" t="s">
        <v>44</v>
      </c>
    </row>
    <row r="3443" spans="1:29" x14ac:dyDescent="0.25">
      <c r="A3443" s="1">
        <v>520</v>
      </c>
      <c r="B3443" s="17" t="s">
        <v>15181</v>
      </c>
      <c r="C3443" s="2" t="s">
        <v>15182</v>
      </c>
      <c r="D3443" s="15" t="s">
        <v>1016</v>
      </c>
      <c r="E3443" s="9" t="s">
        <v>10830</v>
      </c>
      <c r="F3443" s="9" t="s">
        <v>1015</v>
      </c>
      <c r="G3443" s="9" t="s">
        <v>233</v>
      </c>
      <c r="H3443" s="2" t="s">
        <v>60</v>
      </c>
      <c r="I3443" s="3">
        <v>37219</v>
      </c>
      <c r="J3443" s="9" t="str">
        <f t="shared" ca="1" si="56"/>
        <v>21 ans</v>
      </c>
      <c r="K3443" s="2" t="s">
        <v>262</v>
      </c>
      <c r="L3443" s="2" t="str">
        <f>"1933"</f>
        <v>1933</v>
      </c>
      <c r="M3443" s="2"/>
      <c r="N3443" s="2" t="str">
        <f>"RUE LARIVIÈRE"</f>
        <v>RUE LARIVIÈRE</v>
      </c>
      <c r="O3443" s="2" t="s">
        <v>14661</v>
      </c>
      <c r="P3443" s="9" t="str">
        <f>VLOOKUP($O3443,'Liste des Villes'!$B$2:$B$1128,1,FALSE)</f>
        <v>Mirabel</v>
      </c>
      <c r="Q3443" s="9" t="str">
        <f>IFERROR($P3443,PROPER(VLOOKUP($O3443,'Villes en erreur'!$A$2:$B$72,2,FALSE)))</f>
        <v>Mirabel</v>
      </c>
      <c r="R3443" s="9" t="s">
        <v>14662</v>
      </c>
      <c r="S3443" s="9" t="str">
        <f>IF(ISBLANK($R3443),"",VLOOKUP($R3443,'Liste des Villes'!$B$2:$H$1128,4,FALSE))</f>
        <v>Laurentides</v>
      </c>
      <c r="T3443" s="2" t="s">
        <v>15183</v>
      </c>
      <c r="U3443" s="2" t="s">
        <v>39</v>
      </c>
      <c r="V3443" s="2" t="s">
        <v>40</v>
      </c>
      <c r="W3443" s="2" t="s">
        <v>15184</v>
      </c>
      <c r="X3443" s="2"/>
      <c r="Y3443" s="2"/>
      <c r="Z3443" s="2"/>
      <c r="AA3443" s="2" t="s">
        <v>708</v>
      </c>
      <c r="AB3443" s="2" t="s">
        <v>14669</v>
      </c>
      <c r="AC3443" s="4" t="s">
        <v>44</v>
      </c>
    </row>
    <row r="3444" spans="1:29" x14ac:dyDescent="0.25">
      <c r="A3444" s="1">
        <v>3694</v>
      </c>
      <c r="B3444" s="17" t="s">
        <v>15185</v>
      </c>
      <c r="C3444" s="2" t="s">
        <v>15186</v>
      </c>
      <c r="D3444" s="15" t="s">
        <v>6235</v>
      </c>
      <c r="E3444" s="9" t="s">
        <v>2422</v>
      </c>
      <c r="F3444" s="9" t="s">
        <v>2423</v>
      </c>
      <c r="G3444" s="9" t="s">
        <v>4633</v>
      </c>
      <c r="H3444" s="2" t="s">
        <v>35</v>
      </c>
      <c r="I3444" s="3">
        <v>37246</v>
      </c>
      <c r="J3444" s="9" t="str">
        <f t="shared" ca="1" si="56"/>
        <v>21 ans</v>
      </c>
      <c r="K3444" s="2" t="s">
        <v>262</v>
      </c>
      <c r="L3444" s="2" t="str">
        <f>"2095"</f>
        <v>2095</v>
      </c>
      <c r="M3444" s="2"/>
      <c r="N3444" s="2" t="str">
        <f>"RUE LÉOPOLD LECOURT"</f>
        <v>RUE LÉOPOLD LECOURT</v>
      </c>
      <c r="O3444" s="2" t="s">
        <v>14661</v>
      </c>
      <c r="P3444" s="9" t="str">
        <f>VLOOKUP($O3444,'Liste des Villes'!$B$2:$B$1128,1,FALSE)</f>
        <v>Mirabel</v>
      </c>
      <c r="Q3444" s="9" t="str">
        <f>IFERROR($P3444,PROPER(VLOOKUP($O3444,'Villes en erreur'!$A$2:$B$72,2,FALSE)))</f>
        <v>Mirabel</v>
      </c>
      <c r="R3444" s="9" t="s">
        <v>14662</v>
      </c>
      <c r="S3444" s="9" t="str">
        <f>IF(ISBLANK($R3444),"",VLOOKUP($R3444,'Liste des Villes'!$B$2:$H$1128,4,FALSE))</f>
        <v>Laurentides</v>
      </c>
      <c r="T3444" s="2" t="s">
        <v>15187</v>
      </c>
      <c r="U3444" s="2" t="s">
        <v>39</v>
      </c>
      <c r="V3444" s="2" t="s">
        <v>40</v>
      </c>
      <c r="W3444" s="2" t="s">
        <v>15188</v>
      </c>
      <c r="X3444" s="2"/>
      <c r="Y3444" s="2"/>
      <c r="Z3444" s="2"/>
      <c r="AA3444" s="2" t="s">
        <v>708</v>
      </c>
      <c r="AB3444" s="2" t="s">
        <v>14669</v>
      </c>
      <c r="AC3444" s="4" t="s">
        <v>44</v>
      </c>
    </row>
    <row r="3445" spans="1:29" x14ac:dyDescent="0.25">
      <c r="A3445" s="1">
        <v>2552</v>
      </c>
      <c r="B3445" s="17" t="s">
        <v>15189</v>
      </c>
      <c r="C3445" s="2" t="s">
        <v>6230</v>
      </c>
      <c r="D3445" s="15" t="s">
        <v>1913</v>
      </c>
      <c r="E3445" s="9" t="s">
        <v>622</v>
      </c>
      <c r="F3445" s="9" t="s">
        <v>3312</v>
      </c>
      <c r="G3445" s="9" t="s">
        <v>4243</v>
      </c>
      <c r="H3445" s="2" t="s">
        <v>60</v>
      </c>
      <c r="I3445" s="3">
        <v>37161</v>
      </c>
      <c r="J3445" s="9" t="str">
        <f t="shared" ca="1" si="56"/>
        <v>21 ans</v>
      </c>
      <c r="K3445" s="2" t="s">
        <v>156</v>
      </c>
      <c r="L3445" s="2" t="str">
        <f>"1521"</f>
        <v>1521</v>
      </c>
      <c r="M3445" s="2"/>
      <c r="N3445" s="2" t="str">
        <f>"RUE JEAN-DALLAIRE"</f>
        <v>RUE JEAN-DALLAIRE</v>
      </c>
      <c r="O3445" s="2" t="s">
        <v>14661</v>
      </c>
      <c r="P3445" s="9" t="str">
        <f>VLOOKUP($O3445,'Liste des Villes'!$B$2:$B$1128,1,FALSE)</f>
        <v>Mirabel</v>
      </c>
      <c r="Q3445" s="9" t="str">
        <f>IFERROR($P3445,PROPER(VLOOKUP($O3445,'Villes en erreur'!$A$2:$B$72,2,FALSE)))</f>
        <v>Mirabel</v>
      </c>
      <c r="R3445" s="9" t="s">
        <v>14662</v>
      </c>
      <c r="S3445" s="9" t="str">
        <f>IF(ISBLANK($R3445),"",VLOOKUP($R3445,'Liste des Villes'!$B$2:$H$1128,4,FALSE))</f>
        <v>Laurentides</v>
      </c>
      <c r="T3445" s="2" t="s">
        <v>14663</v>
      </c>
      <c r="U3445" s="2" t="s">
        <v>39</v>
      </c>
      <c r="V3445" s="2" t="s">
        <v>40</v>
      </c>
      <c r="W3445" s="2" t="s">
        <v>15190</v>
      </c>
      <c r="X3445" s="2"/>
      <c r="Y3445" s="2"/>
      <c r="Z3445" s="2"/>
      <c r="AA3445" s="2" t="s">
        <v>708</v>
      </c>
      <c r="AB3445" s="2" t="s">
        <v>376</v>
      </c>
      <c r="AC3445" s="4" t="s">
        <v>44</v>
      </c>
    </row>
    <row r="3446" spans="1:29" x14ac:dyDescent="0.25">
      <c r="A3446" s="1">
        <v>3009</v>
      </c>
      <c r="B3446" s="17" t="s">
        <v>15191</v>
      </c>
      <c r="C3446" s="2" t="s">
        <v>15192</v>
      </c>
      <c r="D3446" s="15" t="s">
        <v>15193</v>
      </c>
      <c r="E3446" s="9" t="s">
        <v>1582</v>
      </c>
      <c r="F3446" s="9" t="s">
        <v>15194</v>
      </c>
      <c r="G3446" s="9" t="s">
        <v>5476</v>
      </c>
      <c r="H3446" s="2" t="s">
        <v>35</v>
      </c>
      <c r="I3446" s="3">
        <v>37133</v>
      </c>
      <c r="J3446" s="9" t="str">
        <f t="shared" ca="1" si="56"/>
        <v>21 ans</v>
      </c>
      <c r="K3446" s="2" t="s">
        <v>156</v>
      </c>
      <c r="L3446" s="2" t="str">
        <f>"1362"</f>
        <v>1362</v>
      </c>
      <c r="M3446" s="2"/>
      <c r="N3446" s="2" t="str">
        <f>"RUE HENRI JOLY"</f>
        <v>RUE HENRI JOLY</v>
      </c>
      <c r="O3446" s="2" t="s">
        <v>14661</v>
      </c>
      <c r="P3446" s="9" t="str">
        <f>VLOOKUP($O3446,'Liste des Villes'!$B$2:$B$1128,1,FALSE)</f>
        <v>Mirabel</v>
      </c>
      <c r="Q3446" s="9" t="str">
        <f>IFERROR($P3446,PROPER(VLOOKUP($O3446,'Villes en erreur'!$A$2:$B$72,2,FALSE)))</f>
        <v>Mirabel</v>
      </c>
      <c r="R3446" s="9" t="s">
        <v>14662</v>
      </c>
      <c r="S3446" s="9" t="str">
        <f>IF(ISBLANK($R3446),"",VLOOKUP($R3446,'Liste des Villes'!$B$2:$H$1128,4,FALSE))</f>
        <v>Laurentides</v>
      </c>
      <c r="T3446" s="2" t="s">
        <v>15195</v>
      </c>
      <c r="U3446" s="2" t="s">
        <v>39</v>
      </c>
      <c r="V3446" s="2" t="s">
        <v>40</v>
      </c>
      <c r="W3446" s="2" t="s">
        <v>15196</v>
      </c>
      <c r="X3446" s="2"/>
      <c r="Y3446" s="2"/>
      <c r="Z3446" s="2"/>
      <c r="AA3446" s="2" t="s">
        <v>375</v>
      </c>
      <c r="AB3446" s="2" t="s">
        <v>376</v>
      </c>
      <c r="AC3446" s="4" t="s">
        <v>44</v>
      </c>
    </row>
    <row r="3447" spans="1:29" x14ac:dyDescent="0.25">
      <c r="A3447" s="1">
        <v>3383</v>
      </c>
      <c r="B3447" s="17" t="s">
        <v>15197</v>
      </c>
      <c r="C3447" s="2" t="s">
        <v>598</v>
      </c>
      <c r="D3447" s="15" t="s">
        <v>599</v>
      </c>
      <c r="E3447" s="9" t="s">
        <v>600</v>
      </c>
      <c r="F3447" s="9" t="s">
        <v>562</v>
      </c>
      <c r="G3447" s="9" t="s">
        <v>549</v>
      </c>
      <c r="H3447" s="2" t="s">
        <v>60</v>
      </c>
      <c r="I3447" s="3">
        <v>37222</v>
      </c>
      <c r="J3447" s="9" t="str">
        <f t="shared" ca="1" si="56"/>
        <v>21 ans</v>
      </c>
      <c r="K3447" s="2" t="s">
        <v>262</v>
      </c>
      <c r="L3447" s="2" t="str">
        <f>"1946"</f>
        <v>1946</v>
      </c>
      <c r="M3447" s="2"/>
      <c r="N3447" s="2" t="str">
        <f>"RUE LAROCQUE"</f>
        <v>RUE LAROCQUE</v>
      </c>
      <c r="O3447" s="2" t="s">
        <v>14661</v>
      </c>
      <c r="P3447" s="9" t="str">
        <f>VLOOKUP($O3447,'Liste des Villes'!$B$2:$B$1128,1,FALSE)</f>
        <v>Mirabel</v>
      </c>
      <c r="Q3447" s="9" t="str">
        <f>IFERROR($P3447,PROPER(VLOOKUP($O3447,'Villes en erreur'!$A$2:$B$72,2,FALSE)))</f>
        <v>Mirabel</v>
      </c>
      <c r="R3447" s="9" t="s">
        <v>14662</v>
      </c>
      <c r="S3447" s="9" t="str">
        <f>IF(ISBLANK($R3447),"",VLOOKUP($R3447,'Liste des Villes'!$B$2:$H$1128,4,FALSE))</f>
        <v>Laurentides</v>
      </c>
      <c r="T3447" s="2" t="s">
        <v>15198</v>
      </c>
      <c r="U3447" s="2" t="s">
        <v>39</v>
      </c>
      <c r="V3447" s="2" t="s">
        <v>40</v>
      </c>
      <c r="W3447" s="2" t="s">
        <v>15199</v>
      </c>
      <c r="X3447" s="2"/>
      <c r="Y3447" s="2"/>
      <c r="Z3447" s="2"/>
      <c r="AA3447" s="2" t="s">
        <v>708</v>
      </c>
      <c r="AB3447" s="2" t="s">
        <v>14669</v>
      </c>
      <c r="AC3447" s="4" t="s">
        <v>44</v>
      </c>
    </row>
    <row r="3448" spans="1:29" x14ac:dyDescent="0.25">
      <c r="A3448" s="1">
        <v>3379</v>
      </c>
      <c r="B3448" s="17" t="s">
        <v>15200</v>
      </c>
      <c r="C3448" s="2" t="s">
        <v>2060</v>
      </c>
      <c r="D3448" s="15" t="s">
        <v>2061</v>
      </c>
      <c r="E3448" s="9" t="s">
        <v>2062</v>
      </c>
      <c r="F3448" s="9" t="s">
        <v>850</v>
      </c>
      <c r="G3448" s="9" t="s">
        <v>6244</v>
      </c>
      <c r="H3448" s="2" t="s">
        <v>60</v>
      </c>
      <c r="I3448" s="3">
        <v>37177</v>
      </c>
      <c r="J3448" s="9" t="str">
        <f t="shared" ca="1" si="56"/>
        <v>21 ans</v>
      </c>
      <c r="K3448" s="2" t="s">
        <v>156</v>
      </c>
      <c r="L3448" s="2" t="str">
        <f>"1640"</f>
        <v>1640</v>
      </c>
      <c r="M3448" s="2"/>
      <c r="N3448" s="2" t="str">
        <f>"RUE JOSEPH-AUBIN"</f>
        <v>RUE JOSEPH-AUBIN</v>
      </c>
      <c r="O3448" s="2" t="s">
        <v>14661</v>
      </c>
      <c r="P3448" s="9" t="str">
        <f>VLOOKUP($O3448,'Liste des Villes'!$B$2:$B$1128,1,FALSE)</f>
        <v>Mirabel</v>
      </c>
      <c r="Q3448" s="9" t="str">
        <f>IFERROR($P3448,PROPER(VLOOKUP($O3448,'Villes en erreur'!$A$2:$B$72,2,FALSE)))</f>
        <v>Mirabel</v>
      </c>
      <c r="R3448" s="9" t="s">
        <v>14662</v>
      </c>
      <c r="S3448" s="9" t="str">
        <f>IF(ISBLANK($R3448),"",VLOOKUP($R3448,'Liste des Villes'!$B$2:$H$1128,4,FALSE))</f>
        <v>Laurentides</v>
      </c>
      <c r="T3448" s="2" t="s">
        <v>15201</v>
      </c>
      <c r="U3448" s="2" t="s">
        <v>39</v>
      </c>
      <c r="V3448" s="2" t="s">
        <v>40</v>
      </c>
      <c r="W3448" s="2" t="s">
        <v>15202</v>
      </c>
      <c r="X3448" s="2"/>
      <c r="Y3448" s="2"/>
      <c r="Z3448" s="2"/>
      <c r="AA3448" s="2" t="s">
        <v>708</v>
      </c>
      <c r="AB3448" s="2" t="s">
        <v>14669</v>
      </c>
      <c r="AC3448" s="4" t="s">
        <v>44</v>
      </c>
    </row>
    <row r="3449" spans="1:29" x14ac:dyDescent="0.25">
      <c r="A3449" s="1">
        <v>764</v>
      </c>
      <c r="B3449" s="17" t="s">
        <v>15203</v>
      </c>
      <c r="C3449" s="2" t="s">
        <v>15204</v>
      </c>
      <c r="D3449" s="15" t="s">
        <v>4453</v>
      </c>
      <c r="E3449" s="9" t="s">
        <v>15205</v>
      </c>
      <c r="F3449" s="9" t="s">
        <v>12763</v>
      </c>
      <c r="G3449" s="9" t="s">
        <v>15206</v>
      </c>
      <c r="H3449" s="2" t="s">
        <v>35</v>
      </c>
      <c r="I3449" s="3">
        <v>37229</v>
      </c>
      <c r="J3449" s="9" t="str">
        <f t="shared" ca="1" si="56"/>
        <v>21 ans</v>
      </c>
      <c r="K3449" s="2" t="s">
        <v>262</v>
      </c>
      <c r="L3449" s="2" t="str">
        <f>"1989"</f>
        <v>1989</v>
      </c>
      <c r="M3449" s="2"/>
      <c r="N3449" s="2" t="str">
        <f>"RUE LAURIN"</f>
        <v>RUE LAURIN</v>
      </c>
      <c r="O3449" s="2" t="s">
        <v>14661</v>
      </c>
      <c r="P3449" s="9" t="str">
        <f>VLOOKUP($O3449,'Liste des Villes'!$B$2:$B$1128,1,FALSE)</f>
        <v>Mirabel</v>
      </c>
      <c r="Q3449" s="9" t="str">
        <f>IFERROR($P3449,PROPER(VLOOKUP($O3449,'Villes en erreur'!$A$2:$B$72,2,FALSE)))</f>
        <v>Mirabel</v>
      </c>
      <c r="R3449" s="9" t="s">
        <v>14662</v>
      </c>
      <c r="S3449" s="9" t="str">
        <f>IF(ISBLANK($R3449),"",VLOOKUP($R3449,'Liste des Villes'!$B$2:$H$1128,4,FALSE))</f>
        <v>Laurentides</v>
      </c>
      <c r="T3449" s="2" t="s">
        <v>15038</v>
      </c>
      <c r="U3449" s="2" t="s">
        <v>39</v>
      </c>
      <c r="V3449" s="2" t="s">
        <v>40</v>
      </c>
      <c r="W3449" s="2" t="s">
        <v>15207</v>
      </c>
      <c r="X3449" s="2"/>
      <c r="Y3449" s="2"/>
      <c r="Z3449" s="2"/>
      <c r="AA3449" s="2" t="s">
        <v>708</v>
      </c>
      <c r="AB3449" s="2" t="s">
        <v>14669</v>
      </c>
      <c r="AC3449" s="4" t="s">
        <v>44</v>
      </c>
    </row>
    <row r="3450" spans="1:29" x14ac:dyDescent="0.25">
      <c r="A3450" s="1">
        <v>3902</v>
      </c>
      <c r="B3450" s="17" t="s">
        <v>15208</v>
      </c>
      <c r="C3450" s="2" t="s">
        <v>4516</v>
      </c>
      <c r="D3450" s="15" t="s">
        <v>582</v>
      </c>
      <c r="E3450" s="9" t="s">
        <v>4517</v>
      </c>
      <c r="F3450" s="9" t="s">
        <v>2965</v>
      </c>
      <c r="G3450" s="9" t="s">
        <v>12852</v>
      </c>
      <c r="H3450" s="2" t="s">
        <v>60</v>
      </c>
      <c r="I3450" s="3">
        <v>37167</v>
      </c>
      <c r="J3450" s="9" t="str">
        <f t="shared" ca="1" si="56"/>
        <v>21 ans</v>
      </c>
      <c r="K3450" s="2" t="s">
        <v>156</v>
      </c>
      <c r="L3450" s="2" t="str">
        <f>"1555"</f>
        <v>1555</v>
      </c>
      <c r="M3450" s="2"/>
      <c r="N3450" s="2" t="str">
        <f>"RUE JEANNE-D'ARC"</f>
        <v>RUE JEANNE-D'ARC</v>
      </c>
      <c r="O3450" s="2" t="s">
        <v>14661</v>
      </c>
      <c r="P3450" s="9" t="str">
        <f>VLOOKUP($O3450,'Liste des Villes'!$B$2:$B$1128,1,FALSE)</f>
        <v>Mirabel</v>
      </c>
      <c r="Q3450" s="9" t="str">
        <f>IFERROR($P3450,PROPER(VLOOKUP($O3450,'Villes en erreur'!$A$2:$B$72,2,FALSE)))</f>
        <v>Mirabel</v>
      </c>
      <c r="R3450" s="9" t="s">
        <v>14662</v>
      </c>
      <c r="S3450" s="9" t="str">
        <f>IF(ISBLANK($R3450),"",VLOOKUP($R3450,'Liste des Villes'!$B$2:$H$1128,4,FALSE))</f>
        <v>Laurentides</v>
      </c>
      <c r="T3450" s="2" t="s">
        <v>15209</v>
      </c>
      <c r="U3450" s="2" t="s">
        <v>39</v>
      </c>
      <c r="V3450" s="2" t="s">
        <v>40</v>
      </c>
      <c r="W3450" s="2" t="s">
        <v>15210</v>
      </c>
      <c r="X3450" s="2"/>
      <c r="Y3450" s="2"/>
      <c r="Z3450" s="2"/>
      <c r="AA3450" s="2" t="s">
        <v>708</v>
      </c>
      <c r="AB3450" s="2" t="s">
        <v>376</v>
      </c>
      <c r="AC3450" s="4" t="s">
        <v>44</v>
      </c>
    </row>
    <row r="3451" spans="1:29" x14ac:dyDescent="0.25">
      <c r="A3451" s="1">
        <v>97</v>
      </c>
      <c r="B3451" s="17" t="s">
        <v>15211</v>
      </c>
      <c r="C3451" s="2" t="s">
        <v>5552</v>
      </c>
      <c r="D3451" s="15" t="s">
        <v>2898</v>
      </c>
      <c r="E3451" s="9" t="s">
        <v>704</v>
      </c>
      <c r="F3451" s="9" t="s">
        <v>4821</v>
      </c>
      <c r="G3451" s="9" t="s">
        <v>2217</v>
      </c>
      <c r="H3451" s="2" t="s">
        <v>60</v>
      </c>
      <c r="I3451" s="3">
        <v>37078</v>
      </c>
      <c r="J3451" s="9" t="str">
        <f t="shared" ca="1" si="56"/>
        <v>22 ans</v>
      </c>
      <c r="K3451" s="2" t="s">
        <v>156</v>
      </c>
      <c r="L3451" s="2" t="str">
        <f>"1156"</f>
        <v>1156</v>
      </c>
      <c r="M3451" s="2"/>
      <c r="N3451" s="2" t="str">
        <f>"RUE ESTELLE"</f>
        <v>RUE ESTELLE</v>
      </c>
      <c r="O3451" s="2" t="s">
        <v>14661</v>
      </c>
      <c r="P3451" s="9" t="str">
        <f>VLOOKUP($O3451,'Liste des Villes'!$B$2:$B$1128,1,FALSE)</f>
        <v>Mirabel</v>
      </c>
      <c r="Q3451" s="9" t="str">
        <f>IFERROR($P3451,PROPER(VLOOKUP($O3451,'Villes en erreur'!$A$2:$B$72,2,FALSE)))</f>
        <v>Mirabel</v>
      </c>
      <c r="R3451" s="9" t="s">
        <v>14662</v>
      </c>
      <c r="S3451" s="9" t="str">
        <f>IF(ISBLANK($R3451),"",VLOOKUP($R3451,'Liste des Villes'!$B$2:$H$1128,4,FALSE))</f>
        <v>Laurentides</v>
      </c>
      <c r="T3451" s="2" t="s">
        <v>15212</v>
      </c>
      <c r="U3451" s="2" t="s">
        <v>39</v>
      </c>
      <c r="V3451" s="2" t="s">
        <v>40</v>
      </c>
      <c r="W3451" s="2" t="s">
        <v>15213</v>
      </c>
      <c r="X3451" s="2"/>
      <c r="Y3451" s="2"/>
      <c r="Z3451" s="2"/>
      <c r="AA3451" s="2" t="s">
        <v>375</v>
      </c>
      <c r="AB3451" s="2" t="s">
        <v>376</v>
      </c>
      <c r="AC3451" s="4" t="s">
        <v>44</v>
      </c>
    </row>
    <row r="3452" spans="1:29" x14ac:dyDescent="0.25">
      <c r="A3452" s="1">
        <v>361</v>
      </c>
      <c r="B3452" s="17" t="s">
        <v>15214</v>
      </c>
      <c r="C3452" s="2" t="s">
        <v>10437</v>
      </c>
      <c r="D3452" s="15" t="s">
        <v>803</v>
      </c>
      <c r="E3452" s="9" t="s">
        <v>10438</v>
      </c>
      <c r="F3452" s="9" t="s">
        <v>3946</v>
      </c>
      <c r="G3452" s="9" t="s">
        <v>11150</v>
      </c>
      <c r="H3452" s="2" t="s">
        <v>60</v>
      </c>
      <c r="I3452" s="3">
        <v>37243</v>
      </c>
      <c r="J3452" s="9" t="str">
        <f t="shared" ca="1" si="56"/>
        <v>21 ans</v>
      </c>
      <c r="K3452" s="2" t="s">
        <v>262</v>
      </c>
      <c r="L3452" s="2" t="str">
        <f>"2066"</f>
        <v>2066</v>
      </c>
      <c r="M3452" s="2"/>
      <c r="N3452" s="2" t="str">
        <f>"RUE LÉGER"</f>
        <v>RUE LÉGER</v>
      </c>
      <c r="O3452" s="2" t="s">
        <v>14661</v>
      </c>
      <c r="P3452" s="9" t="str">
        <f>VLOOKUP($O3452,'Liste des Villes'!$B$2:$B$1128,1,FALSE)</f>
        <v>Mirabel</v>
      </c>
      <c r="Q3452" s="9" t="str">
        <f>IFERROR($P3452,PROPER(VLOOKUP($O3452,'Villes en erreur'!$A$2:$B$72,2,FALSE)))</f>
        <v>Mirabel</v>
      </c>
      <c r="R3452" s="9" t="s">
        <v>14662</v>
      </c>
      <c r="S3452" s="9" t="str">
        <f>IF(ISBLANK($R3452),"",VLOOKUP($R3452,'Liste des Villes'!$B$2:$H$1128,4,FALSE))</f>
        <v>Laurentides</v>
      </c>
      <c r="T3452" s="2" t="s">
        <v>15215</v>
      </c>
      <c r="U3452" s="2" t="s">
        <v>39</v>
      </c>
      <c r="V3452" s="2" t="s">
        <v>40</v>
      </c>
      <c r="W3452" s="2" t="s">
        <v>15216</v>
      </c>
      <c r="X3452" s="2"/>
      <c r="Y3452" s="2"/>
      <c r="Z3452" s="2"/>
      <c r="AA3452" s="2" t="s">
        <v>708</v>
      </c>
      <c r="AB3452" s="2" t="s">
        <v>14669</v>
      </c>
      <c r="AC3452" s="4" t="s">
        <v>44</v>
      </c>
    </row>
    <row r="3453" spans="1:29" x14ac:dyDescent="0.25">
      <c r="A3453" s="1">
        <v>2797</v>
      </c>
      <c r="B3453" s="17" t="s">
        <v>15217</v>
      </c>
      <c r="C3453" s="2" t="s">
        <v>15218</v>
      </c>
      <c r="D3453" s="15" t="s">
        <v>10456</v>
      </c>
      <c r="E3453" s="9" t="s">
        <v>1337</v>
      </c>
      <c r="F3453" s="9" t="s">
        <v>10455</v>
      </c>
      <c r="G3453" s="9" t="s">
        <v>3739</v>
      </c>
      <c r="H3453" s="2" t="s">
        <v>60</v>
      </c>
      <c r="I3453" s="3">
        <v>37146</v>
      </c>
      <c r="J3453" s="9" t="str">
        <f t="shared" ca="1" si="56"/>
        <v>21 ans</v>
      </c>
      <c r="K3453" s="2" t="s">
        <v>156</v>
      </c>
      <c r="L3453" s="2" t="str">
        <f>"1423"</f>
        <v>1423</v>
      </c>
      <c r="M3453" s="2"/>
      <c r="N3453" s="2" t="str">
        <f>"RUE ISAAC-JOGUES"</f>
        <v>RUE ISAAC-JOGUES</v>
      </c>
      <c r="O3453" s="2" t="s">
        <v>14661</v>
      </c>
      <c r="P3453" s="9" t="str">
        <f>VLOOKUP($O3453,'Liste des Villes'!$B$2:$B$1128,1,FALSE)</f>
        <v>Mirabel</v>
      </c>
      <c r="Q3453" s="9" t="str">
        <f>IFERROR($P3453,PROPER(VLOOKUP($O3453,'Villes en erreur'!$A$2:$B$72,2,FALSE)))</f>
        <v>Mirabel</v>
      </c>
      <c r="R3453" s="9" t="s">
        <v>14662</v>
      </c>
      <c r="S3453" s="9" t="str">
        <f>IF(ISBLANK($R3453),"",VLOOKUP($R3453,'Liste des Villes'!$B$2:$H$1128,4,FALSE))</f>
        <v>Laurentides</v>
      </c>
      <c r="T3453" s="2" t="s">
        <v>14739</v>
      </c>
      <c r="U3453" s="2" t="s">
        <v>39</v>
      </c>
      <c r="V3453" s="2" t="s">
        <v>40</v>
      </c>
      <c r="W3453" s="2" t="s">
        <v>15219</v>
      </c>
      <c r="X3453" s="2"/>
      <c r="Y3453" s="2"/>
      <c r="Z3453" s="2"/>
      <c r="AA3453" s="2" t="s">
        <v>708</v>
      </c>
      <c r="AB3453" s="2" t="s">
        <v>376</v>
      </c>
      <c r="AC3453" s="4" t="s">
        <v>44</v>
      </c>
    </row>
    <row r="3454" spans="1:29" x14ac:dyDescent="0.25">
      <c r="A3454" s="1">
        <v>4361</v>
      </c>
      <c r="B3454" s="17" t="s">
        <v>15220</v>
      </c>
      <c r="C3454" s="2" t="s">
        <v>15221</v>
      </c>
      <c r="D3454" s="15" t="s">
        <v>7959</v>
      </c>
      <c r="E3454" s="9" t="s">
        <v>15222</v>
      </c>
      <c r="F3454" s="9" t="s">
        <v>7958</v>
      </c>
      <c r="G3454" s="9" t="s">
        <v>11488</v>
      </c>
      <c r="H3454" s="2" t="s">
        <v>60</v>
      </c>
      <c r="I3454" s="3">
        <v>37155</v>
      </c>
      <c r="J3454" s="9" t="str">
        <f t="shared" ca="1" si="56"/>
        <v>21 ans</v>
      </c>
      <c r="K3454" s="2" t="s">
        <v>156</v>
      </c>
      <c r="L3454" s="2" t="str">
        <f>"1477"</f>
        <v>1477</v>
      </c>
      <c r="M3454" s="2"/>
      <c r="N3454" s="2" t="str">
        <f>"RUE JACQUES-BLANCHET"</f>
        <v>RUE JACQUES-BLANCHET</v>
      </c>
      <c r="O3454" s="2" t="s">
        <v>14661</v>
      </c>
      <c r="P3454" s="9" t="str">
        <f>VLOOKUP($O3454,'Liste des Villes'!$B$2:$B$1128,1,FALSE)</f>
        <v>Mirabel</v>
      </c>
      <c r="Q3454" s="9" t="str">
        <f>IFERROR($P3454,PROPER(VLOOKUP($O3454,'Villes en erreur'!$A$2:$B$72,2,FALSE)))</f>
        <v>Mirabel</v>
      </c>
      <c r="R3454" s="9" t="s">
        <v>14662</v>
      </c>
      <c r="S3454" s="9" t="str">
        <f>IF(ISBLANK($R3454),"",VLOOKUP($R3454,'Liste des Villes'!$B$2:$H$1128,4,FALSE))</f>
        <v>Laurentides</v>
      </c>
      <c r="T3454" s="2" t="s">
        <v>15223</v>
      </c>
      <c r="U3454" s="2" t="s">
        <v>39</v>
      </c>
      <c r="V3454" s="2" t="s">
        <v>40</v>
      </c>
      <c r="W3454" s="2" t="s">
        <v>15224</v>
      </c>
      <c r="X3454" s="2"/>
      <c r="Y3454" s="2"/>
      <c r="Z3454" s="2"/>
      <c r="AA3454" s="2" t="s">
        <v>708</v>
      </c>
      <c r="AB3454" s="2" t="s">
        <v>376</v>
      </c>
      <c r="AC3454" s="4" t="s">
        <v>44</v>
      </c>
    </row>
    <row r="3455" spans="1:29" x14ac:dyDescent="0.25">
      <c r="A3455" s="1">
        <v>3649</v>
      </c>
      <c r="B3455" s="17" t="s">
        <v>15225</v>
      </c>
      <c r="C3455" s="2" t="s">
        <v>15226</v>
      </c>
      <c r="D3455" s="15" t="s">
        <v>5640</v>
      </c>
      <c r="E3455" s="9" t="s">
        <v>685</v>
      </c>
      <c r="F3455" s="9" t="s">
        <v>5639</v>
      </c>
      <c r="G3455" s="9" t="s">
        <v>1702</v>
      </c>
      <c r="H3455" s="2" t="s">
        <v>35</v>
      </c>
      <c r="I3455" s="3">
        <v>37153</v>
      </c>
      <c r="J3455" s="9" t="str">
        <f t="shared" ca="1" si="56"/>
        <v>21 ans</v>
      </c>
      <c r="K3455" s="2" t="s">
        <v>156</v>
      </c>
      <c r="L3455" s="2" t="str">
        <f>"1459"</f>
        <v>1459</v>
      </c>
      <c r="M3455" s="2"/>
      <c r="N3455" s="2" t="str">
        <f>"RUE JACOB"</f>
        <v>RUE JACOB</v>
      </c>
      <c r="O3455" s="2" t="s">
        <v>14661</v>
      </c>
      <c r="P3455" s="9" t="str">
        <f>VLOOKUP($O3455,'Liste des Villes'!$B$2:$B$1128,1,FALSE)</f>
        <v>Mirabel</v>
      </c>
      <c r="Q3455" s="9" t="str">
        <f>IFERROR($P3455,PROPER(VLOOKUP($O3455,'Villes en erreur'!$A$2:$B$72,2,FALSE)))</f>
        <v>Mirabel</v>
      </c>
      <c r="R3455" s="9" t="s">
        <v>14662</v>
      </c>
      <c r="S3455" s="9" t="str">
        <f>IF(ISBLANK($R3455),"",VLOOKUP($R3455,'Liste des Villes'!$B$2:$H$1128,4,FALSE))</f>
        <v>Laurentides</v>
      </c>
      <c r="T3455" s="2" t="s">
        <v>15227</v>
      </c>
      <c r="U3455" s="2" t="s">
        <v>39</v>
      </c>
      <c r="V3455" s="2" t="s">
        <v>40</v>
      </c>
      <c r="W3455" s="2" t="s">
        <v>15228</v>
      </c>
      <c r="X3455" s="2"/>
      <c r="Y3455" s="2"/>
      <c r="Z3455" s="2"/>
      <c r="AA3455" s="2" t="s">
        <v>708</v>
      </c>
      <c r="AB3455" s="2" t="s">
        <v>376</v>
      </c>
      <c r="AC3455" s="4" t="s">
        <v>44</v>
      </c>
    </row>
    <row r="3456" spans="1:29" x14ac:dyDescent="0.25">
      <c r="A3456" s="1">
        <v>3350</v>
      </c>
      <c r="B3456" s="17" t="s">
        <v>15229</v>
      </c>
      <c r="C3456" s="2" t="s">
        <v>15230</v>
      </c>
      <c r="D3456" s="15" t="s">
        <v>15231</v>
      </c>
      <c r="E3456" s="9" t="s">
        <v>1416</v>
      </c>
      <c r="F3456" s="9" t="s">
        <v>10029</v>
      </c>
      <c r="G3456" s="9" t="s">
        <v>1289</v>
      </c>
      <c r="H3456" s="2" t="s">
        <v>35</v>
      </c>
      <c r="I3456" s="3">
        <v>37080</v>
      </c>
      <c r="J3456" s="9" t="str">
        <f t="shared" ca="1" si="56"/>
        <v>22 ans</v>
      </c>
      <c r="K3456" s="2" t="s">
        <v>156</v>
      </c>
      <c r="L3456" s="2" t="str">
        <f>"1159"</f>
        <v>1159</v>
      </c>
      <c r="M3456" s="2"/>
      <c r="N3456" s="2" t="str">
        <f>"RUE ETHIER"</f>
        <v>RUE ETHIER</v>
      </c>
      <c r="O3456" s="2" t="s">
        <v>14661</v>
      </c>
      <c r="P3456" s="9" t="str">
        <f>VLOOKUP($O3456,'Liste des Villes'!$B$2:$B$1128,1,FALSE)</f>
        <v>Mirabel</v>
      </c>
      <c r="Q3456" s="9" t="str">
        <f>IFERROR($P3456,PROPER(VLOOKUP($O3456,'Villes en erreur'!$A$2:$B$72,2,FALSE)))</f>
        <v>Mirabel</v>
      </c>
      <c r="R3456" s="9" t="s">
        <v>14662</v>
      </c>
      <c r="S3456" s="9" t="str">
        <f>IF(ISBLANK($R3456),"",VLOOKUP($R3456,'Liste des Villes'!$B$2:$H$1128,4,FALSE))</f>
        <v>Laurentides</v>
      </c>
      <c r="T3456" s="2" t="s">
        <v>15232</v>
      </c>
      <c r="U3456" s="2" t="s">
        <v>39</v>
      </c>
      <c r="V3456" s="2" t="s">
        <v>40</v>
      </c>
      <c r="W3456" s="2" t="s">
        <v>15233</v>
      </c>
      <c r="X3456" s="2"/>
      <c r="Y3456" s="2"/>
      <c r="Z3456" s="2"/>
      <c r="AA3456" s="2" t="s">
        <v>375</v>
      </c>
      <c r="AB3456" s="2" t="s">
        <v>376</v>
      </c>
      <c r="AC3456" s="4" t="s">
        <v>44</v>
      </c>
    </row>
    <row r="3457" spans="1:29" x14ac:dyDescent="0.25">
      <c r="A3457" s="1">
        <v>89</v>
      </c>
      <c r="B3457" s="17" t="s">
        <v>15234</v>
      </c>
      <c r="C3457" s="2" t="s">
        <v>2186</v>
      </c>
      <c r="D3457" s="15" t="s">
        <v>2187</v>
      </c>
      <c r="E3457" s="9" t="s">
        <v>610</v>
      </c>
      <c r="F3457" s="9" t="s">
        <v>11638</v>
      </c>
      <c r="G3457" s="9" t="s">
        <v>12300</v>
      </c>
      <c r="H3457" s="2" t="s">
        <v>60</v>
      </c>
      <c r="I3457" s="3">
        <v>37237</v>
      </c>
      <c r="J3457" s="9" t="str">
        <f t="shared" ca="1" si="56"/>
        <v>21 ans</v>
      </c>
      <c r="K3457" s="2" t="s">
        <v>262</v>
      </c>
      <c r="L3457" s="2" t="str">
        <f>"2035"</f>
        <v>2035</v>
      </c>
      <c r="M3457" s="2"/>
      <c r="N3457" s="2" t="str">
        <f>"RUE LAVIOLETTE"</f>
        <v>RUE LAVIOLETTE</v>
      </c>
      <c r="O3457" s="2" t="s">
        <v>14661</v>
      </c>
      <c r="P3457" s="9" t="str">
        <f>VLOOKUP($O3457,'Liste des Villes'!$B$2:$B$1128,1,FALSE)</f>
        <v>Mirabel</v>
      </c>
      <c r="Q3457" s="9" t="str">
        <f>IFERROR($P3457,PROPER(VLOOKUP($O3457,'Villes en erreur'!$A$2:$B$72,2,FALSE)))</f>
        <v>Mirabel</v>
      </c>
      <c r="R3457" s="9" t="s">
        <v>14662</v>
      </c>
      <c r="S3457" s="9" t="str">
        <f>IF(ISBLANK($R3457),"",VLOOKUP($R3457,'Liste des Villes'!$B$2:$H$1128,4,FALSE))</f>
        <v>Laurentides</v>
      </c>
      <c r="T3457" s="2" t="s">
        <v>15235</v>
      </c>
      <c r="U3457" s="2" t="s">
        <v>39</v>
      </c>
      <c r="V3457" s="2" t="s">
        <v>40</v>
      </c>
      <c r="W3457" s="2" t="s">
        <v>15236</v>
      </c>
      <c r="X3457" s="2"/>
      <c r="Y3457" s="2"/>
      <c r="Z3457" s="2"/>
      <c r="AA3457" s="2" t="s">
        <v>708</v>
      </c>
      <c r="AB3457" s="2" t="s">
        <v>14669</v>
      </c>
      <c r="AC3457" s="4" t="s">
        <v>44</v>
      </c>
    </row>
    <row r="3458" spans="1:29" x14ac:dyDescent="0.25">
      <c r="A3458" s="1">
        <v>2701</v>
      </c>
      <c r="B3458" s="17" t="s">
        <v>15237</v>
      </c>
      <c r="C3458" s="2" t="s">
        <v>15238</v>
      </c>
      <c r="D3458" s="15" t="s">
        <v>12792</v>
      </c>
      <c r="E3458" s="9" t="s">
        <v>137</v>
      </c>
      <c r="F3458" s="9" t="s">
        <v>3080</v>
      </c>
      <c r="G3458" s="9" t="s">
        <v>202</v>
      </c>
      <c r="H3458" s="2" t="s">
        <v>60</v>
      </c>
      <c r="I3458" s="3">
        <v>37102</v>
      </c>
      <c r="J3458" s="9" t="str">
        <f t="shared" ref="J3458:J3521" ca="1" si="57">_xlfn.CONCAT(INT((TODAY()-$I3458)/365.25)," ans")</f>
        <v>22 ans</v>
      </c>
      <c r="K3458" s="2" t="s">
        <v>156</v>
      </c>
      <c r="L3458" s="2" t="str">
        <f>"1238"</f>
        <v>1238</v>
      </c>
      <c r="M3458" s="2"/>
      <c r="N3458" s="2" t="str">
        <f>"RUE FRANÇOISE LORANGER"</f>
        <v>RUE FRANÇOISE LORANGER</v>
      </c>
      <c r="O3458" s="2" t="s">
        <v>14661</v>
      </c>
      <c r="P3458" s="9" t="str">
        <f>VLOOKUP($O3458,'Liste des Villes'!$B$2:$B$1128,1,FALSE)</f>
        <v>Mirabel</v>
      </c>
      <c r="Q3458" s="9" t="str">
        <f>IFERROR($P3458,PROPER(VLOOKUP($O3458,'Villes en erreur'!$A$2:$B$72,2,FALSE)))</f>
        <v>Mirabel</v>
      </c>
      <c r="R3458" s="9" t="s">
        <v>14662</v>
      </c>
      <c r="S3458" s="9" t="str">
        <f>IF(ISBLANK($R3458),"",VLOOKUP($R3458,'Liste des Villes'!$B$2:$H$1128,4,FALSE))</f>
        <v>Laurentides</v>
      </c>
      <c r="T3458" s="2" t="s">
        <v>15239</v>
      </c>
      <c r="U3458" s="2" t="s">
        <v>39</v>
      </c>
      <c r="V3458" s="2" t="s">
        <v>40</v>
      </c>
      <c r="W3458" s="2" t="s">
        <v>15240</v>
      </c>
      <c r="X3458" s="2"/>
      <c r="Y3458" s="2"/>
      <c r="Z3458" s="2"/>
      <c r="AA3458" s="2" t="s">
        <v>375</v>
      </c>
      <c r="AB3458" s="2" t="s">
        <v>376</v>
      </c>
      <c r="AC3458" s="4" t="s">
        <v>44</v>
      </c>
    </row>
    <row r="3459" spans="1:29" x14ac:dyDescent="0.25">
      <c r="A3459" s="1">
        <v>719</v>
      </c>
      <c r="B3459" s="17" t="s">
        <v>15241</v>
      </c>
      <c r="C3459" s="2" t="s">
        <v>15242</v>
      </c>
      <c r="D3459" s="15" t="s">
        <v>3705</v>
      </c>
      <c r="E3459" s="9" t="s">
        <v>10707</v>
      </c>
      <c r="F3459" s="9" t="s">
        <v>3654</v>
      </c>
      <c r="G3459" s="9" t="s">
        <v>8530</v>
      </c>
      <c r="H3459" s="2" t="s">
        <v>60</v>
      </c>
      <c r="I3459" s="3">
        <v>37175</v>
      </c>
      <c r="J3459" s="9" t="str">
        <f t="shared" ca="1" si="57"/>
        <v>21 ans</v>
      </c>
      <c r="K3459" s="2" t="s">
        <v>156</v>
      </c>
      <c r="L3459" s="2" t="str">
        <f>"1625"</f>
        <v>1625</v>
      </c>
      <c r="M3459" s="2"/>
      <c r="N3459" s="2" t="str">
        <f>"RUE JOSÉE"</f>
        <v>RUE JOSÉE</v>
      </c>
      <c r="O3459" s="2" t="s">
        <v>14661</v>
      </c>
      <c r="P3459" s="9" t="str">
        <f>VLOOKUP($O3459,'Liste des Villes'!$B$2:$B$1128,1,FALSE)</f>
        <v>Mirabel</v>
      </c>
      <c r="Q3459" s="9" t="str">
        <f>IFERROR($P3459,PROPER(VLOOKUP($O3459,'Villes en erreur'!$A$2:$B$72,2,FALSE)))</f>
        <v>Mirabel</v>
      </c>
      <c r="R3459" s="9" t="s">
        <v>14662</v>
      </c>
      <c r="S3459" s="9" t="str">
        <f>IF(ISBLANK($R3459),"",VLOOKUP($R3459,'Liste des Villes'!$B$2:$H$1128,4,FALSE))</f>
        <v>Laurentides</v>
      </c>
      <c r="T3459" s="2" t="s">
        <v>14769</v>
      </c>
      <c r="U3459" s="2" t="s">
        <v>39</v>
      </c>
      <c r="V3459" s="2" t="s">
        <v>40</v>
      </c>
      <c r="W3459" s="2" t="s">
        <v>15243</v>
      </c>
      <c r="X3459" s="2"/>
      <c r="Y3459" s="2"/>
      <c r="Z3459" s="2"/>
      <c r="AA3459" s="2" t="s">
        <v>708</v>
      </c>
      <c r="AB3459" s="2" t="s">
        <v>14669</v>
      </c>
      <c r="AC3459" s="4" t="s">
        <v>44</v>
      </c>
    </row>
    <row r="3460" spans="1:29" x14ac:dyDescent="0.25">
      <c r="A3460" s="1">
        <v>181</v>
      </c>
      <c r="B3460" s="17" t="s">
        <v>15244</v>
      </c>
      <c r="C3460" s="2" t="s">
        <v>15245</v>
      </c>
      <c r="D3460" s="15" t="s">
        <v>7702</v>
      </c>
      <c r="E3460" s="9" t="s">
        <v>503</v>
      </c>
      <c r="F3460" s="9" t="s">
        <v>504</v>
      </c>
      <c r="G3460" s="9" t="s">
        <v>3574</v>
      </c>
      <c r="H3460" s="2" t="s">
        <v>35</v>
      </c>
      <c r="I3460" s="3">
        <v>37120</v>
      </c>
      <c r="J3460" s="9" t="str">
        <f t="shared" ca="1" si="57"/>
        <v>22 ans</v>
      </c>
      <c r="K3460" s="2" t="s">
        <v>156</v>
      </c>
      <c r="L3460" s="2" t="str">
        <f>"1309"</f>
        <v>1309</v>
      </c>
      <c r="M3460" s="2"/>
      <c r="N3460" s="2" t="str">
        <f>"RUE GILLES VIGNEAULT"</f>
        <v>RUE GILLES VIGNEAULT</v>
      </c>
      <c r="O3460" s="2" t="s">
        <v>14661</v>
      </c>
      <c r="P3460" s="9" t="str">
        <f>VLOOKUP($O3460,'Liste des Villes'!$B$2:$B$1128,1,FALSE)</f>
        <v>Mirabel</v>
      </c>
      <c r="Q3460" s="9" t="str">
        <f>IFERROR($P3460,PROPER(VLOOKUP($O3460,'Villes en erreur'!$A$2:$B$72,2,FALSE)))</f>
        <v>Mirabel</v>
      </c>
      <c r="R3460" s="9" t="s">
        <v>14662</v>
      </c>
      <c r="S3460" s="9" t="str">
        <f>IF(ISBLANK($R3460),"",VLOOKUP($R3460,'Liste des Villes'!$B$2:$H$1128,4,FALSE))</f>
        <v>Laurentides</v>
      </c>
      <c r="T3460" s="2" t="s">
        <v>15246</v>
      </c>
      <c r="U3460" s="2" t="s">
        <v>39</v>
      </c>
      <c r="V3460" s="2" t="s">
        <v>40</v>
      </c>
      <c r="W3460" s="2" t="s">
        <v>15247</v>
      </c>
      <c r="X3460" s="2"/>
      <c r="Y3460" s="2"/>
      <c r="Z3460" s="2"/>
      <c r="AA3460" s="2" t="s">
        <v>375</v>
      </c>
      <c r="AB3460" s="2" t="s">
        <v>376</v>
      </c>
      <c r="AC3460" s="4" t="s">
        <v>44</v>
      </c>
    </row>
    <row r="3461" spans="1:29" x14ac:dyDescent="0.25">
      <c r="A3461" s="1">
        <v>2744</v>
      </c>
      <c r="B3461" s="17" t="s">
        <v>15248</v>
      </c>
      <c r="C3461" s="2" t="s">
        <v>6021</v>
      </c>
      <c r="D3461" s="15" t="s">
        <v>6022</v>
      </c>
      <c r="E3461" s="9" t="s">
        <v>85</v>
      </c>
      <c r="F3461" s="9" t="s">
        <v>6023</v>
      </c>
      <c r="G3461" s="9" t="s">
        <v>8161</v>
      </c>
      <c r="H3461" s="2" t="s">
        <v>60</v>
      </c>
      <c r="I3461" s="3">
        <v>37202</v>
      </c>
      <c r="J3461" s="9" t="str">
        <f t="shared" ca="1" si="57"/>
        <v>21 ans</v>
      </c>
      <c r="K3461" s="2" t="s">
        <v>262</v>
      </c>
      <c r="L3461" s="2" t="str">
        <f>"1768"</f>
        <v>1768</v>
      </c>
      <c r="M3461" s="2"/>
      <c r="N3461" s="2" t="str">
        <f>"RUE LACHAPELLE"</f>
        <v>RUE LACHAPELLE</v>
      </c>
      <c r="O3461" s="2" t="s">
        <v>14661</v>
      </c>
      <c r="P3461" s="9" t="str">
        <f>VLOOKUP($O3461,'Liste des Villes'!$B$2:$B$1128,1,FALSE)</f>
        <v>Mirabel</v>
      </c>
      <c r="Q3461" s="9" t="str">
        <f>IFERROR($P3461,PROPER(VLOOKUP($O3461,'Villes en erreur'!$A$2:$B$72,2,FALSE)))</f>
        <v>Mirabel</v>
      </c>
      <c r="R3461" s="9" t="s">
        <v>14662</v>
      </c>
      <c r="S3461" s="9" t="str">
        <f>IF(ISBLANK($R3461),"",VLOOKUP($R3461,'Liste des Villes'!$B$2:$H$1128,4,FALSE))</f>
        <v>Laurentides</v>
      </c>
      <c r="T3461" s="2" t="s">
        <v>14898</v>
      </c>
      <c r="U3461" s="2" t="s">
        <v>39</v>
      </c>
      <c r="V3461" s="2" t="s">
        <v>40</v>
      </c>
      <c r="W3461" s="2" t="s">
        <v>15249</v>
      </c>
      <c r="X3461" s="2"/>
      <c r="Y3461" s="2"/>
      <c r="Z3461" s="2"/>
      <c r="AA3461" s="2" t="s">
        <v>708</v>
      </c>
      <c r="AB3461" s="2" t="s">
        <v>14669</v>
      </c>
      <c r="AC3461" s="4" t="s">
        <v>44</v>
      </c>
    </row>
    <row r="3462" spans="1:29" x14ac:dyDescent="0.25">
      <c r="A3462" s="1">
        <v>2124</v>
      </c>
      <c r="B3462" s="17" t="s">
        <v>15250</v>
      </c>
      <c r="C3462" s="2" t="s">
        <v>15251</v>
      </c>
      <c r="D3462" s="15" t="s">
        <v>9967</v>
      </c>
      <c r="E3462" s="9" t="s">
        <v>11195</v>
      </c>
      <c r="F3462" s="9" t="s">
        <v>9966</v>
      </c>
      <c r="G3462" s="9" t="s">
        <v>2872</v>
      </c>
      <c r="H3462" s="2" t="s">
        <v>35</v>
      </c>
      <c r="I3462" s="3">
        <v>37194</v>
      </c>
      <c r="J3462" s="9" t="str">
        <f t="shared" ca="1" si="57"/>
        <v>21 ans</v>
      </c>
      <c r="K3462" s="2" t="s">
        <v>262</v>
      </c>
      <c r="L3462" s="2" t="str">
        <f>"1726"</f>
        <v>1726</v>
      </c>
      <c r="M3462" s="2"/>
      <c r="N3462" s="2" t="str">
        <f>"RUE LABELLE"</f>
        <v>RUE LABELLE</v>
      </c>
      <c r="O3462" s="2" t="s">
        <v>14661</v>
      </c>
      <c r="P3462" s="9" t="str">
        <f>VLOOKUP($O3462,'Liste des Villes'!$B$2:$B$1128,1,FALSE)</f>
        <v>Mirabel</v>
      </c>
      <c r="Q3462" s="9" t="str">
        <f>IFERROR($P3462,PROPER(VLOOKUP($O3462,'Villes en erreur'!$A$2:$B$72,2,FALSE)))</f>
        <v>Mirabel</v>
      </c>
      <c r="R3462" s="9" t="s">
        <v>14662</v>
      </c>
      <c r="S3462" s="9" t="str">
        <f>IF(ISBLANK($R3462),"",VLOOKUP($R3462,'Liste des Villes'!$B$2:$H$1128,4,FALSE))</f>
        <v>Laurentides</v>
      </c>
      <c r="T3462" s="2" t="s">
        <v>14672</v>
      </c>
      <c r="U3462" s="2" t="s">
        <v>39</v>
      </c>
      <c r="V3462" s="2" t="s">
        <v>40</v>
      </c>
      <c r="W3462" s="2" t="s">
        <v>15252</v>
      </c>
      <c r="X3462" s="2"/>
      <c r="Y3462" s="2"/>
      <c r="Z3462" s="2"/>
      <c r="AA3462" s="2" t="s">
        <v>708</v>
      </c>
      <c r="AB3462" s="2" t="s">
        <v>14669</v>
      </c>
      <c r="AC3462" s="4" t="s">
        <v>44</v>
      </c>
    </row>
    <row r="3463" spans="1:29" x14ac:dyDescent="0.25">
      <c r="A3463" s="1">
        <v>2730</v>
      </c>
      <c r="B3463" s="17" t="s">
        <v>15253</v>
      </c>
      <c r="C3463" s="2" t="s">
        <v>2186</v>
      </c>
      <c r="D3463" s="15" t="s">
        <v>2187</v>
      </c>
      <c r="E3463" s="9" t="s">
        <v>610</v>
      </c>
      <c r="F3463" s="9" t="s">
        <v>8196</v>
      </c>
      <c r="G3463" s="9" t="s">
        <v>1650</v>
      </c>
      <c r="H3463" s="2" t="s">
        <v>35</v>
      </c>
      <c r="I3463" s="3">
        <v>37126</v>
      </c>
      <c r="J3463" s="9" t="str">
        <f t="shared" ca="1" si="57"/>
        <v>22 ans</v>
      </c>
      <c r="K3463" s="2" t="s">
        <v>156</v>
      </c>
      <c r="L3463" s="2" t="str">
        <f>"1333"</f>
        <v>1333</v>
      </c>
      <c r="M3463" s="2"/>
      <c r="N3463" s="2" t="str">
        <f>"RUE GROULX"</f>
        <v>RUE GROULX</v>
      </c>
      <c r="O3463" s="2" t="s">
        <v>14661</v>
      </c>
      <c r="P3463" s="9" t="str">
        <f>VLOOKUP($O3463,'Liste des Villes'!$B$2:$B$1128,1,FALSE)</f>
        <v>Mirabel</v>
      </c>
      <c r="Q3463" s="9" t="str">
        <f>IFERROR($P3463,PROPER(VLOOKUP($O3463,'Villes en erreur'!$A$2:$B$72,2,FALSE)))</f>
        <v>Mirabel</v>
      </c>
      <c r="R3463" s="9" t="s">
        <v>14662</v>
      </c>
      <c r="S3463" s="9" t="str">
        <f>IF(ISBLANK($R3463),"",VLOOKUP($R3463,'Liste des Villes'!$B$2:$H$1128,4,FALSE))</f>
        <v>Laurentides</v>
      </c>
      <c r="T3463" s="2" t="s">
        <v>15254</v>
      </c>
      <c r="U3463" s="2" t="s">
        <v>39</v>
      </c>
      <c r="V3463" s="2" t="s">
        <v>40</v>
      </c>
      <c r="W3463" s="2" t="s">
        <v>15255</v>
      </c>
      <c r="X3463" s="2"/>
      <c r="Y3463" s="2"/>
      <c r="Z3463" s="2"/>
      <c r="AA3463" s="2" t="s">
        <v>375</v>
      </c>
      <c r="AB3463" s="2" t="s">
        <v>376</v>
      </c>
      <c r="AC3463" s="4" t="s">
        <v>44</v>
      </c>
    </row>
    <row r="3464" spans="1:29" x14ac:dyDescent="0.25">
      <c r="A3464" s="1">
        <v>3086</v>
      </c>
      <c r="B3464" s="17" t="s">
        <v>15256</v>
      </c>
      <c r="C3464" s="2" t="s">
        <v>15257</v>
      </c>
      <c r="D3464" s="15" t="s">
        <v>5874</v>
      </c>
      <c r="E3464" s="9" t="s">
        <v>622</v>
      </c>
      <c r="F3464" s="9" t="s">
        <v>2321</v>
      </c>
      <c r="G3464" s="9" t="s">
        <v>5476</v>
      </c>
      <c r="H3464" s="2" t="s">
        <v>35</v>
      </c>
      <c r="I3464" s="3">
        <v>37136</v>
      </c>
      <c r="J3464" s="9" t="str">
        <f t="shared" ca="1" si="57"/>
        <v>21 ans</v>
      </c>
      <c r="K3464" s="2" t="s">
        <v>156</v>
      </c>
      <c r="L3464" s="2" t="str">
        <f>"1373"</f>
        <v>1373</v>
      </c>
      <c r="M3464" s="2"/>
      <c r="N3464" s="2" t="str">
        <f>"RUE HENRI-PICHÉ"</f>
        <v>RUE HENRI-PICHÉ</v>
      </c>
      <c r="O3464" s="2" t="s">
        <v>14661</v>
      </c>
      <c r="P3464" s="9" t="str">
        <f>VLOOKUP($O3464,'Liste des Villes'!$B$2:$B$1128,1,FALSE)</f>
        <v>Mirabel</v>
      </c>
      <c r="Q3464" s="9" t="str">
        <f>IFERROR($P3464,PROPER(VLOOKUP($O3464,'Villes en erreur'!$A$2:$B$72,2,FALSE)))</f>
        <v>Mirabel</v>
      </c>
      <c r="R3464" s="9" t="s">
        <v>14662</v>
      </c>
      <c r="S3464" s="9" t="str">
        <f>IF(ISBLANK($R3464),"",VLOOKUP($R3464,'Liste des Villes'!$B$2:$H$1128,4,FALSE))</f>
        <v>Laurentides</v>
      </c>
      <c r="T3464" s="2" t="s">
        <v>15258</v>
      </c>
      <c r="U3464" s="2" t="s">
        <v>39</v>
      </c>
      <c r="V3464" s="2" t="s">
        <v>40</v>
      </c>
      <c r="W3464" s="2" t="s">
        <v>15259</v>
      </c>
      <c r="X3464" s="2"/>
      <c r="Y3464" s="2"/>
      <c r="Z3464" s="2"/>
      <c r="AA3464" s="2" t="s">
        <v>708</v>
      </c>
      <c r="AB3464" s="2" t="s">
        <v>376</v>
      </c>
      <c r="AC3464" s="4" t="s">
        <v>44</v>
      </c>
    </row>
    <row r="3465" spans="1:29" x14ac:dyDescent="0.25">
      <c r="A3465" s="1">
        <v>2000</v>
      </c>
      <c r="B3465" s="17" t="s">
        <v>15260</v>
      </c>
      <c r="C3465" s="2" t="s">
        <v>15261</v>
      </c>
      <c r="D3465" s="15" t="s">
        <v>100</v>
      </c>
      <c r="E3465" s="9" t="s">
        <v>8941</v>
      </c>
      <c r="F3465" s="9" t="s">
        <v>311</v>
      </c>
      <c r="G3465" s="9" t="s">
        <v>1289</v>
      </c>
      <c r="H3465" s="2" t="s">
        <v>35</v>
      </c>
      <c r="I3465" s="3">
        <v>37080</v>
      </c>
      <c r="J3465" s="9" t="str">
        <f t="shared" ca="1" si="57"/>
        <v>22 ans</v>
      </c>
      <c r="K3465" s="2" t="s">
        <v>156</v>
      </c>
      <c r="L3465" s="2" t="str">
        <f>"1160"</f>
        <v>1160</v>
      </c>
      <c r="M3465" s="2"/>
      <c r="N3465" s="2" t="str">
        <f>"RUE EVA"</f>
        <v>RUE EVA</v>
      </c>
      <c r="O3465" s="2" t="s">
        <v>14661</v>
      </c>
      <c r="P3465" s="9" t="str">
        <f>VLOOKUP($O3465,'Liste des Villes'!$B$2:$B$1128,1,FALSE)</f>
        <v>Mirabel</v>
      </c>
      <c r="Q3465" s="9" t="str">
        <f>IFERROR($P3465,PROPER(VLOOKUP($O3465,'Villes en erreur'!$A$2:$B$72,2,FALSE)))</f>
        <v>Mirabel</v>
      </c>
      <c r="R3465" s="9" t="s">
        <v>14662</v>
      </c>
      <c r="S3465" s="9" t="str">
        <f>IF(ISBLANK($R3465),"",VLOOKUP($R3465,'Liste des Villes'!$B$2:$H$1128,4,FALSE))</f>
        <v>Laurentides</v>
      </c>
      <c r="T3465" s="2" t="s">
        <v>15262</v>
      </c>
      <c r="U3465" s="2" t="s">
        <v>39</v>
      </c>
      <c r="V3465" s="2" t="s">
        <v>40</v>
      </c>
      <c r="W3465" s="2" t="s">
        <v>15263</v>
      </c>
      <c r="X3465" s="2"/>
      <c r="Y3465" s="2"/>
      <c r="Z3465" s="2"/>
      <c r="AA3465" s="2" t="s">
        <v>375</v>
      </c>
      <c r="AB3465" s="2" t="s">
        <v>376</v>
      </c>
      <c r="AC3465" s="4" t="s">
        <v>44</v>
      </c>
    </row>
    <row r="3466" spans="1:29" x14ac:dyDescent="0.25">
      <c r="A3466" s="1">
        <v>2015</v>
      </c>
      <c r="B3466" s="17" t="s">
        <v>15264</v>
      </c>
      <c r="C3466" s="2" t="s">
        <v>15265</v>
      </c>
      <c r="D3466" s="15" t="s">
        <v>15266</v>
      </c>
      <c r="E3466" s="9" t="s">
        <v>1560</v>
      </c>
      <c r="F3466" s="9" t="s">
        <v>6039</v>
      </c>
      <c r="G3466" s="9" t="s">
        <v>1924</v>
      </c>
      <c r="H3466" s="2" t="s">
        <v>35</v>
      </c>
      <c r="I3466" s="3">
        <v>37200</v>
      </c>
      <c r="J3466" s="9" t="str">
        <f t="shared" ca="1" si="57"/>
        <v>21 ans</v>
      </c>
      <c r="K3466" s="2" t="s">
        <v>262</v>
      </c>
      <c r="L3466" s="2" t="str">
        <f>"1758"</f>
        <v>1758</v>
      </c>
      <c r="M3466" s="2"/>
      <c r="N3466" s="2" t="str">
        <f>"RUE LABRÈCHE"</f>
        <v>RUE LABRÈCHE</v>
      </c>
      <c r="O3466" s="2" t="s">
        <v>14661</v>
      </c>
      <c r="P3466" s="9" t="str">
        <f>VLOOKUP($O3466,'Liste des Villes'!$B$2:$B$1128,1,FALSE)</f>
        <v>Mirabel</v>
      </c>
      <c r="Q3466" s="9" t="str">
        <f>IFERROR($P3466,PROPER(VLOOKUP($O3466,'Villes en erreur'!$A$2:$B$72,2,FALSE)))</f>
        <v>Mirabel</v>
      </c>
      <c r="R3466" s="9" t="s">
        <v>14662</v>
      </c>
      <c r="S3466" s="9" t="str">
        <f>IF(ISBLANK($R3466),"",VLOOKUP($R3466,'Liste des Villes'!$B$2:$H$1128,4,FALSE))</f>
        <v>Laurentides</v>
      </c>
      <c r="T3466" s="2" t="s">
        <v>14931</v>
      </c>
      <c r="U3466" s="2" t="s">
        <v>39</v>
      </c>
      <c r="V3466" s="2" t="s">
        <v>40</v>
      </c>
      <c r="W3466" s="2" t="s">
        <v>15267</v>
      </c>
      <c r="X3466" s="2"/>
      <c r="Y3466" s="2"/>
      <c r="Z3466" s="2"/>
      <c r="AA3466" s="2" t="s">
        <v>708</v>
      </c>
      <c r="AB3466" s="2" t="s">
        <v>14669</v>
      </c>
      <c r="AC3466" s="4" t="s">
        <v>44</v>
      </c>
    </row>
    <row r="3467" spans="1:29" x14ac:dyDescent="0.25">
      <c r="A3467" s="1">
        <v>2012</v>
      </c>
      <c r="B3467" s="17" t="s">
        <v>15268</v>
      </c>
      <c r="C3467" s="2" t="s">
        <v>15269</v>
      </c>
      <c r="D3467" s="15" t="s">
        <v>15270</v>
      </c>
      <c r="E3467" s="9" t="s">
        <v>179</v>
      </c>
      <c r="F3467" s="9" t="s">
        <v>948</v>
      </c>
      <c r="G3467" s="9" t="s">
        <v>1091</v>
      </c>
      <c r="H3467" s="2" t="s">
        <v>60</v>
      </c>
      <c r="I3467" s="3">
        <v>37211</v>
      </c>
      <c r="J3467" s="9" t="str">
        <f t="shared" ca="1" si="57"/>
        <v>21 ans</v>
      </c>
      <c r="K3467" s="2" t="s">
        <v>262</v>
      </c>
      <c r="L3467" s="2" t="str">
        <f>"1879"</f>
        <v>1879</v>
      </c>
      <c r="M3467" s="2"/>
      <c r="N3467" s="2" t="str">
        <f>"RUE LAMARQUE"</f>
        <v>RUE LAMARQUE</v>
      </c>
      <c r="O3467" s="2" t="s">
        <v>14661</v>
      </c>
      <c r="P3467" s="9" t="str">
        <f>VLOOKUP($O3467,'Liste des Villes'!$B$2:$B$1128,1,FALSE)</f>
        <v>Mirabel</v>
      </c>
      <c r="Q3467" s="9" t="str">
        <f>IFERROR($P3467,PROPER(VLOOKUP($O3467,'Villes en erreur'!$A$2:$B$72,2,FALSE)))</f>
        <v>Mirabel</v>
      </c>
      <c r="R3467" s="9" t="s">
        <v>14662</v>
      </c>
      <c r="S3467" s="9" t="str">
        <f>IF(ISBLANK($R3467),"",VLOOKUP($R3467,'Liste des Villes'!$B$2:$H$1128,4,FALSE))</f>
        <v>Laurentides</v>
      </c>
      <c r="T3467" s="2" t="s">
        <v>14667</v>
      </c>
      <c r="U3467" s="2" t="s">
        <v>39</v>
      </c>
      <c r="V3467" s="2" t="s">
        <v>40</v>
      </c>
      <c r="W3467" s="2" t="s">
        <v>14668</v>
      </c>
      <c r="X3467" s="2"/>
      <c r="Y3467" s="2"/>
      <c r="Z3467" s="2"/>
      <c r="AA3467" s="2" t="s">
        <v>708</v>
      </c>
      <c r="AB3467" s="2" t="s">
        <v>14669</v>
      </c>
      <c r="AC3467" s="4" t="s">
        <v>44</v>
      </c>
    </row>
    <row r="3468" spans="1:29" x14ac:dyDescent="0.25">
      <c r="A3468" s="1">
        <v>2615</v>
      </c>
      <c r="B3468" s="17" t="s">
        <v>15271</v>
      </c>
      <c r="C3468" s="2" t="s">
        <v>15272</v>
      </c>
      <c r="D3468" s="15" t="s">
        <v>1590</v>
      </c>
      <c r="E3468" s="9" t="s">
        <v>15273</v>
      </c>
      <c r="F3468" s="9" t="s">
        <v>1592</v>
      </c>
      <c r="G3468" s="9" t="s">
        <v>563</v>
      </c>
      <c r="H3468" s="2" t="s">
        <v>60</v>
      </c>
      <c r="I3468" s="3">
        <v>37084</v>
      </c>
      <c r="J3468" s="9" t="str">
        <f t="shared" ca="1" si="57"/>
        <v>22 ans</v>
      </c>
      <c r="K3468" s="2" t="s">
        <v>156</v>
      </c>
      <c r="L3468" s="2" t="str">
        <f>"1180"</f>
        <v>1180</v>
      </c>
      <c r="M3468" s="2"/>
      <c r="N3468" s="2" t="str">
        <f>"RUE FERNAND"</f>
        <v>RUE FERNAND</v>
      </c>
      <c r="O3468" s="2" t="s">
        <v>14661</v>
      </c>
      <c r="P3468" s="9" t="str">
        <f>VLOOKUP($O3468,'Liste des Villes'!$B$2:$B$1128,1,FALSE)</f>
        <v>Mirabel</v>
      </c>
      <c r="Q3468" s="9" t="str">
        <f>IFERROR($P3468,PROPER(VLOOKUP($O3468,'Villes en erreur'!$A$2:$B$72,2,FALSE)))</f>
        <v>Mirabel</v>
      </c>
      <c r="R3468" s="9" t="s">
        <v>14662</v>
      </c>
      <c r="S3468" s="9" t="str">
        <f>IF(ISBLANK($R3468),"",VLOOKUP($R3468,'Liste des Villes'!$B$2:$H$1128,4,FALSE))</f>
        <v>Laurentides</v>
      </c>
      <c r="T3468" s="2" t="s">
        <v>15274</v>
      </c>
      <c r="U3468" s="2" t="s">
        <v>39</v>
      </c>
      <c r="V3468" s="2" t="s">
        <v>40</v>
      </c>
      <c r="W3468" s="2" t="s">
        <v>15275</v>
      </c>
      <c r="X3468" s="2"/>
      <c r="Y3468" s="2"/>
      <c r="Z3468" s="2"/>
      <c r="AA3468" s="2" t="s">
        <v>375</v>
      </c>
      <c r="AB3468" s="2" t="s">
        <v>376</v>
      </c>
      <c r="AC3468" s="4" t="s">
        <v>44</v>
      </c>
    </row>
    <row r="3469" spans="1:29" x14ac:dyDescent="0.25">
      <c r="A3469" s="1">
        <v>3962</v>
      </c>
      <c r="B3469" s="17" t="s">
        <v>15276</v>
      </c>
      <c r="C3469" s="2" t="s">
        <v>3873</v>
      </c>
      <c r="D3469" s="15" t="s">
        <v>3874</v>
      </c>
      <c r="E3469" s="9" t="s">
        <v>899</v>
      </c>
      <c r="F3469" s="9" t="s">
        <v>3772</v>
      </c>
      <c r="G3469" s="9" t="s">
        <v>1091</v>
      </c>
      <c r="H3469" s="2" t="s">
        <v>60</v>
      </c>
      <c r="I3469" s="3">
        <v>37207</v>
      </c>
      <c r="J3469" s="9" t="str">
        <f t="shared" ca="1" si="57"/>
        <v>21 ans</v>
      </c>
      <c r="K3469" s="2" t="s">
        <v>262</v>
      </c>
      <c r="L3469" s="2" t="str">
        <f>"1800"</f>
        <v>1800</v>
      </c>
      <c r="M3469" s="2"/>
      <c r="N3469" s="2" t="str">
        <f>"RUE LAFLAMME"</f>
        <v>RUE LAFLAMME</v>
      </c>
      <c r="O3469" s="2" t="s">
        <v>14661</v>
      </c>
      <c r="P3469" s="9" t="str">
        <f>VLOOKUP($O3469,'Liste des Villes'!$B$2:$B$1128,1,FALSE)</f>
        <v>Mirabel</v>
      </c>
      <c r="Q3469" s="9" t="str">
        <f>IFERROR($P3469,PROPER(VLOOKUP($O3469,'Villes en erreur'!$A$2:$B$72,2,FALSE)))</f>
        <v>Mirabel</v>
      </c>
      <c r="R3469" s="9" t="s">
        <v>14662</v>
      </c>
      <c r="S3469" s="9" t="str">
        <f>IF(ISBLANK($R3469),"",VLOOKUP($R3469,'Liste des Villes'!$B$2:$H$1128,4,FALSE))</f>
        <v>Laurentides</v>
      </c>
      <c r="T3469" s="2" t="s">
        <v>14714</v>
      </c>
      <c r="U3469" s="2" t="s">
        <v>39</v>
      </c>
      <c r="V3469" s="2" t="s">
        <v>40</v>
      </c>
      <c r="W3469" s="2" t="s">
        <v>14715</v>
      </c>
      <c r="X3469" s="2"/>
      <c r="Y3469" s="2"/>
      <c r="Z3469" s="2"/>
      <c r="AA3469" s="2" t="s">
        <v>708</v>
      </c>
      <c r="AB3469" s="2" t="s">
        <v>14669</v>
      </c>
      <c r="AC3469" s="4" t="s">
        <v>44</v>
      </c>
    </row>
    <row r="3470" spans="1:29" x14ac:dyDescent="0.25">
      <c r="A3470" s="1">
        <v>4127</v>
      </c>
      <c r="B3470" s="17" t="s">
        <v>15277</v>
      </c>
      <c r="C3470" s="2" t="s">
        <v>2286</v>
      </c>
      <c r="D3470" s="15" t="s">
        <v>1951</v>
      </c>
      <c r="E3470" s="9" t="s">
        <v>186</v>
      </c>
      <c r="F3470" s="9" t="s">
        <v>13494</v>
      </c>
      <c r="G3470" s="9" t="s">
        <v>5629</v>
      </c>
      <c r="H3470" s="2" t="s">
        <v>60</v>
      </c>
      <c r="I3470" s="3">
        <v>37117</v>
      </c>
      <c r="J3470" s="9" t="str">
        <f t="shared" ca="1" si="57"/>
        <v>22 ans</v>
      </c>
      <c r="K3470" s="2" t="s">
        <v>156</v>
      </c>
      <c r="L3470" s="2" t="str">
        <f>"1289"</f>
        <v>1289</v>
      </c>
      <c r="M3470" s="2"/>
      <c r="N3470" s="2" t="str">
        <f>"RUE GERMAINE-GUÈVREMONT"</f>
        <v>RUE GERMAINE-GUÈVREMONT</v>
      </c>
      <c r="O3470" s="2" t="s">
        <v>14661</v>
      </c>
      <c r="P3470" s="9" t="str">
        <f>VLOOKUP($O3470,'Liste des Villes'!$B$2:$B$1128,1,FALSE)</f>
        <v>Mirabel</v>
      </c>
      <c r="Q3470" s="9" t="str">
        <f>IFERROR($P3470,PROPER(VLOOKUP($O3470,'Villes en erreur'!$A$2:$B$72,2,FALSE)))</f>
        <v>Mirabel</v>
      </c>
      <c r="R3470" s="9" t="s">
        <v>14662</v>
      </c>
      <c r="S3470" s="9" t="str">
        <f>IF(ISBLANK($R3470),"",VLOOKUP($R3470,'Liste des Villes'!$B$2:$H$1128,4,FALSE))</f>
        <v>Laurentides</v>
      </c>
      <c r="T3470" s="2" t="s">
        <v>15278</v>
      </c>
      <c r="U3470" s="2" t="s">
        <v>39</v>
      </c>
      <c r="V3470" s="2" t="s">
        <v>40</v>
      </c>
      <c r="W3470" s="2" t="s">
        <v>15279</v>
      </c>
      <c r="X3470" s="2"/>
      <c r="Y3470" s="2"/>
      <c r="Z3470" s="2"/>
      <c r="AA3470" s="2" t="s">
        <v>375</v>
      </c>
      <c r="AB3470" s="2" t="s">
        <v>376</v>
      </c>
      <c r="AC3470" s="4" t="s">
        <v>44</v>
      </c>
    </row>
    <row r="3471" spans="1:29" x14ac:dyDescent="0.25">
      <c r="A3471" s="1">
        <v>2255</v>
      </c>
      <c r="B3471" s="17" t="s">
        <v>15280</v>
      </c>
      <c r="C3471" s="2" t="s">
        <v>2290</v>
      </c>
      <c r="D3471" s="15" t="s">
        <v>2291</v>
      </c>
      <c r="E3471" s="9" t="s">
        <v>635</v>
      </c>
      <c r="F3471" s="9" t="s">
        <v>411</v>
      </c>
      <c r="G3471" s="9" t="s">
        <v>1591</v>
      </c>
      <c r="H3471" s="2" t="s">
        <v>35</v>
      </c>
      <c r="I3471" s="3">
        <v>37243</v>
      </c>
      <c r="J3471" s="9" t="str">
        <f t="shared" ca="1" si="57"/>
        <v>21 ans</v>
      </c>
      <c r="K3471" s="2" t="s">
        <v>262</v>
      </c>
      <c r="L3471" s="2" t="str">
        <f>"2072"</f>
        <v>2072</v>
      </c>
      <c r="M3471" s="2"/>
      <c r="N3471" s="2" t="str">
        <f>"RUE LEMELIN"</f>
        <v>RUE LEMELIN</v>
      </c>
      <c r="O3471" s="2" t="s">
        <v>14661</v>
      </c>
      <c r="P3471" s="9" t="str">
        <f>VLOOKUP($O3471,'Liste des Villes'!$B$2:$B$1128,1,FALSE)</f>
        <v>Mirabel</v>
      </c>
      <c r="Q3471" s="9" t="str">
        <f>IFERROR($P3471,PROPER(VLOOKUP($O3471,'Villes en erreur'!$A$2:$B$72,2,FALSE)))</f>
        <v>Mirabel</v>
      </c>
      <c r="R3471" s="9" t="s">
        <v>14662</v>
      </c>
      <c r="S3471" s="9" t="str">
        <f>IF(ISBLANK($R3471),"",VLOOKUP($R3471,'Liste des Villes'!$B$2:$H$1128,4,FALSE))</f>
        <v>Laurentides</v>
      </c>
      <c r="T3471" s="2" t="s">
        <v>15281</v>
      </c>
      <c r="U3471" s="2" t="s">
        <v>39</v>
      </c>
      <c r="V3471" s="2" t="s">
        <v>40</v>
      </c>
      <c r="W3471" s="2" t="s">
        <v>15282</v>
      </c>
      <c r="X3471" s="2"/>
      <c r="Y3471" s="2"/>
      <c r="Z3471" s="2"/>
      <c r="AA3471" s="2" t="s">
        <v>708</v>
      </c>
      <c r="AB3471" s="2" t="s">
        <v>14669</v>
      </c>
      <c r="AC3471" s="4" t="s">
        <v>44</v>
      </c>
    </row>
    <row r="3472" spans="1:29" x14ac:dyDescent="0.25">
      <c r="A3472" s="1">
        <v>3297</v>
      </c>
      <c r="B3472" s="17" t="s">
        <v>15283</v>
      </c>
      <c r="C3472" s="2" t="s">
        <v>7798</v>
      </c>
      <c r="D3472" s="15" t="s">
        <v>7799</v>
      </c>
      <c r="E3472" s="9" t="s">
        <v>985</v>
      </c>
      <c r="F3472" s="9" t="s">
        <v>5758</v>
      </c>
      <c r="G3472" s="9" t="s">
        <v>10772</v>
      </c>
      <c r="H3472" s="2" t="s">
        <v>35</v>
      </c>
      <c r="I3472" s="3">
        <v>37156</v>
      </c>
      <c r="J3472" s="9" t="str">
        <f t="shared" ca="1" si="57"/>
        <v>21 ans</v>
      </c>
      <c r="K3472" s="2" t="s">
        <v>156</v>
      </c>
      <c r="L3472" s="2" t="str">
        <f>"1485"</f>
        <v>1485</v>
      </c>
      <c r="M3472" s="2"/>
      <c r="N3472" s="2" t="str">
        <f>"RUE JACQUES-LAVIGNE"</f>
        <v>RUE JACQUES-LAVIGNE</v>
      </c>
      <c r="O3472" s="2" t="s">
        <v>14661</v>
      </c>
      <c r="P3472" s="9" t="str">
        <f>VLOOKUP($O3472,'Liste des Villes'!$B$2:$B$1128,1,FALSE)</f>
        <v>Mirabel</v>
      </c>
      <c r="Q3472" s="9" t="str">
        <f>IFERROR($P3472,PROPER(VLOOKUP($O3472,'Villes en erreur'!$A$2:$B$72,2,FALSE)))</f>
        <v>Mirabel</v>
      </c>
      <c r="R3472" s="9" t="s">
        <v>14662</v>
      </c>
      <c r="S3472" s="9" t="str">
        <f>IF(ISBLANK($R3472),"",VLOOKUP($R3472,'Liste des Villes'!$B$2:$H$1128,4,FALSE))</f>
        <v>Laurentides</v>
      </c>
      <c r="T3472" s="2" t="s">
        <v>14876</v>
      </c>
      <c r="U3472" s="2" t="s">
        <v>39</v>
      </c>
      <c r="V3472" s="2" t="s">
        <v>40</v>
      </c>
      <c r="W3472" s="2" t="s">
        <v>15284</v>
      </c>
      <c r="X3472" s="2"/>
      <c r="Y3472" s="2"/>
      <c r="Z3472" s="2"/>
      <c r="AA3472" s="2" t="s">
        <v>708</v>
      </c>
      <c r="AB3472" s="2" t="s">
        <v>376</v>
      </c>
      <c r="AC3472" s="4" t="s">
        <v>44</v>
      </c>
    </row>
    <row r="3473" spans="1:29" x14ac:dyDescent="0.25">
      <c r="A3473" s="1">
        <v>4485</v>
      </c>
      <c r="B3473" s="17" t="s">
        <v>15285</v>
      </c>
      <c r="C3473" s="2" t="s">
        <v>15286</v>
      </c>
      <c r="D3473" s="15" t="s">
        <v>2386</v>
      </c>
      <c r="E3473" s="9" t="s">
        <v>11658</v>
      </c>
      <c r="F3473" s="9" t="s">
        <v>2385</v>
      </c>
      <c r="G3473" s="9" t="s">
        <v>11770</v>
      </c>
      <c r="H3473" s="2" t="s">
        <v>60</v>
      </c>
      <c r="I3473" s="3">
        <v>37240</v>
      </c>
      <c r="J3473" s="9" t="str">
        <f t="shared" ca="1" si="57"/>
        <v>21 ans</v>
      </c>
      <c r="K3473" s="2" t="s">
        <v>262</v>
      </c>
      <c r="L3473" s="2" t="str">
        <f>"2046"</f>
        <v>2046</v>
      </c>
      <c r="M3473" s="2"/>
      <c r="N3473" s="2" t="str">
        <f>"RUE LEBLANC"</f>
        <v>RUE LEBLANC</v>
      </c>
      <c r="O3473" s="2" t="s">
        <v>14661</v>
      </c>
      <c r="P3473" s="9" t="str">
        <f>VLOOKUP($O3473,'Liste des Villes'!$B$2:$B$1128,1,FALSE)</f>
        <v>Mirabel</v>
      </c>
      <c r="Q3473" s="9" t="str">
        <f>IFERROR($P3473,PROPER(VLOOKUP($O3473,'Villes en erreur'!$A$2:$B$72,2,FALSE)))</f>
        <v>Mirabel</v>
      </c>
      <c r="R3473" s="9" t="s">
        <v>14662</v>
      </c>
      <c r="S3473" s="9" t="str">
        <f>IF(ISBLANK($R3473),"",VLOOKUP($R3473,'Liste des Villes'!$B$2:$H$1128,4,FALSE))</f>
        <v>Laurentides</v>
      </c>
      <c r="T3473" s="2" t="s">
        <v>15287</v>
      </c>
      <c r="U3473" s="2" t="s">
        <v>39</v>
      </c>
      <c r="V3473" s="2" t="s">
        <v>40</v>
      </c>
      <c r="W3473" s="2" t="s">
        <v>15288</v>
      </c>
      <c r="X3473" s="2"/>
      <c r="Y3473" s="2"/>
      <c r="Z3473" s="2"/>
      <c r="AA3473" s="2" t="s">
        <v>708</v>
      </c>
      <c r="AB3473" s="2" t="s">
        <v>14669</v>
      </c>
      <c r="AC3473" s="4" t="s">
        <v>44</v>
      </c>
    </row>
    <row r="3474" spans="1:29" x14ac:dyDescent="0.25">
      <c r="A3474" s="1">
        <v>2658</v>
      </c>
      <c r="B3474" s="17" t="s">
        <v>15289</v>
      </c>
      <c r="C3474" s="2" t="s">
        <v>15290</v>
      </c>
      <c r="D3474" s="15" t="s">
        <v>15291</v>
      </c>
      <c r="E3474" s="9" t="s">
        <v>1860</v>
      </c>
      <c r="F3474" s="9" t="s">
        <v>5100</v>
      </c>
      <c r="G3474" s="9" t="s">
        <v>9135</v>
      </c>
      <c r="H3474" s="2" t="s">
        <v>60</v>
      </c>
      <c r="I3474" s="3">
        <v>37154</v>
      </c>
      <c r="J3474" s="9" t="str">
        <f t="shared" ca="1" si="57"/>
        <v>21 ans</v>
      </c>
      <c r="K3474" s="2" t="s">
        <v>156</v>
      </c>
      <c r="L3474" s="2" t="str">
        <f>"1470"</f>
        <v>1470</v>
      </c>
      <c r="M3474" s="2"/>
      <c r="N3474" s="2" t="str">
        <f>"RUE JACQUES PLANTE"</f>
        <v>RUE JACQUES PLANTE</v>
      </c>
      <c r="O3474" s="2" t="s">
        <v>14661</v>
      </c>
      <c r="P3474" s="9" t="str">
        <f>VLOOKUP($O3474,'Liste des Villes'!$B$2:$B$1128,1,FALSE)</f>
        <v>Mirabel</v>
      </c>
      <c r="Q3474" s="9" t="str">
        <f>IFERROR($P3474,PROPER(VLOOKUP($O3474,'Villes en erreur'!$A$2:$B$72,2,FALSE)))</f>
        <v>Mirabel</v>
      </c>
      <c r="R3474" s="9" t="s">
        <v>14662</v>
      </c>
      <c r="S3474" s="9" t="str">
        <f>IF(ISBLANK($R3474),"",VLOOKUP($R3474,'Liste des Villes'!$B$2:$H$1128,4,FALSE))</f>
        <v>Laurentides</v>
      </c>
      <c r="T3474" s="2" t="s">
        <v>15292</v>
      </c>
      <c r="U3474" s="2" t="s">
        <v>39</v>
      </c>
      <c r="V3474" s="2" t="s">
        <v>40</v>
      </c>
      <c r="W3474" s="2" t="s">
        <v>15293</v>
      </c>
      <c r="X3474" s="2"/>
      <c r="Y3474" s="2"/>
      <c r="Z3474" s="2"/>
      <c r="AA3474" s="2" t="s">
        <v>708</v>
      </c>
      <c r="AB3474" s="2" t="s">
        <v>376</v>
      </c>
      <c r="AC3474" s="4" t="s">
        <v>44</v>
      </c>
    </row>
    <row r="3475" spans="1:29" x14ac:dyDescent="0.25">
      <c r="A3475" s="1">
        <v>3875</v>
      </c>
      <c r="B3475" s="17" t="s">
        <v>15294</v>
      </c>
      <c r="C3475" s="2" t="s">
        <v>1733</v>
      </c>
      <c r="D3475" s="15" t="s">
        <v>100</v>
      </c>
      <c r="E3475" s="9" t="s">
        <v>122</v>
      </c>
      <c r="F3475" s="9" t="s">
        <v>14604</v>
      </c>
      <c r="G3475" s="9" t="s">
        <v>5116</v>
      </c>
      <c r="H3475" s="2" t="s">
        <v>60</v>
      </c>
      <c r="I3475" s="3">
        <v>37123</v>
      </c>
      <c r="J3475" s="9" t="str">
        <f t="shared" ca="1" si="57"/>
        <v>22 ans</v>
      </c>
      <c r="K3475" s="2" t="s">
        <v>156</v>
      </c>
      <c r="L3475" s="2" t="str">
        <f>"1319"</f>
        <v>1319</v>
      </c>
      <c r="M3475" s="2"/>
      <c r="N3475" s="2" t="str">
        <f>"RUE GRACE"</f>
        <v>RUE GRACE</v>
      </c>
      <c r="O3475" s="2" t="s">
        <v>14661</v>
      </c>
      <c r="P3475" s="9" t="str">
        <f>VLOOKUP($O3475,'Liste des Villes'!$B$2:$B$1128,1,FALSE)</f>
        <v>Mirabel</v>
      </c>
      <c r="Q3475" s="9" t="str">
        <f>IFERROR($P3475,PROPER(VLOOKUP($O3475,'Villes en erreur'!$A$2:$B$72,2,FALSE)))</f>
        <v>Mirabel</v>
      </c>
      <c r="R3475" s="9" t="s">
        <v>14662</v>
      </c>
      <c r="S3475" s="9" t="str">
        <f>IF(ISBLANK($R3475),"",VLOOKUP($R3475,'Liste des Villes'!$B$2:$H$1128,4,FALSE))</f>
        <v>Laurentides</v>
      </c>
      <c r="T3475" s="2" t="s">
        <v>15295</v>
      </c>
      <c r="U3475" s="2" t="s">
        <v>39</v>
      </c>
      <c r="V3475" s="2" t="s">
        <v>40</v>
      </c>
      <c r="W3475" s="2" t="s">
        <v>15296</v>
      </c>
      <c r="X3475" s="2"/>
      <c r="Y3475" s="2"/>
      <c r="Z3475" s="2"/>
      <c r="AA3475" s="2" t="s">
        <v>375</v>
      </c>
      <c r="AB3475" s="2" t="s">
        <v>376</v>
      </c>
      <c r="AC3475" s="4" t="s">
        <v>44</v>
      </c>
    </row>
    <row r="3476" spans="1:29" x14ac:dyDescent="0.25">
      <c r="A3476" s="1">
        <v>1091</v>
      </c>
      <c r="B3476" s="17" t="s">
        <v>15297</v>
      </c>
      <c r="C3476" s="2" t="s">
        <v>15298</v>
      </c>
      <c r="D3476" s="15" t="s">
        <v>2447</v>
      </c>
      <c r="E3476" s="9" t="s">
        <v>3274</v>
      </c>
      <c r="F3476" s="9" t="s">
        <v>2446</v>
      </c>
      <c r="G3476" s="9" t="s">
        <v>12154</v>
      </c>
      <c r="H3476" s="2" t="s">
        <v>60</v>
      </c>
      <c r="I3476" s="3">
        <v>37110</v>
      </c>
      <c r="J3476" s="9" t="str">
        <f t="shared" ca="1" si="57"/>
        <v>22 ans</v>
      </c>
      <c r="K3476" s="2" t="s">
        <v>156</v>
      </c>
      <c r="L3476" s="2" t="str">
        <f>"1261"</f>
        <v>1261</v>
      </c>
      <c r="M3476" s="2"/>
      <c r="N3476" s="2" t="str">
        <f>"RUE GAUTHIER"</f>
        <v>RUE GAUTHIER</v>
      </c>
      <c r="O3476" s="2" t="s">
        <v>14661</v>
      </c>
      <c r="P3476" s="9" t="str">
        <f>VLOOKUP($O3476,'Liste des Villes'!$B$2:$B$1128,1,FALSE)</f>
        <v>Mirabel</v>
      </c>
      <c r="Q3476" s="9" t="str">
        <f>IFERROR($P3476,PROPER(VLOOKUP($O3476,'Villes en erreur'!$A$2:$B$72,2,FALSE)))</f>
        <v>Mirabel</v>
      </c>
      <c r="R3476" s="9" t="s">
        <v>14662</v>
      </c>
      <c r="S3476" s="9" t="str">
        <f>IF(ISBLANK($R3476),"",VLOOKUP($R3476,'Liste des Villes'!$B$2:$H$1128,4,FALSE))</f>
        <v>Laurentides</v>
      </c>
      <c r="T3476" s="2" t="s">
        <v>15299</v>
      </c>
      <c r="U3476" s="2" t="s">
        <v>39</v>
      </c>
      <c r="V3476" s="2" t="s">
        <v>40</v>
      </c>
      <c r="W3476" s="2" t="s">
        <v>15300</v>
      </c>
      <c r="X3476" s="2"/>
      <c r="Y3476" s="2"/>
      <c r="Z3476" s="2"/>
      <c r="AA3476" s="2" t="s">
        <v>375</v>
      </c>
      <c r="AB3476" s="2" t="s">
        <v>376</v>
      </c>
      <c r="AC3476" s="4" t="s">
        <v>44</v>
      </c>
    </row>
    <row r="3477" spans="1:29" x14ac:dyDescent="0.25">
      <c r="A3477" s="1">
        <v>2259</v>
      </c>
      <c r="B3477" s="17" t="s">
        <v>15301</v>
      </c>
      <c r="C3477" s="2" t="s">
        <v>15302</v>
      </c>
      <c r="D3477" s="15" t="s">
        <v>9110</v>
      </c>
      <c r="E3477" s="9" t="s">
        <v>295</v>
      </c>
      <c r="F3477" s="9" t="s">
        <v>9747</v>
      </c>
      <c r="G3477" s="9" t="s">
        <v>1695</v>
      </c>
      <c r="H3477" s="2" t="s">
        <v>60</v>
      </c>
      <c r="I3477" s="3">
        <v>37122</v>
      </c>
      <c r="J3477" s="9" t="str">
        <f t="shared" ca="1" si="57"/>
        <v>22 ans</v>
      </c>
      <c r="K3477" s="2" t="s">
        <v>156</v>
      </c>
      <c r="L3477" s="2" t="str">
        <f>"1313"</f>
        <v>1313</v>
      </c>
      <c r="M3477" s="2"/>
      <c r="N3477" s="2" t="str">
        <f>"RUE GLADU"</f>
        <v>RUE GLADU</v>
      </c>
      <c r="O3477" s="2" t="s">
        <v>14661</v>
      </c>
      <c r="P3477" s="9" t="str">
        <f>VLOOKUP($O3477,'Liste des Villes'!$B$2:$B$1128,1,FALSE)</f>
        <v>Mirabel</v>
      </c>
      <c r="Q3477" s="9" t="str">
        <f>IFERROR($P3477,PROPER(VLOOKUP($O3477,'Villes en erreur'!$A$2:$B$72,2,FALSE)))</f>
        <v>Mirabel</v>
      </c>
      <c r="R3477" s="9" t="s">
        <v>14662</v>
      </c>
      <c r="S3477" s="9" t="str">
        <f>IF(ISBLANK($R3477),"",VLOOKUP($R3477,'Liste des Villes'!$B$2:$H$1128,4,FALSE))</f>
        <v>Laurentides</v>
      </c>
      <c r="T3477" s="2" t="s">
        <v>15303</v>
      </c>
      <c r="U3477" s="2" t="s">
        <v>39</v>
      </c>
      <c r="V3477" s="2" t="s">
        <v>40</v>
      </c>
      <c r="W3477" s="2" t="s">
        <v>15304</v>
      </c>
      <c r="X3477" s="2"/>
      <c r="Y3477" s="2"/>
      <c r="Z3477" s="2"/>
      <c r="AA3477" s="2" t="s">
        <v>375</v>
      </c>
      <c r="AB3477" s="2" t="s">
        <v>376</v>
      </c>
      <c r="AC3477" s="4" t="s">
        <v>44</v>
      </c>
    </row>
    <row r="3478" spans="1:29" x14ac:dyDescent="0.25">
      <c r="A3478" s="1">
        <v>3552</v>
      </c>
      <c r="B3478" s="17" t="s">
        <v>15305</v>
      </c>
      <c r="C3478" s="2" t="s">
        <v>15306</v>
      </c>
      <c r="D3478" s="15" t="s">
        <v>12898</v>
      </c>
      <c r="E3478" s="9" t="s">
        <v>9396</v>
      </c>
      <c r="F3478" s="9" t="s">
        <v>2837</v>
      </c>
      <c r="G3478" s="9" t="s">
        <v>3700</v>
      </c>
      <c r="H3478" s="2" t="s">
        <v>60</v>
      </c>
      <c r="I3478" s="3">
        <v>37139</v>
      </c>
      <c r="J3478" s="9" t="str">
        <f t="shared" ca="1" si="57"/>
        <v>21 ans</v>
      </c>
      <c r="K3478" s="2" t="s">
        <v>156</v>
      </c>
      <c r="L3478" s="2" t="str">
        <f>"1398"</f>
        <v>1398</v>
      </c>
      <c r="M3478" s="2"/>
      <c r="N3478" s="2" t="str">
        <f>"RUE HUBERT"</f>
        <v>RUE HUBERT</v>
      </c>
      <c r="O3478" s="2" t="s">
        <v>14661</v>
      </c>
      <c r="P3478" s="9" t="str">
        <f>VLOOKUP($O3478,'Liste des Villes'!$B$2:$B$1128,1,FALSE)</f>
        <v>Mirabel</v>
      </c>
      <c r="Q3478" s="9" t="str">
        <f>IFERROR($P3478,PROPER(VLOOKUP($O3478,'Villes en erreur'!$A$2:$B$72,2,FALSE)))</f>
        <v>Mirabel</v>
      </c>
      <c r="R3478" s="9" t="s">
        <v>14662</v>
      </c>
      <c r="S3478" s="9" t="str">
        <f>IF(ISBLANK($R3478),"",VLOOKUP($R3478,'Liste des Villes'!$B$2:$H$1128,4,FALSE))</f>
        <v>Laurentides</v>
      </c>
      <c r="T3478" s="2" t="s">
        <v>15307</v>
      </c>
      <c r="U3478" s="2" t="s">
        <v>39</v>
      </c>
      <c r="V3478" s="2" t="s">
        <v>40</v>
      </c>
      <c r="W3478" s="2" t="s">
        <v>15308</v>
      </c>
      <c r="X3478" s="2"/>
      <c r="Y3478" s="2"/>
      <c r="Z3478" s="2"/>
      <c r="AA3478" s="2" t="s">
        <v>708</v>
      </c>
      <c r="AB3478" s="2" t="s">
        <v>376</v>
      </c>
      <c r="AC3478" s="4" t="s">
        <v>44</v>
      </c>
    </row>
    <row r="3479" spans="1:29" x14ac:dyDescent="0.25">
      <c r="A3479" s="1">
        <v>1328</v>
      </c>
      <c r="B3479" s="17" t="s">
        <v>15309</v>
      </c>
      <c r="C3479" s="2" t="s">
        <v>15310</v>
      </c>
      <c r="D3479" s="15" t="s">
        <v>203</v>
      </c>
      <c r="E3479" s="9" t="s">
        <v>7849</v>
      </c>
      <c r="F3479" s="9" t="s">
        <v>5404</v>
      </c>
      <c r="G3479" s="9" t="s">
        <v>325</v>
      </c>
      <c r="H3479" s="2" t="s">
        <v>35</v>
      </c>
      <c r="I3479" s="3">
        <v>37235</v>
      </c>
      <c r="J3479" s="9" t="str">
        <f t="shared" ca="1" si="57"/>
        <v>21 ans</v>
      </c>
      <c r="K3479" s="2" t="s">
        <v>262</v>
      </c>
      <c r="L3479" s="2" t="str">
        <f>"2025"</f>
        <v>2025</v>
      </c>
      <c r="M3479" s="2"/>
      <c r="N3479" s="2" t="str">
        <f>"RUE LAVIGUEUR"</f>
        <v>RUE LAVIGUEUR</v>
      </c>
      <c r="O3479" s="2" t="s">
        <v>14661</v>
      </c>
      <c r="P3479" s="9" t="str">
        <f>VLOOKUP($O3479,'Liste des Villes'!$B$2:$B$1128,1,FALSE)</f>
        <v>Mirabel</v>
      </c>
      <c r="Q3479" s="9" t="str">
        <f>IFERROR($P3479,PROPER(VLOOKUP($O3479,'Villes en erreur'!$A$2:$B$72,2,FALSE)))</f>
        <v>Mirabel</v>
      </c>
      <c r="R3479" s="9" t="s">
        <v>14662</v>
      </c>
      <c r="S3479" s="9" t="str">
        <f>IF(ISBLANK($R3479),"",VLOOKUP($R3479,'Liste des Villes'!$B$2:$H$1128,4,FALSE))</f>
        <v>Laurentides</v>
      </c>
      <c r="T3479" s="2" t="s">
        <v>15311</v>
      </c>
      <c r="U3479" s="2" t="s">
        <v>39</v>
      </c>
      <c r="V3479" s="2" t="s">
        <v>40</v>
      </c>
      <c r="W3479" s="2" t="s">
        <v>15312</v>
      </c>
      <c r="X3479" s="2"/>
      <c r="Y3479" s="2"/>
      <c r="Z3479" s="2"/>
      <c r="AA3479" s="2" t="s">
        <v>708</v>
      </c>
      <c r="AB3479" s="2" t="s">
        <v>14669</v>
      </c>
      <c r="AC3479" s="4" t="s">
        <v>44</v>
      </c>
    </row>
    <row r="3480" spans="1:29" x14ac:dyDescent="0.25">
      <c r="A3480" s="1">
        <v>2337</v>
      </c>
      <c r="B3480" s="17" t="s">
        <v>15313</v>
      </c>
      <c r="C3480" s="2" t="s">
        <v>15314</v>
      </c>
      <c r="D3480" s="15" t="s">
        <v>312</v>
      </c>
      <c r="E3480" s="9" t="s">
        <v>8713</v>
      </c>
      <c r="F3480" s="9" t="s">
        <v>311</v>
      </c>
      <c r="G3480" s="9" t="s">
        <v>1289</v>
      </c>
      <c r="H3480" s="2" t="s">
        <v>35</v>
      </c>
      <c r="I3480" s="3">
        <v>37079</v>
      </c>
      <c r="J3480" s="9" t="str">
        <f t="shared" ca="1" si="57"/>
        <v>22 ans</v>
      </c>
      <c r="K3480" s="2" t="s">
        <v>156</v>
      </c>
      <c r="L3480" s="2" t="str">
        <f>"1158"</f>
        <v>1158</v>
      </c>
      <c r="M3480" s="2"/>
      <c r="N3480" s="2" t="str">
        <f>"RUE ESTHER-BLONDIN"</f>
        <v>RUE ESTHER-BLONDIN</v>
      </c>
      <c r="O3480" s="2" t="s">
        <v>14661</v>
      </c>
      <c r="P3480" s="9" t="str">
        <f>VLOOKUP($O3480,'Liste des Villes'!$B$2:$B$1128,1,FALSE)</f>
        <v>Mirabel</v>
      </c>
      <c r="Q3480" s="9" t="str">
        <f>IFERROR($P3480,PROPER(VLOOKUP($O3480,'Villes en erreur'!$A$2:$B$72,2,FALSE)))</f>
        <v>Mirabel</v>
      </c>
      <c r="R3480" s="9" t="s">
        <v>14662</v>
      </c>
      <c r="S3480" s="9" t="str">
        <f>IF(ISBLANK($R3480),"",VLOOKUP($R3480,'Liste des Villes'!$B$2:$H$1128,4,FALSE))</f>
        <v>Laurentides</v>
      </c>
      <c r="T3480" s="2" t="s">
        <v>15232</v>
      </c>
      <c r="U3480" s="2" t="s">
        <v>39</v>
      </c>
      <c r="V3480" s="2" t="s">
        <v>40</v>
      </c>
      <c r="W3480" s="2" t="s">
        <v>15315</v>
      </c>
      <c r="X3480" s="2"/>
      <c r="Y3480" s="2"/>
      <c r="Z3480" s="2"/>
      <c r="AA3480" s="2" t="s">
        <v>375</v>
      </c>
      <c r="AB3480" s="2" t="s">
        <v>376</v>
      </c>
      <c r="AC3480" s="4" t="s">
        <v>44</v>
      </c>
    </row>
    <row r="3481" spans="1:29" x14ac:dyDescent="0.25">
      <c r="A3481" s="1">
        <v>975</v>
      </c>
      <c r="B3481" s="17" t="s">
        <v>15316</v>
      </c>
      <c r="C3481" s="2" t="s">
        <v>15317</v>
      </c>
      <c r="D3481" s="15" t="s">
        <v>1845</v>
      </c>
      <c r="E3481" s="9" t="s">
        <v>13279</v>
      </c>
      <c r="F3481" s="9" t="s">
        <v>1843</v>
      </c>
      <c r="G3481" s="9" t="s">
        <v>3240</v>
      </c>
      <c r="H3481" s="2" t="s">
        <v>60</v>
      </c>
      <c r="I3481" s="3">
        <v>37238</v>
      </c>
      <c r="J3481" s="9" t="str">
        <f t="shared" ca="1" si="57"/>
        <v>21 ans</v>
      </c>
      <c r="K3481" s="2" t="s">
        <v>262</v>
      </c>
      <c r="L3481" s="2" t="str">
        <f>"2041"</f>
        <v>2041</v>
      </c>
      <c r="M3481" s="2"/>
      <c r="N3481" s="2" t="str">
        <f>"RUE LEBEAU"</f>
        <v>RUE LEBEAU</v>
      </c>
      <c r="O3481" s="2" t="s">
        <v>14661</v>
      </c>
      <c r="P3481" s="9" t="str">
        <f>VLOOKUP($O3481,'Liste des Villes'!$B$2:$B$1128,1,FALSE)</f>
        <v>Mirabel</v>
      </c>
      <c r="Q3481" s="9" t="str">
        <f>IFERROR($P3481,PROPER(VLOOKUP($O3481,'Villes en erreur'!$A$2:$B$72,2,FALSE)))</f>
        <v>Mirabel</v>
      </c>
      <c r="R3481" s="9" t="s">
        <v>14662</v>
      </c>
      <c r="S3481" s="9" t="str">
        <f>IF(ISBLANK($R3481),"",VLOOKUP($R3481,'Liste des Villes'!$B$2:$H$1128,4,FALSE))</f>
        <v>Laurentides</v>
      </c>
      <c r="T3481" s="2" t="s">
        <v>15318</v>
      </c>
      <c r="U3481" s="2" t="s">
        <v>39</v>
      </c>
      <c r="V3481" s="2" t="s">
        <v>40</v>
      </c>
      <c r="W3481" s="2" t="s">
        <v>15319</v>
      </c>
      <c r="X3481" s="2"/>
      <c r="Y3481" s="2"/>
      <c r="Z3481" s="2"/>
      <c r="AA3481" s="2" t="s">
        <v>708</v>
      </c>
      <c r="AB3481" s="2" t="s">
        <v>14669</v>
      </c>
      <c r="AC3481" s="4" t="s">
        <v>44</v>
      </c>
    </row>
    <row r="3482" spans="1:29" x14ac:dyDescent="0.25">
      <c r="A3482" s="1">
        <v>3489</v>
      </c>
      <c r="B3482" s="17" t="s">
        <v>15320</v>
      </c>
      <c r="C3482" s="2" t="s">
        <v>46</v>
      </c>
      <c r="D3482" s="15" t="s">
        <v>47</v>
      </c>
      <c r="E3482" s="9" t="s">
        <v>48</v>
      </c>
      <c r="F3482" s="9" t="s">
        <v>49</v>
      </c>
      <c r="G3482" s="9" t="s">
        <v>4243</v>
      </c>
      <c r="H3482" s="2" t="s">
        <v>60</v>
      </c>
      <c r="I3482" s="3">
        <v>37161</v>
      </c>
      <c r="J3482" s="9" t="str">
        <f t="shared" ca="1" si="57"/>
        <v>21 ans</v>
      </c>
      <c r="K3482" s="2" t="s">
        <v>156</v>
      </c>
      <c r="L3482" s="2" t="str">
        <f>"1528"</f>
        <v>1528</v>
      </c>
      <c r="M3482" s="2"/>
      <c r="N3482" s="2" t="str">
        <f>"RUE JEAN-DE-BREBEUF"</f>
        <v>RUE JEAN-DE-BREBEUF</v>
      </c>
      <c r="O3482" s="2" t="s">
        <v>14661</v>
      </c>
      <c r="P3482" s="9" t="str">
        <f>VLOOKUP($O3482,'Liste des Villes'!$B$2:$B$1128,1,FALSE)</f>
        <v>Mirabel</v>
      </c>
      <c r="Q3482" s="9" t="str">
        <f>IFERROR($P3482,PROPER(VLOOKUP($O3482,'Villes en erreur'!$A$2:$B$72,2,FALSE)))</f>
        <v>Mirabel</v>
      </c>
      <c r="R3482" s="9" t="s">
        <v>14662</v>
      </c>
      <c r="S3482" s="9" t="str">
        <f>IF(ISBLANK($R3482),"",VLOOKUP($R3482,'Liste des Villes'!$B$2:$H$1128,4,FALSE))</f>
        <v>Laurentides</v>
      </c>
      <c r="T3482" s="2" t="s">
        <v>14663</v>
      </c>
      <c r="U3482" s="2" t="s">
        <v>39</v>
      </c>
      <c r="V3482" s="2" t="s">
        <v>40</v>
      </c>
      <c r="W3482" s="2" t="s">
        <v>15321</v>
      </c>
      <c r="X3482" s="2"/>
      <c r="Y3482" s="2"/>
      <c r="Z3482" s="2"/>
      <c r="AA3482" s="2" t="s">
        <v>708</v>
      </c>
      <c r="AB3482" s="2" t="s">
        <v>376</v>
      </c>
      <c r="AC3482" s="4" t="s">
        <v>44</v>
      </c>
    </row>
    <row r="3483" spans="1:29" x14ac:dyDescent="0.25">
      <c r="A3483" s="1">
        <v>4286</v>
      </c>
      <c r="B3483" s="17" t="s">
        <v>15322</v>
      </c>
      <c r="C3483" s="2" t="s">
        <v>15323</v>
      </c>
      <c r="D3483" s="15" t="s">
        <v>15324</v>
      </c>
      <c r="E3483" s="9" t="s">
        <v>354</v>
      </c>
      <c r="F3483" s="9" t="s">
        <v>4004</v>
      </c>
      <c r="G3483" s="9" t="s">
        <v>11195</v>
      </c>
      <c r="H3483" s="2" t="s">
        <v>60</v>
      </c>
      <c r="I3483" s="3">
        <v>37095</v>
      </c>
      <c r="J3483" s="9" t="str">
        <f t="shared" ca="1" si="57"/>
        <v>22 ans</v>
      </c>
      <c r="K3483" s="2" t="s">
        <v>156</v>
      </c>
      <c r="L3483" s="2" t="str">
        <f>"1210"</f>
        <v>1210</v>
      </c>
      <c r="M3483" s="2"/>
      <c r="N3483" s="2" t="str">
        <f>"RUE FOURNIER"</f>
        <v>RUE FOURNIER</v>
      </c>
      <c r="O3483" s="2" t="s">
        <v>14661</v>
      </c>
      <c r="P3483" s="9" t="str">
        <f>VLOOKUP($O3483,'Liste des Villes'!$B$2:$B$1128,1,FALSE)</f>
        <v>Mirabel</v>
      </c>
      <c r="Q3483" s="9" t="str">
        <f>IFERROR($P3483,PROPER(VLOOKUP($O3483,'Villes en erreur'!$A$2:$B$72,2,FALSE)))</f>
        <v>Mirabel</v>
      </c>
      <c r="R3483" s="9" t="s">
        <v>14662</v>
      </c>
      <c r="S3483" s="9" t="str">
        <f>IF(ISBLANK($R3483),"",VLOOKUP($R3483,'Liste des Villes'!$B$2:$H$1128,4,FALSE))</f>
        <v>Laurentides</v>
      </c>
      <c r="T3483" s="2" t="s">
        <v>15325</v>
      </c>
      <c r="U3483" s="2" t="s">
        <v>39</v>
      </c>
      <c r="V3483" s="2" t="s">
        <v>40</v>
      </c>
      <c r="W3483" s="2" t="s">
        <v>15326</v>
      </c>
      <c r="X3483" s="2"/>
      <c r="Y3483" s="2"/>
      <c r="Z3483" s="2"/>
      <c r="AA3483" s="2" t="s">
        <v>375</v>
      </c>
      <c r="AB3483" s="2" t="s">
        <v>376</v>
      </c>
      <c r="AC3483" s="4" t="s">
        <v>44</v>
      </c>
    </row>
    <row r="3484" spans="1:29" x14ac:dyDescent="0.25">
      <c r="A3484" s="1">
        <v>3228</v>
      </c>
      <c r="B3484" s="17" t="s">
        <v>15327</v>
      </c>
      <c r="C3484" s="2" t="s">
        <v>15328</v>
      </c>
      <c r="D3484" s="15" t="s">
        <v>7205</v>
      </c>
      <c r="E3484" s="9" t="s">
        <v>757</v>
      </c>
      <c r="F3484" s="9" t="s">
        <v>584</v>
      </c>
      <c r="G3484" s="9" t="s">
        <v>6244</v>
      </c>
      <c r="H3484" s="2" t="s">
        <v>60</v>
      </c>
      <c r="I3484" s="3">
        <v>37176</v>
      </c>
      <c r="J3484" s="9" t="str">
        <f t="shared" ca="1" si="57"/>
        <v>21 ans</v>
      </c>
      <c r="K3484" s="2" t="s">
        <v>156</v>
      </c>
      <c r="L3484" s="2" t="str">
        <f>"1636"</f>
        <v>1636</v>
      </c>
      <c r="M3484" s="2"/>
      <c r="N3484" s="2" t="str">
        <f>"RUE JOSEPH AUBIN"</f>
        <v>RUE JOSEPH AUBIN</v>
      </c>
      <c r="O3484" s="2" t="s">
        <v>14661</v>
      </c>
      <c r="P3484" s="9" t="str">
        <f>VLOOKUP($O3484,'Liste des Villes'!$B$2:$B$1128,1,FALSE)</f>
        <v>Mirabel</v>
      </c>
      <c r="Q3484" s="9" t="str">
        <f>IFERROR($P3484,PROPER(VLOOKUP($O3484,'Villes en erreur'!$A$2:$B$72,2,FALSE)))</f>
        <v>Mirabel</v>
      </c>
      <c r="R3484" s="9" t="s">
        <v>14662</v>
      </c>
      <c r="S3484" s="9" t="str">
        <f>IF(ISBLANK($R3484),"",VLOOKUP($R3484,'Liste des Villes'!$B$2:$H$1128,4,FALSE))</f>
        <v>Laurentides</v>
      </c>
      <c r="T3484" s="2" t="s">
        <v>15008</v>
      </c>
      <c r="U3484" s="2" t="s">
        <v>39</v>
      </c>
      <c r="V3484" s="2" t="s">
        <v>40</v>
      </c>
      <c r="W3484" s="2" t="s">
        <v>15329</v>
      </c>
      <c r="X3484" s="2"/>
      <c r="Y3484" s="2"/>
      <c r="Z3484" s="2"/>
      <c r="AA3484" s="2" t="s">
        <v>708</v>
      </c>
      <c r="AB3484" s="2" t="s">
        <v>14669</v>
      </c>
      <c r="AC3484" s="4" t="s">
        <v>44</v>
      </c>
    </row>
    <row r="3485" spans="1:29" x14ac:dyDescent="0.25">
      <c r="A3485" s="1">
        <v>4538</v>
      </c>
      <c r="B3485" s="17" t="s">
        <v>15330</v>
      </c>
      <c r="C3485" s="2" t="s">
        <v>3835</v>
      </c>
      <c r="D3485" s="15" t="s">
        <v>1031</v>
      </c>
      <c r="E3485" s="9" t="s">
        <v>1397</v>
      </c>
      <c r="F3485" s="9" t="s">
        <v>1030</v>
      </c>
      <c r="G3485" s="9" t="s">
        <v>860</v>
      </c>
      <c r="H3485" s="2" t="s">
        <v>60</v>
      </c>
      <c r="I3485" s="3">
        <v>37184</v>
      </c>
      <c r="J3485" s="9" t="str">
        <f t="shared" ca="1" si="57"/>
        <v>21 ans</v>
      </c>
      <c r="K3485" s="2" t="s">
        <v>262</v>
      </c>
      <c r="L3485" s="2" t="str">
        <f>"1697"</f>
        <v>1697</v>
      </c>
      <c r="M3485" s="2"/>
      <c r="N3485" s="2" t="str">
        <f>"RUE KENT"</f>
        <v>RUE KENT</v>
      </c>
      <c r="O3485" s="2" t="s">
        <v>14661</v>
      </c>
      <c r="P3485" s="9" t="str">
        <f>VLOOKUP($O3485,'Liste des Villes'!$B$2:$B$1128,1,FALSE)</f>
        <v>Mirabel</v>
      </c>
      <c r="Q3485" s="9" t="str">
        <f>IFERROR($P3485,PROPER(VLOOKUP($O3485,'Villes en erreur'!$A$2:$B$72,2,FALSE)))</f>
        <v>Mirabel</v>
      </c>
      <c r="R3485" s="9" t="s">
        <v>14662</v>
      </c>
      <c r="S3485" s="9" t="str">
        <f>IF(ISBLANK($R3485),"",VLOOKUP($R3485,'Liste des Villes'!$B$2:$H$1128,4,FALSE))</f>
        <v>Laurentides</v>
      </c>
      <c r="T3485" s="2" t="s">
        <v>14722</v>
      </c>
      <c r="U3485" s="2" t="s">
        <v>39</v>
      </c>
      <c r="V3485" s="2" t="s">
        <v>40</v>
      </c>
      <c r="W3485" s="2" t="s">
        <v>15331</v>
      </c>
      <c r="X3485" s="2"/>
      <c r="Y3485" s="2"/>
      <c r="Z3485" s="2"/>
      <c r="AA3485" s="2" t="s">
        <v>708</v>
      </c>
      <c r="AB3485" s="2" t="s">
        <v>14669</v>
      </c>
      <c r="AC3485" s="4" t="s">
        <v>44</v>
      </c>
    </row>
    <row r="3486" spans="1:29" x14ac:dyDescent="0.25">
      <c r="A3486" s="1">
        <v>2006</v>
      </c>
      <c r="B3486" s="17" t="s">
        <v>15332</v>
      </c>
      <c r="C3486" s="2" t="s">
        <v>4624</v>
      </c>
      <c r="D3486" s="15" t="s">
        <v>1070</v>
      </c>
      <c r="E3486" s="9" t="s">
        <v>1236</v>
      </c>
      <c r="F3486" s="9" t="s">
        <v>7950</v>
      </c>
      <c r="G3486" s="9" t="s">
        <v>233</v>
      </c>
      <c r="H3486" s="2" t="s">
        <v>60</v>
      </c>
      <c r="I3486" s="3">
        <v>37220</v>
      </c>
      <c r="J3486" s="9" t="str">
        <f t="shared" ca="1" si="57"/>
        <v>21 ans</v>
      </c>
      <c r="K3486" s="2" t="s">
        <v>262</v>
      </c>
      <c r="L3486" s="2" t="str">
        <f>"1934"</f>
        <v>1934</v>
      </c>
      <c r="M3486" s="2"/>
      <c r="N3486" s="2" t="str">
        <f>"RUE LARIVIÈRE"</f>
        <v>RUE LARIVIÈRE</v>
      </c>
      <c r="O3486" s="2" t="s">
        <v>14661</v>
      </c>
      <c r="P3486" s="9" t="str">
        <f>VLOOKUP($O3486,'Liste des Villes'!$B$2:$B$1128,1,FALSE)</f>
        <v>Mirabel</v>
      </c>
      <c r="Q3486" s="9" t="str">
        <f>IFERROR($P3486,PROPER(VLOOKUP($O3486,'Villes en erreur'!$A$2:$B$72,2,FALSE)))</f>
        <v>Mirabel</v>
      </c>
      <c r="R3486" s="9" t="s">
        <v>14662</v>
      </c>
      <c r="S3486" s="9" t="str">
        <f>IF(ISBLANK($R3486),"",VLOOKUP($R3486,'Liste des Villes'!$B$2:$H$1128,4,FALSE))</f>
        <v>Laurentides</v>
      </c>
      <c r="T3486" s="2" t="s">
        <v>15183</v>
      </c>
      <c r="U3486" s="2" t="s">
        <v>39</v>
      </c>
      <c r="V3486" s="2" t="s">
        <v>40</v>
      </c>
      <c r="W3486" s="2" t="s">
        <v>15333</v>
      </c>
      <c r="X3486" s="2"/>
      <c r="Y3486" s="2"/>
      <c r="Z3486" s="2"/>
      <c r="AA3486" s="2" t="s">
        <v>708</v>
      </c>
      <c r="AB3486" s="2" t="s">
        <v>14669</v>
      </c>
      <c r="AC3486" s="4" t="s">
        <v>44</v>
      </c>
    </row>
    <row r="3487" spans="1:29" x14ac:dyDescent="0.25">
      <c r="A3487" s="1">
        <v>680</v>
      </c>
      <c r="B3487" s="17" t="s">
        <v>15334</v>
      </c>
      <c r="C3487" s="2" t="s">
        <v>13162</v>
      </c>
      <c r="D3487" s="15" t="s">
        <v>4643</v>
      </c>
      <c r="E3487" s="9" t="s">
        <v>1416</v>
      </c>
      <c r="F3487" s="9" t="s">
        <v>8761</v>
      </c>
      <c r="G3487" s="9" t="s">
        <v>2036</v>
      </c>
      <c r="H3487" s="2" t="s">
        <v>60</v>
      </c>
      <c r="I3487" s="3">
        <v>37122</v>
      </c>
      <c r="J3487" s="9" t="str">
        <f t="shared" ca="1" si="57"/>
        <v>22 ans</v>
      </c>
      <c r="K3487" s="2" t="s">
        <v>156</v>
      </c>
      <c r="L3487" s="2" t="str">
        <f>"1314"</f>
        <v>1314</v>
      </c>
      <c r="M3487" s="2"/>
      <c r="N3487" s="2" t="str">
        <f>"RUE GODARD"</f>
        <v>RUE GODARD</v>
      </c>
      <c r="O3487" s="2" t="s">
        <v>14661</v>
      </c>
      <c r="P3487" s="9" t="str">
        <f>VLOOKUP($O3487,'Liste des Villes'!$B$2:$B$1128,1,FALSE)</f>
        <v>Mirabel</v>
      </c>
      <c r="Q3487" s="9" t="str">
        <f>IFERROR($P3487,PROPER(VLOOKUP($O3487,'Villes en erreur'!$A$2:$B$72,2,FALSE)))</f>
        <v>Mirabel</v>
      </c>
      <c r="R3487" s="9" t="s">
        <v>14662</v>
      </c>
      <c r="S3487" s="9" t="str">
        <f>IF(ISBLANK($R3487),"",VLOOKUP($R3487,'Liste des Villes'!$B$2:$H$1128,4,FALSE))</f>
        <v>Laurentides</v>
      </c>
      <c r="T3487" s="2" t="s">
        <v>15335</v>
      </c>
      <c r="U3487" s="2" t="s">
        <v>39</v>
      </c>
      <c r="V3487" s="2" t="s">
        <v>40</v>
      </c>
      <c r="W3487" s="2" t="s">
        <v>15336</v>
      </c>
      <c r="X3487" s="2"/>
      <c r="Y3487" s="2"/>
      <c r="Z3487" s="2"/>
      <c r="AA3487" s="2" t="s">
        <v>375</v>
      </c>
      <c r="AB3487" s="2" t="s">
        <v>376</v>
      </c>
      <c r="AC3487" s="4" t="s">
        <v>44</v>
      </c>
    </row>
    <row r="3488" spans="1:29" x14ac:dyDescent="0.25">
      <c r="A3488" s="1">
        <v>981</v>
      </c>
      <c r="B3488" s="17" t="s">
        <v>15337</v>
      </c>
      <c r="C3488" s="2" t="s">
        <v>2273</v>
      </c>
      <c r="D3488" s="15" t="s">
        <v>582</v>
      </c>
      <c r="E3488" s="9" t="s">
        <v>2274</v>
      </c>
      <c r="F3488" s="9" t="s">
        <v>2001</v>
      </c>
      <c r="G3488" s="9" t="s">
        <v>15338</v>
      </c>
      <c r="H3488" s="2" t="s">
        <v>35</v>
      </c>
      <c r="I3488" s="3">
        <v>37120</v>
      </c>
      <c r="J3488" s="9" t="str">
        <f t="shared" ca="1" si="57"/>
        <v>22 ans</v>
      </c>
      <c r="K3488" s="2" t="s">
        <v>156</v>
      </c>
      <c r="L3488" s="2" t="str">
        <f>"1305"</f>
        <v>1305</v>
      </c>
      <c r="M3488" s="2"/>
      <c r="N3488" s="2" t="str">
        <f>"RUE GILLES"</f>
        <v>RUE GILLES</v>
      </c>
      <c r="O3488" s="2" t="s">
        <v>14661</v>
      </c>
      <c r="P3488" s="9" t="str">
        <f>VLOOKUP($O3488,'Liste des Villes'!$B$2:$B$1128,1,FALSE)</f>
        <v>Mirabel</v>
      </c>
      <c r="Q3488" s="9" t="str">
        <f>IFERROR($P3488,PROPER(VLOOKUP($O3488,'Villes en erreur'!$A$2:$B$72,2,FALSE)))</f>
        <v>Mirabel</v>
      </c>
      <c r="R3488" s="9" t="s">
        <v>14662</v>
      </c>
      <c r="S3488" s="9" t="str">
        <f>IF(ISBLANK($R3488),"",VLOOKUP($R3488,'Liste des Villes'!$B$2:$H$1128,4,FALSE))</f>
        <v>Laurentides</v>
      </c>
      <c r="T3488" s="2" t="s">
        <v>15339</v>
      </c>
      <c r="U3488" s="2" t="s">
        <v>39</v>
      </c>
      <c r="V3488" s="2" t="s">
        <v>40</v>
      </c>
      <c r="W3488" s="2" t="s">
        <v>15340</v>
      </c>
      <c r="X3488" s="2"/>
      <c r="Y3488" s="2"/>
      <c r="Z3488" s="2"/>
      <c r="AA3488" s="2" t="s">
        <v>375</v>
      </c>
      <c r="AB3488" s="2" t="s">
        <v>376</v>
      </c>
      <c r="AC3488" s="4" t="s">
        <v>44</v>
      </c>
    </row>
    <row r="3489" spans="1:29" x14ac:dyDescent="0.25">
      <c r="A3489" s="1">
        <v>2164</v>
      </c>
      <c r="B3489" s="17" t="s">
        <v>15341</v>
      </c>
      <c r="C3489" s="2" t="s">
        <v>3102</v>
      </c>
      <c r="D3489" s="15" t="s">
        <v>657</v>
      </c>
      <c r="E3489" s="9" t="s">
        <v>452</v>
      </c>
      <c r="F3489" s="9" t="s">
        <v>934</v>
      </c>
      <c r="G3489" s="9" t="s">
        <v>1004</v>
      </c>
      <c r="H3489" s="2" t="s">
        <v>60</v>
      </c>
      <c r="I3489" s="3">
        <v>37104</v>
      </c>
      <c r="J3489" s="9" t="str">
        <f t="shared" ca="1" si="57"/>
        <v>22 ans</v>
      </c>
      <c r="K3489" s="2" t="s">
        <v>156</v>
      </c>
      <c r="L3489" s="2" t="str">
        <f>"1245"</f>
        <v>1245</v>
      </c>
      <c r="M3489" s="2"/>
      <c r="N3489" s="2" t="str">
        <f>"RUE GAGNIER"</f>
        <v>RUE GAGNIER</v>
      </c>
      <c r="O3489" s="2" t="s">
        <v>14661</v>
      </c>
      <c r="P3489" s="9" t="str">
        <f>VLOOKUP($O3489,'Liste des Villes'!$B$2:$B$1128,1,FALSE)</f>
        <v>Mirabel</v>
      </c>
      <c r="Q3489" s="9" t="str">
        <f>IFERROR($P3489,PROPER(VLOOKUP($O3489,'Villes en erreur'!$A$2:$B$72,2,FALSE)))</f>
        <v>Mirabel</v>
      </c>
      <c r="R3489" s="9" t="s">
        <v>14662</v>
      </c>
      <c r="S3489" s="9" t="str">
        <f>IF(ISBLANK($R3489),"",VLOOKUP($R3489,'Liste des Villes'!$B$2:$H$1128,4,FALSE))</f>
        <v>Laurentides</v>
      </c>
      <c r="T3489" s="2" t="s">
        <v>15342</v>
      </c>
      <c r="U3489" s="2" t="s">
        <v>39</v>
      </c>
      <c r="V3489" s="2" t="s">
        <v>40</v>
      </c>
      <c r="W3489" s="2" t="s">
        <v>15343</v>
      </c>
      <c r="X3489" s="2"/>
      <c r="Y3489" s="2"/>
      <c r="Z3489" s="2"/>
      <c r="AA3489" s="2" t="s">
        <v>375</v>
      </c>
      <c r="AB3489" s="2" t="s">
        <v>376</v>
      </c>
      <c r="AC3489" s="4" t="s">
        <v>44</v>
      </c>
    </row>
    <row r="3490" spans="1:29" x14ac:dyDescent="0.25">
      <c r="A3490" s="1">
        <v>2821</v>
      </c>
      <c r="B3490" s="17" t="s">
        <v>15344</v>
      </c>
      <c r="C3490" s="2" t="s">
        <v>1370</v>
      </c>
      <c r="D3490" s="15" t="s">
        <v>1092</v>
      </c>
      <c r="E3490" s="9" t="s">
        <v>92</v>
      </c>
      <c r="F3490" s="9" t="s">
        <v>1371</v>
      </c>
      <c r="G3490" s="9" t="s">
        <v>1091</v>
      </c>
      <c r="H3490" s="2" t="s">
        <v>60</v>
      </c>
      <c r="I3490" s="3">
        <v>37209</v>
      </c>
      <c r="J3490" s="9" t="str">
        <f t="shared" ca="1" si="57"/>
        <v>21 ans</v>
      </c>
      <c r="K3490" s="2" t="s">
        <v>262</v>
      </c>
      <c r="L3490" s="2" t="str">
        <f>"1836"</f>
        <v>1836</v>
      </c>
      <c r="M3490" s="2"/>
      <c r="N3490" s="2" t="str">
        <f>"RUE LAJEUNESSE"</f>
        <v>RUE LAJEUNESSE</v>
      </c>
      <c r="O3490" s="2" t="s">
        <v>14661</v>
      </c>
      <c r="P3490" s="9" t="str">
        <f>VLOOKUP($O3490,'Liste des Villes'!$B$2:$B$1128,1,FALSE)</f>
        <v>Mirabel</v>
      </c>
      <c r="Q3490" s="9" t="str">
        <f>IFERROR($P3490,PROPER(VLOOKUP($O3490,'Villes en erreur'!$A$2:$B$72,2,FALSE)))</f>
        <v>Mirabel</v>
      </c>
      <c r="R3490" s="9" t="s">
        <v>14662</v>
      </c>
      <c r="S3490" s="9" t="str">
        <f>IF(ISBLANK($R3490),"",VLOOKUP($R3490,'Liste des Villes'!$B$2:$H$1128,4,FALSE))</f>
        <v>Laurentides</v>
      </c>
      <c r="T3490" s="2" t="s">
        <v>15021</v>
      </c>
      <c r="U3490" s="2" t="s">
        <v>39</v>
      </c>
      <c r="V3490" s="2" t="s">
        <v>40</v>
      </c>
      <c r="W3490" s="2" t="s">
        <v>15345</v>
      </c>
      <c r="X3490" s="2"/>
      <c r="Y3490" s="2"/>
      <c r="Z3490" s="2"/>
      <c r="AA3490" s="2" t="s">
        <v>708</v>
      </c>
      <c r="AB3490" s="2" t="s">
        <v>14669</v>
      </c>
      <c r="AC3490" s="4" t="s">
        <v>44</v>
      </c>
    </row>
    <row r="3491" spans="1:29" x14ac:dyDescent="0.25">
      <c r="A3491" s="1">
        <v>212</v>
      </c>
      <c r="B3491" s="17" t="s">
        <v>15346</v>
      </c>
      <c r="C3491" s="2" t="s">
        <v>2047</v>
      </c>
      <c r="D3491" s="15" t="s">
        <v>2048</v>
      </c>
      <c r="E3491" s="9" t="s">
        <v>2049</v>
      </c>
      <c r="F3491" s="9" t="s">
        <v>11586</v>
      </c>
      <c r="G3491" s="9" t="s">
        <v>8582</v>
      </c>
      <c r="H3491" s="2" t="s">
        <v>60</v>
      </c>
      <c r="I3491" s="3">
        <v>37128</v>
      </c>
      <c r="J3491" s="9" t="str">
        <f t="shared" ca="1" si="57"/>
        <v>21 ans</v>
      </c>
      <c r="K3491" s="2" t="s">
        <v>156</v>
      </c>
      <c r="L3491" s="2" t="str">
        <f>"1345"</f>
        <v>1345</v>
      </c>
      <c r="M3491" s="2"/>
      <c r="N3491" s="2" t="str">
        <f>"RUE GUILLEMETTE"</f>
        <v>RUE GUILLEMETTE</v>
      </c>
      <c r="O3491" s="2" t="s">
        <v>14661</v>
      </c>
      <c r="P3491" s="9" t="str">
        <f>VLOOKUP($O3491,'Liste des Villes'!$B$2:$B$1128,1,FALSE)</f>
        <v>Mirabel</v>
      </c>
      <c r="Q3491" s="9" t="str">
        <f>IFERROR($P3491,PROPER(VLOOKUP($O3491,'Villes en erreur'!$A$2:$B$72,2,FALSE)))</f>
        <v>Mirabel</v>
      </c>
      <c r="R3491" s="9" t="s">
        <v>14662</v>
      </c>
      <c r="S3491" s="9" t="str">
        <f>IF(ISBLANK($R3491),"",VLOOKUP($R3491,'Liste des Villes'!$B$2:$H$1128,4,FALSE))</f>
        <v>Laurentides</v>
      </c>
      <c r="T3491" s="2" t="s">
        <v>15347</v>
      </c>
      <c r="U3491" s="2" t="s">
        <v>39</v>
      </c>
      <c r="V3491" s="2" t="s">
        <v>40</v>
      </c>
      <c r="W3491" s="2" t="s">
        <v>15348</v>
      </c>
      <c r="X3491" s="2"/>
      <c r="Y3491" s="2"/>
      <c r="Z3491" s="2"/>
      <c r="AA3491" s="2" t="s">
        <v>375</v>
      </c>
      <c r="AB3491" s="2" t="s">
        <v>376</v>
      </c>
      <c r="AC3491" s="4" t="s">
        <v>44</v>
      </c>
    </row>
    <row r="3492" spans="1:29" x14ac:dyDescent="0.25">
      <c r="A3492" s="1">
        <v>1058</v>
      </c>
      <c r="B3492" s="17" t="s">
        <v>15349</v>
      </c>
      <c r="C3492" s="2" t="s">
        <v>7545</v>
      </c>
      <c r="D3492" s="15" t="s">
        <v>726</v>
      </c>
      <c r="E3492" s="9" t="s">
        <v>7546</v>
      </c>
      <c r="F3492" s="9" t="s">
        <v>8781</v>
      </c>
      <c r="G3492" s="9" t="s">
        <v>325</v>
      </c>
      <c r="H3492" s="2" t="s">
        <v>35</v>
      </c>
      <c r="I3492" s="3">
        <v>37233</v>
      </c>
      <c r="J3492" s="9" t="str">
        <f t="shared" ca="1" si="57"/>
        <v>21 ans</v>
      </c>
      <c r="K3492" s="2" t="s">
        <v>262</v>
      </c>
      <c r="L3492" s="2" t="str">
        <f>"2018"</f>
        <v>2018</v>
      </c>
      <c r="M3492" s="2"/>
      <c r="N3492" s="2" t="str">
        <f>"RUE LAUZON"</f>
        <v>RUE LAUZON</v>
      </c>
      <c r="O3492" s="2" t="s">
        <v>14661</v>
      </c>
      <c r="P3492" s="9" t="str">
        <f>VLOOKUP($O3492,'Liste des Villes'!$B$2:$B$1128,1,FALSE)</f>
        <v>Mirabel</v>
      </c>
      <c r="Q3492" s="9" t="str">
        <f>IFERROR($P3492,PROPER(VLOOKUP($O3492,'Villes en erreur'!$A$2:$B$72,2,FALSE)))</f>
        <v>Mirabel</v>
      </c>
      <c r="R3492" s="9" t="s">
        <v>14662</v>
      </c>
      <c r="S3492" s="9" t="str">
        <f>IF(ISBLANK($R3492),"",VLOOKUP($R3492,'Liste des Villes'!$B$2:$H$1128,4,FALSE))</f>
        <v>Laurentides</v>
      </c>
      <c r="T3492" s="2" t="s">
        <v>15350</v>
      </c>
      <c r="U3492" s="2" t="s">
        <v>39</v>
      </c>
      <c r="V3492" s="2" t="s">
        <v>40</v>
      </c>
      <c r="W3492" s="2" t="s">
        <v>15351</v>
      </c>
      <c r="X3492" s="2"/>
      <c r="Y3492" s="2"/>
      <c r="Z3492" s="2"/>
      <c r="AA3492" s="2" t="s">
        <v>708</v>
      </c>
      <c r="AB3492" s="2" t="s">
        <v>14669</v>
      </c>
      <c r="AC3492" s="4" t="s">
        <v>44</v>
      </c>
    </row>
    <row r="3493" spans="1:29" x14ac:dyDescent="0.25">
      <c r="A3493" s="1">
        <v>3582</v>
      </c>
      <c r="B3493" s="17" t="s">
        <v>15352</v>
      </c>
      <c r="C3493" s="2" t="s">
        <v>63</v>
      </c>
      <c r="D3493" s="15" t="s">
        <v>64</v>
      </c>
      <c r="E3493" s="9" t="s">
        <v>65</v>
      </c>
      <c r="F3493" s="9" t="s">
        <v>15353</v>
      </c>
      <c r="G3493" s="9" t="s">
        <v>2217</v>
      </c>
      <c r="H3493" s="2" t="s">
        <v>60</v>
      </c>
      <c r="I3493" s="3">
        <v>37077</v>
      </c>
      <c r="J3493" s="9" t="str">
        <f t="shared" ca="1" si="57"/>
        <v>22 ans</v>
      </c>
      <c r="K3493" s="2" t="s">
        <v>156</v>
      </c>
      <c r="L3493" s="2" t="str">
        <f>"1155"</f>
        <v>1155</v>
      </c>
      <c r="M3493" s="2"/>
      <c r="N3493" s="2" t="str">
        <f>"RUE ERNEST-BOURQUE"</f>
        <v>RUE ERNEST-BOURQUE</v>
      </c>
      <c r="O3493" s="2" t="s">
        <v>14661</v>
      </c>
      <c r="P3493" s="9" t="str">
        <f>VLOOKUP($O3493,'Liste des Villes'!$B$2:$B$1128,1,FALSE)</f>
        <v>Mirabel</v>
      </c>
      <c r="Q3493" s="9" t="str">
        <f>IFERROR($P3493,PROPER(VLOOKUP($O3493,'Villes en erreur'!$A$2:$B$72,2,FALSE)))</f>
        <v>Mirabel</v>
      </c>
      <c r="R3493" s="9" t="s">
        <v>14662</v>
      </c>
      <c r="S3493" s="9" t="str">
        <f>IF(ISBLANK($R3493),"",VLOOKUP($R3493,'Liste des Villes'!$B$2:$H$1128,4,FALSE))</f>
        <v>Laurentides</v>
      </c>
      <c r="T3493" s="2" t="s">
        <v>15354</v>
      </c>
      <c r="U3493" s="2" t="s">
        <v>39</v>
      </c>
      <c r="V3493" s="2" t="s">
        <v>40</v>
      </c>
      <c r="W3493" s="2" t="s">
        <v>15355</v>
      </c>
      <c r="X3493" s="2"/>
      <c r="Y3493" s="2"/>
      <c r="Z3493" s="2"/>
      <c r="AA3493" s="2" t="s">
        <v>375</v>
      </c>
      <c r="AB3493" s="2" t="s">
        <v>376</v>
      </c>
      <c r="AC3493" s="4" t="s">
        <v>44</v>
      </c>
    </row>
    <row r="3494" spans="1:29" x14ac:dyDescent="0.25">
      <c r="A3494" s="1">
        <v>2633</v>
      </c>
      <c r="B3494" s="17" t="s">
        <v>15356</v>
      </c>
      <c r="C3494" s="2" t="s">
        <v>3738</v>
      </c>
      <c r="D3494" s="15" t="s">
        <v>3617</v>
      </c>
      <c r="E3494" s="9" t="s">
        <v>3739</v>
      </c>
      <c r="F3494" s="9" t="s">
        <v>363</v>
      </c>
      <c r="G3494" s="9" t="s">
        <v>3235</v>
      </c>
      <c r="H3494" s="2" t="s">
        <v>60</v>
      </c>
      <c r="I3494" s="3">
        <v>37142</v>
      </c>
      <c r="J3494" s="9" t="str">
        <f t="shared" ca="1" si="57"/>
        <v>21 ans</v>
      </c>
      <c r="K3494" s="2" t="s">
        <v>156</v>
      </c>
      <c r="L3494" s="2" t="str">
        <f>"1415"</f>
        <v>1415</v>
      </c>
      <c r="M3494" s="2"/>
      <c r="N3494" s="2" t="str">
        <f>"RUE HUNEAULT"</f>
        <v>RUE HUNEAULT</v>
      </c>
      <c r="O3494" s="2" t="s">
        <v>14661</v>
      </c>
      <c r="P3494" s="9" t="str">
        <f>VLOOKUP($O3494,'Liste des Villes'!$B$2:$B$1128,1,FALSE)</f>
        <v>Mirabel</v>
      </c>
      <c r="Q3494" s="9" t="str">
        <f>IFERROR($P3494,PROPER(VLOOKUP($O3494,'Villes en erreur'!$A$2:$B$72,2,FALSE)))</f>
        <v>Mirabel</v>
      </c>
      <c r="R3494" s="9" t="s">
        <v>14662</v>
      </c>
      <c r="S3494" s="9" t="str">
        <f>IF(ISBLANK($R3494),"",VLOOKUP($R3494,'Liste des Villes'!$B$2:$H$1128,4,FALSE))</f>
        <v>Laurentides</v>
      </c>
      <c r="T3494" s="2" t="s">
        <v>15357</v>
      </c>
      <c r="U3494" s="2" t="s">
        <v>39</v>
      </c>
      <c r="V3494" s="2" t="s">
        <v>40</v>
      </c>
      <c r="W3494" s="2" t="s">
        <v>15358</v>
      </c>
      <c r="X3494" s="2"/>
      <c r="Y3494" s="2"/>
      <c r="Z3494" s="2"/>
      <c r="AA3494" s="2" t="s">
        <v>708</v>
      </c>
      <c r="AB3494" s="2" t="s">
        <v>376</v>
      </c>
      <c r="AC3494" s="4" t="s">
        <v>44</v>
      </c>
    </row>
    <row r="3495" spans="1:29" x14ac:dyDescent="0.25">
      <c r="A3495" s="1">
        <v>4086</v>
      </c>
      <c r="B3495" s="17" t="s">
        <v>15359</v>
      </c>
      <c r="C3495" s="2" t="s">
        <v>6726</v>
      </c>
      <c r="D3495" s="15" t="s">
        <v>6727</v>
      </c>
      <c r="E3495" s="9" t="s">
        <v>1377</v>
      </c>
      <c r="F3495" s="9" t="s">
        <v>13898</v>
      </c>
      <c r="G3495" s="9" t="s">
        <v>325</v>
      </c>
      <c r="H3495" s="2" t="s">
        <v>35</v>
      </c>
      <c r="I3495" s="3">
        <v>37237</v>
      </c>
      <c r="J3495" s="9" t="str">
        <f t="shared" ca="1" si="57"/>
        <v>21 ans</v>
      </c>
      <c r="K3495" s="2" t="s">
        <v>262</v>
      </c>
      <c r="L3495" s="2" t="str">
        <f>"2029"</f>
        <v>2029</v>
      </c>
      <c r="M3495" s="2"/>
      <c r="N3495" s="2" t="str">
        <f>"RUE LAVIOLETTE"</f>
        <v>RUE LAVIOLETTE</v>
      </c>
      <c r="O3495" s="2" t="s">
        <v>14661</v>
      </c>
      <c r="P3495" s="9" t="str">
        <f>VLOOKUP($O3495,'Liste des Villes'!$B$2:$B$1128,1,FALSE)</f>
        <v>Mirabel</v>
      </c>
      <c r="Q3495" s="9" t="str">
        <f>IFERROR($P3495,PROPER(VLOOKUP($O3495,'Villes en erreur'!$A$2:$B$72,2,FALSE)))</f>
        <v>Mirabel</v>
      </c>
      <c r="R3495" s="9" t="s">
        <v>14662</v>
      </c>
      <c r="S3495" s="9" t="str">
        <f>IF(ISBLANK($R3495),"",VLOOKUP($R3495,'Liste des Villes'!$B$2:$H$1128,4,FALSE))</f>
        <v>Laurentides</v>
      </c>
      <c r="T3495" s="2" t="s">
        <v>15360</v>
      </c>
      <c r="U3495" s="2" t="s">
        <v>39</v>
      </c>
      <c r="V3495" s="2" t="s">
        <v>40</v>
      </c>
      <c r="W3495" s="2" t="s">
        <v>15361</v>
      </c>
      <c r="X3495" s="2"/>
      <c r="Y3495" s="2"/>
      <c r="Z3495" s="2"/>
      <c r="AA3495" s="2" t="s">
        <v>708</v>
      </c>
      <c r="AB3495" s="2" t="s">
        <v>14669</v>
      </c>
      <c r="AC3495" s="4" t="s">
        <v>44</v>
      </c>
    </row>
    <row r="3496" spans="1:29" x14ac:dyDescent="0.25">
      <c r="A3496" s="1">
        <v>4180</v>
      </c>
      <c r="B3496" s="17" t="s">
        <v>15362</v>
      </c>
      <c r="C3496" s="2" t="s">
        <v>15363</v>
      </c>
      <c r="D3496" s="15" t="s">
        <v>6612</v>
      </c>
      <c r="E3496" s="9" t="s">
        <v>2955</v>
      </c>
      <c r="F3496" s="9" t="s">
        <v>12665</v>
      </c>
      <c r="G3496" s="9" t="s">
        <v>549</v>
      </c>
      <c r="H3496" s="2" t="s">
        <v>60</v>
      </c>
      <c r="I3496" s="3">
        <v>37222</v>
      </c>
      <c r="J3496" s="9" t="str">
        <f t="shared" ca="1" si="57"/>
        <v>21 ans</v>
      </c>
      <c r="K3496" s="2" t="s">
        <v>262</v>
      </c>
      <c r="L3496" s="2" t="str">
        <f>"1945"</f>
        <v>1945</v>
      </c>
      <c r="M3496" s="2"/>
      <c r="N3496" s="2" t="str">
        <f>"RUE LAROCHE"</f>
        <v>RUE LAROCHE</v>
      </c>
      <c r="O3496" s="2" t="s">
        <v>14661</v>
      </c>
      <c r="P3496" s="9" t="str">
        <f>VLOOKUP($O3496,'Liste des Villes'!$B$2:$B$1128,1,FALSE)</f>
        <v>Mirabel</v>
      </c>
      <c r="Q3496" s="9" t="str">
        <f>IFERROR($P3496,PROPER(VLOOKUP($O3496,'Villes en erreur'!$A$2:$B$72,2,FALSE)))</f>
        <v>Mirabel</v>
      </c>
      <c r="R3496" s="9" t="s">
        <v>14662</v>
      </c>
      <c r="S3496" s="9" t="str">
        <f>IF(ISBLANK($R3496),"",VLOOKUP($R3496,'Liste des Villes'!$B$2:$H$1128,4,FALSE))</f>
        <v>Laurentides</v>
      </c>
      <c r="T3496" s="2" t="s">
        <v>15198</v>
      </c>
      <c r="U3496" s="2" t="s">
        <v>39</v>
      </c>
      <c r="V3496" s="2" t="s">
        <v>40</v>
      </c>
      <c r="W3496" s="2" t="s">
        <v>15364</v>
      </c>
      <c r="X3496" s="2"/>
      <c r="Y3496" s="2"/>
      <c r="Z3496" s="2"/>
      <c r="AA3496" s="2" t="s">
        <v>708</v>
      </c>
      <c r="AB3496" s="2" t="s">
        <v>14669</v>
      </c>
      <c r="AC3496" s="4" t="s">
        <v>44</v>
      </c>
    </row>
    <row r="3497" spans="1:29" x14ac:dyDescent="0.25">
      <c r="A3497" s="1">
        <v>2652</v>
      </c>
      <c r="B3497" s="17" t="s">
        <v>15365</v>
      </c>
      <c r="C3497" s="2" t="s">
        <v>2138</v>
      </c>
      <c r="D3497" s="15" t="s">
        <v>2139</v>
      </c>
      <c r="E3497" s="9" t="s">
        <v>2140</v>
      </c>
      <c r="F3497" s="9" t="s">
        <v>2503</v>
      </c>
      <c r="G3497" s="9" t="s">
        <v>6165</v>
      </c>
      <c r="H3497" s="2" t="s">
        <v>35</v>
      </c>
      <c r="I3497" s="3">
        <v>37112</v>
      </c>
      <c r="J3497" s="9" t="str">
        <f t="shared" ca="1" si="57"/>
        <v>22 ans</v>
      </c>
      <c r="K3497" s="2" t="s">
        <v>156</v>
      </c>
      <c r="L3497" s="2" t="str">
        <f>"1272"</f>
        <v>1272</v>
      </c>
      <c r="M3497" s="2"/>
      <c r="N3497" s="2" t="str">
        <f>"RUE GAUTHIER"</f>
        <v>RUE GAUTHIER</v>
      </c>
      <c r="O3497" s="2" t="s">
        <v>14661</v>
      </c>
      <c r="P3497" s="9" t="str">
        <f>VLOOKUP($O3497,'Liste des Villes'!$B$2:$B$1128,1,FALSE)</f>
        <v>Mirabel</v>
      </c>
      <c r="Q3497" s="9" t="str">
        <f>IFERROR($P3497,PROPER(VLOOKUP($O3497,'Villes en erreur'!$A$2:$B$72,2,FALSE)))</f>
        <v>Mirabel</v>
      </c>
      <c r="R3497" s="9" t="s">
        <v>14662</v>
      </c>
      <c r="S3497" s="9" t="str">
        <f>IF(ISBLANK($R3497),"",VLOOKUP($R3497,'Liste des Villes'!$B$2:$H$1128,4,FALSE))</f>
        <v>Laurentides</v>
      </c>
      <c r="T3497" s="2" t="s">
        <v>15366</v>
      </c>
      <c r="U3497" s="2" t="s">
        <v>39</v>
      </c>
      <c r="V3497" s="2" t="s">
        <v>40</v>
      </c>
      <c r="W3497" s="2" t="s">
        <v>15367</v>
      </c>
      <c r="X3497" s="2"/>
      <c r="Y3497" s="2"/>
      <c r="Z3497" s="2"/>
      <c r="AA3497" s="2" t="s">
        <v>375</v>
      </c>
      <c r="AB3497" s="2" t="s">
        <v>376</v>
      </c>
      <c r="AC3497" s="4" t="s">
        <v>44</v>
      </c>
    </row>
    <row r="3498" spans="1:29" x14ac:dyDescent="0.25">
      <c r="A3498" s="1">
        <v>2421</v>
      </c>
      <c r="B3498" s="17" t="s">
        <v>15368</v>
      </c>
      <c r="C3498" s="2" t="s">
        <v>15369</v>
      </c>
      <c r="D3498" s="15" t="s">
        <v>4080</v>
      </c>
      <c r="E3498" s="9" t="s">
        <v>6958</v>
      </c>
      <c r="F3498" s="9" t="s">
        <v>4079</v>
      </c>
      <c r="G3498" s="9" t="s">
        <v>3849</v>
      </c>
      <c r="H3498" s="2" t="s">
        <v>60</v>
      </c>
      <c r="I3498" s="3">
        <v>37181</v>
      </c>
      <c r="J3498" s="9" t="str">
        <f t="shared" ca="1" si="57"/>
        <v>21 ans</v>
      </c>
      <c r="K3498" s="2" t="s">
        <v>262</v>
      </c>
      <c r="L3498" s="2" t="str">
        <f>"1661"</f>
        <v>1661</v>
      </c>
      <c r="M3498" s="2"/>
      <c r="N3498" s="2" t="str">
        <f>"RUE JULIO"</f>
        <v>RUE JULIO</v>
      </c>
      <c r="O3498" s="2" t="s">
        <v>14661</v>
      </c>
      <c r="P3498" s="9" t="str">
        <f>VLOOKUP($O3498,'Liste des Villes'!$B$2:$B$1128,1,FALSE)</f>
        <v>Mirabel</v>
      </c>
      <c r="Q3498" s="9" t="str">
        <f>IFERROR($P3498,PROPER(VLOOKUP($O3498,'Villes en erreur'!$A$2:$B$72,2,FALSE)))</f>
        <v>Mirabel</v>
      </c>
      <c r="R3498" s="9" t="s">
        <v>14662</v>
      </c>
      <c r="S3498" s="9" t="str">
        <f>IF(ISBLANK($R3498),"",VLOOKUP($R3498,'Liste des Villes'!$B$2:$H$1128,4,FALSE))</f>
        <v>Laurentides</v>
      </c>
      <c r="T3498" s="2" t="s">
        <v>15370</v>
      </c>
      <c r="U3498" s="2" t="s">
        <v>39</v>
      </c>
      <c r="V3498" s="2" t="s">
        <v>40</v>
      </c>
      <c r="W3498" s="2" t="s">
        <v>15371</v>
      </c>
      <c r="X3498" s="2"/>
      <c r="Y3498" s="2"/>
      <c r="Z3498" s="2"/>
      <c r="AA3498" s="2" t="s">
        <v>708</v>
      </c>
      <c r="AB3498" s="2" t="s">
        <v>14669</v>
      </c>
      <c r="AC3498" s="4" t="s">
        <v>44</v>
      </c>
    </row>
    <row r="3499" spans="1:29" x14ac:dyDescent="0.25">
      <c r="A3499" s="1">
        <v>1434</v>
      </c>
      <c r="B3499" s="17" t="s">
        <v>15372</v>
      </c>
      <c r="C3499" s="2" t="s">
        <v>15373</v>
      </c>
      <c r="D3499" s="15" t="s">
        <v>1477</v>
      </c>
      <c r="E3499" s="9" t="s">
        <v>12267</v>
      </c>
      <c r="F3499" s="9" t="s">
        <v>1479</v>
      </c>
      <c r="G3499" s="9" t="s">
        <v>1289</v>
      </c>
      <c r="H3499" s="2" t="s">
        <v>35</v>
      </c>
      <c r="I3499" s="3">
        <v>37081</v>
      </c>
      <c r="J3499" s="9" t="str">
        <f t="shared" ca="1" si="57"/>
        <v>22 ans</v>
      </c>
      <c r="K3499" s="2" t="s">
        <v>156</v>
      </c>
      <c r="L3499" s="2" t="str">
        <f>"1168"</f>
        <v>1168</v>
      </c>
      <c r="M3499" s="2"/>
      <c r="N3499" s="2" t="str">
        <f>"RUE FÉLIX-ANTOINE-SAVARD"</f>
        <v>RUE FÉLIX-ANTOINE-SAVARD</v>
      </c>
      <c r="O3499" s="2" t="s">
        <v>14661</v>
      </c>
      <c r="P3499" s="9" t="str">
        <f>VLOOKUP($O3499,'Liste des Villes'!$B$2:$B$1128,1,FALSE)</f>
        <v>Mirabel</v>
      </c>
      <c r="Q3499" s="9" t="str">
        <f>IFERROR($P3499,PROPER(VLOOKUP($O3499,'Villes en erreur'!$A$2:$B$72,2,FALSE)))</f>
        <v>Mirabel</v>
      </c>
      <c r="R3499" s="9" t="s">
        <v>14662</v>
      </c>
      <c r="S3499" s="9" t="str">
        <f>IF(ISBLANK($R3499),"",VLOOKUP($R3499,'Liste des Villes'!$B$2:$H$1128,4,FALSE))</f>
        <v>Laurentides</v>
      </c>
      <c r="T3499" s="2" t="s">
        <v>15374</v>
      </c>
      <c r="U3499" s="2" t="s">
        <v>39</v>
      </c>
      <c r="V3499" s="2" t="s">
        <v>40</v>
      </c>
      <c r="W3499" s="2" t="s">
        <v>15375</v>
      </c>
      <c r="X3499" s="2"/>
      <c r="Y3499" s="2"/>
      <c r="Z3499" s="2"/>
      <c r="AA3499" s="2" t="s">
        <v>375</v>
      </c>
      <c r="AB3499" s="2" t="s">
        <v>376</v>
      </c>
      <c r="AC3499" s="4" t="s">
        <v>44</v>
      </c>
    </row>
    <row r="3500" spans="1:29" x14ac:dyDescent="0.25">
      <c r="A3500" s="1">
        <v>3551</v>
      </c>
      <c r="B3500" s="17" t="s">
        <v>15376</v>
      </c>
      <c r="C3500" s="2" t="s">
        <v>1370</v>
      </c>
      <c r="D3500" s="15" t="s">
        <v>1092</v>
      </c>
      <c r="E3500" s="9" t="s">
        <v>92</v>
      </c>
      <c r="F3500" s="9" t="s">
        <v>1371</v>
      </c>
      <c r="G3500" s="9" t="s">
        <v>3700</v>
      </c>
      <c r="H3500" s="2" t="s">
        <v>60</v>
      </c>
      <c r="I3500" s="3">
        <v>37141</v>
      </c>
      <c r="J3500" s="9" t="str">
        <f t="shared" ca="1" si="57"/>
        <v>21 ans</v>
      </c>
      <c r="K3500" s="2" t="s">
        <v>156</v>
      </c>
      <c r="L3500" s="2" t="str">
        <f>"1407"</f>
        <v>1407</v>
      </c>
      <c r="M3500" s="2"/>
      <c r="N3500" s="2" t="str">
        <f>"RUE HUGUES"</f>
        <v>RUE HUGUES</v>
      </c>
      <c r="O3500" s="2" t="s">
        <v>14661</v>
      </c>
      <c r="P3500" s="9" t="str">
        <f>VLOOKUP($O3500,'Liste des Villes'!$B$2:$B$1128,1,FALSE)</f>
        <v>Mirabel</v>
      </c>
      <c r="Q3500" s="9" t="str">
        <f>IFERROR($P3500,PROPER(VLOOKUP($O3500,'Villes en erreur'!$A$2:$B$72,2,FALSE)))</f>
        <v>Mirabel</v>
      </c>
      <c r="R3500" s="9" t="s">
        <v>14662</v>
      </c>
      <c r="S3500" s="9" t="str">
        <f>IF(ISBLANK($R3500),"",VLOOKUP($R3500,'Liste des Villes'!$B$2:$H$1128,4,FALSE))</f>
        <v>Laurentides</v>
      </c>
      <c r="T3500" s="2" t="s">
        <v>15377</v>
      </c>
      <c r="U3500" s="2" t="s">
        <v>39</v>
      </c>
      <c r="V3500" s="2" t="s">
        <v>40</v>
      </c>
      <c r="W3500" s="2" t="s">
        <v>15146</v>
      </c>
      <c r="X3500" s="2"/>
      <c r="Y3500" s="2"/>
      <c r="Z3500" s="2"/>
      <c r="AA3500" s="2" t="s">
        <v>708</v>
      </c>
      <c r="AB3500" s="2" t="s">
        <v>376</v>
      </c>
      <c r="AC3500" s="4" t="s">
        <v>44</v>
      </c>
    </row>
    <row r="3501" spans="1:29" x14ac:dyDescent="0.25">
      <c r="A3501" s="1">
        <v>2260</v>
      </c>
      <c r="B3501" s="17" t="s">
        <v>15378</v>
      </c>
      <c r="C3501" s="2" t="s">
        <v>15379</v>
      </c>
      <c r="D3501" s="15" t="s">
        <v>11807</v>
      </c>
      <c r="E3501" s="9" t="s">
        <v>622</v>
      </c>
      <c r="F3501" s="9" t="s">
        <v>11806</v>
      </c>
      <c r="G3501" s="9" t="s">
        <v>11150</v>
      </c>
      <c r="H3501" s="2" t="s">
        <v>60</v>
      </c>
      <c r="I3501" s="3">
        <v>37243</v>
      </c>
      <c r="J3501" s="9" t="str">
        <f t="shared" ca="1" si="57"/>
        <v>21 ans</v>
      </c>
      <c r="K3501" s="2" t="s">
        <v>262</v>
      </c>
      <c r="L3501" s="2" t="str">
        <f>"2065"</f>
        <v>2065</v>
      </c>
      <c r="M3501" s="2"/>
      <c r="N3501" s="2" t="str">
        <f>"RUE LÉGARÉ"</f>
        <v>RUE LÉGARÉ</v>
      </c>
      <c r="O3501" s="2" t="s">
        <v>14661</v>
      </c>
      <c r="P3501" s="9" t="str">
        <f>VLOOKUP($O3501,'Liste des Villes'!$B$2:$B$1128,1,FALSE)</f>
        <v>Mirabel</v>
      </c>
      <c r="Q3501" s="9" t="str">
        <f>IFERROR($P3501,PROPER(VLOOKUP($O3501,'Villes en erreur'!$A$2:$B$72,2,FALSE)))</f>
        <v>Mirabel</v>
      </c>
      <c r="R3501" s="9" t="s">
        <v>14662</v>
      </c>
      <c r="S3501" s="9" t="str">
        <f>IF(ISBLANK($R3501),"",VLOOKUP($R3501,'Liste des Villes'!$B$2:$H$1128,4,FALSE))</f>
        <v>Laurentides</v>
      </c>
      <c r="T3501" s="2" t="s">
        <v>15380</v>
      </c>
      <c r="U3501" s="2" t="s">
        <v>39</v>
      </c>
      <c r="V3501" s="2" t="s">
        <v>40</v>
      </c>
      <c r="W3501" s="2" t="s">
        <v>15381</v>
      </c>
      <c r="X3501" s="2"/>
      <c r="Y3501" s="2"/>
      <c r="Z3501" s="2"/>
      <c r="AA3501" s="2" t="s">
        <v>708</v>
      </c>
      <c r="AB3501" s="2" t="s">
        <v>14669</v>
      </c>
      <c r="AC3501" s="4" t="s">
        <v>44</v>
      </c>
    </row>
    <row r="3502" spans="1:29" x14ac:dyDescent="0.25">
      <c r="A3502" s="1">
        <v>3688</v>
      </c>
      <c r="B3502" s="17" t="s">
        <v>15382</v>
      </c>
      <c r="C3502" s="2" t="s">
        <v>15383</v>
      </c>
      <c r="D3502" s="15" t="s">
        <v>10989</v>
      </c>
      <c r="E3502" s="9" t="s">
        <v>495</v>
      </c>
      <c r="F3502" s="9" t="s">
        <v>10987</v>
      </c>
      <c r="G3502" s="9" t="s">
        <v>3849</v>
      </c>
      <c r="H3502" s="2" t="s">
        <v>60</v>
      </c>
      <c r="I3502" s="3">
        <v>37180</v>
      </c>
      <c r="J3502" s="9" t="str">
        <f t="shared" ca="1" si="57"/>
        <v>21 ans</v>
      </c>
      <c r="K3502" s="2" t="s">
        <v>262</v>
      </c>
      <c r="L3502" s="2" t="str">
        <f>"1652"</f>
        <v>1652</v>
      </c>
      <c r="M3502" s="2"/>
      <c r="N3502" s="2" t="str">
        <f>"RUE JOVETTE"</f>
        <v>RUE JOVETTE</v>
      </c>
      <c r="O3502" s="2" t="s">
        <v>14661</v>
      </c>
      <c r="P3502" s="9" t="str">
        <f>VLOOKUP($O3502,'Liste des Villes'!$B$2:$B$1128,1,FALSE)</f>
        <v>Mirabel</v>
      </c>
      <c r="Q3502" s="9" t="str">
        <f>IFERROR($P3502,PROPER(VLOOKUP($O3502,'Villes en erreur'!$A$2:$B$72,2,FALSE)))</f>
        <v>Mirabel</v>
      </c>
      <c r="R3502" s="9" t="s">
        <v>14662</v>
      </c>
      <c r="S3502" s="9" t="str">
        <f>IF(ISBLANK($R3502),"",VLOOKUP($R3502,'Liste des Villes'!$B$2:$H$1128,4,FALSE))</f>
        <v>Laurentides</v>
      </c>
      <c r="T3502" s="2" t="s">
        <v>14905</v>
      </c>
      <c r="U3502" s="2" t="s">
        <v>39</v>
      </c>
      <c r="V3502" s="2" t="s">
        <v>40</v>
      </c>
      <c r="W3502" s="2" t="s">
        <v>15384</v>
      </c>
      <c r="X3502" s="2"/>
      <c r="Y3502" s="2"/>
      <c r="Z3502" s="2"/>
      <c r="AA3502" s="2" t="s">
        <v>708</v>
      </c>
      <c r="AB3502" s="2" t="s">
        <v>14669</v>
      </c>
      <c r="AC3502" s="4" t="s">
        <v>44</v>
      </c>
    </row>
    <row r="3503" spans="1:29" x14ac:dyDescent="0.25">
      <c r="A3503" s="1">
        <v>3669</v>
      </c>
      <c r="B3503" s="17" t="s">
        <v>15385</v>
      </c>
      <c r="C3503" s="2" t="s">
        <v>7441</v>
      </c>
      <c r="D3503" s="15" t="s">
        <v>5738</v>
      </c>
      <c r="E3503" s="9" t="s">
        <v>495</v>
      </c>
      <c r="F3503" s="9" t="s">
        <v>438</v>
      </c>
      <c r="G3503" s="9" t="s">
        <v>2140</v>
      </c>
      <c r="H3503" s="2" t="s">
        <v>35</v>
      </c>
      <c r="I3503" s="3">
        <v>37227</v>
      </c>
      <c r="J3503" s="9" t="str">
        <f t="shared" ca="1" si="57"/>
        <v>21 ans</v>
      </c>
      <c r="K3503" s="2" t="s">
        <v>262</v>
      </c>
      <c r="L3503" s="2" t="str">
        <f>"1981"</f>
        <v>1981</v>
      </c>
      <c r="M3503" s="2"/>
      <c r="N3503" s="2" t="str">
        <f>"RUE LAURIER"</f>
        <v>RUE LAURIER</v>
      </c>
      <c r="O3503" s="2" t="s">
        <v>14661</v>
      </c>
      <c r="P3503" s="9" t="str">
        <f>VLOOKUP($O3503,'Liste des Villes'!$B$2:$B$1128,1,FALSE)</f>
        <v>Mirabel</v>
      </c>
      <c r="Q3503" s="9" t="str">
        <f>IFERROR($P3503,PROPER(VLOOKUP($O3503,'Villes en erreur'!$A$2:$B$72,2,FALSE)))</f>
        <v>Mirabel</v>
      </c>
      <c r="R3503" s="9" t="s">
        <v>14662</v>
      </c>
      <c r="S3503" s="9" t="str">
        <f>IF(ISBLANK($R3503),"",VLOOKUP($R3503,'Liste des Villes'!$B$2:$H$1128,4,FALSE))</f>
        <v>Laurentides</v>
      </c>
      <c r="T3503" s="2" t="s">
        <v>15386</v>
      </c>
      <c r="U3503" s="2" t="s">
        <v>39</v>
      </c>
      <c r="V3503" s="2" t="s">
        <v>40</v>
      </c>
      <c r="W3503" s="2" t="s">
        <v>15387</v>
      </c>
      <c r="X3503" s="2"/>
      <c r="Y3503" s="2"/>
      <c r="Z3503" s="2"/>
      <c r="AA3503" s="2" t="s">
        <v>708</v>
      </c>
      <c r="AB3503" s="2" t="s">
        <v>14669</v>
      </c>
      <c r="AC3503" s="4" t="s">
        <v>44</v>
      </c>
    </row>
    <row r="3504" spans="1:29" x14ac:dyDescent="0.25">
      <c r="A3504" s="1">
        <v>1552</v>
      </c>
      <c r="B3504" s="17" t="s">
        <v>15388</v>
      </c>
      <c r="C3504" s="2" t="s">
        <v>2354</v>
      </c>
      <c r="D3504" s="15" t="s">
        <v>582</v>
      </c>
      <c r="E3504" s="9" t="s">
        <v>2355</v>
      </c>
      <c r="F3504" s="9" t="s">
        <v>2001</v>
      </c>
      <c r="G3504" s="9" t="s">
        <v>13466</v>
      </c>
      <c r="H3504" s="2" t="s">
        <v>60</v>
      </c>
      <c r="I3504" s="3">
        <v>37159</v>
      </c>
      <c r="J3504" s="9" t="str">
        <f t="shared" ca="1" si="57"/>
        <v>21 ans</v>
      </c>
      <c r="K3504" s="2" t="s">
        <v>156</v>
      </c>
      <c r="L3504" s="2" t="str">
        <f>"1501"</f>
        <v>1501</v>
      </c>
      <c r="M3504" s="2"/>
      <c r="N3504" s="2" t="str">
        <f>"RUE JEAN MARC DANSRO"</f>
        <v>RUE JEAN MARC DANSRO</v>
      </c>
      <c r="O3504" s="2" t="s">
        <v>14661</v>
      </c>
      <c r="P3504" s="9" t="str">
        <f>VLOOKUP($O3504,'Liste des Villes'!$B$2:$B$1128,1,FALSE)</f>
        <v>Mirabel</v>
      </c>
      <c r="Q3504" s="9" t="str">
        <f>IFERROR($P3504,PROPER(VLOOKUP($O3504,'Villes en erreur'!$A$2:$B$72,2,FALSE)))</f>
        <v>Mirabel</v>
      </c>
      <c r="R3504" s="9" t="s">
        <v>14662</v>
      </c>
      <c r="S3504" s="9" t="str">
        <f>IF(ISBLANK($R3504),"",VLOOKUP($R3504,'Liste des Villes'!$B$2:$H$1128,4,FALSE))</f>
        <v>Laurentides</v>
      </c>
      <c r="T3504" s="2" t="s">
        <v>15389</v>
      </c>
      <c r="U3504" s="2" t="s">
        <v>39</v>
      </c>
      <c r="V3504" s="2" t="s">
        <v>40</v>
      </c>
      <c r="W3504" s="2" t="s">
        <v>15390</v>
      </c>
      <c r="X3504" s="2"/>
      <c r="Y3504" s="2"/>
      <c r="Z3504" s="2"/>
      <c r="AA3504" s="2" t="s">
        <v>708</v>
      </c>
      <c r="AB3504" s="2" t="s">
        <v>376</v>
      </c>
      <c r="AC3504" s="4" t="s">
        <v>44</v>
      </c>
    </row>
    <row r="3505" spans="1:29" x14ac:dyDescent="0.25">
      <c r="A3505" s="1">
        <v>614</v>
      </c>
      <c r="B3505" s="17" t="s">
        <v>15391</v>
      </c>
      <c r="C3505" s="2" t="s">
        <v>9541</v>
      </c>
      <c r="D3505" s="15" t="s">
        <v>2910</v>
      </c>
      <c r="E3505" s="9" t="s">
        <v>929</v>
      </c>
      <c r="F3505" s="9" t="s">
        <v>2909</v>
      </c>
      <c r="G3505" s="9" t="s">
        <v>7794</v>
      </c>
      <c r="H3505" s="2" t="s">
        <v>60</v>
      </c>
      <c r="I3505" s="3">
        <v>37240</v>
      </c>
      <c r="J3505" s="9" t="str">
        <f t="shared" ca="1" si="57"/>
        <v>21 ans</v>
      </c>
      <c r="K3505" s="2" t="s">
        <v>262</v>
      </c>
      <c r="L3505" s="2" t="str">
        <f>"2047"</f>
        <v>2047</v>
      </c>
      <c r="M3505" s="2"/>
      <c r="N3505" s="2" t="str">
        <f>"RUE LEBLANC"</f>
        <v>RUE LEBLANC</v>
      </c>
      <c r="O3505" s="2" t="s">
        <v>14661</v>
      </c>
      <c r="P3505" s="9" t="str">
        <f>VLOOKUP($O3505,'Liste des Villes'!$B$2:$B$1128,1,FALSE)</f>
        <v>Mirabel</v>
      </c>
      <c r="Q3505" s="9" t="str">
        <f>IFERROR($P3505,PROPER(VLOOKUP($O3505,'Villes en erreur'!$A$2:$B$72,2,FALSE)))</f>
        <v>Mirabel</v>
      </c>
      <c r="R3505" s="9" t="s">
        <v>14662</v>
      </c>
      <c r="S3505" s="9" t="str">
        <f>IF(ISBLANK($R3505),"",VLOOKUP($R3505,'Liste des Villes'!$B$2:$H$1128,4,FALSE))</f>
        <v>Laurentides</v>
      </c>
      <c r="T3505" s="2" t="s">
        <v>15392</v>
      </c>
      <c r="U3505" s="2" t="s">
        <v>39</v>
      </c>
      <c r="V3505" s="2" t="s">
        <v>40</v>
      </c>
      <c r="W3505" s="2" t="s">
        <v>15393</v>
      </c>
      <c r="X3505" s="2"/>
      <c r="Y3505" s="2"/>
      <c r="Z3505" s="2"/>
      <c r="AA3505" s="2" t="s">
        <v>708</v>
      </c>
      <c r="AB3505" s="2" t="s">
        <v>14669</v>
      </c>
      <c r="AC3505" s="4" t="s">
        <v>44</v>
      </c>
    </row>
    <row r="3506" spans="1:29" x14ac:dyDescent="0.25">
      <c r="A3506" s="1">
        <v>889</v>
      </c>
      <c r="B3506" s="17" t="s">
        <v>15394</v>
      </c>
      <c r="C3506" s="2" t="s">
        <v>15395</v>
      </c>
      <c r="D3506" s="15" t="s">
        <v>15396</v>
      </c>
      <c r="E3506" s="9" t="s">
        <v>2897</v>
      </c>
      <c r="F3506" s="9" t="s">
        <v>2898</v>
      </c>
      <c r="G3506" s="9" t="s">
        <v>2281</v>
      </c>
      <c r="H3506" s="2" t="s">
        <v>60</v>
      </c>
      <c r="I3506" s="3">
        <v>37099</v>
      </c>
      <c r="J3506" s="9" t="str">
        <f t="shared" ca="1" si="57"/>
        <v>22 ans</v>
      </c>
      <c r="K3506" s="2" t="s">
        <v>156</v>
      </c>
      <c r="L3506" s="2" t="str">
        <f>"1232"</f>
        <v>1232</v>
      </c>
      <c r="M3506" s="2"/>
      <c r="N3506" s="2" t="str">
        <f>"RUE FRANÇINE"</f>
        <v>RUE FRANÇINE</v>
      </c>
      <c r="O3506" s="2" t="s">
        <v>14661</v>
      </c>
      <c r="P3506" s="9" t="str">
        <f>VLOOKUP($O3506,'Liste des Villes'!$B$2:$B$1128,1,FALSE)</f>
        <v>Mirabel</v>
      </c>
      <c r="Q3506" s="9" t="str">
        <f>IFERROR($P3506,PROPER(VLOOKUP($O3506,'Villes en erreur'!$A$2:$B$72,2,FALSE)))</f>
        <v>Mirabel</v>
      </c>
      <c r="R3506" s="9" t="s">
        <v>14662</v>
      </c>
      <c r="S3506" s="9" t="str">
        <f>IF(ISBLANK($R3506),"",VLOOKUP($R3506,'Liste des Villes'!$B$2:$H$1128,4,FALSE))</f>
        <v>Laurentides</v>
      </c>
      <c r="T3506" s="2" t="s">
        <v>15073</v>
      </c>
      <c r="U3506" s="2" t="s">
        <v>39</v>
      </c>
      <c r="V3506" s="2" t="s">
        <v>40</v>
      </c>
      <c r="W3506" s="2" t="s">
        <v>15397</v>
      </c>
      <c r="X3506" s="2"/>
      <c r="Y3506" s="2"/>
      <c r="Z3506" s="2"/>
      <c r="AA3506" s="2" t="s">
        <v>375</v>
      </c>
      <c r="AB3506" s="2" t="s">
        <v>376</v>
      </c>
      <c r="AC3506" s="4" t="s">
        <v>44</v>
      </c>
    </row>
    <row r="3507" spans="1:29" x14ac:dyDescent="0.25">
      <c r="A3507" s="1">
        <v>4131</v>
      </c>
      <c r="B3507" s="17" t="s">
        <v>15398</v>
      </c>
      <c r="C3507" s="2" t="s">
        <v>4035</v>
      </c>
      <c r="D3507" s="15" t="s">
        <v>4036</v>
      </c>
      <c r="E3507" s="9" t="s">
        <v>610</v>
      </c>
      <c r="F3507" s="9" t="s">
        <v>9887</v>
      </c>
      <c r="G3507" s="9" t="s">
        <v>1004</v>
      </c>
      <c r="H3507" s="2" t="s">
        <v>60</v>
      </c>
      <c r="I3507" s="3">
        <v>37107</v>
      </c>
      <c r="J3507" s="9" t="str">
        <f t="shared" ca="1" si="57"/>
        <v>22 ans</v>
      </c>
      <c r="K3507" s="2" t="s">
        <v>156</v>
      </c>
      <c r="L3507" s="2" t="str">
        <f>"1250"</f>
        <v>1250</v>
      </c>
      <c r="M3507" s="2"/>
      <c r="N3507" s="2" t="str">
        <f>"RUE GAMBLE"</f>
        <v>RUE GAMBLE</v>
      </c>
      <c r="O3507" s="2" t="s">
        <v>14661</v>
      </c>
      <c r="P3507" s="9" t="str">
        <f>VLOOKUP($O3507,'Liste des Villes'!$B$2:$B$1128,1,FALSE)</f>
        <v>Mirabel</v>
      </c>
      <c r="Q3507" s="9" t="str">
        <f>IFERROR($P3507,PROPER(VLOOKUP($O3507,'Villes en erreur'!$A$2:$B$72,2,FALSE)))</f>
        <v>Mirabel</v>
      </c>
      <c r="R3507" s="9" t="s">
        <v>14662</v>
      </c>
      <c r="S3507" s="9" t="str">
        <f>IF(ISBLANK($R3507),"",VLOOKUP($R3507,'Liste des Villes'!$B$2:$H$1128,4,FALSE))</f>
        <v>Laurentides</v>
      </c>
      <c r="T3507" s="2" t="s">
        <v>15399</v>
      </c>
      <c r="U3507" s="2" t="s">
        <v>39</v>
      </c>
      <c r="V3507" s="2" t="s">
        <v>40</v>
      </c>
      <c r="W3507" s="2" t="s">
        <v>15400</v>
      </c>
      <c r="X3507" s="2"/>
      <c r="Y3507" s="2"/>
      <c r="Z3507" s="2"/>
      <c r="AA3507" s="2" t="s">
        <v>375</v>
      </c>
      <c r="AB3507" s="2" t="s">
        <v>376</v>
      </c>
      <c r="AC3507" s="4" t="s">
        <v>44</v>
      </c>
    </row>
    <row r="3508" spans="1:29" x14ac:dyDescent="0.25">
      <c r="A3508" s="1">
        <v>3851</v>
      </c>
      <c r="B3508" s="17" t="s">
        <v>15401</v>
      </c>
      <c r="C3508" s="2" t="s">
        <v>2445</v>
      </c>
      <c r="D3508" s="15" t="s">
        <v>2446</v>
      </c>
      <c r="E3508" s="9" t="s">
        <v>698</v>
      </c>
      <c r="F3508" s="9" t="s">
        <v>3418</v>
      </c>
      <c r="G3508" s="9" t="s">
        <v>1702</v>
      </c>
      <c r="H3508" s="2" t="s">
        <v>35</v>
      </c>
      <c r="I3508" s="3">
        <v>37153</v>
      </c>
      <c r="J3508" s="9" t="str">
        <f t="shared" ca="1" si="57"/>
        <v>21 ans</v>
      </c>
      <c r="K3508" s="2" t="s">
        <v>156</v>
      </c>
      <c r="L3508" s="2" t="str">
        <f>"1464"</f>
        <v>1464</v>
      </c>
      <c r="M3508" s="2"/>
      <c r="N3508" s="2" t="str">
        <f>"RUE JACQUES"</f>
        <v>RUE JACQUES</v>
      </c>
      <c r="O3508" s="2" t="s">
        <v>14661</v>
      </c>
      <c r="P3508" s="9" t="str">
        <f>VLOOKUP($O3508,'Liste des Villes'!$B$2:$B$1128,1,FALSE)</f>
        <v>Mirabel</v>
      </c>
      <c r="Q3508" s="9" t="str">
        <f>IFERROR($P3508,PROPER(VLOOKUP($O3508,'Villes en erreur'!$A$2:$B$72,2,FALSE)))</f>
        <v>Mirabel</v>
      </c>
      <c r="R3508" s="9" t="s">
        <v>14662</v>
      </c>
      <c r="S3508" s="9" t="str">
        <f>IF(ISBLANK($R3508),"",VLOOKUP($R3508,'Liste des Villes'!$B$2:$H$1128,4,FALSE))</f>
        <v>Laurentides</v>
      </c>
      <c r="T3508" s="2" t="s">
        <v>15402</v>
      </c>
      <c r="U3508" s="2" t="s">
        <v>39</v>
      </c>
      <c r="V3508" s="2" t="s">
        <v>40</v>
      </c>
      <c r="W3508" s="2" t="s">
        <v>15403</v>
      </c>
      <c r="X3508" s="2"/>
      <c r="Y3508" s="2"/>
      <c r="Z3508" s="2"/>
      <c r="AA3508" s="2" t="s">
        <v>708</v>
      </c>
      <c r="AB3508" s="2" t="s">
        <v>376</v>
      </c>
      <c r="AC3508" s="4" t="s">
        <v>44</v>
      </c>
    </row>
    <row r="3509" spans="1:29" x14ac:dyDescent="0.25">
      <c r="A3509" s="1">
        <v>1110</v>
      </c>
      <c r="B3509" s="17" t="s">
        <v>15404</v>
      </c>
      <c r="C3509" s="2" t="s">
        <v>15405</v>
      </c>
      <c r="D3509" s="15" t="s">
        <v>3431</v>
      </c>
      <c r="E3509" s="9" t="s">
        <v>15406</v>
      </c>
      <c r="F3509" s="9" t="s">
        <v>10344</v>
      </c>
      <c r="G3509" s="9" t="s">
        <v>743</v>
      </c>
      <c r="H3509" s="2" t="s">
        <v>60</v>
      </c>
      <c r="I3509" s="3">
        <v>37171</v>
      </c>
      <c r="J3509" s="9" t="str">
        <f t="shared" ca="1" si="57"/>
        <v>21 ans</v>
      </c>
      <c r="K3509" s="2" t="s">
        <v>156</v>
      </c>
      <c r="L3509" s="2" t="str">
        <f>"1588"</f>
        <v>1588</v>
      </c>
      <c r="M3509" s="2"/>
      <c r="N3509" s="2" t="str">
        <f>"RUE JOHN-TAPP"</f>
        <v>RUE JOHN-TAPP</v>
      </c>
      <c r="O3509" s="2" t="s">
        <v>14661</v>
      </c>
      <c r="P3509" s="9" t="str">
        <f>VLOOKUP($O3509,'Liste des Villes'!$B$2:$B$1128,1,FALSE)</f>
        <v>Mirabel</v>
      </c>
      <c r="Q3509" s="9" t="str">
        <f>IFERROR($P3509,PROPER(VLOOKUP($O3509,'Villes en erreur'!$A$2:$B$72,2,FALSE)))</f>
        <v>Mirabel</v>
      </c>
      <c r="R3509" s="9" t="s">
        <v>14662</v>
      </c>
      <c r="S3509" s="9" t="str">
        <f>IF(ISBLANK($R3509),"",VLOOKUP($R3509,'Liste des Villes'!$B$2:$H$1128,4,FALSE))</f>
        <v>Laurentides</v>
      </c>
      <c r="T3509" s="2" t="s">
        <v>15407</v>
      </c>
      <c r="U3509" s="2" t="s">
        <v>39</v>
      </c>
      <c r="V3509" s="2" t="s">
        <v>40</v>
      </c>
      <c r="W3509" s="2" t="s">
        <v>15408</v>
      </c>
      <c r="X3509" s="2"/>
      <c r="Y3509" s="2"/>
      <c r="Z3509" s="2"/>
      <c r="AA3509" s="2" t="s">
        <v>708</v>
      </c>
      <c r="AB3509" s="2" t="s">
        <v>14669</v>
      </c>
      <c r="AC3509" s="4" t="s">
        <v>44</v>
      </c>
    </row>
    <row r="3510" spans="1:29" x14ac:dyDescent="0.25">
      <c r="A3510" s="1">
        <v>2173</v>
      </c>
      <c r="B3510" s="17" t="s">
        <v>15409</v>
      </c>
      <c r="C3510" s="2" t="s">
        <v>1896</v>
      </c>
      <c r="D3510" s="15" t="s">
        <v>1897</v>
      </c>
      <c r="E3510" s="9" t="s">
        <v>1898</v>
      </c>
      <c r="F3510" s="9" t="s">
        <v>14203</v>
      </c>
      <c r="G3510" s="9" t="s">
        <v>5476</v>
      </c>
      <c r="H3510" s="2" t="s">
        <v>35</v>
      </c>
      <c r="I3510" s="3">
        <v>37134</v>
      </c>
      <c r="J3510" s="9" t="str">
        <f t="shared" ca="1" si="57"/>
        <v>21 ans</v>
      </c>
      <c r="K3510" s="2" t="s">
        <v>156</v>
      </c>
      <c r="L3510" s="2" t="str">
        <f>"1365"</f>
        <v>1365</v>
      </c>
      <c r="M3510" s="2"/>
      <c r="N3510" s="2" t="str">
        <f>"RUE HENRI-BLAQUIÈRE"</f>
        <v>RUE HENRI-BLAQUIÈRE</v>
      </c>
      <c r="O3510" s="2" t="s">
        <v>14661</v>
      </c>
      <c r="P3510" s="9" t="str">
        <f>VLOOKUP($O3510,'Liste des Villes'!$B$2:$B$1128,1,FALSE)</f>
        <v>Mirabel</v>
      </c>
      <c r="Q3510" s="9" t="str">
        <f>IFERROR($P3510,PROPER(VLOOKUP($O3510,'Villes en erreur'!$A$2:$B$72,2,FALSE)))</f>
        <v>Mirabel</v>
      </c>
      <c r="R3510" s="9" t="s">
        <v>14662</v>
      </c>
      <c r="S3510" s="9" t="str">
        <f>IF(ISBLANK($R3510),"",VLOOKUP($R3510,'Liste des Villes'!$B$2:$H$1128,4,FALSE))</f>
        <v>Laurentides</v>
      </c>
      <c r="T3510" s="2" t="s">
        <v>15410</v>
      </c>
      <c r="U3510" s="2" t="s">
        <v>39</v>
      </c>
      <c r="V3510" s="2" t="s">
        <v>40</v>
      </c>
      <c r="W3510" s="2" t="s">
        <v>15411</v>
      </c>
      <c r="X3510" s="2"/>
      <c r="Y3510" s="2"/>
      <c r="Z3510" s="2"/>
      <c r="AA3510" s="2" t="s">
        <v>15412</v>
      </c>
      <c r="AB3510" s="2" t="s">
        <v>376</v>
      </c>
      <c r="AC3510" s="4" t="s">
        <v>44</v>
      </c>
    </row>
    <row r="3511" spans="1:29" x14ac:dyDescent="0.25">
      <c r="A3511" s="1">
        <v>651</v>
      </c>
      <c r="B3511" s="17" t="s">
        <v>15413</v>
      </c>
      <c r="C3511" s="2" t="s">
        <v>15414</v>
      </c>
      <c r="D3511" s="15" t="s">
        <v>3646</v>
      </c>
      <c r="E3511" s="9" t="s">
        <v>8776</v>
      </c>
      <c r="F3511" s="9" t="s">
        <v>11946</v>
      </c>
      <c r="G3511" s="9" t="s">
        <v>15415</v>
      </c>
      <c r="H3511" s="2" t="s">
        <v>60</v>
      </c>
      <c r="I3511" s="3">
        <v>37179</v>
      </c>
      <c r="J3511" s="9" t="str">
        <f t="shared" ca="1" si="57"/>
        <v>21 ans</v>
      </c>
      <c r="K3511" s="2" t="s">
        <v>156</v>
      </c>
      <c r="L3511" s="2" t="str">
        <f>"1645"</f>
        <v>1645</v>
      </c>
      <c r="M3511" s="2"/>
      <c r="N3511" s="2" t="str">
        <f>"RUE JOSEPH-FORTIER"</f>
        <v>RUE JOSEPH-FORTIER</v>
      </c>
      <c r="O3511" s="2" t="s">
        <v>14661</v>
      </c>
      <c r="P3511" s="9" t="str">
        <f>VLOOKUP($O3511,'Liste des Villes'!$B$2:$B$1128,1,FALSE)</f>
        <v>Mirabel</v>
      </c>
      <c r="Q3511" s="9" t="str">
        <f>IFERROR($P3511,PROPER(VLOOKUP($O3511,'Villes en erreur'!$A$2:$B$72,2,FALSE)))</f>
        <v>Mirabel</v>
      </c>
      <c r="R3511" s="9" t="s">
        <v>14662</v>
      </c>
      <c r="S3511" s="9" t="str">
        <f>IF(ISBLANK($R3511),"",VLOOKUP($R3511,'Liste des Villes'!$B$2:$H$1128,4,FALSE))</f>
        <v>Laurentides</v>
      </c>
      <c r="T3511" s="2" t="s">
        <v>15416</v>
      </c>
      <c r="U3511" s="2" t="s">
        <v>39</v>
      </c>
      <c r="V3511" s="2" t="s">
        <v>40</v>
      </c>
      <c r="W3511" s="2" t="s">
        <v>15417</v>
      </c>
      <c r="X3511" s="2"/>
      <c r="Y3511" s="2"/>
      <c r="Z3511" s="2"/>
      <c r="AA3511" s="2" t="s">
        <v>708</v>
      </c>
      <c r="AB3511" s="2" t="s">
        <v>14669</v>
      </c>
      <c r="AC3511" s="4" t="s">
        <v>44</v>
      </c>
    </row>
    <row r="3512" spans="1:29" x14ac:dyDescent="0.25">
      <c r="A3512" s="1">
        <v>4185</v>
      </c>
      <c r="B3512" s="17" t="s">
        <v>15418</v>
      </c>
      <c r="C3512" s="2" t="s">
        <v>5329</v>
      </c>
      <c r="D3512" s="15" t="s">
        <v>180</v>
      </c>
      <c r="E3512" s="9" t="s">
        <v>3626</v>
      </c>
      <c r="F3512" s="9" t="s">
        <v>178</v>
      </c>
      <c r="G3512" s="9" t="s">
        <v>4243</v>
      </c>
      <c r="H3512" s="2" t="s">
        <v>60</v>
      </c>
      <c r="I3512" s="3">
        <v>37165</v>
      </c>
      <c r="J3512" s="9" t="str">
        <f t="shared" ca="1" si="57"/>
        <v>21 ans</v>
      </c>
      <c r="K3512" s="2" t="s">
        <v>156</v>
      </c>
      <c r="L3512" s="2" t="str">
        <f>"1543"</f>
        <v>1543</v>
      </c>
      <c r="M3512" s="2"/>
      <c r="N3512" s="2" t="str">
        <f>"RUE JEAN-FRANÇOIS-RÉGIS"</f>
        <v>RUE JEAN-FRANÇOIS-RÉGIS</v>
      </c>
      <c r="O3512" s="2" t="s">
        <v>14661</v>
      </c>
      <c r="P3512" s="9" t="str">
        <f>VLOOKUP($O3512,'Liste des Villes'!$B$2:$B$1128,1,FALSE)</f>
        <v>Mirabel</v>
      </c>
      <c r="Q3512" s="9" t="str">
        <f>IFERROR($P3512,PROPER(VLOOKUP($O3512,'Villes en erreur'!$A$2:$B$72,2,FALSE)))</f>
        <v>Mirabel</v>
      </c>
      <c r="R3512" s="9" t="s">
        <v>14662</v>
      </c>
      <c r="S3512" s="9" t="str">
        <f>IF(ISBLANK($R3512),"",VLOOKUP($R3512,'Liste des Villes'!$B$2:$H$1128,4,FALSE))</f>
        <v>Laurentides</v>
      </c>
      <c r="T3512" s="2" t="s">
        <v>15419</v>
      </c>
      <c r="U3512" s="2" t="s">
        <v>39</v>
      </c>
      <c r="V3512" s="2" t="s">
        <v>40</v>
      </c>
      <c r="W3512" s="2" t="s">
        <v>15420</v>
      </c>
      <c r="X3512" s="2"/>
      <c r="Y3512" s="2"/>
      <c r="Z3512" s="2"/>
      <c r="AA3512" s="2" t="s">
        <v>708</v>
      </c>
      <c r="AB3512" s="2" t="s">
        <v>376</v>
      </c>
      <c r="AC3512" s="4" t="s">
        <v>44</v>
      </c>
    </row>
    <row r="3513" spans="1:29" x14ac:dyDescent="0.25">
      <c r="A3513" s="1">
        <v>1636</v>
      </c>
      <c r="B3513" s="17" t="s">
        <v>15421</v>
      </c>
      <c r="C3513" s="2" t="s">
        <v>7596</v>
      </c>
      <c r="D3513" s="15" t="s">
        <v>7597</v>
      </c>
      <c r="E3513" s="9" t="s">
        <v>5798</v>
      </c>
      <c r="F3513" s="9" t="s">
        <v>7598</v>
      </c>
      <c r="G3513" s="9" t="s">
        <v>1176</v>
      </c>
      <c r="H3513" s="2" t="s">
        <v>60</v>
      </c>
      <c r="I3513" s="3">
        <v>37190</v>
      </c>
      <c r="J3513" s="9" t="str">
        <f t="shared" ca="1" si="57"/>
        <v>21 ans</v>
      </c>
      <c r="K3513" s="2" t="s">
        <v>262</v>
      </c>
      <c r="L3513" s="2" t="str">
        <f>"1713"</f>
        <v>1713</v>
      </c>
      <c r="M3513" s="2"/>
      <c r="N3513" s="2" t="str">
        <f>"RUE LA ROCHELLE"</f>
        <v>RUE LA ROCHELLE</v>
      </c>
      <c r="O3513" s="2" t="s">
        <v>14662</v>
      </c>
      <c r="P3513" s="9" t="str">
        <f>VLOOKUP($O3513,'Liste des Villes'!$B$2:$B$1128,1,FALSE)</f>
        <v>Mirabel</v>
      </c>
      <c r="Q3513" s="9" t="str">
        <f>IFERROR($P3513,PROPER(VLOOKUP($O3513,'Villes en erreur'!$A$2:$B$72,2,FALSE)))</f>
        <v>Mirabel</v>
      </c>
      <c r="R3513" s="9" t="s">
        <v>14662</v>
      </c>
      <c r="S3513" s="9" t="str">
        <f>IF(ISBLANK($R3513),"",VLOOKUP($R3513,'Liste des Villes'!$B$2:$H$1128,4,FALSE))</f>
        <v>Laurentides</v>
      </c>
      <c r="T3513" s="2" t="s">
        <v>14901</v>
      </c>
      <c r="U3513" s="2" t="s">
        <v>39</v>
      </c>
      <c r="V3513" s="2" t="s">
        <v>40</v>
      </c>
      <c r="W3513" s="2" t="s">
        <v>15422</v>
      </c>
      <c r="X3513" s="2"/>
      <c r="Y3513" s="2"/>
      <c r="Z3513" s="2"/>
      <c r="AA3513" s="2" t="s">
        <v>708</v>
      </c>
      <c r="AB3513" s="2" t="s">
        <v>14669</v>
      </c>
      <c r="AC3513" s="4" t="s">
        <v>44</v>
      </c>
    </row>
    <row r="3514" spans="1:29" x14ac:dyDescent="0.25">
      <c r="A3514" s="1">
        <v>196</v>
      </c>
      <c r="B3514" s="17" t="s">
        <v>15423</v>
      </c>
      <c r="C3514" s="2" t="s">
        <v>15424</v>
      </c>
      <c r="D3514" s="15" t="s">
        <v>11505</v>
      </c>
      <c r="E3514" s="9" t="s">
        <v>14348</v>
      </c>
      <c r="F3514" s="9" t="s">
        <v>3772</v>
      </c>
      <c r="G3514" s="9" t="s">
        <v>11938</v>
      </c>
      <c r="H3514" s="2" t="s">
        <v>60</v>
      </c>
      <c r="I3514" s="3">
        <v>37098</v>
      </c>
      <c r="J3514" s="9" t="str">
        <f t="shared" ca="1" si="57"/>
        <v>22 ans</v>
      </c>
      <c r="K3514" s="2" t="s">
        <v>156</v>
      </c>
      <c r="L3514" s="2" t="str">
        <f>"1231"</f>
        <v>1231</v>
      </c>
      <c r="M3514" s="2"/>
      <c r="N3514" s="2" t="str">
        <f>"RUE FRANCINE"</f>
        <v>RUE FRANCINE</v>
      </c>
      <c r="O3514" s="2" t="s">
        <v>14661</v>
      </c>
      <c r="P3514" s="9" t="str">
        <f>VLOOKUP($O3514,'Liste des Villes'!$B$2:$B$1128,1,FALSE)</f>
        <v>Mirabel</v>
      </c>
      <c r="Q3514" s="9" t="str">
        <f>IFERROR($P3514,PROPER(VLOOKUP($O3514,'Villes en erreur'!$A$2:$B$72,2,FALSE)))</f>
        <v>Mirabel</v>
      </c>
      <c r="R3514" s="9" t="s">
        <v>14662</v>
      </c>
      <c r="S3514" s="9" t="str">
        <f>IF(ISBLANK($R3514),"",VLOOKUP($R3514,'Liste des Villes'!$B$2:$H$1128,4,FALSE))</f>
        <v>Laurentides</v>
      </c>
      <c r="T3514" s="2" t="s">
        <v>15425</v>
      </c>
      <c r="U3514" s="2" t="s">
        <v>39</v>
      </c>
      <c r="V3514" s="2" t="s">
        <v>40</v>
      </c>
      <c r="W3514" s="2" t="s">
        <v>15426</v>
      </c>
      <c r="X3514" s="2"/>
      <c r="Y3514" s="2"/>
      <c r="Z3514" s="2"/>
      <c r="AA3514" s="2" t="s">
        <v>375</v>
      </c>
      <c r="AB3514" s="2" t="s">
        <v>376</v>
      </c>
      <c r="AC3514" s="4" t="s">
        <v>44</v>
      </c>
    </row>
    <row r="3515" spans="1:29" x14ac:dyDescent="0.25">
      <c r="A3515" s="1">
        <v>4273</v>
      </c>
      <c r="B3515" s="17" t="s">
        <v>15427</v>
      </c>
      <c r="C3515" s="2" t="s">
        <v>15428</v>
      </c>
      <c r="D3515" s="15" t="s">
        <v>14256</v>
      </c>
      <c r="E3515" s="9" t="s">
        <v>1879</v>
      </c>
      <c r="F3515" s="9" t="s">
        <v>982</v>
      </c>
      <c r="G3515" s="9" t="s">
        <v>13431</v>
      </c>
      <c r="H3515" s="2" t="s">
        <v>35</v>
      </c>
      <c r="I3515" s="3">
        <v>37131</v>
      </c>
      <c r="J3515" s="9" t="str">
        <f t="shared" ca="1" si="57"/>
        <v>21 ans</v>
      </c>
      <c r="K3515" s="2" t="s">
        <v>156</v>
      </c>
      <c r="L3515" s="2" t="str">
        <f>"1359"</f>
        <v>1359</v>
      </c>
      <c r="M3515" s="2"/>
      <c r="N3515" s="2" t="str">
        <f>"RUE HAZLETT-HICKS"</f>
        <v>RUE HAZLETT-HICKS</v>
      </c>
      <c r="O3515" s="2" t="s">
        <v>14661</v>
      </c>
      <c r="P3515" s="9" t="str">
        <f>VLOOKUP($O3515,'Liste des Villes'!$B$2:$B$1128,1,FALSE)</f>
        <v>Mirabel</v>
      </c>
      <c r="Q3515" s="9" t="str">
        <f>IFERROR($P3515,PROPER(VLOOKUP($O3515,'Villes en erreur'!$A$2:$B$72,2,FALSE)))</f>
        <v>Mirabel</v>
      </c>
      <c r="R3515" s="9" t="s">
        <v>14662</v>
      </c>
      <c r="S3515" s="9" t="str">
        <f>IF(ISBLANK($R3515),"",VLOOKUP($R3515,'Liste des Villes'!$B$2:$H$1128,4,FALSE))</f>
        <v>Laurentides</v>
      </c>
      <c r="T3515" s="2" t="s">
        <v>15429</v>
      </c>
      <c r="U3515" s="2" t="s">
        <v>39</v>
      </c>
      <c r="V3515" s="2" t="s">
        <v>40</v>
      </c>
      <c r="W3515" s="2" t="s">
        <v>15430</v>
      </c>
      <c r="X3515" s="2"/>
      <c r="Y3515" s="2"/>
      <c r="Z3515" s="2"/>
      <c r="AA3515" s="2" t="s">
        <v>375</v>
      </c>
      <c r="AB3515" s="2" t="s">
        <v>376</v>
      </c>
      <c r="AC3515" s="4" t="s">
        <v>44</v>
      </c>
    </row>
    <row r="3516" spans="1:29" x14ac:dyDescent="0.25">
      <c r="A3516" s="1">
        <v>1080</v>
      </c>
      <c r="B3516" s="17" t="s">
        <v>15431</v>
      </c>
      <c r="C3516" s="2" t="s">
        <v>2009</v>
      </c>
      <c r="D3516" s="15" t="s">
        <v>1076</v>
      </c>
      <c r="E3516" s="9" t="s">
        <v>332</v>
      </c>
      <c r="F3516" s="9" t="s">
        <v>2010</v>
      </c>
      <c r="G3516" s="9" t="s">
        <v>868</v>
      </c>
      <c r="H3516" s="2" t="s">
        <v>60</v>
      </c>
      <c r="I3516" s="3">
        <v>37168</v>
      </c>
      <c r="J3516" s="9" t="str">
        <f t="shared" ca="1" si="57"/>
        <v>21 ans</v>
      </c>
      <c r="K3516" s="2" t="s">
        <v>156</v>
      </c>
      <c r="L3516" s="2" t="str">
        <f>"1563"</f>
        <v>1563</v>
      </c>
      <c r="M3516" s="2"/>
      <c r="N3516" s="2" t="str">
        <f>"RUE JEAN-PAUL-RIOPELLE"</f>
        <v>RUE JEAN-PAUL-RIOPELLE</v>
      </c>
      <c r="O3516" s="2" t="s">
        <v>14661</v>
      </c>
      <c r="P3516" s="9" t="str">
        <f>VLOOKUP($O3516,'Liste des Villes'!$B$2:$B$1128,1,FALSE)</f>
        <v>Mirabel</v>
      </c>
      <c r="Q3516" s="9" t="str">
        <f>IFERROR($P3516,PROPER(VLOOKUP($O3516,'Villes en erreur'!$A$2:$B$72,2,FALSE)))</f>
        <v>Mirabel</v>
      </c>
      <c r="R3516" s="9" t="s">
        <v>14662</v>
      </c>
      <c r="S3516" s="9" t="str">
        <f>IF(ISBLANK($R3516),"",VLOOKUP($R3516,'Liste des Villes'!$B$2:$H$1128,4,FALSE))</f>
        <v>Laurentides</v>
      </c>
      <c r="T3516" s="2" t="s">
        <v>15432</v>
      </c>
      <c r="U3516" s="2" t="s">
        <v>39</v>
      </c>
      <c r="V3516" s="2" t="s">
        <v>40</v>
      </c>
      <c r="W3516" s="2" t="s">
        <v>15433</v>
      </c>
      <c r="X3516" s="2"/>
      <c r="Y3516" s="2"/>
      <c r="Z3516" s="2"/>
      <c r="AA3516" s="2" t="s">
        <v>708</v>
      </c>
      <c r="AB3516" s="2" t="s">
        <v>376</v>
      </c>
      <c r="AC3516" s="4" t="s">
        <v>44</v>
      </c>
    </row>
    <row r="3517" spans="1:29" x14ac:dyDescent="0.25">
      <c r="A3517" s="1">
        <v>1258</v>
      </c>
      <c r="B3517" s="17" t="s">
        <v>15434</v>
      </c>
      <c r="C3517" s="2" t="s">
        <v>9661</v>
      </c>
      <c r="D3517" s="15" t="s">
        <v>762</v>
      </c>
      <c r="E3517" s="9" t="s">
        <v>683</v>
      </c>
      <c r="F3517" s="9" t="s">
        <v>761</v>
      </c>
      <c r="G3517" s="9" t="s">
        <v>5476</v>
      </c>
      <c r="H3517" s="2" t="s">
        <v>35</v>
      </c>
      <c r="I3517" s="3">
        <v>37134</v>
      </c>
      <c r="J3517" s="9" t="str">
        <f t="shared" ca="1" si="57"/>
        <v>21 ans</v>
      </c>
      <c r="K3517" s="2" t="s">
        <v>156</v>
      </c>
      <c r="L3517" s="2" t="str">
        <f>"1364"</f>
        <v>1364</v>
      </c>
      <c r="M3517" s="2"/>
      <c r="N3517" s="2" t="str">
        <f>"RUE HENRI JULIEN"</f>
        <v>RUE HENRI JULIEN</v>
      </c>
      <c r="O3517" s="2" t="s">
        <v>14661</v>
      </c>
      <c r="P3517" s="9" t="str">
        <f>VLOOKUP($O3517,'Liste des Villes'!$B$2:$B$1128,1,FALSE)</f>
        <v>Mirabel</v>
      </c>
      <c r="Q3517" s="9" t="str">
        <f>IFERROR($P3517,PROPER(VLOOKUP($O3517,'Villes en erreur'!$A$2:$B$72,2,FALSE)))</f>
        <v>Mirabel</v>
      </c>
      <c r="R3517" s="9" t="s">
        <v>14662</v>
      </c>
      <c r="S3517" s="9" t="str">
        <f>IF(ISBLANK($R3517),"",VLOOKUP($R3517,'Liste des Villes'!$B$2:$H$1128,4,FALSE))</f>
        <v>Laurentides</v>
      </c>
      <c r="T3517" s="2" t="s">
        <v>15435</v>
      </c>
      <c r="U3517" s="2" t="s">
        <v>39</v>
      </c>
      <c r="V3517" s="2" t="s">
        <v>40</v>
      </c>
      <c r="W3517" s="2" t="s">
        <v>15436</v>
      </c>
      <c r="X3517" s="2"/>
      <c r="Y3517" s="2"/>
      <c r="Z3517" s="2"/>
      <c r="AA3517" s="2" t="s">
        <v>375</v>
      </c>
      <c r="AB3517" s="2" t="s">
        <v>376</v>
      </c>
      <c r="AC3517" s="4" t="s">
        <v>44</v>
      </c>
    </row>
    <row r="3518" spans="1:29" x14ac:dyDescent="0.25">
      <c r="A3518" s="1">
        <v>2437</v>
      </c>
      <c r="B3518" s="17" t="s">
        <v>15437</v>
      </c>
      <c r="C3518" s="2" t="s">
        <v>5615</v>
      </c>
      <c r="D3518" s="15" t="s">
        <v>1324</v>
      </c>
      <c r="E3518" s="9" t="s">
        <v>1355</v>
      </c>
      <c r="F3518" s="9" t="s">
        <v>11681</v>
      </c>
      <c r="G3518" s="9" t="s">
        <v>2262</v>
      </c>
      <c r="H3518" s="2" t="s">
        <v>60</v>
      </c>
      <c r="I3518" s="3">
        <v>37166</v>
      </c>
      <c r="J3518" s="9" t="str">
        <f t="shared" ca="1" si="57"/>
        <v>21 ans</v>
      </c>
      <c r="K3518" s="2" t="s">
        <v>156</v>
      </c>
      <c r="L3518" s="2" t="str">
        <f>"1551"</f>
        <v>1551</v>
      </c>
      <c r="M3518" s="2"/>
      <c r="N3518" s="2" t="str">
        <f>"RUE JEAN-MAURICE"</f>
        <v>RUE JEAN-MAURICE</v>
      </c>
      <c r="O3518" s="2" t="s">
        <v>14661</v>
      </c>
      <c r="P3518" s="9" t="str">
        <f>VLOOKUP($O3518,'Liste des Villes'!$B$2:$B$1128,1,FALSE)</f>
        <v>Mirabel</v>
      </c>
      <c r="Q3518" s="9" t="str">
        <f>IFERROR($P3518,PROPER(VLOOKUP($O3518,'Villes en erreur'!$A$2:$B$72,2,FALSE)))</f>
        <v>Mirabel</v>
      </c>
      <c r="R3518" s="9" t="s">
        <v>14662</v>
      </c>
      <c r="S3518" s="9" t="str">
        <f>IF(ISBLANK($R3518),"",VLOOKUP($R3518,'Liste des Villes'!$B$2:$H$1128,4,FALSE))</f>
        <v>Laurentides</v>
      </c>
      <c r="T3518" s="2" t="s">
        <v>15438</v>
      </c>
      <c r="U3518" s="2" t="s">
        <v>39</v>
      </c>
      <c r="V3518" s="2" t="s">
        <v>40</v>
      </c>
      <c r="W3518" s="2" t="s">
        <v>15439</v>
      </c>
      <c r="X3518" s="2"/>
      <c r="Y3518" s="2"/>
      <c r="Z3518" s="2"/>
      <c r="AA3518" s="2" t="s">
        <v>708</v>
      </c>
      <c r="AB3518" s="2" t="s">
        <v>376</v>
      </c>
      <c r="AC3518" s="4" t="s">
        <v>44</v>
      </c>
    </row>
    <row r="3519" spans="1:29" x14ac:dyDescent="0.25">
      <c r="A3519" s="1">
        <v>2759</v>
      </c>
      <c r="B3519" s="17" t="s">
        <v>15440</v>
      </c>
      <c r="C3519" s="2" t="s">
        <v>15441</v>
      </c>
      <c r="D3519" s="15" t="s">
        <v>9736</v>
      </c>
      <c r="E3519" s="9" t="s">
        <v>495</v>
      </c>
      <c r="F3519" s="9" t="s">
        <v>4081</v>
      </c>
      <c r="G3519" s="9" t="s">
        <v>7789</v>
      </c>
      <c r="H3519" s="2" t="s">
        <v>60</v>
      </c>
      <c r="I3519" s="3">
        <v>37193</v>
      </c>
      <c r="J3519" s="9" t="str">
        <f t="shared" ca="1" si="57"/>
        <v>21 ans</v>
      </c>
      <c r="K3519" s="2" t="s">
        <v>262</v>
      </c>
      <c r="L3519" s="2" t="str">
        <f>"1722"</f>
        <v>1722</v>
      </c>
      <c r="M3519" s="2"/>
      <c r="N3519" s="2" t="str">
        <f>"RUE LABELLE"</f>
        <v>RUE LABELLE</v>
      </c>
      <c r="O3519" s="2" t="s">
        <v>14661</v>
      </c>
      <c r="P3519" s="9" t="str">
        <f>VLOOKUP($O3519,'Liste des Villes'!$B$2:$B$1128,1,FALSE)</f>
        <v>Mirabel</v>
      </c>
      <c r="Q3519" s="9" t="str">
        <f>IFERROR($P3519,PROPER(VLOOKUP($O3519,'Villes en erreur'!$A$2:$B$72,2,FALSE)))</f>
        <v>Mirabel</v>
      </c>
      <c r="R3519" s="9" t="s">
        <v>14662</v>
      </c>
      <c r="S3519" s="9" t="str">
        <f>IF(ISBLANK($R3519),"",VLOOKUP($R3519,'Liste des Villes'!$B$2:$H$1128,4,FALSE))</f>
        <v>Laurentides</v>
      </c>
      <c r="T3519" s="2" t="s">
        <v>14672</v>
      </c>
      <c r="U3519" s="2" t="s">
        <v>39</v>
      </c>
      <c r="V3519" s="2" t="s">
        <v>40</v>
      </c>
      <c r="W3519" s="2" t="s">
        <v>14834</v>
      </c>
      <c r="X3519" s="2"/>
      <c r="Y3519" s="2"/>
      <c r="Z3519" s="2"/>
      <c r="AA3519" s="2" t="s">
        <v>708</v>
      </c>
      <c r="AB3519" s="2" t="s">
        <v>14669</v>
      </c>
      <c r="AC3519" s="4" t="s">
        <v>44</v>
      </c>
    </row>
    <row r="3520" spans="1:29" x14ac:dyDescent="0.25">
      <c r="A3520" s="1">
        <v>4579</v>
      </c>
      <c r="B3520" s="17" t="s">
        <v>15442</v>
      </c>
      <c r="C3520" s="2" t="s">
        <v>15443</v>
      </c>
      <c r="D3520" s="15" t="s">
        <v>15444</v>
      </c>
      <c r="E3520" s="9" t="s">
        <v>332</v>
      </c>
      <c r="F3520" s="9" t="s">
        <v>15445</v>
      </c>
      <c r="G3520" s="9" t="s">
        <v>9636</v>
      </c>
      <c r="H3520" s="2" t="s">
        <v>60</v>
      </c>
      <c r="I3520" s="3">
        <v>37131</v>
      </c>
      <c r="J3520" s="9" t="str">
        <f t="shared" ca="1" si="57"/>
        <v>21 ans</v>
      </c>
      <c r="K3520" s="2" t="s">
        <v>156</v>
      </c>
      <c r="L3520" s="2" t="str">
        <f>"1358"</f>
        <v>1358</v>
      </c>
      <c r="M3520" s="2"/>
      <c r="N3520" s="2" t="str">
        <f>"RUE HAZLETT-HICKS"</f>
        <v>RUE HAZLETT-HICKS</v>
      </c>
      <c r="O3520" s="2" t="s">
        <v>14661</v>
      </c>
      <c r="P3520" s="9" t="str">
        <f>VLOOKUP($O3520,'Liste des Villes'!$B$2:$B$1128,1,FALSE)</f>
        <v>Mirabel</v>
      </c>
      <c r="Q3520" s="9" t="str">
        <f>IFERROR($P3520,PROPER(VLOOKUP($O3520,'Villes en erreur'!$A$2:$B$72,2,FALSE)))</f>
        <v>Mirabel</v>
      </c>
      <c r="R3520" s="9" t="s">
        <v>14662</v>
      </c>
      <c r="S3520" s="9" t="str">
        <f>IF(ISBLANK($R3520),"",VLOOKUP($R3520,'Liste des Villes'!$B$2:$H$1128,4,FALSE))</f>
        <v>Laurentides</v>
      </c>
      <c r="T3520" s="2" t="s">
        <v>15446</v>
      </c>
      <c r="U3520" s="2" t="s">
        <v>39</v>
      </c>
      <c r="V3520" s="2" t="s">
        <v>40</v>
      </c>
      <c r="W3520" s="2" t="s">
        <v>15430</v>
      </c>
      <c r="X3520" s="2"/>
      <c r="Y3520" s="2"/>
      <c r="Z3520" s="2"/>
      <c r="AA3520" s="2" t="s">
        <v>375</v>
      </c>
      <c r="AB3520" s="2" t="s">
        <v>376</v>
      </c>
      <c r="AC3520" s="4" t="s">
        <v>44</v>
      </c>
    </row>
    <row r="3521" spans="1:29" x14ac:dyDescent="0.25">
      <c r="A3521" s="1">
        <v>3224</v>
      </c>
      <c r="B3521" s="17" t="s">
        <v>15447</v>
      </c>
      <c r="C3521" s="2" t="s">
        <v>15448</v>
      </c>
      <c r="D3521" s="15" t="s">
        <v>304</v>
      </c>
      <c r="E3521" s="9" t="s">
        <v>15449</v>
      </c>
      <c r="F3521" s="9" t="s">
        <v>2181</v>
      </c>
      <c r="G3521" s="9" t="s">
        <v>3235</v>
      </c>
      <c r="H3521" s="2" t="s">
        <v>60</v>
      </c>
      <c r="I3521" s="3">
        <v>37143</v>
      </c>
      <c r="J3521" s="9" t="str">
        <f t="shared" ca="1" si="57"/>
        <v>21 ans</v>
      </c>
      <c r="K3521" s="2" t="s">
        <v>156</v>
      </c>
      <c r="L3521" s="2" t="str">
        <f>"1417"</f>
        <v>1417</v>
      </c>
      <c r="M3521" s="2"/>
      <c r="N3521" s="2" t="str">
        <f>"RUE IBERVILLE"</f>
        <v>RUE IBERVILLE</v>
      </c>
      <c r="O3521" s="2" t="s">
        <v>14661</v>
      </c>
      <c r="P3521" s="9" t="str">
        <f>VLOOKUP($O3521,'Liste des Villes'!$B$2:$B$1128,1,FALSE)</f>
        <v>Mirabel</v>
      </c>
      <c r="Q3521" s="9" t="str">
        <f>IFERROR($P3521,PROPER(VLOOKUP($O3521,'Villes en erreur'!$A$2:$B$72,2,FALSE)))</f>
        <v>Mirabel</v>
      </c>
      <c r="R3521" s="9" t="s">
        <v>14662</v>
      </c>
      <c r="S3521" s="9" t="str">
        <f>IF(ISBLANK($R3521),"",VLOOKUP($R3521,'Liste des Villes'!$B$2:$H$1128,4,FALSE))</f>
        <v>Laurentides</v>
      </c>
      <c r="T3521" s="2" t="s">
        <v>15450</v>
      </c>
      <c r="U3521" s="2" t="s">
        <v>39</v>
      </c>
      <c r="V3521" s="2" t="s">
        <v>40</v>
      </c>
      <c r="W3521" s="2" t="s">
        <v>15451</v>
      </c>
      <c r="X3521" s="2"/>
      <c r="Y3521" s="2"/>
      <c r="Z3521" s="2"/>
      <c r="AA3521" s="2" t="s">
        <v>708</v>
      </c>
      <c r="AB3521" s="2" t="s">
        <v>376</v>
      </c>
      <c r="AC3521" s="4" t="s">
        <v>44</v>
      </c>
    </row>
    <row r="3522" spans="1:29" x14ac:dyDescent="0.25">
      <c r="A3522" s="1">
        <v>2276</v>
      </c>
      <c r="B3522" s="17" t="s">
        <v>15452</v>
      </c>
      <c r="C3522" s="2" t="s">
        <v>15453</v>
      </c>
      <c r="D3522" s="15" t="s">
        <v>15454</v>
      </c>
      <c r="E3522" s="9" t="s">
        <v>3844</v>
      </c>
      <c r="F3522" s="9" t="s">
        <v>2252</v>
      </c>
      <c r="G3522" s="9" t="s">
        <v>325</v>
      </c>
      <c r="H3522" s="2" t="s">
        <v>35</v>
      </c>
      <c r="I3522" s="3">
        <v>37230</v>
      </c>
      <c r="J3522" s="9" t="str">
        <f t="shared" ref="J3522:J3585" ca="1" si="58">_xlfn.CONCAT(INT((TODAY()-$I3522)/365.25)," ans")</f>
        <v>21 ans</v>
      </c>
      <c r="K3522" s="2" t="s">
        <v>262</v>
      </c>
      <c r="L3522" s="2" t="str">
        <f>"1995"</f>
        <v>1995</v>
      </c>
      <c r="M3522" s="2"/>
      <c r="N3522" s="2" t="str">
        <f>"RUE LAURIN"</f>
        <v>RUE LAURIN</v>
      </c>
      <c r="O3522" s="2" t="s">
        <v>14661</v>
      </c>
      <c r="P3522" s="9" t="str">
        <f>VLOOKUP($O3522,'Liste des Villes'!$B$2:$B$1128,1,FALSE)</f>
        <v>Mirabel</v>
      </c>
      <c r="Q3522" s="9" t="str">
        <f>IFERROR($P3522,PROPER(VLOOKUP($O3522,'Villes en erreur'!$A$2:$B$72,2,FALSE)))</f>
        <v>Mirabel</v>
      </c>
      <c r="R3522" s="9" t="s">
        <v>14662</v>
      </c>
      <c r="S3522" s="9" t="str">
        <f>IF(ISBLANK($R3522),"",VLOOKUP($R3522,'Liste des Villes'!$B$2:$H$1128,4,FALSE))</f>
        <v>Laurentides</v>
      </c>
      <c r="T3522" s="2" t="s">
        <v>15038</v>
      </c>
      <c r="U3522" s="2" t="s">
        <v>39</v>
      </c>
      <c r="V3522" s="2" t="s">
        <v>40</v>
      </c>
      <c r="W3522" s="2" t="s">
        <v>15171</v>
      </c>
      <c r="X3522" s="2"/>
      <c r="Y3522" s="2"/>
      <c r="Z3522" s="2"/>
      <c r="AA3522" s="2" t="s">
        <v>708</v>
      </c>
      <c r="AB3522" s="2" t="s">
        <v>14669</v>
      </c>
      <c r="AC3522" s="4" t="s">
        <v>44</v>
      </c>
    </row>
    <row r="3523" spans="1:29" x14ac:dyDescent="0.25">
      <c r="A3523" s="1">
        <v>1839</v>
      </c>
      <c r="B3523" s="17" t="s">
        <v>15455</v>
      </c>
      <c r="C3523" s="2" t="s">
        <v>15456</v>
      </c>
      <c r="D3523" s="15" t="s">
        <v>6825</v>
      </c>
      <c r="E3523" s="9" t="s">
        <v>929</v>
      </c>
      <c r="F3523" s="9" t="s">
        <v>6824</v>
      </c>
      <c r="G3523" s="9" t="s">
        <v>15457</v>
      </c>
      <c r="H3523" s="2" t="s">
        <v>35</v>
      </c>
      <c r="I3523" s="3">
        <v>37167</v>
      </c>
      <c r="J3523" s="9" t="str">
        <f t="shared" ca="1" si="58"/>
        <v>21 ans</v>
      </c>
      <c r="K3523" s="2" t="s">
        <v>156</v>
      </c>
      <c r="L3523" s="2" t="str">
        <f>"1555"</f>
        <v>1555</v>
      </c>
      <c r="M3523" s="2"/>
      <c r="N3523" s="2" t="str">
        <f>"RUE JEANNETTE"</f>
        <v>RUE JEANNETTE</v>
      </c>
      <c r="O3523" s="2" t="s">
        <v>14661</v>
      </c>
      <c r="P3523" s="9" t="str">
        <f>VLOOKUP($O3523,'Liste des Villes'!$B$2:$B$1128,1,FALSE)</f>
        <v>Mirabel</v>
      </c>
      <c r="Q3523" s="9" t="str">
        <f>IFERROR($P3523,PROPER(VLOOKUP($O3523,'Villes en erreur'!$A$2:$B$72,2,FALSE)))</f>
        <v>Mirabel</v>
      </c>
      <c r="R3523" s="9" t="s">
        <v>14662</v>
      </c>
      <c r="S3523" s="9" t="str">
        <f>IF(ISBLANK($R3523),"",VLOOKUP($R3523,'Liste des Villes'!$B$2:$H$1128,4,FALSE))</f>
        <v>Laurentides</v>
      </c>
      <c r="T3523" s="2" t="s">
        <v>15209</v>
      </c>
      <c r="U3523" s="2" t="s">
        <v>39</v>
      </c>
      <c r="V3523" s="2" t="s">
        <v>40</v>
      </c>
      <c r="W3523" s="2" t="s">
        <v>15458</v>
      </c>
      <c r="X3523" s="2"/>
      <c r="Y3523" s="2"/>
      <c r="Z3523" s="2"/>
      <c r="AA3523" s="2" t="s">
        <v>708</v>
      </c>
      <c r="AB3523" s="2" t="s">
        <v>376</v>
      </c>
      <c r="AC3523" s="4" t="s">
        <v>44</v>
      </c>
    </row>
    <row r="3524" spans="1:29" x14ac:dyDescent="0.25">
      <c r="A3524" s="1">
        <v>4367</v>
      </c>
      <c r="B3524" s="17" t="s">
        <v>15459</v>
      </c>
      <c r="C3524" s="2" t="s">
        <v>15460</v>
      </c>
      <c r="D3524" s="15" t="s">
        <v>867</v>
      </c>
      <c r="E3524" s="9" t="s">
        <v>15457</v>
      </c>
      <c r="F3524" s="9" t="s">
        <v>6926</v>
      </c>
      <c r="G3524" s="9" t="s">
        <v>13888</v>
      </c>
      <c r="H3524" s="2" t="s">
        <v>35</v>
      </c>
      <c r="I3524" s="3">
        <v>37132</v>
      </c>
      <c r="J3524" s="9" t="str">
        <f t="shared" ca="1" si="58"/>
        <v>21 ans</v>
      </c>
      <c r="K3524" s="2" t="s">
        <v>156</v>
      </c>
      <c r="L3524" s="2" t="str">
        <f>"1360"</f>
        <v>1360</v>
      </c>
      <c r="M3524" s="2"/>
      <c r="N3524" s="2" t="str">
        <f>"RUE HECTOR-JOLY"</f>
        <v>RUE HECTOR-JOLY</v>
      </c>
      <c r="O3524" s="2" t="s">
        <v>14661</v>
      </c>
      <c r="P3524" s="9" t="str">
        <f>VLOOKUP($O3524,'Liste des Villes'!$B$2:$B$1128,1,FALSE)</f>
        <v>Mirabel</v>
      </c>
      <c r="Q3524" s="9" t="str">
        <f>IFERROR($P3524,PROPER(VLOOKUP($O3524,'Villes en erreur'!$A$2:$B$72,2,FALSE)))</f>
        <v>Mirabel</v>
      </c>
      <c r="R3524" s="9" t="s">
        <v>14662</v>
      </c>
      <c r="S3524" s="9" t="str">
        <f>IF(ISBLANK($R3524),"",VLOOKUP($R3524,'Liste des Villes'!$B$2:$H$1128,4,FALSE))</f>
        <v>Laurentides</v>
      </c>
      <c r="T3524" s="2" t="s">
        <v>15461</v>
      </c>
      <c r="U3524" s="2" t="s">
        <v>39</v>
      </c>
      <c r="V3524" s="2" t="s">
        <v>40</v>
      </c>
      <c r="W3524" s="2" t="s">
        <v>15462</v>
      </c>
      <c r="X3524" s="2"/>
      <c r="Y3524" s="2"/>
      <c r="Z3524" s="2"/>
      <c r="AA3524" s="2" t="s">
        <v>375</v>
      </c>
      <c r="AB3524" s="2" t="s">
        <v>376</v>
      </c>
      <c r="AC3524" s="4" t="s">
        <v>44</v>
      </c>
    </row>
    <row r="3525" spans="1:29" x14ac:dyDescent="0.25">
      <c r="A3525" s="1">
        <v>666</v>
      </c>
      <c r="B3525" s="17" t="s">
        <v>15463</v>
      </c>
      <c r="C3525" s="2" t="s">
        <v>15464</v>
      </c>
      <c r="D3525" s="15" t="s">
        <v>11950</v>
      </c>
      <c r="E3525" s="9" t="s">
        <v>85</v>
      </c>
      <c r="F3525" s="9" t="s">
        <v>1852</v>
      </c>
      <c r="G3525" s="9" t="s">
        <v>11195</v>
      </c>
      <c r="H3525" s="2" t="s">
        <v>60</v>
      </c>
      <c r="I3525" s="3">
        <v>37091</v>
      </c>
      <c r="J3525" s="9" t="str">
        <f t="shared" ca="1" si="58"/>
        <v>22 ans</v>
      </c>
      <c r="K3525" s="2" t="s">
        <v>156</v>
      </c>
      <c r="L3525" s="2" t="str">
        <f>"1209"</f>
        <v>1209</v>
      </c>
      <c r="M3525" s="2"/>
      <c r="N3525" s="2" t="str">
        <f>"RUE FOURNIER"</f>
        <v>RUE FOURNIER</v>
      </c>
      <c r="O3525" s="2" t="s">
        <v>14661</v>
      </c>
      <c r="P3525" s="9" t="str">
        <f>VLOOKUP($O3525,'Liste des Villes'!$B$2:$B$1128,1,FALSE)</f>
        <v>Mirabel</v>
      </c>
      <c r="Q3525" s="9" t="str">
        <f>IFERROR($P3525,PROPER(VLOOKUP($O3525,'Villes en erreur'!$A$2:$B$72,2,FALSE)))</f>
        <v>Mirabel</v>
      </c>
      <c r="R3525" s="9" t="s">
        <v>14662</v>
      </c>
      <c r="S3525" s="9" t="str">
        <f>IF(ISBLANK($R3525),"",VLOOKUP($R3525,'Liste des Villes'!$B$2:$H$1128,4,FALSE))</f>
        <v>Laurentides</v>
      </c>
      <c r="T3525" s="2" t="s">
        <v>15465</v>
      </c>
      <c r="U3525" s="2" t="s">
        <v>39</v>
      </c>
      <c r="V3525" s="2" t="s">
        <v>40</v>
      </c>
      <c r="W3525" s="2" t="s">
        <v>15466</v>
      </c>
      <c r="X3525" s="2"/>
      <c r="Y3525" s="2"/>
      <c r="Z3525" s="2"/>
      <c r="AA3525" s="2" t="s">
        <v>375</v>
      </c>
      <c r="AB3525" s="2" t="s">
        <v>376</v>
      </c>
      <c r="AC3525" s="4" t="s">
        <v>44</v>
      </c>
    </row>
    <row r="3526" spans="1:29" x14ac:dyDescent="0.25">
      <c r="A3526" s="1">
        <v>1298</v>
      </c>
      <c r="B3526" s="17" t="s">
        <v>15467</v>
      </c>
      <c r="C3526" s="2" t="s">
        <v>15468</v>
      </c>
      <c r="D3526" s="15" t="s">
        <v>1590</v>
      </c>
      <c r="E3526" s="9" t="s">
        <v>15469</v>
      </c>
      <c r="F3526" s="9" t="s">
        <v>1592</v>
      </c>
      <c r="G3526" s="9" t="s">
        <v>9946</v>
      </c>
      <c r="H3526" s="2" t="s">
        <v>60</v>
      </c>
      <c r="I3526" s="3">
        <v>37183</v>
      </c>
      <c r="J3526" s="9" t="str">
        <f t="shared" ca="1" si="58"/>
        <v>21 ans</v>
      </c>
      <c r="K3526" s="2" t="s">
        <v>262</v>
      </c>
      <c r="L3526" s="2" t="str">
        <f>"1694"</f>
        <v>1694</v>
      </c>
      <c r="M3526" s="2"/>
      <c r="N3526" s="2" t="str">
        <f>"RUE KAVANAGH"</f>
        <v>RUE KAVANAGH</v>
      </c>
      <c r="O3526" s="2" t="s">
        <v>14661</v>
      </c>
      <c r="P3526" s="9" t="str">
        <f>VLOOKUP($O3526,'Liste des Villes'!$B$2:$B$1128,1,FALSE)</f>
        <v>Mirabel</v>
      </c>
      <c r="Q3526" s="9" t="str">
        <f>IFERROR($P3526,PROPER(VLOOKUP($O3526,'Villes en erreur'!$A$2:$B$72,2,FALSE)))</f>
        <v>Mirabel</v>
      </c>
      <c r="R3526" s="9" t="s">
        <v>14662</v>
      </c>
      <c r="S3526" s="9" t="str">
        <f>IF(ISBLANK($R3526),"",VLOOKUP($R3526,'Liste des Villes'!$B$2:$H$1128,4,FALSE))</f>
        <v>Laurentides</v>
      </c>
      <c r="T3526" s="2" t="s">
        <v>14722</v>
      </c>
      <c r="U3526" s="2" t="s">
        <v>39</v>
      </c>
      <c r="V3526" s="2" t="s">
        <v>40</v>
      </c>
      <c r="W3526" s="2" t="s">
        <v>15470</v>
      </c>
      <c r="X3526" s="2"/>
      <c r="Y3526" s="2"/>
      <c r="Z3526" s="2"/>
      <c r="AA3526" s="2" t="s">
        <v>708</v>
      </c>
      <c r="AB3526" s="2" t="s">
        <v>14669</v>
      </c>
      <c r="AC3526" s="4" t="s">
        <v>44</v>
      </c>
    </row>
    <row r="3527" spans="1:29" x14ac:dyDescent="0.25">
      <c r="A3527" s="1">
        <v>4504</v>
      </c>
      <c r="B3527" s="17" t="s">
        <v>15471</v>
      </c>
      <c r="C3527" s="2" t="s">
        <v>8459</v>
      </c>
      <c r="D3527" s="15" t="s">
        <v>1845</v>
      </c>
      <c r="E3527" s="9" t="s">
        <v>2062</v>
      </c>
      <c r="F3527" s="9" t="s">
        <v>7481</v>
      </c>
      <c r="G3527" s="9" t="s">
        <v>1289</v>
      </c>
      <c r="H3527" s="2" t="s">
        <v>35</v>
      </c>
      <c r="I3527" s="3">
        <v>37080</v>
      </c>
      <c r="J3527" s="9" t="str">
        <f t="shared" ca="1" si="58"/>
        <v>22 ans</v>
      </c>
      <c r="K3527" s="2" t="s">
        <v>156</v>
      </c>
      <c r="L3527" s="2" t="str">
        <f>"1159"</f>
        <v>1159</v>
      </c>
      <c r="M3527" s="2"/>
      <c r="N3527" s="2" t="str">
        <f>"RUE ÉTIENNE-DESMARTEAUX"</f>
        <v>RUE ÉTIENNE-DESMARTEAUX</v>
      </c>
      <c r="O3527" s="2" t="s">
        <v>14661</v>
      </c>
      <c r="P3527" s="9" t="str">
        <f>VLOOKUP($O3527,'Liste des Villes'!$B$2:$B$1128,1,FALSE)</f>
        <v>Mirabel</v>
      </c>
      <c r="Q3527" s="9" t="str">
        <f>IFERROR($P3527,PROPER(VLOOKUP($O3527,'Villes en erreur'!$A$2:$B$72,2,FALSE)))</f>
        <v>Mirabel</v>
      </c>
      <c r="R3527" s="9" t="s">
        <v>14662</v>
      </c>
      <c r="S3527" s="9" t="str">
        <f>IF(ISBLANK($R3527),"",VLOOKUP($R3527,'Liste des Villes'!$B$2:$H$1128,4,FALSE))</f>
        <v>Laurentides</v>
      </c>
      <c r="T3527" s="2" t="s">
        <v>15472</v>
      </c>
      <c r="U3527" s="2" t="s">
        <v>39</v>
      </c>
      <c r="V3527" s="2" t="s">
        <v>40</v>
      </c>
      <c r="W3527" s="2" t="s">
        <v>15473</v>
      </c>
      <c r="X3527" s="2"/>
      <c r="Y3527" s="2"/>
      <c r="Z3527" s="2"/>
      <c r="AA3527" s="2" t="s">
        <v>375</v>
      </c>
      <c r="AB3527" s="2" t="s">
        <v>376</v>
      </c>
      <c r="AC3527" s="4" t="s">
        <v>44</v>
      </c>
    </row>
    <row r="3528" spans="1:29" x14ac:dyDescent="0.25">
      <c r="A3528" s="1">
        <v>1921</v>
      </c>
      <c r="B3528" s="17" t="s">
        <v>15474</v>
      </c>
      <c r="C3528" s="2" t="s">
        <v>15475</v>
      </c>
      <c r="D3528" s="15" t="s">
        <v>210</v>
      </c>
      <c r="E3528" s="9" t="s">
        <v>610</v>
      </c>
      <c r="F3528" s="9" t="s">
        <v>15476</v>
      </c>
      <c r="G3528" s="9" t="s">
        <v>1043</v>
      </c>
      <c r="H3528" s="2" t="s">
        <v>35</v>
      </c>
      <c r="I3528" s="3">
        <v>37083</v>
      </c>
      <c r="J3528" s="9" t="str">
        <f t="shared" ca="1" si="58"/>
        <v>22 ans</v>
      </c>
      <c r="K3528" s="2" t="s">
        <v>156</v>
      </c>
      <c r="L3528" s="2" t="str">
        <f>"1172"</f>
        <v>1172</v>
      </c>
      <c r="M3528" s="2"/>
      <c r="N3528" s="2" t="str">
        <f>"RUE FÉLIX-LECLERC"</f>
        <v>RUE FÉLIX-LECLERC</v>
      </c>
      <c r="O3528" s="2" t="s">
        <v>14661</v>
      </c>
      <c r="P3528" s="9" t="str">
        <f>VLOOKUP($O3528,'Liste des Villes'!$B$2:$B$1128,1,FALSE)</f>
        <v>Mirabel</v>
      </c>
      <c r="Q3528" s="9" t="str">
        <f>IFERROR($P3528,PROPER(VLOOKUP($O3528,'Villes en erreur'!$A$2:$B$72,2,FALSE)))</f>
        <v>Mirabel</v>
      </c>
      <c r="R3528" s="9" t="s">
        <v>14662</v>
      </c>
      <c r="S3528" s="9" t="str">
        <f>IF(ISBLANK($R3528),"",VLOOKUP($R3528,'Liste des Villes'!$B$2:$H$1128,4,FALSE))</f>
        <v>Laurentides</v>
      </c>
      <c r="T3528" s="2" t="s">
        <v>15477</v>
      </c>
      <c r="U3528" s="2" t="s">
        <v>39</v>
      </c>
      <c r="V3528" s="2" t="s">
        <v>40</v>
      </c>
      <c r="W3528" s="2" t="s">
        <v>15478</v>
      </c>
      <c r="X3528" s="2"/>
      <c r="Y3528" s="2"/>
      <c r="Z3528" s="2"/>
      <c r="AA3528" s="2" t="s">
        <v>375</v>
      </c>
      <c r="AB3528" s="2" t="s">
        <v>376</v>
      </c>
      <c r="AC3528" s="4" t="s">
        <v>44</v>
      </c>
    </row>
    <row r="3529" spans="1:29" x14ac:dyDescent="0.25">
      <c r="A3529" s="1">
        <v>1490</v>
      </c>
      <c r="B3529" s="17" t="s">
        <v>15479</v>
      </c>
      <c r="C3529" s="2" t="s">
        <v>15480</v>
      </c>
      <c r="D3529" s="15" t="s">
        <v>15481</v>
      </c>
      <c r="E3529" s="9" t="s">
        <v>15482</v>
      </c>
      <c r="F3529" s="9" t="s">
        <v>15483</v>
      </c>
      <c r="G3529" s="9" t="s">
        <v>4243</v>
      </c>
      <c r="H3529" s="2" t="s">
        <v>60</v>
      </c>
      <c r="I3529" s="3">
        <v>37161</v>
      </c>
      <c r="J3529" s="9" t="str">
        <f t="shared" ca="1" si="58"/>
        <v>21 ans</v>
      </c>
      <c r="K3529" s="2" t="s">
        <v>156</v>
      </c>
      <c r="L3529" s="2" t="str">
        <f>"1518"</f>
        <v>1518</v>
      </c>
      <c r="M3529" s="2"/>
      <c r="N3529" s="2" t="str">
        <f>"RUE JEAN-BAPTISTE-DUFRESN"</f>
        <v>RUE JEAN-BAPTISTE-DUFRESN</v>
      </c>
      <c r="O3529" s="2" t="s">
        <v>14661</v>
      </c>
      <c r="P3529" s="9" t="str">
        <f>VLOOKUP($O3529,'Liste des Villes'!$B$2:$B$1128,1,FALSE)</f>
        <v>Mirabel</v>
      </c>
      <c r="Q3529" s="9" t="str">
        <f>IFERROR($P3529,PROPER(VLOOKUP($O3529,'Villes en erreur'!$A$2:$B$72,2,FALSE)))</f>
        <v>Mirabel</v>
      </c>
      <c r="R3529" s="9" t="s">
        <v>14662</v>
      </c>
      <c r="S3529" s="9" t="str">
        <f>IF(ISBLANK($R3529),"",VLOOKUP($R3529,'Liste des Villes'!$B$2:$H$1128,4,FALSE))</f>
        <v>Laurentides</v>
      </c>
      <c r="T3529" s="2" t="s">
        <v>14663</v>
      </c>
      <c r="U3529" s="2" t="s">
        <v>39</v>
      </c>
      <c r="V3529" s="2" t="s">
        <v>40</v>
      </c>
      <c r="W3529" s="2" t="s">
        <v>15484</v>
      </c>
      <c r="X3529" s="2"/>
      <c r="Y3529" s="2"/>
      <c r="Z3529" s="2"/>
      <c r="AA3529" s="2" t="s">
        <v>708</v>
      </c>
      <c r="AB3529" s="2" t="s">
        <v>376</v>
      </c>
      <c r="AC3529" s="4" t="s">
        <v>44</v>
      </c>
    </row>
    <row r="3530" spans="1:29" x14ac:dyDescent="0.25">
      <c r="A3530" s="1">
        <v>2412</v>
      </c>
      <c r="B3530" s="17" t="s">
        <v>15485</v>
      </c>
      <c r="C3530" s="2" t="s">
        <v>15486</v>
      </c>
      <c r="D3530" s="15" t="s">
        <v>15487</v>
      </c>
      <c r="E3530" s="9" t="s">
        <v>279</v>
      </c>
      <c r="F3530" s="9" t="s">
        <v>15488</v>
      </c>
      <c r="G3530" s="9" t="s">
        <v>630</v>
      </c>
      <c r="H3530" s="2" t="s">
        <v>60</v>
      </c>
      <c r="I3530" s="3">
        <v>37155</v>
      </c>
      <c r="J3530" s="9" t="str">
        <f t="shared" ca="1" si="58"/>
        <v>21 ans</v>
      </c>
      <c r="K3530" s="2" t="s">
        <v>156</v>
      </c>
      <c r="L3530" s="2" t="str">
        <f>"1477"</f>
        <v>1477</v>
      </c>
      <c r="M3530" s="2"/>
      <c r="N3530" s="2" t="str">
        <f>"RUE JACQUES-CARTIER"</f>
        <v>RUE JACQUES-CARTIER</v>
      </c>
      <c r="O3530" s="2" t="s">
        <v>14661</v>
      </c>
      <c r="P3530" s="9" t="str">
        <f>VLOOKUP($O3530,'Liste des Villes'!$B$2:$B$1128,1,FALSE)</f>
        <v>Mirabel</v>
      </c>
      <c r="Q3530" s="9" t="str">
        <f>IFERROR($P3530,PROPER(VLOOKUP($O3530,'Villes en erreur'!$A$2:$B$72,2,FALSE)))</f>
        <v>Mirabel</v>
      </c>
      <c r="R3530" s="9" t="s">
        <v>14662</v>
      </c>
      <c r="S3530" s="9" t="str">
        <f>IF(ISBLANK($R3530),"",VLOOKUP($R3530,'Liste des Villes'!$B$2:$H$1128,4,FALSE))</f>
        <v>Laurentides</v>
      </c>
      <c r="T3530" s="2" t="s">
        <v>15489</v>
      </c>
      <c r="U3530" s="2" t="s">
        <v>39</v>
      </c>
      <c r="V3530" s="2" t="s">
        <v>40</v>
      </c>
      <c r="W3530" s="2" t="s">
        <v>15490</v>
      </c>
      <c r="X3530" s="2"/>
      <c r="Y3530" s="2"/>
      <c r="Z3530" s="2"/>
      <c r="AA3530" s="2" t="s">
        <v>708</v>
      </c>
      <c r="AB3530" s="2" t="s">
        <v>376</v>
      </c>
      <c r="AC3530" s="4" t="s">
        <v>44</v>
      </c>
    </row>
    <row r="3531" spans="1:29" x14ac:dyDescent="0.25">
      <c r="A3531" s="1">
        <v>57</v>
      </c>
      <c r="B3531" s="17" t="s">
        <v>15491</v>
      </c>
      <c r="C3531" s="2" t="s">
        <v>15492</v>
      </c>
      <c r="D3531" s="15" t="s">
        <v>10002</v>
      </c>
      <c r="E3531" s="9" t="s">
        <v>5511</v>
      </c>
      <c r="F3531" s="9" t="s">
        <v>718</v>
      </c>
      <c r="G3531" s="9" t="s">
        <v>5476</v>
      </c>
      <c r="H3531" s="2" t="s">
        <v>35</v>
      </c>
      <c r="I3531" s="3">
        <v>37135</v>
      </c>
      <c r="J3531" s="9" t="str">
        <f t="shared" ca="1" si="58"/>
        <v>21 ans</v>
      </c>
      <c r="K3531" s="2" t="s">
        <v>156</v>
      </c>
      <c r="L3531" s="2" t="str">
        <f>"1371"</f>
        <v>1371</v>
      </c>
      <c r="M3531" s="2"/>
      <c r="N3531" s="2" t="str">
        <f>"RUE HENRI-PICHÉ"</f>
        <v>RUE HENRI-PICHÉ</v>
      </c>
      <c r="O3531" s="2" t="s">
        <v>14661</v>
      </c>
      <c r="P3531" s="9" t="str">
        <f>VLOOKUP($O3531,'Liste des Villes'!$B$2:$B$1128,1,FALSE)</f>
        <v>Mirabel</v>
      </c>
      <c r="Q3531" s="9" t="str">
        <f>IFERROR($P3531,PROPER(VLOOKUP($O3531,'Villes en erreur'!$A$2:$B$72,2,FALSE)))</f>
        <v>Mirabel</v>
      </c>
      <c r="R3531" s="9" t="s">
        <v>14662</v>
      </c>
      <c r="S3531" s="9" t="str">
        <f>IF(ISBLANK($R3531),"",VLOOKUP($R3531,'Liste des Villes'!$B$2:$H$1128,4,FALSE))</f>
        <v>Laurentides</v>
      </c>
      <c r="T3531" s="2" t="s">
        <v>15493</v>
      </c>
      <c r="U3531" s="2" t="s">
        <v>39</v>
      </c>
      <c r="V3531" s="2" t="s">
        <v>40</v>
      </c>
      <c r="W3531" s="2" t="s">
        <v>15494</v>
      </c>
      <c r="X3531" s="2"/>
      <c r="Y3531" s="2"/>
      <c r="Z3531" s="2"/>
      <c r="AA3531" s="2" t="s">
        <v>708</v>
      </c>
      <c r="AB3531" s="2" t="s">
        <v>376</v>
      </c>
      <c r="AC3531" s="4" t="s">
        <v>44</v>
      </c>
    </row>
    <row r="3532" spans="1:29" x14ac:dyDescent="0.25">
      <c r="A3532" s="1">
        <v>4223</v>
      </c>
      <c r="B3532" s="17" t="s">
        <v>15495</v>
      </c>
      <c r="C3532" s="2" t="s">
        <v>170</v>
      </c>
      <c r="D3532" s="15" t="s">
        <v>171</v>
      </c>
      <c r="E3532" s="9" t="s">
        <v>172</v>
      </c>
      <c r="F3532" s="9" t="s">
        <v>11255</v>
      </c>
      <c r="G3532" s="9" t="s">
        <v>325</v>
      </c>
      <c r="H3532" s="2" t="s">
        <v>35</v>
      </c>
      <c r="I3532" s="3">
        <v>37237</v>
      </c>
      <c r="J3532" s="9" t="str">
        <f t="shared" ca="1" si="58"/>
        <v>21 ans</v>
      </c>
      <c r="K3532" s="2" t="s">
        <v>262</v>
      </c>
      <c r="L3532" s="2" t="str">
        <f>"2030"</f>
        <v>2030</v>
      </c>
      <c r="M3532" s="2"/>
      <c r="N3532" s="2" t="str">
        <f>"RUE LAVIOLETTE"</f>
        <v>RUE LAVIOLETTE</v>
      </c>
      <c r="O3532" s="2" t="s">
        <v>14661</v>
      </c>
      <c r="P3532" s="9" t="str">
        <f>VLOOKUP($O3532,'Liste des Villes'!$B$2:$B$1128,1,FALSE)</f>
        <v>Mirabel</v>
      </c>
      <c r="Q3532" s="9" t="str">
        <f>IFERROR($P3532,PROPER(VLOOKUP($O3532,'Villes en erreur'!$A$2:$B$72,2,FALSE)))</f>
        <v>Mirabel</v>
      </c>
      <c r="R3532" s="9" t="s">
        <v>14662</v>
      </c>
      <c r="S3532" s="9" t="str">
        <f>IF(ISBLANK($R3532),"",VLOOKUP($R3532,'Liste des Villes'!$B$2:$H$1128,4,FALSE))</f>
        <v>Laurentides</v>
      </c>
      <c r="T3532" s="2" t="s">
        <v>15235</v>
      </c>
      <c r="U3532" s="2" t="s">
        <v>39</v>
      </c>
      <c r="V3532" s="2" t="s">
        <v>40</v>
      </c>
      <c r="W3532" s="2" t="s">
        <v>15496</v>
      </c>
      <c r="X3532" s="2"/>
      <c r="Y3532" s="2"/>
      <c r="Z3532" s="2"/>
      <c r="AA3532" s="2" t="s">
        <v>708</v>
      </c>
      <c r="AB3532" s="2" t="s">
        <v>14669</v>
      </c>
      <c r="AC3532" s="4" t="s">
        <v>44</v>
      </c>
    </row>
    <row r="3533" spans="1:29" x14ac:dyDescent="0.25">
      <c r="A3533" s="1">
        <v>3556</v>
      </c>
      <c r="B3533" s="17" t="s">
        <v>15497</v>
      </c>
      <c r="C3533" s="2" t="s">
        <v>15498</v>
      </c>
      <c r="D3533" s="15" t="s">
        <v>8050</v>
      </c>
      <c r="E3533" s="9" t="s">
        <v>14126</v>
      </c>
      <c r="F3533" s="9" t="s">
        <v>218</v>
      </c>
      <c r="G3533" s="9" t="s">
        <v>2140</v>
      </c>
      <c r="H3533" s="2" t="s">
        <v>35</v>
      </c>
      <c r="I3533" s="3">
        <v>37229</v>
      </c>
      <c r="J3533" s="9" t="str">
        <f t="shared" ca="1" si="58"/>
        <v>21 ans</v>
      </c>
      <c r="K3533" s="2" t="s">
        <v>262</v>
      </c>
      <c r="L3533" s="2" t="str">
        <f>"1985"</f>
        <v>1985</v>
      </c>
      <c r="M3533" s="2"/>
      <c r="N3533" s="2" t="str">
        <f>"RUE LAURIER"</f>
        <v>RUE LAURIER</v>
      </c>
      <c r="O3533" s="2" t="s">
        <v>14661</v>
      </c>
      <c r="P3533" s="9" t="str">
        <f>VLOOKUP($O3533,'Liste des Villes'!$B$2:$B$1128,1,FALSE)</f>
        <v>Mirabel</v>
      </c>
      <c r="Q3533" s="9" t="str">
        <f>IFERROR($P3533,PROPER(VLOOKUP($O3533,'Villes en erreur'!$A$2:$B$72,2,FALSE)))</f>
        <v>Mirabel</v>
      </c>
      <c r="R3533" s="9" t="s">
        <v>14662</v>
      </c>
      <c r="S3533" s="9" t="str">
        <f>IF(ISBLANK($R3533),"",VLOOKUP($R3533,'Liste des Villes'!$B$2:$H$1128,4,FALSE))</f>
        <v>Laurentides</v>
      </c>
      <c r="T3533" s="2" t="s">
        <v>15038</v>
      </c>
      <c r="U3533" s="2" t="s">
        <v>39</v>
      </c>
      <c r="V3533" s="2" t="s">
        <v>40</v>
      </c>
      <c r="W3533" s="2" t="s">
        <v>15499</v>
      </c>
      <c r="X3533" s="2"/>
      <c r="Y3533" s="2"/>
      <c r="Z3533" s="2"/>
      <c r="AA3533" s="2" t="s">
        <v>708</v>
      </c>
      <c r="AB3533" s="2" t="s">
        <v>14669</v>
      </c>
      <c r="AC3533" s="4" t="s">
        <v>44</v>
      </c>
    </row>
    <row r="3534" spans="1:29" x14ac:dyDescent="0.25">
      <c r="A3534" s="1">
        <v>314</v>
      </c>
      <c r="B3534" s="17" t="s">
        <v>15500</v>
      </c>
      <c r="C3534" s="2" t="s">
        <v>7433</v>
      </c>
      <c r="D3534" s="15" t="s">
        <v>6916</v>
      </c>
      <c r="E3534" s="9" t="s">
        <v>253</v>
      </c>
      <c r="F3534" s="9" t="s">
        <v>726</v>
      </c>
      <c r="G3534" s="9" t="s">
        <v>11247</v>
      </c>
      <c r="H3534" s="2" t="s">
        <v>35</v>
      </c>
      <c r="I3534" s="3">
        <v>37224</v>
      </c>
      <c r="J3534" s="9" t="str">
        <f t="shared" ca="1" si="58"/>
        <v>21 ans</v>
      </c>
      <c r="K3534" s="2" t="s">
        <v>262</v>
      </c>
      <c r="L3534" s="2" t="str">
        <f>"1963"</f>
        <v>1963</v>
      </c>
      <c r="M3534" s="2"/>
      <c r="N3534" s="2" t="str">
        <f>"RUE LATOUR"</f>
        <v>RUE LATOUR</v>
      </c>
      <c r="O3534" s="2" t="s">
        <v>14661</v>
      </c>
      <c r="P3534" s="9" t="str">
        <f>VLOOKUP($O3534,'Liste des Villes'!$B$2:$B$1128,1,FALSE)</f>
        <v>Mirabel</v>
      </c>
      <c r="Q3534" s="9" t="str">
        <f>IFERROR($P3534,PROPER(VLOOKUP($O3534,'Villes en erreur'!$A$2:$B$72,2,FALSE)))</f>
        <v>Mirabel</v>
      </c>
      <c r="R3534" s="9" t="s">
        <v>14662</v>
      </c>
      <c r="S3534" s="9" t="str">
        <f>IF(ISBLANK($R3534),"",VLOOKUP($R3534,'Liste des Villes'!$B$2:$H$1128,4,FALSE))</f>
        <v>Laurentides</v>
      </c>
      <c r="T3534" s="2" t="s">
        <v>15501</v>
      </c>
      <c r="U3534" s="2" t="s">
        <v>39</v>
      </c>
      <c r="V3534" s="2" t="s">
        <v>40</v>
      </c>
      <c r="W3534" s="2" t="s">
        <v>15502</v>
      </c>
      <c r="X3534" s="2"/>
      <c r="Y3534" s="2"/>
      <c r="Z3534" s="2"/>
      <c r="AA3534" s="2" t="s">
        <v>708</v>
      </c>
      <c r="AB3534" s="2" t="s">
        <v>14669</v>
      </c>
      <c r="AC3534" s="4" t="s">
        <v>44</v>
      </c>
    </row>
    <row r="3535" spans="1:29" x14ac:dyDescent="0.25">
      <c r="A3535" s="1">
        <v>3293</v>
      </c>
      <c r="B3535" s="17" t="s">
        <v>15503</v>
      </c>
      <c r="C3535" s="2" t="s">
        <v>15504</v>
      </c>
      <c r="D3535" s="15" t="s">
        <v>15505</v>
      </c>
      <c r="E3535" s="9" t="s">
        <v>3099</v>
      </c>
      <c r="F3535" s="9" t="s">
        <v>15506</v>
      </c>
      <c r="G3535" s="9" t="s">
        <v>233</v>
      </c>
      <c r="H3535" s="2" t="s">
        <v>60</v>
      </c>
      <c r="I3535" s="3">
        <v>37219</v>
      </c>
      <c r="J3535" s="9" t="str">
        <f t="shared" ca="1" si="58"/>
        <v>21 ans</v>
      </c>
      <c r="K3535" s="2" t="s">
        <v>262</v>
      </c>
      <c r="L3535" s="2" t="str">
        <f>"1929"</f>
        <v>1929</v>
      </c>
      <c r="M3535" s="2"/>
      <c r="N3535" s="2" t="str">
        <f>"RUE LARIVIÈRE"</f>
        <v>RUE LARIVIÈRE</v>
      </c>
      <c r="O3535" s="2" t="s">
        <v>14661</v>
      </c>
      <c r="P3535" s="9" t="str">
        <f>VLOOKUP($O3535,'Liste des Villes'!$B$2:$B$1128,1,FALSE)</f>
        <v>Mirabel</v>
      </c>
      <c r="Q3535" s="9" t="str">
        <f>IFERROR($P3535,PROPER(VLOOKUP($O3535,'Villes en erreur'!$A$2:$B$72,2,FALSE)))</f>
        <v>Mirabel</v>
      </c>
      <c r="R3535" s="9" t="s">
        <v>14662</v>
      </c>
      <c r="S3535" s="9" t="str">
        <f>IF(ISBLANK($R3535),"",VLOOKUP($R3535,'Liste des Villes'!$B$2:$H$1128,4,FALSE))</f>
        <v>Laurentides</v>
      </c>
      <c r="T3535" s="2" t="s">
        <v>15507</v>
      </c>
      <c r="U3535" s="2" t="s">
        <v>39</v>
      </c>
      <c r="V3535" s="2" t="s">
        <v>40</v>
      </c>
      <c r="W3535" s="2" t="s">
        <v>15508</v>
      </c>
      <c r="X3535" s="2"/>
      <c r="Y3535" s="2"/>
      <c r="Z3535" s="2"/>
      <c r="AA3535" s="2" t="s">
        <v>708</v>
      </c>
      <c r="AB3535" s="2" t="s">
        <v>14669</v>
      </c>
      <c r="AC3535" s="4" t="s">
        <v>44</v>
      </c>
    </row>
    <row r="3536" spans="1:29" x14ac:dyDescent="0.25">
      <c r="A3536" s="1">
        <v>1532</v>
      </c>
      <c r="B3536" s="17" t="s">
        <v>15509</v>
      </c>
      <c r="C3536" s="2" t="s">
        <v>15510</v>
      </c>
      <c r="D3536" s="15" t="s">
        <v>2729</v>
      </c>
      <c r="E3536" s="9" t="s">
        <v>2853</v>
      </c>
      <c r="F3536" s="9" t="s">
        <v>2728</v>
      </c>
      <c r="G3536" s="9" t="s">
        <v>4760</v>
      </c>
      <c r="H3536" s="2" t="s">
        <v>60</v>
      </c>
      <c r="I3536" s="3">
        <v>37113</v>
      </c>
      <c r="J3536" s="9" t="str">
        <f t="shared" ca="1" si="58"/>
        <v>22 ans</v>
      </c>
      <c r="K3536" s="2" t="s">
        <v>156</v>
      </c>
      <c r="L3536" s="2" t="str">
        <f>"1277"</f>
        <v>1277</v>
      </c>
      <c r="M3536" s="2"/>
      <c r="N3536" s="2" t="str">
        <f>"RUE GENDRON"</f>
        <v>RUE GENDRON</v>
      </c>
      <c r="O3536" s="2" t="s">
        <v>14661</v>
      </c>
      <c r="P3536" s="9" t="str">
        <f>VLOOKUP($O3536,'Liste des Villes'!$B$2:$B$1128,1,FALSE)</f>
        <v>Mirabel</v>
      </c>
      <c r="Q3536" s="9" t="str">
        <f>IFERROR($P3536,PROPER(VLOOKUP($O3536,'Villes en erreur'!$A$2:$B$72,2,FALSE)))</f>
        <v>Mirabel</v>
      </c>
      <c r="R3536" s="9" t="s">
        <v>14662</v>
      </c>
      <c r="S3536" s="9" t="str">
        <f>IF(ISBLANK($R3536),"",VLOOKUP($R3536,'Liste des Villes'!$B$2:$H$1128,4,FALSE))</f>
        <v>Laurentides</v>
      </c>
      <c r="T3536" s="2" t="s">
        <v>14702</v>
      </c>
      <c r="U3536" s="2" t="s">
        <v>39</v>
      </c>
      <c r="V3536" s="2" t="s">
        <v>40</v>
      </c>
      <c r="W3536" s="2" t="s">
        <v>15511</v>
      </c>
      <c r="X3536" s="2"/>
      <c r="Y3536" s="2"/>
      <c r="Z3536" s="2"/>
      <c r="AA3536" s="2" t="s">
        <v>375</v>
      </c>
      <c r="AB3536" s="2" t="s">
        <v>376</v>
      </c>
      <c r="AC3536" s="4" t="s">
        <v>44</v>
      </c>
    </row>
    <row r="3537" spans="1:29" x14ac:dyDescent="0.25">
      <c r="A3537" s="1">
        <v>252</v>
      </c>
      <c r="B3537" s="17" t="s">
        <v>15512</v>
      </c>
      <c r="C3537" s="2" t="s">
        <v>3653</v>
      </c>
      <c r="D3537" s="15" t="s">
        <v>3654</v>
      </c>
      <c r="E3537" s="9" t="s">
        <v>1330</v>
      </c>
      <c r="F3537" s="9" t="s">
        <v>3705</v>
      </c>
      <c r="G3537" s="9" t="s">
        <v>15513</v>
      </c>
      <c r="H3537" s="2" t="s">
        <v>60</v>
      </c>
      <c r="I3537" s="3">
        <v>37158</v>
      </c>
      <c r="J3537" s="9" t="str">
        <f t="shared" ca="1" si="58"/>
        <v>21 ans</v>
      </c>
      <c r="K3537" s="2" t="s">
        <v>156</v>
      </c>
      <c r="L3537" s="2" t="str">
        <f>"1493"</f>
        <v>1493</v>
      </c>
      <c r="M3537" s="2"/>
      <c r="N3537" s="2" t="str">
        <f>"RUE JARRY"</f>
        <v>RUE JARRY</v>
      </c>
      <c r="O3537" s="2" t="s">
        <v>14661</v>
      </c>
      <c r="P3537" s="9" t="str">
        <f>VLOOKUP($O3537,'Liste des Villes'!$B$2:$B$1128,1,FALSE)</f>
        <v>Mirabel</v>
      </c>
      <c r="Q3537" s="9" t="str">
        <f>IFERROR($P3537,PROPER(VLOOKUP($O3537,'Villes en erreur'!$A$2:$B$72,2,FALSE)))</f>
        <v>Mirabel</v>
      </c>
      <c r="R3537" s="9" t="s">
        <v>14662</v>
      </c>
      <c r="S3537" s="9" t="str">
        <f>IF(ISBLANK($R3537),"",VLOOKUP($R3537,'Liste des Villes'!$B$2:$H$1128,4,FALSE))</f>
        <v>Laurentides</v>
      </c>
      <c r="T3537" s="2" t="s">
        <v>15121</v>
      </c>
      <c r="U3537" s="2" t="s">
        <v>39</v>
      </c>
      <c r="V3537" s="2" t="s">
        <v>40</v>
      </c>
      <c r="W3537" s="2" t="s">
        <v>15514</v>
      </c>
      <c r="X3537" s="2"/>
      <c r="Y3537" s="2"/>
      <c r="Z3537" s="2"/>
      <c r="AA3537" s="2" t="s">
        <v>708</v>
      </c>
      <c r="AB3537" s="2" t="s">
        <v>376</v>
      </c>
      <c r="AC3537" s="4" t="s">
        <v>44</v>
      </c>
    </row>
    <row r="3538" spans="1:29" x14ac:dyDescent="0.25">
      <c r="A3538" s="1">
        <v>1081</v>
      </c>
      <c r="B3538" s="17" t="s">
        <v>15515</v>
      </c>
      <c r="C3538" s="2" t="s">
        <v>15516</v>
      </c>
      <c r="D3538" s="15" t="s">
        <v>496</v>
      </c>
      <c r="E3538" s="9" t="s">
        <v>196</v>
      </c>
      <c r="F3538" s="9" t="s">
        <v>494</v>
      </c>
      <c r="G3538" s="9" t="s">
        <v>13803</v>
      </c>
      <c r="H3538" s="2" t="s">
        <v>60</v>
      </c>
      <c r="I3538" s="3">
        <v>37088</v>
      </c>
      <c r="J3538" s="9" t="str">
        <f t="shared" ca="1" si="58"/>
        <v>22 ans</v>
      </c>
      <c r="K3538" s="2" t="s">
        <v>156</v>
      </c>
      <c r="L3538" s="2" t="str">
        <f>"1194"</f>
        <v>1194</v>
      </c>
      <c r="M3538" s="2"/>
      <c r="N3538" s="2" t="str">
        <f>"RUE FLORENCE"</f>
        <v>RUE FLORENCE</v>
      </c>
      <c r="O3538" s="2" t="s">
        <v>14661</v>
      </c>
      <c r="P3538" s="9" t="str">
        <f>VLOOKUP($O3538,'Liste des Villes'!$B$2:$B$1128,1,FALSE)</f>
        <v>Mirabel</v>
      </c>
      <c r="Q3538" s="9" t="str">
        <f>IFERROR($P3538,PROPER(VLOOKUP($O3538,'Villes en erreur'!$A$2:$B$72,2,FALSE)))</f>
        <v>Mirabel</v>
      </c>
      <c r="R3538" s="9" t="s">
        <v>14662</v>
      </c>
      <c r="S3538" s="9" t="str">
        <f>IF(ISBLANK($R3538),"",VLOOKUP($R3538,'Liste des Villes'!$B$2:$H$1128,4,FALSE))</f>
        <v>Laurentides</v>
      </c>
      <c r="T3538" s="2" t="s">
        <v>15517</v>
      </c>
      <c r="U3538" s="2" t="s">
        <v>39</v>
      </c>
      <c r="V3538" s="2" t="s">
        <v>40</v>
      </c>
      <c r="W3538" s="2" t="s">
        <v>15518</v>
      </c>
      <c r="X3538" s="2"/>
      <c r="Y3538" s="2"/>
      <c r="Z3538" s="2"/>
      <c r="AA3538" s="2" t="s">
        <v>375</v>
      </c>
      <c r="AB3538" s="2" t="s">
        <v>376</v>
      </c>
      <c r="AC3538" s="4" t="s">
        <v>44</v>
      </c>
    </row>
    <row r="3539" spans="1:29" x14ac:dyDescent="0.25">
      <c r="A3539" s="1">
        <v>2571</v>
      </c>
      <c r="B3539" s="17" t="s">
        <v>15519</v>
      </c>
      <c r="C3539" s="2" t="s">
        <v>4214</v>
      </c>
      <c r="D3539" s="15" t="s">
        <v>914</v>
      </c>
      <c r="E3539" s="9" t="s">
        <v>253</v>
      </c>
      <c r="F3539" s="9" t="s">
        <v>912</v>
      </c>
      <c r="G3539" s="9" t="s">
        <v>233</v>
      </c>
      <c r="H3539" s="2" t="s">
        <v>60</v>
      </c>
      <c r="I3539" s="3">
        <v>37218</v>
      </c>
      <c r="J3539" s="9" t="str">
        <f t="shared" ca="1" si="58"/>
        <v>21 ans</v>
      </c>
      <c r="K3539" s="2" t="s">
        <v>262</v>
      </c>
      <c r="L3539" s="2" t="str">
        <f>"1917"</f>
        <v>1917</v>
      </c>
      <c r="M3539" s="2"/>
      <c r="N3539" s="2" t="str">
        <f>"RUE LAPOINTE"</f>
        <v>RUE LAPOINTE</v>
      </c>
      <c r="O3539" s="2" t="s">
        <v>14662</v>
      </c>
      <c r="P3539" s="9" t="str">
        <f>VLOOKUP($O3539,'Liste des Villes'!$B$2:$B$1128,1,FALSE)</f>
        <v>Mirabel</v>
      </c>
      <c r="Q3539" s="9" t="str">
        <f>IFERROR($P3539,PROPER(VLOOKUP($O3539,'Villes en erreur'!$A$2:$B$72,2,FALSE)))</f>
        <v>Mirabel</v>
      </c>
      <c r="R3539" s="9" t="s">
        <v>14662</v>
      </c>
      <c r="S3539" s="9" t="str">
        <f>IF(ISBLANK($R3539),"",VLOOKUP($R3539,'Liste des Villes'!$B$2:$H$1128,4,FALSE))</f>
        <v>Laurentides</v>
      </c>
      <c r="T3539" s="2" t="s">
        <v>15520</v>
      </c>
      <c r="U3539" s="2" t="s">
        <v>39</v>
      </c>
      <c r="V3539" s="2" t="s">
        <v>40</v>
      </c>
      <c r="W3539" s="2" t="s">
        <v>15521</v>
      </c>
      <c r="X3539" s="2"/>
      <c r="Y3539" s="2"/>
      <c r="Z3539" s="2"/>
      <c r="AA3539" s="2" t="s">
        <v>708</v>
      </c>
      <c r="AB3539" s="2" t="s">
        <v>14669</v>
      </c>
      <c r="AC3539" s="4" t="s">
        <v>44</v>
      </c>
    </row>
    <row r="3540" spans="1:29" x14ac:dyDescent="0.25">
      <c r="A3540" s="1">
        <v>784</v>
      </c>
      <c r="B3540" s="17" t="s">
        <v>15522</v>
      </c>
      <c r="C3540" s="2" t="s">
        <v>15523</v>
      </c>
      <c r="D3540" s="15" t="s">
        <v>12541</v>
      </c>
      <c r="E3540" s="9" t="s">
        <v>1017</v>
      </c>
      <c r="F3540" s="9" t="s">
        <v>12540</v>
      </c>
      <c r="G3540" s="9" t="s">
        <v>1091</v>
      </c>
      <c r="H3540" s="2" t="s">
        <v>60</v>
      </c>
      <c r="I3540" s="3">
        <v>37210</v>
      </c>
      <c r="J3540" s="9" t="str">
        <f t="shared" ca="1" si="58"/>
        <v>21 ans</v>
      </c>
      <c r="K3540" s="2" t="s">
        <v>262</v>
      </c>
      <c r="L3540" s="2" t="str">
        <f>"1868"</f>
        <v>1868</v>
      </c>
      <c r="M3540" s="2"/>
      <c r="N3540" s="2" t="str">
        <f>"RUE LAJEUNESSE"</f>
        <v>RUE LAJEUNESSE</v>
      </c>
      <c r="O3540" s="2" t="s">
        <v>14661</v>
      </c>
      <c r="P3540" s="9" t="str">
        <f>VLOOKUP($O3540,'Liste des Villes'!$B$2:$B$1128,1,FALSE)</f>
        <v>Mirabel</v>
      </c>
      <c r="Q3540" s="9" t="str">
        <f>IFERROR($P3540,PROPER(VLOOKUP($O3540,'Villes en erreur'!$A$2:$B$72,2,FALSE)))</f>
        <v>Mirabel</v>
      </c>
      <c r="R3540" s="9" t="s">
        <v>14662</v>
      </c>
      <c r="S3540" s="9" t="str">
        <f>IF(ISBLANK($R3540),"",VLOOKUP($R3540,'Liste des Villes'!$B$2:$H$1128,4,FALSE))</f>
        <v>Laurentides</v>
      </c>
      <c r="T3540" s="2" t="s">
        <v>14698</v>
      </c>
      <c r="U3540" s="2" t="s">
        <v>39</v>
      </c>
      <c r="V3540" s="2" t="s">
        <v>40</v>
      </c>
      <c r="W3540" s="2" t="s">
        <v>15524</v>
      </c>
      <c r="X3540" s="2"/>
      <c r="Y3540" s="2"/>
      <c r="Z3540" s="2"/>
      <c r="AA3540" s="2" t="s">
        <v>708</v>
      </c>
      <c r="AB3540" s="2" t="s">
        <v>14669</v>
      </c>
      <c r="AC3540" s="4" t="s">
        <v>44</v>
      </c>
    </row>
    <row r="3541" spans="1:29" x14ac:dyDescent="0.25">
      <c r="A3541" s="1">
        <v>23</v>
      </c>
      <c r="B3541" s="17" t="s">
        <v>15525</v>
      </c>
      <c r="C3541" s="2" t="s">
        <v>15526</v>
      </c>
      <c r="D3541" s="15" t="s">
        <v>6612</v>
      </c>
      <c r="E3541" s="9" t="s">
        <v>305</v>
      </c>
      <c r="F3541" s="9" t="s">
        <v>101</v>
      </c>
      <c r="G3541" s="9" t="s">
        <v>7137</v>
      </c>
      <c r="H3541" s="2" t="s">
        <v>60</v>
      </c>
      <c r="I3541" s="3">
        <v>37243</v>
      </c>
      <c r="J3541" s="9" t="str">
        <f t="shared" ca="1" si="58"/>
        <v>21 ans</v>
      </c>
      <c r="K3541" s="2" t="s">
        <v>262</v>
      </c>
      <c r="L3541" s="2" t="str">
        <f>"2061"</f>
        <v>2061</v>
      </c>
      <c r="M3541" s="2"/>
      <c r="N3541" s="2" t="str">
        <f>"RUE LÉGARÉ"</f>
        <v>RUE LÉGARÉ</v>
      </c>
      <c r="O3541" s="2" t="s">
        <v>14661</v>
      </c>
      <c r="P3541" s="9" t="str">
        <f>VLOOKUP($O3541,'Liste des Villes'!$B$2:$B$1128,1,FALSE)</f>
        <v>Mirabel</v>
      </c>
      <c r="Q3541" s="9" t="str">
        <f>IFERROR($P3541,PROPER(VLOOKUP($O3541,'Villes en erreur'!$A$2:$B$72,2,FALSE)))</f>
        <v>Mirabel</v>
      </c>
      <c r="R3541" s="9" t="s">
        <v>14662</v>
      </c>
      <c r="S3541" s="9" t="str">
        <f>IF(ISBLANK($R3541),"",VLOOKUP($R3541,'Liste des Villes'!$B$2:$H$1128,4,FALSE))</f>
        <v>Laurentides</v>
      </c>
      <c r="T3541" s="2" t="s">
        <v>15527</v>
      </c>
      <c r="U3541" s="2" t="s">
        <v>39</v>
      </c>
      <c r="V3541" s="2" t="s">
        <v>40</v>
      </c>
      <c r="W3541" s="2" t="s">
        <v>15528</v>
      </c>
      <c r="X3541" s="2"/>
      <c r="Y3541" s="2"/>
      <c r="Z3541" s="2"/>
      <c r="AA3541" s="2" t="s">
        <v>708</v>
      </c>
      <c r="AB3541" s="2" t="s">
        <v>14669</v>
      </c>
      <c r="AC3541" s="4" t="s">
        <v>44</v>
      </c>
    </row>
    <row r="3542" spans="1:29" x14ac:dyDescent="0.25">
      <c r="A3542" s="1">
        <v>994</v>
      </c>
      <c r="B3542" s="17" t="s">
        <v>15529</v>
      </c>
      <c r="C3542" s="2" t="s">
        <v>4171</v>
      </c>
      <c r="D3542" s="15" t="s">
        <v>1398</v>
      </c>
      <c r="E3542" s="9" t="s">
        <v>698</v>
      </c>
      <c r="F3542" s="9" t="s">
        <v>1396</v>
      </c>
      <c r="G3542" s="9" t="s">
        <v>14473</v>
      </c>
      <c r="H3542" s="2" t="s">
        <v>35</v>
      </c>
      <c r="I3542" s="3">
        <v>37085</v>
      </c>
      <c r="J3542" s="9" t="str">
        <f t="shared" ca="1" si="58"/>
        <v>22 ans</v>
      </c>
      <c r="K3542" s="2" t="s">
        <v>156</v>
      </c>
      <c r="L3542" s="2" t="str">
        <f>"1186"</f>
        <v>1186</v>
      </c>
      <c r="M3542" s="2"/>
      <c r="N3542" s="2" t="str">
        <f>"RUE FILION"</f>
        <v>RUE FILION</v>
      </c>
      <c r="O3542" s="2" t="s">
        <v>14661</v>
      </c>
      <c r="P3542" s="9" t="str">
        <f>VLOOKUP($O3542,'Liste des Villes'!$B$2:$B$1128,1,FALSE)</f>
        <v>Mirabel</v>
      </c>
      <c r="Q3542" s="9" t="str">
        <f>IFERROR($P3542,PROPER(VLOOKUP($O3542,'Villes en erreur'!$A$2:$B$72,2,FALSE)))</f>
        <v>Mirabel</v>
      </c>
      <c r="R3542" s="9" t="s">
        <v>14662</v>
      </c>
      <c r="S3542" s="9" t="str">
        <f>IF(ISBLANK($R3542),"",VLOOKUP($R3542,'Liste des Villes'!$B$2:$H$1128,4,FALSE))</f>
        <v>Laurentides</v>
      </c>
      <c r="T3542" s="2" t="s">
        <v>15530</v>
      </c>
      <c r="U3542" s="2" t="s">
        <v>39</v>
      </c>
      <c r="V3542" s="2" t="s">
        <v>40</v>
      </c>
      <c r="W3542" s="2" t="s">
        <v>15531</v>
      </c>
      <c r="X3542" s="2"/>
      <c r="Y3542" s="2"/>
      <c r="Z3542" s="2"/>
      <c r="AA3542" s="2" t="s">
        <v>375</v>
      </c>
      <c r="AB3542" s="2" t="s">
        <v>376</v>
      </c>
      <c r="AC3542" s="4" t="s">
        <v>44</v>
      </c>
    </row>
    <row r="3543" spans="1:29" x14ac:dyDescent="0.25">
      <c r="A3543" s="1">
        <v>2145</v>
      </c>
      <c r="B3543" s="17" t="s">
        <v>15532</v>
      </c>
      <c r="C3543" s="2" t="s">
        <v>15533</v>
      </c>
      <c r="D3543" s="15" t="s">
        <v>15041</v>
      </c>
      <c r="E3543" s="9" t="s">
        <v>92</v>
      </c>
      <c r="F3543" s="9" t="s">
        <v>1371</v>
      </c>
      <c r="G3543" s="9" t="s">
        <v>233</v>
      </c>
      <c r="H3543" s="2" t="s">
        <v>60</v>
      </c>
      <c r="I3543" s="3">
        <v>37216</v>
      </c>
      <c r="J3543" s="9" t="str">
        <f t="shared" ca="1" si="58"/>
        <v>21 ans</v>
      </c>
      <c r="K3543" s="2" t="s">
        <v>262</v>
      </c>
      <c r="L3543" s="2" t="str">
        <f>"1902"</f>
        <v>1902</v>
      </c>
      <c r="M3543" s="2"/>
      <c r="N3543" s="2" t="str">
        <f>"RUE LANGLOIS"</f>
        <v>RUE LANGLOIS</v>
      </c>
      <c r="O3543" s="2" t="s">
        <v>14661</v>
      </c>
      <c r="P3543" s="9" t="str">
        <f>VLOOKUP($O3543,'Liste des Villes'!$B$2:$B$1128,1,FALSE)</f>
        <v>Mirabel</v>
      </c>
      <c r="Q3543" s="9" t="str">
        <f>IFERROR($P3543,PROPER(VLOOKUP($O3543,'Villes en erreur'!$A$2:$B$72,2,FALSE)))</f>
        <v>Mirabel</v>
      </c>
      <c r="R3543" s="9" t="s">
        <v>14662</v>
      </c>
      <c r="S3543" s="9" t="str">
        <f>IF(ISBLANK($R3543),"",VLOOKUP($R3543,'Liste des Villes'!$B$2:$H$1128,4,FALSE))</f>
        <v>Laurentides</v>
      </c>
      <c r="T3543" s="2" t="s">
        <v>15534</v>
      </c>
      <c r="U3543" s="2" t="s">
        <v>39</v>
      </c>
      <c r="V3543" s="2" t="s">
        <v>40</v>
      </c>
      <c r="W3543" s="2" t="s">
        <v>15535</v>
      </c>
      <c r="X3543" s="2"/>
      <c r="Y3543" s="2"/>
      <c r="Z3543" s="2"/>
      <c r="AA3543" s="2" t="s">
        <v>708</v>
      </c>
      <c r="AB3543" s="2" t="s">
        <v>14669</v>
      </c>
      <c r="AC3543" s="4" t="s">
        <v>44</v>
      </c>
    </row>
    <row r="3544" spans="1:29" x14ac:dyDescent="0.25">
      <c r="A3544" s="1">
        <v>383</v>
      </c>
      <c r="B3544" s="17" t="s">
        <v>15536</v>
      </c>
      <c r="C3544" s="2" t="s">
        <v>15537</v>
      </c>
      <c r="D3544" s="15" t="s">
        <v>10431</v>
      </c>
      <c r="E3544" s="9" t="s">
        <v>219</v>
      </c>
      <c r="F3544" s="9" t="s">
        <v>582</v>
      </c>
      <c r="G3544" s="9" t="s">
        <v>9670</v>
      </c>
      <c r="H3544" s="2" t="s">
        <v>60</v>
      </c>
      <c r="I3544" s="3">
        <v>37123</v>
      </c>
      <c r="J3544" s="9" t="str">
        <f t="shared" ca="1" si="58"/>
        <v>22 ans</v>
      </c>
      <c r="K3544" s="2" t="s">
        <v>156</v>
      </c>
      <c r="L3544" s="2" t="str">
        <f>"1318"</f>
        <v>1318</v>
      </c>
      <c r="M3544" s="2"/>
      <c r="N3544" s="2" t="str">
        <f>"RUE GORDON"</f>
        <v>RUE GORDON</v>
      </c>
      <c r="O3544" s="2" t="s">
        <v>14661</v>
      </c>
      <c r="P3544" s="9" t="str">
        <f>VLOOKUP($O3544,'Liste des Villes'!$B$2:$B$1128,1,FALSE)</f>
        <v>Mirabel</v>
      </c>
      <c r="Q3544" s="9" t="str">
        <f>IFERROR($P3544,PROPER(VLOOKUP($O3544,'Villes en erreur'!$A$2:$B$72,2,FALSE)))</f>
        <v>Mirabel</v>
      </c>
      <c r="R3544" s="9" t="s">
        <v>14662</v>
      </c>
      <c r="S3544" s="9" t="str">
        <f>IF(ISBLANK($R3544),"",VLOOKUP($R3544,'Liste des Villes'!$B$2:$H$1128,4,FALSE))</f>
        <v>Laurentides</v>
      </c>
      <c r="T3544" s="2" t="s">
        <v>15335</v>
      </c>
      <c r="U3544" s="2" t="s">
        <v>39</v>
      </c>
      <c r="V3544" s="2" t="s">
        <v>40</v>
      </c>
      <c r="W3544" s="2" t="s">
        <v>15538</v>
      </c>
      <c r="X3544" s="2"/>
      <c r="Y3544" s="2"/>
      <c r="Z3544" s="2"/>
      <c r="AA3544" s="2" t="s">
        <v>375</v>
      </c>
      <c r="AB3544" s="2" t="s">
        <v>376</v>
      </c>
      <c r="AC3544" s="4" t="s">
        <v>44</v>
      </c>
    </row>
    <row r="3545" spans="1:29" x14ac:dyDescent="0.25">
      <c r="A3545" s="1">
        <v>3079</v>
      </c>
      <c r="B3545" s="17" t="s">
        <v>15539</v>
      </c>
      <c r="C3545" s="2" t="s">
        <v>954</v>
      </c>
      <c r="D3545" s="15" t="s">
        <v>955</v>
      </c>
      <c r="E3545" s="9" t="s">
        <v>956</v>
      </c>
      <c r="F3545" s="9" t="s">
        <v>957</v>
      </c>
      <c r="G3545" s="9" t="s">
        <v>3849</v>
      </c>
      <c r="H3545" s="2" t="s">
        <v>60</v>
      </c>
      <c r="I3545" s="3">
        <v>37182</v>
      </c>
      <c r="J3545" s="9" t="str">
        <f t="shared" ca="1" si="58"/>
        <v>21 ans</v>
      </c>
      <c r="K3545" s="2" t="s">
        <v>262</v>
      </c>
      <c r="L3545" s="2" t="str">
        <f>"1677"</f>
        <v>1677</v>
      </c>
      <c r="M3545" s="2"/>
      <c r="N3545" s="2" t="str">
        <f>"RUE JUSTINE-LACOSTE"</f>
        <v>RUE JUSTINE-LACOSTE</v>
      </c>
      <c r="O3545" s="2" t="s">
        <v>14661</v>
      </c>
      <c r="P3545" s="9" t="str">
        <f>VLOOKUP($O3545,'Liste des Villes'!$B$2:$B$1128,1,FALSE)</f>
        <v>Mirabel</v>
      </c>
      <c r="Q3545" s="9" t="str">
        <f>IFERROR($P3545,PROPER(VLOOKUP($O3545,'Villes en erreur'!$A$2:$B$72,2,FALSE)))</f>
        <v>Mirabel</v>
      </c>
      <c r="R3545" s="9" t="s">
        <v>14662</v>
      </c>
      <c r="S3545" s="9" t="str">
        <f>IF(ISBLANK($R3545),"",VLOOKUP($R3545,'Liste des Villes'!$B$2:$H$1128,4,FALSE))</f>
        <v>Laurentides</v>
      </c>
      <c r="T3545" s="2" t="s">
        <v>15108</v>
      </c>
      <c r="U3545" s="2" t="s">
        <v>39</v>
      </c>
      <c r="V3545" s="2" t="s">
        <v>40</v>
      </c>
      <c r="W3545" s="2" t="s">
        <v>15540</v>
      </c>
      <c r="X3545" s="2"/>
      <c r="Y3545" s="2"/>
      <c r="Z3545" s="2"/>
      <c r="AA3545" s="2" t="s">
        <v>708</v>
      </c>
      <c r="AB3545" s="2" t="s">
        <v>14669</v>
      </c>
      <c r="AC3545" s="4" t="s">
        <v>44</v>
      </c>
    </row>
    <row r="3546" spans="1:29" x14ac:dyDescent="0.25">
      <c r="A3546" s="1">
        <v>354</v>
      </c>
      <c r="B3546" s="17" t="s">
        <v>15541</v>
      </c>
      <c r="C3546" s="2" t="s">
        <v>598</v>
      </c>
      <c r="D3546" s="15" t="s">
        <v>599</v>
      </c>
      <c r="E3546" s="9" t="s">
        <v>600</v>
      </c>
      <c r="F3546" s="9" t="s">
        <v>1042</v>
      </c>
      <c r="G3546" s="9" t="s">
        <v>549</v>
      </c>
      <c r="H3546" s="2" t="s">
        <v>60</v>
      </c>
      <c r="I3546" s="3">
        <v>37223</v>
      </c>
      <c r="J3546" s="9" t="str">
        <f t="shared" ca="1" si="58"/>
        <v>21 ans</v>
      </c>
      <c r="K3546" s="2" t="s">
        <v>262</v>
      </c>
      <c r="L3546" s="2" t="str">
        <f>"1955"</f>
        <v>1955</v>
      </c>
      <c r="M3546" s="2"/>
      <c r="N3546" s="2" t="str">
        <f>"RUE LATOUR"</f>
        <v>RUE LATOUR</v>
      </c>
      <c r="O3546" s="2" t="s">
        <v>14661</v>
      </c>
      <c r="P3546" s="9" t="str">
        <f>VLOOKUP($O3546,'Liste des Villes'!$B$2:$B$1128,1,FALSE)</f>
        <v>Mirabel</v>
      </c>
      <c r="Q3546" s="9" t="str">
        <f>IFERROR($P3546,PROPER(VLOOKUP($O3546,'Villes en erreur'!$A$2:$B$72,2,FALSE)))</f>
        <v>Mirabel</v>
      </c>
      <c r="R3546" s="9" t="s">
        <v>14662</v>
      </c>
      <c r="S3546" s="9" t="str">
        <f>IF(ISBLANK($R3546),"",VLOOKUP($R3546,'Liste des Villes'!$B$2:$H$1128,4,FALSE))</f>
        <v>Laurentides</v>
      </c>
      <c r="T3546" s="2" t="s">
        <v>15542</v>
      </c>
      <c r="U3546" s="2" t="s">
        <v>39</v>
      </c>
      <c r="V3546" s="2" t="s">
        <v>40</v>
      </c>
      <c r="W3546" s="2" t="s">
        <v>15543</v>
      </c>
      <c r="X3546" s="2"/>
      <c r="Y3546" s="2"/>
      <c r="Z3546" s="2"/>
      <c r="AA3546" s="2" t="s">
        <v>708</v>
      </c>
      <c r="AB3546" s="2" t="s">
        <v>14669</v>
      </c>
      <c r="AC3546" s="4" t="s">
        <v>44</v>
      </c>
    </row>
    <row r="3547" spans="1:29" x14ac:dyDescent="0.25">
      <c r="A3547" s="1">
        <v>2152</v>
      </c>
      <c r="B3547" s="17" t="s">
        <v>15544</v>
      </c>
      <c r="C3547" s="2" t="s">
        <v>15545</v>
      </c>
      <c r="D3547" s="15" t="s">
        <v>5138</v>
      </c>
      <c r="E3547" s="9" t="s">
        <v>15113</v>
      </c>
      <c r="F3547" s="9" t="s">
        <v>861</v>
      </c>
      <c r="G3547" s="9" t="s">
        <v>15546</v>
      </c>
      <c r="H3547" s="2" t="s">
        <v>35</v>
      </c>
      <c r="I3547" s="3">
        <v>37084</v>
      </c>
      <c r="J3547" s="9" t="str">
        <f t="shared" ca="1" si="58"/>
        <v>22 ans</v>
      </c>
      <c r="K3547" s="2" t="s">
        <v>156</v>
      </c>
      <c r="L3547" s="2" t="str">
        <f>"1181"</f>
        <v>1181</v>
      </c>
      <c r="M3547" s="2"/>
      <c r="N3547" s="2" t="str">
        <f>"RUE FILION"</f>
        <v>RUE FILION</v>
      </c>
      <c r="O3547" s="2" t="s">
        <v>14661</v>
      </c>
      <c r="P3547" s="9" t="str">
        <f>VLOOKUP($O3547,'Liste des Villes'!$B$2:$B$1128,1,FALSE)</f>
        <v>Mirabel</v>
      </c>
      <c r="Q3547" s="9" t="str">
        <f>IFERROR($P3547,PROPER(VLOOKUP($O3547,'Villes en erreur'!$A$2:$B$72,2,FALSE)))</f>
        <v>Mirabel</v>
      </c>
      <c r="R3547" s="9" t="s">
        <v>14662</v>
      </c>
      <c r="S3547" s="9" t="str">
        <f>IF(ISBLANK($R3547),"",VLOOKUP($R3547,'Liste des Villes'!$B$2:$H$1128,4,FALSE))</f>
        <v>Laurentides</v>
      </c>
      <c r="T3547" s="2" t="s">
        <v>15547</v>
      </c>
      <c r="U3547" s="2" t="s">
        <v>39</v>
      </c>
      <c r="V3547" s="2" t="s">
        <v>40</v>
      </c>
      <c r="W3547" s="2" t="s">
        <v>15548</v>
      </c>
      <c r="X3547" s="2"/>
      <c r="Y3547" s="2"/>
      <c r="Z3547" s="2"/>
      <c r="AA3547" s="2" t="s">
        <v>375</v>
      </c>
      <c r="AB3547" s="2" t="s">
        <v>376</v>
      </c>
      <c r="AC3547" s="4" t="s">
        <v>44</v>
      </c>
    </row>
    <row r="3548" spans="1:29" x14ac:dyDescent="0.25">
      <c r="A3548" s="1">
        <v>3704</v>
      </c>
      <c r="B3548" s="17" t="s">
        <v>15549</v>
      </c>
      <c r="C3548" s="2" t="s">
        <v>15550</v>
      </c>
      <c r="D3548" s="15" t="s">
        <v>9129</v>
      </c>
      <c r="E3548" s="9" t="s">
        <v>5788</v>
      </c>
      <c r="F3548" s="9" t="s">
        <v>562</v>
      </c>
      <c r="G3548" s="9" t="s">
        <v>3700</v>
      </c>
      <c r="H3548" s="2" t="s">
        <v>60</v>
      </c>
      <c r="I3548" s="3">
        <v>37139</v>
      </c>
      <c r="J3548" s="9" t="str">
        <f t="shared" ca="1" si="58"/>
        <v>21 ans</v>
      </c>
      <c r="K3548" s="2" t="s">
        <v>156</v>
      </c>
      <c r="L3548" s="2" t="str">
        <f>"1403"</f>
        <v>1403</v>
      </c>
      <c r="M3548" s="2"/>
      <c r="N3548" s="2" t="str">
        <f>"RUE HUBERT"</f>
        <v>RUE HUBERT</v>
      </c>
      <c r="O3548" s="2" t="s">
        <v>14661</v>
      </c>
      <c r="P3548" s="9" t="str">
        <f>VLOOKUP($O3548,'Liste des Villes'!$B$2:$B$1128,1,FALSE)</f>
        <v>Mirabel</v>
      </c>
      <c r="Q3548" s="9" t="str">
        <f>IFERROR($P3548,PROPER(VLOOKUP($O3548,'Villes en erreur'!$A$2:$B$72,2,FALSE)))</f>
        <v>Mirabel</v>
      </c>
      <c r="R3548" s="9" t="s">
        <v>14662</v>
      </c>
      <c r="S3548" s="9" t="str">
        <f>IF(ISBLANK($R3548),"",VLOOKUP($R3548,'Liste des Villes'!$B$2:$H$1128,4,FALSE))</f>
        <v>Laurentides</v>
      </c>
      <c r="T3548" s="2" t="s">
        <v>15551</v>
      </c>
      <c r="U3548" s="2" t="s">
        <v>39</v>
      </c>
      <c r="V3548" s="2" t="s">
        <v>40</v>
      </c>
      <c r="W3548" s="2" t="s">
        <v>15552</v>
      </c>
      <c r="X3548" s="2"/>
      <c r="Y3548" s="2"/>
      <c r="Z3548" s="2"/>
      <c r="AA3548" s="2" t="s">
        <v>708</v>
      </c>
      <c r="AB3548" s="2" t="s">
        <v>376</v>
      </c>
      <c r="AC3548" s="4" t="s">
        <v>44</v>
      </c>
    </row>
    <row r="3549" spans="1:29" x14ac:dyDescent="0.25">
      <c r="A3549" s="1">
        <v>3223</v>
      </c>
      <c r="B3549" s="17" t="s">
        <v>15553</v>
      </c>
      <c r="C3549" s="2" t="s">
        <v>2286</v>
      </c>
      <c r="D3549" s="15" t="s">
        <v>1951</v>
      </c>
      <c r="E3549" s="9" t="s">
        <v>186</v>
      </c>
      <c r="F3549" s="9" t="s">
        <v>1950</v>
      </c>
      <c r="G3549" s="9" t="s">
        <v>14774</v>
      </c>
      <c r="H3549" s="2" t="s">
        <v>35</v>
      </c>
      <c r="I3549" s="3">
        <v>37131</v>
      </c>
      <c r="J3549" s="9" t="str">
        <f t="shared" ca="1" si="58"/>
        <v>21 ans</v>
      </c>
      <c r="K3549" s="2" t="s">
        <v>156</v>
      </c>
      <c r="L3549" s="2" t="str">
        <f>"1352"</f>
        <v>1352</v>
      </c>
      <c r="M3549" s="2"/>
      <c r="N3549" s="2" t="str">
        <f>"RUE HARFANG DES NEIGES"</f>
        <v>RUE HARFANG DES NEIGES</v>
      </c>
      <c r="O3549" s="2" t="s">
        <v>14661</v>
      </c>
      <c r="P3549" s="9" t="str">
        <f>VLOOKUP($O3549,'Liste des Villes'!$B$2:$B$1128,1,FALSE)</f>
        <v>Mirabel</v>
      </c>
      <c r="Q3549" s="9" t="str">
        <f>IFERROR($P3549,PROPER(VLOOKUP($O3549,'Villes en erreur'!$A$2:$B$72,2,FALSE)))</f>
        <v>Mirabel</v>
      </c>
      <c r="R3549" s="9" t="s">
        <v>14662</v>
      </c>
      <c r="S3549" s="9" t="str">
        <f>IF(ISBLANK($R3549),"",VLOOKUP($R3549,'Liste des Villes'!$B$2:$H$1128,4,FALSE))</f>
        <v>Laurentides</v>
      </c>
      <c r="T3549" s="2" t="s">
        <v>15554</v>
      </c>
      <c r="U3549" s="2" t="s">
        <v>39</v>
      </c>
      <c r="V3549" s="2" t="s">
        <v>40</v>
      </c>
      <c r="W3549" s="2" t="s">
        <v>15555</v>
      </c>
      <c r="X3549" s="2"/>
      <c r="Y3549" s="2"/>
      <c r="Z3549" s="2"/>
      <c r="AA3549" s="2" t="s">
        <v>375</v>
      </c>
      <c r="AB3549" s="2" t="s">
        <v>376</v>
      </c>
      <c r="AC3549" s="4" t="s">
        <v>44</v>
      </c>
    </row>
    <row r="3550" spans="1:29" x14ac:dyDescent="0.25">
      <c r="A3550" s="1">
        <v>2355</v>
      </c>
      <c r="B3550" s="17" t="s">
        <v>15556</v>
      </c>
      <c r="C3550" s="2" t="s">
        <v>15557</v>
      </c>
      <c r="D3550" s="15" t="s">
        <v>15558</v>
      </c>
      <c r="E3550" s="9" t="s">
        <v>186</v>
      </c>
      <c r="F3550" s="9" t="s">
        <v>4303</v>
      </c>
      <c r="G3550" s="9" t="s">
        <v>860</v>
      </c>
      <c r="H3550" s="2" t="s">
        <v>60</v>
      </c>
      <c r="I3550" s="3">
        <v>37184</v>
      </c>
      <c r="J3550" s="9" t="str">
        <f t="shared" ca="1" si="58"/>
        <v>21 ans</v>
      </c>
      <c r="K3550" s="2" t="s">
        <v>262</v>
      </c>
      <c r="L3550" s="2" t="str">
        <f>"1697"</f>
        <v>1697</v>
      </c>
      <c r="M3550" s="2"/>
      <c r="N3550" s="2" t="str">
        <f>"RUE KIM"</f>
        <v>RUE KIM</v>
      </c>
      <c r="O3550" s="2" t="s">
        <v>14661</v>
      </c>
      <c r="P3550" s="9" t="str">
        <f>VLOOKUP($O3550,'Liste des Villes'!$B$2:$B$1128,1,FALSE)</f>
        <v>Mirabel</v>
      </c>
      <c r="Q3550" s="9" t="str">
        <f>IFERROR($P3550,PROPER(VLOOKUP($O3550,'Villes en erreur'!$A$2:$B$72,2,FALSE)))</f>
        <v>Mirabel</v>
      </c>
      <c r="R3550" s="9" t="s">
        <v>14662</v>
      </c>
      <c r="S3550" s="9" t="str">
        <f>IF(ISBLANK($R3550),"",VLOOKUP($R3550,'Liste des Villes'!$B$2:$H$1128,4,FALSE))</f>
        <v>Laurentides</v>
      </c>
      <c r="T3550" s="2" t="s">
        <v>14806</v>
      </c>
      <c r="U3550" s="2" t="s">
        <v>39</v>
      </c>
      <c r="V3550" s="2" t="s">
        <v>40</v>
      </c>
      <c r="W3550" s="2" t="s">
        <v>15559</v>
      </c>
      <c r="X3550" s="2"/>
      <c r="Y3550" s="2"/>
      <c r="Z3550" s="2"/>
      <c r="AA3550" s="2" t="s">
        <v>708</v>
      </c>
      <c r="AB3550" s="2" t="s">
        <v>14669</v>
      </c>
      <c r="AC3550" s="4" t="s">
        <v>44</v>
      </c>
    </row>
    <row r="3551" spans="1:29" x14ac:dyDescent="0.25">
      <c r="A3551" s="1">
        <v>3021</v>
      </c>
      <c r="B3551" s="17" t="s">
        <v>15560</v>
      </c>
      <c r="C3551" s="2" t="s">
        <v>15561</v>
      </c>
      <c r="D3551" s="15" t="s">
        <v>15562</v>
      </c>
      <c r="E3551" s="9" t="s">
        <v>2114</v>
      </c>
      <c r="F3551" s="9" t="s">
        <v>2115</v>
      </c>
      <c r="G3551" s="9" t="s">
        <v>743</v>
      </c>
      <c r="H3551" s="2" t="s">
        <v>60</v>
      </c>
      <c r="I3551" s="3">
        <v>37169</v>
      </c>
      <c r="J3551" s="9" t="str">
        <f t="shared" ca="1" si="58"/>
        <v>21 ans</v>
      </c>
      <c r="K3551" s="2" t="s">
        <v>156</v>
      </c>
      <c r="L3551" s="2" t="str">
        <f>"1570"</f>
        <v>1570</v>
      </c>
      <c r="M3551" s="2"/>
      <c r="N3551" s="2" t="str">
        <f>"RUE JESSYKA"</f>
        <v>RUE JESSYKA</v>
      </c>
      <c r="O3551" s="2" t="s">
        <v>14661</v>
      </c>
      <c r="P3551" s="9" t="str">
        <f>VLOOKUP($O3551,'Liste des Villes'!$B$2:$B$1128,1,FALSE)</f>
        <v>Mirabel</v>
      </c>
      <c r="Q3551" s="9" t="str">
        <f>IFERROR($P3551,PROPER(VLOOKUP($O3551,'Villes en erreur'!$A$2:$B$72,2,FALSE)))</f>
        <v>Mirabel</v>
      </c>
      <c r="R3551" s="9" t="s">
        <v>14662</v>
      </c>
      <c r="S3551" s="9" t="str">
        <f>IF(ISBLANK($R3551),"",VLOOKUP($R3551,'Liste des Villes'!$B$2:$H$1128,4,FALSE))</f>
        <v>Laurentides</v>
      </c>
      <c r="T3551" s="2" t="s">
        <v>15563</v>
      </c>
      <c r="U3551" s="2" t="s">
        <v>39</v>
      </c>
      <c r="V3551" s="2" t="s">
        <v>40</v>
      </c>
      <c r="W3551" s="2" t="s">
        <v>15564</v>
      </c>
      <c r="X3551" s="2"/>
      <c r="Y3551" s="2"/>
      <c r="Z3551" s="2"/>
      <c r="AA3551" s="2" t="s">
        <v>708</v>
      </c>
      <c r="AB3551" s="2" t="s">
        <v>376</v>
      </c>
      <c r="AC3551" s="4" t="s">
        <v>44</v>
      </c>
    </row>
    <row r="3552" spans="1:29" x14ac:dyDescent="0.25">
      <c r="A3552" s="1">
        <v>4204</v>
      </c>
      <c r="B3552" s="17" t="s">
        <v>15565</v>
      </c>
      <c r="C3552" s="2" t="s">
        <v>15566</v>
      </c>
      <c r="D3552" s="15" t="s">
        <v>11239</v>
      </c>
      <c r="E3552" s="9" t="s">
        <v>3013</v>
      </c>
      <c r="F3552" s="9" t="s">
        <v>11238</v>
      </c>
      <c r="G3552" s="9" t="s">
        <v>4092</v>
      </c>
      <c r="H3552" s="2" t="s">
        <v>35</v>
      </c>
      <c r="I3552" s="3">
        <v>37129</v>
      </c>
      <c r="J3552" s="9" t="str">
        <f t="shared" ca="1" si="58"/>
        <v>21 ans</v>
      </c>
      <c r="K3552" s="2" t="s">
        <v>156</v>
      </c>
      <c r="L3552" s="2" t="str">
        <f>"1349"</f>
        <v>1349</v>
      </c>
      <c r="M3552" s="2"/>
      <c r="N3552" s="2" t="str">
        <f>"RUE GUY-RACICOT"</f>
        <v>RUE GUY-RACICOT</v>
      </c>
      <c r="O3552" s="2" t="s">
        <v>14661</v>
      </c>
      <c r="P3552" s="9" t="str">
        <f>VLOOKUP($O3552,'Liste des Villes'!$B$2:$B$1128,1,FALSE)</f>
        <v>Mirabel</v>
      </c>
      <c r="Q3552" s="9" t="str">
        <f>IFERROR($P3552,PROPER(VLOOKUP($O3552,'Villes en erreur'!$A$2:$B$72,2,FALSE)))</f>
        <v>Mirabel</v>
      </c>
      <c r="R3552" s="9" t="s">
        <v>14662</v>
      </c>
      <c r="S3552" s="9" t="str">
        <f>IF(ISBLANK($R3552),"",VLOOKUP($R3552,'Liste des Villes'!$B$2:$H$1128,4,FALSE))</f>
        <v>Laurentides</v>
      </c>
      <c r="T3552" s="2" t="s">
        <v>15567</v>
      </c>
      <c r="U3552" s="2" t="s">
        <v>39</v>
      </c>
      <c r="V3552" s="2" t="s">
        <v>40</v>
      </c>
      <c r="W3552" s="2" t="s">
        <v>15568</v>
      </c>
      <c r="X3552" s="2"/>
      <c r="Y3552" s="2"/>
      <c r="Z3552" s="2"/>
      <c r="AA3552" s="2" t="s">
        <v>375</v>
      </c>
      <c r="AB3552" s="2" t="s">
        <v>376</v>
      </c>
      <c r="AC3552" s="4" t="s">
        <v>44</v>
      </c>
    </row>
    <row r="3553" spans="1:29" x14ac:dyDescent="0.25">
      <c r="A3553" s="1">
        <v>1677</v>
      </c>
      <c r="B3553" s="17" t="s">
        <v>15569</v>
      </c>
      <c r="C3553" s="2" t="s">
        <v>15570</v>
      </c>
      <c r="D3553" s="15" t="s">
        <v>3677</v>
      </c>
      <c r="E3553" s="9" t="s">
        <v>85</v>
      </c>
      <c r="F3553" s="9" t="s">
        <v>1576</v>
      </c>
      <c r="G3553" s="9" t="s">
        <v>3849</v>
      </c>
      <c r="H3553" s="2" t="s">
        <v>60</v>
      </c>
      <c r="I3553" s="3">
        <v>37180</v>
      </c>
      <c r="J3553" s="9" t="str">
        <f t="shared" ca="1" si="58"/>
        <v>21 ans</v>
      </c>
      <c r="K3553" s="2" t="s">
        <v>262</v>
      </c>
      <c r="L3553" s="2" t="str">
        <f>"1661"</f>
        <v>1661</v>
      </c>
      <c r="M3553" s="2"/>
      <c r="N3553" s="2" t="str">
        <f>"RUE JULIEN"</f>
        <v>RUE JULIEN</v>
      </c>
      <c r="O3553" s="2" t="s">
        <v>14661</v>
      </c>
      <c r="P3553" s="9" t="str">
        <f>VLOOKUP($O3553,'Liste des Villes'!$B$2:$B$1128,1,FALSE)</f>
        <v>Mirabel</v>
      </c>
      <c r="Q3553" s="9" t="str">
        <f>IFERROR($P3553,PROPER(VLOOKUP($O3553,'Villes en erreur'!$A$2:$B$72,2,FALSE)))</f>
        <v>Mirabel</v>
      </c>
      <c r="R3553" s="9" t="s">
        <v>14662</v>
      </c>
      <c r="S3553" s="9" t="str">
        <f>IF(ISBLANK($R3553),"",VLOOKUP($R3553,'Liste des Villes'!$B$2:$H$1128,4,FALSE))</f>
        <v>Laurentides</v>
      </c>
      <c r="T3553" s="2" t="s">
        <v>15571</v>
      </c>
      <c r="U3553" s="2" t="s">
        <v>39</v>
      </c>
      <c r="V3553" s="2" t="s">
        <v>40</v>
      </c>
      <c r="W3553" s="2" t="s">
        <v>15572</v>
      </c>
      <c r="X3553" s="2"/>
      <c r="Y3553" s="2"/>
      <c r="Z3553" s="2"/>
      <c r="AA3553" s="2" t="s">
        <v>708</v>
      </c>
      <c r="AB3553" s="2" t="s">
        <v>14669</v>
      </c>
      <c r="AC3553" s="4" t="s">
        <v>44</v>
      </c>
    </row>
    <row r="3554" spans="1:29" x14ac:dyDescent="0.25">
      <c r="A3554" s="1">
        <v>3785</v>
      </c>
      <c r="B3554" s="17" t="s">
        <v>15573</v>
      </c>
      <c r="C3554" s="2" t="s">
        <v>15574</v>
      </c>
      <c r="D3554" s="15" t="s">
        <v>9822</v>
      </c>
      <c r="E3554" s="9" t="s">
        <v>743</v>
      </c>
      <c r="F3554" s="9" t="s">
        <v>9821</v>
      </c>
      <c r="G3554" s="9" t="s">
        <v>1004</v>
      </c>
      <c r="H3554" s="2" t="s">
        <v>60</v>
      </c>
      <c r="I3554" s="3">
        <v>37103</v>
      </c>
      <c r="J3554" s="9" t="str">
        <f t="shared" ca="1" si="58"/>
        <v>22 ans</v>
      </c>
      <c r="K3554" s="2" t="s">
        <v>156</v>
      </c>
      <c r="L3554" s="2" t="str">
        <f>"1240"</f>
        <v>1240</v>
      </c>
      <c r="M3554" s="2"/>
      <c r="N3554" s="2" t="str">
        <f>"RUE GABRIELLE ROY"</f>
        <v>RUE GABRIELLE ROY</v>
      </c>
      <c r="O3554" s="2" t="s">
        <v>14661</v>
      </c>
      <c r="P3554" s="9" t="str">
        <f>VLOOKUP($O3554,'Liste des Villes'!$B$2:$B$1128,1,FALSE)</f>
        <v>Mirabel</v>
      </c>
      <c r="Q3554" s="9" t="str">
        <f>IFERROR($P3554,PROPER(VLOOKUP($O3554,'Villes en erreur'!$A$2:$B$72,2,FALSE)))</f>
        <v>Mirabel</v>
      </c>
      <c r="R3554" s="9" t="s">
        <v>14662</v>
      </c>
      <c r="S3554" s="9" t="str">
        <f>IF(ISBLANK($R3554),"",VLOOKUP($R3554,'Liste des Villes'!$B$2:$H$1128,4,FALSE))</f>
        <v>Laurentides</v>
      </c>
      <c r="T3554" s="2" t="s">
        <v>15012</v>
      </c>
      <c r="U3554" s="2" t="s">
        <v>39</v>
      </c>
      <c r="V3554" s="2" t="s">
        <v>40</v>
      </c>
      <c r="W3554" s="2" t="s">
        <v>15575</v>
      </c>
      <c r="X3554" s="2"/>
      <c r="Y3554" s="2"/>
      <c r="Z3554" s="2"/>
      <c r="AA3554" s="2" t="s">
        <v>375</v>
      </c>
      <c r="AB3554" s="2" t="s">
        <v>376</v>
      </c>
      <c r="AC3554" s="4" t="s">
        <v>44</v>
      </c>
    </row>
    <row r="3555" spans="1:29" x14ac:dyDescent="0.25">
      <c r="A3555" s="1">
        <v>3048</v>
      </c>
      <c r="B3555" s="17" t="s">
        <v>15576</v>
      </c>
      <c r="C3555" s="2" t="s">
        <v>8097</v>
      </c>
      <c r="D3555" s="15" t="s">
        <v>6459</v>
      </c>
      <c r="E3555" s="9" t="s">
        <v>1673</v>
      </c>
      <c r="F3555" s="9" t="s">
        <v>7761</v>
      </c>
      <c r="G3555" s="9" t="s">
        <v>3849</v>
      </c>
      <c r="H3555" s="2" t="s">
        <v>60</v>
      </c>
      <c r="I3555" s="3">
        <v>37180</v>
      </c>
      <c r="J3555" s="9" t="str">
        <f t="shared" ca="1" si="58"/>
        <v>21 ans</v>
      </c>
      <c r="K3555" s="2" t="s">
        <v>262</v>
      </c>
      <c r="L3555" s="2" t="str">
        <f>"1652"</f>
        <v>1652</v>
      </c>
      <c r="M3555" s="2"/>
      <c r="N3555" s="2" t="str">
        <f>"RUE JOSEPH-PAQUETTE"</f>
        <v>RUE JOSEPH-PAQUETTE</v>
      </c>
      <c r="O3555" s="2" t="s">
        <v>14661</v>
      </c>
      <c r="P3555" s="9" t="str">
        <f>VLOOKUP($O3555,'Liste des Villes'!$B$2:$B$1128,1,FALSE)</f>
        <v>Mirabel</v>
      </c>
      <c r="Q3555" s="9" t="str">
        <f>IFERROR($P3555,PROPER(VLOOKUP($O3555,'Villes en erreur'!$A$2:$B$72,2,FALSE)))</f>
        <v>Mirabel</v>
      </c>
      <c r="R3555" s="9" t="s">
        <v>14662</v>
      </c>
      <c r="S3555" s="9" t="str">
        <f>IF(ISBLANK($R3555),"",VLOOKUP($R3555,'Liste des Villes'!$B$2:$H$1128,4,FALSE))</f>
        <v>Laurentides</v>
      </c>
      <c r="T3555" s="2" t="s">
        <v>15148</v>
      </c>
      <c r="U3555" s="2" t="s">
        <v>39</v>
      </c>
      <c r="V3555" s="2" t="s">
        <v>40</v>
      </c>
      <c r="W3555" s="2" t="s">
        <v>15577</v>
      </c>
      <c r="X3555" s="2"/>
      <c r="Y3555" s="2"/>
      <c r="Z3555" s="2"/>
      <c r="AA3555" s="2" t="s">
        <v>708</v>
      </c>
      <c r="AB3555" s="2" t="s">
        <v>14669</v>
      </c>
      <c r="AC3555" s="4" t="s">
        <v>44</v>
      </c>
    </row>
    <row r="3556" spans="1:29" x14ac:dyDescent="0.25">
      <c r="A3556" s="1">
        <v>3352</v>
      </c>
      <c r="B3556" s="17" t="s">
        <v>15578</v>
      </c>
      <c r="C3556" s="2" t="s">
        <v>15579</v>
      </c>
      <c r="D3556" s="15" t="s">
        <v>15580</v>
      </c>
      <c r="E3556" s="9" t="s">
        <v>4243</v>
      </c>
      <c r="F3556" s="9" t="s">
        <v>1061</v>
      </c>
      <c r="G3556" s="9" t="s">
        <v>2920</v>
      </c>
      <c r="H3556" s="2" t="s">
        <v>60</v>
      </c>
      <c r="I3556" s="3">
        <v>37098</v>
      </c>
      <c r="J3556" s="9" t="str">
        <f t="shared" ca="1" si="58"/>
        <v>22 ans</v>
      </c>
      <c r="K3556" s="2" t="s">
        <v>156</v>
      </c>
      <c r="L3556" s="2" t="str">
        <f>"1223"</f>
        <v>1223</v>
      </c>
      <c r="M3556" s="2"/>
      <c r="N3556" s="2" t="str">
        <f>"RUE FOURNIER"</f>
        <v>RUE FOURNIER</v>
      </c>
      <c r="O3556" s="2" t="s">
        <v>14661</v>
      </c>
      <c r="P3556" s="9" t="str">
        <f>VLOOKUP($O3556,'Liste des Villes'!$B$2:$B$1128,1,FALSE)</f>
        <v>Mirabel</v>
      </c>
      <c r="Q3556" s="9" t="str">
        <f>IFERROR($P3556,PROPER(VLOOKUP($O3556,'Villes en erreur'!$A$2:$B$72,2,FALSE)))</f>
        <v>Mirabel</v>
      </c>
      <c r="R3556" s="9" t="s">
        <v>14662</v>
      </c>
      <c r="S3556" s="9" t="str">
        <f>IF(ISBLANK($R3556),"",VLOOKUP($R3556,'Liste des Villes'!$B$2:$H$1128,4,FALSE))</f>
        <v>Laurentides</v>
      </c>
      <c r="T3556" s="2" t="s">
        <v>15581</v>
      </c>
      <c r="U3556" s="2" t="s">
        <v>39</v>
      </c>
      <c r="V3556" s="2" t="s">
        <v>40</v>
      </c>
      <c r="W3556" s="2" t="s">
        <v>15582</v>
      </c>
      <c r="X3556" s="2"/>
      <c r="Y3556" s="2"/>
      <c r="Z3556" s="2"/>
      <c r="AA3556" s="2" t="s">
        <v>375</v>
      </c>
      <c r="AB3556" s="2" t="s">
        <v>376</v>
      </c>
      <c r="AC3556" s="4" t="s">
        <v>44</v>
      </c>
    </row>
    <row r="3557" spans="1:29" x14ac:dyDescent="0.25">
      <c r="A3557" s="1">
        <v>2160</v>
      </c>
      <c r="B3557" s="17" t="s">
        <v>15583</v>
      </c>
      <c r="C3557" s="2" t="s">
        <v>15584</v>
      </c>
      <c r="D3557" s="15" t="s">
        <v>8729</v>
      </c>
      <c r="E3557" s="9" t="s">
        <v>12773</v>
      </c>
      <c r="F3557" s="9" t="s">
        <v>8728</v>
      </c>
      <c r="G3557" s="9" t="s">
        <v>3235</v>
      </c>
      <c r="H3557" s="2" t="s">
        <v>60</v>
      </c>
      <c r="I3557" s="3">
        <v>37143</v>
      </c>
      <c r="J3557" s="9" t="str">
        <f t="shared" ca="1" si="58"/>
        <v>21 ans</v>
      </c>
      <c r="K3557" s="2" t="s">
        <v>156</v>
      </c>
      <c r="L3557" s="2" t="str">
        <f>"1416"</f>
        <v>1416</v>
      </c>
      <c r="M3557" s="2"/>
      <c r="N3557" s="2" t="str">
        <f>"RUE IBERVILLE"</f>
        <v>RUE IBERVILLE</v>
      </c>
      <c r="O3557" s="2" t="s">
        <v>14661</v>
      </c>
      <c r="P3557" s="9" t="str">
        <f>VLOOKUP($O3557,'Liste des Villes'!$B$2:$B$1128,1,FALSE)</f>
        <v>Mirabel</v>
      </c>
      <c r="Q3557" s="9" t="str">
        <f>IFERROR($P3557,PROPER(VLOOKUP($O3557,'Villes en erreur'!$A$2:$B$72,2,FALSE)))</f>
        <v>Mirabel</v>
      </c>
      <c r="R3557" s="9" t="s">
        <v>14662</v>
      </c>
      <c r="S3557" s="9" t="str">
        <f>IF(ISBLANK($R3557),"",VLOOKUP($R3557,'Liste des Villes'!$B$2:$H$1128,4,FALSE))</f>
        <v>Laurentides</v>
      </c>
      <c r="T3557" s="2" t="s">
        <v>15585</v>
      </c>
      <c r="U3557" s="2" t="s">
        <v>39</v>
      </c>
      <c r="V3557" s="2" t="s">
        <v>40</v>
      </c>
      <c r="W3557" s="2" t="s">
        <v>15586</v>
      </c>
      <c r="X3557" s="2"/>
      <c r="Y3557" s="2"/>
      <c r="Z3557" s="2"/>
      <c r="AA3557" s="2" t="s">
        <v>708</v>
      </c>
      <c r="AB3557" s="2" t="s">
        <v>376</v>
      </c>
      <c r="AC3557" s="4" t="s">
        <v>44</v>
      </c>
    </row>
    <row r="3558" spans="1:29" x14ac:dyDescent="0.25">
      <c r="A3558" s="1">
        <v>2537</v>
      </c>
      <c r="B3558" s="17" t="s">
        <v>15587</v>
      </c>
      <c r="C3558" s="2" t="s">
        <v>15588</v>
      </c>
      <c r="D3558" s="15" t="s">
        <v>4221</v>
      </c>
      <c r="E3558" s="9" t="s">
        <v>92</v>
      </c>
      <c r="F3558" s="9" t="s">
        <v>4219</v>
      </c>
      <c r="G3558" s="9" t="s">
        <v>15589</v>
      </c>
      <c r="H3558" s="2" t="s">
        <v>60</v>
      </c>
      <c r="I3558" s="3">
        <v>37117</v>
      </c>
      <c r="J3558" s="9" t="str">
        <f t="shared" ca="1" si="58"/>
        <v>22 ans</v>
      </c>
      <c r="K3558" s="2" t="s">
        <v>156</v>
      </c>
      <c r="L3558" s="2" t="str">
        <f>"1291"</f>
        <v>1291</v>
      </c>
      <c r="M3558" s="2"/>
      <c r="N3558" s="2" t="str">
        <f>"RUE GIGUÉRE"</f>
        <v>RUE GIGUÉRE</v>
      </c>
      <c r="O3558" s="2" t="s">
        <v>14661</v>
      </c>
      <c r="P3558" s="9" t="str">
        <f>VLOOKUP($O3558,'Liste des Villes'!$B$2:$B$1128,1,FALSE)</f>
        <v>Mirabel</v>
      </c>
      <c r="Q3558" s="9" t="str">
        <f>IFERROR($P3558,PROPER(VLOOKUP($O3558,'Villes en erreur'!$A$2:$B$72,2,FALSE)))</f>
        <v>Mirabel</v>
      </c>
      <c r="R3558" s="9" t="s">
        <v>14662</v>
      </c>
      <c r="S3558" s="9" t="str">
        <f>IF(ISBLANK($R3558),"",VLOOKUP($R3558,'Liste des Villes'!$B$2:$H$1128,4,FALSE))</f>
        <v>Laurentides</v>
      </c>
      <c r="T3558" s="2" t="s">
        <v>15590</v>
      </c>
      <c r="U3558" s="2" t="s">
        <v>39</v>
      </c>
      <c r="V3558" s="2" t="s">
        <v>40</v>
      </c>
      <c r="W3558" s="2" t="s">
        <v>15591</v>
      </c>
      <c r="X3558" s="2"/>
      <c r="Y3558" s="2"/>
      <c r="Z3558" s="2"/>
      <c r="AA3558" s="2" t="s">
        <v>375</v>
      </c>
      <c r="AB3558" s="2" t="s">
        <v>376</v>
      </c>
      <c r="AC3558" s="4" t="s">
        <v>44</v>
      </c>
    </row>
    <row r="3559" spans="1:29" x14ac:dyDescent="0.25">
      <c r="A3559" s="1">
        <v>2449</v>
      </c>
      <c r="B3559" s="17" t="s">
        <v>15592</v>
      </c>
      <c r="C3559" s="2" t="s">
        <v>4516</v>
      </c>
      <c r="D3559" s="15" t="s">
        <v>582</v>
      </c>
      <c r="E3559" s="9" t="s">
        <v>4517</v>
      </c>
      <c r="F3559" s="9" t="s">
        <v>12280</v>
      </c>
      <c r="G3559" s="9" t="s">
        <v>1004</v>
      </c>
      <c r="H3559" s="2" t="s">
        <v>60</v>
      </c>
      <c r="I3559" s="3">
        <v>37102</v>
      </c>
      <c r="J3559" s="9" t="str">
        <f t="shared" ca="1" si="58"/>
        <v>22 ans</v>
      </c>
      <c r="K3559" s="2" t="s">
        <v>156</v>
      </c>
      <c r="L3559" s="2" t="str">
        <f>"1239"</f>
        <v>1239</v>
      </c>
      <c r="M3559" s="2"/>
      <c r="N3559" s="2" t="str">
        <f>"RUE GABRIEL"</f>
        <v>RUE GABRIEL</v>
      </c>
      <c r="O3559" s="2" t="s">
        <v>14661</v>
      </c>
      <c r="P3559" s="9" t="str">
        <f>VLOOKUP($O3559,'Liste des Villes'!$B$2:$B$1128,1,FALSE)</f>
        <v>Mirabel</v>
      </c>
      <c r="Q3559" s="9" t="str">
        <f>IFERROR($P3559,PROPER(VLOOKUP($O3559,'Villes en erreur'!$A$2:$B$72,2,FALSE)))</f>
        <v>Mirabel</v>
      </c>
      <c r="R3559" s="9" t="s">
        <v>14662</v>
      </c>
      <c r="S3559" s="9" t="str">
        <f>IF(ISBLANK($R3559),"",VLOOKUP($R3559,'Liste des Villes'!$B$2:$H$1128,4,FALSE))</f>
        <v>Laurentides</v>
      </c>
      <c r="T3559" s="2" t="s">
        <v>15239</v>
      </c>
      <c r="U3559" s="2" t="s">
        <v>39</v>
      </c>
      <c r="V3559" s="2" t="s">
        <v>40</v>
      </c>
      <c r="W3559" s="2" t="s">
        <v>15593</v>
      </c>
      <c r="X3559" s="2"/>
      <c r="Y3559" s="2"/>
      <c r="Z3559" s="2"/>
      <c r="AA3559" s="2" t="s">
        <v>375</v>
      </c>
      <c r="AB3559" s="2" t="s">
        <v>376</v>
      </c>
      <c r="AC3559" s="4" t="s">
        <v>44</v>
      </c>
    </row>
    <row r="3560" spans="1:29" x14ac:dyDescent="0.25">
      <c r="A3560" s="1">
        <v>1791</v>
      </c>
      <c r="B3560" s="17" t="s">
        <v>15594</v>
      </c>
      <c r="C3560" s="2" t="s">
        <v>15595</v>
      </c>
      <c r="D3560" s="15" t="s">
        <v>9770</v>
      </c>
      <c r="E3560" s="9" t="s">
        <v>15596</v>
      </c>
      <c r="F3560" s="9" t="s">
        <v>2099</v>
      </c>
      <c r="G3560" s="9" t="s">
        <v>743</v>
      </c>
      <c r="H3560" s="2" t="s">
        <v>60</v>
      </c>
      <c r="I3560" s="3">
        <v>37171</v>
      </c>
      <c r="J3560" s="9" t="str">
        <f t="shared" ca="1" si="58"/>
        <v>21 ans</v>
      </c>
      <c r="K3560" s="2" t="s">
        <v>156</v>
      </c>
      <c r="L3560" s="2" t="str">
        <f>"1586"</f>
        <v>1586</v>
      </c>
      <c r="M3560" s="2"/>
      <c r="N3560" s="2" t="str">
        <f>"RUE JOHN-TAPP"</f>
        <v>RUE JOHN-TAPP</v>
      </c>
      <c r="O3560" s="2" t="s">
        <v>14661</v>
      </c>
      <c r="P3560" s="9" t="str">
        <f>VLOOKUP($O3560,'Liste des Villes'!$B$2:$B$1128,1,FALSE)</f>
        <v>Mirabel</v>
      </c>
      <c r="Q3560" s="9" t="str">
        <f>IFERROR($P3560,PROPER(VLOOKUP($O3560,'Villes en erreur'!$A$2:$B$72,2,FALSE)))</f>
        <v>Mirabel</v>
      </c>
      <c r="R3560" s="9" t="s">
        <v>14662</v>
      </c>
      <c r="S3560" s="9" t="str">
        <f>IF(ISBLANK($R3560),"",VLOOKUP($R3560,'Liste des Villes'!$B$2:$H$1128,4,FALSE))</f>
        <v>Laurentides</v>
      </c>
      <c r="T3560" s="2" t="s">
        <v>15597</v>
      </c>
      <c r="U3560" s="2" t="s">
        <v>39</v>
      </c>
      <c r="V3560" s="2" t="s">
        <v>40</v>
      </c>
      <c r="W3560" s="2" t="s">
        <v>15598</v>
      </c>
      <c r="X3560" s="2"/>
      <c r="Y3560" s="2"/>
      <c r="Z3560" s="2"/>
      <c r="AA3560" s="2" t="s">
        <v>708</v>
      </c>
      <c r="AB3560" s="2" t="s">
        <v>376</v>
      </c>
      <c r="AC3560" s="4" t="s">
        <v>44</v>
      </c>
    </row>
    <row r="3561" spans="1:29" x14ac:dyDescent="0.25">
      <c r="A3561" s="1">
        <v>2003</v>
      </c>
      <c r="B3561" s="17" t="s">
        <v>15599</v>
      </c>
      <c r="C3561" s="2" t="s">
        <v>3245</v>
      </c>
      <c r="D3561" s="15" t="s">
        <v>218</v>
      </c>
      <c r="E3561" s="9" t="s">
        <v>3246</v>
      </c>
      <c r="F3561" s="9" t="s">
        <v>13660</v>
      </c>
      <c r="G3561" s="9" t="s">
        <v>8117</v>
      </c>
      <c r="H3561" s="2" t="s">
        <v>35</v>
      </c>
      <c r="I3561" s="3">
        <v>37132</v>
      </c>
      <c r="J3561" s="9" t="str">
        <f t="shared" ca="1" si="58"/>
        <v>21 ans</v>
      </c>
      <c r="K3561" s="2" t="s">
        <v>156</v>
      </c>
      <c r="L3561" s="2" t="str">
        <f>"1360"</f>
        <v>1360</v>
      </c>
      <c r="M3561" s="2"/>
      <c r="N3561" s="2" t="str">
        <f>"RUE HÉLÈNE"</f>
        <v>RUE HÉLÈNE</v>
      </c>
      <c r="O3561" s="2" t="s">
        <v>14661</v>
      </c>
      <c r="P3561" s="9" t="str">
        <f>VLOOKUP($O3561,'Liste des Villes'!$B$2:$B$1128,1,FALSE)</f>
        <v>Mirabel</v>
      </c>
      <c r="Q3561" s="9" t="str">
        <f>IFERROR($P3561,PROPER(VLOOKUP($O3561,'Villes en erreur'!$A$2:$B$72,2,FALSE)))</f>
        <v>Mirabel</v>
      </c>
      <c r="R3561" s="9" t="s">
        <v>14662</v>
      </c>
      <c r="S3561" s="9" t="str">
        <f>IF(ISBLANK($R3561),"",VLOOKUP($R3561,'Liste des Villes'!$B$2:$H$1128,4,FALSE))</f>
        <v>Laurentides</v>
      </c>
      <c r="T3561" s="2" t="s">
        <v>15461</v>
      </c>
      <c r="U3561" s="2" t="s">
        <v>39</v>
      </c>
      <c r="V3561" s="2" t="s">
        <v>40</v>
      </c>
      <c r="W3561" s="2" t="s">
        <v>15600</v>
      </c>
      <c r="X3561" s="2"/>
      <c r="Y3561" s="2"/>
      <c r="Z3561" s="2"/>
      <c r="AA3561" s="2" t="s">
        <v>375</v>
      </c>
      <c r="AB3561" s="2" t="s">
        <v>376</v>
      </c>
      <c r="AC3561" s="4" t="s">
        <v>44</v>
      </c>
    </row>
    <row r="3562" spans="1:29" x14ac:dyDescent="0.25">
      <c r="A3562" s="1">
        <v>2495</v>
      </c>
      <c r="B3562" s="17" t="s">
        <v>15601</v>
      </c>
      <c r="C3562" s="2" t="s">
        <v>12424</v>
      </c>
      <c r="D3562" s="15" t="s">
        <v>1303</v>
      </c>
      <c r="E3562" s="9" t="s">
        <v>3404</v>
      </c>
      <c r="F3562" s="9" t="s">
        <v>1301</v>
      </c>
      <c r="G3562" s="9" t="s">
        <v>3849</v>
      </c>
      <c r="H3562" s="2" t="s">
        <v>60</v>
      </c>
      <c r="I3562" s="3">
        <v>37181</v>
      </c>
      <c r="J3562" s="9" t="str">
        <f t="shared" ca="1" si="58"/>
        <v>21 ans</v>
      </c>
      <c r="K3562" s="2" t="s">
        <v>262</v>
      </c>
      <c r="L3562" s="2" t="str">
        <f>"1664"</f>
        <v>1664</v>
      </c>
      <c r="M3562" s="2"/>
      <c r="N3562" s="2" t="str">
        <f>"RUE JULIO"</f>
        <v>RUE JULIO</v>
      </c>
      <c r="O3562" s="2" t="s">
        <v>14661</v>
      </c>
      <c r="P3562" s="9" t="str">
        <f>VLOOKUP($O3562,'Liste des Villes'!$B$2:$B$1128,1,FALSE)</f>
        <v>Mirabel</v>
      </c>
      <c r="Q3562" s="9" t="str">
        <f>IFERROR($P3562,PROPER(VLOOKUP($O3562,'Villes en erreur'!$A$2:$B$72,2,FALSE)))</f>
        <v>Mirabel</v>
      </c>
      <c r="R3562" s="9" t="s">
        <v>14662</v>
      </c>
      <c r="S3562" s="9" t="str">
        <f>IF(ISBLANK($R3562),"",VLOOKUP($R3562,'Liste des Villes'!$B$2:$H$1128,4,FALSE))</f>
        <v>Laurentides</v>
      </c>
      <c r="T3562" s="2" t="s">
        <v>15098</v>
      </c>
      <c r="U3562" s="2" t="s">
        <v>39</v>
      </c>
      <c r="V3562" s="2" t="s">
        <v>40</v>
      </c>
      <c r="W3562" s="2" t="s">
        <v>15099</v>
      </c>
      <c r="X3562" s="2"/>
      <c r="Y3562" s="2"/>
      <c r="Z3562" s="2"/>
      <c r="AA3562" s="2" t="s">
        <v>708</v>
      </c>
      <c r="AB3562" s="2" t="s">
        <v>14669</v>
      </c>
      <c r="AC3562" s="4" t="s">
        <v>44</v>
      </c>
    </row>
    <row r="3563" spans="1:29" x14ac:dyDescent="0.25">
      <c r="A3563" s="1">
        <v>84</v>
      </c>
      <c r="B3563" s="17" t="s">
        <v>15602</v>
      </c>
      <c r="C3563" s="2" t="s">
        <v>15603</v>
      </c>
      <c r="D3563" s="15" t="s">
        <v>15604</v>
      </c>
      <c r="E3563" s="9" t="s">
        <v>11938</v>
      </c>
      <c r="F3563" s="9" t="s">
        <v>2921</v>
      </c>
      <c r="G3563" s="9" t="s">
        <v>15605</v>
      </c>
      <c r="H3563" s="2" t="s">
        <v>60</v>
      </c>
      <c r="I3563" s="3">
        <v>37118</v>
      </c>
      <c r="J3563" s="9" t="str">
        <f t="shared" ca="1" si="58"/>
        <v>22 ans</v>
      </c>
      <c r="K3563" s="2" t="s">
        <v>156</v>
      </c>
      <c r="L3563" s="2" t="str">
        <f>"1293"</f>
        <v>1293</v>
      </c>
      <c r="M3563" s="2"/>
      <c r="N3563" s="2" t="str">
        <f>"RUE GIGUÉRE"</f>
        <v>RUE GIGUÉRE</v>
      </c>
      <c r="O3563" s="2" t="s">
        <v>14661</v>
      </c>
      <c r="P3563" s="9" t="str">
        <f>VLOOKUP($O3563,'Liste des Villes'!$B$2:$B$1128,1,FALSE)</f>
        <v>Mirabel</v>
      </c>
      <c r="Q3563" s="9" t="str">
        <f>IFERROR($P3563,PROPER(VLOOKUP($O3563,'Villes en erreur'!$A$2:$B$72,2,FALSE)))</f>
        <v>Mirabel</v>
      </c>
      <c r="R3563" s="9" t="s">
        <v>14662</v>
      </c>
      <c r="S3563" s="9" t="str">
        <f>IF(ISBLANK($R3563),"",VLOOKUP($R3563,'Liste des Villes'!$B$2:$H$1128,4,FALSE))</f>
        <v>Laurentides</v>
      </c>
      <c r="T3563" s="2" t="s">
        <v>15606</v>
      </c>
      <c r="U3563" s="2" t="s">
        <v>39</v>
      </c>
      <c r="V3563" s="2" t="s">
        <v>40</v>
      </c>
      <c r="W3563" s="2" t="s">
        <v>15607</v>
      </c>
      <c r="X3563" s="2"/>
      <c r="Y3563" s="2"/>
      <c r="Z3563" s="2"/>
      <c r="AA3563" s="2" t="s">
        <v>375</v>
      </c>
      <c r="AB3563" s="2" t="s">
        <v>376</v>
      </c>
      <c r="AC3563" s="4" t="s">
        <v>44</v>
      </c>
    </row>
    <row r="3564" spans="1:29" x14ac:dyDescent="0.25">
      <c r="A3564" s="1">
        <v>3936</v>
      </c>
      <c r="B3564" s="17" t="s">
        <v>15608</v>
      </c>
      <c r="C3564" s="2" t="s">
        <v>9640</v>
      </c>
      <c r="D3564" s="15" t="s">
        <v>7598</v>
      </c>
      <c r="E3564" s="9" t="s">
        <v>4686</v>
      </c>
      <c r="F3564" s="9" t="s">
        <v>7597</v>
      </c>
      <c r="G3564" s="9" t="s">
        <v>876</v>
      </c>
      <c r="H3564" s="2" t="s">
        <v>35</v>
      </c>
      <c r="I3564" s="3">
        <v>37118</v>
      </c>
      <c r="J3564" s="9" t="str">
        <f t="shared" ca="1" si="58"/>
        <v>22 ans</v>
      </c>
      <c r="K3564" s="2" t="s">
        <v>156</v>
      </c>
      <c r="L3564" s="2" t="str">
        <f>"1300"</f>
        <v>1300</v>
      </c>
      <c r="M3564" s="2"/>
      <c r="N3564" s="2" t="str">
        <f>"RUE GILLES"</f>
        <v>RUE GILLES</v>
      </c>
      <c r="O3564" s="2" t="s">
        <v>14661</v>
      </c>
      <c r="P3564" s="9" t="str">
        <f>VLOOKUP($O3564,'Liste des Villes'!$B$2:$B$1128,1,FALSE)</f>
        <v>Mirabel</v>
      </c>
      <c r="Q3564" s="9" t="str">
        <f>IFERROR($P3564,PROPER(VLOOKUP($O3564,'Villes en erreur'!$A$2:$B$72,2,FALSE)))</f>
        <v>Mirabel</v>
      </c>
      <c r="R3564" s="9" t="s">
        <v>14662</v>
      </c>
      <c r="S3564" s="9" t="str">
        <f>IF(ISBLANK($R3564),"",VLOOKUP($R3564,'Liste des Villes'!$B$2:$H$1128,4,FALSE))</f>
        <v>Laurentides</v>
      </c>
      <c r="T3564" s="2" t="s">
        <v>15609</v>
      </c>
      <c r="U3564" s="2" t="s">
        <v>39</v>
      </c>
      <c r="V3564" s="2" t="s">
        <v>40</v>
      </c>
      <c r="W3564" s="2" t="s">
        <v>15610</v>
      </c>
      <c r="X3564" s="2"/>
      <c r="Y3564" s="2"/>
      <c r="Z3564" s="2"/>
      <c r="AA3564" s="2" t="s">
        <v>375</v>
      </c>
      <c r="AB3564" s="2" t="s">
        <v>376</v>
      </c>
      <c r="AC3564" s="4" t="s">
        <v>44</v>
      </c>
    </row>
    <row r="3565" spans="1:29" x14ac:dyDescent="0.25">
      <c r="A3565" s="1">
        <v>8</v>
      </c>
      <c r="B3565" s="17" t="s">
        <v>15611</v>
      </c>
      <c r="C3565" s="2" t="s">
        <v>15612</v>
      </c>
      <c r="D3565" s="15" t="s">
        <v>2099</v>
      </c>
      <c r="E3565" s="9" t="s">
        <v>6033</v>
      </c>
      <c r="F3565" s="9" t="s">
        <v>2497</v>
      </c>
      <c r="G3565" s="9" t="s">
        <v>325</v>
      </c>
      <c r="H3565" s="2" t="s">
        <v>35</v>
      </c>
      <c r="I3565" s="3">
        <v>37230</v>
      </c>
      <c r="J3565" s="9" t="str">
        <f t="shared" ca="1" si="58"/>
        <v>21 ans</v>
      </c>
      <c r="K3565" s="2" t="s">
        <v>262</v>
      </c>
      <c r="L3565" s="2" t="str">
        <f>"2002"</f>
        <v>2002</v>
      </c>
      <c r="M3565" s="2"/>
      <c r="N3565" s="2" t="str">
        <f>"RUE LAUZON"</f>
        <v>RUE LAUZON</v>
      </c>
      <c r="O3565" s="2" t="s">
        <v>14661</v>
      </c>
      <c r="P3565" s="9" t="str">
        <f>VLOOKUP($O3565,'Liste des Villes'!$B$2:$B$1128,1,FALSE)</f>
        <v>Mirabel</v>
      </c>
      <c r="Q3565" s="9" t="str">
        <f>IFERROR($P3565,PROPER(VLOOKUP($O3565,'Villes en erreur'!$A$2:$B$72,2,FALSE)))</f>
        <v>Mirabel</v>
      </c>
      <c r="R3565" s="9" t="s">
        <v>14662</v>
      </c>
      <c r="S3565" s="9" t="str">
        <f>IF(ISBLANK($R3565),"",VLOOKUP($R3565,'Liste des Villes'!$B$2:$H$1128,4,FALSE))</f>
        <v>Laurentides</v>
      </c>
      <c r="T3565" s="2" t="s">
        <v>15170</v>
      </c>
      <c r="U3565" s="2" t="s">
        <v>39</v>
      </c>
      <c r="V3565" s="2" t="s">
        <v>40</v>
      </c>
      <c r="W3565" s="2" t="s">
        <v>15613</v>
      </c>
      <c r="X3565" s="2"/>
      <c r="Y3565" s="2"/>
      <c r="Z3565" s="2"/>
      <c r="AA3565" s="2" t="s">
        <v>708</v>
      </c>
      <c r="AB3565" s="2" t="s">
        <v>14669</v>
      </c>
      <c r="AC3565" s="4" t="s">
        <v>44</v>
      </c>
    </row>
    <row r="3566" spans="1:29" x14ac:dyDescent="0.25">
      <c r="A3566" s="1">
        <v>2274</v>
      </c>
      <c r="B3566" s="17" t="s">
        <v>15614</v>
      </c>
      <c r="C3566" s="2" t="s">
        <v>3102</v>
      </c>
      <c r="D3566" s="15" t="s">
        <v>657</v>
      </c>
      <c r="E3566" s="9" t="s">
        <v>452</v>
      </c>
      <c r="F3566" s="9" t="s">
        <v>3035</v>
      </c>
      <c r="G3566" s="9" t="s">
        <v>1289</v>
      </c>
      <c r="H3566" s="2" t="s">
        <v>35</v>
      </c>
      <c r="I3566" s="3">
        <v>37080</v>
      </c>
      <c r="J3566" s="9" t="str">
        <f t="shared" ca="1" si="58"/>
        <v>22 ans</v>
      </c>
      <c r="K3566" s="2" t="s">
        <v>156</v>
      </c>
      <c r="L3566" s="2" t="str">
        <f>"1162"</f>
        <v>1162</v>
      </c>
      <c r="M3566" s="2"/>
      <c r="N3566" s="2" t="str">
        <f>"RUE ÉVA"</f>
        <v>RUE ÉVA</v>
      </c>
      <c r="O3566" s="2" t="s">
        <v>14661</v>
      </c>
      <c r="P3566" s="9" t="str">
        <f>VLOOKUP($O3566,'Liste des Villes'!$B$2:$B$1128,1,FALSE)</f>
        <v>Mirabel</v>
      </c>
      <c r="Q3566" s="9" t="str">
        <f>IFERROR($P3566,PROPER(VLOOKUP($O3566,'Villes en erreur'!$A$2:$B$72,2,FALSE)))</f>
        <v>Mirabel</v>
      </c>
      <c r="R3566" s="9" t="s">
        <v>14662</v>
      </c>
      <c r="S3566" s="9" t="str">
        <f>IF(ISBLANK($R3566),"",VLOOKUP($R3566,'Liste des Villes'!$B$2:$H$1128,4,FALSE))</f>
        <v>Laurentides</v>
      </c>
      <c r="T3566" s="2" t="s">
        <v>15615</v>
      </c>
      <c r="U3566" s="2" t="s">
        <v>39</v>
      </c>
      <c r="V3566" s="2" t="s">
        <v>40</v>
      </c>
      <c r="W3566" s="2" t="s">
        <v>15263</v>
      </c>
      <c r="X3566" s="2"/>
      <c r="Y3566" s="2"/>
      <c r="Z3566" s="2"/>
      <c r="AA3566" s="2" t="s">
        <v>375</v>
      </c>
      <c r="AB3566" s="2" t="s">
        <v>376</v>
      </c>
      <c r="AC3566" s="4" t="s">
        <v>44</v>
      </c>
    </row>
    <row r="3567" spans="1:29" x14ac:dyDescent="0.25">
      <c r="A3567" s="1">
        <v>424</v>
      </c>
      <c r="B3567" s="17" t="s">
        <v>15616</v>
      </c>
      <c r="C3567" s="2" t="s">
        <v>15617</v>
      </c>
      <c r="D3567" s="15" t="s">
        <v>5086</v>
      </c>
      <c r="E3567" s="9" t="s">
        <v>8520</v>
      </c>
      <c r="F3567" s="9" t="s">
        <v>3567</v>
      </c>
      <c r="G3567" s="9" t="s">
        <v>7811</v>
      </c>
      <c r="H3567" s="2" t="s">
        <v>60</v>
      </c>
      <c r="I3567" s="3">
        <v>37158</v>
      </c>
      <c r="J3567" s="9" t="str">
        <f t="shared" ca="1" si="58"/>
        <v>21 ans</v>
      </c>
      <c r="K3567" s="2" t="s">
        <v>156</v>
      </c>
      <c r="L3567" s="2" t="str">
        <f>"1497"</f>
        <v>1497</v>
      </c>
      <c r="M3567" s="2"/>
      <c r="N3567" s="2" t="str">
        <f>"RUE JEAN"</f>
        <v>RUE JEAN</v>
      </c>
      <c r="O3567" s="2" t="s">
        <v>14661</v>
      </c>
      <c r="P3567" s="9" t="str">
        <f>VLOOKUP($O3567,'Liste des Villes'!$B$2:$B$1128,1,FALSE)</f>
        <v>Mirabel</v>
      </c>
      <c r="Q3567" s="9" t="str">
        <f>IFERROR($P3567,PROPER(VLOOKUP($O3567,'Villes en erreur'!$A$2:$B$72,2,FALSE)))</f>
        <v>Mirabel</v>
      </c>
      <c r="R3567" s="9" t="s">
        <v>14662</v>
      </c>
      <c r="S3567" s="9" t="str">
        <f>IF(ISBLANK($R3567),"",VLOOKUP($R3567,'Liste des Villes'!$B$2:$H$1128,4,FALSE))</f>
        <v>Laurentides</v>
      </c>
      <c r="T3567" s="2" t="s">
        <v>15121</v>
      </c>
      <c r="U3567" s="2" t="s">
        <v>39</v>
      </c>
      <c r="V3567" s="2" t="s">
        <v>40</v>
      </c>
      <c r="W3567" s="2" t="s">
        <v>15618</v>
      </c>
      <c r="X3567" s="2"/>
      <c r="Y3567" s="2"/>
      <c r="Z3567" s="2"/>
      <c r="AA3567" s="2" t="s">
        <v>708</v>
      </c>
      <c r="AB3567" s="2" t="s">
        <v>376</v>
      </c>
      <c r="AC3567" s="4" t="s">
        <v>44</v>
      </c>
    </row>
    <row r="3568" spans="1:29" x14ac:dyDescent="0.25">
      <c r="A3568" s="1">
        <v>54</v>
      </c>
      <c r="B3568" s="17" t="s">
        <v>15619</v>
      </c>
      <c r="C3568" s="2" t="s">
        <v>8250</v>
      </c>
      <c r="D3568" s="15" t="s">
        <v>3122</v>
      </c>
      <c r="E3568" s="9" t="s">
        <v>956</v>
      </c>
      <c r="F3568" s="9" t="s">
        <v>8251</v>
      </c>
      <c r="G3568" s="9" t="s">
        <v>15620</v>
      </c>
      <c r="H3568" s="2" t="s">
        <v>60</v>
      </c>
      <c r="I3568" s="3">
        <v>37151</v>
      </c>
      <c r="J3568" s="9" t="str">
        <f t="shared" ca="1" si="58"/>
        <v>21 ans</v>
      </c>
      <c r="K3568" s="2" t="s">
        <v>156</v>
      </c>
      <c r="L3568" s="2" t="str">
        <f>"1456"</f>
        <v>1456</v>
      </c>
      <c r="M3568" s="2"/>
      <c r="N3568" s="2" t="str">
        <f>"RUE JACINTHE"</f>
        <v>RUE JACINTHE</v>
      </c>
      <c r="O3568" s="2" t="s">
        <v>14661</v>
      </c>
      <c r="P3568" s="9" t="str">
        <f>VLOOKUP($O3568,'Liste des Villes'!$B$2:$B$1128,1,FALSE)</f>
        <v>Mirabel</v>
      </c>
      <c r="Q3568" s="9" t="str">
        <f>IFERROR($P3568,PROPER(VLOOKUP($O3568,'Villes en erreur'!$A$2:$B$72,2,FALSE)))</f>
        <v>Mirabel</v>
      </c>
      <c r="R3568" s="9" t="s">
        <v>14662</v>
      </c>
      <c r="S3568" s="9" t="str">
        <f>IF(ISBLANK($R3568),"",VLOOKUP($R3568,'Liste des Villes'!$B$2:$H$1128,4,FALSE))</f>
        <v>Laurentides</v>
      </c>
      <c r="T3568" s="2" t="s">
        <v>15621</v>
      </c>
      <c r="U3568" s="2" t="s">
        <v>39</v>
      </c>
      <c r="V3568" s="2" t="s">
        <v>40</v>
      </c>
      <c r="W3568" s="2" t="s">
        <v>15622</v>
      </c>
      <c r="X3568" s="2"/>
      <c r="Y3568" s="2"/>
      <c r="Z3568" s="2"/>
      <c r="AA3568" s="2" t="s">
        <v>708</v>
      </c>
      <c r="AB3568" s="2" t="s">
        <v>376</v>
      </c>
      <c r="AC3568" s="4" t="s">
        <v>44</v>
      </c>
    </row>
    <row r="3569" spans="1:29" x14ac:dyDescent="0.25">
      <c r="A3569" s="1">
        <v>4554</v>
      </c>
      <c r="B3569" s="17" t="s">
        <v>15623</v>
      </c>
      <c r="C3569" s="2" t="s">
        <v>15624</v>
      </c>
      <c r="D3569" s="15" t="s">
        <v>2738</v>
      </c>
      <c r="E3569" s="9" t="s">
        <v>2217</v>
      </c>
      <c r="F3569" s="9" t="s">
        <v>2737</v>
      </c>
      <c r="G3569" s="9" t="s">
        <v>1212</v>
      </c>
      <c r="H3569" s="2" t="s">
        <v>60</v>
      </c>
      <c r="I3569" s="3">
        <v>37096</v>
      </c>
      <c r="J3569" s="9" t="str">
        <f t="shared" ca="1" si="58"/>
        <v>22 ans</v>
      </c>
      <c r="K3569" s="2" t="s">
        <v>156</v>
      </c>
      <c r="L3569" s="2" t="str">
        <f>"1213"</f>
        <v>1213</v>
      </c>
      <c r="M3569" s="2"/>
      <c r="N3569" s="2" t="str">
        <f>"RUE FOURNIER"</f>
        <v>RUE FOURNIER</v>
      </c>
      <c r="O3569" s="2" t="s">
        <v>14661</v>
      </c>
      <c r="P3569" s="9" t="str">
        <f>VLOOKUP($O3569,'Liste des Villes'!$B$2:$B$1128,1,FALSE)</f>
        <v>Mirabel</v>
      </c>
      <c r="Q3569" s="9" t="str">
        <f>IFERROR($P3569,PROPER(VLOOKUP($O3569,'Villes en erreur'!$A$2:$B$72,2,FALSE)))</f>
        <v>Mirabel</v>
      </c>
      <c r="R3569" s="9" t="s">
        <v>14662</v>
      </c>
      <c r="S3569" s="9" t="str">
        <f>IF(ISBLANK($R3569),"",VLOOKUP($R3569,'Liste des Villes'!$B$2:$H$1128,4,FALSE))</f>
        <v>Laurentides</v>
      </c>
      <c r="T3569" s="2" t="s">
        <v>15625</v>
      </c>
      <c r="U3569" s="2" t="s">
        <v>39</v>
      </c>
      <c r="V3569" s="2" t="s">
        <v>40</v>
      </c>
      <c r="W3569" s="2" t="s">
        <v>15626</v>
      </c>
      <c r="X3569" s="2"/>
      <c r="Y3569" s="2"/>
      <c r="Z3569" s="2"/>
      <c r="AA3569" s="2" t="s">
        <v>375</v>
      </c>
      <c r="AB3569" s="2" t="s">
        <v>376</v>
      </c>
      <c r="AC3569" s="4" t="s">
        <v>44</v>
      </c>
    </row>
    <row r="3570" spans="1:29" x14ac:dyDescent="0.25">
      <c r="A3570" s="1">
        <v>4363</v>
      </c>
      <c r="B3570" s="17" t="s">
        <v>15627</v>
      </c>
      <c r="C3570" s="2" t="s">
        <v>2009</v>
      </c>
      <c r="D3570" s="15" t="s">
        <v>1076</v>
      </c>
      <c r="E3570" s="9" t="s">
        <v>332</v>
      </c>
      <c r="F3570" s="9" t="s">
        <v>2010</v>
      </c>
      <c r="G3570" s="9" t="s">
        <v>4854</v>
      </c>
      <c r="H3570" s="2" t="s">
        <v>60</v>
      </c>
      <c r="I3570" s="3">
        <v>37175</v>
      </c>
      <c r="J3570" s="9" t="str">
        <f t="shared" ca="1" si="58"/>
        <v>21 ans</v>
      </c>
      <c r="K3570" s="2" t="s">
        <v>156</v>
      </c>
      <c r="L3570" s="2" t="str">
        <f>"1622"</f>
        <v>1622</v>
      </c>
      <c r="M3570" s="2"/>
      <c r="N3570" s="2" t="str">
        <f>"RUE JOSÉE"</f>
        <v>RUE JOSÉE</v>
      </c>
      <c r="O3570" s="2" t="s">
        <v>14661</v>
      </c>
      <c r="P3570" s="9" t="str">
        <f>VLOOKUP($O3570,'Liste des Villes'!$B$2:$B$1128,1,FALSE)</f>
        <v>Mirabel</v>
      </c>
      <c r="Q3570" s="9" t="str">
        <f>IFERROR($P3570,PROPER(VLOOKUP($O3570,'Villes en erreur'!$A$2:$B$72,2,FALSE)))</f>
        <v>Mirabel</v>
      </c>
      <c r="R3570" s="9" t="s">
        <v>14662</v>
      </c>
      <c r="S3570" s="9" t="str">
        <f>IF(ISBLANK($R3570),"",VLOOKUP($R3570,'Liste des Villes'!$B$2:$H$1128,4,FALSE))</f>
        <v>Laurentides</v>
      </c>
      <c r="T3570" s="2" t="s">
        <v>14769</v>
      </c>
      <c r="U3570" s="2" t="s">
        <v>39</v>
      </c>
      <c r="V3570" s="2" t="s">
        <v>40</v>
      </c>
      <c r="W3570" s="2" t="s">
        <v>15628</v>
      </c>
      <c r="X3570" s="2"/>
      <c r="Y3570" s="2"/>
      <c r="Z3570" s="2"/>
      <c r="AA3570" s="2" t="s">
        <v>708</v>
      </c>
      <c r="AB3570" s="2" t="s">
        <v>14669</v>
      </c>
      <c r="AC3570" s="4" t="s">
        <v>44</v>
      </c>
    </row>
    <row r="3571" spans="1:29" x14ac:dyDescent="0.25">
      <c r="A3571" s="1">
        <v>2332</v>
      </c>
      <c r="B3571" s="17" t="s">
        <v>15629</v>
      </c>
      <c r="C3571" s="2" t="s">
        <v>15630</v>
      </c>
      <c r="D3571" s="15" t="s">
        <v>2141</v>
      </c>
      <c r="E3571" s="9" t="s">
        <v>5197</v>
      </c>
      <c r="F3571" s="9" t="s">
        <v>2139</v>
      </c>
      <c r="G3571" s="9" t="s">
        <v>4051</v>
      </c>
      <c r="H3571" s="2" t="s">
        <v>35</v>
      </c>
      <c r="I3571" s="3">
        <v>37128</v>
      </c>
      <c r="J3571" s="9" t="str">
        <f t="shared" ca="1" si="58"/>
        <v>21 ans</v>
      </c>
      <c r="K3571" s="2" t="s">
        <v>156</v>
      </c>
      <c r="L3571" s="2" t="str">
        <f>"1347"</f>
        <v>1347</v>
      </c>
      <c r="M3571" s="2"/>
      <c r="N3571" s="2" t="str">
        <f>"RUE GUINDON"</f>
        <v>RUE GUINDON</v>
      </c>
      <c r="O3571" s="2" t="s">
        <v>14661</v>
      </c>
      <c r="P3571" s="9" t="str">
        <f>VLOOKUP($O3571,'Liste des Villes'!$B$2:$B$1128,1,FALSE)</f>
        <v>Mirabel</v>
      </c>
      <c r="Q3571" s="9" t="str">
        <f>IFERROR($P3571,PROPER(VLOOKUP($O3571,'Villes en erreur'!$A$2:$B$72,2,FALSE)))</f>
        <v>Mirabel</v>
      </c>
      <c r="R3571" s="9" t="s">
        <v>14662</v>
      </c>
      <c r="S3571" s="9" t="str">
        <f>IF(ISBLANK($R3571),"",VLOOKUP($R3571,'Liste des Villes'!$B$2:$H$1128,4,FALSE))</f>
        <v>Laurentides</v>
      </c>
      <c r="T3571" s="2" t="s">
        <v>15631</v>
      </c>
      <c r="U3571" s="2" t="s">
        <v>39</v>
      </c>
      <c r="V3571" s="2" t="s">
        <v>40</v>
      </c>
      <c r="W3571" s="2" t="s">
        <v>15632</v>
      </c>
      <c r="X3571" s="2"/>
      <c r="Y3571" s="2"/>
      <c r="Z3571" s="2"/>
      <c r="AA3571" s="2" t="s">
        <v>375</v>
      </c>
      <c r="AB3571" s="2" t="s">
        <v>376</v>
      </c>
      <c r="AC3571" s="4" t="s">
        <v>44</v>
      </c>
    </row>
    <row r="3572" spans="1:29" x14ac:dyDescent="0.25">
      <c r="A3572" s="1">
        <v>70</v>
      </c>
      <c r="B3572" s="17" t="s">
        <v>15633</v>
      </c>
      <c r="C3572" s="2" t="s">
        <v>15634</v>
      </c>
      <c r="D3572" s="15" t="s">
        <v>6789</v>
      </c>
      <c r="E3572" s="9" t="s">
        <v>1037</v>
      </c>
      <c r="F3572" s="9" t="s">
        <v>6788</v>
      </c>
      <c r="G3572" s="9" t="s">
        <v>2872</v>
      </c>
      <c r="H3572" s="2" t="s">
        <v>35</v>
      </c>
      <c r="I3572" s="3">
        <v>37194</v>
      </c>
      <c r="J3572" s="9" t="str">
        <f t="shared" ca="1" si="58"/>
        <v>21 ans</v>
      </c>
      <c r="K3572" s="2" t="s">
        <v>262</v>
      </c>
      <c r="L3572" s="2" t="str">
        <f>"1727"</f>
        <v>1727</v>
      </c>
      <c r="M3572" s="2"/>
      <c r="N3572" s="2" t="str">
        <f>"RUE LABELLE"</f>
        <v>RUE LABELLE</v>
      </c>
      <c r="O3572" s="2" t="s">
        <v>14661</v>
      </c>
      <c r="P3572" s="9" t="str">
        <f>VLOOKUP($O3572,'Liste des Villes'!$B$2:$B$1128,1,FALSE)</f>
        <v>Mirabel</v>
      </c>
      <c r="Q3572" s="9" t="str">
        <f>IFERROR($P3572,PROPER(VLOOKUP($O3572,'Villes en erreur'!$A$2:$B$72,2,FALSE)))</f>
        <v>Mirabel</v>
      </c>
      <c r="R3572" s="9" t="s">
        <v>14662</v>
      </c>
      <c r="S3572" s="9" t="str">
        <f>IF(ISBLANK($R3572),"",VLOOKUP($R3572,'Liste des Villes'!$B$2:$H$1128,4,FALSE))</f>
        <v>Laurentides</v>
      </c>
      <c r="T3572" s="2" t="s">
        <v>15635</v>
      </c>
      <c r="U3572" s="2" t="s">
        <v>39</v>
      </c>
      <c r="V3572" s="2" t="s">
        <v>40</v>
      </c>
      <c r="W3572" s="2" t="s">
        <v>15636</v>
      </c>
      <c r="X3572" s="2"/>
      <c r="Y3572" s="2"/>
      <c r="Z3572" s="2"/>
      <c r="AA3572" s="2" t="s">
        <v>708</v>
      </c>
      <c r="AB3572" s="2" t="s">
        <v>14669</v>
      </c>
      <c r="AC3572" s="4" t="s">
        <v>44</v>
      </c>
    </row>
    <row r="3573" spans="1:29" x14ac:dyDescent="0.25">
      <c r="A3573" s="1">
        <v>14</v>
      </c>
      <c r="B3573" s="17" t="s">
        <v>15637</v>
      </c>
      <c r="C3573" s="2" t="s">
        <v>3624</v>
      </c>
      <c r="D3573" s="15" t="s">
        <v>3625</v>
      </c>
      <c r="E3573" s="9" t="s">
        <v>3626</v>
      </c>
      <c r="F3573" s="9" t="s">
        <v>15638</v>
      </c>
      <c r="G3573" s="9" t="s">
        <v>10811</v>
      </c>
      <c r="H3573" s="2" t="s">
        <v>60</v>
      </c>
      <c r="I3573" s="3">
        <v>37179</v>
      </c>
      <c r="J3573" s="9" t="str">
        <f t="shared" ca="1" si="58"/>
        <v>21 ans</v>
      </c>
      <c r="K3573" s="2" t="s">
        <v>156</v>
      </c>
      <c r="L3573" s="2" t="str">
        <f>"1644"</f>
        <v>1644</v>
      </c>
      <c r="M3573" s="2"/>
      <c r="N3573" s="2" t="str">
        <f>"RUE JOSEPH-FORTIER"</f>
        <v>RUE JOSEPH-FORTIER</v>
      </c>
      <c r="O3573" s="2" t="s">
        <v>14661</v>
      </c>
      <c r="P3573" s="9" t="str">
        <f>VLOOKUP($O3573,'Liste des Villes'!$B$2:$B$1128,1,FALSE)</f>
        <v>Mirabel</v>
      </c>
      <c r="Q3573" s="9" t="str">
        <f>IFERROR($P3573,PROPER(VLOOKUP($O3573,'Villes en erreur'!$A$2:$B$72,2,FALSE)))</f>
        <v>Mirabel</v>
      </c>
      <c r="R3573" s="9" t="s">
        <v>14662</v>
      </c>
      <c r="S3573" s="9" t="str">
        <f>IF(ISBLANK($R3573),"",VLOOKUP($R3573,'Liste des Villes'!$B$2:$H$1128,4,FALSE))</f>
        <v>Laurentides</v>
      </c>
      <c r="T3573" s="2" t="s">
        <v>15416</v>
      </c>
      <c r="U3573" s="2" t="s">
        <v>39</v>
      </c>
      <c r="V3573" s="2" t="s">
        <v>40</v>
      </c>
      <c r="W3573" s="2" t="s">
        <v>15639</v>
      </c>
      <c r="X3573" s="2"/>
      <c r="Y3573" s="2"/>
      <c r="Z3573" s="2"/>
      <c r="AA3573" s="2" t="s">
        <v>708</v>
      </c>
      <c r="AB3573" s="2" t="s">
        <v>14669</v>
      </c>
      <c r="AC3573" s="4" t="s">
        <v>44</v>
      </c>
    </row>
    <row r="3574" spans="1:29" x14ac:dyDescent="0.25">
      <c r="A3574" s="1">
        <v>4580</v>
      </c>
      <c r="B3574" s="17" t="s">
        <v>15640</v>
      </c>
      <c r="C3574" s="2" t="s">
        <v>15641</v>
      </c>
      <c r="D3574" s="15" t="s">
        <v>11811</v>
      </c>
      <c r="E3574" s="9" t="s">
        <v>503</v>
      </c>
      <c r="F3574" s="9" t="s">
        <v>1548</v>
      </c>
      <c r="G3574" s="9" t="s">
        <v>12500</v>
      </c>
      <c r="H3574" s="2" t="s">
        <v>35</v>
      </c>
      <c r="I3574" s="3">
        <v>37137</v>
      </c>
      <c r="J3574" s="9" t="str">
        <f t="shared" ca="1" si="58"/>
        <v>21 ans</v>
      </c>
      <c r="K3574" s="2" t="s">
        <v>156</v>
      </c>
      <c r="L3574" s="2" t="str">
        <f>"1376"</f>
        <v>1376</v>
      </c>
      <c r="M3574" s="2"/>
      <c r="N3574" s="2" t="str">
        <f>"RUE HENRI-PICHÉ"</f>
        <v>RUE HENRI-PICHÉ</v>
      </c>
      <c r="O3574" s="2" t="s">
        <v>14661</v>
      </c>
      <c r="P3574" s="9" t="str">
        <f>VLOOKUP($O3574,'Liste des Villes'!$B$2:$B$1128,1,FALSE)</f>
        <v>Mirabel</v>
      </c>
      <c r="Q3574" s="9" t="str">
        <f>IFERROR($P3574,PROPER(VLOOKUP($O3574,'Villes en erreur'!$A$2:$B$72,2,FALSE)))</f>
        <v>Mirabel</v>
      </c>
      <c r="R3574" s="9" t="s">
        <v>14662</v>
      </c>
      <c r="S3574" s="9" t="str">
        <f>IF(ISBLANK($R3574),"",VLOOKUP($R3574,'Liste des Villes'!$B$2:$H$1128,4,FALSE))</f>
        <v>Laurentides</v>
      </c>
      <c r="T3574" s="2" t="s">
        <v>15642</v>
      </c>
      <c r="U3574" s="2" t="s">
        <v>39</v>
      </c>
      <c r="V3574" s="2" t="s">
        <v>40</v>
      </c>
      <c r="W3574" s="2" t="s">
        <v>15643</v>
      </c>
      <c r="X3574" s="2"/>
      <c r="Y3574" s="2"/>
      <c r="Z3574" s="2"/>
      <c r="AA3574" s="2" t="s">
        <v>708</v>
      </c>
      <c r="AB3574" s="2" t="s">
        <v>376</v>
      </c>
      <c r="AC3574" s="4" t="s">
        <v>44</v>
      </c>
    </row>
    <row r="3575" spans="1:29" x14ac:dyDescent="0.25">
      <c r="A3575" s="1">
        <v>2523</v>
      </c>
      <c r="B3575" s="17" t="s">
        <v>15644</v>
      </c>
      <c r="C3575" s="2" t="s">
        <v>15645</v>
      </c>
      <c r="D3575" s="15" t="s">
        <v>1169</v>
      </c>
      <c r="E3575" s="9" t="s">
        <v>15646</v>
      </c>
      <c r="F3575" s="9" t="s">
        <v>15647</v>
      </c>
      <c r="G3575" s="9" t="s">
        <v>325</v>
      </c>
      <c r="H3575" s="2" t="s">
        <v>35</v>
      </c>
      <c r="I3575" s="3">
        <v>37235</v>
      </c>
      <c r="J3575" s="9" t="str">
        <f t="shared" ca="1" si="58"/>
        <v>21 ans</v>
      </c>
      <c r="K3575" s="2" t="s">
        <v>262</v>
      </c>
      <c r="L3575" s="2" t="str">
        <f>"2025"</f>
        <v>2025</v>
      </c>
      <c r="M3575" s="2"/>
      <c r="N3575" s="2" t="str">
        <f>"RUE LAVIOLETTE"</f>
        <v>RUE LAVIOLETTE</v>
      </c>
      <c r="O3575" s="2" t="s">
        <v>14661</v>
      </c>
      <c r="P3575" s="9" t="str">
        <f>VLOOKUP($O3575,'Liste des Villes'!$B$2:$B$1128,1,FALSE)</f>
        <v>Mirabel</v>
      </c>
      <c r="Q3575" s="9" t="str">
        <f>IFERROR($P3575,PROPER(VLOOKUP($O3575,'Villes en erreur'!$A$2:$B$72,2,FALSE)))</f>
        <v>Mirabel</v>
      </c>
      <c r="R3575" s="9" t="s">
        <v>14662</v>
      </c>
      <c r="S3575" s="9" t="str">
        <f>IF(ISBLANK($R3575),"",VLOOKUP($R3575,'Liste des Villes'!$B$2:$H$1128,4,FALSE))</f>
        <v>Laurentides</v>
      </c>
      <c r="T3575" s="2" t="s">
        <v>15648</v>
      </c>
      <c r="U3575" s="2" t="s">
        <v>39</v>
      </c>
      <c r="V3575" s="2" t="s">
        <v>40</v>
      </c>
      <c r="W3575" s="2" t="s">
        <v>15649</v>
      </c>
      <c r="X3575" s="2"/>
      <c r="Y3575" s="2"/>
      <c r="Z3575" s="2"/>
      <c r="AA3575" s="2" t="s">
        <v>708</v>
      </c>
      <c r="AB3575" s="2" t="s">
        <v>14669</v>
      </c>
      <c r="AC3575" s="4" t="s">
        <v>44</v>
      </c>
    </row>
    <row r="3576" spans="1:29" x14ac:dyDescent="0.25">
      <c r="A3576" s="1">
        <v>3892</v>
      </c>
      <c r="B3576" s="17" t="s">
        <v>15650</v>
      </c>
      <c r="C3576" s="2" t="s">
        <v>15651</v>
      </c>
      <c r="D3576" s="15" t="s">
        <v>208</v>
      </c>
      <c r="E3576" s="9" t="s">
        <v>7688</v>
      </c>
      <c r="F3576" s="9" t="s">
        <v>1932</v>
      </c>
      <c r="G3576" s="9" t="s">
        <v>1212</v>
      </c>
      <c r="H3576" s="2" t="s">
        <v>60</v>
      </c>
      <c r="I3576" s="3">
        <v>37096</v>
      </c>
      <c r="J3576" s="9" t="str">
        <f t="shared" ca="1" si="58"/>
        <v>22 ans</v>
      </c>
      <c r="K3576" s="2" t="s">
        <v>156</v>
      </c>
      <c r="L3576" s="2" t="str">
        <f>"1216"</f>
        <v>1216</v>
      </c>
      <c r="M3576" s="2"/>
      <c r="N3576" s="2" t="str">
        <f>"RUE FOURNIER"</f>
        <v>RUE FOURNIER</v>
      </c>
      <c r="O3576" s="2" t="s">
        <v>14661</v>
      </c>
      <c r="P3576" s="9" t="str">
        <f>VLOOKUP($O3576,'Liste des Villes'!$B$2:$B$1128,1,FALSE)</f>
        <v>Mirabel</v>
      </c>
      <c r="Q3576" s="9" t="str">
        <f>IFERROR($P3576,PROPER(VLOOKUP($O3576,'Villes en erreur'!$A$2:$B$72,2,FALSE)))</f>
        <v>Mirabel</v>
      </c>
      <c r="R3576" s="9" t="s">
        <v>14662</v>
      </c>
      <c r="S3576" s="9" t="str">
        <f>IF(ISBLANK($R3576),"",VLOOKUP($R3576,'Liste des Villes'!$B$2:$H$1128,4,FALSE))</f>
        <v>Laurentides</v>
      </c>
      <c r="T3576" s="2" t="s">
        <v>15652</v>
      </c>
      <c r="U3576" s="2" t="s">
        <v>39</v>
      </c>
      <c r="V3576" s="2" t="s">
        <v>40</v>
      </c>
      <c r="W3576" s="2" t="s">
        <v>15653</v>
      </c>
      <c r="X3576" s="2"/>
      <c r="Y3576" s="2"/>
      <c r="Z3576" s="2"/>
      <c r="AA3576" s="2" t="s">
        <v>375</v>
      </c>
      <c r="AB3576" s="2" t="s">
        <v>376</v>
      </c>
      <c r="AC3576" s="4" t="s">
        <v>44</v>
      </c>
    </row>
    <row r="3577" spans="1:29" x14ac:dyDescent="0.25">
      <c r="A3577" s="1">
        <v>2470</v>
      </c>
      <c r="B3577" s="17" t="s">
        <v>15654</v>
      </c>
      <c r="C3577" s="2" t="s">
        <v>9959</v>
      </c>
      <c r="D3577" s="15" t="s">
        <v>7795</v>
      </c>
      <c r="E3577" s="9" t="s">
        <v>2796</v>
      </c>
      <c r="F3577" s="9" t="s">
        <v>7793</v>
      </c>
      <c r="G3577" s="9" t="s">
        <v>5629</v>
      </c>
      <c r="H3577" s="2" t="s">
        <v>60</v>
      </c>
      <c r="I3577" s="3">
        <v>37117</v>
      </c>
      <c r="J3577" s="9" t="str">
        <f t="shared" ca="1" si="58"/>
        <v>22 ans</v>
      </c>
      <c r="K3577" s="2" t="s">
        <v>156</v>
      </c>
      <c r="L3577" s="2" t="str">
        <f>"1288"</f>
        <v>1288</v>
      </c>
      <c r="M3577" s="2"/>
      <c r="N3577" s="2" t="str">
        <f>"rue Germaine-Guevremont"</f>
        <v>rue Germaine-Guevremont</v>
      </c>
      <c r="O3577" s="2" t="s">
        <v>14661</v>
      </c>
      <c r="P3577" s="9" t="str">
        <f>VLOOKUP($O3577,'Liste des Villes'!$B$2:$B$1128,1,FALSE)</f>
        <v>Mirabel</v>
      </c>
      <c r="Q3577" s="9" t="str">
        <f>IFERROR($P3577,PROPER(VLOOKUP($O3577,'Villes en erreur'!$A$2:$B$72,2,FALSE)))</f>
        <v>Mirabel</v>
      </c>
      <c r="R3577" s="9" t="s">
        <v>14662</v>
      </c>
      <c r="S3577" s="9" t="str">
        <f>IF(ISBLANK($R3577),"",VLOOKUP($R3577,'Liste des Villes'!$B$2:$H$1128,4,FALSE))</f>
        <v>Laurentides</v>
      </c>
      <c r="T3577" s="2" t="s">
        <v>15655</v>
      </c>
      <c r="U3577" s="2" t="s">
        <v>39</v>
      </c>
      <c r="V3577" s="2" t="s">
        <v>40</v>
      </c>
      <c r="W3577" s="2" t="s">
        <v>15656</v>
      </c>
      <c r="X3577" s="2"/>
      <c r="Y3577" s="2"/>
      <c r="Z3577" s="2"/>
      <c r="AA3577" s="2" t="s">
        <v>375</v>
      </c>
      <c r="AB3577" s="2" t="s">
        <v>376</v>
      </c>
      <c r="AC3577" s="4" t="s">
        <v>44</v>
      </c>
    </row>
    <row r="3578" spans="1:29" x14ac:dyDescent="0.25">
      <c r="A3578" s="1">
        <v>4515</v>
      </c>
      <c r="B3578" s="17" t="s">
        <v>15657</v>
      </c>
      <c r="C3578" s="2" t="s">
        <v>8686</v>
      </c>
      <c r="D3578" s="15" t="s">
        <v>3204</v>
      </c>
      <c r="E3578" s="9" t="s">
        <v>664</v>
      </c>
      <c r="F3578" s="9" t="s">
        <v>12419</v>
      </c>
      <c r="G3578" s="9" t="s">
        <v>5476</v>
      </c>
      <c r="H3578" s="2" t="s">
        <v>35</v>
      </c>
      <c r="I3578" s="3">
        <v>37134</v>
      </c>
      <c r="J3578" s="9" t="str">
        <f t="shared" ca="1" si="58"/>
        <v>21 ans</v>
      </c>
      <c r="K3578" s="2" t="s">
        <v>156</v>
      </c>
      <c r="L3578" s="2" t="str">
        <f>"1367"</f>
        <v>1367</v>
      </c>
      <c r="M3578" s="2"/>
      <c r="N3578" s="2" t="str">
        <f>"RUE HENRI-JULIEN"</f>
        <v>RUE HENRI-JULIEN</v>
      </c>
      <c r="O3578" s="2" t="s">
        <v>14661</v>
      </c>
      <c r="P3578" s="9" t="str">
        <f>VLOOKUP($O3578,'Liste des Villes'!$B$2:$B$1128,1,FALSE)</f>
        <v>Mirabel</v>
      </c>
      <c r="Q3578" s="9" t="str">
        <f>IFERROR($P3578,PROPER(VLOOKUP($O3578,'Villes en erreur'!$A$2:$B$72,2,FALSE)))</f>
        <v>Mirabel</v>
      </c>
      <c r="R3578" s="9" t="s">
        <v>14662</v>
      </c>
      <c r="S3578" s="9" t="str">
        <f>IF(ISBLANK($R3578),"",VLOOKUP($R3578,'Liste des Villes'!$B$2:$H$1128,4,FALSE))</f>
        <v>Laurentides</v>
      </c>
      <c r="T3578" s="2" t="s">
        <v>15658</v>
      </c>
      <c r="U3578" s="2" t="s">
        <v>39</v>
      </c>
      <c r="V3578" s="2" t="s">
        <v>40</v>
      </c>
      <c r="W3578" s="2" t="s">
        <v>15659</v>
      </c>
      <c r="X3578" s="2"/>
      <c r="Y3578" s="2"/>
      <c r="Z3578" s="2"/>
      <c r="AA3578" s="2" t="s">
        <v>15412</v>
      </c>
      <c r="AB3578" s="2" t="s">
        <v>376</v>
      </c>
      <c r="AC3578" s="4" t="s">
        <v>44</v>
      </c>
    </row>
    <row r="3579" spans="1:29" x14ac:dyDescent="0.25">
      <c r="A3579" s="1">
        <v>2245</v>
      </c>
      <c r="B3579" s="17" t="s">
        <v>15660</v>
      </c>
      <c r="C3579" s="2" t="s">
        <v>15661</v>
      </c>
      <c r="D3579" s="15" t="s">
        <v>10177</v>
      </c>
      <c r="E3579" s="9" t="s">
        <v>179</v>
      </c>
      <c r="F3579" s="9" t="s">
        <v>948</v>
      </c>
      <c r="G3579" s="9" t="s">
        <v>4243</v>
      </c>
      <c r="H3579" s="2" t="s">
        <v>60</v>
      </c>
      <c r="I3579" s="3">
        <v>37160</v>
      </c>
      <c r="J3579" s="9" t="str">
        <f t="shared" ca="1" si="58"/>
        <v>21 ans</v>
      </c>
      <c r="K3579" s="2" t="s">
        <v>156</v>
      </c>
      <c r="L3579" s="2" t="str">
        <f>"1515"</f>
        <v>1515</v>
      </c>
      <c r="M3579" s="2"/>
      <c r="N3579" s="2" t="str">
        <f>"RUE JEAN-BAPTISTE-CAMPEAU"</f>
        <v>RUE JEAN-BAPTISTE-CAMPEAU</v>
      </c>
      <c r="O3579" s="2" t="s">
        <v>14661</v>
      </c>
      <c r="P3579" s="9" t="str">
        <f>VLOOKUP($O3579,'Liste des Villes'!$B$2:$B$1128,1,FALSE)</f>
        <v>Mirabel</v>
      </c>
      <c r="Q3579" s="9" t="str">
        <f>IFERROR($P3579,PROPER(VLOOKUP($O3579,'Villes en erreur'!$A$2:$B$72,2,FALSE)))</f>
        <v>Mirabel</v>
      </c>
      <c r="R3579" s="9" t="s">
        <v>14662</v>
      </c>
      <c r="S3579" s="9" t="str">
        <f>IF(ISBLANK($R3579),"",VLOOKUP($R3579,'Liste des Villes'!$B$2:$H$1128,4,FALSE))</f>
        <v>Laurentides</v>
      </c>
      <c r="T3579" s="2" t="s">
        <v>15662</v>
      </c>
      <c r="U3579" s="2" t="s">
        <v>39</v>
      </c>
      <c r="V3579" s="2" t="s">
        <v>40</v>
      </c>
      <c r="W3579" s="2" t="s">
        <v>15663</v>
      </c>
      <c r="X3579" s="2"/>
      <c r="Y3579" s="2"/>
      <c r="Z3579" s="2"/>
      <c r="AA3579" s="2" t="s">
        <v>708</v>
      </c>
      <c r="AB3579" s="2" t="s">
        <v>376</v>
      </c>
      <c r="AC3579" s="4" t="s">
        <v>44</v>
      </c>
    </row>
    <row r="3580" spans="1:29" x14ac:dyDescent="0.25">
      <c r="A3580" s="1">
        <v>1158</v>
      </c>
      <c r="B3580" s="17" t="s">
        <v>15664</v>
      </c>
      <c r="C3580" s="2" t="s">
        <v>9981</v>
      </c>
      <c r="D3580" s="15" t="s">
        <v>4344</v>
      </c>
      <c r="E3580" s="9" t="s">
        <v>1560</v>
      </c>
      <c r="F3580" s="9" t="s">
        <v>867</v>
      </c>
      <c r="G3580" s="9" t="s">
        <v>868</v>
      </c>
      <c r="H3580" s="2" t="s">
        <v>60</v>
      </c>
      <c r="I3580" s="3">
        <v>37168</v>
      </c>
      <c r="J3580" s="9" t="str">
        <f t="shared" ca="1" si="58"/>
        <v>21 ans</v>
      </c>
      <c r="K3580" s="2" t="s">
        <v>156</v>
      </c>
      <c r="L3580" s="2" t="str">
        <f>"1565"</f>
        <v>1565</v>
      </c>
      <c r="M3580" s="2"/>
      <c r="N3580" s="2" t="str">
        <f>"RUE JEAN-PAUL-RIOPELLE"</f>
        <v>RUE JEAN-PAUL-RIOPELLE</v>
      </c>
      <c r="O3580" s="2" t="s">
        <v>14661</v>
      </c>
      <c r="P3580" s="9" t="str">
        <f>VLOOKUP($O3580,'Liste des Villes'!$B$2:$B$1128,1,FALSE)</f>
        <v>Mirabel</v>
      </c>
      <c r="Q3580" s="9" t="str">
        <f>IFERROR($P3580,PROPER(VLOOKUP($O3580,'Villes en erreur'!$A$2:$B$72,2,FALSE)))</f>
        <v>Mirabel</v>
      </c>
      <c r="R3580" s="9" t="s">
        <v>14662</v>
      </c>
      <c r="S3580" s="9" t="str">
        <f>IF(ISBLANK($R3580),"",VLOOKUP($R3580,'Liste des Villes'!$B$2:$H$1128,4,FALSE))</f>
        <v>Laurentides</v>
      </c>
      <c r="T3580" s="2" t="s">
        <v>15432</v>
      </c>
      <c r="U3580" s="2" t="s">
        <v>39</v>
      </c>
      <c r="V3580" s="2" t="s">
        <v>40</v>
      </c>
      <c r="W3580" s="2" t="s">
        <v>15665</v>
      </c>
      <c r="X3580" s="2"/>
      <c r="Y3580" s="2"/>
      <c r="Z3580" s="2"/>
      <c r="AA3580" s="2" t="s">
        <v>708</v>
      </c>
      <c r="AB3580" s="2" t="s">
        <v>376</v>
      </c>
      <c r="AC3580" s="4" t="s">
        <v>44</v>
      </c>
    </row>
    <row r="3581" spans="1:29" x14ac:dyDescent="0.25">
      <c r="A3581" s="1">
        <v>3636</v>
      </c>
      <c r="B3581" s="17" t="s">
        <v>15666</v>
      </c>
      <c r="C3581" s="2" t="s">
        <v>9564</v>
      </c>
      <c r="D3581" s="15" t="s">
        <v>1024</v>
      </c>
      <c r="E3581" s="9" t="s">
        <v>9565</v>
      </c>
      <c r="F3581" s="9" t="s">
        <v>7931</v>
      </c>
      <c r="G3581" s="9" t="s">
        <v>1650</v>
      </c>
      <c r="H3581" s="2" t="s">
        <v>35</v>
      </c>
      <c r="I3581" s="3">
        <v>37127</v>
      </c>
      <c r="J3581" s="9" t="str">
        <f t="shared" ca="1" si="58"/>
        <v>22 ans</v>
      </c>
      <c r="K3581" s="2" t="s">
        <v>156</v>
      </c>
      <c r="L3581" s="2" t="str">
        <f>"1335"</f>
        <v>1335</v>
      </c>
      <c r="M3581" s="2"/>
      <c r="N3581" s="2" t="str">
        <f>"RUE GUAY"</f>
        <v>RUE GUAY</v>
      </c>
      <c r="O3581" s="2" t="s">
        <v>14661</v>
      </c>
      <c r="P3581" s="9" t="str">
        <f>VLOOKUP($O3581,'Liste des Villes'!$B$2:$B$1128,1,FALSE)</f>
        <v>Mirabel</v>
      </c>
      <c r="Q3581" s="9" t="str">
        <f>IFERROR($P3581,PROPER(VLOOKUP($O3581,'Villes en erreur'!$A$2:$B$72,2,FALSE)))</f>
        <v>Mirabel</v>
      </c>
      <c r="R3581" s="9" t="s">
        <v>14662</v>
      </c>
      <c r="S3581" s="9" t="str">
        <f>IF(ISBLANK($R3581),"",VLOOKUP($R3581,'Liste des Villes'!$B$2:$H$1128,4,FALSE))</f>
        <v>Laurentides</v>
      </c>
      <c r="T3581" s="2" t="s">
        <v>15667</v>
      </c>
      <c r="U3581" s="2" t="s">
        <v>39</v>
      </c>
      <c r="V3581" s="2" t="s">
        <v>40</v>
      </c>
      <c r="W3581" s="2" t="s">
        <v>15668</v>
      </c>
      <c r="X3581" s="2"/>
      <c r="Y3581" s="2"/>
      <c r="Z3581" s="2"/>
      <c r="AA3581" s="2" t="s">
        <v>375</v>
      </c>
      <c r="AB3581" s="2" t="s">
        <v>376</v>
      </c>
      <c r="AC3581" s="4" t="s">
        <v>44</v>
      </c>
    </row>
    <row r="3582" spans="1:29" x14ac:dyDescent="0.25">
      <c r="A3582" s="1">
        <v>3907</v>
      </c>
      <c r="B3582" s="17" t="s">
        <v>15669</v>
      </c>
      <c r="C3582" s="2" t="s">
        <v>15670</v>
      </c>
      <c r="D3582" s="15" t="s">
        <v>8157</v>
      </c>
      <c r="E3582" s="9" t="s">
        <v>85</v>
      </c>
      <c r="F3582" s="9" t="s">
        <v>86</v>
      </c>
      <c r="G3582" s="9" t="s">
        <v>14454</v>
      </c>
      <c r="H3582" s="2" t="s">
        <v>35</v>
      </c>
      <c r="I3582" s="3">
        <v>37116</v>
      </c>
      <c r="J3582" s="9" t="str">
        <f t="shared" ca="1" si="58"/>
        <v>22 ans</v>
      </c>
      <c r="K3582" s="2" t="s">
        <v>156</v>
      </c>
      <c r="L3582" s="2" t="str">
        <f>"1285"</f>
        <v>1285</v>
      </c>
      <c r="M3582" s="2"/>
      <c r="N3582" s="2" t="str">
        <f>"RUE GÉRARD-CLOUTIER"</f>
        <v>RUE GÉRARD-CLOUTIER</v>
      </c>
      <c r="O3582" s="2" t="s">
        <v>14661</v>
      </c>
      <c r="P3582" s="9" t="str">
        <f>VLOOKUP($O3582,'Liste des Villes'!$B$2:$B$1128,1,FALSE)</f>
        <v>Mirabel</v>
      </c>
      <c r="Q3582" s="9" t="str">
        <f>IFERROR($P3582,PROPER(VLOOKUP($O3582,'Villes en erreur'!$A$2:$B$72,2,FALSE)))</f>
        <v>Mirabel</v>
      </c>
      <c r="R3582" s="9" t="s">
        <v>14662</v>
      </c>
      <c r="S3582" s="9" t="str">
        <f>IF(ISBLANK($R3582),"",VLOOKUP($R3582,'Liste des Villes'!$B$2:$H$1128,4,FALSE))</f>
        <v>Laurentides</v>
      </c>
      <c r="T3582" s="2" t="s">
        <v>15671</v>
      </c>
      <c r="U3582" s="2" t="s">
        <v>39</v>
      </c>
      <c r="V3582" s="2" t="s">
        <v>40</v>
      </c>
      <c r="W3582" s="2" t="s">
        <v>15672</v>
      </c>
      <c r="X3582" s="2"/>
      <c r="Y3582" s="2"/>
      <c r="Z3582" s="2"/>
      <c r="AA3582" s="2" t="s">
        <v>375</v>
      </c>
      <c r="AB3582" s="2" t="s">
        <v>376</v>
      </c>
      <c r="AC3582" s="4" t="s">
        <v>44</v>
      </c>
    </row>
    <row r="3583" spans="1:29" x14ac:dyDescent="0.25">
      <c r="A3583" s="1">
        <v>1117</v>
      </c>
      <c r="B3583" s="17" t="s">
        <v>15673</v>
      </c>
      <c r="C3583" s="2" t="s">
        <v>15674</v>
      </c>
      <c r="D3583" s="15" t="s">
        <v>246</v>
      </c>
      <c r="E3583" s="9" t="s">
        <v>5288</v>
      </c>
      <c r="F3583" s="9" t="s">
        <v>1617</v>
      </c>
      <c r="G3583" s="9" t="s">
        <v>7978</v>
      </c>
      <c r="H3583" s="2" t="s">
        <v>35</v>
      </c>
      <c r="I3583" s="3">
        <v>37151</v>
      </c>
      <c r="J3583" s="9" t="str">
        <f t="shared" ca="1" si="58"/>
        <v>21 ans</v>
      </c>
      <c r="K3583" s="2" t="s">
        <v>156</v>
      </c>
      <c r="L3583" s="2" t="str">
        <f>"1452"</f>
        <v>1452</v>
      </c>
      <c r="M3583" s="2"/>
      <c r="N3583" s="2" t="str">
        <f>"RUE JACINTHE"</f>
        <v>RUE JACINTHE</v>
      </c>
      <c r="O3583" s="2" t="s">
        <v>14661</v>
      </c>
      <c r="P3583" s="9" t="str">
        <f>VLOOKUP($O3583,'Liste des Villes'!$B$2:$B$1128,1,FALSE)</f>
        <v>Mirabel</v>
      </c>
      <c r="Q3583" s="9" t="str">
        <f>IFERROR($P3583,PROPER(VLOOKUP($O3583,'Villes en erreur'!$A$2:$B$72,2,FALSE)))</f>
        <v>Mirabel</v>
      </c>
      <c r="R3583" s="9" t="s">
        <v>14662</v>
      </c>
      <c r="S3583" s="9" t="str">
        <f>IF(ISBLANK($R3583),"",VLOOKUP($R3583,'Liste des Villes'!$B$2:$H$1128,4,FALSE))</f>
        <v>Laurentides</v>
      </c>
      <c r="T3583" s="2" t="s">
        <v>15675</v>
      </c>
      <c r="U3583" s="2" t="s">
        <v>39</v>
      </c>
      <c r="V3583" s="2" t="s">
        <v>40</v>
      </c>
      <c r="W3583" s="2" t="s">
        <v>15676</v>
      </c>
      <c r="X3583" s="2"/>
      <c r="Y3583" s="2"/>
      <c r="Z3583" s="2"/>
      <c r="AA3583" s="2" t="s">
        <v>708</v>
      </c>
      <c r="AB3583" s="2" t="s">
        <v>376</v>
      </c>
      <c r="AC3583" s="4" t="s">
        <v>44</v>
      </c>
    </row>
    <row r="3584" spans="1:29" x14ac:dyDescent="0.25">
      <c r="A3584" s="1">
        <v>3923</v>
      </c>
      <c r="B3584" s="17" t="s">
        <v>15677</v>
      </c>
      <c r="C3584" s="2" t="s">
        <v>3818</v>
      </c>
      <c r="D3584" s="15" t="s">
        <v>3433</v>
      </c>
      <c r="E3584" s="9" t="s">
        <v>186</v>
      </c>
      <c r="F3584" s="9" t="s">
        <v>3431</v>
      </c>
      <c r="G3584" s="9" t="s">
        <v>4649</v>
      </c>
      <c r="H3584" s="2" t="s">
        <v>60</v>
      </c>
      <c r="I3584" s="3">
        <v>37117</v>
      </c>
      <c r="J3584" s="9" t="str">
        <f t="shared" ca="1" si="58"/>
        <v>22 ans</v>
      </c>
      <c r="K3584" s="2" t="s">
        <v>156</v>
      </c>
      <c r="L3584" s="2" t="str">
        <f>"1290"</f>
        <v>1290</v>
      </c>
      <c r="M3584" s="2"/>
      <c r="N3584" s="2" t="str">
        <f>"RUE GIBBON"</f>
        <v>RUE GIBBON</v>
      </c>
      <c r="O3584" s="2" t="s">
        <v>14661</v>
      </c>
      <c r="P3584" s="9" t="str">
        <f>VLOOKUP($O3584,'Liste des Villes'!$B$2:$B$1128,1,FALSE)</f>
        <v>Mirabel</v>
      </c>
      <c r="Q3584" s="9" t="str">
        <f>IFERROR($P3584,PROPER(VLOOKUP($O3584,'Villes en erreur'!$A$2:$B$72,2,FALSE)))</f>
        <v>Mirabel</v>
      </c>
      <c r="R3584" s="9" t="s">
        <v>14662</v>
      </c>
      <c r="S3584" s="9" t="str">
        <f>IF(ISBLANK($R3584),"",VLOOKUP($R3584,'Liste des Villes'!$B$2:$H$1128,4,FALSE))</f>
        <v>Laurentides</v>
      </c>
      <c r="T3584" s="2" t="s">
        <v>15678</v>
      </c>
      <c r="U3584" s="2" t="s">
        <v>39</v>
      </c>
      <c r="V3584" s="2" t="s">
        <v>40</v>
      </c>
      <c r="W3584" s="2" t="s">
        <v>15679</v>
      </c>
      <c r="X3584" s="2"/>
      <c r="Y3584" s="2"/>
      <c r="Z3584" s="2"/>
      <c r="AA3584" s="2" t="s">
        <v>375</v>
      </c>
      <c r="AB3584" s="2" t="s">
        <v>376</v>
      </c>
      <c r="AC3584" s="4" t="s">
        <v>44</v>
      </c>
    </row>
    <row r="3585" spans="1:29" x14ac:dyDescent="0.25">
      <c r="A3585" s="1">
        <v>4181</v>
      </c>
      <c r="B3585" s="17" t="s">
        <v>15680</v>
      </c>
      <c r="C3585" s="2" t="s">
        <v>15681</v>
      </c>
      <c r="D3585" s="15" t="s">
        <v>3701</v>
      </c>
      <c r="E3585" s="9" t="s">
        <v>6250</v>
      </c>
      <c r="F3585" s="9" t="s">
        <v>1716</v>
      </c>
      <c r="G3585" s="9" t="s">
        <v>362</v>
      </c>
      <c r="H3585" s="2" t="s">
        <v>35</v>
      </c>
      <c r="I3585" s="3">
        <v>37147</v>
      </c>
      <c r="J3585" s="9" t="str">
        <f t="shared" ca="1" si="58"/>
        <v>21 ans</v>
      </c>
      <c r="K3585" s="2" t="s">
        <v>156</v>
      </c>
      <c r="L3585" s="2" t="str">
        <f>"1430"</f>
        <v>1430</v>
      </c>
      <c r="M3585" s="2"/>
      <c r="N3585" s="2" t="str">
        <f>"RUE ISAAC-JOGUES"</f>
        <v>RUE ISAAC-JOGUES</v>
      </c>
      <c r="O3585" s="2" t="s">
        <v>14661</v>
      </c>
      <c r="P3585" s="9" t="str">
        <f>VLOOKUP($O3585,'Liste des Villes'!$B$2:$B$1128,1,FALSE)</f>
        <v>Mirabel</v>
      </c>
      <c r="Q3585" s="9" t="str">
        <f>IFERROR($P3585,PROPER(VLOOKUP($O3585,'Villes en erreur'!$A$2:$B$72,2,FALSE)))</f>
        <v>Mirabel</v>
      </c>
      <c r="R3585" s="9" t="s">
        <v>14662</v>
      </c>
      <c r="S3585" s="9" t="str">
        <f>IF(ISBLANK($R3585),"",VLOOKUP($R3585,'Liste des Villes'!$B$2:$H$1128,4,FALSE))</f>
        <v>Laurentides</v>
      </c>
      <c r="T3585" s="2" t="s">
        <v>15016</v>
      </c>
      <c r="U3585" s="2" t="s">
        <v>39</v>
      </c>
      <c r="V3585" s="2" t="s">
        <v>40</v>
      </c>
      <c r="W3585" s="2" t="s">
        <v>15682</v>
      </c>
      <c r="X3585" s="2"/>
      <c r="Y3585" s="2"/>
      <c r="Z3585" s="2"/>
      <c r="AA3585" s="2" t="s">
        <v>708</v>
      </c>
      <c r="AB3585" s="2" t="s">
        <v>376</v>
      </c>
      <c r="AC3585" s="4" t="s">
        <v>44</v>
      </c>
    </row>
    <row r="3586" spans="1:29" x14ac:dyDescent="0.25">
      <c r="A3586" s="1">
        <v>3971</v>
      </c>
      <c r="B3586" s="17" t="s">
        <v>15683</v>
      </c>
      <c r="C3586" s="2" t="s">
        <v>12985</v>
      </c>
      <c r="D3586" s="15" t="s">
        <v>9272</v>
      </c>
      <c r="E3586" s="9" t="s">
        <v>12986</v>
      </c>
      <c r="F3586" s="9" t="s">
        <v>15684</v>
      </c>
      <c r="G3586" s="9" t="s">
        <v>840</v>
      </c>
      <c r="H3586" s="2" t="s">
        <v>60</v>
      </c>
      <c r="I3586" s="3">
        <v>37179</v>
      </c>
      <c r="J3586" s="9" t="str">
        <f t="shared" ref="J3586:J3649" ca="1" si="59">_xlfn.CONCAT(INT((TODAY()-$I3586)/365.25)," ans")</f>
        <v>21 ans</v>
      </c>
      <c r="K3586" s="2" t="s">
        <v>262</v>
      </c>
      <c r="L3586" s="2" t="str">
        <f>"1647"</f>
        <v>1647</v>
      </c>
      <c r="M3586" s="2"/>
      <c r="N3586" s="2" t="str">
        <f>"RUE JOSEPH-GUITARD"</f>
        <v>RUE JOSEPH-GUITARD</v>
      </c>
      <c r="O3586" s="2" t="s">
        <v>14661</v>
      </c>
      <c r="P3586" s="9" t="str">
        <f>VLOOKUP($O3586,'Liste des Villes'!$B$2:$B$1128,1,FALSE)</f>
        <v>Mirabel</v>
      </c>
      <c r="Q3586" s="9" t="str">
        <f>IFERROR($P3586,PROPER(VLOOKUP($O3586,'Villes en erreur'!$A$2:$B$72,2,FALSE)))</f>
        <v>Mirabel</v>
      </c>
      <c r="R3586" s="9" t="s">
        <v>14662</v>
      </c>
      <c r="S3586" s="9" t="str">
        <f>IF(ISBLANK($R3586),"",VLOOKUP($R3586,'Liste des Villes'!$B$2:$H$1128,4,FALSE))</f>
        <v>Laurentides</v>
      </c>
      <c r="T3586" s="2" t="s">
        <v>15416</v>
      </c>
      <c r="U3586" s="2" t="s">
        <v>39</v>
      </c>
      <c r="V3586" s="2" t="s">
        <v>40</v>
      </c>
      <c r="W3586" s="2" t="s">
        <v>15685</v>
      </c>
      <c r="X3586" s="2"/>
      <c r="Y3586" s="2"/>
      <c r="Z3586" s="2"/>
      <c r="AA3586" s="2" t="s">
        <v>708</v>
      </c>
      <c r="AB3586" s="2" t="s">
        <v>14669</v>
      </c>
      <c r="AC3586" s="4" t="s">
        <v>44</v>
      </c>
    </row>
    <row r="3587" spans="1:29" x14ac:dyDescent="0.25">
      <c r="A3587" s="1">
        <v>3530</v>
      </c>
      <c r="B3587" s="17" t="s">
        <v>15686</v>
      </c>
      <c r="C3587" s="2" t="s">
        <v>15687</v>
      </c>
      <c r="D3587" s="15" t="s">
        <v>11987</v>
      </c>
      <c r="E3587" s="9" t="s">
        <v>622</v>
      </c>
      <c r="F3587" s="9" t="s">
        <v>11986</v>
      </c>
      <c r="G3587" s="9" t="s">
        <v>3868</v>
      </c>
      <c r="H3587" s="2" t="s">
        <v>60</v>
      </c>
      <c r="I3587" s="3">
        <v>37138</v>
      </c>
      <c r="J3587" s="9" t="str">
        <f t="shared" ca="1" si="59"/>
        <v>21 ans</v>
      </c>
      <c r="K3587" s="2" t="s">
        <v>156</v>
      </c>
      <c r="L3587" s="2" t="str">
        <f>"1386"</f>
        <v>1386</v>
      </c>
      <c r="M3587" s="2"/>
      <c r="N3587" s="2" t="str">
        <f>"RUE HILLCREST"</f>
        <v>RUE HILLCREST</v>
      </c>
      <c r="O3587" s="2" t="s">
        <v>14661</v>
      </c>
      <c r="P3587" s="9" t="str">
        <f>VLOOKUP($O3587,'Liste des Villes'!$B$2:$B$1128,1,FALSE)</f>
        <v>Mirabel</v>
      </c>
      <c r="Q3587" s="9" t="str">
        <f>IFERROR($P3587,PROPER(VLOOKUP($O3587,'Villes en erreur'!$A$2:$B$72,2,FALSE)))</f>
        <v>Mirabel</v>
      </c>
      <c r="R3587" s="9" t="s">
        <v>14662</v>
      </c>
      <c r="S3587" s="9" t="str">
        <f>IF(ISBLANK($R3587),"",VLOOKUP($R3587,'Liste des Villes'!$B$2:$H$1128,4,FALSE))</f>
        <v>Laurentides</v>
      </c>
      <c r="T3587" s="2" t="s">
        <v>15688</v>
      </c>
      <c r="U3587" s="2" t="s">
        <v>39</v>
      </c>
      <c r="V3587" s="2" t="s">
        <v>40</v>
      </c>
      <c r="W3587" s="2" t="s">
        <v>15689</v>
      </c>
      <c r="X3587" s="2"/>
      <c r="Y3587" s="2"/>
      <c r="Z3587" s="2"/>
      <c r="AA3587" s="2" t="s">
        <v>708</v>
      </c>
      <c r="AB3587" s="2" t="s">
        <v>376</v>
      </c>
      <c r="AC3587" s="4" t="s">
        <v>44</v>
      </c>
    </row>
    <row r="3588" spans="1:29" x14ac:dyDescent="0.25">
      <c r="A3588" s="1">
        <v>3835</v>
      </c>
      <c r="B3588" s="17" t="s">
        <v>15690</v>
      </c>
      <c r="C3588" s="2" t="s">
        <v>13541</v>
      </c>
      <c r="D3588" s="15" t="s">
        <v>2698</v>
      </c>
      <c r="E3588" s="9" t="s">
        <v>8733</v>
      </c>
      <c r="F3588" s="9" t="s">
        <v>4812</v>
      </c>
      <c r="G3588" s="9" t="s">
        <v>1650</v>
      </c>
      <c r="H3588" s="2" t="s">
        <v>35</v>
      </c>
      <c r="I3588" s="3">
        <v>37127</v>
      </c>
      <c r="J3588" s="9" t="str">
        <f t="shared" ca="1" si="59"/>
        <v>22 ans</v>
      </c>
      <c r="K3588" s="2" t="s">
        <v>156</v>
      </c>
      <c r="L3588" s="2" t="str">
        <f>"1333"</f>
        <v>1333</v>
      </c>
      <c r="M3588" s="2"/>
      <c r="N3588" s="2" t="str">
        <f>"RUE GUAY"</f>
        <v>RUE GUAY</v>
      </c>
      <c r="O3588" s="2" t="s">
        <v>14661</v>
      </c>
      <c r="P3588" s="9" t="str">
        <f>VLOOKUP($O3588,'Liste des Villes'!$B$2:$B$1128,1,FALSE)</f>
        <v>Mirabel</v>
      </c>
      <c r="Q3588" s="9" t="str">
        <f>IFERROR($P3588,PROPER(VLOOKUP($O3588,'Villes en erreur'!$A$2:$B$72,2,FALSE)))</f>
        <v>Mirabel</v>
      </c>
      <c r="R3588" s="9" t="s">
        <v>14662</v>
      </c>
      <c r="S3588" s="9" t="str">
        <f>IF(ISBLANK($R3588),"",VLOOKUP($R3588,'Liste des Villes'!$B$2:$H$1128,4,FALSE))</f>
        <v>Laurentides</v>
      </c>
      <c r="T3588" s="2" t="s">
        <v>15667</v>
      </c>
      <c r="U3588" s="2" t="s">
        <v>39</v>
      </c>
      <c r="V3588" s="2" t="s">
        <v>40</v>
      </c>
      <c r="W3588" s="2" t="s">
        <v>15691</v>
      </c>
      <c r="X3588" s="2"/>
      <c r="Y3588" s="2"/>
      <c r="Z3588" s="2"/>
      <c r="AA3588" s="2" t="s">
        <v>375</v>
      </c>
      <c r="AB3588" s="2" t="s">
        <v>376</v>
      </c>
      <c r="AC3588" s="4" t="s">
        <v>44</v>
      </c>
    </row>
    <row r="3589" spans="1:29" x14ac:dyDescent="0.25">
      <c r="A3589" s="1">
        <v>1017</v>
      </c>
      <c r="B3589" s="17" t="s">
        <v>15692</v>
      </c>
      <c r="C3589" s="2" t="s">
        <v>15693</v>
      </c>
      <c r="D3589" s="15" t="s">
        <v>2316</v>
      </c>
      <c r="E3589" s="9" t="s">
        <v>1846</v>
      </c>
      <c r="F3589" s="9" t="s">
        <v>2315</v>
      </c>
      <c r="G3589" s="9" t="s">
        <v>2872</v>
      </c>
      <c r="H3589" s="2" t="s">
        <v>35</v>
      </c>
      <c r="I3589" s="3">
        <v>37194</v>
      </c>
      <c r="J3589" s="9" t="str">
        <f t="shared" ca="1" si="59"/>
        <v>21 ans</v>
      </c>
      <c r="K3589" s="2" t="s">
        <v>262</v>
      </c>
      <c r="L3589" s="2" t="str">
        <f>"1733"</f>
        <v>1733</v>
      </c>
      <c r="M3589" s="2"/>
      <c r="N3589" s="2" t="str">
        <f>"RUE LABELLE"</f>
        <v>RUE LABELLE</v>
      </c>
      <c r="O3589" s="2" t="s">
        <v>14661</v>
      </c>
      <c r="P3589" s="9" t="str">
        <f>VLOOKUP($O3589,'Liste des Villes'!$B$2:$B$1128,1,FALSE)</f>
        <v>Mirabel</v>
      </c>
      <c r="Q3589" s="9" t="str">
        <f>IFERROR($P3589,PROPER(VLOOKUP($O3589,'Villes en erreur'!$A$2:$B$72,2,FALSE)))</f>
        <v>Mirabel</v>
      </c>
      <c r="R3589" s="9" t="s">
        <v>14662</v>
      </c>
      <c r="S3589" s="9" t="str">
        <f>IF(ISBLANK($R3589),"",VLOOKUP($R3589,'Liste des Villes'!$B$2:$H$1128,4,FALSE))</f>
        <v>Laurentides</v>
      </c>
      <c r="T3589" s="2" t="s">
        <v>14809</v>
      </c>
      <c r="U3589" s="2" t="s">
        <v>39</v>
      </c>
      <c r="V3589" s="2" t="s">
        <v>40</v>
      </c>
      <c r="W3589" s="2" t="s">
        <v>15694</v>
      </c>
      <c r="X3589" s="2"/>
      <c r="Y3589" s="2"/>
      <c r="Z3589" s="2"/>
      <c r="AA3589" s="2" t="s">
        <v>708</v>
      </c>
      <c r="AB3589" s="2" t="s">
        <v>14669</v>
      </c>
      <c r="AC3589" s="4" t="s">
        <v>44</v>
      </c>
    </row>
    <row r="3590" spans="1:29" x14ac:dyDescent="0.25">
      <c r="A3590" s="1">
        <v>3214</v>
      </c>
      <c r="B3590" s="17" t="s">
        <v>15695</v>
      </c>
      <c r="C3590" s="2" t="s">
        <v>15696</v>
      </c>
      <c r="D3590" s="15" t="s">
        <v>4066</v>
      </c>
      <c r="E3590" s="9" t="s">
        <v>963</v>
      </c>
      <c r="F3590" s="9" t="s">
        <v>10887</v>
      </c>
      <c r="G3590" s="9" t="s">
        <v>325</v>
      </c>
      <c r="H3590" s="2" t="s">
        <v>35</v>
      </c>
      <c r="I3590" s="3">
        <v>37235</v>
      </c>
      <c r="J3590" s="9" t="str">
        <f t="shared" ca="1" si="59"/>
        <v>21 ans</v>
      </c>
      <c r="K3590" s="2" t="s">
        <v>262</v>
      </c>
      <c r="L3590" s="2" t="str">
        <f>"2020"</f>
        <v>2020</v>
      </c>
      <c r="M3590" s="2"/>
      <c r="N3590" s="2" t="str">
        <f>"RUE LAVERDURE"</f>
        <v>RUE LAVERDURE</v>
      </c>
      <c r="O3590" s="2" t="s">
        <v>14661</v>
      </c>
      <c r="P3590" s="9" t="str">
        <f>VLOOKUP($O3590,'Liste des Villes'!$B$2:$B$1128,1,FALSE)</f>
        <v>Mirabel</v>
      </c>
      <c r="Q3590" s="9" t="str">
        <f>IFERROR($P3590,PROPER(VLOOKUP($O3590,'Villes en erreur'!$A$2:$B$72,2,FALSE)))</f>
        <v>Mirabel</v>
      </c>
      <c r="R3590" s="9" t="s">
        <v>14662</v>
      </c>
      <c r="S3590" s="9" t="str">
        <f>IF(ISBLANK($R3590),"",VLOOKUP($R3590,'Liste des Villes'!$B$2:$H$1128,4,FALSE))</f>
        <v>Laurentides</v>
      </c>
      <c r="T3590" s="2" t="s">
        <v>15697</v>
      </c>
      <c r="U3590" s="2" t="s">
        <v>39</v>
      </c>
      <c r="V3590" s="2" t="s">
        <v>40</v>
      </c>
      <c r="W3590" s="2" t="s">
        <v>15698</v>
      </c>
      <c r="X3590" s="2"/>
      <c r="Y3590" s="2"/>
      <c r="Z3590" s="2"/>
      <c r="AA3590" s="2" t="s">
        <v>708</v>
      </c>
      <c r="AB3590" s="2" t="s">
        <v>14669</v>
      </c>
      <c r="AC3590" s="4" t="s">
        <v>44</v>
      </c>
    </row>
    <row r="3591" spans="1:29" x14ac:dyDescent="0.25">
      <c r="A3591" s="1">
        <v>525</v>
      </c>
      <c r="B3591" s="17" t="s">
        <v>15699</v>
      </c>
      <c r="C3591" s="2" t="s">
        <v>15700</v>
      </c>
      <c r="D3591" s="15" t="s">
        <v>15701</v>
      </c>
      <c r="E3591" s="9" t="s">
        <v>4040</v>
      </c>
      <c r="F3591" s="9" t="s">
        <v>4026</v>
      </c>
      <c r="G3591" s="9" t="s">
        <v>1091</v>
      </c>
      <c r="H3591" s="2" t="s">
        <v>60</v>
      </c>
      <c r="I3591" s="3">
        <v>37210</v>
      </c>
      <c r="J3591" s="9" t="str">
        <f t="shared" ca="1" si="59"/>
        <v>21 ans</v>
      </c>
      <c r="K3591" s="2" t="s">
        <v>262</v>
      </c>
      <c r="L3591" s="2" t="str">
        <f>"1875"</f>
        <v>1875</v>
      </c>
      <c r="M3591" s="2"/>
      <c r="N3591" s="2" t="str">
        <f>"RUE LALANDE"</f>
        <v>RUE LALANDE</v>
      </c>
      <c r="O3591" s="2" t="s">
        <v>14661</v>
      </c>
      <c r="P3591" s="9" t="str">
        <f>VLOOKUP($O3591,'Liste des Villes'!$B$2:$B$1128,1,FALSE)</f>
        <v>Mirabel</v>
      </c>
      <c r="Q3591" s="9" t="str">
        <f>IFERROR($P3591,PROPER(VLOOKUP($O3591,'Villes en erreur'!$A$2:$B$72,2,FALSE)))</f>
        <v>Mirabel</v>
      </c>
      <c r="R3591" s="9" t="s">
        <v>14662</v>
      </c>
      <c r="S3591" s="9" t="str">
        <f>IF(ISBLANK($R3591),"",VLOOKUP($R3591,'Liste des Villes'!$B$2:$H$1128,4,FALSE))</f>
        <v>Laurentides</v>
      </c>
      <c r="T3591" s="2" t="s">
        <v>15702</v>
      </c>
      <c r="U3591" s="2" t="s">
        <v>39</v>
      </c>
      <c r="V3591" s="2" t="s">
        <v>40</v>
      </c>
      <c r="W3591" s="2" t="s">
        <v>15703</v>
      </c>
      <c r="X3591" s="2"/>
      <c r="Y3591" s="2"/>
      <c r="Z3591" s="2"/>
      <c r="AA3591" s="2" t="s">
        <v>708</v>
      </c>
      <c r="AB3591" s="2" t="s">
        <v>14669</v>
      </c>
      <c r="AC3591" s="4" t="s">
        <v>44</v>
      </c>
    </row>
    <row r="3592" spans="1:29" x14ac:dyDescent="0.25">
      <c r="A3592" s="1">
        <v>2184</v>
      </c>
      <c r="B3592" s="17" t="s">
        <v>15704</v>
      </c>
      <c r="C3592" s="2" t="s">
        <v>4797</v>
      </c>
      <c r="D3592" s="15" t="s">
        <v>1157</v>
      </c>
      <c r="E3592" s="9" t="s">
        <v>4798</v>
      </c>
      <c r="F3592" s="9" t="s">
        <v>1156</v>
      </c>
      <c r="G3592" s="9" t="s">
        <v>860</v>
      </c>
      <c r="H3592" s="2" t="s">
        <v>60</v>
      </c>
      <c r="I3592" s="3">
        <v>37188</v>
      </c>
      <c r="J3592" s="9" t="str">
        <f t="shared" ca="1" si="59"/>
        <v>21 ans</v>
      </c>
      <c r="K3592" s="2" t="s">
        <v>262</v>
      </c>
      <c r="L3592" s="2" t="str">
        <f>"1705"</f>
        <v>1705</v>
      </c>
      <c r="M3592" s="2"/>
      <c r="N3592" s="2" t="str">
        <f>"RUE LA ROCHELLE"</f>
        <v>RUE LA ROCHELLE</v>
      </c>
      <c r="O3592" s="2" t="s">
        <v>14661</v>
      </c>
      <c r="P3592" s="9" t="str">
        <f>VLOOKUP($O3592,'Liste des Villes'!$B$2:$B$1128,1,FALSE)</f>
        <v>Mirabel</v>
      </c>
      <c r="Q3592" s="9" t="str">
        <f>IFERROR($P3592,PROPER(VLOOKUP($O3592,'Villes en erreur'!$A$2:$B$72,2,FALSE)))</f>
        <v>Mirabel</v>
      </c>
      <c r="R3592" s="9" t="s">
        <v>14662</v>
      </c>
      <c r="S3592" s="9" t="str">
        <f>IF(ISBLANK($R3592),"",VLOOKUP($R3592,'Liste des Villes'!$B$2:$H$1128,4,FALSE))</f>
        <v>Laurentides</v>
      </c>
      <c r="T3592" s="2" t="s">
        <v>14806</v>
      </c>
      <c r="U3592" s="2" t="s">
        <v>39</v>
      </c>
      <c r="V3592" s="2" t="s">
        <v>40</v>
      </c>
      <c r="W3592" s="2" t="s">
        <v>15705</v>
      </c>
      <c r="X3592" s="2"/>
      <c r="Y3592" s="2"/>
      <c r="Z3592" s="2"/>
      <c r="AA3592" s="2" t="s">
        <v>708</v>
      </c>
      <c r="AB3592" s="2" t="s">
        <v>14669</v>
      </c>
      <c r="AC3592" s="4" t="s">
        <v>44</v>
      </c>
    </row>
    <row r="3593" spans="1:29" x14ac:dyDescent="0.25">
      <c r="A3593" s="1">
        <v>3872</v>
      </c>
      <c r="B3593" s="17" t="s">
        <v>15706</v>
      </c>
      <c r="C3593" s="2" t="s">
        <v>6852</v>
      </c>
      <c r="D3593" s="15" t="s">
        <v>6853</v>
      </c>
      <c r="E3593" s="9" t="s">
        <v>341</v>
      </c>
      <c r="F3593" s="9" t="s">
        <v>2729</v>
      </c>
      <c r="G3593" s="9" t="s">
        <v>12220</v>
      </c>
      <c r="H3593" s="2" t="s">
        <v>35</v>
      </c>
      <c r="I3593" s="3">
        <v>37120</v>
      </c>
      <c r="J3593" s="9" t="str">
        <f t="shared" ca="1" si="59"/>
        <v>22 ans</v>
      </c>
      <c r="K3593" s="2" t="s">
        <v>156</v>
      </c>
      <c r="L3593" s="2" t="str">
        <f>"1308"</f>
        <v>1308</v>
      </c>
      <c r="M3593" s="2"/>
      <c r="N3593" s="2" t="str">
        <f>"RUE GILLES LUPIEN"</f>
        <v>RUE GILLES LUPIEN</v>
      </c>
      <c r="O3593" s="2" t="s">
        <v>14661</v>
      </c>
      <c r="P3593" s="9" t="str">
        <f>VLOOKUP($O3593,'Liste des Villes'!$B$2:$B$1128,1,FALSE)</f>
        <v>Mirabel</v>
      </c>
      <c r="Q3593" s="9" t="str">
        <f>IFERROR($P3593,PROPER(VLOOKUP($O3593,'Villes en erreur'!$A$2:$B$72,2,FALSE)))</f>
        <v>Mirabel</v>
      </c>
      <c r="R3593" s="9" t="s">
        <v>14662</v>
      </c>
      <c r="S3593" s="9" t="str">
        <f>IF(ISBLANK($R3593),"",VLOOKUP($R3593,'Liste des Villes'!$B$2:$H$1128,4,FALSE))</f>
        <v>Laurentides</v>
      </c>
      <c r="T3593" s="2" t="s">
        <v>15246</v>
      </c>
      <c r="U3593" s="2" t="s">
        <v>39</v>
      </c>
      <c r="V3593" s="2" t="s">
        <v>40</v>
      </c>
      <c r="W3593" s="2" t="s">
        <v>15707</v>
      </c>
      <c r="X3593" s="2"/>
      <c r="Y3593" s="2"/>
      <c r="Z3593" s="2"/>
      <c r="AA3593" s="2" t="s">
        <v>375</v>
      </c>
      <c r="AB3593" s="2" t="s">
        <v>376</v>
      </c>
      <c r="AC3593" s="4" t="s">
        <v>44</v>
      </c>
    </row>
    <row r="3594" spans="1:29" x14ac:dyDescent="0.25">
      <c r="A3594" s="1">
        <v>1548</v>
      </c>
      <c r="B3594" s="17" t="s">
        <v>15708</v>
      </c>
      <c r="C3594" s="2" t="s">
        <v>15709</v>
      </c>
      <c r="D3594" s="15" t="s">
        <v>13624</v>
      </c>
      <c r="E3594" s="9" t="s">
        <v>15710</v>
      </c>
      <c r="F3594" s="9" t="s">
        <v>13623</v>
      </c>
      <c r="G3594" s="9" t="s">
        <v>1176</v>
      </c>
      <c r="H3594" s="2" t="s">
        <v>60</v>
      </c>
      <c r="I3594" s="3">
        <v>37191</v>
      </c>
      <c r="J3594" s="9" t="str">
        <f t="shared" ca="1" si="59"/>
        <v>21 ans</v>
      </c>
      <c r="K3594" s="2" t="s">
        <v>262</v>
      </c>
      <c r="L3594" s="2" t="str">
        <f>"1714"</f>
        <v>1714</v>
      </c>
      <c r="M3594" s="2"/>
      <c r="N3594" s="2" t="str">
        <f>"RUE LABELLE"</f>
        <v>RUE LABELLE</v>
      </c>
      <c r="O3594" s="2" t="s">
        <v>14661</v>
      </c>
      <c r="P3594" s="9" t="str">
        <f>VLOOKUP($O3594,'Liste des Villes'!$B$2:$B$1128,1,FALSE)</f>
        <v>Mirabel</v>
      </c>
      <c r="Q3594" s="9" t="str">
        <f>IFERROR($P3594,PROPER(VLOOKUP($O3594,'Villes en erreur'!$A$2:$B$72,2,FALSE)))</f>
        <v>Mirabel</v>
      </c>
      <c r="R3594" s="9" t="s">
        <v>14662</v>
      </c>
      <c r="S3594" s="9" t="str">
        <f>IF(ISBLANK($R3594),"",VLOOKUP($R3594,'Liste des Villes'!$B$2:$H$1128,4,FALSE))</f>
        <v>Laurentides</v>
      </c>
      <c r="T3594" s="2" t="s">
        <v>14901</v>
      </c>
      <c r="U3594" s="2" t="s">
        <v>39</v>
      </c>
      <c r="V3594" s="2" t="s">
        <v>40</v>
      </c>
      <c r="W3594" s="2" t="s">
        <v>15711</v>
      </c>
      <c r="X3594" s="2"/>
      <c r="Y3594" s="2"/>
      <c r="Z3594" s="2"/>
      <c r="AA3594" s="2" t="s">
        <v>708</v>
      </c>
      <c r="AB3594" s="2" t="s">
        <v>14669</v>
      </c>
      <c r="AC3594" s="4" t="s">
        <v>44</v>
      </c>
    </row>
    <row r="3595" spans="1:29" x14ac:dyDescent="0.25">
      <c r="A3595" s="1">
        <v>3572</v>
      </c>
      <c r="B3595" s="17" t="s">
        <v>15712</v>
      </c>
      <c r="C3595" s="2" t="s">
        <v>11205</v>
      </c>
      <c r="D3595" s="15" t="s">
        <v>6008</v>
      </c>
      <c r="E3595" s="9" t="s">
        <v>2198</v>
      </c>
      <c r="F3595" s="9" t="s">
        <v>8873</v>
      </c>
      <c r="G3595" s="9" t="s">
        <v>5476</v>
      </c>
      <c r="H3595" s="2" t="s">
        <v>35</v>
      </c>
      <c r="I3595" s="3">
        <v>37133</v>
      </c>
      <c r="J3595" s="9" t="str">
        <f t="shared" ca="1" si="59"/>
        <v>21 ans</v>
      </c>
      <c r="K3595" s="2" t="s">
        <v>156</v>
      </c>
      <c r="L3595" s="2" t="str">
        <f>"1361"</f>
        <v>1361</v>
      </c>
      <c r="M3595" s="2"/>
      <c r="N3595" s="2" t="str">
        <f>"RUE HENRI JOLY"</f>
        <v>RUE HENRI JOLY</v>
      </c>
      <c r="O3595" s="2" t="s">
        <v>14661</v>
      </c>
      <c r="P3595" s="9" t="str">
        <f>VLOOKUP($O3595,'Liste des Villes'!$B$2:$B$1128,1,FALSE)</f>
        <v>Mirabel</v>
      </c>
      <c r="Q3595" s="9" t="str">
        <f>IFERROR($P3595,PROPER(VLOOKUP($O3595,'Villes en erreur'!$A$2:$B$72,2,FALSE)))</f>
        <v>Mirabel</v>
      </c>
      <c r="R3595" s="9" t="s">
        <v>14662</v>
      </c>
      <c r="S3595" s="9" t="str">
        <f>IF(ISBLANK($R3595),"",VLOOKUP($R3595,'Liste des Villes'!$B$2:$H$1128,4,FALSE))</f>
        <v>Laurentides</v>
      </c>
      <c r="T3595" s="2" t="s">
        <v>15195</v>
      </c>
      <c r="U3595" s="2" t="s">
        <v>39</v>
      </c>
      <c r="V3595" s="2" t="s">
        <v>40</v>
      </c>
      <c r="W3595" s="2" t="s">
        <v>15713</v>
      </c>
      <c r="X3595" s="2"/>
      <c r="Y3595" s="2"/>
      <c r="Z3595" s="2"/>
      <c r="AA3595" s="2" t="s">
        <v>375</v>
      </c>
      <c r="AB3595" s="2" t="s">
        <v>376</v>
      </c>
      <c r="AC3595" s="4" t="s">
        <v>44</v>
      </c>
    </row>
    <row r="3596" spans="1:29" x14ac:dyDescent="0.25">
      <c r="A3596" s="1">
        <v>136</v>
      </c>
      <c r="B3596" s="17" t="s">
        <v>15714</v>
      </c>
      <c r="C3596" s="2" t="s">
        <v>15715</v>
      </c>
      <c r="D3596" s="15" t="s">
        <v>3431</v>
      </c>
      <c r="E3596" s="9" t="s">
        <v>15716</v>
      </c>
      <c r="F3596" s="9" t="s">
        <v>12166</v>
      </c>
      <c r="G3596" s="9" t="s">
        <v>2416</v>
      </c>
      <c r="H3596" s="2" t="s">
        <v>35</v>
      </c>
      <c r="I3596" s="3">
        <v>37147</v>
      </c>
      <c r="J3596" s="9" t="str">
        <f t="shared" ca="1" si="59"/>
        <v>21 ans</v>
      </c>
      <c r="K3596" s="2" t="s">
        <v>156</v>
      </c>
      <c r="L3596" s="2" t="str">
        <f>"1435"</f>
        <v>1435</v>
      </c>
      <c r="M3596" s="2"/>
      <c r="N3596" s="2" t="str">
        <f>"RUE ISABELLE"</f>
        <v>RUE ISABELLE</v>
      </c>
      <c r="O3596" s="2" t="s">
        <v>14661</v>
      </c>
      <c r="P3596" s="9" t="str">
        <f>VLOOKUP($O3596,'Liste des Villes'!$B$2:$B$1128,1,FALSE)</f>
        <v>Mirabel</v>
      </c>
      <c r="Q3596" s="9" t="str">
        <f>IFERROR($P3596,PROPER(VLOOKUP($O3596,'Villes en erreur'!$A$2:$B$72,2,FALSE)))</f>
        <v>Mirabel</v>
      </c>
      <c r="R3596" s="9" t="s">
        <v>14662</v>
      </c>
      <c r="S3596" s="9" t="str">
        <f>IF(ISBLANK($R3596),"",VLOOKUP($R3596,'Liste des Villes'!$B$2:$H$1128,4,FALSE))</f>
        <v>Laurentides</v>
      </c>
      <c r="T3596" s="2" t="s">
        <v>15016</v>
      </c>
      <c r="U3596" s="2" t="s">
        <v>39</v>
      </c>
      <c r="V3596" s="2" t="s">
        <v>40</v>
      </c>
      <c r="W3596" s="2" t="s">
        <v>15717</v>
      </c>
      <c r="X3596" s="2"/>
      <c r="Y3596" s="2"/>
      <c r="Z3596" s="2"/>
      <c r="AA3596" s="2" t="s">
        <v>708</v>
      </c>
      <c r="AB3596" s="2" t="s">
        <v>376</v>
      </c>
      <c r="AC3596" s="4" t="s">
        <v>44</v>
      </c>
    </row>
    <row r="3597" spans="1:29" x14ac:dyDescent="0.25">
      <c r="A3597" s="1">
        <v>3492</v>
      </c>
      <c r="B3597" s="17" t="s">
        <v>15718</v>
      </c>
      <c r="C3597" s="2" t="s">
        <v>15719</v>
      </c>
      <c r="D3597" s="15" t="s">
        <v>15506</v>
      </c>
      <c r="E3597" s="9" t="s">
        <v>354</v>
      </c>
      <c r="F3597" s="9" t="s">
        <v>15505</v>
      </c>
      <c r="G3597" s="9" t="s">
        <v>1004</v>
      </c>
      <c r="H3597" s="2" t="s">
        <v>60</v>
      </c>
      <c r="I3597" s="3">
        <v>37104</v>
      </c>
      <c r="J3597" s="9" t="str">
        <f t="shared" ca="1" si="59"/>
        <v>22 ans</v>
      </c>
      <c r="K3597" s="2" t="s">
        <v>156</v>
      </c>
      <c r="L3597" s="2" t="str">
        <f>"1245"</f>
        <v>1245</v>
      </c>
      <c r="M3597" s="2"/>
      <c r="N3597" s="2" t="str">
        <f>"RUE GAGNON"</f>
        <v>RUE GAGNON</v>
      </c>
      <c r="O3597" s="2" t="s">
        <v>14661</v>
      </c>
      <c r="P3597" s="9" t="str">
        <f>VLOOKUP($O3597,'Liste des Villes'!$B$2:$B$1128,1,FALSE)</f>
        <v>Mirabel</v>
      </c>
      <c r="Q3597" s="9" t="str">
        <f>IFERROR($P3597,PROPER(VLOOKUP($O3597,'Villes en erreur'!$A$2:$B$72,2,FALSE)))</f>
        <v>Mirabel</v>
      </c>
      <c r="R3597" s="9" t="s">
        <v>14662</v>
      </c>
      <c r="S3597" s="9" t="str">
        <f>IF(ISBLANK($R3597),"",VLOOKUP($R3597,'Liste des Villes'!$B$2:$H$1128,4,FALSE))</f>
        <v>Laurentides</v>
      </c>
      <c r="T3597" s="2" t="s">
        <v>15342</v>
      </c>
      <c r="U3597" s="2" t="s">
        <v>39</v>
      </c>
      <c r="V3597" s="2" t="s">
        <v>40</v>
      </c>
      <c r="W3597" s="2" t="s">
        <v>15720</v>
      </c>
      <c r="X3597" s="2"/>
      <c r="Y3597" s="2"/>
      <c r="Z3597" s="2"/>
      <c r="AA3597" s="2" t="s">
        <v>375</v>
      </c>
      <c r="AB3597" s="2" t="s">
        <v>376</v>
      </c>
      <c r="AC3597" s="4" t="s">
        <v>44</v>
      </c>
    </row>
    <row r="3598" spans="1:29" x14ac:dyDescent="0.25">
      <c r="A3598" s="1">
        <v>2541</v>
      </c>
      <c r="B3598" s="17" t="s">
        <v>15721</v>
      </c>
      <c r="C3598" s="2" t="s">
        <v>15722</v>
      </c>
      <c r="D3598" s="15" t="s">
        <v>2462</v>
      </c>
      <c r="E3598" s="9" t="s">
        <v>15723</v>
      </c>
      <c r="F3598" s="9" t="s">
        <v>977</v>
      </c>
      <c r="G3598" s="9" t="s">
        <v>233</v>
      </c>
      <c r="H3598" s="2" t="s">
        <v>60</v>
      </c>
      <c r="I3598" s="3">
        <v>37219</v>
      </c>
      <c r="J3598" s="9" t="str">
        <f t="shared" ca="1" si="59"/>
        <v>21 ans</v>
      </c>
      <c r="K3598" s="2" t="s">
        <v>262</v>
      </c>
      <c r="L3598" s="2" t="str">
        <f>"1921"</f>
        <v>1921</v>
      </c>
      <c r="M3598" s="2"/>
      <c r="N3598" s="2" t="str">
        <f>"RUE LARIVIÈRE"</f>
        <v>RUE LARIVIÈRE</v>
      </c>
      <c r="O3598" s="2" t="s">
        <v>14661</v>
      </c>
      <c r="P3598" s="9" t="str">
        <f>VLOOKUP($O3598,'Liste des Villes'!$B$2:$B$1128,1,FALSE)</f>
        <v>Mirabel</v>
      </c>
      <c r="Q3598" s="9" t="str">
        <f>IFERROR($P3598,PROPER(VLOOKUP($O3598,'Villes en erreur'!$A$2:$B$72,2,FALSE)))</f>
        <v>Mirabel</v>
      </c>
      <c r="R3598" s="9" t="s">
        <v>14662</v>
      </c>
      <c r="S3598" s="9" t="str">
        <f>IF(ISBLANK($R3598),"",VLOOKUP($R3598,'Liste des Villes'!$B$2:$H$1128,4,FALSE))</f>
        <v>Laurentides</v>
      </c>
      <c r="T3598" s="2" t="s">
        <v>15507</v>
      </c>
      <c r="U3598" s="2" t="s">
        <v>39</v>
      </c>
      <c r="V3598" s="2" t="s">
        <v>40</v>
      </c>
      <c r="W3598" s="2" t="s">
        <v>15724</v>
      </c>
      <c r="X3598" s="2"/>
      <c r="Y3598" s="2"/>
      <c r="Z3598" s="2"/>
      <c r="AA3598" s="2" t="s">
        <v>708</v>
      </c>
      <c r="AB3598" s="2" t="s">
        <v>14669</v>
      </c>
      <c r="AC3598" s="4" t="s">
        <v>44</v>
      </c>
    </row>
    <row r="3599" spans="1:29" x14ac:dyDescent="0.25">
      <c r="A3599" s="1">
        <v>541</v>
      </c>
      <c r="B3599" s="17" t="s">
        <v>15725</v>
      </c>
      <c r="C3599" s="2" t="s">
        <v>4394</v>
      </c>
      <c r="D3599" s="15" t="s">
        <v>617</v>
      </c>
      <c r="E3599" s="9" t="s">
        <v>2404</v>
      </c>
      <c r="F3599" s="9" t="s">
        <v>7920</v>
      </c>
      <c r="G3599" s="9" t="s">
        <v>15723</v>
      </c>
      <c r="H3599" s="2" t="s">
        <v>60</v>
      </c>
      <c r="I3599" s="3">
        <v>37156</v>
      </c>
      <c r="J3599" s="9" t="str">
        <f t="shared" ca="1" si="59"/>
        <v>21 ans</v>
      </c>
      <c r="K3599" s="2" t="s">
        <v>156</v>
      </c>
      <c r="L3599" s="2" t="str">
        <f>"1486"</f>
        <v>1486</v>
      </c>
      <c r="M3599" s="2"/>
      <c r="N3599" s="2" t="str">
        <f>"RUE JACQUES-MARQUETTE"</f>
        <v>RUE JACQUES-MARQUETTE</v>
      </c>
      <c r="O3599" s="2" t="s">
        <v>14661</v>
      </c>
      <c r="P3599" s="9" t="str">
        <f>VLOOKUP($O3599,'Liste des Villes'!$B$2:$B$1128,1,FALSE)</f>
        <v>Mirabel</v>
      </c>
      <c r="Q3599" s="9" t="str">
        <f>IFERROR($P3599,PROPER(VLOOKUP($O3599,'Villes en erreur'!$A$2:$B$72,2,FALSE)))</f>
        <v>Mirabel</v>
      </c>
      <c r="R3599" s="9" t="s">
        <v>14662</v>
      </c>
      <c r="S3599" s="9" t="str">
        <f>IF(ISBLANK($R3599),"",VLOOKUP($R3599,'Liste des Villes'!$B$2:$H$1128,4,FALSE))</f>
        <v>Laurentides</v>
      </c>
      <c r="T3599" s="2" t="s">
        <v>14876</v>
      </c>
      <c r="U3599" s="2" t="s">
        <v>39</v>
      </c>
      <c r="V3599" s="2" t="s">
        <v>40</v>
      </c>
      <c r="W3599" s="2" t="s">
        <v>15726</v>
      </c>
      <c r="X3599" s="2"/>
      <c r="Y3599" s="2"/>
      <c r="Z3599" s="2"/>
      <c r="AA3599" s="2" t="s">
        <v>708</v>
      </c>
      <c r="AB3599" s="2" t="s">
        <v>376</v>
      </c>
      <c r="AC3599" s="4" t="s">
        <v>44</v>
      </c>
    </row>
    <row r="3600" spans="1:29" x14ac:dyDescent="0.25">
      <c r="A3600" s="1">
        <v>1871</v>
      </c>
      <c r="B3600" s="17" t="s">
        <v>15727</v>
      </c>
      <c r="C3600" s="2" t="s">
        <v>8288</v>
      </c>
      <c r="D3600" s="15" t="s">
        <v>225</v>
      </c>
      <c r="E3600" s="9" t="s">
        <v>8289</v>
      </c>
      <c r="F3600" s="9" t="s">
        <v>7158</v>
      </c>
      <c r="G3600" s="9" t="s">
        <v>1289</v>
      </c>
      <c r="H3600" s="2" t="s">
        <v>35</v>
      </c>
      <c r="I3600" s="3">
        <v>37082</v>
      </c>
      <c r="J3600" s="9" t="str">
        <f t="shared" ca="1" si="59"/>
        <v>22 ans</v>
      </c>
      <c r="K3600" s="2" t="s">
        <v>156</v>
      </c>
      <c r="L3600" s="2" t="str">
        <f>"1170"</f>
        <v>1170</v>
      </c>
      <c r="M3600" s="2"/>
      <c r="N3600" s="2" t="str">
        <f>"RUE FÉLIX-ANTOINE-SAVARD"</f>
        <v>RUE FÉLIX-ANTOINE-SAVARD</v>
      </c>
      <c r="O3600" s="2" t="s">
        <v>14661</v>
      </c>
      <c r="P3600" s="9" t="str">
        <f>VLOOKUP($O3600,'Liste des Villes'!$B$2:$B$1128,1,FALSE)</f>
        <v>Mirabel</v>
      </c>
      <c r="Q3600" s="9" t="str">
        <f>IFERROR($P3600,PROPER(VLOOKUP($O3600,'Villes en erreur'!$A$2:$B$72,2,FALSE)))</f>
        <v>Mirabel</v>
      </c>
      <c r="R3600" s="9" t="s">
        <v>14662</v>
      </c>
      <c r="S3600" s="9" t="str">
        <f>IF(ISBLANK($R3600),"",VLOOKUP($R3600,'Liste des Villes'!$B$2:$H$1128,4,FALSE))</f>
        <v>Laurentides</v>
      </c>
      <c r="T3600" s="2" t="s">
        <v>15728</v>
      </c>
      <c r="U3600" s="2" t="s">
        <v>39</v>
      </c>
      <c r="V3600" s="2" t="s">
        <v>40</v>
      </c>
      <c r="W3600" s="2" t="s">
        <v>15729</v>
      </c>
      <c r="X3600" s="2"/>
      <c r="Y3600" s="2"/>
      <c r="Z3600" s="2"/>
      <c r="AA3600" s="2" t="s">
        <v>375</v>
      </c>
      <c r="AB3600" s="2" t="s">
        <v>376</v>
      </c>
      <c r="AC3600" s="4" t="s">
        <v>44</v>
      </c>
    </row>
    <row r="3601" spans="1:29" x14ac:dyDescent="0.25">
      <c r="A3601" s="1">
        <v>2308</v>
      </c>
      <c r="B3601" s="17" t="s">
        <v>15730</v>
      </c>
      <c r="C3601" s="2" t="s">
        <v>7050</v>
      </c>
      <c r="D3601" s="15" t="s">
        <v>7051</v>
      </c>
      <c r="E3601" s="9" t="s">
        <v>348</v>
      </c>
      <c r="F3601" s="9" t="s">
        <v>13403</v>
      </c>
      <c r="G3601" s="9" t="s">
        <v>1091</v>
      </c>
      <c r="H3601" s="2" t="s">
        <v>60</v>
      </c>
      <c r="I3601" s="3">
        <v>37212</v>
      </c>
      <c r="J3601" s="9" t="str">
        <f t="shared" ca="1" si="59"/>
        <v>21 ans</v>
      </c>
      <c r="K3601" s="2" t="s">
        <v>262</v>
      </c>
      <c r="L3601" s="2" t="str">
        <f>"1888"</f>
        <v>1888</v>
      </c>
      <c r="M3601" s="2"/>
      <c r="N3601" s="2" t="str">
        <f>"RUE LAMONTAGNE"</f>
        <v>RUE LAMONTAGNE</v>
      </c>
      <c r="O3601" s="2" t="s">
        <v>14661</v>
      </c>
      <c r="P3601" s="9" t="str">
        <f>VLOOKUP($O3601,'Liste des Villes'!$B$2:$B$1128,1,FALSE)</f>
        <v>Mirabel</v>
      </c>
      <c r="Q3601" s="9" t="str">
        <f>IFERROR($P3601,PROPER(VLOOKUP($O3601,'Villes en erreur'!$A$2:$B$72,2,FALSE)))</f>
        <v>Mirabel</v>
      </c>
      <c r="R3601" s="9" t="s">
        <v>14662</v>
      </c>
      <c r="S3601" s="9" t="str">
        <f>IF(ISBLANK($R3601),"",VLOOKUP($R3601,'Liste des Villes'!$B$2:$H$1128,4,FALSE))</f>
        <v>Laurentides</v>
      </c>
      <c r="T3601" s="2" t="s">
        <v>14667</v>
      </c>
      <c r="U3601" s="2" t="s">
        <v>39</v>
      </c>
      <c r="V3601" s="2" t="s">
        <v>40</v>
      </c>
      <c r="W3601" s="2" t="s">
        <v>15731</v>
      </c>
      <c r="X3601" s="2"/>
      <c r="Y3601" s="2"/>
      <c r="Z3601" s="2"/>
      <c r="AA3601" s="2" t="s">
        <v>708</v>
      </c>
      <c r="AB3601" s="2" t="s">
        <v>14669</v>
      </c>
      <c r="AC3601" s="4" t="s">
        <v>44</v>
      </c>
    </row>
    <row r="3602" spans="1:29" x14ac:dyDescent="0.25">
      <c r="A3602" s="1">
        <v>738</v>
      </c>
      <c r="B3602" s="17" t="s">
        <v>15732</v>
      </c>
      <c r="C3602" s="2" t="s">
        <v>15733</v>
      </c>
      <c r="D3602" s="15" t="s">
        <v>144</v>
      </c>
      <c r="E3602" s="9" t="s">
        <v>3163</v>
      </c>
      <c r="F3602" s="9" t="s">
        <v>15734</v>
      </c>
      <c r="G3602" s="9" t="s">
        <v>4343</v>
      </c>
      <c r="H3602" s="2" t="s">
        <v>60</v>
      </c>
      <c r="I3602" s="3">
        <v>37168</v>
      </c>
      <c r="J3602" s="9" t="str">
        <f t="shared" ca="1" si="59"/>
        <v>21 ans</v>
      </c>
      <c r="K3602" s="2" t="s">
        <v>156</v>
      </c>
      <c r="L3602" s="2" t="str">
        <f>"1567"</f>
        <v>1567</v>
      </c>
      <c r="M3602" s="2"/>
      <c r="N3602" s="2" t="str">
        <f>"RUE JEAN-PAUL-RIOPELLE"</f>
        <v>RUE JEAN-PAUL-RIOPELLE</v>
      </c>
      <c r="O3602" s="2" t="s">
        <v>14661</v>
      </c>
      <c r="P3602" s="9" t="str">
        <f>VLOOKUP($O3602,'Liste des Villes'!$B$2:$B$1128,1,FALSE)</f>
        <v>Mirabel</v>
      </c>
      <c r="Q3602" s="9" t="str">
        <f>IFERROR($P3602,PROPER(VLOOKUP($O3602,'Villes en erreur'!$A$2:$B$72,2,FALSE)))</f>
        <v>Mirabel</v>
      </c>
      <c r="R3602" s="9" t="s">
        <v>14662</v>
      </c>
      <c r="S3602" s="9" t="str">
        <f>IF(ISBLANK($R3602),"",VLOOKUP($R3602,'Liste des Villes'!$B$2:$H$1128,4,FALSE))</f>
        <v>Laurentides</v>
      </c>
      <c r="T3602" s="2" t="s">
        <v>15432</v>
      </c>
      <c r="U3602" s="2" t="s">
        <v>39</v>
      </c>
      <c r="V3602" s="2" t="s">
        <v>40</v>
      </c>
      <c r="W3602" s="2" t="s">
        <v>15735</v>
      </c>
      <c r="X3602" s="2"/>
      <c r="Y3602" s="2"/>
      <c r="Z3602" s="2"/>
      <c r="AA3602" s="2" t="s">
        <v>708</v>
      </c>
      <c r="AB3602" s="2" t="s">
        <v>376</v>
      </c>
      <c r="AC3602" s="4" t="s">
        <v>44</v>
      </c>
    </row>
    <row r="3603" spans="1:29" x14ac:dyDescent="0.25">
      <c r="A3603" s="1">
        <v>2243</v>
      </c>
      <c r="B3603" s="17" t="s">
        <v>15736</v>
      </c>
      <c r="C3603" s="2" t="s">
        <v>4483</v>
      </c>
      <c r="D3603" s="15" t="s">
        <v>3341</v>
      </c>
      <c r="E3603" s="9" t="s">
        <v>4484</v>
      </c>
      <c r="F3603" s="9" t="s">
        <v>5235</v>
      </c>
      <c r="G3603" s="9" t="s">
        <v>15737</v>
      </c>
      <c r="H3603" s="2" t="s">
        <v>60</v>
      </c>
      <c r="I3603" s="3">
        <v>37110</v>
      </c>
      <c r="J3603" s="9" t="str">
        <f t="shared" ca="1" si="59"/>
        <v>22 ans</v>
      </c>
      <c r="K3603" s="2" t="s">
        <v>156</v>
      </c>
      <c r="L3603" s="2" t="str">
        <f>"1261"</f>
        <v>1261</v>
      </c>
      <c r="M3603" s="2"/>
      <c r="N3603" s="2" t="str">
        <f>"RUE GAUTHIER"</f>
        <v>RUE GAUTHIER</v>
      </c>
      <c r="O3603" s="2" t="s">
        <v>14661</v>
      </c>
      <c r="P3603" s="9" t="str">
        <f>VLOOKUP($O3603,'Liste des Villes'!$B$2:$B$1128,1,FALSE)</f>
        <v>Mirabel</v>
      </c>
      <c r="Q3603" s="9" t="str">
        <f>IFERROR($P3603,PROPER(VLOOKUP($O3603,'Villes en erreur'!$A$2:$B$72,2,FALSE)))</f>
        <v>Mirabel</v>
      </c>
      <c r="R3603" s="9" t="s">
        <v>14662</v>
      </c>
      <c r="S3603" s="9" t="str">
        <f>IF(ISBLANK($R3603),"",VLOOKUP($R3603,'Liste des Villes'!$B$2:$H$1128,4,FALSE))</f>
        <v>Laurentides</v>
      </c>
      <c r="T3603" s="2" t="s">
        <v>15738</v>
      </c>
      <c r="U3603" s="2" t="s">
        <v>39</v>
      </c>
      <c r="V3603" s="2" t="s">
        <v>40</v>
      </c>
      <c r="W3603" s="2" t="s">
        <v>15739</v>
      </c>
      <c r="X3603" s="2"/>
      <c r="Y3603" s="2"/>
      <c r="Z3603" s="2"/>
      <c r="AA3603" s="2" t="s">
        <v>375</v>
      </c>
      <c r="AB3603" s="2" t="s">
        <v>376</v>
      </c>
      <c r="AC3603" s="4" t="s">
        <v>44</v>
      </c>
    </row>
    <row r="3604" spans="1:29" x14ac:dyDescent="0.25">
      <c r="A3604" s="1">
        <v>3031</v>
      </c>
      <c r="B3604" s="17" t="s">
        <v>15740</v>
      </c>
      <c r="C3604" s="2" t="s">
        <v>7265</v>
      </c>
      <c r="D3604" s="15" t="s">
        <v>1061</v>
      </c>
      <c r="E3604" s="9" t="s">
        <v>1560</v>
      </c>
      <c r="F3604" s="9" t="s">
        <v>6341</v>
      </c>
      <c r="G3604" s="9" t="s">
        <v>6471</v>
      </c>
      <c r="H3604" s="2" t="s">
        <v>35</v>
      </c>
      <c r="I3604" s="3">
        <v>37128</v>
      </c>
      <c r="J3604" s="9" t="str">
        <f t="shared" ca="1" si="59"/>
        <v>21 ans</v>
      </c>
      <c r="K3604" s="2" t="s">
        <v>156</v>
      </c>
      <c r="L3604" s="2" t="str">
        <f>"1345"</f>
        <v>1345</v>
      </c>
      <c r="M3604" s="2"/>
      <c r="N3604" s="2" t="str">
        <f>"RUE GUILLEMETTE"</f>
        <v>RUE GUILLEMETTE</v>
      </c>
      <c r="O3604" s="2" t="s">
        <v>14661</v>
      </c>
      <c r="P3604" s="9" t="str">
        <f>VLOOKUP($O3604,'Liste des Villes'!$B$2:$B$1128,1,FALSE)</f>
        <v>Mirabel</v>
      </c>
      <c r="Q3604" s="9" t="str">
        <f>IFERROR($P3604,PROPER(VLOOKUP($O3604,'Villes en erreur'!$A$2:$B$72,2,FALSE)))</f>
        <v>Mirabel</v>
      </c>
      <c r="R3604" s="9" t="s">
        <v>14662</v>
      </c>
      <c r="S3604" s="9" t="str">
        <f>IF(ISBLANK($R3604),"",VLOOKUP($R3604,'Liste des Villes'!$B$2:$H$1128,4,FALSE))</f>
        <v>Laurentides</v>
      </c>
      <c r="T3604" s="2" t="s">
        <v>15741</v>
      </c>
      <c r="U3604" s="2" t="s">
        <v>39</v>
      </c>
      <c r="V3604" s="2" t="s">
        <v>40</v>
      </c>
      <c r="W3604" s="2" t="s">
        <v>15742</v>
      </c>
      <c r="X3604" s="2"/>
      <c r="Y3604" s="2"/>
      <c r="Z3604" s="2"/>
      <c r="AA3604" s="2" t="s">
        <v>375</v>
      </c>
      <c r="AB3604" s="2" t="s">
        <v>376</v>
      </c>
      <c r="AC3604" s="4" t="s">
        <v>44</v>
      </c>
    </row>
    <row r="3605" spans="1:29" x14ac:dyDescent="0.25">
      <c r="A3605" s="1">
        <v>2966</v>
      </c>
      <c r="B3605" s="17" t="s">
        <v>15743</v>
      </c>
      <c r="C3605" s="2" t="s">
        <v>15744</v>
      </c>
      <c r="D3605" s="15" t="s">
        <v>2698</v>
      </c>
      <c r="E3605" s="9" t="s">
        <v>8929</v>
      </c>
      <c r="F3605" s="9" t="s">
        <v>2946</v>
      </c>
      <c r="G3605" s="9" t="s">
        <v>743</v>
      </c>
      <c r="H3605" s="2" t="s">
        <v>60</v>
      </c>
      <c r="I3605" s="3">
        <v>37169</v>
      </c>
      <c r="J3605" s="9" t="str">
        <f t="shared" ca="1" si="59"/>
        <v>21 ans</v>
      </c>
      <c r="K3605" s="2" t="s">
        <v>156</v>
      </c>
      <c r="L3605" s="2" t="str">
        <f>"1571"</f>
        <v>1571</v>
      </c>
      <c r="M3605" s="2"/>
      <c r="N3605" s="2" t="str">
        <f>"RUE JODELLE"</f>
        <v>RUE JODELLE</v>
      </c>
      <c r="O3605" s="2" t="s">
        <v>14661</v>
      </c>
      <c r="P3605" s="9" t="str">
        <f>VLOOKUP($O3605,'Liste des Villes'!$B$2:$B$1128,1,FALSE)</f>
        <v>Mirabel</v>
      </c>
      <c r="Q3605" s="9" t="str">
        <f>IFERROR($P3605,PROPER(VLOOKUP($O3605,'Villes en erreur'!$A$2:$B$72,2,FALSE)))</f>
        <v>Mirabel</v>
      </c>
      <c r="R3605" s="9" t="s">
        <v>14662</v>
      </c>
      <c r="S3605" s="9" t="str">
        <f>IF(ISBLANK($R3605),"",VLOOKUP($R3605,'Liste des Villes'!$B$2:$H$1128,4,FALSE))</f>
        <v>Laurentides</v>
      </c>
      <c r="T3605" s="2" t="s">
        <v>15745</v>
      </c>
      <c r="U3605" s="2" t="s">
        <v>39</v>
      </c>
      <c r="V3605" s="2" t="s">
        <v>40</v>
      </c>
      <c r="W3605" s="2" t="s">
        <v>15746</v>
      </c>
      <c r="X3605" s="2"/>
      <c r="Y3605" s="2"/>
      <c r="Z3605" s="2"/>
      <c r="AA3605" s="2" t="s">
        <v>708</v>
      </c>
      <c r="AB3605" s="2" t="s">
        <v>376</v>
      </c>
      <c r="AC3605" s="4" t="s">
        <v>44</v>
      </c>
    </row>
    <row r="3606" spans="1:29" x14ac:dyDescent="0.25">
      <c r="A3606" s="1">
        <v>2655</v>
      </c>
      <c r="B3606" s="17" t="s">
        <v>15747</v>
      </c>
      <c r="C3606" s="2" t="s">
        <v>15748</v>
      </c>
      <c r="D3606" s="15" t="s">
        <v>10676</v>
      </c>
      <c r="E3606" s="9" t="s">
        <v>1560</v>
      </c>
      <c r="F3606" s="9" t="s">
        <v>867</v>
      </c>
      <c r="G3606" s="9" t="s">
        <v>233</v>
      </c>
      <c r="H3606" s="2" t="s">
        <v>60</v>
      </c>
      <c r="I3606" s="3">
        <v>37218</v>
      </c>
      <c r="J3606" s="9" t="str">
        <f t="shared" ca="1" si="59"/>
        <v>21 ans</v>
      </c>
      <c r="K3606" s="2" t="s">
        <v>262</v>
      </c>
      <c r="L3606" s="2" t="str">
        <f>"1916"</f>
        <v>1916</v>
      </c>
      <c r="M3606" s="2"/>
      <c r="N3606" s="2" t="str">
        <f>"RUE LANTHIER"</f>
        <v>RUE LANTHIER</v>
      </c>
      <c r="O3606" s="2" t="s">
        <v>14661</v>
      </c>
      <c r="P3606" s="9" t="str">
        <f>VLOOKUP($O3606,'Liste des Villes'!$B$2:$B$1128,1,FALSE)</f>
        <v>Mirabel</v>
      </c>
      <c r="Q3606" s="9" t="str">
        <f>IFERROR($P3606,PROPER(VLOOKUP($O3606,'Villes en erreur'!$A$2:$B$72,2,FALSE)))</f>
        <v>Mirabel</v>
      </c>
      <c r="R3606" s="9" t="s">
        <v>14662</v>
      </c>
      <c r="S3606" s="9" t="str">
        <f>IF(ISBLANK($R3606),"",VLOOKUP($R3606,'Liste des Villes'!$B$2:$H$1128,4,FALSE))</f>
        <v>Laurentides</v>
      </c>
      <c r="T3606" s="2" t="s">
        <v>15749</v>
      </c>
      <c r="U3606" s="2" t="s">
        <v>39</v>
      </c>
      <c r="V3606" s="2" t="s">
        <v>40</v>
      </c>
      <c r="W3606" s="2" t="s">
        <v>15750</v>
      </c>
      <c r="X3606" s="2"/>
      <c r="Y3606" s="2"/>
      <c r="Z3606" s="2"/>
      <c r="AA3606" s="2" t="s">
        <v>708</v>
      </c>
      <c r="AB3606" s="2" t="s">
        <v>14669</v>
      </c>
      <c r="AC3606" s="4" t="s">
        <v>44</v>
      </c>
    </row>
    <row r="3607" spans="1:29" x14ac:dyDescent="0.25">
      <c r="A3607" s="1">
        <v>2570</v>
      </c>
      <c r="B3607" s="17" t="s">
        <v>15751</v>
      </c>
      <c r="C3607" s="2" t="s">
        <v>15752</v>
      </c>
      <c r="D3607" s="15" t="s">
        <v>3714</v>
      </c>
      <c r="E3607" s="9" t="s">
        <v>3901</v>
      </c>
      <c r="F3607" s="9" t="s">
        <v>3713</v>
      </c>
      <c r="G3607" s="9" t="s">
        <v>8045</v>
      </c>
      <c r="H3607" s="2" t="s">
        <v>60</v>
      </c>
      <c r="I3607" s="3">
        <v>37101</v>
      </c>
      <c r="J3607" s="9" t="str">
        <f t="shared" ca="1" si="59"/>
        <v>22 ans</v>
      </c>
      <c r="K3607" s="2" t="s">
        <v>156</v>
      </c>
      <c r="L3607" s="2" t="str">
        <f>"1238"</f>
        <v>1238</v>
      </c>
      <c r="M3607" s="2"/>
      <c r="N3607" s="2" t="str">
        <f>"RUE FRANÇOIS LEBRUN"</f>
        <v>RUE FRANÇOIS LEBRUN</v>
      </c>
      <c r="O3607" s="2" t="s">
        <v>14661</v>
      </c>
      <c r="P3607" s="9" t="str">
        <f>VLOOKUP($O3607,'Liste des Villes'!$B$2:$B$1128,1,FALSE)</f>
        <v>Mirabel</v>
      </c>
      <c r="Q3607" s="9" t="str">
        <f>IFERROR($P3607,PROPER(VLOOKUP($O3607,'Villes en erreur'!$A$2:$B$72,2,FALSE)))</f>
        <v>Mirabel</v>
      </c>
      <c r="R3607" s="9" t="s">
        <v>14662</v>
      </c>
      <c r="S3607" s="9" t="str">
        <f>IF(ISBLANK($R3607),"",VLOOKUP($R3607,'Liste des Villes'!$B$2:$H$1128,4,FALSE))</f>
        <v>Laurentides</v>
      </c>
      <c r="T3607" s="2" t="s">
        <v>14838</v>
      </c>
      <c r="U3607" s="2" t="s">
        <v>39</v>
      </c>
      <c r="V3607" s="2" t="s">
        <v>40</v>
      </c>
      <c r="W3607" s="2" t="s">
        <v>15753</v>
      </c>
      <c r="X3607" s="2"/>
      <c r="Y3607" s="2"/>
      <c r="Z3607" s="2"/>
      <c r="AA3607" s="2" t="s">
        <v>375</v>
      </c>
      <c r="AB3607" s="2" t="s">
        <v>376</v>
      </c>
      <c r="AC3607" s="4" t="s">
        <v>44</v>
      </c>
    </row>
    <row r="3608" spans="1:29" x14ac:dyDescent="0.25">
      <c r="A3608" s="1">
        <v>281</v>
      </c>
      <c r="B3608" s="17" t="s">
        <v>15754</v>
      </c>
      <c r="C3608" s="2" t="s">
        <v>2945</v>
      </c>
      <c r="D3608" s="15" t="s">
        <v>2946</v>
      </c>
      <c r="E3608" s="9" t="s">
        <v>509</v>
      </c>
      <c r="F3608" s="9" t="s">
        <v>2698</v>
      </c>
      <c r="G3608" s="9" t="s">
        <v>15755</v>
      </c>
      <c r="H3608" s="2" t="s">
        <v>35</v>
      </c>
      <c r="I3608" s="3">
        <v>37153</v>
      </c>
      <c r="J3608" s="9" t="str">
        <f t="shared" ca="1" si="59"/>
        <v>21 ans</v>
      </c>
      <c r="K3608" s="2" t="s">
        <v>156</v>
      </c>
      <c r="L3608" s="2" t="str">
        <f>"1465"</f>
        <v>1465</v>
      </c>
      <c r="M3608" s="2"/>
      <c r="N3608" s="2" t="str">
        <f>"RUE JACQUES DESERRES"</f>
        <v>RUE JACQUES DESERRES</v>
      </c>
      <c r="O3608" s="2" t="s">
        <v>14661</v>
      </c>
      <c r="P3608" s="9" t="str">
        <f>VLOOKUP($O3608,'Liste des Villes'!$B$2:$B$1128,1,FALSE)</f>
        <v>Mirabel</v>
      </c>
      <c r="Q3608" s="9" t="str">
        <f>IFERROR($P3608,PROPER(VLOOKUP($O3608,'Villes en erreur'!$A$2:$B$72,2,FALSE)))</f>
        <v>Mirabel</v>
      </c>
      <c r="R3608" s="9" t="s">
        <v>14662</v>
      </c>
      <c r="S3608" s="9" t="str">
        <f>IF(ISBLANK($R3608),"",VLOOKUP($R3608,'Liste des Villes'!$B$2:$H$1128,4,FALSE))</f>
        <v>Laurentides</v>
      </c>
      <c r="T3608" s="2" t="s">
        <v>15756</v>
      </c>
      <c r="U3608" s="2" t="s">
        <v>39</v>
      </c>
      <c r="V3608" s="2" t="s">
        <v>40</v>
      </c>
      <c r="W3608" s="2" t="s">
        <v>15757</v>
      </c>
      <c r="X3608" s="2"/>
      <c r="Y3608" s="2"/>
      <c r="Z3608" s="2"/>
      <c r="AA3608" s="2" t="s">
        <v>708</v>
      </c>
      <c r="AB3608" s="2" t="s">
        <v>376</v>
      </c>
      <c r="AC3608" s="4" t="s">
        <v>44</v>
      </c>
    </row>
    <row r="3609" spans="1:29" x14ac:dyDescent="0.25">
      <c r="A3609" s="1">
        <v>2122</v>
      </c>
      <c r="B3609" s="17" t="s">
        <v>15758</v>
      </c>
      <c r="C3609" s="2" t="s">
        <v>14829</v>
      </c>
      <c r="D3609" s="15" t="s">
        <v>8564</v>
      </c>
      <c r="E3609" s="9" t="s">
        <v>643</v>
      </c>
      <c r="F3609" s="9" t="s">
        <v>1104</v>
      </c>
      <c r="G3609" s="9" t="s">
        <v>2920</v>
      </c>
      <c r="H3609" s="2" t="s">
        <v>60</v>
      </c>
      <c r="I3609" s="3">
        <v>37097</v>
      </c>
      <c r="J3609" s="9" t="str">
        <f t="shared" ca="1" si="59"/>
        <v>22 ans</v>
      </c>
      <c r="K3609" s="2" t="s">
        <v>156</v>
      </c>
      <c r="L3609" s="2" t="str">
        <f>"1219"</f>
        <v>1219</v>
      </c>
      <c r="M3609" s="2"/>
      <c r="N3609" s="2" t="str">
        <f>"RUE FOURNIER"</f>
        <v>RUE FOURNIER</v>
      </c>
      <c r="O3609" s="2" t="s">
        <v>14661</v>
      </c>
      <c r="P3609" s="9" t="str">
        <f>VLOOKUP($O3609,'Liste des Villes'!$B$2:$B$1128,1,FALSE)</f>
        <v>Mirabel</v>
      </c>
      <c r="Q3609" s="9" t="str">
        <f>IFERROR($P3609,PROPER(VLOOKUP($O3609,'Villes en erreur'!$A$2:$B$72,2,FALSE)))</f>
        <v>Mirabel</v>
      </c>
      <c r="R3609" s="9" t="s">
        <v>14662</v>
      </c>
      <c r="S3609" s="9" t="str">
        <f>IF(ISBLANK($R3609),"",VLOOKUP($R3609,'Liste des Villes'!$B$2:$H$1128,4,FALSE))</f>
        <v>Laurentides</v>
      </c>
      <c r="T3609" s="2" t="s">
        <v>14791</v>
      </c>
      <c r="U3609" s="2" t="s">
        <v>39</v>
      </c>
      <c r="V3609" s="2" t="s">
        <v>40</v>
      </c>
      <c r="W3609" s="2" t="s">
        <v>15759</v>
      </c>
      <c r="X3609" s="2"/>
      <c r="Y3609" s="2"/>
      <c r="Z3609" s="2"/>
      <c r="AA3609" s="2" t="s">
        <v>375</v>
      </c>
      <c r="AB3609" s="2" t="s">
        <v>376</v>
      </c>
      <c r="AC3609" s="4" t="s">
        <v>44</v>
      </c>
    </row>
    <row r="3610" spans="1:29" x14ac:dyDescent="0.25">
      <c r="A3610" s="1">
        <v>2414</v>
      </c>
      <c r="B3610" s="17" t="s">
        <v>15760</v>
      </c>
      <c r="C3610" s="2" t="s">
        <v>5643</v>
      </c>
      <c r="D3610" s="15" t="s">
        <v>363</v>
      </c>
      <c r="E3610" s="9" t="s">
        <v>3721</v>
      </c>
      <c r="F3610" s="9" t="s">
        <v>3617</v>
      </c>
      <c r="G3610" s="9" t="s">
        <v>418</v>
      </c>
      <c r="H3610" s="2" t="s">
        <v>60</v>
      </c>
      <c r="I3610" s="3">
        <v>37202</v>
      </c>
      <c r="J3610" s="9" t="str">
        <f t="shared" ca="1" si="59"/>
        <v>21 ans</v>
      </c>
      <c r="K3610" s="2" t="s">
        <v>262</v>
      </c>
      <c r="L3610" s="2" t="str">
        <f>"1760"</f>
        <v>1760</v>
      </c>
      <c r="M3610" s="2"/>
      <c r="N3610" s="2" t="str">
        <f>"RUE LABRÈCHE"</f>
        <v>RUE LABRÈCHE</v>
      </c>
      <c r="O3610" s="2" t="s">
        <v>14661</v>
      </c>
      <c r="P3610" s="9" t="str">
        <f>VLOOKUP($O3610,'Liste des Villes'!$B$2:$B$1128,1,FALSE)</f>
        <v>Mirabel</v>
      </c>
      <c r="Q3610" s="9" t="str">
        <f>IFERROR($P3610,PROPER(VLOOKUP($O3610,'Villes en erreur'!$A$2:$B$72,2,FALSE)))</f>
        <v>Mirabel</v>
      </c>
      <c r="R3610" s="9" t="s">
        <v>14662</v>
      </c>
      <c r="S3610" s="9" t="str">
        <f>IF(ISBLANK($R3610),"",VLOOKUP($R3610,'Liste des Villes'!$B$2:$H$1128,4,FALSE))</f>
        <v>Laurentides</v>
      </c>
      <c r="T3610" s="2" t="s">
        <v>15761</v>
      </c>
      <c r="U3610" s="2" t="s">
        <v>39</v>
      </c>
      <c r="V3610" s="2" t="s">
        <v>40</v>
      </c>
      <c r="W3610" s="2" t="s">
        <v>15762</v>
      </c>
      <c r="X3610" s="2"/>
      <c r="Y3610" s="2"/>
      <c r="Z3610" s="2"/>
      <c r="AA3610" s="2" t="s">
        <v>708</v>
      </c>
      <c r="AB3610" s="2" t="s">
        <v>14669</v>
      </c>
      <c r="AC3610" s="4" t="s">
        <v>44</v>
      </c>
    </row>
    <row r="3611" spans="1:29" x14ac:dyDescent="0.25">
      <c r="A3611" s="1">
        <v>1326</v>
      </c>
      <c r="B3611" s="17" t="s">
        <v>15763</v>
      </c>
      <c r="C3611" s="2" t="s">
        <v>4115</v>
      </c>
      <c r="D3611" s="15" t="s">
        <v>762</v>
      </c>
      <c r="E3611" s="9" t="s">
        <v>922</v>
      </c>
      <c r="F3611" s="9" t="s">
        <v>684</v>
      </c>
      <c r="G3611" s="9" t="s">
        <v>5116</v>
      </c>
      <c r="H3611" s="2" t="s">
        <v>60</v>
      </c>
      <c r="I3611" s="3">
        <v>37124</v>
      </c>
      <c r="J3611" s="9" t="str">
        <f t="shared" ca="1" si="59"/>
        <v>22 ans</v>
      </c>
      <c r="K3611" s="2" t="s">
        <v>156</v>
      </c>
      <c r="L3611" s="2" t="str">
        <f>"1325"</f>
        <v>1325</v>
      </c>
      <c r="M3611" s="2"/>
      <c r="N3611" s="2" t="str">
        <f>"RUE GRAVEL"</f>
        <v>RUE GRAVEL</v>
      </c>
      <c r="O3611" s="2" t="s">
        <v>14661</v>
      </c>
      <c r="P3611" s="9" t="str">
        <f>VLOOKUP($O3611,'Liste des Villes'!$B$2:$B$1128,1,FALSE)</f>
        <v>Mirabel</v>
      </c>
      <c r="Q3611" s="9" t="str">
        <f>IFERROR($P3611,PROPER(VLOOKUP($O3611,'Villes en erreur'!$A$2:$B$72,2,FALSE)))</f>
        <v>Mirabel</v>
      </c>
      <c r="R3611" s="9" t="s">
        <v>14662</v>
      </c>
      <c r="S3611" s="9" t="str">
        <f>IF(ISBLANK($R3611),"",VLOOKUP($R3611,'Liste des Villes'!$B$2:$H$1128,4,FALSE))</f>
        <v>Laurentides</v>
      </c>
      <c r="T3611" s="2" t="s">
        <v>15764</v>
      </c>
      <c r="U3611" s="2" t="s">
        <v>39</v>
      </c>
      <c r="V3611" s="2" t="s">
        <v>40</v>
      </c>
      <c r="W3611" s="2" t="s">
        <v>15765</v>
      </c>
      <c r="X3611" s="2"/>
      <c r="Y3611" s="2"/>
      <c r="Z3611" s="2"/>
      <c r="AA3611" s="2" t="s">
        <v>375</v>
      </c>
      <c r="AB3611" s="2" t="s">
        <v>376</v>
      </c>
      <c r="AC3611" s="4" t="s">
        <v>44</v>
      </c>
    </row>
    <row r="3612" spans="1:29" x14ac:dyDescent="0.25">
      <c r="A3612" s="1">
        <v>4386</v>
      </c>
      <c r="B3612" s="17" t="s">
        <v>15766</v>
      </c>
      <c r="C3612" s="2" t="s">
        <v>3132</v>
      </c>
      <c r="D3612" s="15" t="s">
        <v>355</v>
      </c>
      <c r="E3612" s="9" t="s">
        <v>1582</v>
      </c>
      <c r="F3612" s="9" t="s">
        <v>3133</v>
      </c>
      <c r="G3612" s="9" t="s">
        <v>11195</v>
      </c>
      <c r="H3612" s="2" t="s">
        <v>60</v>
      </c>
      <c r="I3612" s="3">
        <v>37092</v>
      </c>
      <c r="J3612" s="9" t="str">
        <f t="shared" ca="1" si="59"/>
        <v>22 ans</v>
      </c>
      <c r="K3612" s="2" t="s">
        <v>156</v>
      </c>
      <c r="L3612" s="2" t="str">
        <f>"1209"</f>
        <v>1209</v>
      </c>
      <c r="M3612" s="2"/>
      <c r="N3612" s="2" t="str">
        <f>"RUE FOURNIER"</f>
        <v>RUE FOURNIER</v>
      </c>
      <c r="O3612" s="2" t="s">
        <v>14661</v>
      </c>
      <c r="P3612" s="9" t="str">
        <f>VLOOKUP($O3612,'Liste des Villes'!$B$2:$B$1128,1,FALSE)</f>
        <v>Mirabel</v>
      </c>
      <c r="Q3612" s="9" t="str">
        <f>IFERROR($P3612,PROPER(VLOOKUP($O3612,'Villes en erreur'!$A$2:$B$72,2,FALSE)))</f>
        <v>Mirabel</v>
      </c>
      <c r="R3612" s="9" t="s">
        <v>14662</v>
      </c>
      <c r="S3612" s="9" t="str">
        <f>IF(ISBLANK($R3612),"",VLOOKUP($R3612,'Liste des Villes'!$B$2:$H$1128,4,FALSE))</f>
        <v>Laurentides</v>
      </c>
      <c r="T3612" s="2" t="s">
        <v>15767</v>
      </c>
      <c r="U3612" s="2" t="s">
        <v>39</v>
      </c>
      <c r="V3612" s="2" t="s">
        <v>40</v>
      </c>
      <c r="W3612" s="2" t="s">
        <v>15768</v>
      </c>
      <c r="X3612" s="2"/>
      <c r="Y3612" s="2"/>
      <c r="Z3612" s="2"/>
      <c r="AA3612" s="2" t="s">
        <v>375</v>
      </c>
      <c r="AB3612" s="2" t="s">
        <v>376</v>
      </c>
      <c r="AC3612" s="4" t="s">
        <v>44</v>
      </c>
    </row>
    <row r="3613" spans="1:29" x14ac:dyDescent="0.25">
      <c r="A3613" s="1">
        <v>4285</v>
      </c>
      <c r="B3613" s="17" t="s">
        <v>15769</v>
      </c>
      <c r="C3613" s="2" t="s">
        <v>15770</v>
      </c>
      <c r="D3613" s="15" t="s">
        <v>15771</v>
      </c>
      <c r="E3613" s="9" t="s">
        <v>610</v>
      </c>
      <c r="F3613" s="9" t="s">
        <v>15772</v>
      </c>
      <c r="G3613" s="9" t="s">
        <v>202</v>
      </c>
      <c r="H3613" s="2" t="s">
        <v>60</v>
      </c>
      <c r="I3613" s="3">
        <v>37102</v>
      </c>
      <c r="J3613" s="9" t="str">
        <f t="shared" ca="1" si="59"/>
        <v>22 ans</v>
      </c>
      <c r="K3613" s="2" t="s">
        <v>156</v>
      </c>
      <c r="L3613" s="2" t="str">
        <f>"1239"</f>
        <v>1239</v>
      </c>
      <c r="M3613" s="2"/>
      <c r="N3613" s="2" t="str">
        <f>"RUE FUGÈRE"</f>
        <v>RUE FUGÈRE</v>
      </c>
      <c r="O3613" s="2" t="s">
        <v>14661</v>
      </c>
      <c r="P3613" s="9" t="str">
        <f>VLOOKUP($O3613,'Liste des Villes'!$B$2:$B$1128,1,FALSE)</f>
        <v>Mirabel</v>
      </c>
      <c r="Q3613" s="9" t="str">
        <f>IFERROR($P3613,PROPER(VLOOKUP($O3613,'Villes en erreur'!$A$2:$B$72,2,FALSE)))</f>
        <v>Mirabel</v>
      </c>
      <c r="R3613" s="9" t="s">
        <v>14662</v>
      </c>
      <c r="S3613" s="9" t="str">
        <f>IF(ISBLANK($R3613),"",VLOOKUP($R3613,'Liste des Villes'!$B$2:$H$1128,4,FALSE))</f>
        <v>Laurentides</v>
      </c>
      <c r="T3613" s="2" t="s">
        <v>15239</v>
      </c>
      <c r="U3613" s="2" t="s">
        <v>39</v>
      </c>
      <c r="V3613" s="2" t="s">
        <v>40</v>
      </c>
      <c r="W3613" s="2" t="s">
        <v>15773</v>
      </c>
      <c r="X3613" s="2"/>
      <c r="Y3613" s="2"/>
      <c r="Z3613" s="2"/>
      <c r="AA3613" s="2" t="s">
        <v>375</v>
      </c>
      <c r="AB3613" s="2" t="s">
        <v>376</v>
      </c>
      <c r="AC3613" s="4" t="s">
        <v>44</v>
      </c>
    </row>
    <row r="3614" spans="1:29" x14ac:dyDescent="0.25">
      <c r="A3614" s="1">
        <v>1184</v>
      </c>
      <c r="B3614" s="17" t="s">
        <v>15774</v>
      </c>
      <c r="C3614" s="2" t="s">
        <v>4958</v>
      </c>
      <c r="D3614" s="15" t="s">
        <v>1677</v>
      </c>
      <c r="E3614" s="9" t="s">
        <v>2175</v>
      </c>
      <c r="F3614" s="9" t="s">
        <v>164</v>
      </c>
      <c r="G3614" s="9" t="s">
        <v>563</v>
      </c>
      <c r="H3614" s="2" t="s">
        <v>60</v>
      </c>
      <c r="I3614" s="3">
        <v>37083</v>
      </c>
      <c r="J3614" s="9" t="str">
        <f t="shared" ca="1" si="59"/>
        <v>22 ans</v>
      </c>
      <c r="K3614" s="2" t="s">
        <v>156</v>
      </c>
      <c r="L3614" s="2" t="str">
        <f>"1178"</f>
        <v>1178</v>
      </c>
      <c r="M3614" s="2"/>
      <c r="N3614" s="2" t="str">
        <f>"RUE FERLAND"</f>
        <v>RUE FERLAND</v>
      </c>
      <c r="O3614" s="2" t="s">
        <v>14661</v>
      </c>
      <c r="P3614" s="9" t="str">
        <f>VLOOKUP($O3614,'Liste des Villes'!$B$2:$B$1128,1,FALSE)</f>
        <v>Mirabel</v>
      </c>
      <c r="Q3614" s="9" t="str">
        <f>IFERROR($P3614,PROPER(VLOOKUP($O3614,'Villes en erreur'!$A$2:$B$72,2,FALSE)))</f>
        <v>Mirabel</v>
      </c>
      <c r="R3614" s="9" t="s">
        <v>14662</v>
      </c>
      <c r="S3614" s="9" t="str">
        <f>IF(ISBLANK($R3614),"",VLOOKUP($R3614,'Liste des Villes'!$B$2:$H$1128,4,FALSE))</f>
        <v>Laurentides</v>
      </c>
      <c r="T3614" s="2" t="s">
        <v>15775</v>
      </c>
      <c r="U3614" s="2" t="s">
        <v>39</v>
      </c>
      <c r="V3614" s="2" t="s">
        <v>40</v>
      </c>
      <c r="W3614" s="2" t="s">
        <v>15776</v>
      </c>
      <c r="X3614" s="2"/>
      <c r="Y3614" s="2"/>
      <c r="Z3614" s="2"/>
      <c r="AA3614" s="2" t="s">
        <v>375</v>
      </c>
      <c r="AB3614" s="2" t="s">
        <v>376</v>
      </c>
      <c r="AC3614" s="4" t="s">
        <v>44</v>
      </c>
    </row>
    <row r="3615" spans="1:29" x14ac:dyDescent="0.25">
      <c r="A3615" s="1">
        <v>950</v>
      </c>
      <c r="B3615" s="17" t="s">
        <v>15777</v>
      </c>
      <c r="C3615" s="2" t="s">
        <v>15778</v>
      </c>
      <c r="D3615" s="15" t="s">
        <v>15779</v>
      </c>
      <c r="E3615" s="9" t="s">
        <v>114</v>
      </c>
      <c r="F3615" s="9" t="s">
        <v>115</v>
      </c>
      <c r="G3615" s="9" t="s">
        <v>325</v>
      </c>
      <c r="H3615" s="2" t="s">
        <v>35</v>
      </c>
      <c r="I3615" s="3">
        <v>37231</v>
      </c>
      <c r="J3615" s="9" t="str">
        <f t="shared" ca="1" si="59"/>
        <v>21 ans</v>
      </c>
      <c r="K3615" s="2" t="s">
        <v>262</v>
      </c>
      <c r="L3615" s="2" t="str">
        <f>"2002"</f>
        <v>2002</v>
      </c>
      <c r="M3615" s="2"/>
      <c r="N3615" s="2" t="str">
        <f>"RUE LAUZON"</f>
        <v>RUE LAUZON</v>
      </c>
      <c r="O3615" s="2" t="s">
        <v>14661</v>
      </c>
      <c r="P3615" s="9" t="str">
        <f>VLOOKUP($O3615,'Liste des Villes'!$B$2:$B$1128,1,FALSE)</f>
        <v>Mirabel</v>
      </c>
      <c r="Q3615" s="9" t="str">
        <f>IFERROR($P3615,PROPER(VLOOKUP($O3615,'Villes en erreur'!$A$2:$B$72,2,FALSE)))</f>
        <v>Mirabel</v>
      </c>
      <c r="R3615" s="9" t="s">
        <v>14662</v>
      </c>
      <c r="S3615" s="9" t="str">
        <f>IF(ISBLANK($R3615),"",VLOOKUP($R3615,'Liste des Villes'!$B$2:$H$1128,4,FALSE))</f>
        <v>Laurentides</v>
      </c>
      <c r="T3615" s="2" t="s">
        <v>15780</v>
      </c>
      <c r="U3615" s="2" t="s">
        <v>39</v>
      </c>
      <c r="V3615" s="2" t="s">
        <v>40</v>
      </c>
      <c r="W3615" s="2" t="s">
        <v>15781</v>
      </c>
      <c r="X3615" s="2"/>
      <c r="Y3615" s="2"/>
      <c r="Z3615" s="2"/>
      <c r="AA3615" s="2" t="s">
        <v>708</v>
      </c>
      <c r="AB3615" s="2" t="s">
        <v>14669</v>
      </c>
      <c r="AC3615" s="4" t="s">
        <v>44</v>
      </c>
    </row>
    <row r="3616" spans="1:29" x14ac:dyDescent="0.25">
      <c r="A3616" s="1">
        <v>3067</v>
      </c>
      <c r="B3616" s="17" t="s">
        <v>15782</v>
      </c>
      <c r="C3616" s="2" t="s">
        <v>15783</v>
      </c>
      <c r="D3616" s="15" t="s">
        <v>3122</v>
      </c>
      <c r="E3616" s="9" t="s">
        <v>13529</v>
      </c>
      <c r="F3616" s="9" t="s">
        <v>106</v>
      </c>
      <c r="G3616" s="9" t="s">
        <v>13332</v>
      </c>
      <c r="H3616" s="2" t="s">
        <v>60</v>
      </c>
      <c r="I3616" s="3">
        <v>37090</v>
      </c>
      <c r="J3616" s="9" t="str">
        <f t="shared" ca="1" si="59"/>
        <v>22 ans</v>
      </c>
      <c r="K3616" s="2" t="s">
        <v>156</v>
      </c>
      <c r="L3616" s="2" t="str">
        <f>"1205"</f>
        <v>1205</v>
      </c>
      <c r="M3616" s="2"/>
      <c r="N3616" s="2" t="str">
        <f>"RUE FOURNEL"</f>
        <v>RUE FOURNEL</v>
      </c>
      <c r="O3616" s="2" t="s">
        <v>14661</v>
      </c>
      <c r="P3616" s="9" t="str">
        <f>VLOOKUP($O3616,'Liste des Villes'!$B$2:$B$1128,1,FALSE)</f>
        <v>Mirabel</v>
      </c>
      <c r="Q3616" s="9" t="str">
        <f>IFERROR($P3616,PROPER(VLOOKUP($O3616,'Villes en erreur'!$A$2:$B$72,2,FALSE)))</f>
        <v>Mirabel</v>
      </c>
      <c r="R3616" s="9" t="s">
        <v>14662</v>
      </c>
      <c r="S3616" s="9" t="str">
        <f>IF(ISBLANK($R3616),"",VLOOKUP($R3616,'Liste des Villes'!$B$2:$H$1128,4,FALSE))</f>
        <v>Laurentides</v>
      </c>
      <c r="T3616" s="2" t="s">
        <v>15784</v>
      </c>
      <c r="U3616" s="2" t="s">
        <v>39</v>
      </c>
      <c r="V3616" s="2" t="s">
        <v>40</v>
      </c>
      <c r="W3616" s="2" t="s">
        <v>15785</v>
      </c>
      <c r="X3616" s="2"/>
      <c r="Y3616" s="2"/>
      <c r="Z3616" s="2"/>
      <c r="AA3616" s="2" t="s">
        <v>375</v>
      </c>
      <c r="AB3616" s="2" t="s">
        <v>376</v>
      </c>
      <c r="AC3616" s="4" t="s">
        <v>44</v>
      </c>
    </row>
    <row r="3617" spans="1:29" x14ac:dyDescent="0.25">
      <c r="A3617" s="1">
        <v>3418</v>
      </c>
      <c r="B3617" s="17" t="s">
        <v>15786</v>
      </c>
      <c r="C3617" s="2" t="s">
        <v>3136</v>
      </c>
      <c r="D3617" s="15" t="s">
        <v>944</v>
      </c>
      <c r="E3617" s="9" t="s">
        <v>233</v>
      </c>
      <c r="F3617" s="9" t="s">
        <v>4816</v>
      </c>
      <c r="G3617" s="9" t="s">
        <v>3700</v>
      </c>
      <c r="H3617" s="2" t="s">
        <v>60</v>
      </c>
      <c r="I3617" s="3">
        <v>37140</v>
      </c>
      <c r="J3617" s="9" t="str">
        <f t="shared" ca="1" si="59"/>
        <v>21 ans</v>
      </c>
      <c r="K3617" s="2" t="s">
        <v>156</v>
      </c>
      <c r="L3617" s="2" t="str">
        <f>"1405"</f>
        <v>1405</v>
      </c>
      <c r="M3617" s="2"/>
      <c r="N3617" s="2" t="str">
        <f>"RUE HUBERT-AQUIN"</f>
        <v>RUE HUBERT-AQUIN</v>
      </c>
      <c r="O3617" s="2" t="s">
        <v>14661</v>
      </c>
      <c r="P3617" s="9" t="str">
        <f>VLOOKUP($O3617,'Liste des Villes'!$B$2:$B$1128,1,FALSE)</f>
        <v>Mirabel</v>
      </c>
      <c r="Q3617" s="9" t="str">
        <f>IFERROR($P3617,PROPER(VLOOKUP($O3617,'Villes en erreur'!$A$2:$B$72,2,FALSE)))</f>
        <v>Mirabel</v>
      </c>
      <c r="R3617" s="9" t="s">
        <v>14662</v>
      </c>
      <c r="S3617" s="9" t="str">
        <f>IF(ISBLANK($R3617),"",VLOOKUP($R3617,'Liste des Villes'!$B$2:$H$1128,4,FALSE))</f>
        <v>Laurentides</v>
      </c>
      <c r="T3617" s="2" t="s">
        <v>15787</v>
      </c>
      <c r="U3617" s="2" t="s">
        <v>39</v>
      </c>
      <c r="V3617" s="2" t="s">
        <v>40</v>
      </c>
      <c r="W3617" s="2" t="s">
        <v>15788</v>
      </c>
      <c r="X3617" s="2"/>
      <c r="Y3617" s="2"/>
      <c r="Z3617" s="2"/>
      <c r="AA3617" s="2" t="s">
        <v>708</v>
      </c>
      <c r="AB3617" s="2" t="s">
        <v>376</v>
      </c>
      <c r="AC3617" s="4" t="s">
        <v>44</v>
      </c>
    </row>
    <row r="3618" spans="1:29" x14ac:dyDescent="0.25">
      <c r="A3618" s="1">
        <v>4595</v>
      </c>
      <c r="B3618" s="17" t="s">
        <v>15789</v>
      </c>
      <c r="C3618" s="2" t="s">
        <v>8727</v>
      </c>
      <c r="D3618" s="15" t="s">
        <v>8728</v>
      </c>
      <c r="E3618" s="9" t="s">
        <v>6931</v>
      </c>
      <c r="F3618" s="9" t="s">
        <v>8729</v>
      </c>
      <c r="G3618" s="9" t="s">
        <v>549</v>
      </c>
      <c r="H3618" s="2" t="s">
        <v>60</v>
      </c>
      <c r="I3618" s="3">
        <v>37223</v>
      </c>
      <c r="J3618" s="9" t="str">
        <f t="shared" ca="1" si="59"/>
        <v>21 ans</v>
      </c>
      <c r="K3618" s="2" t="s">
        <v>262</v>
      </c>
      <c r="L3618" s="2" t="str">
        <f>"1951"</f>
        <v>1951</v>
      </c>
      <c r="M3618" s="2"/>
      <c r="N3618" s="2" t="str">
        <f>"RUE LATOUR"</f>
        <v>RUE LATOUR</v>
      </c>
      <c r="O3618" s="2" t="s">
        <v>14661</v>
      </c>
      <c r="P3618" s="9" t="str">
        <f>VLOOKUP($O3618,'Liste des Villes'!$B$2:$B$1128,1,FALSE)</f>
        <v>Mirabel</v>
      </c>
      <c r="Q3618" s="9" t="str">
        <f>IFERROR($P3618,PROPER(VLOOKUP($O3618,'Villes en erreur'!$A$2:$B$72,2,FALSE)))</f>
        <v>Mirabel</v>
      </c>
      <c r="R3618" s="9" t="s">
        <v>14662</v>
      </c>
      <c r="S3618" s="9" t="str">
        <f>IF(ISBLANK($R3618),"",VLOOKUP($R3618,'Liste des Villes'!$B$2:$H$1128,4,FALSE))</f>
        <v>Laurentides</v>
      </c>
      <c r="T3618" s="2" t="s">
        <v>15198</v>
      </c>
      <c r="U3618" s="2" t="s">
        <v>39</v>
      </c>
      <c r="V3618" s="2" t="s">
        <v>40</v>
      </c>
      <c r="W3618" s="2" t="s">
        <v>15790</v>
      </c>
      <c r="X3618" s="2"/>
      <c r="Y3618" s="2"/>
      <c r="Z3618" s="2"/>
      <c r="AA3618" s="2" t="s">
        <v>708</v>
      </c>
      <c r="AB3618" s="2" t="s">
        <v>14669</v>
      </c>
      <c r="AC3618" s="4" t="s">
        <v>44</v>
      </c>
    </row>
    <row r="3619" spans="1:29" x14ac:dyDescent="0.25">
      <c r="A3619" s="1">
        <v>448</v>
      </c>
      <c r="B3619" s="17" t="s">
        <v>15791</v>
      </c>
      <c r="C3619" s="2" t="s">
        <v>3102</v>
      </c>
      <c r="D3619" s="15" t="s">
        <v>657</v>
      </c>
      <c r="E3619" s="9" t="s">
        <v>452</v>
      </c>
      <c r="F3619" s="9" t="s">
        <v>3035</v>
      </c>
      <c r="G3619" s="9" t="s">
        <v>1004</v>
      </c>
      <c r="H3619" s="2" t="s">
        <v>60</v>
      </c>
      <c r="I3619" s="3">
        <v>37103</v>
      </c>
      <c r="J3619" s="9" t="str">
        <f t="shared" ca="1" si="59"/>
        <v>22 ans</v>
      </c>
      <c r="K3619" s="2" t="s">
        <v>156</v>
      </c>
      <c r="L3619" s="2" t="str">
        <f>"1243"</f>
        <v>1243</v>
      </c>
      <c r="M3619" s="2"/>
      <c r="N3619" s="2" t="str">
        <f>"RUE GAÉTAN"</f>
        <v>RUE GAÉTAN</v>
      </c>
      <c r="O3619" s="2" t="s">
        <v>14661</v>
      </c>
      <c r="P3619" s="9" t="str">
        <f>VLOOKUP($O3619,'Liste des Villes'!$B$2:$B$1128,1,FALSE)</f>
        <v>Mirabel</v>
      </c>
      <c r="Q3619" s="9" t="str">
        <f>IFERROR($P3619,PROPER(VLOOKUP($O3619,'Villes en erreur'!$A$2:$B$72,2,FALSE)))</f>
        <v>Mirabel</v>
      </c>
      <c r="R3619" s="9" t="s">
        <v>14662</v>
      </c>
      <c r="S3619" s="9" t="str">
        <f>IF(ISBLANK($R3619),"",VLOOKUP($R3619,'Liste des Villes'!$B$2:$H$1128,4,FALSE))</f>
        <v>Laurentides</v>
      </c>
      <c r="T3619" s="2" t="s">
        <v>15792</v>
      </c>
      <c r="U3619" s="2" t="s">
        <v>39</v>
      </c>
      <c r="V3619" s="2" t="s">
        <v>40</v>
      </c>
      <c r="W3619" s="2" t="s">
        <v>15793</v>
      </c>
      <c r="X3619" s="2"/>
      <c r="Y3619" s="2"/>
      <c r="Z3619" s="2"/>
      <c r="AA3619" s="2" t="s">
        <v>375</v>
      </c>
      <c r="AB3619" s="2" t="s">
        <v>376</v>
      </c>
      <c r="AC3619" s="4" t="s">
        <v>44</v>
      </c>
    </row>
    <row r="3620" spans="1:29" x14ac:dyDescent="0.25">
      <c r="A3620" s="1">
        <v>3853</v>
      </c>
      <c r="B3620" s="17" t="s">
        <v>15794</v>
      </c>
      <c r="C3620" s="2" t="s">
        <v>15795</v>
      </c>
      <c r="D3620" s="15" t="s">
        <v>15796</v>
      </c>
      <c r="E3620" s="9" t="s">
        <v>1560</v>
      </c>
      <c r="F3620" s="9" t="s">
        <v>15797</v>
      </c>
      <c r="G3620" s="9" t="s">
        <v>233</v>
      </c>
      <c r="H3620" s="2" t="s">
        <v>60</v>
      </c>
      <c r="I3620" s="3">
        <v>37216</v>
      </c>
      <c r="J3620" s="9" t="str">
        <f t="shared" ca="1" si="59"/>
        <v>21 ans</v>
      </c>
      <c r="K3620" s="2" t="s">
        <v>262</v>
      </c>
      <c r="L3620" s="2" t="str">
        <f>"1906"</f>
        <v>1906</v>
      </c>
      <c r="M3620" s="2"/>
      <c r="N3620" s="2" t="str">
        <f>"RUE LANGLOIS"</f>
        <v>RUE LANGLOIS</v>
      </c>
      <c r="O3620" s="2" t="s">
        <v>14661</v>
      </c>
      <c r="P3620" s="9" t="str">
        <f>VLOOKUP($O3620,'Liste des Villes'!$B$2:$B$1128,1,FALSE)</f>
        <v>Mirabel</v>
      </c>
      <c r="Q3620" s="9" t="str">
        <f>IFERROR($P3620,PROPER(VLOOKUP($O3620,'Villes en erreur'!$A$2:$B$72,2,FALSE)))</f>
        <v>Mirabel</v>
      </c>
      <c r="R3620" s="9" t="s">
        <v>14662</v>
      </c>
      <c r="S3620" s="9" t="str">
        <f>IF(ISBLANK($R3620),"",VLOOKUP($R3620,'Liste des Villes'!$B$2:$H$1128,4,FALSE))</f>
        <v>Laurentides</v>
      </c>
      <c r="T3620" s="2" t="s">
        <v>15534</v>
      </c>
      <c r="U3620" s="2" t="s">
        <v>39</v>
      </c>
      <c r="V3620" s="2" t="s">
        <v>40</v>
      </c>
      <c r="W3620" s="2" t="s">
        <v>15798</v>
      </c>
      <c r="X3620" s="2"/>
      <c r="Y3620" s="2"/>
      <c r="Z3620" s="2"/>
      <c r="AA3620" s="2" t="s">
        <v>708</v>
      </c>
      <c r="AB3620" s="2" t="s">
        <v>14669</v>
      </c>
      <c r="AC3620" s="4" t="s">
        <v>44</v>
      </c>
    </row>
    <row r="3621" spans="1:29" x14ac:dyDescent="0.25">
      <c r="A3621" s="1">
        <v>4530</v>
      </c>
      <c r="B3621" s="17" t="s">
        <v>15799</v>
      </c>
      <c r="C3621" s="2" t="s">
        <v>9346</v>
      </c>
      <c r="D3621" s="15" t="s">
        <v>1746</v>
      </c>
      <c r="E3621" s="9" t="s">
        <v>3990</v>
      </c>
      <c r="F3621" s="9" t="s">
        <v>14853</v>
      </c>
      <c r="G3621" s="9" t="s">
        <v>10644</v>
      </c>
      <c r="H3621" s="2" t="s">
        <v>60</v>
      </c>
      <c r="I3621" s="3">
        <v>37212</v>
      </c>
      <c r="J3621" s="9" t="str">
        <f t="shared" ca="1" si="59"/>
        <v>21 ans</v>
      </c>
      <c r="K3621" s="2" t="s">
        <v>262</v>
      </c>
      <c r="L3621" s="2" t="str">
        <f>"1890"</f>
        <v>1890</v>
      </c>
      <c r="M3621" s="2"/>
      <c r="N3621" s="2" t="str">
        <f>"RUE LAMONTAGNE"</f>
        <v>RUE LAMONTAGNE</v>
      </c>
      <c r="O3621" s="2" t="s">
        <v>14661</v>
      </c>
      <c r="P3621" s="9" t="str">
        <f>VLOOKUP($O3621,'Liste des Villes'!$B$2:$B$1128,1,FALSE)</f>
        <v>Mirabel</v>
      </c>
      <c r="Q3621" s="9" t="str">
        <f>IFERROR($P3621,PROPER(VLOOKUP($O3621,'Villes en erreur'!$A$2:$B$72,2,FALSE)))</f>
        <v>Mirabel</v>
      </c>
      <c r="R3621" s="9" t="s">
        <v>14662</v>
      </c>
      <c r="S3621" s="9" t="str">
        <f>IF(ISBLANK($R3621),"",VLOOKUP($R3621,'Liste des Villes'!$B$2:$H$1128,4,FALSE))</f>
        <v>Laurentides</v>
      </c>
      <c r="T3621" s="2" t="s">
        <v>15800</v>
      </c>
      <c r="U3621" s="2" t="s">
        <v>39</v>
      </c>
      <c r="V3621" s="2" t="s">
        <v>40</v>
      </c>
      <c r="W3621" s="2" t="s">
        <v>15801</v>
      </c>
      <c r="X3621" s="2"/>
      <c r="Y3621" s="2"/>
      <c r="Z3621" s="2"/>
      <c r="AA3621" s="2" t="s">
        <v>708</v>
      </c>
      <c r="AB3621" s="2" t="s">
        <v>14669</v>
      </c>
      <c r="AC3621" s="4" t="s">
        <v>44</v>
      </c>
    </row>
    <row r="3622" spans="1:29" x14ac:dyDescent="0.25">
      <c r="A3622" s="1">
        <v>1189</v>
      </c>
      <c r="B3622" s="17" t="s">
        <v>15802</v>
      </c>
      <c r="C3622" s="2" t="s">
        <v>5321</v>
      </c>
      <c r="D3622" s="15" t="s">
        <v>4353</v>
      </c>
      <c r="E3622" s="9" t="s">
        <v>179</v>
      </c>
      <c r="F3622" s="9" t="s">
        <v>15803</v>
      </c>
      <c r="G3622" s="9" t="s">
        <v>2217</v>
      </c>
      <c r="H3622" s="2" t="s">
        <v>60</v>
      </c>
      <c r="I3622" s="3">
        <v>37077</v>
      </c>
      <c r="J3622" s="9" t="str">
        <f t="shared" ca="1" si="59"/>
        <v>22 ans</v>
      </c>
      <c r="K3622" s="2" t="s">
        <v>156</v>
      </c>
      <c r="L3622" s="2" t="str">
        <f>"1155"</f>
        <v>1155</v>
      </c>
      <c r="M3622" s="2"/>
      <c r="N3622" s="2" t="str">
        <f>"RUE ERNEST-BOURQUE"</f>
        <v>RUE ERNEST-BOURQUE</v>
      </c>
      <c r="O3622" s="2" t="s">
        <v>14661</v>
      </c>
      <c r="P3622" s="9" t="str">
        <f>VLOOKUP($O3622,'Liste des Villes'!$B$2:$B$1128,1,FALSE)</f>
        <v>Mirabel</v>
      </c>
      <c r="Q3622" s="9" t="str">
        <f>IFERROR($P3622,PROPER(VLOOKUP($O3622,'Villes en erreur'!$A$2:$B$72,2,FALSE)))</f>
        <v>Mirabel</v>
      </c>
      <c r="R3622" s="9" t="s">
        <v>14662</v>
      </c>
      <c r="S3622" s="9" t="str">
        <f>IF(ISBLANK($R3622),"",VLOOKUP($R3622,'Liste des Villes'!$B$2:$H$1128,4,FALSE))</f>
        <v>Laurentides</v>
      </c>
      <c r="T3622" s="2" t="s">
        <v>15804</v>
      </c>
      <c r="U3622" s="2" t="s">
        <v>39</v>
      </c>
      <c r="V3622" s="2" t="s">
        <v>40</v>
      </c>
      <c r="W3622" s="2" t="s">
        <v>15805</v>
      </c>
      <c r="X3622" s="2"/>
      <c r="Y3622" s="2"/>
      <c r="Z3622" s="2"/>
      <c r="AA3622" s="2" t="s">
        <v>375</v>
      </c>
      <c r="AB3622" s="2" t="s">
        <v>376</v>
      </c>
      <c r="AC3622" s="4" t="s">
        <v>44</v>
      </c>
    </row>
    <row r="3623" spans="1:29" x14ac:dyDescent="0.25">
      <c r="A3623" s="1">
        <v>4200</v>
      </c>
      <c r="B3623" s="17" t="s">
        <v>15806</v>
      </c>
      <c r="C3623" s="2" t="s">
        <v>15807</v>
      </c>
      <c r="D3623" s="15" t="s">
        <v>599</v>
      </c>
      <c r="E3623" s="9" t="s">
        <v>7782</v>
      </c>
      <c r="F3623" s="9" t="s">
        <v>601</v>
      </c>
      <c r="G3623" s="9" t="s">
        <v>1275</v>
      </c>
      <c r="H3623" s="2" t="s">
        <v>60</v>
      </c>
      <c r="I3623" s="3">
        <v>37167</v>
      </c>
      <c r="J3623" s="9" t="str">
        <f t="shared" ca="1" si="59"/>
        <v>21 ans</v>
      </c>
      <c r="K3623" s="2" t="s">
        <v>156</v>
      </c>
      <c r="L3623" s="2" t="str">
        <f>"1551"</f>
        <v>1551</v>
      </c>
      <c r="M3623" s="2"/>
      <c r="N3623" s="2" t="str">
        <f>"RUE JEAN-MAURICE"</f>
        <v>RUE JEAN-MAURICE</v>
      </c>
      <c r="O3623" s="2" t="s">
        <v>14661</v>
      </c>
      <c r="P3623" s="9" t="str">
        <f>VLOOKUP($O3623,'Liste des Villes'!$B$2:$B$1128,1,FALSE)</f>
        <v>Mirabel</v>
      </c>
      <c r="Q3623" s="9" t="str">
        <f>IFERROR($P3623,PROPER(VLOOKUP($O3623,'Villes en erreur'!$A$2:$B$72,2,FALSE)))</f>
        <v>Mirabel</v>
      </c>
      <c r="R3623" s="9" t="s">
        <v>14662</v>
      </c>
      <c r="S3623" s="9" t="str">
        <f>IF(ISBLANK($R3623),"",VLOOKUP($R3623,'Liste des Villes'!$B$2:$H$1128,4,FALSE))</f>
        <v>Laurentides</v>
      </c>
      <c r="T3623" s="2" t="s">
        <v>15438</v>
      </c>
      <c r="U3623" s="2" t="s">
        <v>39</v>
      </c>
      <c r="V3623" s="2" t="s">
        <v>40</v>
      </c>
      <c r="W3623" s="2" t="s">
        <v>15808</v>
      </c>
      <c r="X3623" s="2"/>
      <c r="Y3623" s="2"/>
      <c r="Z3623" s="2"/>
      <c r="AA3623" s="2" t="s">
        <v>708</v>
      </c>
      <c r="AB3623" s="2" t="s">
        <v>376</v>
      </c>
      <c r="AC3623" s="4" t="s">
        <v>44</v>
      </c>
    </row>
    <row r="3624" spans="1:29" x14ac:dyDescent="0.25">
      <c r="A3624" s="1">
        <v>2918</v>
      </c>
      <c r="B3624" s="17" t="s">
        <v>15809</v>
      </c>
      <c r="C3624" s="2" t="s">
        <v>11664</v>
      </c>
      <c r="D3624" s="15" t="s">
        <v>2099</v>
      </c>
      <c r="E3624" s="9" t="s">
        <v>1246</v>
      </c>
      <c r="F3624" s="9" t="s">
        <v>4036</v>
      </c>
      <c r="G3624" s="9" t="s">
        <v>4092</v>
      </c>
      <c r="H3624" s="2" t="s">
        <v>35</v>
      </c>
      <c r="I3624" s="3">
        <v>37128</v>
      </c>
      <c r="J3624" s="9" t="str">
        <f t="shared" ca="1" si="59"/>
        <v>21 ans</v>
      </c>
      <c r="K3624" s="2" t="s">
        <v>156</v>
      </c>
      <c r="L3624" s="2" t="str">
        <f>"1347"</f>
        <v>1347</v>
      </c>
      <c r="M3624" s="2"/>
      <c r="N3624" s="2" t="str">
        <f>"RUE GUY"</f>
        <v>RUE GUY</v>
      </c>
      <c r="O3624" s="2" t="s">
        <v>14661</v>
      </c>
      <c r="P3624" s="9" t="str">
        <f>VLOOKUP($O3624,'Liste des Villes'!$B$2:$B$1128,1,FALSE)</f>
        <v>Mirabel</v>
      </c>
      <c r="Q3624" s="9" t="str">
        <f>IFERROR($P3624,PROPER(VLOOKUP($O3624,'Villes en erreur'!$A$2:$B$72,2,FALSE)))</f>
        <v>Mirabel</v>
      </c>
      <c r="R3624" s="9" t="s">
        <v>14662</v>
      </c>
      <c r="S3624" s="9" t="str">
        <f>IF(ISBLANK($R3624),"",VLOOKUP($R3624,'Liste des Villes'!$B$2:$H$1128,4,FALSE))</f>
        <v>Laurentides</v>
      </c>
      <c r="T3624" s="2" t="s">
        <v>15810</v>
      </c>
      <c r="U3624" s="2" t="s">
        <v>39</v>
      </c>
      <c r="V3624" s="2" t="s">
        <v>40</v>
      </c>
      <c r="W3624" s="2" t="s">
        <v>15811</v>
      </c>
      <c r="X3624" s="2"/>
      <c r="Y3624" s="2"/>
      <c r="Z3624" s="2"/>
      <c r="AA3624" s="2" t="s">
        <v>375</v>
      </c>
      <c r="AB3624" s="2" t="s">
        <v>376</v>
      </c>
      <c r="AC3624" s="4" t="s">
        <v>44</v>
      </c>
    </row>
    <row r="3625" spans="1:29" x14ac:dyDescent="0.25">
      <c r="A3625" s="1">
        <v>4282</v>
      </c>
      <c r="B3625" s="17" t="s">
        <v>15812</v>
      </c>
      <c r="C3625" s="2" t="s">
        <v>7480</v>
      </c>
      <c r="D3625" s="15" t="s">
        <v>7481</v>
      </c>
      <c r="E3625" s="9" t="s">
        <v>1024</v>
      </c>
      <c r="F3625" s="9" t="s">
        <v>9283</v>
      </c>
      <c r="G3625" s="9" t="s">
        <v>549</v>
      </c>
      <c r="H3625" s="2" t="s">
        <v>60</v>
      </c>
      <c r="I3625" s="3">
        <v>37224</v>
      </c>
      <c r="J3625" s="9" t="str">
        <f t="shared" ca="1" si="59"/>
        <v>21 ans</v>
      </c>
      <c r="K3625" s="2" t="s">
        <v>262</v>
      </c>
      <c r="L3625" s="2" t="str">
        <f>"1959"</f>
        <v>1959</v>
      </c>
      <c r="M3625" s="2"/>
      <c r="N3625" s="2" t="str">
        <f>"RUE LATOUR"</f>
        <v>RUE LATOUR</v>
      </c>
      <c r="O3625" s="2" t="s">
        <v>14661</v>
      </c>
      <c r="P3625" s="9" t="str">
        <f>VLOOKUP($O3625,'Liste des Villes'!$B$2:$B$1128,1,FALSE)</f>
        <v>Mirabel</v>
      </c>
      <c r="Q3625" s="9" t="str">
        <f>IFERROR($P3625,PROPER(VLOOKUP($O3625,'Villes en erreur'!$A$2:$B$72,2,FALSE)))</f>
        <v>Mirabel</v>
      </c>
      <c r="R3625" s="9" t="s">
        <v>14662</v>
      </c>
      <c r="S3625" s="9" t="str">
        <f>IF(ISBLANK($R3625),"",VLOOKUP($R3625,'Liste des Villes'!$B$2:$H$1128,4,FALSE))</f>
        <v>Laurentides</v>
      </c>
      <c r="T3625" s="2" t="s">
        <v>15813</v>
      </c>
      <c r="U3625" s="2" t="s">
        <v>39</v>
      </c>
      <c r="V3625" s="2" t="s">
        <v>40</v>
      </c>
      <c r="W3625" s="2" t="s">
        <v>15814</v>
      </c>
      <c r="X3625" s="2"/>
      <c r="Y3625" s="2"/>
      <c r="Z3625" s="2"/>
      <c r="AA3625" s="2" t="s">
        <v>708</v>
      </c>
      <c r="AB3625" s="2" t="s">
        <v>14669</v>
      </c>
      <c r="AC3625" s="4" t="s">
        <v>44</v>
      </c>
    </row>
    <row r="3626" spans="1:29" x14ac:dyDescent="0.25">
      <c r="A3626" s="1">
        <v>1641</v>
      </c>
      <c r="B3626" s="17" t="s">
        <v>15815</v>
      </c>
      <c r="C3626" s="2" t="s">
        <v>15816</v>
      </c>
      <c r="D3626" s="15" t="s">
        <v>15817</v>
      </c>
      <c r="E3626" s="9" t="s">
        <v>277</v>
      </c>
      <c r="F3626" s="9" t="s">
        <v>13203</v>
      </c>
      <c r="G3626" s="9" t="s">
        <v>5116</v>
      </c>
      <c r="H3626" s="2" t="s">
        <v>60</v>
      </c>
      <c r="I3626" s="3">
        <v>37124</v>
      </c>
      <c r="J3626" s="9" t="str">
        <f t="shared" ca="1" si="59"/>
        <v>22 ans</v>
      </c>
      <c r="K3626" s="2" t="s">
        <v>156</v>
      </c>
      <c r="L3626" s="2" t="str">
        <f>"1325"</f>
        <v>1325</v>
      </c>
      <c r="M3626" s="2"/>
      <c r="N3626" s="2" t="str">
        <f>"RUE GRAND'MAISON"</f>
        <v>RUE GRAND'MAISON</v>
      </c>
      <c r="O3626" s="2" t="s">
        <v>14661</v>
      </c>
      <c r="P3626" s="9" t="str">
        <f>VLOOKUP($O3626,'Liste des Villes'!$B$2:$B$1128,1,FALSE)</f>
        <v>Mirabel</v>
      </c>
      <c r="Q3626" s="9" t="str">
        <f>IFERROR($P3626,PROPER(VLOOKUP($O3626,'Villes en erreur'!$A$2:$B$72,2,FALSE)))</f>
        <v>Mirabel</v>
      </c>
      <c r="R3626" s="9" t="s">
        <v>14662</v>
      </c>
      <c r="S3626" s="9" t="str">
        <f>IF(ISBLANK($R3626),"",VLOOKUP($R3626,'Liste des Villes'!$B$2:$H$1128,4,FALSE))</f>
        <v>Laurentides</v>
      </c>
      <c r="T3626" s="2" t="s">
        <v>15818</v>
      </c>
      <c r="U3626" s="2" t="s">
        <v>39</v>
      </c>
      <c r="V3626" s="2" t="s">
        <v>40</v>
      </c>
      <c r="W3626" s="2" t="s">
        <v>15819</v>
      </c>
      <c r="X3626" s="2"/>
      <c r="Y3626" s="2"/>
      <c r="Z3626" s="2"/>
      <c r="AA3626" s="2" t="s">
        <v>375</v>
      </c>
      <c r="AB3626" s="2" t="s">
        <v>376</v>
      </c>
      <c r="AC3626" s="4" t="s">
        <v>44</v>
      </c>
    </row>
    <row r="3627" spans="1:29" x14ac:dyDescent="0.25">
      <c r="A3627" s="1">
        <v>2380</v>
      </c>
      <c r="B3627" s="17" t="s">
        <v>15820</v>
      </c>
      <c r="C3627" s="2" t="s">
        <v>15821</v>
      </c>
      <c r="D3627" s="15" t="s">
        <v>14977</v>
      </c>
      <c r="E3627" s="9" t="s">
        <v>1091</v>
      </c>
      <c r="F3627" s="9" t="s">
        <v>1092</v>
      </c>
      <c r="G3627" s="9" t="s">
        <v>1004</v>
      </c>
      <c r="H3627" s="2" t="s">
        <v>60</v>
      </c>
      <c r="I3627" s="3">
        <v>37105</v>
      </c>
      <c r="J3627" s="9" t="str">
        <f t="shared" ca="1" si="59"/>
        <v>22 ans</v>
      </c>
      <c r="K3627" s="2" t="s">
        <v>156</v>
      </c>
      <c r="L3627" s="2" t="str">
        <f>"1248"</f>
        <v>1248</v>
      </c>
      <c r="M3627" s="2"/>
      <c r="N3627" s="2" t="str">
        <f>"RUE GALARNEAU"</f>
        <v>RUE GALARNEAU</v>
      </c>
      <c r="O3627" s="2" t="s">
        <v>14661</v>
      </c>
      <c r="P3627" s="9" t="str">
        <f>VLOOKUP($O3627,'Liste des Villes'!$B$2:$B$1128,1,FALSE)</f>
        <v>Mirabel</v>
      </c>
      <c r="Q3627" s="9" t="str">
        <f>IFERROR($P3627,PROPER(VLOOKUP($O3627,'Villes en erreur'!$A$2:$B$72,2,FALSE)))</f>
        <v>Mirabel</v>
      </c>
      <c r="R3627" s="9" t="s">
        <v>14662</v>
      </c>
      <c r="S3627" s="9" t="str">
        <f>IF(ISBLANK($R3627),"",VLOOKUP($R3627,'Liste des Villes'!$B$2:$H$1128,4,FALSE))</f>
        <v>Laurentides</v>
      </c>
      <c r="T3627" s="2" t="s">
        <v>15822</v>
      </c>
      <c r="U3627" s="2" t="s">
        <v>39</v>
      </c>
      <c r="V3627" s="2" t="s">
        <v>40</v>
      </c>
      <c r="W3627" s="2" t="s">
        <v>15823</v>
      </c>
      <c r="X3627" s="2"/>
      <c r="Y3627" s="2"/>
      <c r="Z3627" s="2"/>
      <c r="AA3627" s="2" t="s">
        <v>375</v>
      </c>
      <c r="AB3627" s="2" t="s">
        <v>376</v>
      </c>
      <c r="AC3627" s="4" t="s">
        <v>44</v>
      </c>
    </row>
    <row r="3628" spans="1:29" x14ac:dyDescent="0.25">
      <c r="A3628" s="1">
        <v>3158</v>
      </c>
      <c r="B3628" s="17" t="s">
        <v>15824</v>
      </c>
      <c r="C3628" s="2" t="s">
        <v>15825</v>
      </c>
      <c r="D3628" s="15" t="s">
        <v>1800</v>
      </c>
      <c r="E3628" s="9" t="s">
        <v>1332</v>
      </c>
      <c r="F3628" s="9" t="s">
        <v>3963</v>
      </c>
      <c r="G3628" s="9" t="s">
        <v>2920</v>
      </c>
      <c r="H3628" s="2" t="s">
        <v>60</v>
      </c>
      <c r="I3628" s="3">
        <v>37097</v>
      </c>
      <c r="J3628" s="9" t="str">
        <f t="shared" ca="1" si="59"/>
        <v>22 ans</v>
      </c>
      <c r="K3628" s="2" t="s">
        <v>156</v>
      </c>
      <c r="L3628" s="2" t="str">
        <f>"1221"</f>
        <v>1221</v>
      </c>
      <c r="M3628" s="2"/>
      <c r="N3628" s="2" t="str">
        <f>"RUE FOURNIER"</f>
        <v>RUE FOURNIER</v>
      </c>
      <c r="O3628" s="2" t="s">
        <v>14661</v>
      </c>
      <c r="P3628" s="9" t="str">
        <f>VLOOKUP($O3628,'Liste des Villes'!$B$2:$B$1128,1,FALSE)</f>
        <v>Mirabel</v>
      </c>
      <c r="Q3628" s="9" t="str">
        <f>IFERROR($P3628,PROPER(VLOOKUP($O3628,'Villes en erreur'!$A$2:$B$72,2,FALSE)))</f>
        <v>Mirabel</v>
      </c>
      <c r="R3628" s="9" t="s">
        <v>14662</v>
      </c>
      <c r="S3628" s="9" t="str">
        <f>IF(ISBLANK($R3628),"",VLOOKUP($R3628,'Liste des Villes'!$B$2:$H$1128,4,FALSE))</f>
        <v>Laurentides</v>
      </c>
      <c r="T3628" s="2" t="s">
        <v>14791</v>
      </c>
      <c r="U3628" s="2" t="s">
        <v>39</v>
      </c>
      <c r="V3628" s="2" t="s">
        <v>40</v>
      </c>
      <c r="W3628" s="2" t="s">
        <v>15826</v>
      </c>
      <c r="X3628" s="2"/>
      <c r="Y3628" s="2"/>
      <c r="Z3628" s="2"/>
      <c r="AA3628" s="2" t="s">
        <v>375</v>
      </c>
      <c r="AB3628" s="2" t="s">
        <v>376</v>
      </c>
      <c r="AC3628" s="4" t="s">
        <v>44</v>
      </c>
    </row>
    <row r="3629" spans="1:29" x14ac:dyDescent="0.25">
      <c r="A3629" s="1">
        <v>2075</v>
      </c>
      <c r="B3629" s="17" t="s">
        <v>15827</v>
      </c>
      <c r="C3629" s="2" t="s">
        <v>15828</v>
      </c>
      <c r="D3629" s="15" t="s">
        <v>15353</v>
      </c>
      <c r="E3629" s="9" t="s">
        <v>6444</v>
      </c>
      <c r="F3629" s="9" t="s">
        <v>64</v>
      </c>
      <c r="G3629" s="9" t="s">
        <v>5629</v>
      </c>
      <c r="H3629" s="2" t="s">
        <v>60</v>
      </c>
      <c r="I3629" s="3">
        <v>37116</v>
      </c>
      <c r="J3629" s="9" t="str">
        <f t="shared" ca="1" si="59"/>
        <v>22 ans</v>
      </c>
      <c r="K3629" s="2" t="s">
        <v>156</v>
      </c>
      <c r="L3629" s="2" t="str">
        <f>"1288"</f>
        <v>1288</v>
      </c>
      <c r="M3629" s="2"/>
      <c r="N3629" s="2" t="str">
        <f>"RUE GÉRARD-PROULX"</f>
        <v>RUE GÉRARD-PROULX</v>
      </c>
      <c r="O3629" s="2" t="s">
        <v>14661</v>
      </c>
      <c r="P3629" s="9" t="str">
        <f>VLOOKUP($O3629,'Liste des Villes'!$B$2:$B$1128,1,FALSE)</f>
        <v>Mirabel</v>
      </c>
      <c r="Q3629" s="9" t="str">
        <f>IFERROR($P3629,PROPER(VLOOKUP($O3629,'Villes en erreur'!$A$2:$B$72,2,FALSE)))</f>
        <v>Mirabel</v>
      </c>
      <c r="R3629" s="9" t="s">
        <v>14662</v>
      </c>
      <c r="S3629" s="9" t="str">
        <f>IF(ISBLANK($R3629),"",VLOOKUP($R3629,'Liste des Villes'!$B$2:$H$1128,4,FALSE))</f>
        <v>Laurentides</v>
      </c>
      <c r="T3629" s="2" t="s">
        <v>15829</v>
      </c>
      <c r="U3629" s="2" t="s">
        <v>39</v>
      </c>
      <c r="V3629" s="2" t="s">
        <v>40</v>
      </c>
      <c r="W3629" s="2" t="s">
        <v>15830</v>
      </c>
      <c r="X3629" s="2"/>
      <c r="Y3629" s="2"/>
      <c r="Z3629" s="2"/>
      <c r="AA3629" s="2" t="s">
        <v>375</v>
      </c>
      <c r="AB3629" s="2" t="s">
        <v>376</v>
      </c>
      <c r="AC3629" s="4" t="s">
        <v>44</v>
      </c>
    </row>
    <row r="3630" spans="1:29" x14ac:dyDescent="0.25">
      <c r="A3630" s="1">
        <v>3661</v>
      </c>
      <c r="B3630" s="17" t="s">
        <v>15831</v>
      </c>
      <c r="C3630" s="2" t="s">
        <v>15832</v>
      </c>
      <c r="D3630" s="15" t="s">
        <v>304</v>
      </c>
      <c r="E3630" s="9" t="s">
        <v>15833</v>
      </c>
      <c r="F3630" s="9" t="s">
        <v>379</v>
      </c>
      <c r="G3630" s="9" t="s">
        <v>10233</v>
      </c>
      <c r="H3630" s="2" t="s">
        <v>60</v>
      </c>
      <c r="I3630" s="3">
        <v>37165</v>
      </c>
      <c r="J3630" s="9" t="str">
        <f t="shared" ca="1" si="59"/>
        <v>21 ans</v>
      </c>
      <c r="K3630" s="2" t="s">
        <v>156</v>
      </c>
      <c r="L3630" s="2" t="str">
        <f>"1551"</f>
        <v>1551</v>
      </c>
      <c r="M3630" s="2"/>
      <c r="N3630" s="2" t="str">
        <f>"RUE JEAN-MAURICE"</f>
        <v>RUE JEAN-MAURICE</v>
      </c>
      <c r="O3630" s="2" t="s">
        <v>14661</v>
      </c>
      <c r="P3630" s="9" t="str">
        <f>VLOOKUP($O3630,'Liste des Villes'!$B$2:$B$1128,1,FALSE)</f>
        <v>Mirabel</v>
      </c>
      <c r="Q3630" s="9" t="str">
        <f>IFERROR($P3630,PROPER(VLOOKUP($O3630,'Villes en erreur'!$A$2:$B$72,2,FALSE)))</f>
        <v>Mirabel</v>
      </c>
      <c r="R3630" s="9" t="s">
        <v>14662</v>
      </c>
      <c r="S3630" s="9" t="str">
        <f>IF(ISBLANK($R3630),"",VLOOKUP($R3630,'Liste des Villes'!$B$2:$H$1128,4,FALSE))</f>
        <v>Laurentides</v>
      </c>
      <c r="T3630" s="2" t="s">
        <v>15438</v>
      </c>
      <c r="U3630" s="2" t="s">
        <v>39</v>
      </c>
      <c r="V3630" s="2" t="s">
        <v>40</v>
      </c>
      <c r="W3630" s="2" t="s">
        <v>15834</v>
      </c>
      <c r="X3630" s="2"/>
      <c r="Y3630" s="2"/>
      <c r="Z3630" s="2"/>
      <c r="AA3630" s="2" t="s">
        <v>708</v>
      </c>
      <c r="AB3630" s="2" t="s">
        <v>376</v>
      </c>
      <c r="AC3630" s="4" t="s">
        <v>44</v>
      </c>
    </row>
    <row r="3631" spans="1:29" x14ac:dyDescent="0.25">
      <c r="A3631" s="1">
        <v>868</v>
      </c>
      <c r="B3631" s="17" t="s">
        <v>15835</v>
      </c>
      <c r="C3631" s="2" t="s">
        <v>15836</v>
      </c>
      <c r="D3631" s="15" t="s">
        <v>15734</v>
      </c>
      <c r="E3631" s="9" t="s">
        <v>354</v>
      </c>
      <c r="F3631" s="9" t="s">
        <v>144</v>
      </c>
      <c r="G3631" s="9" t="s">
        <v>1049</v>
      </c>
      <c r="H3631" s="2" t="s">
        <v>60</v>
      </c>
      <c r="I3631" s="3">
        <v>37150</v>
      </c>
      <c r="J3631" s="9" t="str">
        <f t="shared" ca="1" si="59"/>
        <v>21 ans</v>
      </c>
      <c r="K3631" s="2" t="s">
        <v>156</v>
      </c>
      <c r="L3631" s="2" t="str">
        <f>"1445"</f>
        <v>1445</v>
      </c>
      <c r="M3631" s="2"/>
      <c r="N3631" s="2" t="str">
        <f>"RUE JACINTHE"</f>
        <v>RUE JACINTHE</v>
      </c>
      <c r="O3631" s="2" t="s">
        <v>14661</v>
      </c>
      <c r="P3631" s="9" t="str">
        <f>VLOOKUP($O3631,'Liste des Villes'!$B$2:$B$1128,1,FALSE)</f>
        <v>Mirabel</v>
      </c>
      <c r="Q3631" s="9" t="str">
        <f>IFERROR($P3631,PROPER(VLOOKUP($O3631,'Villes en erreur'!$A$2:$B$72,2,FALSE)))</f>
        <v>Mirabel</v>
      </c>
      <c r="R3631" s="9" t="s">
        <v>14662</v>
      </c>
      <c r="S3631" s="9" t="str">
        <f>IF(ISBLANK($R3631),"",VLOOKUP($R3631,'Liste des Villes'!$B$2:$H$1128,4,FALSE))</f>
        <v>Laurentides</v>
      </c>
      <c r="T3631" s="2" t="s">
        <v>15675</v>
      </c>
      <c r="U3631" s="2" t="s">
        <v>39</v>
      </c>
      <c r="V3631" s="2" t="s">
        <v>40</v>
      </c>
      <c r="W3631" s="2" t="s">
        <v>15837</v>
      </c>
      <c r="X3631" s="2"/>
      <c r="Y3631" s="2"/>
      <c r="Z3631" s="2"/>
      <c r="AA3631" s="2" t="s">
        <v>708</v>
      </c>
      <c r="AB3631" s="2" t="s">
        <v>376</v>
      </c>
      <c r="AC3631" s="4" t="s">
        <v>44</v>
      </c>
    </row>
    <row r="3632" spans="1:29" x14ac:dyDescent="0.25">
      <c r="A3632" s="1">
        <v>2848</v>
      </c>
      <c r="B3632" s="17" t="s">
        <v>15838</v>
      </c>
      <c r="C3632" s="2" t="s">
        <v>8863</v>
      </c>
      <c r="D3632" s="15" t="s">
        <v>4870</v>
      </c>
      <c r="E3632" s="9" t="s">
        <v>2107</v>
      </c>
      <c r="F3632" s="9" t="s">
        <v>3484</v>
      </c>
      <c r="G3632" s="9" t="s">
        <v>8542</v>
      </c>
      <c r="H3632" s="2" t="s">
        <v>60</v>
      </c>
      <c r="I3632" s="3">
        <v>37110</v>
      </c>
      <c r="J3632" s="9" t="str">
        <f t="shared" ca="1" si="59"/>
        <v>22 ans</v>
      </c>
      <c r="K3632" s="2" t="s">
        <v>156</v>
      </c>
      <c r="L3632" s="2" t="str">
        <f>"1269"</f>
        <v>1269</v>
      </c>
      <c r="M3632" s="2"/>
      <c r="N3632" s="2" t="str">
        <f>"RUE GAUTHIER"</f>
        <v>RUE GAUTHIER</v>
      </c>
      <c r="O3632" s="2" t="s">
        <v>14661</v>
      </c>
      <c r="P3632" s="9" t="str">
        <f>VLOOKUP($O3632,'Liste des Villes'!$B$2:$B$1128,1,FALSE)</f>
        <v>Mirabel</v>
      </c>
      <c r="Q3632" s="9" t="str">
        <f>IFERROR($P3632,PROPER(VLOOKUP($O3632,'Villes en erreur'!$A$2:$B$72,2,FALSE)))</f>
        <v>Mirabel</v>
      </c>
      <c r="R3632" s="9" t="s">
        <v>14662</v>
      </c>
      <c r="S3632" s="9" t="str">
        <f>IF(ISBLANK($R3632),"",VLOOKUP($R3632,'Liste des Villes'!$B$2:$H$1128,4,FALSE))</f>
        <v>Laurentides</v>
      </c>
      <c r="T3632" s="2" t="s">
        <v>15839</v>
      </c>
      <c r="U3632" s="2" t="s">
        <v>39</v>
      </c>
      <c r="V3632" s="2" t="s">
        <v>40</v>
      </c>
      <c r="W3632" s="2" t="s">
        <v>15840</v>
      </c>
      <c r="X3632" s="2"/>
      <c r="Y3632" s="2"/>
      <c r="Z3632" s="2"/>
      <c r="AA3632" s="2" t="s">
        <v>375</v>
      </c>
      <c r="AB3632" s="2" t="s">
        <v>376</v>
      </c>
      <c r="AC3632" s="4" t="s">
        <v>44</v>
      </c>
    </row>
    <row r="3633" spans="1:29" x14ac:dyDescent="0.25">
      <c r="A3633" s="1">
        <v>2370</v>
      </c>
      <c r="B3633" s="17" t="s">
        <v>15841</v>
      </c>
      <c r="C3633" s="2" t="s">
        <v>15842</v>
      </c>
      <c r="D3633" s="15" t="s">
        <v>15843</v>
      </c>
      <c r="E3633" s="9" t="s">
        <v>1091</v>
      </c>
      <c r="F3633" s="9" t="s">
        <v>8856</v>
      </c>
      <c r="G3633" s="9" t="s">
        <v>15646</v>
      </c>
      <c r="H3633" s="2" t="s">
        <v>35</v>
      </c>
      <c r="I3633" s="3">
        <v>37237</v>
      </c>
      <c r="J3633" s="9" t="str">
        <f t="shared" ca="1" si="59"/>
        <v>21 ans</v>
      </c>
      <c r="K3633" s="2" t="s">
        <v>262</v>
      </c>
      <c r="L3633" s="2" t="str">
        <f>"2039"</f>
        <v>2039</v>
      </c>
      <c r="M3633" s="2"/>
      <c r="N3633" s="2" t="str">
        <f>"RUE LE ROYER"</f>
        <v>RUE LE ROYER</v>
      </c>
      <c r="O3633" s="2" t="s">
        <v>14661</v>
      </c>
      <c r="P3633" s="9" t="str">
        <f>VLOOKUP($O3633,'Liste des Villes'!$B$2:$B$1128,1,FALSE)</f>
        <v>Mirabel</v>
      </c>
      <c r="Q3633" s="9" t="str">
        <f>IFERROR($P3633,PROPER(VLOOKUP($O3633,'Villes en erreur'!$A$2:$B$72,2,FALSE)))</f>
        <v>Mirabel</v>
      </c>
      <c r="R3633" s="9" t="s">
        <v>14662</v>
      </c>
      <c r="S3633" s="9" t="str">
        <f>IF(ISBLANK($R3633),"",VLOOKUP($R3633,'Liste des Villes'!$B$2:$H$1128,4,FALSE))</f>
        <v>Laurentides</v>
      </c>
      <c r="T3633" s="2" t="s">
        <v>15844</v>
      </c>
      <c r="U3633" s="2" t="s">
        <v>39</v>
      </c>
      <c r="V3633" s="2" t="s">
        <v>40</v>
      </c>
      <c r="W3633" s="2" t="s">
        <v>15845</v>
      </c>
      <c r="X3633" s="2"/>
      <c r="Y3633" s="2"/>
      <c r="Z3633" s="2"/>
      <c r="AA3633" s="2" t="s">
        <v>708</v>
      </c>
      <c r="AB3633" s="2" t="s">
        <v>14669</v>
      </c>
      <c r="AC3633" s="4" t="s">
        <v>44</v>
      </c>
    </row>
    <row r="3634" spans="1:29" x14ac:dyDescent="0.25">
      <c r="A3634" s="1">
        <v>1577</v>
      </c>
      <c r="B3634" s="17" t="s">
        <v>15846</v>
      </c>
      <c r="C3634" s="2" t="s">
        <v>4701</v>
      </c>
      <c r="D3634" s="15" t="s">
        <v>363</v>
      </c>
      <c r="E3634" s="9" t="s">
        <v>3695</v>
      </c>
      <c r="F3634" s="9" t="s">
        <v>2415</v>
      </c>
      <c r="G3634" s="9" t="s">
        <v>549</v>
      </c>
      <c r="H3634" s="2" t="s">
        <v>60</v>
      </c>
      <c r="I3634" s="3">
        <v>37222</v>
      </c>
      <c r="J3634" s="9" t="str">
        <f t="shared" ca="1" si="59"/>
        <v>21 ans</v>
      </c>
      <c r="K3634" s="2" t="s">
        <v>262</v>
      </c>
      <c r="L3634" s="2" t="str">
        <f>"1945"</f>
        <v>1945</v>
      </c>
      <c r="M3634" s="2"/>
      <c r="N3634" s="2" t="str">
        <f>"RUE LARIVIÈRE"</f>
        <v>RUE LARIVIÈRE</v>
      </c>
      <c r="O3634" s="2" t="s">
        <v>14661</v>
      </c>
      <c r="P3634" s="9" t="str">
        <f>VLOOKUP($O3634,'Liste des Villes'!$B$2:$B$1128,1,FALSE)</f>
        <v>Mirabel</v>
      </c>
      <c r="Q3634" s="9" t="str">
        <f>IFERROR($P3634,PROPER(VLOOKUP($O3634,'Villes en erreur'!$A$2:$B$72,2,FALSE)))</f>
        <v>Mirabel</v>
      </c>
      <c r="R3634" s="9" t="s">
        <v>14662</v>
      </c>
      <c r="S3634" s="9" t="str">
        <f>IF(ISBLANK($R3634),"",VLOOKUP($R3634,'Liste des Villes'!$B$2:$H$1128,4,FALSE))</f>
        <v>Laurentides</v>
      </c>
      <c r="T3634" s="2" t="s">
        <v>15847</v>
      </c>
      <c r="U3634" s="2" t="s">
        <v>39</v>
      </c>
      <c r="V3634" s="2" t="s">
        <v>40</v>
      </c>
      <c r="W3634" s="2" t="s">
        <v>15848</v>
      </c>
      <c r="X3634" s="2"/>
      <c r="Y3634" s="2"/>
      <c r="Z3634" s="2"/>
      <c r="AA3634" s="2" t="s">
        <v>708</v>
      </c>
      <c r="AB3634" s="2" t="s">
        <v>14669</v>
      </c>
      <c r="AC3634" s="4" t="s">
        <v>44</v>
      </c>
    </row>
    <row r="3635" spans="1:29" x14ac:dyDescent="0.25">
      <c r="A3635" s="1">
        <v>856</v>
      </c>
      <c r="B3635" s="17" t="s">
        <v>15849</v>
      </c>
      <c r="C3635" s="2" t="s">
        <v>15850</v>
      </c>
      <c r="D3635" s="15" t="s">
        <v>318</v>
      </c>
      <c r="E3635" s="9" t="s">
        <v>495</v>
      </c>
      <c r="F3635" s="9" t="s">
        <v>317</v>
      </c>
      <c r="G3635" s="9" t="s">
        <v>1091</v>
      </c>
      <c r="H3635" s="2" t="s">
        <v>60</v>
      </c>
      <c r="I3635" s="3">
        <v>37209</v>
      </c>
      <c r="J3635" s="9" t="str">
        <f t="shared" ca="1" si="59"/>
        <v>21 ans</v>
      </c>
      <c r="K3635" s="2" t="s">
        <v>262</v>
      </c>
      <c r="L3635" s="2" t="str">
        <f>"1836"</f>
        <v>1836</v>
      </c>
      <c r="M3635" s="2"/>
      <c r="N3635" s="2" t="str">
        <f>"RUE LAJEUNESSE"</f>
        <v>RUE LAJEUNESSE</v>
      </c>
      <c r="O3635" s="2" t="s">
        <v>14661</v>
      </c>
      <c r="P3635" s="9" t="str">
        <f>VLOOKUP($O3635,'Liste des Villes'!$B$2:$B$1128,1,FALSE)</f>
        <v>Mirabel</v>
      </c>
      <c r="Q3635" s="9" t="str">
        <f>IFERROR($P3635,PROPER(VLOOKUP($O3635,'Villes en erreur'!$A$2:$B$72,2,FALSE)))</f>
        <v>Mirabel</v>
      </c>
      <c r="R3635" s="9" t="s">
        <v>14662</v>
      </c>
      <c r="S3635" s="9" t="str">
        <f>IF(ISBLANK($R3635),"",VLOOKUP($R3635,'Liste des Villes'!$B$2:$H$1128,4,FALSE))</f>
        <v>Laurentides</v>
      </c>
      <c r="T3635" s="2" t="s">
        <v>15021</v>
      </c>
      <c r="U3635" s="2" t="s">
        <v>39</v>
      </c>
      <c r="V3635" s="2" t="s">
        <v>40</v>
      </c>
      <c r="W3635" s="2" t="s">
        <v>15851</v>
      </c>
      <c r="X3635" s="2"/>
      <c r="Y3635" s="2"/>
      <c r="Z3635" s="2"/>
      <c r="AA3635" s="2" t="s">
        <v>708</v>
      </c>
      <c r="AB3635" s="2" t="s">
        <v>14669</v>
      </c>
      <c r="AC3635" s="4" t="s">
        <v>44</v>
      </c>
    </row>
    <row r="3636" spans="1:29" x14ac:dyDescent="0.25">
      <c r="A3636" s="1">
        <v>1170</v>
      </c>
      <c r="B3636" s="17" t="s">
        <v>15852</v>
      </c>
      <c r="C3636" s="2" t="s">
        <v>15853</v>
      </c>
      <c r="D3636" s="15" t="s">
        <v>15854</v>
      </c>
      <c r="E3636" s="9" t="s">
        <v>13671</v>
      </c>
      <c r="F3636" s="9" t="s">
        <v>15855</v>
      </c>
      <c r="G3636" s="9" t="s">
        <v>13946</v>
      </c>
      <c r="H3636" s="2" t="s">
        <v>60</v>
      </c>
      <c r="I3636" s="3">
        <v>37156</v>
      </c>
      <c r="J3636" s="9" t="str">
        <f t="shared" ca="1" si="59"/>
        <v>21 ans</v>
      </c>
      <c r="K3636" s="2" t="s">
        <v>156</v>
      </c>
      <c r="L3636" s="2" t="str">
        <f>"1492"</f>
        <v>1492</v>
      </c>
      <c r="M3636" s="2"/>
      <c r="N3636" s="2" t="str">
        <f>"RUE JARRY"</f>
        <v>RUE JARRY</v>
      </c>
      <c r="O3636" s="2" t="s">
        <v>14661</v>
      </c>
      <c r="P3636" s="9" t="str">
        <f>VLOOKUP($O3636,'Liste des Villes'!$B$2:$B$1128,1,FALSE)</f>
        <v>Mirabel</v>
      </c>
      <c r="Q3636" s="9" t="str">
        <f>IFERROR($P3636,PROPER(VLOOKUP($O3636,'Villes en erreur'!$A$2:$B$72,2,FALSE)))</f>
        <v>Mirabel</v>
      </c>
      <c r="R3636" s="9" t="s">
        <v>14662</v>
      </c>
      <c r="S3636" s="9" t="str">
        <f>IF(ISBLANK($R3636),"",VLOOKUP($R3636,'Liste des Villes'!$B$2:$H$1128,4,FALSE))</f>
        <v>Laurentides</v>
      </c>
      <c r="T3636" s="2" t="s">
        <v>15856</v>
      </c>
      <c r="U3636" s="2" t="s">
        <v>39</v>
      </c>
      <c r="V3636" s="2" t="s">
        <v>40</v>
      </c>
      <c r="W3636" s="2" t="s">
        <v>14877</v>
      </c>
      <c r="X3636" s="2"/>
      <c r="Y3636" s="2"/>
      <c r="Z3636" s="2"/>
      <c r="AA3636" s="2" t="s">
        <v>708</v>
      </c>
      <c r="AB3636" s="2" t="s">
        <v>376</v>
      </c>
      <c r="AC3636" s="4" t="s">
        <v>44</v>
      </c>
    </row>
    <row r="3637" spans="1:29" x14ac:dyDescent="0.25">
      <c r="A3637" s="1">
        <v>1804</v>
      </c>
      <c r="B3637" s="17" t="s">
        <v>15857</v>
      </c>
      <c r="C3637" s="2" t="s">
        <v>696</v>
      </c>
      <c r="D3637" s="15" t="s">
        <v>697</v>
      </c>
      <c r="E3637" s="9" t="s">
        <v>698</v>
      </c>
      <c r="F3637" s="9" t="s">
        <v>8059</v>
      </c>
      <c r="G3637" s="9" t="s">
        <v>743</v>
      </c>
      <c r="H3637" s="2" t="s">
        <v>60</v>
      </c>
      <c r="I3637" s="3">
        <v>37173</v>
      </c>
      <c r="J3637" s="9" t="str">
        <f t="shared" ca="1" si="59"/>
        <v>21 ans</v>
      </c>
      <c r="K3637" s="2" t="s">
        <v>156</v>
      </c>
      <c r="L3637" s="2" t="str">
        <f>"1617"</f>
        <v>1617</v>
      </c>
      <c r="M3637" s="2"/>
      <c r="N3637" s="2" t="str">
        <f>"RUE JOLY"</f>
        <v>RUE JOLY</v>
      </c>
      <c r="O3637" s="2" t="s">
        <v>14661</v>
      </c>
      <c r="P3637" s="9" t="str">
        <f>VLOOKUP($O3637,'Liste des Villes'!$B$2:$B$1128,1,FALSE)</f>
        <v>Mirabel</v>
      </c>
      <c r="Q3637" s="9" t="str">
        <f>IFERROR($P3637,PROPER(VLOOKUP($O3637,'Villes en erreur'!$A$2:$B$72,2,FALSE)))</f>
        <v>Mirabel</v>
      </c>
      <c r="R3637" s="9" t="s">
        <v>14662</v>
      </c>
      <c r="S3637" s="9" t="str">
        <f>IF(ISBLANK($R3637),"",VLOOKUP($R3637,'Liste des Villes'!$B$2:$H$1128,4,FALSE))</f>
        <v>Laurentides</v>
      </c>
      <c r="T3637" s="2" t="s">
        <v>15858</v>
      </c>
      <c r="U3637" s="2" t="s">
        <v>39</v>
      </c>
      <c r="V3637" s="2" t="s">
        <v>40</v>
      </c>
      <c r="W3637" s="2" t="s">
        <v>15859</v>
      </c>
      <c r="X3637" s="2"/>
      <c r="Y3637" s="2"/>
      <c r="Z3637" s="2"/>
      <c r="AA3637" s="2" t="s">
        <v>708</v>
      </c>
      <c r="AB3637" s="2" t="s">
        <v>14669</v>
      </c>
      <c r="AC3637" s="4" t="s">
        <v>44</v>
      </c>
    </row>
    <row r="3638" spans="1:29" x14ac:dyDescent="0.25">
      <c r="A3638" s="1">
        <v>3589</v>
      </c>
      <c r="B3638" s="17" t="s">
        <v>15860</v>
      </c>
      <c r="C3638" s="2" t="s">
        <v>3320</v>
      </c>
      <c r="D3638" s="15" t="s">
        <v>1371</v>
      </c>
      <c r="E3638" s="9" t="s">
        <v>1091</v>
      </c>
      <c r="F3638" s="9" t="s">
        <v>1092</v>
      </c>
      <c r="G3638" s="9" t="s">
        <v>3700</v>
      </c>
      <c r="H3638" s="2" t="s">
        <v>60</v>
      </c>
      <c r="I3638" s="3">
        <v>37138</v>
      </c>
      <c r="J3638" s="9" t="str">
        <f t="shared" ca="1" si="59"/>
        <v>21 ans</v>
      </c>
      <c r="K3638" s="2" t="s">
        <v>156</v>
      </c>
      <c r="L3638" s="2" t="str">
        <f>"1393"</f>
        <v>1393</v>
      </c>
      <c r="M3638" s="2"/>
      <c r="N3638" s="2" t="str">
        <f>"RUE HOGUE"</f>
        <v>RUE HOGUE</v>
      </c>
      <c r="O3638" s="2" t="s">
        <v>14661</v>
      </c>
      <c r="P3638" s="9" t="str">
        <f>VLOOKUP($O3638,'Liste des Villes'!$B$2:$B$1128,1,FALSE)</f>
        <v>Mirabel</v>
      </c>
      <c r="Q3638" s="9" t="str">
        <f>IFERROR($P3638,PROPER(VLOOKUP($O3638,'Villes en erreur'!$A$2:$B$72,2,FALSE)))</f>
        <v>Mirabel</v>
      </c>
      <c r="R3638" s="9" t="s">
        <v>14662</v>
      </c>
      <c r="S3638" s="9" t="str">
        <f>IF(ISBLANK($R3638),"",VLOOKUP($R3638,'Liste des Villes'!$B$2:$H$1128,4,FALSE))</f>
        <v>Laurentides</v>
      </c>
      <c r="T3638" s="2" t="s">
        <v>15307</v>
      </c>
      <c r="U3638" s="2" t="s">
        <v>39</v>
      </c>
      <c r="V3638" s="2" t="s">
        <v>40</v>
      </c>
      <c r="W3638" s="2" t="s">
        <v>15861</v>
      </c>
      <c r="X3638" s="2"/>
      <c r="Y3638" s="2"/>
      <c r="Z3638" s="2"/>
      <c r="AA3638" s="2" t="s">
        <v>708</v>
      </c>
      <c r="AB3638" s="2" t="s">
        <v>376</v>
      </c>
      <c r="AC3638" s="4" t="s">
        <v>44</v>
      </c>
    </row>
    <row r="3639" spans="1:29" x14ac:dyDescent="0.25">
      <c r="A3639" s="1">
        <v>3805</v>
      </c>
      <c r="B3639" s="17" t="s">
        <v>15862</v>
      </c>
      <c r="C3639" s="2" t="s">
        <v>15863</v>
      </c>
      <c r="D3639" s="15" t="s">
        <v>460</v>
      </c>
      <c r="E3639" s="9" t="s">
        <v>8112</v>
      </c>
      <c r="F3639" s="9" t="s">
        <v>462</v>
      </c>
      <c r="G3639" s="9" t="s">
        <v>15864</v>
      </c>
      <c r="H3639" s="2" t="s">
        <v>35</v>
      </c>
      <c r="I3639" s="3">
        <v>37132</v>
      </c>
      <c r="J3639" s="9" t="str">
        <f t="shared" ca="1" si="59"/>
        <v>21 ans</v>
      </c>
      <c r="K3639" s="2" t="s">
        <v>156</v>
      </c>
      <c r="L3639" s="2" t="str">
        <f>"1360"</f>
        <v>1360</v>
      </c>
      <c r="M3639" s="2"/>
      <c r="N3639" s="2" t="str">
        <f>"RUE HÉLÈNE"</f>
        <v>RUE HÉLÈNE</v>
      </c>
      <c r="O3639" s="2" t="s">
        <v>14661</v>
      </c>
      <c r="P3639" s="9" t="str">
        <f>VLOOKUP($O3639,'Liste des Villes'!$B$2:$B$1128,1,FALSE)</f>
        <v>Mirabel</v>
      </c>
      <c r="Q3639" s="9" t="str">
        <f>IFERROR($P3639,PROPER(VLOOKUP($O3639,'Villes en erreur'!$A$2:$B$72,2,FALSE)))</f>
        <v>Mirabel</v>
      </c>
      <c r="R3639" s="9" t="s">
        <v>14662</v>
      </c>
      <c r="S3639" s="9" t="str">
        <f>IF(ISBLANK($R3639),"",VLOOKUP($R3639,'Liste des Villes'!$B$2:$H$1128,4,FALSE))</f>
        <v>Laurentides</v>
      </c>
      <c r="T3639" s="2" t="s">
        <v>15865</v>
      </c>
      <c r="U3639" s="2" t="s">
        <v>39</v>
      </c>
      <c r="V3639" s="2" t="s">
        <v>40</v>
      </c>
      <c r="W3639" s="2" t="s">
        <v>15866</v>
      </c>
      <c r="X3639" s="2"/>
      <c r="Y3639" s="2"/>
      <c r="Z3639" s="2"/>
      <c r="AA3639" s="2" t="s">
        <v>375</v>
      </c>
      <c r="AB3639" s="2" t="s">
        <v>376</v>
      </c>
      <c r="AC3639" s="4" t="s">
        <v>44</v>
      </c>
    </row>
    <row r="3640" spans="1:29" x14ac:dyDescent="0.25">
      <c r="A3640" s="1">
        <v>3204</v>
      </c>
      <c r="B3640" s="17" t="s">
        <v>15867</v>
      </c>
      <c r="C3640" s="2" t="s">
        <v>15526</v>
      </c>
      <c r="D3640" s="15" t="s">
        <v>6612</v>
      </c>
      <c r="E3640" s="9" t="s">
        <v>305</v>
      </c>
      <c r="F3640" s="9" t="s">
        <v>101</v>
      </c>
      <c r="G3640" s="9" t="s">
        <v>549</v>
      </c>
      <c r="H3640" s="2" t="s">
        <v>60</v>
      </c>
      <c r="I3640" s="3">
        <v>37223</v>
      </c>
      <c r="J3640" s="9" t="str">
        <f t="shared" ca="1" si="59"/>
        <v>21 ans</v>
      </c>
      <c r="K3640" s="2" t="s">
        <v>262</v>
      </c>
      <c r="L3640" s="2" t="str">
        <f>"1951"</f>
        <v>1951</v>
      </c>
      <c r="M3640" s="2"/>
      <c r="N3640" s="2" t="str">
        <f>"RUE LATOUR"</f>
        <v>RUE LATOUR</v>
      </c>
      <c r="O3640" s="2" t="s">
        <v>14661</v>
      </c>
      <c r="P3640" s="9" t="str">
        <f>VLOOKUP($O3640,'Liste des Villes'!$B$2:$B$1128,1,FALSE)</f>
        <v>Mirabel</v>
      </c>
      <c r="Q3640" s="9" t="str">
        <f>IFERROR($P3640,PROPER(VLOOKUP($O3640,'Villes en erreur'!$A$2:$B$72,2,FALSE)))</f>
        <v>Mirabel</v>
      </c>
      <c r="R3640" s="9" t="s">
        <v>14662</v>
      </c>
      <c r="S3640" s="9" t="str">
        <f>IF(ISBLANK($R3640),"",VLOOKUP($R3640,'Liste des Villes'!$B$2:$H$1128,4,FALSE))</f>
        <v>Laurentides</v>
      </c>
      <c r="T3640" s="2" t="s">
        <v>15198</v>
      </c>
      <c r="U3640" s="2" t="s">
        <v>39</v>
      </c>
      <c r="V3640" s="2" t="s">
        <v>40</v>
      </c>
      <c r="W3640" s="2" t="s">
        <v>15868</v>
      </c>
      <c r="X3640" s="2"/>
      <c r="Y3640" s="2"/>
      <c r="Z3640" s="2"/>
      <c r="AA3640" s="2" t="s">
        <v>708</v>
      </c>
      <c r="AB3640" s="2" t="s">
        <v>14669</v>
      </c>
      <c r="AC3640" s="4" t="s">
        <v>44</v>
      </c>
    </row>
    <row r="3641" spans="1:29" x14ac:dyDescent="0.25">
      <c r="A3641" s="1">
        <v>2758</v>
      </c>
      <c r="B3641" s="17" t="s">
        <v>15869</v>
      </c>
      <c r="C3641" s="2" t="s">
        <v>15870</v>
      </c>
      <c r="D3641" s="15" t="s">
        <v>15871</v>
      </c>
      <c r="E3641" s="9" t="s">
        <v>9016</v>
      </c>
      <c r="F3641" s="9" t="s">
        <v>164</v>
      </c>
      <c r="G3641" s="9" t="s">
        <v>418</v>
      </c>
      <c r="H3641" s="2" t="s">
        <v>60</v>
      </c>
      <c r="I3641" s="3">
        <v>37202</v>
      </c>
      <c r="J3641" s="9" t="str">
        <f t="shared" ca="1" si="59"/>
        <v>21 ans</v>
      </c>
      <c r="K3641" s="2" t="s">
        <v>262</v>
      </c>
      <c r="L3641" s="2" t="str">
        <f>"1767"</f>
        <v>1767</v>
      </c>
      <c r="M3641" s="2"/>
      <c r="N3641" s="2" t="str">
        <f>"RUE LACHAPELLE"</f>
        <v>RUE LACHAPELLE</v>
      </c>
      <c r="O3641" s="2" t="s">
        <v>14661</v>
      </c>
      <c r="P3641" s="9" t="str">
        <f>VLOOKUP($O3641,'Liste des Villes'!$B$2:$B$1128,1,FALSE)</f>
        <v>Mirabel</v>
      </c>
      <c r="Q3641" s="9" t="str">
        <f>IFERROR($P3641,PROPER(VLOOKUP($O3641,'Villes en erreur'!$A$2:$B$72,2,FALSE)))</f>
        <v>Mirabel</v>
      </c>
      <c r="R3641" s="9" t="s">
        <v>14662</v>
      </c>
      <c r="S3641" s="9" t="str">
        <f>IF(ISBLANK($R3641),"",VLOOKUP($R3641,'Liste des Villes'!$B$2:$H$1128,4,FALSE))</f>
        <v>Laurentides</v>
      </c>
      <c r="T3641" s="2" t="s">
        <v>15872</v>
      </c>
      <c r="U3641" s="2" t="s">
        <v>39</v>
      </c>
      <c r="V3641" s="2" t="s">
        <v>40</v>
      </c>
      <c r="W3641" s="2" t="s">
        <v>15873</v>
      </c>
      <c r="X3641" s="2"/>
      <c r="Y3641" s="2"/>
      <c r="Z3641" s="2"/>
      <c r="AA3641" s="2" t="s">
        <v>708</v>
      </c>
      <c r="AB3641" s="2" t="s">
        <v>14669</v>
      </c>
      <c r="AC3641" s="4" t="s">
        <v>44</v>
      </c>
    </row>
    <row r="3642" spans="1:29" x14ac:dyDescent="0.25">
      <c r="A3642" s="1">
        <v>2752</v>
      </c>
      <c r="B3642" s="17" t="s">
        <v>15874</v>
      </c>
      <c r="C3642" s="2" t="s">
        <v>15875</v>
      </c>
      <c r="D3642" s="15" t="s">
        <v>1350</v>
      </c>
      <c r="E3642" s="9" t="s">
        <v>796</v>
      </c>
      <c r="F3642" s="9" t="s">
        <v>1349</v>
      </c>
      <c r="G3642" s="9" t="s">
        <v>3700</v>
      </c>
      <c r="H3642" s="2" t="s">
        <v>60</v>
      </c>
      <c r="I3642" s="3">
        <v>37140</v>
      </c>
      <c r="J3642" s="9" t="str">
        <f t="shared" ca="1" si="59"/>
        <v>21 ans</v>
      </c>
      <c r="K3642" s="2" t="s">
        <v>156</v>
      </c>
      <c r="L3642" s="2" t="str">
        <f>"1404"</f>
        <v>1404</v>
      </c>
      <c r="M3642" s="2"/>
      <c r="N3642" s="2" t="str">
        <f>"RUE HUBERT"</f>
        <v>RUE HUBERT</v>
      </c>
      <c r="O3642" s="2" t="s">
        <v>14661</v>
      </c>
      <c r="P3642" s="9" t="str">
        <f>VLOOKUP($O3642,'Liste des Villes'!$B$2:$B$1128,1,FALSE)</f>
        <v>Mirabel</v>
      </c>
      <c r="Q3642" s="9" t="str">
        <f>IFERROR($P3642,PROPER(VLOOKUP($O3642,'Villes en erreur'!$A$2:$B$72,2,FALSE)))</f>
        <v>Mirabel</v>
      </c>
      <c r="R3642" s="9" t="s">
        <v>14662</v>
      </c>
      <c r="S3642" s="9" t="str">
        <f>IF(ISBLANK($R3642),"",VLOOKUP($R3642,'Liste des Villes'!$B$2:$H$1128,4,FALSE))</f>
        <v>Laurentides</v>
      </c>
      <c r="T3642" s="2" t="s">
        <v>15876</v>
      </c>
      <c r="U3642" s="2" t="s">
        <v>39</v>
      </c>
      <c r="V3642" s="2" t="s">
        <v>40</v>
      </c>
      <c r="W3642" s="2" t="s">
        <v>15877</v>
      </c>
      <c r="X3642" s="2"/>
      <c r="Y3642" s="2"/>
      <c r="Z3642" s="2"/>
      <c r="AA3642" s="2" t="s">
        <v>708</v>
      </c>
      <c r="AB3642" s="2" t="s">
        <v>376</v>
      </c>
      <c r="AC3642" s="4" t="s">
        <v>44</v>
      </c>
    </row>
    <row r="3643" spans="1:29" x14ac:dyDescent="0.25">
      <c r="A3643" s="1">
        <v>850</v>
      </c>
      <c r="B3643" s="17" t="s">
        <v>15878</v>
      </c>
      <c r="C3643" s="2" t="s">
        <v>2496</v>
      </c>
      <c r="D3643" s="15" t="s">
        <v>2497</v>
      </c>
      <c r="E3643" s="9" t="s">
        <v>2498</v>
      </c>
      <c r="F3643" s="9" t="s">
        <v>2099</v>
      </c>
      <c r="G3643" s="9" t="s">
        <v>743</v>
      </c>
      <c r="H3643" s="2" t="s">
        <v>60</v>
      </c>
      <c r="I3643" s="3">
        <v>37175</v>
      </c>
      <c r="J3643" s="9" t="str">
        <f t="shared" ca="1" si="59"/>
        <v>21 ans</v>
      </c>
      <c r="K3643" s="2" t="s">
        <v>156</v>
      </c>
      <c r="L3643" s="2" t="str">
        <f>"1620"</f>
        <v>1620</v>
      </c>
      <c r="M3643" s="2"/>
      <c r="N3643" s="2" t="str">
        <f>"RUE JOSÉE"</f>
        <v>RUE JOSÉE</v>
      </c>
      <c r="O3643" s="2" t="s">
        <v>14661</v>
      </c>
      <c r="P3643" s="9" t="str">
        <f>VLOOKUP($O3643,'Liste des Villes'!$B$2:$B$1128,1,FALSE)</f>
        <v>Mirabel</v>
      </c>
      <c r="Q3643" s="9" t="str">
        <f>IFERROR($P3643,PROPER(VLOOKUP($O3643,'Villes en erreur'!$A$2:$B$72,2,FALSE)))</f>
        <v>Mirabel</v>
      </c>
      <c r="R3643" s="9" t="s">
        <v>14662</v>
      </c>
      <c r="S3643" s="9" t="str">
        <f>IF(ISBLANK($R3643),"",VLOOKUP($R3643,'Liste des Villes'!$B$2:$H$1128,4,FALSE))</f>
        <v>Laurentides</v>
      </c>
      <c r="T3643" s="2" t="s">
        <v>15879</v>
      </c>
      <c r="U3643" s="2" t="s">
        <v>39</v>
      </c>
      <c r="V3643" s="2" t="s">
        <v>40</v>
      </c>
      <c r="W3643" s="2" t="s">
        <v>15880</v>
      </c>
      <c r="X3643" s="2"/>
      <c r="Y3643" s="2"/>
      <c r="Z3643" s="2"/>
      <c r="AA3643" s="2" t="s">
        <v>708</v>
      </c>
      <c r="AB3643" s="2" t="s">
        <v>14669</v>
      </c>
      <c r="AC3643" s="4" t="s">
        <v>44</v>
      </c>
    </row>
    <row r="3644" spans="1:29" x14ac:dyDescent="0.25">
      <c r="A3644" s="1">
        <v>691</v>
      </c>
      <c r="B3644" s="17" t="s">
        <v>15881</v>
      </c>
      <c r="C3644" s="2" t="s">
        <v>15882</v>
      </c>
      <c r="D3644" s="15" t="s">
        <v>2037</v>
      </c>
      <c r="E3644" s="9" t="s">
        <v>3351</v>
      </c>
      <c r="F3644" s="9" t="s">
        <v>875</v>
      </c>
      <c r="G3644" s="9" t="s">
        <v>743</v>
      </c>
      <c r="H3644" s="2" t="s">
        <v>60</v>
      </c>
      <c r="I3644" s="3">
        <v>37170</v>
      </c>
      <c r="J3644" s="9" t="str">
        <f t="shared" ca="1" si="59"/>
        <v>21 ans</v>
      </c>
      <c r="K3644" s="2" t="s">
        <v>156</v>
      </c>
      <c r="L3644" s="2" t="str">
        <f>"1581"</f>
        <v>1581</v>
      </c>
      <c r="M3644" s="2"/>
      <c r="N3644" s="2" t="str">
        <f>"RUE JOHANNE"</f>
        <v>RUE JOHANNE</v>
      </c>
      <c r="O3644" s="2" t="s">
        <v>14661</v>
      </c>
      <c r="P3644" s="9" t="str">
        <f>VLOOKUP($O3644,'Liste des Villes'!$B$2:$B$1128,1,FALSE)</f>
        <v>Mirabel</v>
      </c>
      <c r="Q3644" s="9" t="str">
        <f>IFERROR($P3644,PROPER(VLOOKUP($O3644,'Villes en erreur'!$A$2:$B$72,2,FALSE)))</f>
        <v>Mirabel</v>
      </c>
      <c r="R3644" s="9" t="s">
        <v>14662</v>
      </c>
      <c r="S3644" s="9" t="str">
        <f>IF(ISBLANK($R3644),"",VLOOKUP($R3644,'Liste des Villes'!$B$2:$H$1128,4,FALSE))</f>
        <v>Laurentides</v>
      </c>
      <c r="T3644" s="2" t="s">
        <v>14952</v>
      </c>
      <c r="U3644" s="2" t="s">
        <v>39</v>
      </c>
      <c r="V3644" s="2" t="s">
        <v>40</v>
      </c>
      <c r="W3644" s="2" t="s">
        <v>15883</v>
      </c>
      <c r="X3644" s="2"/>
      <c r="Y3644" s="2"/>
      <c r="Z3644" s="2"/>
      <c r="AA3644" s="2" t="s">
        <v>708</v>
      </c>
      <c r="AB3644" s="2" t="s">
        <v>376</v>
      </c>
      <c r="AC3644" s="4" t="s">
        <v>44</v>
      </c>
    </row>
    <row r="3645" spans="1:29" x14ac:dyDescent="0.25">
      <c r="A3645" s="1">
        <v>782</v>
      </c>
      <c r="B3645" s="17" t="s">
        <v>15884</v>
      </c>
      <c r="C3645" s="2" t="s">
        <v>8567</v>
      </c>
      <c r="D3645" s="15" t="s">
        <v>1959</v>
      </c>
      <c r="E3645" s="9" t="s">
        <v>389</v>
      </c>
      <c r="F3645" s="9" t="s">
        <v>13064</v>
      </c>
      <c r="G3645" s="9" t="s">
        <v>362</v>
      </c>
      <c r="H3645" s="2" t="s">
        <v>35</v>
      </c>
      <c r="I3645" s="3">
        <v>37147</v>
      </c>
      <c r="J3645" s="9" t="str">
        <f t="shared" ca="1" si="59"/>
        <v>21 ans</v>
      </c>
      <c r="K3645" s="2" t="s">
        <v>156</v>
      </c>
      <c r="L3645" s="2" t="str">
        <f>"1430"</f>
        <v>1430</v>
      </c>
      <c r="M3645" s="2"/>
      <c r="N3645" s="2" t="str">
        <f>"RUE ISAAC-JOGUES"</f>
        <v>RUE ISAAC-JOGUES</v>
      </c>
      <c r="O3645" s="2" t="s">
        <v>14661</v>
      </c>
      <c r="P3645" s="9" t="str">
        <f>VLOOKUP($O3645,'Liste des Villes'!$B$2:$B$1128,1,FALSE)</f>
        <v>Mirabel</v>
      </c>
      <c r="Q3645" s="9" t="str">
        <f>IFERROR($P3645,PROPER(VLOOKUP($O3645,'Villes en erreur'!$A$2:$B$72,2,FALSE)))</f>
        <v>Mirabel</v>
      </c>
      <c r="R3645" s="9" t="s">
        <v>14662</v>
      </c>
      <c r="S3645" s="9" t="str">
        <f>IF(ISBLANK($R3645),"",VLOOKUP($R3645,'Liste des Villes'!$B$2:$H$1128,4,FALSE))</f>
        <v>Laurentides</v>
      </c>
      <c r="T3645" s="2" t="s">
        <v>15885</v>
      </c>
      <c r="U3645" s="2" t="s">
        <v>39</v>
      </c>
      <c r="V3645" s="2" t="s">
        <v>40</v>
      </c>
      <c r="W3645" s="2" t="s">
        <v>15886</v>
      </c>
      <c r="X3645" s="2"/>
      <c r="Y3645" s="2"/>
      <c r="Z3645" s="2"/>
      <c r="AA3645" s="2" t="s">
        <v>708</v>
      </c>
      <c r="AB3645" s="2" t="s">
        <v>376</v>
      </c>
      <c r="AC3645" s="4" t="s">
        <v>44</v>
      </c>
    </row>
    <row r="3646" spans="1:29" x14ac:dyDescent="0.25">
      <c r="A3646" s="1">
        <v>2649</v>
      </c>
      <c r="B3646" s="17" t="s">
        <v>15887</v>
      </c>
      <c r="C3646" s="2" t="s">
        <v>6144</v>
      </c>
      <c r="D3646" s="15" t="s">
        <v>1050</v>
      </c>
      <c r="E3646" s="9" t="s">
        <v>3404</v>
      </c>
      <c r="F3646" s="9" t="s">
        <v>1048</v>
      </c>
      <c r="G3646" s="9" t="s">
        <v>1091</v>
      </c>
      <c r="H3646" s="2" t="s">
        <v>60</v>
      </c>
      <c r="I3646" s="3">
        <v>37210</v>
      </c>
      <c r="J3646" s="9" t="str">
        <f t="shared" ca="1" si="59"/>
        <v>21 ans</v>
      </c>
      <c r="K3646" s="2" t="s">
        <v>262</v>
      </c>
      <c r="L3646" s="2" t="str">
        <f>"1875"</f>
        <v>1875</v>
      </c>
      <c r="M3646" s="2"/>
      <c r="N3646" s="2" t="str">
        <f>"RUE LAJEUNESSE"</f>
        <v>RUE LAJEUNESSE</v>
      </c>
      <c r="O3646" s="2" t="s">
        <v>14661</v>
      </c>
      <c r="P3646" s="9" t="str">
        <f>VLOOKUP($O3646,'Liste des Villes'!$B$2:$B$1128,1,FALSE)</f>
        <v>Mirabel</v>
      </c>
      <c r="Q3646" s="9" t="str">
        <f>IFERROR($P3646,PROPER(VLOOKUP($O3646,'Villes en erreur'!$A$2:$B$72,2,FALSE)))</f>
        <v>Mirabel</v>
      </c>
      <c r="R3646" s="9" t="s">
        <v>14662</v>
      </c>
      <c r="S3646" s="9" t="str">
        <f>IF(ISBLANK($R3646),"",VLOOKUP($R3646,'Liste des Villes'!$B$2:$H$1128,4,FALSE))</f>
        <v>Laurentides</v>
      </c>
      <c r="T3646" s="2" t="s">
        <v>15702</v>
      </c>
      <c r="U3646" s="2" t="s">
        <v>39</v>
      </c>
      <c r="V3646" s="2" t="s">
        <v>40</v>
      </c>
      <c r="W3646" s="2" t="s">
        <v>15703</v>
      </c>
      <c r="X3646" s="2"/>
      <c r="Y3646" s="2"/>
      <c r="Z3646" s="2"/>
      <c r="AA3646" s="2" t="s">
        <v>708</v>
      </c>
      <c r="AB3646" s="2" t="s">
        <v>14669</v>
      </c>
      <c r="AC3646" s="4" t="s">
        <v>44</v>
      </c>
    </row>
    <row r="3647" spans="1:29" x14ac:dyDescent="0.25">
      <c r="A3647" s="1">
        <v>1977</v>
      </c>
      <c r="B3647" s="17" t="s">
        <v>15888</v>
      </c>
      <c r="C3647" s="2" t="s">
        <v>15037</v>
      </c>
      <c r="D3647" s="15" t="s">
        <v>2765</v>
      </c>
      <c r="E3647" s="9" t="s">
        <v>14106</v>
      </c>
      <c r="F3647" s="9" t="s">
        <v>10113</v>
      </c>
      <c r="G3647" s="9" t="s">
        <v>3574</v>
      </c>
      <c r="H3647" s="2" t="s">
        <v>35</v>
      </c>
      <c r="I3647" s="3">
        <v>37121</v>
      </c>
      <c r="J3647" s="9" t="str">
        <f t="shared" ca="1" si="59"/>
        <v>22 ans</v>
      </c>
      <c r="K3647" s="2" t="s">
        <v>156</v>
      </c>
      <c r="L3647" s="2" t="str">
        <f>"1309"</f>
        <v>1309</v>
      </c>
      <c r="M3647" s="2"/>
      <c r="N3647" s="2" t="str">
        <f>"RUE GILLES VILLENEUVE"</f>
        <v>RUE GILLES VILLENEUVE</v>
      </c>
      <c r="O3647" s="2" t="s">
        <v>14661</v>
      </c>
      <c r="P3647" s="9" t="str">
        <f>VLOOKUP($O3647,'Liste des Villes'!$B$2:$B$1128,1,FALSE)</f>
        <v>Mirabel</v>
      </c>
      <c r="Q3647" s="9" t="str">
        <f>IFERROR($P3647,PROPER(VLOOKUP($O3647,'Villes en erreur'!$A$2:$B$72,2,FALSE)))</f>
        <v>Mirabel</v>
      </c>
      <c r="R3647" s="9" t="s">
        <v>14662</v>
      </c>
      <c r="S3647" s="9" t="str">
        <f>IF(ISBLANK($R3647),"",VLOOKUP($R3647,'Liste des Villes'!$B$2:$H$1128,4,FALSE))</f>
        <v>Laurentides</v>
      </c>
      <c r="T3647" s="2" t="s">
        <v>15889</v>
      </c>
      <c r="U3647" s="2" t="s">
        <v>39</v>
      </c>
      <c r="V3647" s="2" t="s">
        <v>40</v>
      </c>
      <c r="W3647" s="2" t="s">
        <v>15890</v>
      </c>
      <c r="X3647" s="2"/>
      <c r="Y3647" s="2"/>
      <c r="Z3647" s="2"/>
      <c r="AA3647" s="2" t="s">
        <v>375</v>
      </c>
      <c r="AB3647" s="2" t="s">
        <v>376</v>
      </c>
      <c r="AC3647" s="4" t="s">
        <v>44</v>
      </c>
    </row>
    <row r="3648" spans="1:29" x14ac:dyDescent="0.25">
      <c r="A3648" s="1">
        <v>1594</v>
      </c>
      <c r="B3648" s="17" t="s">
        <v>15891</v>
      </c>
      <c r="C3648" s="2" t="s">
        <v>15892</v>
      </c>
      <c r="D3648" s="15" t="s">
        <v>11741</v>
      </c>
      <c r="E3648" s="9" t="s">
        <v>120</v>
      </c>
      <c r="F3648" s="9" t="s">
        <v>11740</v>
      </c>
      <c r="G3648" s="9" t="s">
        <v>743</v>
      </c>
      <c r="H3648" s="2" t="s">
        <v>60</v>
      </c>
      <c r="I3648" s="3">
        <v>37174</v>
      </c>
      <c r="J3648" s="9" t="str">
        <f t="shared" ca="1" si="59"/>
        <v>21 ans</v>
      </c>
      <c r="K3648" s="2" t="s">
        <v>156</v>
      </c>
      <c r="L3648" s="2" t="str">
        <f>"1619"</f>
        <v>1619</v>
      </c>
      <c r="M3648" s="2"/>
      <c r="N3648" s="2" t="str">
        <f>"RUE JONES"</f>
        <v>RUE JONES</v>
      </c>
      <c r="O3648" s="2" t="s">
        <v>14661</v>
      </c>
      <c r="P3648" s="9" t="str">
        <f>VLOOKUP($O3648,'Liste des Villes'!$B$2:$B$1128,1,FALSE)</f>
        <v>Mirabel</v>
      </c>
      <c r="Q3648" s="9" t="str">
        <f>IFERROR($P3648,PROPER(VLOOKUP($O3648,'Villes en erreur'!$A$2:$B$72,2,FALSE)))</f>
        <v>Mirabel</v>
      </c>
      <c r="R3648" s="9" t="s">
        <v>14662</v>
      </c>
      <c r="S3648" s="9" t="str">
        <f>IF(ISBLANK($R3648),"",VLOOKUP($R3648,'Liste des Villes'!$B$2:$H$1128,4,FALSE))</f>
        <v>Laurentides</v>
      </c>
      <c r="T3648" s="2" t="s">
        <v>14689</v>
      </c>
      <c r="U3648" s="2" t="s">
        <v>39</v>
      </c>
      <c r="V3648" s="2" t="s">
        <v>40</v>
      </c>
      <c r="W3648" s="2" t="s">
        <v>15893</v>
      </c>
      <c r="X3648" s="2"/>
      <c r="Y3648" s="2"/>
      <c r="Z3648" s="2"/>
      <c r="AA3648" s="2" t="s">
        <v>708</v>
      </c>
      <c r="AB3648" s="2" t="s">
        <v>14669</v>
      </c>
      <c r="AC3648" s="4" t="s">
        <v>44</v>
      </c>
    </row>
    <row r="3649" spans="1:29" x14ac:dyDescent="0.25">
      <c r="A3649" s="1">
        <v>2544</v>
      </c>
      <c r="B3649" s="17" t="s">
        <v>15894</v>
      </c>
      <c r="C3649" s="2" t="s">
        <v>12299</v>
      </c>
      <c r="D3649" s="15" t="s">
        <v>1169</v>
      </c>
      <c r="E3649" s="9" t="s">
        <v>12300</v>
      </c>
      <c r="F3649" s="9" t="s">
        <v>325</v>
      </c>
      <c r="G3649" s="9" t="s">
        <v>3251</v>
      </c>
      <c r="H3649" s="2" t="s">
        <v>60</v>
      </c>
      <c r="I3649" s="3">
        <v>37131</v>
      </c>
      <c r="J3649" s="9" t="str">
        <f t="shared" ca="1" si="59"/>
        <v>21 ans</v>
      </c>
      <c r="K3649" s="2" t="s">
        <v>156</v>
      </c>
      <c r="L3649" s="2" t="str">
        <f>"1357"</f>
        <v>1357</v>
      </c>
      <c r="M3649" s="2"/>
      <c r="N3649" s="2" t="str">
        <f>"RUE HATIN"</f>
        <v>RUE HATIN</v>
      </c>
      <c r="O3649" s="2" t="s">
        <v>14661</v>
      </c>
      <c r="P3649" s="9" t="str">
        <f>VLOOKUP($O3649,'Liste des Villes'!$B$2:$B$1128,1,FALSE)</f>
        <v>Mirabel</v>
      </c>
      <c r="Q3649" s="9" t="str">
        <f>IFERROR($P3649,PROPER(VLOOKUP($O3649,'Villes en erreur'!$A$2:$B$72,2,FALSE)))</f>
        <v>Mirabel</v>
      </c>
      <c r="R3649" s="9" t="s">
        <v>14662</v>
      </c>
      <c r="S3649" s="9" t="str">
        <f>IF(ISBLANK($R3649),"",VLOOKUP($R3649,'Liste des Villes'!$B$2:$H$1128,4,FALSE))</f>
        <v>Laurentides</v>
      </c>
      <c r="T3649" s="2" t="s">
        <v>15446</v>
      </c>
      <c r="U3649" s="2" t="s">
        <v>39</v>
      </c>
      <c r="V3649" s="2" t="s">
        <v>40</v>
      </c>
      <c r="W3649" s="2" t="s">
        <v>15895</v>
      </c>
      <c r="X3649" s="2"/>
      <c r="Y3649" s="2"/>
      <c r="Z3649" s="2"/>
      <c r="AA3649" s="2" t="s">
        <v>375</v>
      </c>
      <c r="AB3649" s="2" t="s">
        <v>376</v>
      </c>
      <c r="AC3649" s="4" t="s">
        <v>44</v>
      </c>
    </row>
    <row r="3650" spans="1:29" x14ac:dyDescent="0.25">
      <c r="A3650" s="1">
        <v>1578</v>
      </c>
      <c r="B3650" s="17" t="s">
        <v>15896</v>
      </c>
      <c r="C3650" s="2" t="s">
        <v>15897</v>
      </c>
      <c r="D3650" s="15" t="s">
        <v>13185</v>
      </c>
      <c r="E3650" s="9" t="s">
        <v>495</v>
      </c>
      <c r="F3650" s="9" t="s">
        <v>4081</v>
      </c>
      <c r="G3650" s="9" t="s">
        <v>202</v>
      </c>
      <c r="H3650" s="2" t="s">
        <v>60</v>
      </c>
      <c r="I3650" s="3">
        <v>37101</v>
      </c>
      <c r="J3650" s="9" t="str">
        <f t="shared" ref="J3650:J3713" ca="1" si="60">_xlfn.CONCAT(INT((TODAY()-$I3650)/365.25)," ans")</f>
        <v>22 ans</v>
      </c>
      <c r="K3650" s="2" t="s">
        <v>156</v>
      </c>
      <c r="L3650" s="2" t="str">
        <f>"1238"</f>
        <v>1238</v>
      </c>
      <c r="M3650" s="2"/>
      <c r="N3650" s="2" t="str">
        <f>"RUE FRANÇOIS ROY"</f>
        <v>RUE FRANÇOIS ROY</v>
      </c>
      <c r="O3650" s="2" t="s">
        <v>14661</v>
      </c>
      <c r="P3650" s="9" t="str">
        <f>VLOOKUP($O3650,'Liste des Villes'!$B$2:$B$1128,1,FALSE)</f>
        <v>Mirabel</v>
      </c>
      <c r="Q3650" s="9" t="str">
        <f>IFERROR($P3650,PROPER(VLOOKUP($O3650,'Villes en erreur'!$A$2:$B$72,2,FALSE)))</f>
        <v>Mirabel</v>
      </c>
      <c r="R3650" s="9" t="s">
        <v>14662</v>
      </c>
      <c r="S3650" s="9" t="str">
        <f>IF(ISBLANK($R3650),"",VLOOKUP($R3650,'Liste des Villes'!$B$2:$H$1128,4,FALSE))</f>
        <v>Laurentides</v>
      </c>
      <c r="T3650" s="2" t="s">
        <v>15898</v>
      </c>
      <c r="U3650" s="2" t="s">
        <v>39</v>
      </c>
      <c r="V3650" s="2" t="s">
        <v>40</v>
      </c>
      <c r="W3650" s="2" t="s">
        <v>15899</v>
      </c>
      <c r="X3650" s="2"/>
      <c r="Y3650" s="2"/>
      <c r="Z3650" s="2"/>
      <c r="AA3650" s="2" t="s">
        <v>375</v>
      </c>
      <c r="AB3650" s="2" t="s">
        <v>376</v>
      </c>
      <c r="AC3650" s="4" t="s">
        <v>44</v>
      </c>
    </row>
    <row r="3651" spans="1:29" x14ac:dyDescent="0.25">
      <c r="A3651" s="1">
        <v>2919</v>
      </c>
      <c r="B3651" s="17" t="s">
        <v>15900</v>
      </c>
      <c r="C3651" s="2" t="s">
        <v>3239</v>
      </c>
      <c r="D3651" s="15" t="s">
        <v>1659</v>
      </c>
      <c r="E3651" s="9" t="s">
        <v>3240</v>
      </c>
      <c r="F3651" s="9" t="s">
        <v>1657</v>
      </c>
      <c r="G3651" s="9" t="s">
        <v>325</v>
      </c>
      <c r="H3651" s="2" t="s">
        <v>35</v>
      </c>
      <c r="I3651" s="3">
        <v>37237</v>
      </c>
      <c r="J3651" s="9" t="str">
        <f t="shared" ca="1" si="60"/>
        <v>21 ans</v>
      </c>
      <c r="K3651" s="2" t="s">
        <v>262</v>
      </c>
      <c r="L3651" s="2" t="str">
        <f>"2028"</f>
        <v>2028</v>
      </c>
      <c r="M3651" s="2"/>
      <c r="N3651" s="2" t="str">
        <f>"RUE LAVIOLETTE"</f>
        <v>RUE LAVIOLETTE</v>
      </c>
      <c r="O3651" s="2" t="s">
        <v>14661</v>
      </c>
      <c r="P3651" s="9" t="str">
        <f>VLOOKUP($O3651,'Liste des Villes'!$B$2:$B$1128,1,FALSE)</f>
        <v>Mirabel</v>
      </c>
      <c r="Q3651" s="9" t="str">
        <f>IFERROR($P3651,PROPER(VLOOKUP($O3651,'Villes en erreur'!$A$2:$B$72,2,FALSE)))</f>
        <v>Mirabel</v>
      </c>
      <c r="R3651" s="9" t="s">
        <v>14662</v>
      </c>
      <c r="S3651" s="9" t="str">
        <f>IF(ISBLANK($R3651),"",VLOOKUP($R3651,'Liste des Villes'!$B$2:$H$1128,4,FALSE))</f>
        <v>Laurentides</v>
      </c>
      <c r="T3651" s="2" t="s">
        <v>15360</v>
      </c>
      <c r="U3651" s="2" t="s">
        <v>39</v>
      </c>
      <c r="V3651" s="2" t="s">
        <v>40</v>
      </c>
      <c r="W3651" s="2" t="s">
        <v>15901</v>
      </c>
      <c r="X3651" s="2"/>
      <c r="Y3651" s="2"/>
      <c r="Z3651" s="2"/>
      <c r="AA3651" s="2" t="s">
        <v>708</v>
      </c>
      <c r="AB3651" s="2" t="s">
        <v>14669</v>
      </c>
      <c r="AC3651" s="4" t="s">
        <v>44</v>
      </c>
    </row>
    <row r="3652" spans="1:29" x14ac:dyDescent="0.25">
      <c r="A3652" s="1">
        <v>1278</v>
      </c>
      <c r="B3652" s="17" t="s">
        <v>15902</v>
      </c>
      <c r="C3652" s="2" t="s">
        <v>15903</v>
      </c>
      <c r="D3652" s="15" t="s">
        <v>7539</v>
      </c>
      <c r="E3652" s="9" t="s">
        <v>4887</v>
      </c>
      <c r="F3652" s="9" t="s">
        <v>1814</v>
      </c>
      <c r="G3652" s="9" t="s">
        <v>3251</v>
      </c>
      <c r="H3652" s="2" t="s">
        <v>60</v>
      </c>
      <c r="I3652" s="3">
        <v>37131</v>
      </c>
      <c r="J3652" s="9" t="str">
        <f t="shared" ca="1" si="60"/>
        <v>21 ans</v>
      </c>
      <c r="K3652" s="2" t="s">
        <v>156</v>
      </c>
      <c r="L3652" s="2" t="str">
        <f>"1353"</f>
        <v>1353</v>
      </c>
      <c r="M3652" s="2"/>
      <c r="N3652" s="2" t="str">
        <f>"RUE HATIN"</f>
        <v>RUE HATIN</v>
      </c>
      <c r="O3652" s="2" t="s">
        <v>14661</v>
      </c>
      <c r="P3652" s="9" t="str">
        <f>VLOOKUP($O3652,'Liste des Villes'!$B$2:$B$1128,1,FALSE)</f>
        <v>Mirabel</v>
      </c>
      <c r="Q3652" s="9" t="str">
        <f>IFERROR($P3652,PROPER(VLOOKUP($O3652,'Villes en erreur'!$A$2:$B$72,2,FALSE)))</f>
        <v>Mirabel</v>
      </c>
      <c r="R3652" s="9" t="s">
        <v>14662</v>
      </c>
      <c r="S3652" s="9" t="str">
        <f>IF(ISBLANK($R3652),"",VLOOKUP($R3652,'Liste des Villes'!$B$2:$H$1128,4,FALSE))</f>
        <v>Laurentides</v>
      </c>
      <c r="T3652" s="2" t="s">
        <v>15904</v>
      </c>
      <c r="U3652" s="2" t="s">
        <v>39</v>
      </c>
      <c r="V3652" s="2" t="s">
        <v>40</v>
      </c>
      <c r="W3652" s="2" t="s">
        <v>15555</v>
      </c>
      <c r="X3652" s="2"/>
      <c r="Y3652" s="2"/>
      <c r="Z3652" s="2"/>
      <c r="AA3652" s="2" t="s">
        <v>375</v>
      </c>
      <c r="AB3652" s="2" t="s">
        <v>376</v>
      </c>
      <c r="AC3652" s="4" t="s">
        <v>44</v>
      </c>
    </row>
    <row r="3653" spans="1:29" x14ac:dyDescent="0.25">
      <c r="A3653" s="1">
        <v>1898</v>
      </c>
      <c r="B3653" s="17" t="s">
        <v>15905</v>
      </c>
      <c r="C3653" s="2" t="s">
        <v>15906</v>
      </c>
      <c r="D3653" s="15" t="s">
        <v>15907</v>
      </c>
      <c r="E3653" s="9" t="s">
        <v>2796</v>
      </c>
      <c r="F3653" s="9" t="s">
        <v>15908</v>
      </c>
      <c r="G3653" s="9" t="s">
        <v>3462</v>
      </c>
      <c r="H3653" s="2" t="s">
        <v>60</v>
      </c>
      <c r="I3653" s="3">
        <v>37205</v>
      </c>
      <c r="J3653" s="9" t="str">
        <f t="shared" ca="1" si="60"/>
        <v>21 ans</v>
      </c>
      <c r="K3653" s="2" t="s">
        <v>262</v>
      </c>
      <c r="L3653" s="2" t="str">
        <f>"1790"</f>
        <v>1790</v>
      </c>
      <c r="M3653" s="2"/>
      <c r="N3653" s="2" t="str">
        <f>"RUE LACROIX"</f>
        <v>RUE LACROIX</v>
      </c>
      <c r="O3653" s="2" t="s">
        <v>14661</v>
      </c>
      <c r="P3653" s="9" t="str">
        <f>VLOOKUP($O3653,'Liste des Villes'!$B$2:$B$1128,1,FALSE)</f>
        <v>Mirabel</v>
      </c>
      <c r="Q3653" s="9" t="str">
        <f>IFERROR($P3653,PROPER(VLOOKUP($O3653,'Villes en erreur'!$A$2:$B$72,2,FALSE)))</f>
        <v>Mirabel</v>
      </c>
      <c r="R3653" s="9" t="s">
        <v>14662</v>
      </c>
      <c r="S3653" s="9" t="str">
        <f>IF(ISBLANK($R3653),"",VLOOKUP($R3653,'Liste des Villes'!$B$2:$H$1128,4,FALSE))</f>
        <v>Laurentides</v>
      </c>
      <c r="T3653" s="2" t="s">
        <v>15909</v>
      </c>
      <c r="U3653" s="2" t="s">
        <v>39</v>
      </c>
      <c r="V3653" s="2" t="s">
        <v>40</v>
      </c>
      <c r="W3653" s="2" t="s">
        <v>15910</v>
      </c>
      <c r="X3653" s="2"/>
      <c r="Y3653" s="2"/>
      <c r="Z3653" s="2"/>
      <c r="AA3653" s="2" t="s">
        <v>708</v>
      </c>
      <c r="AB3653" s="2" t="s">
        <v>14669</v>
      </c>
      <c r="AC3653" s="4" t="s">
        <v>44</v>
      </c>
    </row>
    <row r="3654" spans="1:29" x14ac:dyDescent="0.25">
      <c r="A3654" s="1">
        <v>3751</v>
      </c>
      <c r="B3654" s="17" t="s">
        <v>15911</v>
      </c>
      <c r="C3654" s="2" t="s">
        <v>15912</v>
      </c>
      <c r="D3654" s="15" t="s">
        <v>8414</v>
      </c>
      <c r="E3654" s="9" t="s">
        <v>1032</v>
      </c>
      <c r="F3654" s="9" t="s">
        <v>13743</v>
      </c>
      <c r="G3654" s="9" t="s">
        <v>4210</v>
      </c>
      <c r="H3654" s="2" t="s">
        <v>60</v>
      </c>
      <c r="I3654" s="3">
        <v>37110</v>
      </c>
      <c r="J3654" s="9" t="str">
        <f t="shared" ca="1" si="60"/>
        <v>22 ans</v>
      </c>
      <c r="K3654" s="2" t="s">
        <v>156</v>
      </c>
      <c r="L3654" s="2" t="str">
        <f>"1265"</f>
        <v>1265</v>
      </c>
      <c r="M3654" s="2"/>
      <c r="N3654" s="2" t="str">
        <f>"RUE GAUTHIER"</f>
        <v>RUE GAUTHIER</v>
      </c>
      <c r="O3654" s="2" t="s">
        <v>14661</v>
      </c>
      <c r="P3654" s="9" t="str">
        <f>VLOOKUP($O3654,'Liste des Villes'!$B$2:$B$1128,1,FALSE)</f>
        <v>Mirabel</v>
      </c>
      <c r="Q3654" s="9" t="str">
        <f>IFERROR($P3654,PROPER(VLOOKUP($O3654,'Villes en erreur'!$A$2:$B$72,2,FALSE)))</f>
        <v>Mirabel</v>
      </c>
      <c r="R3654" s="9" t="s">
        <v>14662</v>
      </c>
      <c r="S3654" s="9" t="str">
        <f>IF(ISBLANK($R3654),"",VLOOKUP($R3654,'Liste des Villes'!$B$2:$H$1128,4,FALSE))</f>
        <v>Laurentides</v>
      </c>
      <c r="T3654" s="2" t="s">
        <v>15913</v>
      </c>
      <c r="U3654" s="2" t="s">
        <v>39</v>
      </c>
      <c r="V3654" s="2" t="s">
        <v>40</v>
      </c>
      <c r="W3654" s="2" t="s">
        <v>15914</v>
      </c>
      <c r="X3654" s="2"/>
      <c r="Y3654" s="2"/>
      <c r="Z3654" s="2"/>
      <c r="AA3654" s="2" t="s">
        <v>375</v>
      </c>
      <c r="AB3654" s="2" t="s">
        <v>376</v>
      </c>
      <c r="AC3654" s="4" t="s">
        <v>44</v>
      </c>
    </row>
    <row r="3655" spans="1:29" x14ac:dyDescent="0.25">
      <c r="A3655" s="1">
        <v>409</v>
      </c>
      <c r="B3655" s="17" t="s">
        <v>15915</v>
      </c>
      <c r="C3655" s="2" t="s">
        <v>15916</v>
      </c>
      <c r="D3655" s="15" t="s">
        <v>7582</v>
      </c>
      <c r="E3655" s="9" t="s">
        <v>15917</v>
      </c>
      <c r="F3655" s="9" t="s">
        <v>7581</v>
      </c>
      <c r="G3655" s="9" t="s">
        <v>15918</v>
      </c>
      <c r="H3655" s="2" t="s">
        <v>60</v>
      </c>
      <c r="I3655" s="3">
        <v>37137</v>
      </c>
      <c r="J3655" s="9" t="str">
        <f t="shared" ca="1" si="60"/>
        <v>21 ans</v>
      </c>
      <c r="K3655" s="2" t="s">
        <v>156</v>
      </c>
      <c r="L3655" s="2" t="str">
        <f>"1382"</f>
        <v>1382</v>
      </c>
      <c r="M3655" s="2"/>
      <c r="N3655" s="2" t="str">
        <f>"RUE HERMAN"</f>
        <v>RUE HERMAN</v>
      </c>
      <c r="O3655" s="2" t="s">
        <v>14661</v>
      </c>
      <c r="P3655" s="9" t="str">
        <f>VLOOKUP($O3655,'Liste des Villes'!$B$2:$B$1128,1,FALSE)</f>
        <v>Mirabel</v>
      </c>
      <c r="Q3655" s="9" t="str">
        <f>IFERROR($P3655,PROPER(VLOOKUP($O3655,'Villes en erreur'!$A$2:$B$72,2,FALSE)))</f>
        <v>Mirabel</v>
      </c>
      <c r="R3655" s="9" t="s">
        <v>14662</v>
      </c>
      <c r="S3655" s="9" t="str">
        <f>IF(ISBLANK($R3655),"",VLOOKUP($R3655,'Liste des Villes'!$B$2:$H$1128,4,FALSE))</f>
        <v>Laurentides</v>
      </c>
      <c r="T3655" s="2" t="s">
        <v>15688</v>
      </c>
      <c r="U3655" s="2" t="s">
        <v>39</v>
      </c>
      <c r="V3655" s="2" t="s">
        <v>40</v>
      </c>
      <c r="W3655" s="2" t="s">
        <v>15919</v>
      </c>
      <c r="X3655" s="2"/>
      <c r="Y3655" s="2"/>
      <c r="Z3655" s="2"/>
      <c r="AA3655" s="2" t="s">
        <v>708</v>
      </c>
      <c r="AB3655" s="2" t="s">
        <v>376</v>
      </c>
      <c r="AC3655" s="4" t="s">
        <v>44</v>
      </c>
    </row>
    <row r="3656" spans="1:29" x14ac:dyDescent="0.25">
      <c r="A3656" s="1">
        <v>1380</v>
      </c>
      <c r="B3656" s="17" t="s">
        <v>15920</v>
      </c>
      <c r="C3656" s="2" t="s">
        <v>15921</v>
      </c>
      <c r="D3656" s="15" t="s">
        <v>1489</v>
      </c>
      <c r="E3656" s="9" t="s">
        <v>7305</v>
      </c>
      <c r="F3656" s="9" t="s">
        <v>1175</v>
      </c>
      <c r="G3656" s="9" t="s">
        <v>2217</v>
      </c>
      <c r="H3656" s="2" t="s">
        <v>60</v>
      </c>
      <c r="I3656" s="3">
        <v>37077</v>
      </c>
      <c r="J3656" s="9" t="str">
        <f t="shared" ca="1" si="60"/>
        <v>22 ans</v>
      </c>
      <c r="K3656" s="2" t="s">
        <v>156</v>
      </c>
      <c r="L3656" s="2" t="str">
        <f>"1156"</f>
        <v>1156</v>
      </c>
      <c r="M3656" s="2"/>
      <c r="N3656" s="2" t="str">
        <f>"RUE ERNEST-BOURQUE"</f>
        <v>RUE ERNEST-BOURQUE</v>
      </c>
      <c r="O3656" s="2" t="s">
        <v>14661</v>
      </c>
      <c r="P3656" s="9" t="str">
        <f>VLOOKUP($O3656,'Liste des Villes'!$B$2:$B$1128,1,FALSE)</f>
        <v>Mirabel</v>
      </c>
      <c r="Q3656" s="9" t="str">
        <f>IFERROR($P3656,PROPER(VLOOKUP($O3656,'Villes en erreur'!$A$2:$B$72,2,FALSE)))</f>
        <v>Mirabel</v>
      </c>
      <c r="R3656" s="9" t="s">
        <v>14662</v>
      </c>
      <c r="S3656" s="9" t="str">
        <f>IF(ISBLANK($R3656),"",VLOOKUP($R3656,'Liste des Villes'!$B$2:$H$1128,4,FALSE))</f>
        <v>Laurentides</v>
      </c>
      <c r="T3656" s="2" t="s">
        <v>15922</v>
      </c>
      <c r="U3656" s="2" t="s">
        <v>39</v>
      </c>
      <c r="V3656" s="2" t="s">
        <v>40</v>
      </c>
      <c r="W3656" s="2" t="s">
        <v>15923</v>
      </c>
      <c r="X3656" s="2"/>
      <c r="Y3656" s="2"/>
      <c r="Z3656" s="2"/>
      <c r="AA3656" s="2" t="s">
        <v>375</v>
      </c>
      <c r="AB3656" s="2" t="s">
        <v>376</v>
      </c>
      <c r="AC3656" s="4" t="s">
        <v>44</v>
      </c>
    </row>
    <row r="3657" spans="1:29" x14ac:dyDescent="0.25">
      <c r="A3657" s="1">
        <v>4443</v>
      </c>
      <c r="B3657" s="17" t="s">
        <v>15924</v>
      </c>
      <c r="C3657" s="2" t="s">
        <v>15925</v>
      </c>
      <c r="D3657" s="15" t="s">
        <v>14995</v>
      </c>
      <c r="E3657" s="9" t="s">
        <v>397</v>
      </c>
      <c r="F3657" s="9" t="s">
        <v>3341</v>
      </c>
      <c r="G3657" s="9" t="s">
        <v>3759</v>
      </c>
      <c r="H3657" s="2" t="s">
        <v>60</v>
      </c>
      <c r="I3657" s="3">
        <v>37167</v>
      </c>
      <c r="J3657" s="9" t="str">
        <f t="shared" ca="1" si="60"/>
        <v>21 ans</v>
      </c>
      <c r="K3657" s="2" t="s">
        <v>156</v>
      </c>
      <c r="L3657" s="2" t="str">
        <f>"1559"</f>
        <v>1559</v>
      </c>
      <c r="M3657" s="2"/>
      <c r="N3657" s="2" t="str">
        <f>"RUE JEAN-PAUL-RIOPELLE"</f>
        <v>RUE JEAN-PAUL-RIOPELLE</v>
      </c>
      <c r="O3657" s="2" t="s">
        <v>14661</v>
      </c>
      <c r="P3657" s="9" t="str">
        <f>VLOOKUP($O3657,'Liste des Villes'!$B$2:$B$1128,1,FALSE)</f>
        <v>Mirabel</v>
      </c>
      <c r="Q3657" s="9" t="str">
        <f>IFERROR($P3657,PROPER(VLOOKUP($O3657,'Villes en erreur'!$A$2:$B$72,2,FALSE)))</f>
        <v>Mirabel</v>
      </c>
      <c r="R3657" s="9" t="s">
        <v>14662</v>
      </c>
      <c r="S3657" s="9" t="str">
        <f>IF(ISBLANK($R3657),"",VLOOKUP($R3657,'Liste des Villes'!$B$2:$H$1128,4,FALSE))</f>
        <v>Laurentides</v>
      </c>
      <c r="T3657" s="2" t="s">
        <v>15926</v>
      </c>
      <c r="U3657" s="2" t="s">
        <v>39</v>
      </c>
      <c r="V3657" s="2" t="s">
        <v>40</v>
      </c>
      <c r="W3657" s="2" t="s">
        <v>15927</v>
      </c>
      <c r="X3657" s="2"/>
      <c r="Y3657" s="2"/>
      <c r="Z3657" s="2"/>
      <c r="AA3657" s="2" t="s">
        <v>708</v>
      </c>
      <c r="AB3657" s="2" t="s">
        <v>376</v>
      </c>
      <c r="AC3657" s="4" t="s">
        <v>44</v>
      </c>
    </row>
    <row r="3658" spans="1:29" x14ac:dyDescent="0.25">
      <c r="A3658" s="1">
        <v>394</v>
      </c>
      <c r="B3658" s="17" t="s">
        <v>15928</v>
      </c>
      <c r="C3658" s="2" t="s">
        <v>15929</v>
      </c>
      <c r="D3658" s="15" t="s">
        <v>1252</v>
      </c>
      <c r="E3658" s="9" t="s">
        <v>15930</v>
      </c>
      <c r="F3658" s="9" t="s">
        <v>584</v>
      </c>
      <c r="G3658" s="9" t="s">
        <v>8775</v>
      </c>
      <c r="H3658" s="2" t="s">
        <v>60</v>
      </c>
      <c r="I3658" s="3">
        <v>37221</v>
      </c>
      <c r="J3658" s="9" t="str">
        <f t="shared" ca="1" si="60"/>
        <v>21 ans</v>
      </c>
      <c r="K3658" s="2" t="s">
        <v>262</v>
      </c>
      <c r="L3658" s="2" t="str">
        <f>"1939"</f>
        <v>1939</v>
      </c>
      <c r="M3658" s="2"/>
      <c r="N3658" s="2" t="str">
        <f>"RUE LARIVIÈRE"</f>
        <v>RUE LARIVIÈRE</v>
      </c>
      <c r="O3658" s="2" t="s">
        <v>14661</v>
      </c>
      <c r="P3658" s="9" t="str">
        <f>VLOOKUP($O3658,'Liste des Villes'!$B$2:$B$1128,1,FALSE)</f>
        <v>Mirabel</v>
      </c>
      <c r="Q3658" s="9" t="str">
        <f>IFERROR($P3658,PROPER(VLOOKUP($O3658,'Villes en erreur'!$A$2:$B$72,2,FALSE)))</f>
        <v>Mirabel</v>
      </c>
      <c r="R3658" s="9" t="s">
        <v>14662</v>
      </c>
      <c r="S3658" s="9" t="str">
        <f>IF(ISBLANK($R3658),"",VLOOKUP($R3658,'Liste des Villes'!$B$2:$H$1128,4,FALSE))</f>
        <v>Laurentides</v>
      </c>
      <c r="T3658" s="2" t="s">
        <v>15931</v>
      </c>
      <c r="U3658" s="2" t="s">
        <v>39</v>
      </c>
      <c r="V3658" s="2" t="s">
        <v>40</v>
      </c>
      <c r="W3658" s="2" t="s">
        <v>15932</v>
      </c>
      <c r="X3658" s="2"/>
      <c r="Y3658" s="2"/>
      <c r="Z3658" s="2"/>
      <c r="AA3658" s="2" t="s">
        <v>708</v>
      </c>
      <c r="AB3658" s="2" t="s">
        <v>14669</v>
      </c>
      <c r="AC3658" s="4" t="s">
        <v>44</v>
      </c>
    </row>
    <row r="3659" spans="1:29" x14ac:dyDescent="0.25">
      <c r="A3659" s="1">
        <v>2981</v>
      </c>
      <c r="B3659" s="17" t="s">
        <v>15933</v>
      </c>
      <c r="C3659" s="2" t="s">
        <v>15934</v>
      </c>
      <c r="D3659" s="15" t="s">
        <v>15935</v>
      </c>
      <c r="E3659" s="9" t="s">
        <v>683</v>
      </c>
      <c r="F3659" s="9" t="s">
        <v>623</v>
      </c>
      <c r="G3659" s="9" t="s">
        <v>11838</v>
      </c>
      <c r="H3659" s="2" t="s">
        <v>60</v>
      </c>
      <c r="I3659" s="3">
        <v>37214</v>
      </c>
      <c r="J3659" s="9" t="str">
        <f t="shared" ca="1" si="60"/>
        <v>21 ans</v>
      </c>
      <c r="K3659" s="2" t="s">
        <v>262</v>
      </c>
      <c r="L3659" s="2" t="str">
        <f>"1896"</f>
        <v>1896</v>
      </c>
      <c r="M3659" s="2"/>
      <c r="N3659" s="2" t="str">
        <f>"RUE LAMONTAGNE"</f>
        <v>RUE LAMONTAGNE</v>
      </c>
      <c r="O3659" s="2" t="s">
        <v>14661</v>
      </c>
      <c r="P3659" s="9" t="str">
        <f>VLOOKUP($O3659,'Liste des Villes'!$B$2:$B$1128,1,FALSE)</f>
        <v>Mirabel</v>
      </c>
      <c r="Q3659" s="9" t="str">
        <f>IFERROR($P3659,PROPER(VLOOKUP($O3659,'Villes en erreur'!$A$2:$B$72,2,FALSE)))</f>
        <v>Mirabel</v>
      </c>
      <c r="R3659" s="9" t="s">
        <v>14662</v>
      </c>
      <c r="S3659" s="9" t="str">
        <f>IF(ISBLANK($R3659),"",VLOOKUP($R3659,'Liste des Villes'!$B$2:$H$1128,4,FALSE))</f>
        <v>Laurentides</v>
      </c>
      <c r="T3659" s="2" t="s">
        <v>15936</v>
      </c>
      <c r="U3659" s="2" t="s">
        <v>39</v>
      </c>
      <c r="V3659" s="2" t="s">
        <v>40</v>
      </c>
      <c r="W3659" s="2" t="s">
        <v>15937</v>
      </c>
      <c r="X3659" s="2"/>
      <c r="Y3659" s="2"/>
      <c r="Z3659" s="2"/>
      <c r="AA3659" s="2" t="s">
        <v>708</v>
      </c>
      <c r="AB3659" s="2" t="s">
        <v>14669</v>
      </c>
      <c r="AC3659" s="4" t="s">
        <v>44</v>
      </c>
    </row>
    <row r="3660" spans="1:29" x14ac:dyDescent="0.25">
      <c r="A3660" s="1">
        <v>234</v>
      </c>
      <c r="B3660" s="17" t="s">
        <v>15938</v>
      </c>
      <c r="C3660" s="2" t="s">
        <v>1700</v>
      </c>
      <c r="D3660" s="15" t="s">
        <v>1701</v>
      </c>
      <c r="E3660" s="9" t="s">
        <v>1702</v>
      </c>
      <c r="F3660" s="9" t="s">
        <v>15939</v>
      </c>
      <c r="G3660" s="9" t="s">
        <v>1289</v>
      </c>
      <c r="H3660" s="2" t="s">
        <v>35</v>
      </c>
      <c r="I3660" s="3">
        <v>37081</v>
      </c>
      <c r="J3660" s="9" t="str">
        <f t="shared" ca="1" si="60"/>
        <v>22 ans</v>
      </c>
      <c r="K3660" s="2" t="s">
        <v>156</v>
      </c>
      <c r="L3660" s="2" t="str">
        <f>"1170"</f>
        <v>1170</v>
      </c>
      <c r="M3660" s="2"/>
      <c r="N3660" s="2" t="str">
        <f>"RUE FÉLIX-ANTOINE-SAVARD"</f>
        <v>RUE FÉLIX-ANTOINE-SAVARD</v>
      </c>
      <c r="O3660" s="2" t="s">
        <v>14661</v>
      </c>
      <c r="P3660" s="9" t="str">
        <f>VLOOKUP($O3660,'Liste des Villes'!$B$2:$B$1128,1,FALSE)</f>
        <v>Mirabel</v>
      </c>
      <c r="Q3660" s="9" t="str">
        <f>IFERROR($P3660,PROPER(VLOOKUP($O3660,'Villes en erreur'!$A$2:$B$72,2,FALSE)))</f>
        <v>Mirabel</v>
      </c>
      <c r="R3660" s="9" t="s">
        <v>14662</v>
      </c>
      <c r="S3660" s="9" t="str">
        <f>IF(ISBLANK($R3660),"",VLOOKUP($R3660,'Liste des Villes'!$B$2:$H$1128,4,FALSE))</f>
        <v>Laurentides</v>
      </c>
      <c r="T3660" s="2" t="s">
        <v>15940</v>
      </c>
      <c r="U3660" s="2" t="s">
        <v>39</v>
      </c>
      <c r="V3660" s="2" t="s">
        <v>40</v>
      </c>
      <c r="W3660" s="2" t="s">
        <v>15941</v>
      </c>
      <c r="X3660" s="2"/>
      <c r="Y3660" s="2"/>
      <c r="Z3660" s="2"/>
      <c r="AA3660" s="2" t="s">
        <v>375</v>
      </c>
      <c r="AB3660" s="2" t="s">
        <v>376</v>
      </c>
      <c r="AC3660" s="4" t="s">
        <v>44</v>
      </c>
    </row>
    <row r="3661" spans="1:29" x14ac:dyDescent="0.25">
      <c r="A3661" s="1">
        <v>3321</v>
      </c>
      <c r="B3661" s="17" t="s">
        <v>15942</v>
      </c>
      <c r="C3661" s="2" t="s">
        <v>15034</v>
      </c>
      <c r="D3661" s="15" t="s">
        <v>4479</v>
      </c>
      <c r="E3661" s="9" t="s">
        <v>789</v>
      </c>
      <c r="F3661" s="9" t="s">
        <v>144</v>
      </c>
      <c r="G3661" s="9" t="s">
        <v>14886</v>
      </c>
      <c r="H3661" s="2" t="s">
        <v>35</v>
      </c>
      <c r="I3661" s="3">
        <v>37213</v>
      </c>
      <c r="J3661" s="9" t="str">
        <f t="shared" ca="1" si="60"/>
        <v>21 ans</v>
      </c>
      <c r="K3661" s="2" t="s">
        <v>262</v>
      </c>
      <c r="L3661" s="2" t="str">
        <f>"1891"</f>
        <v>1891</v>
      </c>
      <c r="M3661" s="2"/>
      <c r="N3661" s="2" t="str">
        <f>"RUE LAMONTAGNE"</f>
        <v>RUE LAMONTAGNE</v>
      </c>
      <c r="O3661" s="2" t="s">
        <v>14661</v>
      </c>
      <c r="P3661" s="9" t="str">
        <f>VLOOKUP($O3661,'Liste des Villes'!$B$2:$B$1128,1,FALSE)</f>
        <v>Mirabel</v>
      </c>
      <c r="Q3661" s="9" t="str">
        <f>IFERROR($P3661,PROPER(VLOOKUP($O3661,'Villes en erreur'!$A$2:$B$72,2,FALSE)))</f>
        <v>Mirabel</v>
      </c>
      <c r="R3661" s="9" t="s">
        <v>14662</v>
      </c>
      <c r="S3661" s="9" t="str">
        <f>IF(ISBLANK($R3661),"",VLOOKUP($R3661,'Liste des Villes'!$B$2:$H$1128,4,FALSE))</f>
        <v>Laurentides</v>
      </c>
      <c r="T3661" s="2" t="s">
        <v>15943</v>
      </c>
      <c r="U3661" s="2" t="s">
        <v>39</v>
      </c>
      <c r="V3661" s="2" t="s">
        <v>40</v>
      </c>
      <c r="W3661" s="2" t="s">
        <v>15944</v>
      </c>
      <c r="X3661" s="2"/>
      <c r="Y3661" s="2"/>
      <c r="Z3661" s="2"/>
      <c r="AA3661" s="2" t="s">
        <v>708</v>
      </c>
      <c r="AB3661" s="2" t="s">
        <v>14669</v>
      </c>
      <c r="AC3661" s="4" t="s">
        <v>44</v>
      </c>
    </row>
    <row r="3662" spans="1:29" x14ac:dyDescent="0.25">
      <c r="A3662" s="1">
        <v>3632</v>
      </c>
      <c r="B3662" s="17" t="s">
        <v>15945</v>
      </c>
      <c r="C3662" s="2" t="s">
        <v>15946</v>
      </c>
      <c r="D3662" s="15" t="s">
        <v>14738</v>
      </c>
      <c r="E3662" s="9" t="s">
        <v>2635</v>
      </c>
      <c r="F3662" s="9" t="s">
        <v>33</v>
      </c>
      <c r="G3662" s="9" t="s">
        <v>4760</v>
      </c>
      <c r="H3662" s="2" t="s">
        <v>60</v>
      </c>
      <c r="I3662" s="3">
        <v>37114</v>
      </c>
      <c r="J3662" s="9" t="str">
        <f t="shared" ca="1" si="60"/>
        <v>22 ans</v>
      </c>
      <c r="K3662" s="2" t="s">
        <v>156</v>
      </c>
      <c r="L3662" s="2" t="str">
        <f>"1280"</f>
        <v>1280</v>
      </c>
      <c r="M3662" s="2"/>
      <c r="N3662" s="2" t="str">
        <f>"RUE GEORGES"</f>
        <v>RUE GEORGES</v>
      </c>
      <c r="O3662" s="2" t="s">
        <v>14661</v>
      </c>
      <c r="P3662" s="9" t="str">
        <f>VLOOKUP($O3662,'Liste des Villes'!$B$2:$B$1128,1,FALSE)</f>
        <v>Mirabel</v>
      </c>
      <c r="Q3662" s="9" t="str">
        <f>IFERROR($P3662,PROPER(VLOOKUP($O3662,'Villes en erreur'!$A$2:$B$72,2,FALSE)))</f>
        <v>Mirabel</v>
      </c>
      <c r="R3662" s="9" t="s">
        <v>14662</v>
      </c>
      <c r="S3662" s="9" t="str">
        <f>IF(ISBLANK($R3662),"",VLOOKUP($R3662,'Liste des Villes'!$B$2:$H$1128,4,FALSE))</f>
        <v>Laurentides</v>
      </c>
      <c r="T3662" s="2" t="s">
        <v>15947</v>
      </c>
      <c r="U3662" s="2" t="s">
        <v>39</v>
      </c>
      <c r="V3662" s="2" t="s">
        <v>40</v>
      </c>
      <c r="W3662" s="2" t="s">
        <v>15948</v>
      </c>
      <c r="X3662" s="2"/>
      <c r="Y3662" s="2"/>
      <c r="Z3662" s="2"/>
      <c r="AA3662" s="2" t="s">
        <v>375</v>
      </c>
      <c r="AB3662" s="2" t="s">
        <v>376</v>
      </c>
      <c r="AC3662" s="4" t="s">
        <v>44</v>
      </c>
    </row>
    <row r="3663" spans="1:29" x14ac:dyDescent="0.25">
      <c r="A3663" s="1">
        <v>4063</v>
      </c>
      <c r="B3663" s="17" t="s">
        <v>15949</v>
      </c>
      <c r="C3663" s="2" t="s">
        <v>15950</v>
      </c>
      <c r="D3663" s="15" t="s">
        <v>15951</v>
      </c>
      <c r="E3663" s="9" t="s">
        <v>7623</v>
      </c>
      <c r="F3663" s="9" t="s">
        <v>15952</v>
      </c>
      <c r="G3663" s="9" t="s">
        <v>233</v>
      </c>
      <c r="H3663" s="2" t="s">
        <v>60</v>
      </c>
      <c r="I3663" s="3">
        <v>37215</v>
      </c>
      <c r="J3663" s="9" t="str">
        <f t="shared" ca="1" si="60"/>
        <v>21 ans</v>
      </c>
      <c r="K3663" s="2" t="s">
        <v>262</v>
      </c>
      <c r="L3663" s="2" t="str">
        <f>"1901"</f>
        <v>1901</v>
      </c>
      <c r="M3663" s="2"/>
      <c r="N3663" s="2" t="str">
        <f>"RUE LANGEVIN"</f>
        <v>RUE LANGEVIN</v>
      </c>
      <c r="O3663" s="2" t="s">
        <v>14661</v>
      </c>
      <c r="P3663" s="9" t="str">
        <f>VLOOKUP($O3663,'Liste des Villes'!$B$2:$B$1128,1,FALSE)</f>
        <v>Mirabel</v>
      </c>
      <c r="Q3663" s="9" t="str">
        <f>IFERROR($P3663,PROPER(VLOOKUP($O3663,'Villes en erreur'!$A$2:$B$72,2,FALSE)))</f>
        <v>Mirabel</v>
      </c>
      <c r="R3663" s="9" t="s">
        <v>14662</v>
      </c>
      <c r="S3663" s="9" t="str">
        <f>IF(ISBLANK($R3663),"",VLOOKUP($R3663,'Liste des Villes'!$B$2:$H$1128,4,FALSE))</f>
        <v>Laurentides</v>
      </c>
      <c r="T3663" s="2" t="s">
        <v>14826</v>
      </c>
      <c r="U3663" s="2" t="s">
        <v>39</v>
      </c>
      <c r="V3663" s="2" t="s">
        <v>40</v>
      </c>
      <c r="W3663" s="2" t="s">
        <v>15953</v>
      </c>
      <c r="X3663" s="2"/>
      <c r="Y3663" s="2"/>
      <c r="Z3663" s="2"/>
      <c r="AA3663" s="2" t="s">
        <v>708</v>
      </c>
      <c r="AB3663" s="2" t="s">
        <v>14669</v>
      </c>
      <c r="AC3663" s="4" t="s">
        <v>44</v>
      </c>
    </row>
    <row r="3664" spans="1:29" x14ac:dyDescent="0.25">
      <c r="A3664" s="1">
        <v>3533</v>
      </c>
      <c r="B3664" s="17" t="s">
        <v>15954</v>
      </c>
      <c r="C3664" s="2" t="s">
        <v>15955</v>
      </c>
      <c r="D3664" s="15" t="s">
        <v>15956</v>
      </c>
      <c r="E3664" s="9" t="s">
        <v>186</v>
      </c>
      <c r="F3664" s="9" t="s">
        <v>15957</v>
      </c>
      <c r="G3664" s="9" t="s">
        <v>3700</v>
      </c>
      <c r="H3664" s="2" t="s">
        <v>60</v>
      </c>
      <c r="I3664" s="3">
        <v>37138</v>
      </c>
      <c r="J3664" s="9" t="str">
        <f t="shared" ca="1" si="60"/>
        <v>21 ans</v>
      </c>
      <c r="K3664" s="2" t="s">
        <v>156</v>
      </c>
      <c r="L3664" s="2" t="str">
        <f>"1397"</f>
        <v>1397</v>
      </c>
      <c r="M3664" s="2"/>
      <c r="N3664" s="2" t="str">
        <f>"RUE HOTTE"</f>
        <v>RUE HOTTE</v>
      </c>
      <c r="O3664" s="2" t="s">
        <v>14661</v>
      </c>
      <c r="P3664" s="9" t="str">
        <f>VLOOKUP($O3664,'Liste des Villes'!$B$2:$B$1128,1,FALSE)</f>
        <v>Mirabel</v>
      </c>
      <c r="Q3664" s="9" t="str">
        <f>IFERROR($P3664,PROPER(VLOOKUP($O3664,'Villes en erreur'!$A$2:$B$72,2,FALSE)))</f>
        <v>Mirabel</v>
      </c>
      <c r="R3664" s="9" t="s">
        <v>14662</v>
      </c>
      <c r="S3664" s="9" t="str">
        <f>IF(ISBLANK($R3664),"",VLOOKUP($R3664,'Liste des Villes'!$B$2:$H$1128,4,FALSE))</f>
        <v>Laurentides</v>
      </c>
      <c r="T3664" s="2" t="s">
        <v>15307</v>
      </c>
      <c r="U3664" s="2" t="s">
        <v>39</v>
      </c>
      <c r="V3664" s="2" t="s">
        <v>40</v>
      </c>
      <c r="W3664" s="2" t="s">
        <v>15958</v>
      </c>
      <c r="X3664" s="2"/>
      <c r="Y3664" s="2"/>
      <c r="Z3664" s="2"/>
      <c r="AA3664" s="2" t="s">
        <v>708</v>
      </c>
      <c r="AB3664" s="2" t="s">
        <v>376</v>
      </c>
      <c r="AC3664" s="4" t="s">
        <v>44</v>
      </c>
    </row>
    <row r="3665" spans="1:29" x14ac:dyDescent="0.25">
      <c r="A3665" s="1">
        <v>1164</v>
      </c>
      <c r="B3665" s="17" t="s">
        <v>15959</v>
      </c>
      <c r="C3665" s="2" t="s">
        <v>4526</v>
      </c>
      <c r="D3665" s="15" t="s">
        <v>1489</v>
      </c>
      <c r="E3665" s="9" t="s">
        <v>332</v>
      </c>
      <c r="F3665" s="9" t="s">
        <v>12251</v>
      </c>
      <c r="G3665" s="9" t="s">
        <v>11195</v>
      </c>
      <c r="H3665" s="2" t="s">
        <v>60</v>
      </c>
      <c r="I3665" s="3">
        <v>37092</v>
      </c>
      <c r="J3665" s="9" t="str">
        <f t="shared" ca="1" si="60"/>
        <v>22 ans</v>
      </c>
      <c r="K3665" s="2" t="s">
        <v>156</v>
      </c>
      <c r="L3665" s="2" t="str">
        <f>"1210"</f>
        <v>1210</v>
      </c>
      <c r="M3665" s="2"/>
      <c r="N3665" s="2" t="str">
        <f>"RUE FOURNIER"</f>
        <v>RUE FOURNIER</v>
      </c>
      <c r="O3665" s="2" t="s">
        <v>14661</v>
      </c>
      <c r="P3665" s="9" t="str">
        <f>VLOOKUP($O3665,'Liste des Villes'!$B$2:$B$1128,1,FALSE)</f>
        <v>Mirabel</v>
      </c>
      <c r="Q3665" s="9" t="str">
        <f>IFERROR($P3665,PROPER(VLOOKUP($O3665,'Villes en erreur'!$A$2:$B$72,2,FALSE)))</f>
        <v>Mirabel</v>
      </c>
      <c r="R3665" s="9" t="s">
        <v>14662</v>
      </c>
      <c r="S3665" s="9" t="str">
        <f>IF(ISBLANK($R3665),"",VLOOKUP($R3665,'Liste des Villes'!$B$2:$H$1128,4,FALSE))</f>
        <v>Laurentides</v>
      </c>
      <c r="T3665" s="2" t="s">
        <v>15767</v>
      </c>
      <c r="U3665" s="2" t="s">
        <v>39</v>
      </c>
      <c r="V3665" s="2" t="s">
        <v>40</v>
      </c>
      <c r="W3665" s="2" t="s">
        <v>15960</v>
      </c>
      <c r="X3665" s="2"/>
      <c r="Y3665" s="2"/>
      <c r="Z3665" s="2"/>
      <c r="AA3665" s="2" t="s">
        <v>375</v>
      </c>
      <c r="AB3665" s="2" t="s">
        <v>376</v>
      </c>
      <c r="AC3665" s="4" t="s">
        <v>44</v>
      </c>
    </row>
    <row r="3666" spans="1:29" x14ac:dyDescent="0.25">
      <c r="A3666" s="1">
        <v>4600</v>
      </c>
      <c r="B3666" s="17" t="s">
        <v>15961</v>
      </c>
      <c r="C3666" s="2" t="s">
        <v>15962</v>
      </c>
      <c r="D3666" s="15" t="s">
        <v>867</v>
      </c>
      <c r="E3666" s="9" t="s">
        <v>743</v>
      </c>
      <c r="F3666" s="9" t="s">
        <v>5384</v>
      </c>
      <c r="G3666" s="9" t="s">
        <v>1176</v>
      </c>
      <c r="H3666" s="2" t="s">
        <v>60</v>
      </c>
      <c r="I3666" s="3">
        <v>37192</v>
      </c>
      <c r="J3666" s="9" t="str">
        <f t="shared" ca="1" si="60"/>
        <v>21 ans</v>
      </c>
      <c r="K3666" s="2" t="s">
        <v>262</v>
      </c>
      <c r="L3666" s="2" t="str">
        <f>"1715"</f>
        <v>1715</v>
      </c>
      <c r="M3666" s="2"/>
      <c r="N3666" s="2" t="str">
        <f>"RUE LABELLE"</f>
        <v>RUE LABELLE</v>
      </c>
      <c r="O3666" s="2" t="s">
        <v>14661</v>
      </c>
      <c r="P3666" s="9" t="str">
        <f>VLOOKUP($O3666,'Liste des Villes'!$B$2:$B$1128,1,FALSE)</f>
        <v>Mirabel</v>
      </c>
      <c r="Q3666" s="9" t="str">
        <f>IFERROR($P3666,PROPER(VLOOKUP($O3666,'Villes en erreur'!$A$2:$B$72,2,FALSE)))</f>
        <v>Mirabel</v>
      </c>
      <c r="R3666" s="9" t="s">
        <v>14662</v>
      </c>
      <c r="S3666" s="9" t="str">
        <f>IF(ISBLANK($R3666),"",VLOOKUP($R3666,'Liste des Villes'!$B$2:$H$1128,4,FALSE))</f>
        <v>Laurentides</v>
      </c>
      <c r="T3666" s="2" t="s">
        <v>14901</v>
      </c>
      <c r="U3666" s="2" t="s">
        <v>39</v>
      </c>
      <c r="V3666" s="2" t="s">
        <v>40</v>
      </c>
      <c r="W3666" s="2" t="s">
        <v>15963</v>
      </c>
      <c r="X3666" s="2"/>
      <c r="Y3666" s="2"/>
      <c r="Z3666" s="2"/>
      <c r="AA3666" s="2" t="s">
        <v>708</v>
      </c>
      <c r="AB3666" s="2" t="s">
        <v>14669</v>
      </c>
      <c r="AC3666" s="4" t="s">
        <v>44</v>
      </c>
    </row>
    <row r="3667" spans="1:29" x14ac:dyDescent="0.25">
      <c r="A3667" s="1">
        <v>4408</v>
      </c>
      <c r="B3667" s="17" t="s">
        <v>15964</v>
      </c>
      <c r="C3667" s="2" t="s">
        <v>15965</v>
      </c>
      <c r="D3667" s="15" t="s">
        <v>3907</v>
      </c>
      <c r="E3667" s="9" t="s">
        <v>404</v>
      </c>
      <c r="F3667" s="9" t="s">
        <v>13654</v>
      </c>
      <c r="G3667" s="9" t="s">
        <v>15966</v>
      </c>
      <c r="H3667" s="2" t="s">
        <v>60</v>
      </c>
      <c r="I3667" s="3">
        <v>37084</v>
      </c>
      <c r="J3667" s="9" t="str">
        <f t="shared" ca="1" si="60"/>
        <v>22 ans</v>
      </c>
      <c r="K3667" s="2" t="s">
        <v>156</v>
      </c>
      <c r="L3667" s="2" t="str">
        <f>"1184"</f>
        <v>1184</v>
      </c>
      <c r="M3667" s="2"/>
      <c r="N3667" s="2" t="str">
        <f>"RUE FILION"</f>
        <v>RUE FILION</v>
      </c>
      <c r="O3667" s="2" t="s">
        <v>14661</v>
      </c>
      <c r="P3667" s="9" t="str">
        <f>VLOOKUP($O3667,'Liste des Villes'!$B$2:$B$1128,1,FALSE)</f>
        <v>Mirabel</v>
      </c>
      <c r="Q3667" s="9" t="str">
        <f>IFERROR($P3667,PROPER(VLOOKUP($O3667,'Villes en erreur'!$A$2:$B$72,2,FALSE)))</f>
        <v>Mirabel</v>
      </c>
      <c r="R3667" s="9" t="s">
        <v>14662</v>
      </c>
      <c r="S3667" s="9" t="str">
        <f>IF(ISBLANK($R3667),"",VLOOKUP($R3667,'Liste des Villes'!$B$2:$H$1128,4,FALSE))</f>
        <v>Laurentides</v>
      </c>
      <c r="T3667" s="2" t="s">
        <v>15967</v>
      </c>
      <c r="U3667" s="2" t="s">
        <v>39</v>
      </c>
      <c r="V3667" s="2" t="s">
        <v>40</v>
      </c>
      <c r="W3667" s="2" t="s">
        <v>15968</v>
      </c>
      <c r="X3667" s="2"/>
      <c r="Y3667" s="2"/>
      <c r="Z3667" s="2"/>
      <c r="AA3667" s="2" t="s">
        <v>375</v>
      </c>
      <c r="AB3667" s="2" t="s">
        <v>376</v>
      </c>
      <c r="AC3667" s="4" t="s">
        <v>44</v>
      </c>
    </row>
    <row r="3668" spans="1:29" x14ac:dyDescent="0.25">
      <c r="A3668" s="1">
        <v>2965</v>
      </c>
      <c r="B3668" s="17" t="s">
        <v>15969</v>
      </c>
      <c r="C3668" s="2" t="s">
        <v>15970</v>
      </c>
      <c r="D3668" s="15" t="s">
        <v>9758</v>
      </c>
      <c r="E3668" s="9" t="s">
        <v>610</v>
      </c>
      <c r="F3668" s="9" t="s">
        <v>4932</v>
      </c>
      <c r="G3668" s="9" t="s">
        <v>4903</v>
      </c>
      <c r="H3668" s="2" t="s">
        <v>35</v>
      </c>
      <c r="I3668" s="3">
        <v>37178</v>
      </c>
      <c r="J3668" s="9" t="str">
        <f t="shared" ca="1" si="60"/>
        <v>21 ans</v>
      </c>
      <c r="K3668" s="2" t="s">
        <v>156</v>
      </c>
      <c r="L3668" s="2" t="str">
        <f>"1642"</f>
        <v>1642</v>
      </c>
      <c r="M3668" s="2"/>
      <c r="N3668" s="2" t="str">
        <f>"RUE JOSEPH-BONNET"</f>
        <v>RUE JOSEPH-BONNET</v>
      </c>
      <c r="O3668" s="2" t="s">
        <v>14661</v>
      </c>
      <c r="P3668" s="9" t="str">
        <f>VLOOKUP($O3668,'Liste des Villes'!$B$2:$B$1128,1,FALSE)</f>
        <v>Mirabel</v>
      </c>
      <c r="Q3668" s="9" t="str">
        <f>IFERROR($P3668,PROPER(VLOOKUP($O3668,'Villes en erreur'!$A$2:$B$72,2,FALSE)))</f>
        <v>Mirabel</v>
      </c>
      <c r="R3668" s="9" t="s">
        <v>14662</v>
      </c>
      <c r="S3668" s="9" t="str">
        <f>IF(ISBLANK($R3668),"",VLOOKUP($R3668,'Liste des Villes'!$B$2:$H$1128,4,FALSE))</f>
        <v>Laurentides</v>
      </c>
      <c r="T3668" s="2" t="s">
        <v>15201</v>
      </c>
      <c r="U3668" s="2" t="s">
        <v>39</v>
      </c>
      <c r="V3668" s="2" t="s">
        <v>40</v>
      </c>
      <c r="W3668" s="2" t="s">
        <v>15971</v>
      </c>
      <c r="X3668" s="2"/>
      <c r="Y3668" s="2"/>
      <c r="Z3668" s="2"/>
      <c r="AA3668" s="2" t="s">
        <v>708</v>
      </c>
      <c r="AB3668" s="2" t="s">
        <v>14669</v>
      </c>
      <c r="AC3668" s="4" t="s">
        <v>44</v>
      </c>
    </row>
    <row r="3669" spans="1:29" x14ac:dyDescent="0.25">
      <c r="A3669" s="1">
        <v>2400</v>
      </c>
      <c r="B3669" s="17" t="s">
        <v>15972</v>
      </c>
      <c r="C3669" s="2" t="s">
        <v>15973</v>
      </c>
      <c r="D3669" s="15" t="s">
        <v>8823</v>
      </c>
      <c r="E3669" s="9" t="s">
        <v>9114</v>
      </c>
      <c r="F3669" s="9" t="s">
        <v>56</v>
      </c>
      <c r="G3669" s="9" t="s">
        <v>1091</v>
      </c>
      <c r="H3669" s="2" t="s">
        <v>60</v>
      </c>
      <c r="I3669" s="3">
        <v>37210</v>
      </c>
      <c r="J3669" s="9" t="str">
        <f t="shared" ca="1" si="60"/>
        <v>21 ans</v>
      </c>
      <c r="K3669" s="2" t="s">
        <v>262</v>
      </c>
      <c r="L3669" s="2" t="str">
        <f>"1875"</f>
        <v>1875</v>
      </c>
      <c r="M3669" s="2"/>
      <c r="N3669" s="2" t="str">
        <f>"RUE LAJEUNESSE"</f>
        <v>RUE LAJEUNESSE</v>
      </c>
      <c r="O3669" s="2" t="s">
        <v>14661</v>
      </c>
      <c r="P3669" s="9" t="str">
        <f>VLOOKUP($O3669,'Liste des Villes'!$B$2:$B$1128,1,FALSE)</f>
        <v>Mirabel</v>
      </c>
      <c r="Q3669" s="9" t="str">
        <f>IFERROR($P3669,PROPER(VLOOKUP($O3669,'Villes en erreur'!$A$2:$B$72,2,FALSE)))</f>
        <v>Mirabel</v>
      </c>
      <c r="R3669" s="9" t="s">
        <v>14662</v>
      </c>
      <c r="S3669" s="9" t="str">
        <f>IF(ISBLANK($R3669),"",VLOOKUP($R3669,'Liste des Villes'!$B$2:$H$1128,4,FALSE))</f>
        <v>Laurentides</v>
      </c>
      <c r="T3669" s="2" t="s">
        <v>15974</v>
      </c>
      <c r="U3669" s="2" t="s">
        <v>39</v>
      </c>
      <c r="V3669" s="2" t="s">
        <v>40</v>
      </c>
      <c r="W3669" s="2" t="s">
        <v>15975</v>
      </c>
      <c r="X3669" s="2"/>
      <c r="Y3669" s="2"/>
      <c r="Z3669" s="2"/>
      <c r="AA3669" s="2" t="s">
        <v>708</v>
      </c>
      <c r="AB3669" s="2" t="s">
        <v>14669</v>
      </c>
      <c r="AC3669" s="4" t="s">
        <v>44</v>
      </c>
    </row>
    <row r="3670" spans="1:29" x14ac:dyDescent="0.25">
      <c r="A3670" s="1">
        <v>807</v>
      </c>
      <c r="B3670" s="17" t="s">
        <v>15976</v>
      </c>
      <c r="C3670" s="2" t="s">
        <v>10388</v>
      </c>
      <c r="D3670" s="15" t="s">
        <v>3142</v>
      </c>
      <c r="E3670" s="9" t="s">
        <v>5276</v>
      </c>
      <c r="F3670" s="9" t="s">
        <v>2422</v>
      </c>
      <c r="G3670" s="9" t="s">
        <v>1004</v>
      </c>
      <c r="H3670" s="2" t="s">
        <v>60</v>
      </c>
      <c r="I3670" s="3">
        <v>37106</v>
      </c>
      <c r="J3670" s="9" t="str">
        <f t="shared" ca="1" si="60"/>
        <v>22 ans</v>
      </c>
      <c r="K3670" s="2" t="s">
        <v>156</v>
      </c>
      <c r="L3670" s="2" t="str">
        <f>"1248"</f>
        <v>1248</v>
      </c>
      <c r="M3670" s="2"/>
      <c r="N3670" s="2" t="str">
        <f>"rue Gamble"</f>
        <v>rue Gamble</v>
      </c>
      <c r="O3670" s="2" t="s">
        <v>14661</v>
      </c>
      <c r="P3670" s="9" t="str">
        <f>VLOOKUP($O3670,'Liste des Villes'!$B$2:$B$1128,1,FALSE)</f>
        <v>Mirabel</v>
      </c>
      <c r="Q3670" s="9" t="str">
        <f>IFERROR($P3670,PROPER(VLOOKUP($O3670,'Villes en erreur'!$A$2:$B$72,2,FALSE)))</f>
        <v>Mirabel</v>
      </c>
      <c r="R3670" s="9" t="s">
        <v>14662</v>
      </c>
      <c r="S3670" s="9" t="str">
        <f>IF(ISBLANK($R3670),"",VLOOKUP($R3670,'Liste des Villes'!$B$2:$H$1128,4,FALSE))</f>
        <v>Laurentides</v>
      </c>
      <c r="T3670" s="2" t="s">
        <v>14961</v>
      </c>
      <c r="U3670" s="2" t="s">
        <v>39</v>
      </c>
      <c r="V3670" s="2" t="s">
        <v>40</v>
      </c>
      <c r="W3670" s="2" t="s">
        <v>15977</v>
      </c>
      <c r="X3670" s="2"/>
      <c r="Y3670" s="2"/>
      <c r="Z3670" s="2"/>
      <c r="AA3670" s="2" t="s">
        <v>375</v>
      </c>
      <c r="AB3670" s="2" t="s">
        <v>376</v>
      </c>
      <c r="AC3670" s="4" t="s">
        <v>44</v>
      </c>
    </row>
    <row r="3671" spans="1:29" x14ac:dyDescent="0.25">
      <c r="A3671" s="1">
        <v>1359</v>
      </c>
      <c r="B3671" s="17" t="s">
        <v>15978</v>
      </c>
      <c r="C3671" s="2" t="s">
        <v>15979</v>
      </c>
      <c r="D3671" s="15" t="s">
        <v>8393</v>
      </c>
      <c r="E3671" s="9" t="s">
        <v>1490</v>
      </c>
      <c r="F3671" s="9" t="s">
        <v>100</v>
      </c>
      <c r="G3671" s="9" t="s">
        <v>14111</v>
      </c>
      <c r="H3671" s="2" t="s">
        <v>35</v>
      </c>
      <c r="I3671" s="3">
        <v>37148</v>
      </c>
      <c r="J3671" s="9" t="str">
        <f t="shared" ca="1" si="60"/>
        <v>21 ans</v>
      </c>
      <c r="K3671" s="2" t="s">
        <v>156</v>
      </c>
      <c r="L3671" s="2" t="str">
        <f>"1441"</f>
        <v>1441</v>
      </c>
      <c r="M3671" s="2"/>
      <c r="N3671" s="2" t="str">
        <f>"RUE J A BOMBARDIER"</f>
        <v>RUE J A BOMBARDIER</v>
      </c>
      <c r="O3671" s="2" t="s">
        <v>14661</v>
      </c>
      <c r="P3671" s="9" t="str">
        <f>VLOOKUP($O3671,'Liste des Villes'!$B$2:$B$1128,1,FALSE)</f>
        <v>Mirabel</v>
      </c>
      <c r="Q3671" s="9" t="str">
        <f>IFERROR($P3671,PROPER(VLOOKUP($O3671,'Villes en erreur'!$A$2:$B$72,2,FALSE)))</f>
        <v>Mirabel</v>
      </c>
      <c r="R3671" s="9" t="s">
        <v>14662</v>
      </c>
      <c r="S3671" s="9" t="str">
        <f>IF(ISBLANK($R3671),"",VLOOKUP($R3671,'Liste des Villes'!$B$2:$H$1128,4,FALSE))</f>
        <v>Laurentides</v>
      </c>
      <c r="T3671" s="2" t="s">
        <v>15980</v>
      </c>
      <c r="U3671" s="2" t="s">
        <v>39</v>
      </c>
      <c r="V3671" s="2" t="s">
        <v>40</v>
      </c>
      <c r="W3671" s="2" t="s">
        <v>15981</v>
      </c>
      <c r="X3671" s="2"/>
      <c r="Y3671" s="2"/>
      <c r="Z3671" s="2"/>
      <c r="AA3671" s="2" t="s">
        <v>708</v>
      </c>
      <c r="AB3671" s="2" t="s">
        <v>376</v>
      </c>
      <c r="AC3671" s="4" t="s">
        <v>44</v>
      </c>
    </row>
    <row r="3672" spans="1:29" x14ac:dyDescent="0.25">
      <c r="A3672" s="1">
        <v>751</v>
      </c>
      <c r="B3672" s="17" t="s">
        <v>15982</v>
      </c>
      <c r="C3672" s="2" t="s">
        <v>15983</v>
      </c>
      <c r="D3672" s="15" t="s">
        <v>304</v>
      </c>
      <c r="E3672" s="9" t="s">
        <v>15984</v>
      </c>
      <c r="F3672" s="9" t="s">
        <v>2181</v>
      </c>
      <c r="G3672" s="9" t="s">
        <v>12122</v>
      </c>
      <c r="H3672" s="2" t="s">
        <v>35</v>
      </c>
      <c r="I3672" s="3">
        <v>37089</v>
      </c>
      <c r="J3672" s="9" t="str">
        <f t="shared" ca="1" si="60"/>
        <v>22 ans</v>
      </c>
      <c r="K3672" s="2" t="s">
        <v>156</v>
      </c>
      <c r="L3672" s="2" t="str">
        <f>"1203"</f>
        <v>1203</v>
      </c>
      <c r="M3672" s="2"/>
      <c r="N3672" s="2" t="str">
        <f>"RUE FOURNEL"</f>
        <v>RUE FOURNEL</v>
      </c>
      <c r="O3672" s="2" t="s">
        <v>14661</v>
      </c>
      <c r="P3672" s="9" t="str">
        <f>VLOOKUP($O3672,'Liste des Villes'!$B$2:$B$1128,1,FALSE)</f>
        <v>Mirabel</v>
      </c>
      <c r="Q3672" s="9" t="str">
        <f>IFERROR($P3672,PROPER(VLOOKUP($O3672,'Villes en erreur'!$A$2:$B$72,2,FALSE)))</f>
        <v>Mirabel</v>
      </c>
      <c r="R3672" s="9" t="s">
        <v>14662</v>
      </c>
      <c r="S3672" s="9" t="str">
        <f>IF(ISBLANK($R3672),"",VLOOKUP($R3672,'Liste des Villes'!$B$2:$H$1128,4,FALSE))</f>
        <v>Laurentides</v>
      </c>
      <c r="T3672" s="2" t="s">
        <v>15784</v>
      </c>
      <c r="U3672" s="2" t="s">
        <v>39</v>
      </c>
      <c r="V3672" s="2" t="s">
        <v>40</v>
      </c>
      <c r="W3672" s="2" t="s">
        <v>15985</v>
      </c>
      <c r="X3672" s="2"/>
      <c r="Y3672" s="2"/>
      <c r="Z3672" s="2"/>
      <c r="AA3672" s="2" t="s">
        <v>375</v>
      </c>
      <c r="AB3672" s="2" t="s">
        <v>376</v>
      </c>
      <c r="AC3672" s="4" t="s">
        <v>44</v>
      </c>
    </row>
    <row r="3673" spans="1:29" x14ac:dyDescent="0.25">
      <c r="A3673" s="1">
        <v>2023</v>
      </c>
      <c r="B3673" s="17" t="s">
        <v>15986</v>
      </c>
      <c r="C3673" s="2" t="s">
        <v>3136</v>
      </c>
      <c r="D3673" s="15" t="s">
        <v>944</v>
      </c>
      <c r="E3673" s="9" t="s">
        <v>233</v>
      </c>
      <c r="F3673" s="9" t="s">
        <v>5986</v>
      </c>
      <c r="G3673" s="9" t="s">
        <v>5476</v>
      </c>
      <c r="H3673" s="2" t="s">
        <v>35</v>
      </c>
      <c r="I3673" s="3">
        <v>37135</v>
      </c>
      <c r="J3673" s="9" t="str">
        <f t="shared" ca="1" si="60"/>
        <v>21 ans</v>
      </c>
      <c r="K3673" s="2" t="s">
        <v>156</v>
      </c>
      <c r="L3673" s="2" t="str">
        <f>"1370"</f>
        <v>1370</v>
      </c>
      <c r="M3673" s="2"/>
      <c r="N3673" s="2" t="str">
        <f>"RUE HENRI-JULIEN"</f>
        <v>RUE HENRI-JULIEN</v>
      </c>
      <c r="O3673" s="2" t="s">
        <v>14661</v>
      </c>
      <c r="P3673" s="9" t="str">
        <f>VLOOKUP($O3673,'Liste des Villes'!$B$2:$B$1128,1,FALSE)</f>
        <v>Mirabel</v>
      </c>
      <c r="Q3673" s="9" t="str">
        <f>IFERROR($P3673,PROPER(VLOOKUP($O3673,'Villes en erreur'!$A$2:$B$72,2,FALSE)))</f>
        <v>Mirabel</v>
      </c>
      <c r="R3673" s="9" t="s">
        <v>14662</v>
      </c>
      <c r="S3673" s="9" t="str">
        <f>IF(ISBLANK($R3673),"",VLOOKUP($R3673,'Liste des Villes'!$B$2:$H$1128,4,FALSE))</f>
        <v>Laurentides</v>
      </c>
      <c r="T3673" s="2" t="s">
        <v>15493</v>
      </c>
      <c r="U3673" s="2" t="s">
        <v>39</v>
      </c>
      <c r="V3673" s="2" t="s">
        <v>40</v>
      </c>
      <c r="W3673" s="2" t="s">
        <v>15987</v>
      </c>
      <c r="X3673" s="2"/>
      <c r="Y3673" s="2"/>
      <c r="Z3673" s="2"/>
      <c r="AA3673" s="2" t="s">
        <v>15412</v>
      </c>
      <c r="AB3673" s="2" t="s">
        <v>376</v>
      </c>
      <c r="AC3673" s="4" t="s">
        <v>44</v>
      </c>
    </row>
    <row r="3674" spans="1:29" x14ac:dyDescent="0.25">
      <c r="A3674" s="1">
        <v>2121</v>
      </c>
      <c r="B3674" s="17" t="s">
        <v>15988</v>
      </c>
      <c r="C3674" s="2" t="s">
        <v>6409</v>
      </c>
      <c r="D3674" s="15" t="s">
        <v>272</v>
      </c>
      <c r="E3674" s="9" t="s">
        <v>6410</v>
      </c>
      <c r="F3674" s="9" t="s">
        <v>6411</v>
      </c>
      <c r="G3674" s="9" t="s">
        <v>15205</v>
      </c>
      <c r="H3674" s="2" t="s">
        <v>60</v>
      </c>
      <c r="I3674" s="3">
        <v>37089</v>
      </c>
      <c r="J3674" s="9" t="str">
        <f t="shared" ca="1" si="60"/>
        <v>22 ans</v>
      </c>
      <c r="K3674" s="2" t="s">
        <v>156</v>
      </c>
      <c r="L3674" s="2" t="str">
        <f>"1201"</f>
        <v>1201</v>
      </c>
      <c r="M3674" s="2"/>
      <c r="N3674" s="2" t="str">
        <f>"RUE FORTIER"</f>
        <v>RUE FORTIER</v>
      </c>
      <c r="O3674" s="2" t="s">
        <v>14661</v>
      </c>
      <c r="P3674" s="9" t="str">
        <f>VLOOKUP($O3674,'Liste des Villes'!$B$2:$B$1128,1,FALSE)</f>
        <v>Mirabel</v>
      </c>
      <c r="Q3674" s="9" t="str">
        <f>IFERROR($P3674,PROPER(VLOOKUP($O3674,'Villes en erreur'!$A$2:$B$72,2,FALSE)))</f>
        <v>Mirabel</v>
      </c>
      <c r="R3674" s="9" t="s">
        <v>14662</v>
      </c>
      <c r="S3674" s="9" t="str">
        <f>IF(ISBLANK($R3674),"",VLOOKUP($R3674,'Liste des Villes'!$B$2:$H$1128,4,FALSE))</f>
        <v>Laurentides</v>
      </c>
      <c r="T3674" s="2" t="s">
        <v>15784</v>
      </c>
      <c r="U3674" s="2" t="s">
        <v>39</v>
      </c>
      <c r="V3674" s="2" t="s">
        <v>40</v>
      </c>
      <c r="W3674" s="2" t="s">
        <v>15989</v>
      </c>
      <c r="X3674" s="2"/>
      <c r="Y3674" s="2"/>
      <c r="Z3674" s="2"/>
      <c r="AA3674" s="2" t="s">
        <v>375</v>
      </c>
      <c r="AB3674" s="2" t="s">
        <v>376</v>
      </c>
      <c r="AC3674" s="4" t="s">
        <v>44</v>
      </c>
    </row>
    <row r="3675" spans="1:29" x14ac:dyDescent="0.25">
      <c r="A3675" s="1">
        <v>385</v>
      </c>
      <c r="B3675" s="17" t="s">
        <v>15990</v>
      </c>
      <c r="C3675" s="2" t="s">
        <v>15991</v>
      </c>
      <c r="D3675" s="15" t="s">
        <v>5866</v>
      </c>
      <c r="E3675" s="9" t="s">
        <v>577</v>
      </c>
      <c r="F3675" s="9" t="s">
        <v>5864</v>
      </c>
      <c r="G3675" s="9" t="s">
        <v>8407</v>
      </c>
      <c r="H3675" s="2" t="s">
        <v>35</v>
      </c>
      <c r="I3675" s="3">
        <v>37084</v>
      </c>
      <c r="J3675" s="9" t="str">
        <f t="shared" ca="1" si="60"/>
        <v>22 ans</v>
      </c>
      <c r="K3675" s="2" t="s">
        <v>156</v>
      </c>
      <c r="L3675" s="2" t="str">
        <f>"1181"</f>
        <v>1181</v>
      </c>
      <c r="M3675" s="2"/>
      <c r="N3675" s="2" t="str">
        <f>"RUE FERNAND-CASAVANT"</f>
        <v>RUE FERNAND-CASAVANT</v>
      </c>
      <c r="O3675" s="2" t="s">
        <v>14661</v>
      </c>
      <c r="P3675" s="9" t="str">
        <f>VLOOKUP($O3675,'Liste des Villes'!$B$2:$B$1128,1,FALSE)</f>
        <v>Mirabel</v>
      </c>
      <c r="Q3675" s="9" t="str">
        <f>IFERROR($P3675,PROPER(VLOOKUP($O3675,'Villes en erreur'!$A$2:$B$72,2,FALSE)))</f>
        <v>Mirabel</v>
      </c>
      <c r="R3675" s="9" t="s">
        <v>14662</v>
      </c>
      <c r="S3675" s="9" t="str">
        <f>IF(ISBLANK($R3675),"",VLOOKUP($R3675,'Liste des Villes'!$B$2:$H$1128,4,FALSE))</f>
        <v>Laurentides</v>
      </c>
      <c r="T3675" s="2" t="s">
        <v>15992</v>
      </c>
      <c r="U3675" s="2" t="s">
        <v>39</v>
      </c>
      <c r="V3675" s="2" t="s">
        <v>40</v>
      </c>
      <c r="W3675" s="2" t="s">
        <v>15993</v>
      </c>
      <c r="X3675" s="2"/>
      <c r="Y3675" s="2"/>
      <c r="Z3675" s="2"/>
      <c r="AA3675" s="2" t="s">
        <v>375</v>
      </c>
      <c r="AB3675" s="2" t="s">
        <v>376</v>
      </c>
      <c r="AC3675" s="4" t="s">
        <v>44</v>
      </c>
    </row>
    <row r="3676" spans="1:29" x14ac:dyDescent="0.25">
      <c r="A3676" s="1">
        <v>4425</v>
      </c>
      <c r="B3676" s="17" t="s">
        <v>15994</v>
      </c>
      <c r="C3676" s="2" t="s">
        <v>3640</v>
      </c>
      <c r="D3676" s="15" t="s">
        <v>3641</v>
      </c>
      <c r="E3676" s="9" t="s">
        <v>2086</v>
      </c>
      <c r="F3676" s="9" t="s">
        <v>2087</v>
      </c>
      <c r="G3676" s="9" t="s">
        <v>10959</v>
      </c>
      <c r="H3676" s="2" t="s">
        <v>35</v>
      </c>
      <c r="I3676" s="3">
        <v>37225</v>
      </c>
      <c r="J3676" s="9" t="str">
        <f t="shared" ca="1" si="60"/>
        <v>21 ans</v>
      </c>
      <c r="K3676" s="2" t="s">
        <v>262</v>
      </c>
      <c r="L3676" s="2" t="str">
        <f>"1977"</f>
        <v>1977</v>
      </c>
      <c r="M3676" s="2"/>
      <c r="N3676" s="2" t="str">
        <f>"RUE LAURENT"</f>
        <v>RUE LAURENT</v>
      </c>
      <c r="O3676" s="2" t="s">
        <v>14661</v>
      </c>
      <c r="P3676" s="9" t="str">
        <f>VLOOKUP($O3676,'Liste des Villes'!$B$2:$B$1128,1,FALSE)</f>
        <v>Mirabel</v>
      </c>
      <c r="Q3676" s="9" t="str">
        <f>IFERROR($P3676,PROPER(VLOOKUP($O3676,'Villes en erreur'!$A$2:$B$72,2,FALSE)))</f>
        <v>Mirabel</v>
      </c>
      <c r="R3676" s="9" t="s">
        <v>14662</v>
      </c>
      <c r="S3676" s="9" t="str">
        <f>IF(ISBLANK($R3676),"",VLOOKUP($R3676,'Liste des Villes'!$B$2:$H$1128,4,FALSE))</f>
        <v>Laurentides</v>
      </c>
      <c r="T3676" s="2" t="s">
        <v>14890</v>
      </c>
      <c r="U3676" s="2" t="s">
        <v>39</v>
      </c>
      <c r="V3676" s="2" t="s">
        <v>40</v>
      </c>
      <c r="W3676" s="2" t="s">
        <v>15995</v>
      </c>
      <c r="X3676" s="2"/>
      <c r="Y3676" s="2"/>
      <c r="Z3676" s="2"/>
      <c r="AA3676" s="2" t="s">
        <v>708</v>
      </c>
      <c r="AB3676" s="2" t="s">
        <v>14669</v>
      </c>
      <c r="AC3676" s="4" t="s">
        <v>44</v>
      </c>
    </row>
    <row r="3677" spans="1:29" x14ac:dyDescent="0.25">
      <c r="A3677" s="1">
        <v>2104</v>
      </c>
      <c r="B3677" s="17" t="s">
        <v>15996</v>
      </c>
      <c r="C3677" s="2" t="s">
        <v>11430</v>
      </c>
      <c r="D3677" s="15" t="s">
        <v>4066</v>
      </c>
      <c r="E3677" s="9" t="s">
        <v>101</v>
      </c>
      <c r="F3677" s="9" t="s">
        <v>11017</v>
      </c>
      <c r="G3677" s="9" t="s">
        <v>4243</v>
      </c>
      <c r="H3677" s="2" t="s">
        <v>60</v>
      </c>
      <c r="I3677" s="3">
        <v>37164</v>
      </c>
      <c r="J3677" s="9" t="str">
        <f t="shared" ca="1" si="60"/>
        <v>21 ans</v>
      </c>
      <c r="K3677" s="2" t="s">
        <v>156</v>
      </c>
      <c r="L3677" s="2" t="str">
        <f>"1537"</f>
        <v>1537</v>
      </c>
      <c r="M3677" s="2"/>
      <c r="N3677" s="2" t="str">
        <f>"RUE JEAN-FRANÇOIS"</f>
        <v>RUE JEAN-FRANÇOIS</v>
      </c>
      <c r="O3677" s="2" t="s">
        <v>14661</v>
      </c>
      <c r="P3677" s="9" t="str">
        <f>VLOOKUP($O3677,'Liste des Villes'!$B$2:$B$1128,1,FALSE)</f>
        <v>Mirabel</v>
      </c>
      <c r="Q3677" s="9" t="str">
        <f>IFERROR($P3677,PROPER(VLOOKUP($O3677,'Villes en erreur'!$A$2:$B$72,2,FALSE)))</f>
        <v>Mirabel</v>
      </c>
      <c r="R3677" s="9" t="s">
        <v>14662</v>
      </c>
      <c r="S3677" s="9" t="str">
        <f>IF(ISBLANK($R3677),"",VLOOKUP($R3677,'Liste des Villes'!$B$2:$H$1128,4,FALSE))</f>
        <v>Laurentides</v>
      </c>
      <c r="T3677" s="2" t="s">
        <v>14894</v>
      </c>
      <c r="U3677" s="2" t="s">
        <v>39</v>
      </c>
      <c r="V3677" s="2" t="s">
        <v>40</v>
      </c>
      <c r="W3677" s="2" t="s">
        <v>15997</v>
      </c>
      <c r="X3677" s="2"/>
      <c r="Y3677" s="2"/>
      <c r="Z3677" s="2"/>
      <c r="AA3677" s="2" t="s">
        <v>708</v>
      </c>
      <c r="AB3677" s="2" t="s">
        <v>376</v>
      </c>
      <c r="AC3677" s="4" t="s">
        <v>44</v>
      </c>
    </row>
    <row r="3678" spans="1:29" x14ac:dyDescent="0.25">
      <c r="A3678" s="1">
        <v>3421</v>
      </c>
      <c r="B3678" s="17" t="s">
        <v>15998</v>
      </c>
      <c r="C3678" s="2" t="s">
        <v>4483</v>
      </c>
      <c r="D3678" s="15" t="s">
        <v>3341</v>
      </c>
      <c r="E3678" s="9" t="s">
        <v>4484</v>
      </c>
      <c r="F3678" s="9" t="s">
        <v>3340</v>
      </c>
      <c r="G3678" s="9" t="s">
        <v>13515</v>
      </c>
      <c r="H3678" s="2" t="s">
        <v>60</v>
      </c>
      <c r="I3678" s="3">
        <v>37109</v>
      </c>
      <c r="J3678" s="9" t="str">
        <f t="shared" ca="1" si="60"/>
        <v>22 ans</v>
      </c>
      <c r="K3678" s="2" t="s">
        <v>156</v>
      </c>
      <c r="L3678" s="2" t="str">
        <f>"1259"</f>
        <v>1259</v>
      </c>
      <c r="M3678" s="2"/>
      <c r="N3678" s="2" t="str">
        <f>"RUE GAUDREAU"</f>
        <v>RUE GAUDREAU</v>
      </c>
      <c r="O3678" s="2" t="s">
        <v>14661</v>
      </c>
      <c r="P3678" s="9" t="str">
        <f>VLOOKUP($O3678,'Liste des Villes'!$B$2:$B$1128,1,FALSE)</f>
        <v>Mirabel</v>
      </c>
      <c r="Q3678" s="9" t="str">
        <f>IFERROR($P3678,PROPER(VLOOKUP($O3678,'Villes en erreur'!$A$2:$B$72,2,FALSE)))</f>
        <v>Mirabel</v>
      </c>
      <c r="R3678" s="9" t="s">
        <v>14662</v>
      </c>
      <c r="S3678" s="9" t="str">
        <f>IF(ISBLANK($R3678),"",VLOOKUP($R3678,'Liste des Villes'!$B$2:$H$1128,4,FALSE))</f>
        <v>Laurentides</v>
      </c>
      <c r="T3678" s="2" t="s">
        <v>15999</v>
      </c>
      <c r="U3678" s="2" t="s">
        <v>39</v>
      </c>
      <c r="V3678" s="2" t="s">
        <v>40</v>
      </c>
      <c r="W3678" s="2" t="s">
        <v>16000</v>
      </c>
      <c r="X3678" s="2"/>
      <c r="Y3678" s="2"/>
      <c r="Z3678" s="2"/>
      <c r="AA3678" s="2" t="s">
        <v>375</v>
      </c>
      <c r="AB3678" s="2" t="s">
        <v>376</v>
      </c>
      <c r="AC3678" s="4" t="s">
        <v>44</v>
      </c>
    </row>
    <row r="3679" spans="1:29" x14ac:dyDescent="0.25">
      <c r="A3679" s="1">
        <v>2975</v>
      </c>
      <c r="B3679" s="17" t="s">
        <v>16001</v>
      </c>
      <c r="C3679" s="2" t="s">
        <v>16002</v>
      </c>
      <c r="D3679" s="15" t="s">
        <v>934</v>
      </c>
      <c r="E3679" s="9" t="s">
        <v>204</v>
      </c>
      <c r="F3679" s="9" t="s">
        <v>936</v>
      </c>
      <c r="G3679" s="9" t="s">
        <v>2936</v>
      </c>
      <c r="H3679" s="2" t="s">
        <v>35</v>
      </c>
      <c r="I3679" s="3">
        <v>37227</v>
      </c>
      <c r="J3679" s="9" t="str">
        <f t="shared" ca="1" si="60"/>
        <v>21 ans</v>
      </c>
      <c r="K3679" s="2" t="s">
        <v>262</v>
      </c>
      <c r="L3679" s="2" t="str">
        <f>"1978"</f>
        <v>1978</v>
      </c>
      <c r="M3679" s="2"/>
      <c r="N3679" s="2" t="str">
        <f>"RUE LAURIER"</f>
        <v>RUE LAURIER</v>
      </c>
      <c r="O3679" s="2" t="s">
        <v>14661</v>
      </c>
      <c r="P3679" s="9" t="str">
        <f>VLOOKUP($O3679,'Liste des Villes'!$B$2:$B$1128,1,FALSE)</f>
        <v>Mirabel</v>
      </c>
      <c r="Q3679" s="9" t="str">
        <f>IFERROR($P3679,PROPER(VLOOKUP($O3679,'Villes en erreur'!$A$2:$B$72,2,FALSE)))</f>
        <v>Mirabel</v>
      </c>
      <c r="R3679" s="9" t="s">
        <v>14662</v>
      </c>
      <c r="S3679" s="9" t="str">
        <f>IF(ISBLANK($R3679),"",VLOOKUP($R3679,'Liste des Villes'!$B$2:$H$1128,4,FALSE))</f>
        <v>Laurentides</v>
      </c>
      <c r="T3679" s="2" t="s">
        <v>14890</v>
      </c>
      <c r="U3679" s="2" t="s">
        <v>39</v>
      </c>
      <c r="V3679" s="2" t="s">
        <v>40</v>
      </c>
      <c r="W3679" s="2" t="s">
        <v>16003</v>
      </c>
      <c r="X3679" s="2"/>
      <c r="Y3679" s="2"/>
      <c r="Z3679" s="2"/>
      <c r="AA3679" s="2" t="s">
        <v>708</v>
      </c>
      <c r="AB3679" s="2" t="s">
        <v>14669</v>
      </c>
      <c r="AC3679" s="4" t="s">
        <v>44</v>
      </c>
    </row>
    <row r="3680" spans="1:29" x14ac:dyDescent="0.25">
      <c r="A3680" s="1">
        <v>3614</v>
      </c>
      <c r="B3680" s="17" t="s">
        <v>16004</v>
      </c>
      <c r="C3680" s="2" t="s">
        <v>16005</v>
      </c>
      <c r="D3680" s="15" t="s">
        <v>1773</v>
      </c>
      <c r="E3680" s="9" t="s">
        <v>6235</v>
      </c>
      <c r="F3680" s="9" t="s">
        <v>10015</v>
      </c>
      <c r="G3680" s="9" t="s">
        <v>4760</v>
      </c>
      <c r="H3680" s="2" t="s">
        <v>60</v>
      </c>
      <c r="I3680" s="3">
        <v>37114</v>
      </c>
      <c r="J3680" s="9" t="str">
        <f t="shared" ca="1" si="60"/>
        <v>22 ans</v>
      </c>
      <c r="K3680" s="2" t="s">
        <v>156</v>
      </c>
      <c r="L3680" s="2" t="str">
        <f>"1280"</f>
        <v>1280</v>
      </c>
      <c r="M3680" s="2"/>
      <c r="N3680" s="2" t="str">
        <f>"RUE GEORGES"</f>
        <v>RUE GEORGES</v>
      </c>
      <c r="O3680" s="2" t="s">
        <v>14661</v>
      </c>
      <c r="P3680" s="9" t="str">
        <f>VLOOKUP($O3680,'Liste des Villes'!$B$2:$B$1128,1,FALSE)</f>
        <v>Mirabel</v>
      </c>
      <c r="Q3680" s="9" t="str">
        <f>IFERROR($P3680,PROPER(VLOOKUP($O3680,'Villes en erreur'!$A$2:$B$72,2,FALSE)))</f>
        <v>Mirabel</v>
      </c>
      <c r="R3680" s="9" t="s">
        <v>14662</v>
      </c>
      <c r="S3680" s="9" t="str">
        <f>IF(ISBLANK($R3680),"",VLOOKUP($R3680,'Liste des Villes'!$B$2:$H$1128,4,FALSE))</f>
        <v>Laurentides</v>
      </c>
      <c r="T3680" s="2" t="s">
        <v>16006</v>
      </c>
      <c r="U3680" s="2" t="s">
        <v>39</v>
      </c>
      <c r="V3680" s="2" t="s">
        <v>40</v>
      </c>
      <c r="W3680" s="2" t="s">
        <v>16007</v>
      </c>
      <c r="X3680" s="2"/>
      <c r="Y3680" s="2"/>
      <c r="Z3680" s="2"/>
      <c r="AA3680" s="2" t="s">
        <v>375</v>
      </c>
      <c r="AB3680" s="2" t="s">
        <v>376</v>
      </c>
      <c r="AC3680" s="4" t="s">
        <v>44</v>
      </c>
    </row>
    <row r="3681" spans="1:29" x14ac:dyDescent="0.25">
      <c r="A3681" s="1">
        <v>2047</v>
      </c>
      <c r="B3681" s="17" t="s">
        <v>16008</v>
      </c>
      <c r="C3681" s="2" t="s">
        <v>16009</v>
      </c>
      <c r="D3681" s="15" t="s">
        <v>14875</v>
      </c>
      <c r="E3681" s="9" t="s">
        <v>2339</v>
      </c>
      <c r="F3681" s="9" t="s">
        <v>875</v>
      </c>
      <c r="G3681" s="9" t="s">
        <v>4243</v>
      </c>
      <c r="H3681" s="2" t="s">
        <v>60</v>
      </c>
      <c r="I3681" s="3">
        <v>37165</v>
      </c>
      <c r="J3681" s="9" t="str">
        <f t="shared" ca="1" si="60"/>
        <v>21 ans</v>
      </c>
      <c r="K3681" s="2" t="s">
        <v>156</v>
      </c>
      <c r="L3681" s="2" t="str">
        <f>"1547"</f>
        <v>1547</v>
      </c>
      <c r="M3681" s="2"/>
      <c r="N3681" s="2" t="str">
        <f>"RUE JEAN-FRANÇOIS-RÉGIS"</f>
        <v>RUE JEAN-FRANÇOIS-RÉGIS</v>
      </c>
      <c r="O3681" s="2" t="s">
        <v>14661</v>
      </c>
      <c r="P3681" s="9" t="str">
        <f>VLOOKUP($O3681,'Liste des Villes'!$B$2:$B$1128,1,FALSE)</f>
        <v>Mirabel</v>
      </c>
      <c r="Q3681" s="9" t="str">
        <f>IFERROR($P3681,PROPER(VLOOKUP($O3681,'Villes en erreur'!$A$2:$B$72,2,FALSE)))</f>
        <v>Mirabel</v>
      </c>
      <c r="R3681" s="9" t="s">
        <v>14662</v>
      </c>
      <c r="S3681" s="9" t="str">
        <f>IF(ISBLANK($R3681),"",VLOOKUP($R3681,'Liste des Villes'!$B$2:$H$1128,4,FALSE))</f>
        <v>Laurentides</v>
      </c>
      <c r="T3681" s="2" t="s">
        <v>14858</v>
      </c>
      <c r="U3681" s="2" t="s">
        <v>39</v>
      </c>
      <c r="V3681" s="2" t="s">
        <v>40</v>
      </c>
      <c r="W3681" s="2" t="s">
        <v>16010</v>
      </c>
      <c r="X3681" s="2"/>
      <c r="Y3681" s="2"/>
      <c r="Z3681" s="2"/>
      <c r="AA3681" s="2" t="s">
        <v>708</v>
      </c>
      <c r="AB3681" s="2" t="s">
        <v>376</v>
      </c>
      <c r="AC3681" s="4" t="s">
        <v>44</v>
      </c>
    </row>
    <row r="3682" spans="1:29" x14ac:dyDescent="0.25">
      <c r="A3682" s="1">
        <v>3523</v>
      </c>
      <c r="B3682" s="17" t="s">
        <v>16011</v>
      </c>
      <c r="C3682" s="2" t="s">
        <v>4237</v>
      </c>
      <c r="D3682" s="15" t="s">
        <v>100</v>
      </c>
      <c r="E3682" s="9" t="s">
        <v>4238</v>
      </c>
      <c r="F3682" s="9" t="s">
        <v>1436</v>
      </c>
      <c r="G3682" s="9" t="s">
        <v>8627</v>
      </c>
      <c r="H3682" s="2" t="s">
        <v>60</v>
      </c>
      <c r="I3682" s="3">
        <v>37205</v>
      </c>
      <c r="J3682" s="9" t="str">
        <f t="shared" ca="1" si="60"/>
        <v>21 ans</v>
      </c>
      <c r="K3682" s="2" t="s">
        <v>262</v>
      </c>
      <c r="L3682" s="2" t="str">
        <f>"1791"</f>
        <v>1791</v>
      </c>
      <c r="M3682" s="2"/>
      <c r="N3682" s="2" t="str">
        <f>"RUE LACROIX"</f>
        <v>RUE LACROIX</v>
      </c>
      <c r="O3682" s="2" t="s">
        <v>14661</v>
      </c>
      <c r="P3682" s="9" t="str">
        <f>VLOOKUP($O3682,'Liste des Villes'!$B$2:$B$1128,1,FALSE)</f>
        <v>Mirabel</v>
      </c>
      <c r="Q3682" s="9" t="str">
        <f>IFERROR($P3682,PROPER(VLOOKUP($O3682,'Villes en erreur'!$A$2:$B$72,2,FALSE)))</f>
        <v>Mirabel</v>
      </c>
      <c r="R3682" s="9" t="s">
        <v>14662</v>
      </c>
      <c r="S3682" s="9" t="str">
        <f>IF(ISBLANK($R3682),"",VLOOKUP($R3682,'Liste des Villes'!$B$2:$H$1128,4,FALSE))</f>
        <v>Laurentides</v>
      </c>
      <c r="T3682" s="2" t="s">
        <v>16012</v>
      </c>
      <c r="U3682" s="2" t="s">
        <v>39</v>
      </c>
      <c r="V3682" s="2" t="s">
        <v>40</v>
      </c>
      <c r="W3682" s="2" t="s">
        <v>16013</v>
      </c>
      <c r="X3682" s="2"/>
      <c r="Y3682" s="2"/>
      <c r="Z3682" s="2"/>
      <c r="AA3682" s="2" t="s">
        <v>708</v>
      </c>
      <c r="AB3682" s="2" t="s">
        <v>14669</v>
      </c>
      <c r="AC3682" s="4" t="s">
        <v>44</v>
      </c>
    </row>
    <row r="3683" spans="1:29" x14ac:dyDescent="0.25">
      <c r="A3683" s="1">
        <v>608</v>
      </c>
      <c r="B3683" s="17" t="s">
        <v>16014</v>
      </c>
      <c r="C3683" s="2" t="s">
        <v>13414</v>
      </c>
      <c r="D3683" s="15" t="s">
        <v>3042</v>
      </c>
      <c r="E3683" s="9" t="s">
        <v>5228</v>
      </c>
      <c r="F3683" s="9" t="s">
        <v>13366</v>
      </c>
      <c r="G3683" s="9" t="s">
        <v>4633</v>
      </c>
      <c r="H3683" s="2" t="s">
        <v>35</v>
      </c>
      <c r="I3683" s="3">
        <v>37247</v>
      </c>
      <c r="J3683" s="9" t="str">
        <f t="shared" ca="1" si="60"/>
        <v>21 ans</v>
      </c>
      <c r="K3683" s="2" t="s">
        <v>262</v>
      </c>
      <c r="L3683" s="2" t="str">
        <f>"2102"</f>
        <v>2102</v>
      </c>
      <c r="M3683" s="2"/>
      <c r="N3683" s="2" t="str">
        <f>"RUE LÉOPOLD-LECOURT"</f>
        <v>RUE LÉOPOLD-LECOURT</v>
      </c>
      <c r="O3683" s="2" t="s">
        <v>14661</v>
      </c>
      <c r="P3683" s="9" t="str">
        <f>VLOOKUP($O3683,'Liste des Villes'!$B$2:$B$1128,1,FALSE)</f>
        <v>Mirabel</v>
      </c>
      <c r="Q3683" s="9" t="str">
        <f>IFERROR($P3683,PROPER(VLOOKUP($O3683,'Villes en erreur'!$A$2:$B$72,2,FALSE)))</f>
        <v>Mirabel</v>
      </c>
      <c r="R3683" s="9" t="s">
        <v>14662</v>
      </c>
      <c r="S3683" s="9" t="str">
        <f>IF(ISBLANK($R3683),"",VLOOKUP($R3683,'Liste des Villes'!$B$2:$H$1128,4,FALSE))</f>
        <v>Laurentides</v>
      </c>
      <c r="T3683" s="2" t="s">
        <v>16015</v>
      </c>
      <c r="U3683" s="2" t="s">
        <v>39</v>
      </c>
      <c r="V3683" s="2" t="s">
        <v>40</v>
      </c>
      <c r="W3683" s="2" t="s">
        <v>16016</v>
      </c>
      <c r="X3683" s="2"/>
      <c r="Y3683" s="2"/>
      <c r="Z3683" s="2"/>
      <c r="AA3683" s="2" t="s">
        <v>708</v>
      </c>
      <c r="AB3683" s="2" t="s">
        <v>14669</v>
      </c>
      <c r="AC3683" s="4" t="s">
        <v>44</v>
      </c>
    </row>
    <row r="3684" spans="1:29" x14ac:dyDescent="0.25">
      <c r="A3684" s="1">
        <v>2737</v>
      </c>
      <c r="B3684" s="17" t="s">
        <v>16017</v>
      </c>
      <c r="C3684" s="2" t="s">
        <v>13548</v>
      </c>
      <c r="D3684" s="15" t="s">
        <v>2242</v>
      </c>
      <c r="E3684" s="9" t="s">
        <v>2614</v>
      </c>
      <c r="F3684" s="9" t="s">
        <v>113</v>
      </c>
      <c r="G3684" s="9" t="s">
        <v>15469</v>
      </c>
      <c r="H3684" s="2" t="s">
        <v>35</v>
      </c>
      <c r="I3684" s="3">
        <v>37242</v>
      </c>
      <c r="J3684" s="9" t="str">
        <f t="shared" ca="1" si="60"/>
        <v>21 ans</v>
      </c>
      <c r="K3684" s="2" t="s">
        <v>262</v>
      </c>
      <c r="L3684" s="2" t="str">
        <f>"2053"</f>
        <v>2053</v>
      </c>
      <c r="M3684" s="2"/>
      <c r="N3684" s="2" t="str">
        <f>"RUE L'ÉCUYER"</f>
        <v>RUE L'ÉCUYER</v>
      </c>
      <c r="O3684" s="2" t="s">
        <v>14661</v>
      </c>
      <c r="P3684" s="9" t="str">
        <f>VLOOKUP($O3684,'Liste des Villes'!$B$2:$B$1128,1,FALSE)</f>
        <v>Mirabel</v>
      </c>
      <c r="Q3684" s="9" t="str">
        <f>IFERROR($P3684,PROPER(VLOOKUP($O3684,'Villes en erreur'!$A$2:$B$72,2,FALSE)))</f>
        <v>Mirabel</v>
      </c>
      <c r="R3684" s="9" t="s">
        <v>14662</v>
      </c>
      <c r="S3684" s="9" t="str">
        <f>IF(ISBLANK($R3684),"",VLOOKUP($R3684,'Liste des Villes'!$B$2:$H$1128,4,FALSE))</f>
        <v>Laurentides</v>
      </c>
      <c r="T3684" s="2" t="s">
        <v>15152</v>
      </c>
      <c r="U3684" s="2" t="s">
        <v>39</v>
      </c>
      <c r="V3684" s="2" t="s">
        <v>40</v>
      </c>
      <c r="W3684" s="2" t="s">
        <v>16018</v>
      </c>
      <c r="X3684" s="2"/>
      <c r="Y3684" s="2"/>
      <c r="Z3684" s="2"/>
      <c r="AA3684" s="2" t="s">
        <v>708</v>
      </c>
      <c r="AB3684" s="2" t="s">
        <v>14669</v>
      </c>
      <c r="AC3684" s="4" t="s">
        <v>44</v>
      </c>
    </row>
    <row r="3685" spans="1:29" x14ac:dyDescent="0.25">
      <c r="A3685" s="1">
        <v>4378</v>
      </c>
      <c r="B3685" s="17" t="s">
        <v>16019</v>
      </c>
      <c r="C3685" s="2" t="s">
        <v>12469</v>
      </c>
      <c r="D3685" s="15" t="s">
        <v>1923</v>
      </c>
      <c r="E3685" s="9" t="s">
        <v>2872</v>
      </c>
      <c r="F3685" s="9" t="s">
        <v>13648</v>
      </c>
      <c r="G3685" s="9" t="s">
        <v>549</v>
      </c>
      <c r="H3685" s="2" t="s">
        <v>60</v>
      </c>
      <c r="I3685" s="3">
        <v>37224</v>
      </c>
      <c r="J3685" s="9" t="str">
        <f t="shared" ca="1" si="60"/>
        <v>21 ans</v>
      </c>
      <c r="K3685" s="2" t="s">
        <v>262</v>
      </c>
      <c r="L3685" s="2" t="str">
        <f>"1960"</f>
        <v>1960</v>
      </c>
      <c r="M3685" s="2"/>
      <c r="N3685" s="2" t="str">
        <f>"RUE LATOUR"</f>
        <v>RUE LATOUR</v>
      </c>
      <c r="O3685" s="2" t="s">
        <v>14661</v>
      </c>
      <c r="P3685" s="9" t="str">
        <f>VLOOKUP($O3685,'Liste des Villes'!$B$2:$B$1128,1,FALSE)</f>
        <v>Mirabel</v>
      </c>
      <c r="Q3685" s="9" t="str">
        <f>IFERROR($P3685,PROPER(VLOOKUP($O3685,'Villes en erreur'!$A$2:$B$72,2,FALSE)))</f>
        <v>Mirabel</v>
      </c>
      <c r="R3685" s="9" t="s">
        <v>14662</v>
      </c>
      <c r="S3685" s="9" t="str">
        <f>IF(ISBLANK($R3685),"",VLOOKUP($R3685,'Liste des Villes'!$B$2:$H$1128,4,FALSE))</f>
        <v>Laurentides</v>
      </c>
      <c r="T3685" s="2" t="s">
        <v>16020</v>
      </c>
      <c r="U3685" s="2" t="s">
        <v>39</v>
      </c>
      <c r="V3685" s="2" t="s">
        <v>40</v>
      </c>
      <c r="W3685" s="2" t="s">
        <v>16021</v>
      </c>
      <c r="X3685" s="2"/>
      <c r="Y3685" s="2"/>
      <c r="Z3685" s="2"/>
      <c r="AA3685" s="2" t="s">
        <v>708</v>
      </c>
      <c r="AB3685" s="2" t="s">
        <v>14669</v>
      </c>
      <c r="AC3685" s="4" t="s">
        <v>44</v>
      </c>
    </row>
    <row r="3686" spans="1:29" x14ac:dyDescent="0.25">
      <c r="A3686" s="1">
        <v>2489</v>
      </c>
      <c r="B3686" s="17" t="s">
        <v>16022</v>
      </c>
      <c r="C3686" s="2" t="s">
        <v>6327</v>
      </c>
      <c r="D3686" s="15" t="s">
        <v>1523</v>
      </c>
      <c r="E3686" s="9" t="s">
        <v>6328</v>
      </c>
      <c r="F3686" s="9" t="s">
        <v>3989</v>
      </c>
      <c r="G3686" s="9" t="s">
        <v>233</v>
      </c>
      <c r="H3686" s="2" t="s">
        <v>60</v>
      </c>
      <c r="I3686" s="3">
        <v>37216</v>
      </c>
      <c r="J3686" s="9" t="str">
        <f t="shared" ca="1" si="60"/>
        <v>21 ans</v>
      </c>
      <c r="K3686" s="2" t="s">
        <v>262</v>
      </c>
      <c r="L3686" s="2" t="str">
        <f>"1901"</f>
        <v>1901</v>
      </c>
      <c r="M3686" s="2"/>
      <c r="N3686" s="2" t="str">
        <f>"RUE LANGLOIS"</f>
        <v>RUE LANGLOIS</v>
      </c>
      <c r="O3686" s="2" t="s">
        <v>14661</v>
      </c>
      <c r="P3686" s="9" t="str">
        <f>VLOOKUP($O3686,'Liste des Villes'!$B$2:$B$1128,1,FALSE)</f>
        <v>Mirabel</v>
      </c>
      <c r="Q3686" s="9" t="str">
        <f>IFERROR($P3686,PROPER(VLOOKUP($O3686,'Villes en erreur'!$A$2:$B$72,2,FALSE)))</f>
        <v>Mirabel</v>
      </c>
      <c r="R3686" s="9" t="s">
        <v>14662</v>
      </c>
      <c r="S3686" s="9" t="str">
        <f>IF(ISBLANK($R3686),"",VLOOKUP($R3686,'Liste des Villes'!$B$2:$H$1128,4,FALSE))</f>
        <v>Laurentides</v>
      </c>
      <c r="T3686" s="2" t="s">
        <v>16023</v>
      </c>
      <c r="U3686" s="2" t="s">
        <v>39</v>
      </c>
      <c r="V3686" s="2" t="s">
        <v>40</v>
      </c>
      <c r="W3686" s="2" t="s">
        <v>16024</v>
      </c>
      <c r="X3686" s="2"/>
      <c r="Y3686" s="2"/>
      <c r="Z3686" s="2"/>
      <c r="AA3686" s="2" t="s">
        <v>708</v>
      </c>
      <c r="AB3686" s="2" t="s">
        <v>14669</v>
      </c>
      <c r="AC3686" s="4" t="s">
        <v>44</v>
      </c>
    </row>
    <row r="3687" spans="1:29" x14ac:dyDescent="0.25">
      <c r="A3687" s="1">
        <v>127</v>
      </c>
      <c r="B3687" s="17" t="s">
        <v>16025</v>
      </c>
      <c r="C3687" s="2" t="s">
        <v>7733</v>
      </c>
      <c r="D3687" s="15" t="s">
        <v>3252</v>
      </c>
      <c r="E3687" s="9" t="s">
        <v>2635</v>
      </c>
      <c r="F3687" s="9" t="s">
        <v>14773</v>
      </c>
      <c r="G3687" s="9" t="s">
        <v>1091</v>
      </c>
      <c r="H3687" s="2" t="s">
        <v>60</v>
      </c>
      <c r="I3687" s="3">
        <v>37209</v>
      </c>
      <c r="J3687" s="9" t="str">
        <f t="shared" ca="1" si="60"/>
        <v>21 ans</v>
      </c>
      <c r="K3687" s="2" t="s">
        <v>262</v>
      </c>
      <c r="L3687" s="2" t="str">
        <f>"1850"</f>
        <v>1850</v>
      </c>
      <c r="M3687" s="2"/>
      <c r="N3687" s="2" t="str">
        <f>"RUE LAJEUNESSE"</f>
        <v>RUE LAJEUNESSE</v>
      </c>
      <c r="O3687" s="2" t="s">
        <v>14661</v>
      </c>
      <c r="P3687" s="9" t="str">
        <f>VLOOKUP($O3687,'Liste des Villes'!$B$2:$B$1128,1,FALSE)</f>
        <v>Mirabel</v>
      </c>
      <c r="Q3687" s="9" t="str">
        <f>IFERROR($P3687,PROPER(VLOOKUP($O3687,'Villes en erreur'!$A$2:$B$72,2,FALSE)))</f>
        <v>Mirabel</v>
      </c>
      <c r="R3687" s="9" t="s">
        <v>14662</v>
      </c>
      <c r="S3687" s="9" t="str">
        <f>IF(ISBLANK($R3687),"",VLOOKUP($R3687,'Liste des Villes'!$B$2:$H$1128,4,FALSE))</f>
        <v>Laurentides</v>
      </c>
      <c r="T3687" s="2" t="s">
        <v>14698</v>
      </c>
      <c r="U3687" s="2" t="s">
        <v>39</v>
      </c>
      <c r="V3687" s="2" t="s">
        <v>40</v>
      </c>
      <c r="W3687" s="2" t="s">
        <v>15524</v>
      </c>
      <c r="X3687" s="2"/>
      <c r="Y3687" s="2"/>
      <c r="Z3687" s="2"/>
      <c r="AA3687" s="2" t="s">
        <v>708</v>
      </c>
      <c r="AB3687" s="2" t="s">
        <v>14669</v>
      </c>
      <c r="AC3687" s="4" t="s">
        <v>44</v>
      </c>
    </row>
    <row r="3688" spans="1:29" x14ac:dyDescent="0.25">
      <c r="A3688" s="1">
        <v>1001</v>
      </c>
      <c r="B3688" s="17" t="s">
        <v>16026</v>
      </c>
      <c r="C3688" s="2" t="s">
        <v>16027</v>
      </c>
      <c r="D3688" s="15" t="s">
        <v>4685</v>
      </c>
      <c r="E3688" s="9" t="s">
        <v>1024</v>
      </c>
      <c r="F3688" s="9" t="s">
        <v>4369</v>
      </c>
      <c r="G3688" s="9" t="s">
        <v>4243</v>
      </c>
      <c r="H3688" s="2" t="s">
        <v>60</v>
      </c>
      <c r="I3688" s="3">
        <v>37159</v>
      </c>
      <c r="J3688" s="9" t="str">
        <f t="shared" ca="1" si="60"/>
        <v>21 ans</v>
      </c>
      <c r="K3688" s="2" t="s">
        <v>156</v>
      </c>
      <c r="L3688" s="2" t="str">
        <f>"1505"</f>
        <v>1505</v>
      </c>
      <c r="M3688" s="2"/>
      <c r="N3688" s="2" t="str">
        <f>"RUE JEAN MARC DANSRO"</f>
        <v>RUE JEAN MARC DANSRO</v>
      </c>
      <c r="O3688" s="2" t="s">
        <v>14661</v>
      </c>
      <c r="P3688" s="9" t="str">
        <f>VLOOKUP($O3688,'Liste des Villes'!$B$2:$B$1128,1,FALSE)</f>
        <v>Mirabel</v>
      </c>
      <c r="Q3688" s="9" t="str">
        <f>IFERROR($P3688,PROPER(VLOOKUP($O3688,'Villes en erreur'!$A$2:$B$72,2,FALSE)))</f>
        <v>Mirabel</v>
      </c>
      <c r="R3688" s="9" t="s">
        <v>14662</v>
      </c>
      <c r="S3688" s="9" t="str">
        <f>IF(ISBLANK($R3688),"",VLOOKUP($R3688,'Liste des Villes'!$B$2:$H$1128,4,FALSE))</f>
        <v>Laurentides</v>
      </c>
      <c r="T3688" s="2" t="s">
        <v>16028</v>
      </c>
      <c r="U3688" s="2" t="s">
        <v>39</v>
      </c>
      <c r="V3688" s="2" t="s">
        <v>40</v>
      </c>
      <c r="W3688" s="2" t="s">
        <v>16029</v>
      </c>
      <c r="X3688" s="2"/>
      <c r="Y3688" s="2"/>
      <c r="Z3688" s="2"/>
      <c r="AA3688" s="2" t="s">
        <v>708</v>
      </c>
      <c r="AB3688" s="2" t="s">
        <v>376</v>
      </c>
      <c r="AC3688" s="4" t="s">
        <v>44</v>
      </c>
    </row>
    <row r="3689" spans="1:29" x14ac:dyDescent="0.25">
      <c r="A3689" s="1">
        <v>232</v>
      </c>
      <c r="B3689" s="17" t="s">
        <v>16030</v>
      </c>
      <c r="C3689" s="2" t="s">
        <v>16031</v>
      </c>
      <c r="D3689" s="15" t="s">
        <v>8004</v>
      </c>
      <c r="E3689" s="9" t="s">
        <v>1416</v>
      </c>
      <c r="F3689" s="9" t="s">
        <v>8003</v>
      </c>
      <c r="G3689" s="9" t="s">
        <v>4092</v>
      </c>
      <c r="H3689" s="2" t="s">
        <v>35</v>
      </c>
      <c r="I3689" s="3">
        <v>37130</v>
      </c>
      <c r="J3689" s="9" t="str">
        <f t="shared" ca="1" si="60"/>
        <v>21 ans</v>
      </c>
      <c r="K3689" s="2" t="s">
        <v>156</v>
      </c>
      <c r="L3689" s="2" t="str">
        <f>"1350"</f>
        <v>1350</v>
      </c>
      <c r="M3689" s="2"/>
      <c r="N3689" s="2" t="str">
        <f>"RUE HALE"</f>
        <v>RUE HALE</v>
      </c>
      <c r="O3689" s="2" t="s">
        <v>14661</v>
      </c>
      <c r="P3689" s="9" t="str">
        <f>VLOOKUP($O3689,'Liste des Villes'!$B$2:$B$1128,1,FALSE)</f>
        <v>Mirabel</v>
      </c>
      <c r="Q3689" s="9" t="str">
        <f>IFERROR($P3689,PROPER(VLOOKUP($O3689,'Villes en erreur'!$A$2:$B$72,2,FALSE)))</f>
        <v>Mirabel</v>
      </c>
      <c r="R3689" s="9" t="s">
        <v>14662</v>
      </c>
      <c r="S3689" s="9" t="str">
        <f>IF(ISBLANK($R3689),"",VLOOKUP($R3689,'Liste des Villes'!$B$2:$H$1128,4,FALSE))</f>
        <v>Laurentides</v>
      </c>
      <c r="T3689" s="2" t="s">
        <v>15059</v>
      </c>
      <c r="U3689" s="2" t="s">
        <v>39</v>
      </c>
      <c r="V3689" s="2" t="s">
        <v>40</v>
      </c>
      <c r="W3689" s="2" t="s">
        <v>16032</v>
      </c>
      <c r="X3689" s="2"/>
      <c r="Y3689" s="2"/>
      <c r="Z3689" s="2"/>
      <c r="AA3689" s="2" t="s">
        <v>375</v>
      </c>
      <c r="AB3689" s="2" t="s">
        <v>376</v>
      </c>
      <c r="AC3689" s="4" t="s">
        <v>44</v>
      </c>
    </row>
    <row r="3690" spans="1:29" x14ac:dyDescent="0.25">
      <c r="A3690" s="1">
        <v>3948</v>
      </c>
      <c r="B3690" s="17" t="s">
        <v>16033</v>
      </c>
      <c r="C3690" s="2" t="s">
        <v>947</v>
      </c>
      <c r="D3690" s="15" t="s">
        <v>948</v>
      </c>
      <c r="E3690" s="9" t="s">
        <v>949</v>
      </c>
      <c r="F3690" s="9" t="s">
        <v>15270</v>
      </c>
      <c r="G3690" s="9" t="s">
        <v>12484</v>
      </c>
      <c r="H3690" s="2" t="s">
        <v>60</v>
      </c>
      <c r="I3690" s="3">
        <v>37214</v>
      </c>
      <c r="J3690" s="9" t="str">
        <f t="shared" ca="1" si="60"/>
        <v>21 ans</v>
      </c>
      <c r="K3690" s="2" t="s">
        <v>262</v>
      </c>
      <c r="L3690" s="2" t="str">
        <f>"1893"</f>
        <v>1893</v>
      </c>
      <c r="M3690" s="2"/>
      <c r="N3690" s="2" t="str">
        <f>"RUE LAMONTAGNE"</f>
        <v>RUE LAMONTAGNE</v>
      </c>
      <c r="O3690" s="2" t="s">
        <v>14661</v>
      </c>
      <c r="P3690" s="9" t="str">
        <f>VLOOKUP($O3690,'Liste des Villes'!$B$2:$B$1128,1,FALSE)</f>
        <v>Mirabel</v>
      </c>
      <c r="Q3690" s="9" t="str">
        <f>IFERROR($P3690,PROPER(VLOOKUP($O3690,'Villes en erreur'!$A$2:$B$72,2,FALSE)))</f>
        <v>Mirabel</v>
      </c>
      <c r="R3690" s="9" t="s">
        <v>14662</v>
      </c>
      <c r="S3690" s="9" t="str">
        <f>IF(ISBLANK($R3690),"",VLOOKUP($R3690,'Liste des Villes'!$B$2:$H$1128,4,FALSE))</f>
        <v>Laurentides</v>
      </c>
      <c r="T3690" s="2" t="s">
        <v>15943</v>
      </c>
      <c r="U3690" s="2" t="s">
        <v>39</v>
      </c>
      <c r="V3690" s="2" t="s">
        <v>40</v>
      </c>
      <c r="W3690" s="2" t="s">
        <v>16034</v>
      </c>
      <c r="X3690" s="2"/>
      <c r="Y3690" s="2"/>
      <c r="Z3690" s="2"/>
      <c r="AA3690" s="2" t="s">
        <v>708</v>
      </c>
      <c r="AB3690" s="2" t="s">
        <v>14669</v>
      </c>
      <c r="AC3690" s="4" t="s">
        <v>44</v>
      </c>
    </row>
    <row r="3691" spans="1:29" x14ac:dyDescent="0.25">
      <c r="A3691" s="1">
        <v>1920</v>
      </c>
      <c r="B3691" s="17" t="s">
        <v>16035</v>
      </c>
      <c r="C3691" s="2" t="s">
        <v>7400</v>
      </c>
      <c r="D3691" s="15" t="s">
        <v>2087</v>
      </c>
      <c r="E3691" s="9" t="s">
        <v>2217</v>
      </c>
      <c r="F3691" s="9" t="s">
        <v>2085</v>
      </c>
      <c r="G3691" s="9" t="s">
        <v>7592</v>
      </c>
      <c r="H3691" s="2" t="s">
        <v>60</v>
      </c>
      <c r="I3691" s="3">
        <v>37079</v>
      </c>
      <c r="J3691" s="9" t="str">
        <f t="shared" ca="1" si="60"/>
        <v>22 ans</v>
      </c>
      <c r="K3691" s="2" t="s">
        <v>156</v>
      </c>
      <c r="L3691" s="2" t="str">
        <f>"1158"</f>
        <v>1158</v>
      </c>
      <c r="M3691" s="2"/>
      <c r="N3691" s="2" t="str">
        <f>"RUE ESTELLE"</f>
        <v>RUE ESTELLE</v>
      </c>
      <c r="O3691" s="2" t="s">
        <v>14661</v>
      </c>
      <c r="P3691" s="9" t="str">
        <f>VLOOKUP($O3691,'Liste des Villes'!$B$2:$B$1128,1,FALSE)</f>
        <v>Mirabel</v>
      </c>
      <c r="Q3691" s="9" t="str">
        <f>IFERROR($P3691,PROPER(VLOOKUP($O3691,'Villes en erreur'!$A$2:$B$72,2,FALSE)))</f>
        <v>Mirabel</v>
      </c>
      <c r="R3691" s="9" t="s">
        <v>14662</v>
      </c>
      <c r="S3691" s="9" t="str">
        <f>IF(ISBLANK($R3691),"",VLOOKUP($R3691,'Liste des Villes'!$B$2:$H$1128,4,FALSE))</f>
        <v>Laurentides</v>
      </c>
      <c r="T3691" s="2" t="s">
        <v>15212</v>
      </c>
      <c r="U3691" s="2" t="s">
        <v>39</v>
      </c>
      <c r="V3691" s="2" t="s">
        <v>40</v>
      </c>
      <c r="W3691" s="2" t="s">
        <v>16036</v>
      </c>
      <c r="X3691" s="2"/>
      <c r="Y3691" s="2"/>
      <c r="Z3691" s="2"/>
      <c r="AA3691" s="2" t="s">
        <v>375</v>
      </c>
      <c r="AB3691" s="2" t="s">
        <v>376</v>
      </c>
      <c r="AC3691" s="4" t="s">
        <v>44</v>
      </c>
    </row>
    <row r="3692" spans="1:29" x14ac:dyDescent="0.25">
      <c r="A3692" s="1">
        <v>566</v>
      </c>
      <c r="B3692" s="17" t="s">
        <v>16037</v>
      </c>
      <c r="C3692" s="2" t="s">
        <v>9631</v>
      </c>
      <c r="D3692" s="15" t="s">
        <v>1268</v>
      </c>
      <c r="E3692" s="9" t="s">
        <v>3897</v>
      </c>
      <c r="F3692" s="9" t="s">
        <v>1270</v>
      </c>
      <c r="G3692" s="9" t="s">
        <v>14500</v>
      </c>
      <c r="H3692" s="2" t="s">
        <v>60</v>
      </c>
      <c r="I3692" s="3">
        <v>37145</v>
      </c>
      <c r="J3692" s="9" t="str">
        <f t="shared" ca="1" si="60"/>
        <v>21 ans</v>
      </c>
      <c r="K3692" s="2" t="s">
        <v>156</v>
      </c>
      <c r="L3692" s="2" t="str">
        <f>"1420"</f>
        <v>1420</v>
      </c>
      <c r="M3692" s="2"/>
      <c r="N3692" s="2" t="str">
        <f>"RUE ISAAC-JOGUES"</f>
        <v>RUE ISAAC-JOGUES</v>
      </c>
      <c r="O3692" s="2" t="s">
        <v>14661</v>
      </c>
      <c r="P3692" s="9" t="str">
        <f>VLOOKUP($O3692,'Liste des Villes'!$B$2:$B$1128,1,FALSE)</f>
        <v>Mirabel</v>
      </c>
      <c r="Q3692" s="9" t="str">
        <f>IFERROR($P3692,PROPER(VLOOKUP($O3692,'Villes en erreur'!$A$2:$B$72,2,FALSE)))</f>
        <v>Mirabel</v>
      </c>
      <c r="R3692" s="9" t="s">
        <v>14662</v>
      </c>
      <c r="S3692" s="9" t="str">
        <f>IF(ISBLANK($R3692),"",VLOOKUP($R3692,'Liste des Villes'!$B$2:$H$1128,4,FALSE))</f>
        <v>Laurentides</v>
      </c>
      <c r="T3692" s="2" t="s">
        <v>14788</v>
      </c>
      <c r="U3692" s="2" t="s">
        <v>39</v>
      </c>
      <c r="V3692" s="2" t="s">
        <v>40</v>
      </c>
      <c r="W3692" s="2" t="s">
        <v>16038</v>
      </c>
      <c r="X3692" s="2"/>
      <c r="Y3692" s="2"/>
      <c r="Z3692" s="2"/>
      <c r="AA3692" s="2" t="s">
        <v>708</v>
      </c>
      <c r="AB3692" s="2" t="s">
        <v>376</v>
      </c>
      <c r="AC3692" s="4" t="s">
        <v>44</v>
      </c>
    </row>
    <row r="3693" spans="1:29" x14ac:dyDescent="0.25">
      <c r="A3693" s="1">
        <v>3440</v>
      </c>
      <c r="B3693" s="17" t="s">
        <v>16039</v>
      </c>
      <c r="C3693" s="2" t="s">
        <v>10092</v>
      </c>
      <c r="D3693" s="15" t="s">
        <v>884</v>
      </c>
      <c r="E3693" s="9" t="s">
        <v>6380</v>
      </c>
      <c r="F3693" s="9" t="s">
        <v>8626</v>
      </c>
      <c r="G3693" s="9" t="s">
        <v>4633</v>
      </c>
      <c r="H3693" s="2" t="s">
        <v>35</v>
      </c>
      <c r="I3693" s="3">
        <v>37246</v>
      </c>
      <c r="J3693" s="9" t="str">
        <f t="shared" ca="1" si="60"/>
        <v>21 ans</v>
      </c>
      <c r="K3693" s="2" t="s">
        <v>262</v>
      </c>
      <c r="L3693" s="2" t="str">
        <f>"2102"</f>
        <v>2102</v>
      </c>
      <c r="M3693" s="2"/>
      <c r="N3693" s="2" t="str">
        <f>"RUE LÉOPOLD-LAVIGNE"</f>
        <v>RUE LÉOPOLD-LAVIGNE</v>
      </c>
      <c r="O3693" s="2" t="s">
        <v>14661</v>
      </c>
      <c r="P3693" s="9" t="str">
        <f>VLOOKUP($O3693,'Liste des Villes'!$B$2:$B$1128,1,FALSE)</f>
        <v>Mirabel</v>
      </c>
      <c r="Q3693" s="9" t="str">
        <f>IFERROR($P3693,PROPER(VLOOKUP($O3693,'Villes en erreur'!$A$2:$B$72,2,FALSE)))</f>
        <v>Mirabel</v>
      </c>
      <c r="R3693" s="9" t="s">
        <v>14662</v>
      </c>
      <c r="S3693" s="9" t="str">
        <f>IF(ISBLANK($R3693),"",VLOOKUP($R3693,'Liste des Villes'!$B$2:$H$1128,4,FALSE))</f>
        <v>Laurentides</v>
      </c>
      <c r="T3693" s="2" t="s">
        <v>16040</v>
      </c>
      <c r="U3693" s="2" t="s">
        <v>39</v>
      </c>
      <c r="V3693" s="2" t="s">
        <v>40</v>
      </c>
      <c r="W3693" s="2" t="s">
        <v>16041</v>
      </c>
      <c r="X3693" s="2"/>
      <c r="Y3693" s="2"/>
      <c r="Z3693" s="2"/>
      <c r="AA3693" s="2" t="s">
        <v>708</v>
      </c>
      <c r="AB3693" s="2" t="s">
        <v>14669</v>
      </c>
      <c r="AC3693" s="4" t="s">
        <v>44</v>
      </c>
    </row>
    <row r="3694" spans="1:29" x14ac:dyDescent="0.25">
      <c r="A3694" s="1">
        <v>2667</v>
      </c>
      <c r="B3694" s="17" t="s">
        <v>16042</v>
      </c>
      <c r="C3694" s="2" t="s">
        <v>15048</v>
      </c>
      <c r="D3694" s="15" t="s">
        <v>449</v>
      </c>
      <c r="E3694" s="9" t="s">
        <v>12079</v>
      </c>
      <c r="F3694" s="9" t="s">
        <v>6669</v>
      </c>
      <c r="G3694" s="9" t="s">
        <v>8631</v>
      </c>
      <c r="H3694" s="2" t="s">
        <v>60</v>
      </c>
      <c r="I3694" s="3">
        <v>37122</v>
      </c>
      <c r="J3694" s="9" t="str">
        <f t="shared" ca="1" si="60"/>
        <v>22 ans</v>
      </c>
      <c r="K3694" s="2" t="s">
        <v>156</v>
      </c>
      <c r="L3694" s="2" t="str">
        <f>"1310"</f>
        <v>1310</v>
      </c>
      <c r="M3694" s="2"/>
      <c r="N3694" s="2" t="str">
        <f>"RUE GLADU"</f>
        <v>RUE GLADU</v>
      </c>
      <c r="O3694" s="2" t="s">
        <v>14661</v>
      </c>
      <c r="P3694" s="9" t="str">
        <f>VLOOKUP($O3694,'Liste des Villes'!$B$2:$B$1128,1,FALSE)</f>
        <v>Mirabel</v>
      </c>
      <c r="Q3694" s="9" t="str">
        <f>IFERROR($P3694,PROPER(VLOOKUP($O3694,'Villes en erreur'!$A$2:$B$72,2,FALSE)))</f>
        <v>Mirabel</v>
      </c>
      <c r="R3694" s="9" t="s">
        <v>14662</v>
      </c>
      <c r="S3694" s="9" t="str">
        <f>IF(ISBLANK($R3694),"",VLOOKUP($R3694,'Liste des Villes'!$B$2:$H$1128,4,FALSE))</f>
        <v>Laurentides</v>
      </c>
      <c r="T3694" s="2" t="s">
        <v>16043</v>
      </c>
      <c r="U3694" s="2" t="s">
        <v>39</v>
      </c>
      <c r="V3694" s="2" t="s">
        <v>40</v>
      </c>
      <c r="W3694" s="2" t="s">
        <v>15304</v>
      </c>
      <c r="X3694" s="2"/>
      <c r="Y3694" s="2"/>
      <c r="Z3694" s="2"/>
      <c r="AA3694" s="2" t="s">
        <v>375</v>
      </c>
      <c r="AB3694" s="2" t="s">
        <v>376</v>
      </c>
      <c r="AC3694" s="4" t="s">
        <v>44</v>
      </c>
    </row>
    <row r="3695" spans="1:29" x14ac:dyDescent="0.25">
      <c r="A3695" s="1">
        <v>1931</v>
      </c>
      <c r="B3695" s="17" t="s">
        <v>16044</v>
      </c>
      <c r="C3695" s="2" t="s">
        <v>3136</v>
      </c>
      <c r="D3695" s="15" t="s">
        <v>944</v>
      </c>
      <c r="E3695" s="9" t="s">
        <v>233</v>
      </c>
      <c r="F3695" s="9" t="s">
        <v>6315</v>
      </c>
      <c r="G3695" s="9" t="s">
        <v>1004</v>
      </c>
      <c r="H3695" s="2" t="s">
        <v>60</v>
      </c>
      <c r="I3695" s="3">
        <v>37103</v>
      </c>
      <c r="J3695" s="9" t="str">
        <f t="shared" ca="1" si="60"/>
        <v>22 ans</v>
      </c>
      <c r="K3695" s="2" t="s">
        <v>156</v>
      </c>
      <c r="L3695" s="2" t="str">
        <f>"1243"</f>
        <v>1243</v>
      </c>
      <c r="M3695" s="2"/>
      <c r="N3695" s="2" t="str">
        <f>"RUE GABY"</f>
        <v>RUE GABY</v>
      </c>
      <c r="O3695" s="2" t="s">
        <v>14661</v>
      </c>
      <c r="P3695" s="9" t="str">
        <f>VLOOKUP($O3695,'Liste des Villes'!$B$2:$B$1128,1,FALSE)</f>
        <v>Mirabel</v>
      </c>
      <c r="Q3695" s="9" t="str">
        <f>IFERROR($P3695,PROPER(VLOOKUP($O3695,'Villes en erreur'!$A$2:$B$72,2,FALSE)))</f>
        <v>Mirabel</v>
      </c>
      <c r="R3695" s="9" t="s">
        <v>14662</v>
      </c>
      <c r="S3695" s="9" t="str">
        <f>IF(ISBLANK($R3695),"",VLOOKUP($R3695,'Liste des Villes'!$B$2:$H$1128,4,FALSE))</f>
        <v>Laurentides</v>
      </c>
      <c r="T3695" s="2" t="s">
        <v>15012</v>
      </c>
      <c r="U3695" s="2" t="s">
        <v>39</v>
      </c>
      <c r="V3695" s="2" t="s">
        <v>40</v>
      </c>
      <c r="W3695" s="2" t="s">
        <v>16045</v>
      </c>
      <c r="X3695" s="2"/>
      <c r="Y3695" s="2"/>
      <c r="Z3695" s="2"/>
      <c r="AA3695" s="2" t="s">
        <v>375</v>
      </c>
      <c r="AB3695" s="2" t="s">
        <v>376</v>
      </c>
      <c r="AC3695" s="4" t="s">
        <v>44</v>
      </c>
    </row>
    <row r="3696" spans="1:29" x14ac:dyDescent="0.25">
      <c r="A3696" s="1">
        <v>1084</v>
      </c>
      <c r="B3696" s="17" t="s">
        <v>16046</v>
      </c>
      <c r="C3696" s="2" t="s">
        <v>8607</v>
      </c>
      <c r="D3696" s="15" t="s">
        <v>3419</v>
      </c>
      <c r="E3696" s="9" t="s">
        <v>698</v>
      </c>
      <c r="F3696" s="9" t="s">
        <v>3418</v>
      </c>
      <c r="G3696" s="9" t="s">
        <v>5476</v>
      </c>
      <c r="H3696" s="2" t="s">
        <v>35</v>
      </c>
      <c r="I3696" s="3">
        <v>37132</v>
      </c>
      <c r="J3696" s="9" t="str">
        <f t="shared" ca="1" si="60"/>
        <v>21 ans</v>
      </c>
      <c r="K3696" s="2" t="s">
        <v>156</v>
      </c>
      <c r="L3696" s="2" t="str">
        <f>"1361"</f>
        <v>1361</v>
      </c>
      <c r="M3696" s="2"/>
      <c r="N3696" s="2" t="str">
        <f>"RUE HENRI"</f>
        <v>RUE HENRI</v>
      </c>
      <c r="O3696" s="2" t="s">
        <v>14661</v>
      </c>
      <c r="P3696" s="9" t="str">
        <f>VLOOKUP($O3696,'Liste des Villes'!$B$2:$B$1128,1,FALSE)</f>
        <v>Mirabel</v>
      </c>
      <c r="Q3696" s="9" t="str">
        <f>IFERROR($P3696,PROPER(VLOOKUP($O3696,'Villes en erreur'!$A$2:$B$72,2,FALSE)))</f>
        <v>Mirabel</v>
      </c>
      <c r="R3696" s="9" t="s">
        <v>14662</v>
      </c>
      <c r="S3696" s="9" t="str">
        <f>IF(ISBLANK($R3696),"",VLOOKUP($R3696,'Liste des Villes'!$B$2:$H$1128,4,FALSE))</f>
        <v>Laurentides</v>
      </c>
      <c r="T3696" s="2" t="s">
        <v>16047</v>
      </c>
      <c r="U3696" s="2" t="s">
        <v>39</v>
      </c>
      <c r="V3696" s="2" t="s">
        <v>40</v>
      </c>
      <c r="W3696" s="2" t="s">
        <v>16048</v>
      </c>
      <c r="X3696" s="2"/>
      <c r="Y3696" s="2"/>
      <c r="Z3696" s="2"/>
      <c r="AA3696" s="2" t="s">
        <v>375</v>
      </c>
      <c r="AB3696" s="2" t="s">
        <v>376</v>
      </c>
      <c r="AC3696" s="4" t="s">
        <v>44</v>
      </c>
    </row>
    <row r="3697" spans="1:29" x14ac:dyDescent="0.25">
      <c r="A3697" s="1">
        <v>761</v>
      </c>
      <c r="B3697" s="17" t="s">
        <v>16049</v>
      </c>
      <c r="C3697" s="2" t="s">
        <v>8239</v>
      </c>
      <c r="D3697" s="15" t="s">
        <v>8240</v>
      </c>
      <c r="E3697" s="9" t="s">
        <v>196</v>
      </c>
      <c r="F3697" s="9" t="s">
        <v>494</v>
      </c>
      <c r="G3697" s="9" t="s">
        <v>1924</v>
      </c>
      <c r="H3697" s="2" t="s">
        <v>35</v>
      </c>
      <c r="I3697" s="3">
        <v>37195</v>
      </c>
      <c r="J3697" s="9" t="str">
        <f t="shared" ca="1" si="60"/>
        <v>21 ans</v>
      </c>
      <c r="K3697" s="2" t="s">
        <v>262</v>
      </c>
      <c r="L3697" s="2" t="str">
        <f>"1735"</f>
        <v>1735</v>
      </c>
      <c r="M3697" s="2"/>
      <c r="N3697" s="2" t="str">
        <f>"RUE LABELLE"</f>
        <v>RUE LABELLE</v>
      </c>
      <c r="O3697" s="2" t="s">
        <v>14661</v>
      </c>
      <c r="P3697" s="9" t="str">
        <f>VLOOKUP($O3697,'Liste des Villes'!$B$2:$B$1128,1,FALSE)</f>
        <v>Mirabel</v>
      </c>
      <c r="Q3697" s="9" t="str">
        <f>IFERROR($P3697,PROPER(VLOOKUP($O3697,'Villes en erreur'!$A$2:$B$72,2,FALSE)))</f>
        <v>Mirabel</v>
      </c>
      <c r="R3697" s="9" t="s">
        <v>14662</v>
      </c>
      <c r="S3697" s="9" t="str">
        <f>IF(ISBLANK($R3697),"",VLOOKUP($R3697,'Liste des Villes'!$B$2:$H$1128,4,FALSE))</f>
        <v>Laurentides</v>
      </c>
      <c r="T3697" s="2" t="s">
        <v>14735</v>
      </c>
      <c r="U3697" s="2" t="s">
        <v>39</v>
      </c>
      <c r="V3697" s="2" t="s">
        <v>40</v>
      </c>
      <c r="W3697" s="2" t="s">
        <v>16050</v>
      </c>
      <c r="X3697" s="2"/>
      <c r="Y3697" s="2"/>
      <c r="Z3697" s="2"/>
      <c r="AA3697" s="2" t="s">
        <v>708</v>
      </c>
      <c r="AB3697" s="2" t="s">
        <v>14669</v>
      </c>
      <c r="AC3697" s="4" t="s">
        <v>44</v>
      </c>
    </row>
    <row r="3698" spans="1:29" x14ac:dyDescent="0.25">
      <c r="A3698" s="1">
        <v>1341</v>
      </c>
      <c r="B3698" s="17" t="s">
        <v>16051</v>
      </c>
      <c r="C3698" s="2" t="s">
        <v>4483</v>
      </c>
      <c r="D3698" s="15" t="s">
        <v>3341</v>
      </c>
      <c r="E3698" s="9" t="s">
        <v>4484</v>
      </c>
      <c r="F3698" s="9" t="s">
        <v>13489</v>
      </c>
      <c r="G3698" s="9" t="s">
        <v>3240</v>
      </c>
      <c r="H3698" s="2" t="s">
        <v>60</v>
      </c>
      <c r="I3698" s="3">
        <v>37239</v>
      </c>
      <c r="J3698" s="9" t="str">
        <f t="shared" ca="1" si="60"/>
        <v>21 ans</v>
      </c>
      <c r="K3698" s="2" t="s">
        <v>262</v>
      </c>
      <c r="L3698" s="2" t="str">
        <f>"2043"</f>
        <v>2043</v>
      </c>
      <c r="M3698" s="2"/>
      <c r="N3698" s="2" t="str">
        <f>"RUE LEBEAU"</f>
        <v>RUE LEBEAU</v>
      </c>
      <c r="O3698" s="2" t="s">
        <v>14661</v>
      </c>
      <c r="P3698" s="9" t="str">
        <f>VLOOKUP($O3698,'Liste des Villes'!$B$2:$B$1128,1,FALSE)</f>
        <v>Mirabel</v>
      </c>
      <c r="Q3698" s="9" t="str">
        <f>IFERROR($P3698,PROPER(VLOOKUP($O3698,'Villes en erreur'!$A$2:$B$72,2,FALSE)))</f>
        <v>Mirabel</v>
      </c>
      <c r="R3698" s="9" t="s">
        <v>14662</v>
      </c>
      <c r="S3698" s="9" t="str">
        <f>IF(ISBLANK($R3698),"",VLOOKUP($R3698,'Liste des Villes'!$B$2:$H$1128,4,FALSE))</f>
        <v>Laurentides</v>
      </c>
      <c r="T3698" s="2" t="s">
        <v>16052</v>
      </c>
      <c r="U3698" s="2" t="s">
        <v>39</v>
      </c>
      <c r="V3698" s="2" t="s">
        <v>40</v>
      </c>
      <c r="W3698" s="2" t="s">
        <v>16053</v>
      </c>
      <c r="X3698" s="2"/>
      <c r="Y3698" s="2"/>
      <c r="Z3698" s="2"/>
      <c r="AA3698" s="2" t="s">
        <v>708</v>
      </c>
      <c r="AB3698" s="2" t="s">
        <v>14669</v>
      </c>
      <c r="AC3698" s="4" t="s">
        <v>44</v>
      </c>
    </row>
    <row r="3699" spans="1:29" x14ac:dyDescent="0.25">
      <c r="A3699" s="1">
        <v>3496</v>
      </c>
      <c r="B3699" s="17" t="s">
        <v>16054</v>
      </c>
      <c r="C3699" s="2" t="s">
        <v>16055</v>
      </c>
      <c r="D3699" s="15" t="s">
        <v>5966</v>
      </c>
      <c r="E3699" s="9" t="s">
        <v>929</v>
      </c>
      <c r="F3699" s="9" t="s">
        <v>5965</v>
      </c>
      <c r="G3699" s="9" t="s">
        <v>1091</v>
      </c>
      <c r="H3699" s="2" t="s">
        <v>60</v>
      </c>
      <c r="I3699" s="3">
        <v>37210</v>
      </c>
      <c r="J3699" s="9" t="str">
        <f t="shared" ca="1" si="60"/>
        <v>21 ans</v>
      </c>
      <c r="K3699" s="2" t="s">
        <v>262</v>
      </c>
      <c r="L3699" s="2" t="str">
        <f>"1877"</f>
        <v>1877</v>
      </c>
      <c r="M3699" s="2"/>
      <c r="N3699" s="2" t="str">
        <f>"RUE LAMANQUE"</f>
        <v>RUE LAMANQUE</v>
      </c>
      <c r="O3699" s="2" t="s">
        <v>14661</v>
      </c>
      <c r="P3699" s="9" t="str">
        <f>VLOOKUP($O3699,'Liste des Villes'!$B$2:$B$1128,1,FALSE)</f>
        <v>Mirabel</v>
      </c>
      <c r="Q3699" s="9" t="str">
        <f>IFERROR($P3699,PROPER(VLOOKUP($O3699,'Villes en erreur'!$A$2:$B$72,2,FALSE)))</f>
        <v>Mirabel</v>
      </c>
      <c r="R3699" s="9" t="s">
        <v>14662</v>
      </c>
      <c r="S3699" s="9" t="str">
        <f>IF(ISBLANK($R3699),"",VLOOKUP($R3699,'Liste des Villes'!$B$2:$H$1128,4,FALSE))</f>
        <v>Laurentides</v>
      </c>
      <c r="T3699" s="2" t="s">
        <v>16056</v>
      </c>
      <c r="U3699" s="2" t="s">
        <v>39</v>
      </c>
      <c r="V3699" s="2" t="s">
        <v>40</v>
      </c>
      <c r="W3699" s="2" t="s">
        <v>16057</v>
      </c>
      <c r="X3699" s="2"/>
      <c r="Y3699" s="2"/>
      <c r="Z3699" s="2"/>
      <c r="AA3699" s="2" t="s">
        <v>708</v>
      </c>
      <c r="AB3699" s="2" t="s">
        <v>14669</v>
      </c>
      <c r="AC3699" s="4" t="s">
        <v>44</v>
      </c>
    </row>
    <row r="3700" spans="1:29" x14ac:dyDescent="0.25">
      <c r="A3700" s="1">
        <v>120</v>
      </c>
      <c r="B3700" s="17" t="s">
        <v>16058</v>
      </c>
      <c r="C3700" s="2" t="s">
        <v>2000</v>
      </c>
      <c r="D3700" s="15" t="s">
        <v>2001</v>
      </c>
      <c r="E3700" s="9" t="s">
        <v>219</v>
      </c>
      <c r="F3700" s="9" t="s">
        <v>582</v>
      </c>
      <c r="G3700" s="9" t="s">
        <v>1702</v>
      </c>
      <c r="H3700" s="2" t="s">
        <v>35</v>
      </c>
      <c r="I3700" s="3">
        <v>37152</v>
      </c>
      <c r="J3700" s="9" t="str">
        <f t="shared" ca="1" si="60"/>
        <v>21 ans</v>
      </c>
      <c r="K3700" s="2" t="s">
        <v>156</v>
      </c>
      <c r="L3700" s="2" t="str">
        <f>"1456"</f>
        <v>1456</v>
      </c>
      <c r="M3700" s="2"/>
      <c r="N3700" s="2" t="str">
        <f>"RUE JACINTHE"</f>
        <v>RUE JACINTHE</v>
      </c>
      <c r="O3700" s="2" t="s">
        <v>14661</v>
      </c>
      <c r="P3700" s="9" t="str">
        <f>VLOOKUP($O3700,'Liste des Villes'!$B$2:$B$1128,1,FALSE)</f>
        <v>Mirabel</v>
      </c>
      <c r="Q3700" s="9" t="str">
        <f>IFERROR($P3700,PROPER(VLOOKUP($O3700,'Villes en erreur'!$A$2:$B$72,2,FALSE)))</f>
        <v>Mirabel</v>
      </c>
      <c r="R3700" s="9" t="s">
        <v>14662</v>
      </c>
      <c r="S3700" s="9" t="str">
        <f>IF(ISBLANK($R3700),"",VLOOKUP($R3700,'Liste des Villes'!$B$2:$H$1128,4,FALSE))</f>
        <v>Laurentides</v>
      </c>
      <c r="T3700" s="2" t="s">
        <v>15621</v>
      </c>
      <c r="U3700" s="2" t="s">
        <v>39</v>
      </c>
      <c r="V3700" s="2" t="s">
        <v>40</v>
      </c>
      <c r="W3700" s="2" t="s">
        <v>16059</v>
      </c>
      <c r="X3700" s="2"/>
      <c r="Y3700" s="2"/>
      <c r="Z3700" s="2"/>
      <c r="AA3700" s="2" t="s">
        <v>708</v>
      </c>
      <c r="AB3700" s="2" t="s">
        <v>376</v>
      </c>
      <c r="AC3700" s="4" t="s">
        <v>44</v>
      </c>
    </row>
    <row r="3701" spans="1:29" x14ac:dyDescent="0.25">
      <c r="A3701" s="1">
        <v>3381</v>
      </c>
      <c r="B3701" s="17" t="s">
        <v>16060</v>
      </c>
      <c r="C3701" s="2" t="s">
        <v>16061</v>
      </c>
      <c r="D3701" s="15" t="s">
        <v>14444</v>
      </c>
      <c r="E3701" s="9" t="s">
        <v>16062</v>
      </c>
      <c r="F3701" s="9" t="s">
        <v>584</v>
      </c>
      <c r="G3701" s="9" t="s">
        <v>4729</v>
      </c>
      <c r="H3701" s="2" t="s">
        <v>35</v>
      </c>
      <c r="I3701" s="3">
        <v>37127</v>
      </c>
      <c r="J3701" s="9" t="str">
        <f t="shared" ca="1" si="60"/>
        <v>22 ans</v>
      </c>
      <c r="K3701" s="2" t="s">
        <v>156</v>
      </c>
      <c r="L3701" s="2" t="str">
        <f>"1338"</f>
        <v>1338</v>
      </c>
      <c r="M3701" s="2"/>
      <c r="N3701" s="2" t="str">
        <f>"RUE GUÉNETTE"</f>
        <v>RUE GUÉNETTE</v>
      </c>
      <c r="O3701" s="2" t="s">
        <v>14661</v>
      </c>
      <c r="P3701" s="9" t="str">
        <f>VLOOKUP($O3701,'Liste des Villes'!$B$2:$B$1128,1,FALSE)</f>
        <v>Mirabel</v>
      </c>
      <c r="Q3701" s="9" t="str">
        <f>IFERROR($P3701,PROPER(VLOOKUP($O3701,'Villes en erreur'!$A$2:$B$72,2,FALSE)))</f>
        <v>Mirabel</v>
      </c>
      <c r="R3701" s="9" t="s">
        <v>14662</v>
      </c>
      <c r="S3701" s="9" t="str">
        <f>IF(ISBLANK($R3701),"",VLOOKUP($R3701,'Liste des Villes'!$B$2:$H$1128,4,FALSE))</f>
        <v>Laurentides</v>
      </c>
      <c r="T3701" s="2" t="s">
        <v>14693</v>
      </c>
      <c r="U3701" s="2" t="s">
        <v>39</v>
      </c>
      <c r="V3701" s="2" t="s">
        <v>40</v>
      </c>
      <c r="W3701" s="2" t="s">
        <v>16063</v>
      </c>
      <c r="X3701" s="2"/>
      <c r="Y3701" s="2"/>
      <c r="Z3701" s="2"/>
      <c r="AA3701" s="2" t="s">
        <v>375</v>
      </c>
      <c r="AB3701" s="2" t="s">
        <v>376</v>
      </c>
      <c r="AC3701" s="4" t="s">
        <v>44</v>
      </c>
    </row>
    <row r="3702" spans="1:29" x14ac:dyDescent="0.25">
      <c r="A3702" s="1">
        <v>4527</v>
      </c>
      <c r="B3702" s="17" t="s">
        <v>16064</v>
      </c>
      <c r="C3702" s="2" t="s">
        <v>16065</v>
      </c>
      <c r="D3702" s="15" t="s">
        <v>13603</v>
      </c>
      <c r="E3702" s="9" t="s">
        <v>1410</v>
      </c>
      <c r="F3702" s="9" t="s">
        <v>3089</v>
      </c>
      <c r="G3702" s="9" t="s">
        <v>840</v>
      </c>
      <c r="H3702" s="2" t="s">
        <v>60</v>
      </c>
      <c r="I3702" s="3">
        <v>37179</v>
      </c>
      <c r="J3702" s="9" t="str">
        <f t="shared" ca="1" si="60"/>
        <v>21 ans</v>
      </c>
      <c r="K3702" s="2" t="s">
        <v>262</v>
      </c>
      <c r="L3702" s="2" t="str">
        <f>"1647"</f>
        <v>1647</v>
      </c>
      <c r="M3702" s="2"/>
      <c r="N3702" s="2" t="str">
        <f>"RUE JOSEPH-FORTIER"</f>
        <v>RUE JOSEPH-FORTIER</v>
      </c>
      <c r="O3702" s="2" t="s">
        <v>14661</v>
      </c>
      <c r="P3702" s="9" t="str">
        <f>VLOOKUP($O3702,'Liste des Villes'!$B$2:$B$1128,1,FALSE)</f>
        <v>Mirabel</v>
      </c>
      <c r="Q3702" s="9" t="str">
        <f>IFERROR($P3702,PROPER(VLOOKUP($O3702,'Villes en erreur'!$A$2:$B$72,2,FALSE)))</f>
        <v>Mirabel</v>
      </c>
      <c r="R3702" s="9" t="s">
        <v>14662</v>
      </c>
      <c r="S3702" s="9" t="str">
        <f>IF(ISBLANK($R3702),"",VLOOKUP($R3702,'Liste des Villes'!$B$2:$H$1128,4,FALSE))</f>
        <v>Laurentides</v>
      </c>
      <c r="T3702" s="2" t="s">
        <v>15416</v>
      </c>
      <c r="U3702" s="2" t="s">
        <v>39</v>
      </c>
      <c r="V3702" s="2" t="s">
        <v>40</v>
      </c>
      <c r="W3702" s="2" t="s">
        <v>16066</v>
      </c>
      <c r="X3702" s="2"/>
      <c r="Y3702" s="2"/>
      <c r="Z3702" s="2"/>
      <c r="AA3702" s="2" t="s">
        <v>708</v>
      </c>
      <c r="AB3702" s="2" t="s">
        <v>14669</v>
      </c>
      <c r="AC3702" s="4" t="s">
        <v>44</v>
      </c>
    </row>
    <row r="3703" spans="1:29" x14ac:dyDescent="0.25">
      <c r="A3703" s="1">
        <v>1305</v>
      </c>
      <c r="B3703" s="17" t="s">
        <v>16067</v>
      </c>
      <c r="C3703" s="2" t="s">
        <v>16068</v>
      </c>
      <c r="D3703" s="15" t="s">
        <v>16069</v>
      </c>
      <c r="E3703" s="9" t="s">
        <v>3668</v>
      </c>
      <c r="F3703" s="9" t="s">
        <v>16070</v>
      </c>
      <c r="G3703" s="9" t="s">
        <v>860</v>
      </c>
      <c r="H3703" s="2" t="s">
        <v>60</v>
      </c>
      <c r="I3703" s="3">
        <v>37183</v>
      </c>
      <c r="J3703" s="9" t="str">
        <f t="shared" ca="1" si="60"/>
        <v>21 ans</v>
      </c>
      <c r="K3703" s="2" t="s">
        <v>262</v>
      </c>
      <c r="L3703" s="2" t="str">
        <f>"1697"</f>
        <v>1697</v>
      </c>
      <c r="M3703" s="2"/>
      <c r="N3703" s="2" t="str">
        <f>"RUE KENNY"</f>
        <v>RUE KENNY</v>
      </c>
      <c r="O3703" s="2" t="s">
        <v>14661</v>
      </c>
      <c r="P3703" s="9" t="str">
        <f>VLOOKUP($O3703,'Liste des Villes'!$B$2:$B$1128,1,FALSE)</f>
        <v>Mirabel</v>
      </c>
      <c r="Q3703" s="9" t="str">
        <f>IFERROR($P3703,PROPER(VLOOKUP($O3703,'Villes en erreur'!$A$2:$B$72,2,FALSE)))</f>
        <v>Mirabel</v>
      </c>
      <c r="R3703" s="9" t="s">
        <v>14662</v>
      </c>
      <c r="S3703" s="9" t="str">
        <f>IF(ISBLANK($R3703),"",VLOOKUP($R3703,'Liste des Villes'!$B$2:$H$1128,4,FALSE))</f>
        <v>Laurentides</v>
      </c>
      <c r="T3703" s="2" t="s">
        <v>14722</v>
      </c>
      <c r="U3703" s="2" t="s">
        <v>39</v>
      </c>
      <c r="V3703" s="2" t="s">
        <v>40</v>
      </c>
      <c r="W3703" s="2" t="s">
        <v>16071</v>
      </c>
      <c r="X3703" s="2"/>
      <c r="Y3703" s="2"/>
      <c r="Z3703" s="2"/>
      <c r="AA3703" s="2" t="s">
        <v>708</v>
      </c>
      <c r="AB3703" s="2" t="s">
        <v>14669</v>
      </c>
      <c r="AC3703" s="4" t="s">
        <v>44</v>
      </c>
    </row>
    <row r="3704" spans="1:29" x14ac:dyDescent="0.25">
      <c r="A3704" s="1">
        <v>4490</v>
      </c>
      <c r="B3704" s="17" t="s">
        <v>16072</v>
      </c>
      <c r="C3704" s="2" t="s">
        <v>3320</v>
      </c>
      <c r="D3704" s="15" t="s">
        <v>1371</v>
      </c>
      <c r="E3704" s="9" t="s">
        <v>1091</v>
      </c>
      <c r="F3704" s="9" t="s">
        <v>4998</v>
      </c>
      <c r="G3704" s="9" t="s">
        <v>743</v>
      </c>
      <c r="H3704" s="2" t="s">
        <v>60</v>
      </c>
      <c r="I3704" s="3">
        <v>37169</v>
      </c>
      <c r="J3704" s="9" t="str">
        <f t="shared" ca="1" si="60"/>
        <v>21 ans</v>
      </c>
      <c r="K3704" s="2" t="s">
        <v>156</v>
      </c>
      <c r="L3704" s="2" t="str">
        <f>"1570"</f>
        <v>1570</v>
      </c>
      <c r="M3704" s="2"/>
      <c r="N3704" s="2" t="str">
        <f>"RUE JIMMY"</f>
        <v>RUE JIMMY</v>
      </c>
      <c r="O3704" s="2" t="s">
        <v>14661</v>
      </c>
      <c r="P3704" s="9" t="str">
        <f>VLOOKUP($O3704,'Liste des Villes'!$B$2:$B$1128,1,FALSE)</f>
        <v>Mirabel</v>
      </c>
      <c r="Q3704" s="9" t="str">
        <f>IFERROR($P3704,PROPER(VLOOKUP($O3704,'Villes en erreur'!$A$2:$B$72,2,FALSE)))</f>
        <v>Mirabel</v>
      </c>
      <c r="R3704" s="9" t="s">
        <v>14662</v>
      </c>
      <c r="S3704" s="9" t="str">
        <f>IF(ISBLANK($R3704),"",VLOOKUP($R3704,'Liste des Villes'!$B$2:$H$1128,4,FALSE))</f>
        <v>Laurentides</v>
      </c>
      <c r="T3704" s="2" t="s">
        <v>15745</v>
      </c>
      <c r="U3704" s="2" t="s">
        <v>39</v>
      </c>
      <c r="V3704" s="2" t="s">
        <v>40</v>
      </c>
      <c r="W3704" s="2" t="s">
        <v>15746</v>
      </c>
      <c r="X3704" s="2"/>
      <c r="Y3704" s="2"/>
      <c r="Z3704" s="2"/>
      <c r="AA3704" s="2" t="s">
        <v>708</v>
      </c>
      <c r="AB3704" s="2" t="s">
        <v>376</v>
      </c>
      <c r="AC3704" s="4" t="s">
        <v>44</v>
      </c>
    </row>
    <row r="3705" spans="1:29" x14ac:dyDescent="0.25">
      <c r="A3705" s="1">
        <v>1202</v>
      </c>
      <c r="B3705" s="17" t="s">
        <v>16073</v>
      </c>
      <c r="C3705" s="2" t="s">
        <v>7265</v>
      </c>
      <c r="D3705" s="15" t="s">
        <v>1061</v>
      </c>
      <c r="E3705" s="9" t="s">
        <v>1560</v>
      </c>
      <c r="F3705" s="9" t="s">
        <v>4242</v>
      </c>
      <c r="G3705" s="9" t="s">
        <v>1049</v>
      </c>
      <c r="H3705" s="2" t="s">
        <v>60</v>
      </c>
      <c r="I3705" s="3">
        <v>37150</v>
      </c>
      <c r="J3705" s="9" t="str">
        <f t="shared" ca="1" si="60"/>
        <v>21 ans</v>
      </c>
      <c r="K3705" s="2" t="s">
        <v>156</v>
      </c>
      <c r="L3705" s="2" t="str">
        <f>"1444"</f>
        <v>1444</v>
      </c>
      <c r="M3705" s="2"/>
      <c r="N3705" s="2" t="str">
        <f>"rue J.C. Wilson"</f>
        <v>rue J.C. Wilson</v>
      </c>
      <c r="O3705" s="2" t="s">
        <v>14661</v>
      </c>
      <c r="P3705" s="9" t="str">
        <f>VLOOKUP($O3705,'Liste des Villes'!$B$2:$B$1128,1,FALSE)</f>
        <v>Mirabel</v>
      </c>
      <c r="Q3705" s="9" t="str">
        <f>IFERROR($P3705,PROPER(VLOOKUP($O3705,'Villes en erreur'!$A$2:$B$72,2,FALSE)))</f>
        <v>Mirabel</v>
      </c>
      <c r="R3705" s="9" t="s">
        <v>14662</v>
      </c>
      <c r="S3705" s="9" t="str">
        <f>IF(ISBLANK($R3705),"",VLOOKUP($R3705,'Liste des Villes'!$B$2:$H$1128,4,FALSE))</f>
        <v>Laurentides</v>
      </c>
      <c r="T3705" s="2" t="s">
        <v>16074</v>
      </c>
      <c r="U3705" s="2" t="s">
        <v>39</v>
      </c>
      <c r="V3705" s="2" t="s">
        <v>40</v>
      </c>
      <c r="W3705" s="2" t="s">
        <v>16075</v>
      </c>
      <c r="X3705" s="2"/>
      <c r="Y3705" s="2"/>
      <c r="Z3705" s="2"/>
      <c r="AA3705" s="2" t="s">
        <v>708</v>
      </c>
      <c r="AB3705" s="2" t="s">
        <v>376</v>
      </c>
      <c r="AC3705" s="4" t="s">
        <v>44</v>
      </c>
    </row>
    <row r="3706" spans="1:29" x14ac:dyDescent="0.25">
      <c r="A3706" s="1">
        <v>69</v>
      </c>
      <c r="B3706" s="17" t="s">
        <v>16076</v>
      </c>
      <c r="C3706" s="2" t="s">
        <v>844</v>
      </c>
      <c r="D3706" s="15" t="s">
        <v>845</v>
      </c>
      <c r="E3706" s="9" t="s">
        <v>509</v>
      </c>
      <c r="F3706" s="9" t="s">
        <v>510</v>
      </c>
      <c r="G3706" s="9" t="s">
        <v>16077</v>
      </c>
      <c r="H3706" s="2" t="s">
        <v>60</v>
      </c>
      <c r="I3706" s="3">
        <v>37088</v>
      </c>
      <c r="J3706" s="9" t="str">
        <f t="shared" ca="1" si="60"/>
        <v>22 ans</v>
      </c>
      <c r="K3706" s="2" t="s">
        <v>156</v>
      </c>
      <c r="L3706" s="2" t="str">
        <f>"1195"</f>
        <v>1195</v>
      </c>
      <c r="M3706" s="2"/>
      <c r="N3706" s="2" t="str">
        <f>"RUE FORGET"</f>
        <v>RUE FORGET</v>
      </c>
      <c r="O3706" s="2" t="s">
        <v>14661</v>
      </c>
      <c r="P3706" s="9" t="str">
        <f>VLOOKUP($O3706,'Liste des Villes'!$B$2:$B$1128,1,FALSE)</f>
        <v>Mirabel</v>
      </c>
      <c r="Q3706" s="9" t="str">
        <f>IFERROR($P3706,PROPER(VLOOKUP($O3706,'Villes en erreur'!$A$2:$B$72,2,FALSE)))</f>
        <v>Mirabel</v>
      </c>
      <c r="R3706" s="9" t="s">
        <v>14662</v>
      </c>
      <c r="S3706" s="9" t="str">
        <f>IF(ISBLANK($R3706),"",VLOOKUP($R3706,'Liste des Villes'!$B$2:$H$1128,4,FALSE))</f>
        <v>Laurentides</v>
      </c>
      <c r="T3706" s="2" t="s">
        <v>14753</v>
      </c>
      <c r="U3706" s="2" t="s">
        <v>39</v>
      </c>
      <c r="V3706" s="2" t="s">
        <v>40</v>
      </c>
      <c r="W3706" s="2" t="s">
        <v>16078</v>
      </c>
      <c r="X3706" s="2"/>
      <c r="Y3706" s="2"/>
      <c r="Z3706" s="2"/>
      <c r="AA3706" s="2" t="s">
        <v>375</v>
      </c>
      <c r="AB3706" s="2" t="s">
        <v>376</v>
      </c>
      <c r="AC3706" s="4" t="s">
        <v>44</v>
      </c>
    </row>
    <row r="3707" spans="1:29" x14ac:dyDescent="0.25">
      <c r="A3707" s="1">
        <v>4566</v>
      </c>
      <c r="B3707" s="17" t="s">
        <v>16079</v>
      </c>
      <c r="C3707" s="2" t="s">
        <v>7842</v>
      </c>
      <c r="D3707" s="15" t="s">
        <v>1360</v>
      </c>
      <c r="E3707" s="9" t="s">
        <v>7380</v>
      </c>
      <c r="F3707" s="9" t="s">
        <v>6577</v>
      </c>
      <c r="G3707" s="9" t="s">
        <v>563</v>
      </c>
      <c r="H3707" s="2" t="s">
        <v>60</v>
      </c>
      <c r="I3707" s="3">
        <v>37084</v>
      </c>
      <c r="J3707" s="9" t="str">
        <f t="shared" ca="1" si="60"/>
        <v>22 ans</v>
      </c>
      <c r="K3707" s="2" t="s">
        <v>156</v>
      </c>
      <c r="L3707" s="2" t="str">
        <f>"1178"</f>
        <v>1178</v>
      </c>
      <c r="M3707" s="2"/>
      <c r="N3707" s="2" t="str">
        <f>"RUE FERLAND"</f>
        <v>RUE FERLAND</v>
      </c>
      <c r="O3707" s="2" t="s">
        <v>14661</v>
      </c>
      <c r="P3707" s="9" t="str">
        <f>VLOOKUP($O3707,'Liste des Villes'!$B$2:$B$1128,1,FALSE)</f>
        <v>Mirabel</v>
      </c>
      <c r="Q3707" s="9" t="str">
        <f>IFERROR($P3707,PROPER(VLOOKUP($O3707,'Villes en erreur'!$A$2:$B$72,2,FALSE)))</f>
        <v>Mirabel</v>
      </c>
      <c r="R3707" s="9" t="s">
        <v>14662</v>
      </c>
      <c r="S3707" s="9" t="str">
        <f>IF(ISBLANK($R3707),"",VLOOKUP($R3707,'Liste des Villes'!$B$2:$H$1128,4,FALSE))</f>
        <v>Laurentides</v>
      </c>
      <c r="T3707" s="2" t="s">
        <v>16080</v>
      </c>
      <c r="U3707" s="2" t="s">
        <v>39</v>
      </c>
      <c r="V3707" s="2" t="s">
        <v>40</v>
      </c>
      <c r="W3707" s="2" t="s">
        <v>16081</v>
      </c>
      <c r="X3707" s="2"/>
      <c r="Y3707" s="2"/>
      <c r="Z3707" s="2"/>
      <c r="AA3707" s="2" t="s">
        <v>375</v>
      </c>
      <c r="AB3707" s="2" t="s">
        <v>376</v>
      </c>
      <c r="AC3707" s="4" t="s">
        <v>44</v>
      </c>
    </row>
    <row r="3708" spans="1:29" x14ac:dyDescent="0.25">
      <c r="A3708" s="1">
        <v>3152</v>
      </c>
      <c r="B3708" s="17" t="s">
        <v>16082</v>
      </c>
      <c r="C3708" s="2" t="s">
        <v>13630</v>
      </c>
      <c r="D3708" s="15" t="s">
        <v>13631</v>
      </c>
      <c r="E3708" s="9" t="s">
        <v>1416</v>
      </c>
      <c r="F3708" s="9" t="s">
        <v>13786</v>
      </c>
      <c r="G3708" s="9" t="s">
        <v>7366</v>
      </c>
      <c r="H3708" s="2" t="s">
        <v>60</v>
      </c>
      <c r="I3708" s="3">
        <v>37128</v>
      </c>
      <c r="J3708" s="9" t="str">
        <f t="shared" ca="1" si="60"/>
        <v>21 ans</v>
      </c>
      <c r="K3708" s="2" t="s">
        <v>156</v>
      </c>
      <c r="L3708" s="2" t="str">
        <f>"1343"</f>
        <v>1343</v>
      </c>
      <c r="M3708" s="2"/>
      <c r="N3708" s="2" t="str">
        <f>"RUE GUÉRIN"</f>
        <v>RUE GUÉRIN</v>
      </c>
      <c r="O3708" s="2" t="s">
        <v>14661</v>
      </c>
      <c r="P3708" s="9" t="str">
        <f>VLOOKUP($O3708,'Liste des Villes'!$B$2:$B$1128,1,FALSE)</f>
        <v>Mirabel</v>
      </c>
      <c r="Q3708" s="9" t="str">
        <f>IFERROR($P3708,PROPER(VLOOKUP($O3708,'Villes en erreur'!$A$2:$B$72,2,FALSE)))</f>
        <v>Mirabel</v>
      </c>
      <c r="R3708" s="9" t="s">
        <v>14662</v>
      </c>
      <c r="S3708" s="9" t="str">
        <f>IF(ISBLANK($R3708),"",VLOOKUP($R3708,'Liste des Villes'!$B$2:$H$1128,4,FALSE))</f>
        <v>Laurentides</v>
      </c>
      <c r="T3708" s="2" t="s">
        <v>15066</v>
      </c>
      <c r="U3708" s="2" t="s">
        <v>39</v>
      </c>
      <c r="V3708" s="2" t="s">
        <v>40</v>
      </c>
      <c r="W3708" s="2" t="s">
        <v>16083</v>
      </c>
      <c r="X3708" s="2"/>
      <c r="Y3708" s="2"/>
      <c r="Z3708" s="2"/>
      <c r="AA3708" s="2" t="s">
        <v>375</v>
      </c>
      <c r="AB3708" s="2" t="s">
        <v>376</v>
      </c>
      <c r="AC3708" s="4" t="s">
        <v>44</v>
      </c>
    </row>
    <row r="3709" spans="1:29" x14ac:dyDescent="0.25">
      <c r="A3709" s="1">
        <v>2742</v>
      </c>
      <c r="B3709" s="17" t="s">
        <v>16084</v>
      </c>
      <c r="C3709" s="2" t="s">
        <v>16085</v>
      </c>
      <c r="D3709" s="15" t="s">
        <v>4081</v>
      </c>
      <c r="E3709" s="9" t="s">
        <v>16086</v>
      </c>
      <c r="F3709" s="9" t="s">
        <v>16087</v>
      </c>
      <c r="G3709" s="9" t="s">
        <v>5116</v>
      </c>
      <c r="H3709" s="2" t="s">
        <v>60</v>
      </c>
      <c r="I3709" s="3">
        <v>37123</v>
      </c>
      <c r="J3709" s="9" t="str">
        <f t="shared" ca="1" si="60"/>
        <v>22 ans</v>
      </c>
      <c r="K3709" s="2" t="s">
        <v>156</v>
      </c>
      <c r="L3709" s="2" t="str">
        <f>"1318"</f>
        <v>1318</v>
      </c>
      <c r="M3709" s="2"/>
      <c r="N3709" s="2" t="str">
        <f>"RUE GRACE"</f>
        <v>RUE GRACE</v>
      </c>
      <c r="O3709" s="2" t="s">
        <v>14661</v>
      </c>
      <c r="P3709" s="9" t="str">
        <f>VLOOKUP($O3709,'Liste des Villes'!$B$2:$B$1128,1,FALSE)</f>
        <v>Mirabel</v>
      </c>
      <c r="Q3709" s="9" t="str">
        <f>IFERROR($P3709,PROPER(VLOOKUP($O3709,'Villes en erreur'!$A$2:$B$72,2,FALSE)))</f>
        <v>Mirabel</v>
      </c>
      <c r="R3709" s="9" t="s">
        <v>14662</v>
      </c>
      <c r="S3709" s="9" t="str">
        <f>IF(ISBLANK($R3709),"",VLOOKUP($R3709,'Liste des Villes'!$B$2:$H$1128,4,FALSE))</f>
        <v>Laurentides</v>
      </c>
      <c r="T3709" s="2" t="s">
        <v>16088</v>
      </c>
      <c r="U3709" s="2" t="s">
        <v>39</v>
      </c>
      <c r="V3709" s="2" t="s">
        <v>40</v>
      </c>
      <c r="W3709" s="2" t="s">
        <v>16089</v>
      </c>
      <c r="X3709" s="2"/>
      <c r="Y3709" s="2"/>
      <c r="Z3709" s="2"/>
      <c r="AA3709" s="2" t="s">
        <v>375</v>
      </c>
      <c r="AB3709" s="2" t="s">
        <v>376</v>
      </c>
      <c r="AC3709" s="4" t="s">
        <v>44</v>
      </c>
    </row>
    <row r="3710" spans="1:29" x14ac:dyDescent="0.25">
      <c r="A3710" s="1">
        <v>4613</v>
      </c>
      <c r="B3710" s="17" t="s">
        <v>16090</v>
      </c>
      <c r="C3710" s="2" t="s">
        <v>16091</v>
      </c>
      <c r="D3710" s="15" t="s">
        <v>16092</v>
      </c>
      <c r="E3710" s="9" t="s">
        <v>14131</v>
      </c>
      <c r="F3710" s="9" t="s">
        <v>16093</v>
      </c>
      <c r="G3710" s="9" t="s">
        <v>325</v>
      </c>
      <c r="H3710" s="2" t="s">
        <v>35</v>
      </c>
      <c r="I3710" s="3">
        <v>37236</v>
      </c>
      <c r="J3710" s="9" t="str">
        <f t="shared" ca="1" si="60"/>
        <v>21 ans</v>
      </c>
      <c r="K3710" s="2" t="s">
        <v>262</v>
      </c>
      <c r="L3710" s="2" t="str">
        <f>"2025"</f>
        <v>2025</v>
      </c>
      <c r="M3710" s="2"/>
      <c r="N3710" s="2" t="str">
        <f>"RUE LAVIOLETTE"</f>
        <v>RUE LAVIOLETTE</v>
      </c>
      <c r="O3710" s="2" t="s">
        <v>14661</v>
      </c>
      <c r="P3710" s="9" t="str">
        <f>VLOOKUP($O3710,'Liste des Villes'!$B$2:$B$1128,1,FALSE)</f>
        <v>Mirabel</v>
      </c>
      <c r="Q3710" s="9" t="str">
        <f>IFERROR($P3710,PROPER(VLOOKUP($O3710,'Villes en erreur'!$A$2:$B$72,2,FALSE)))</f>
        <v>Mirabel</v>
      </c>
      <c r="R3710" s="9" t="s">
        <v>14662</v>
      </c>
      <c r="S3710" s="9" t="str">
        <f>IF(ISBLANK($R3710),"",VLOOKUP($R3710,'Liste des Villes'!$B$2:$H$1128,4,FALSE))</f>
        <v>Laurentides</v>
      </c>
      <c r="T3710" s="2" t="s">
        <v>16094</v>
      </c>
      <c r="U3710" s="2" t="s">
        <v>39</v>
      </c>
      <c r="V3710" s="2" t="s">
        <v>40</v>
      </c>
      <c r="W3710" s="2" t="s">
        <v>16095</v>
      </c>
      <c r="X3710" s="2"/>
      <c r="Y3710" s="2"/>
      <c r="Z3710" s="2"/>
      <c r="AA3710" s="2" t="s">
        <v>708</v>
      </c>
      <c r="AB3710" s="2" t="s">
        <v>14669</v>
      </c>
      <c r="AC3710" s="4" t="s">
        <v>44</v>
      </c>
    </row>
    <row r="3711" spans="1:29" x14ac:dyDescent="0.25">
      <c r="A3711" s="1">
        <v>862</v>
      </c>
      <c r="B3711" s="17" t="s">
        <v>16096</v>
      </c>
      <c r="C3711" s="2" t="s">
        <v>13670</v>
      </c>
      <c r="D3711" s="15" t="s">
        <v>7800</v>
      </c>
      <c r="E3711" s="9" t="s">
        <v>253</v>
      </c>
      <c r="F3711" s="9" t="s">
        <v>16097</v>
      </c>
      <c r="G3711" s="9" t="s">
        <v>1212</v>
      </c>
      <c r="H3711" s="2" t="s">
        <v>60</v>
      </c>
      <c r="I3711" s="3">
        <v>37096</v>
      </c>
      <c r="J3711" s="9" t="str">
        <f t="shared" ca="1" si="60"/>
        <v>22 ans</v>
      </c>
      <c r="K3711" s="2" t="s">
        <v>156</v>
      </c>
      <c r="L3711" s="2" t="str">
        <f>"1215"</f>
        <v>1215</v>
      </c>
      <c r="M3711" s="2"/>
      <c r="N3711" s="2" t="str">
        <f>"RUE FOURNIER"</f>
        <v>RUE FOURNIER</v>
      </c>
      <c r="O3711" s="2" t="s">
        <v>14661</v>
      </c>
      <c r="P3711" s="9" t="str">
        <f>VLOOKUP($O3711,'Liste des Villes'!$B$2:$B$1128,1,FALSE)</f>
        <v>Mirabel</v>
      </c>
      <c r="Q3711" s="9" t="str">
        <f>IFERROR($P3711,PROPER(VLOOKUP($O3711,'Villes en erreur'!$A$2:$B$72,2,FALSE)))</f>
        <v>Mirabel</v>
      </c>
      <c r="R3711" s="9" t="s">
        <v>14662</v>
      </c>
      <c r="S3711" s="9" t="str">
        <f>IF(ISBLANK($R3711),"",VLOOKUP($R3711,'Liste des Villes'!$B$2:$H$1128,4,FALSE))</f>
        <v>Laurentides</v>
      </c>
      <c r="T3711" s="2" t="s">
        <v>16098</v>
      </c>
      <c r="U3711" s="2" t="s">
        <v>39</v>
      </c>
      <c r="V3711" s="2" t="s">
        <v>40</v>
      </c>
      <c r="W3711" s="2" t="s">
        <v>16099</v>
      </c>
      <c r="X3711" s="2"/>
      <c r="Y3711" s="2"/>
      <c r="Z3711" s="2"/>
      <c r="AA3711" s="2" t="s">
        <v>375</v>
      </c>
      <c r="AB3711" s="2" t="s">
        <v>376</v>
      </c>
      <c r="AC3711" s="4" t="s">
        <v>44</v>
      </c>
    </row>
    <row r="3712" spans="1:29" x14ac:dyDescent="0.25">
      <c r="A3712" s="1">
        <v>3927</v>
      </c>
      <c r="B3712" s="17" t="s">
        <v>16100</v>
      </c>
      <c r="C3712" s="2" t="s">
        <v>16101</v>
      </c>
      <c r="D3712" s="15" t="s">
        <v>1746</v>
      </c>
      <c r="E3712" s="9" t="s">
        <v>6604</v>
      </c>
      <c r="F3712" s="9" t="s">
        <v>10800</v>
      </c>
      <c r="G3712" s="9" t="s">
        <v>15755</v>
      </c>
      <c r="H3712" s="2" t="s">
        <v>35</v>
      </c>
      <c r="I3712" s="3">
        <v>37154</v>
      </c>
      <c r="J3712" s="9" t="str">
        <f t="shared" ca="1" si="60"/>
        <v>21 ans</v>
      </c>
      <c r="K3712" s="2" t="s">
        <v>156</v>
      </c>
      <c r="L3712" s="2" t="str">
        <f>"1465"</f>
        <v>1465</v>
      </c>
      <c r="M3712" s="2"/>
      <c r="N3712" s="2" t="str">
        <f>"RUE JACQUES MARQUETTE"</f>
        <v>RUE JACQUES MARQUETTE</v>
      </c>
      <c r="O3712" s="2" t="s">
        <v>14661</v>
      </c>
      <c r="P3712" s="9" t="str">
        <f>VLOOKUP($O3712,'Liste des Villes'!$B$2:$B$1128,1,FALSE)</f>
        <v>Mirabel</v>
      </c>
      <c r="Q3712" s="9" t="str">
        <f>IFERROR($P3712,PROPER(VLOOKUP($O3712,'Villes en erreur'!$A$2:$B$72,2,FALSE)))</f>
        <v>Mirabel</v>
      </c>
      <c r="R3712" s="9" t="s">
        <v>14662</v>
      </c>
      <c r="S3712" s="9" t="str">
        <f>IF(ISBLANK($R3712),"",VLOOKUP($R3712,'Liste des Villes'!$B$2:$H$1128,4,FALSE))</f>
        <v>Laurentides</v>
      </c>
      <c r="T3712" s="2" t="s">
        <v>16102</v>
      </c>
      <c r="U3712" s="2" t="s">
        <v>39</v>
      </c>
      <c r="V3712" s="2" t="s">
        <v>40</v>
      </c>
      <c r="W3712" s="2" t="s">
        <v>16103</v>
      </c>
      <c r="X3712" s="2"/>
      <c r="Y3712" s="2"/>
      <c r="Z3712" s="2"/>
      <c r="AA3712" s="2" t="s">
        <v>708</v>
      </c>
      <c r="AB3712" s="2" t="s">
        <v>376</v>
      </c>
      <c r="AC3712" s="4" t="s">
        <v>44</v>
      </c>
    </row>
    <row r="3713" spans="1:29" x14ac:dyDescent="0.25">
      <c r="A3713" s="1">
        <v>4413</v>
      </c>
      <c r="B3713" s="17" t="s">
        <v>16104</v>
      </c>
      <c r="C3713" s="2" t="s">
        <v>3065</v>
      </c>
      <c r="D3713" s="15" t="s">
        <v>1477</v>
      </c>
      <c r="E3713" s="9" t="s">
        <v>3066</v>
      </c>
      <c r="F3713" s="9" t="s">
        <v>12747</v>
      </c>
      <c r="G3713" s="9" t="s">
        <v>3263</v>
      </c>
      <c r="H3713" s="2" t="s">
        <v>35</v>
      </c>
      <c r="I3713" s="3">
        <v>37118</v>
      </c>
      <c r="J3713" s="9" t="str">
        <f t="shared" ca="1" si="60"/>
        <v>22 ans</v>
      </c>
      <c r="K3713" s="2" t="s">
        <v>156</v>
      </c>
      <c r="L3713" s="2" t="str">
        <f>"1294"</f>
        <v>1294</v>
      </c>
      <c r="M3713" s="2"/>
      <c r="N3713" s="2" t="str">
        <f>"RUE GILBERT"</f>
        <v>RUE GILBERT</v>
      </c>
      <c r="O3713" s="2" t="s">
        <v>14661</v>
      </c>
      <c r="P3713" s="9" t="str">
        <f>VLOOKUP($O3713,'Liste des Villes'!$B$2:$B$1128,1,FALSE)</f>
        <v>Mirabel</v>
      </c>
      <c r="Q3713" s="9" t="str">
        <f>IFERROR($P3713,PROPER(VLOOKUP($O3713,'Villes en erreur'!$A$2:$B$72,2,FALSE)))</f>
        <v>Mirabel</v>
      </c>
      <c r="R3713" s="9" t="s">
        <v>14662</v>
      </c>
      <c r="S3713" s="9" t="str">
        <f>IF(ISBLANK($R3713),"",VLOOKUP($R3713,'Liste des Villes'!$B$2:$H$1128,4,FALSE))</f>
        <v>Laurentides</v>
      </c>
      <c r="T3713" s="2" t="s">
        <v>15606</v>
      </c>
      <c r="U3713" s="2" t="s">
        <v>39</v>
      </c>
      <c r="V3713" s="2" t="s">
        <v>40</v>
      </c>
      <c r="W3713" s="2" t="s">
        <v>16105</v>
      </c>
      <c r="X3713" s="2"/>
      <c r="Y3713" s="2"/>
      <c r="Z3713" s="2"/>
      <c r="AA3713" s="2" t="s">
        <v>375</v>
      </c>
      <c r="AB3713" s="2" t="s">
        <v>376</v>
      </c>
      <c r="AC3713" s="4" t="s">
        <v>44</v>
      </c>
    </row>
    <row r="3714" spans="1:29" x14ac:dyDescent="0.25">
      <c r="A3714" s="1">
        <v>3878</v>
      </c>
      <c r="B3714" s="17" t="s">
        <v>16106</v>
      </c>
      <c r="C3714" s="2" t="s">
        <v>12331</v>
      </c>
      <c r="D3714" s="15" t="s">
        <v>12332</v>
      </c>
      <c r="E3714" s="9" t="s">
        <v>271</v>
      </c>
      <c r="F3714" s="9" t="s">
        <v>4256</v>
      </c>
      <c r="G3714" s="9" t="s">
        <v>362</v>
      </c>
      <c r="H3714" s="2" t="s">
        <v>35</v>
      </c>
      <c r="I3714" s="3">
        <v>37147</v>
      </c>
      <c r="J3714" s="9" t="str">
        <f t="shared" ref="J3714:J3777" ca="1" si="61">_xlfn.CONCAT(INT((TODAY()-$I3714)/365.25)," ans")</f>
        <v>21 ans</v>
      </c>
      <c r="K3714" s="2" t="s">
        <v>156</v>
      </c>
      <c r="L3714" s="2" t="str">
        <f>"1429"</f>
        <v>1429</v>
      </c>
      <c r="M3714" s="2"/>
      <c r="N3714" s="2" t="str">
        <f>"RUE ISAAC-JOGUES"</f>
        <v>RUE ISAAC-JOGUES</v>
      </c>
      <c r="O3714" s="2" t="s">
        <v>14662</v>
      </c>
      <c r="P3714" s="9" t="str">
        <f>VLOOKUP($O3714,'Liste des Villes'!$B$2:$B$1128,1,FALSE)</f>
        <v>Mirabel</v>
      </c>
      <c r="Q3714" s="9" t="str">
        <f>IFERROR($P3714,PROPER(VLOOKUP($O3714,'Villes en erreur'!$A$2:$B$72,2,FALSE)))</f>
        <v>Mirabel</v>
      </c>
      <c r="R3714" s="9" t="s">
        <v>14662</v>
      </c>
      <c r="S3714" s="9" t="str">
        <f>IF(ISBLANK($R3714),"",VLOOKUP($R3714,'Liste des Villes'!$B$2:$H$1128,4,FALSE))</f>
        <v>Laurentides</v>
      </c>
      <c r="T3714" s="2" t="s">
        <v>15137</v>
      </c>
      <c r="U3714" s="2" t="s">
        <v>39</v>
      </c>
      <c r="V3714" s="2" t="s">
        <v>40</v>
      </c>
      <c r="W3714" s="2" t="s">
        <v>16107</v>
      </c>
      <c r="X3714" s="2"/>
      <c r="Y3714" s="2"/>
      <c r="Z3714" s="2"/>
      <c r="AA3714" s="2" t="s">
        <v>708</v>
      </c>
      <c r="AB3714" s="2" t="s">
        <v>376</v>
      </c>
      <c r="AC3714" s="4" t="s">
        <v>44</v>
      </c>
    </row>
    <row r="3715" spans="1:29" x14ac:dyDescent="0.25">
      <c r="A3715" s="1">
        <v>3941</v>
      </c>
      <c r="B3715" s="17" t="s">
        <v>16108</v>
      </c>
      <c r="C3715" s="2" t="s">
        <v>2360</v>
      </c>
      <c r="D3715" s="15" t="s">
        <v>2115</v>
      </c>
      <c r="E3715" s="9" t="s">
        <v>195</v>
      </c>
      <c r="F3715" s="9" t="s">
        <v>14956</v>
      </c>
      <c r="G3715" s="9" t="s">
        <v>8190</v>
      </c>
      <c r="H3715" s="2" t="s">
        <v>60</v>
      </c>
      <c r="I3715" s="3">
        <v>37110</v>
      </c>
      <c r="J3715" s="9" t="str">
        <f t="shared" ca="1" si="61"/>
        <v>22 ans</v>
      </c>
      <c r="K3715" s="2" t="s">
        <v>156</v>
      </c>
      <c r="L3715" s="2" t="str">
        <f>"1261"</f>
        <v>1261</v>
      </c>
      <c r="M3715" s="2"/>
      <c r="N3715" s="2" t="str">
        <f>"RUE GAUGUIN"</f>
        <v>RUE GAUGUIN</v>
      </c>
      <c r="O3715" s="2" t="s">
        <v>14661</v>
      </c>
      <c r="P3715" s="9" t="str">
        <f>VLOOKUP($O3715,'Liste des Villes'!$B$2:$B$1128,1,FALSE)</f>
        <v>Mirabel</v>
      </c>
      <c r="Q3715" s="9" t="str">
        <f>IFERROR($P3715,PROPER(VLOOKUP($O3715,'Villes en erreur'!$A$2:$B$72,2,FALSE)))</f>
        <v>Mirabel</v>
      </c>
      <c r="R3715" s="9" t="s">
        <v>14662</v>
      </c>
      <c r="S3715" s="9" t="str">
        <f>IF(ISBLANK($R3715),"",VLOOKUP($R3715,'Liste des Villes'!$B$2:$H$1128,4,FALSE))</f>
        <v>Laurentides</v>
      </c>
      <c r="T3715" s="2" t="s">
        <v>16109</v>
      </c>
      <c r="U3715" s="2" t="s">
        <v>39</v>
      </c>
      <c r="V3715" s="2" t="s">
        <v>40</v>
      </c>
      <c r="W3715" s="2" t="s">
        <v>16110</v>
      </c>
      <c r="X3715" s="2"/>
      <c r="Y3715" s="2"/>
      <c r="Z3715" s="2"/>
      <c r="AA3715" s="2" t="s">
        <v>375</v>
      </c>
      <c r="AB3715" s="2" t="s">
        <v>376</v>
      </c>
      <c r="AC3715" s="4" t="s">
        <v>44</v>
      </c>
    </row>
    <row r="3716" spans="1:29" x14ac:dyDescent="0.25">
      <c r="A3716" s="1">
        <v>2961</v>
      </c>
      <c r="B3716" s="17" t="s">
        <v>16111</v>
      </c>
      <c r="C3716" s="2" t="s">
        <v>16112</v>
      </c>
      <c r="D3716" s="15" t="s">
        <v>1479</v>
      </c>
      <c r="E3716" s="9" t="s">
        <v>9520</v>
      </c>
      <c r="F3716" s="9" t="s">
        <v>1477</v>
      </c>
      <c r="G3716" s="9" t="s">
        <v>11296</v>
      </c>
      <c r="H3716" s="2" t="s">
        <v>60</v>
      </c>
      <c r="I3716" s="3">
        <v>37159</v>
      </c>
      <c r="J3716" s="9" t="str">
        <f t="shared" ca="1" si="61"/>
        <v>21 ans</v>
      </c>
      <c r="K3716" s="2" t="s">
        <v>156</v>
      </c>
      <c r="L3716" s="2" t="str">
        <f>"1498"</f>
        <v>1498</v>
      </c>
      <c r="M3716" s="2"/>
      <c r="N3716" s="2" t="str">
        <f>"RUE JEAN GUY"</f>
        <v>RUE JEAN GUY</v>
      </c>
      <c r="O3716" s="2" t="s">
        <v>14661</v>
      </c>
      <c r="P3716" s="9" t="str">
        <f>VLOOKUP($O3716,'Liste des Villes'!$B$2:$B$1128,1,FALSE)</f>
        <v>Mirabel</v>
      </c>
      <c r="Q3716" s="9" t="str">
        <f>IFERROR($P3716,PROPER(VLOOKUP($O3716,'Villes en erreur'!$A$2:$B$72,2,FALSE)))</f>
        <v>Mirabel</v>
      </c>
      <c r="R3716" s="9" t="s">
        <v>14662</v>
      </c>
      <c r="S3716" s="9" t="str">
        <f>IF(ISBLANK($R3716),"",VLOOKUP($R3716,'Liste des Villes'!$B$2:$H$1128,4,FALSE))</f>
        <v>Laurentides</v>
      </c>
      <c r="T3716" s="2" t="s">
        <v>15389</v>
      </c>
      <c r="U3716" s="2" t="s">
        <v>39</v>
      </c>
      <c r="V3716" s="2" t="s">
        <v>40</v>
      </c>
      <c r="W3716" s="2" t="s">
        <v>15618</v>
      </c>
      <c r="X3716" s="2"/>
      <c r="Y3716" s="2"/>
      <c r="Z3716" s="2"/>
      <c r="AA3716" s="2" t="s">
        <v>708</v>
      </c>
      <c r="AB3716" s="2" t="s">
        <v>376</v>
      </c>
      <c r="AC3716" s="4" t="s">
        <v>44</v>
      </c>
    </row>
    <row r="3717" spans="1:29" x14ac:dyDescent="0.25">
      <c r="A3717" s="1">
        <v>3119</v>
      </c>
      <c r="B3717" s="17" t="s">
        <v>16113</v>
      </c>
      <c r="C3717" s="2" t="s">
        <v>16114</v>
      </c>
      <c r="D3717" s="15" t="s">
        <v>2099</v>
      </c>
      <c r="E3717" s="9" t="s">
        <v>5857</v>
      </c>
      <c r="F3717" s="9" t="s">
        <v>8519</v>
      </c>
      <c r="G3717" s="9" t="s">
        <v>876</v>
      </c>
      <c r="H3717" s="2" t="s">
        <v>35</v>
      </c>
      <c r="I3717" s="3">
        <v>37118</v>
      </c>
      <c r="J3717" s="9" t="str">
        <f t="shared" ca="1" si="61"/>
        <v>22 ans</v>
      </c>
      <c r="K3717" s="2" t="s">
        <v>156</v>
      </c>
      <c r="L3717" s="2" t="str">
        <f>"1300"</f>
        <v>1300</v>
      </c>
      <c r="M3717" s="2"/>
      <c r="N3717" s="2" t="str">
        <f>"RUE GILLES"</f>
        <v>RUE GILLES</v>
      </c>
      <c r="O3717" s="2" t="s">
        <v>14661</v>
      </c>
      <c r="P3717" s="9" t="str">
        <f>VLOOKUP($O3717,'Liste des Villes'!$B$2:$B$1128,1,FALSE)</f>
        <v>Mirabel</v>
      </c>
      <c r="Q3717" s="9" t="str">
        <f>IFERROR($P3717,PROPER(VLOOKUP($O3717,'Villes en erreur'!$A$2:$B$72,2,FALSE)))</f>
        <v>Mirabel</v>
      </c>
      <c r="R3717" s="9" t="s">
        <v>14662</v>
      </c>
      <c r="S3717" s="9" t="str">
        <f>IF(ISBLANK($R3717),"",VLOOKUP($R3717,'Liste des Villes'!$B$2:$H$1128,4,FALSE))</f>
        <v>Laurentides</v>
      </c>
      <c r="T3717" s="2" t="s">
        <v>16115</v>
      </c>
      <c r="U3717" s="2" t="s">
        <v>39</v>
      </c>
      <c r="V3717" s="2" t="s">
        <v>40</v>
      </c>
      <c r="W3717" s="2" t="s">
        <v>16116</v>
      </c>
      <c r="X3717" s="2"/>
      <c r="Y3717" s="2"/>
      <c r="Z3717" s="2"/>
      <c r="AA3717" s="2" t="s">
        <v>375</v>
      </c>
      <c r="AB3717" s="2" t="s">
        <v>376</v>
      </c>
      <c r="AC3717" s="4" t="s">
        <v>44</v>
      </c>
    </row>
    <row r="3718" spans="1:29" x14ac:dyDescent="0.25">
      <c r="A3718" s="1">
        <v>1973</v>
      </c>
      <c r="B3718" s="17" t="s">
        <v>16117</v>
      </c>
      <c r="C3718" s="2" t="s">
        <v>1144</v>
      </c>
      <c r="D3718" s="15" t="s">
        <v>1145</v>
      </c>
      <c r="E3718" s="9" t="s">
        <v>495</v>
      </c>
      <c r="F3718" s="9" t="s">
        <v>4754</v>
      </c>
      <c r="G3718" s="9" t="s">
        <v>743</v>
      </c>
      <c r="H3718" s="2" t="s">
        <v>60</v>
      </c>
      <c r="I3718" s="3">
        <v>37170</v>
      </c>
      <c r="J3718" s="9" t="str">
        <f t="shared" ca="1" si="61"/>
        <v>21 ans</v>
      </c>
      <c r="K3718" s="2" t="s">
        <v>156</v>
      </c>
      <c r="L3718" s="2" t="str">
        <f>"1586"</f>
        <v>1586</v>
      </c>
      <c r="M3718" s="2"/>
      <c r="N3718" s="2" t="str">
        <f>"RUE JOHN ABBOTT"</f>
        <v>RUE JOHN ABBOTT</v>
      </c>
      <c r="O3718" s="2" t="s">
        <v>14661</v>
      </c>
      <c r="P3718" s="9" t="str">
        <f>VLOOKUP($O3718,'Liste des Villes'!$B$2:$B$1128,1,FALSE)</f>
        <v>Mirabel</v>
      </c>
      <c r="Q3718" s="9" t="str">
        <f>IFERROR($P3718,PROPER(VLOOKUP($O3718,'Villes en erreur'!$A$2:$B$72,2,FALSE)))</f>
        <v>Mirabel</v>
      </c>
      <c r="R3718" s="9" t="s">
        <v>14662</v>
      </c>
      <c r="S3718" s="9" t="str">
        <f>IF(ISBLANK($R3718),"",VLOOKUP($R3718,'Liste des Villes'!$B$2:$H$1128,4,FALSE))</f>
        <v>Laurentides</v>
      </c>
      <c r="T3718" s="2" t="s">
        <v>15597</v>
      </c>
      <c r="U3718" s="2" t="s">
        <v>39</v>
      </c>
      <c r="V3718" s="2" t="s">
        <v>40</v>
      </c>
      <c r="W3718" s="2" t="s">
        <v>16118</v>
      </c>
      <c r="X3718" s="2"/>
      <c r="Y3718" s="2"/>
      <c r="Z3718" s="2"/>
      <c r="AA3718" s="2" t="s">
        <v>708</v>
      </c>
      <c r="AB3718" s="2" t="s">
        <v>376</v>
      </c>
      <c r="AC3718" s="4" t="s">
        <v>44</v>
      </c>
    </row>
    <row r="3719" spans="1:29" x14ac:dyDescent="0.25">
      <c r="A3719" s="1">
        <v>1768</v>
      </c>
      <c r="B3719" s="17" t="s">
        <v>16119</v>
      </c>
      <c r="C3719" s="2" t="s">
        <v>16120</v>
      </c>
      <c r="D3719" s="15" t="s">
        <v>9852</v>
      </c>
      <c r="E3719" s="9" t="s">
        <v>1626</v>
      </c>
      <c r="F3719" s="9" t="s">
        <v>9851</v>
      </c>
      <c r="G3719" s="9" t="s">
        <v>1924</v>
      </c>
      <c r="H3719" s="2" t="s">
        <v>35</v>
      </c>
      <c r="I3719" s="3">
        <v>37197</v>
      </c>
      <c r="J3719" s="9" t="str">
        <f t="shared" ca="1" si="61"/>
        <v>21 ans</v>
      </c>
      <c r="K3719" s="2" t="s">
        <v>262</v>
      </c>
      <c r="L3719" s="2" t="str">
        <f>"1741"</f>
        <v>1741</v>
      </c>
      <c r="M3719" s="2"/>
      <c r="N3719" s="2" t="str">
        <f>"RUE LABRÈCHE"</f>
        <v>RUE LABRÈCHE</v>
      </c>
      <c r="O3719" s="2" t="s">
        <v>14661</v>
      </c>
      <c r="P3719" s="9" t="str">
        <f>VLOOKUP($O3719,'Liste des Villes'!$B$2:$B$1128,1,FALSE)</f>
        <v>Mirabel</v>
      </c>
      <c r="Q3719" s="9" t="str">
        <f>IFERROR($P3719,PROPER(VLOOKUP($O3719,'Villes en erreur'!$A$2:$B$72,2,FALSE)))</f>
        <v>Mirabel</v>
      </c>
      <c r="R3719" s="9" t="s">
        <v>14662</v>
      </c>
      <c r="S3719" s="9" t="str">
        <f>IF(ISBLANK($R3719),"",VLOOKUP($R3719,'Liste des Villes'!$B$2:$H$1128,4,FALSE))</f>
        <v>Laurentides</v>
      </c>
      <c r="T3719" s="2" t="s">
        <v>16121</v>
      </c>
      <c r="U3719" s="2" t="s">
        <v>39</v>
      </c>
      <c r="V3719" s="2" t="s">
        <v>40</v>
      </c>
      <c r="W3719" s="2" t="s">
        <v>16122</v>
      </c>
      <c r="X3719" s="2"/>
      <c r="Y3719" s="2"/>
      <c r="Z3719" s="2"/>
      <c r="AA3719" s="2" t="s">
        <v>708</v>
      </c>
      <c r="AB3719" s="2" t="s">
        <v>14669</v>
      </c>
      <c r="AC3719" s="4" t="s">
        <v>44</v>
      </c>
    </row>
    <row r="3720" spans="1:29" x14ac:dyDescent="0.25">
      <c r="A3720" s="1">
        <v>3780</v>
      </c>
      <c r="B3720" s="17" t="s">
        <v>16123</v>
      </c>
      <c r="C3720" s="2" t="s">
        <v>16124</v>
      </c>
      <c r="D3720" s="15" t="s">
        <v>9090</v>
      </c>
      <c r="E3720" s="9" t="s">
        <v>16125</v>
      </c>
      <c r="F3720" s="9" t="s">
        <v>4066</v>
      </c>
      <c r="G3720" s="9" t="s">
        <v>1508</v>
      </c>
      <c r="H3720" s="2" t="s">
        <v>35</v>
      </c>
      <c r="I3720" s="3">
        <v>37179</v>
      </c>
      <c r="J3720" s="9" t="str">
        <f t="shared" ca="1" si="61"/>
        <v>21 ans</v>
      </c>
      <c r="K3720" s="2" t="s">
        <v>156</v>
      </c>
      <c r="L3720" s="2" t="str">
        <f>"1642"</f>
        <v>1642</v>
      </c>
      <c r="M3720" s="2"/>
      <c r="N3720" s="2" t="str">
        <f>"RUE JOSEPH-FORTIER"</f>
        <v>RUE JOSEPH-FORTIER</v>
      </c>
      <c r="O3720" s="2" t="s">
        <v>14661</v>
      </c>
      <c r="P3720" s="9" t="str">
        <f>VLOOKUP($O3720,'Liste des Villes'!$B$2:$B$1128,1,FALSE)</f>
        <v>Mirabel</v>
      </c>
      <c r="Q3720" s="9" t="str">
        <f>IFERROR($P3720,PROPER(VLOOKUP($O3720,'Villes en erreur'!$A$2:$B$72,2,FALSE)))</f>
        <v>Mirabel</v>
      </c>
      <c r="R3720" s="9" t="s">
        <v>14662</v>
      </c>
      <c r="S3720" s="9" t="str">
        <f>IF(ISBLANK($R3720),"",VLOOKUP($R3720,'Liste des Villes'!$B$2:$H$1128,4,FALSE))</f>
        <v>Laurentides</v>
      </c>
      <c r="T3720" s="2" t="s">
        <v>15416</v>
      </c>
      <c r="U3720" s="2" t="s">
        <v>39</v>
      </c>
      <c r="V3720" s="2" t="s">
        <v>40</v>
      </c>
      <c r="W3720" s="2" t="s">
        <v>15971</v>
      </c>
      <c r="X3720" s="2"/>
      <c r="Y3720" s="2"/>
      <c r="Z3720" s="2"/>
      <c r="AA3720" s="2" t="s">
        <v>708</v>
      </c>
      <c r="AB3720" s="2" t="s">
        <v>14669</v>
      </c>
      <c r="AC3720" s="4" t="s">
        <v>44</v>
      </c>
    </row>
    <row r="3721" spans="1:29" x14ac:dyDescent="0.25">
      <c r="A3721" s="1">
        <v>1559</v>
      </c>
      <c r="B3721" s="17" t="s">
        <v>16126</v>
      </c>
      <c r="C3721" s="2" t="s">
        <v>16127</v>
      </c>
      <c r="D3721" s="15" t="s">
        <v>3788</v>
      </c>
      <c r="E3721" s="9" t="s">
        <v>9457</v>
      </c>
      <c r="F3721" s="9" t="s">
        <v>11139</v>
      </c>
      <c r="G3721" s="9" t="s">
        <v>12300</v>
      </c>
      <c r="H3721" s="2" t="s">
        <v>60</v>
      </c>
      <c r="I3721" s="3">
        <v>37237</v>
      </c>
      <c r="J3721" s="9" t="str">
        <f t="shared" ca="1" si="61"/>
        <v>21 ans</v>
      </c>
      <c r="K3721" s="2" t="s">
        <v>262</v>
      </c>
      <c r="L3721" s="2" t="str">
        <f>"2037"</f>
        <v>2037</v>
      </c>
      <c r="M3721" s="2"/>
      <c r="N3721" s="2" t="str">
        <f>"RUE LE FRANÇOIS"</f>
        <v>RUE LE FRANÇOIS</v>
      </c>
      <c r="O3721" s="2" t="s">
        <v>14661</v>
      </c>
      <c r="P3721" s="9" t="str">
        <f>VLOOKUP($O3721,'Liste des Villes'!$B$2:$B$1128,1,FALSE)</f>
        <v>Mirabel</v>
      </c>
      <c r="Q3721" s="9" t="str">
        <f>IFERROR($P3721,PROPER(VLOOKUP($O3721,'Villes en erreur'!$A$2:$B$72,2,FALSE)))</f>
        <v>Mirabel</v>
      </c>
      <c r="R3721" s="9" t="s">
        <v>14662</v>
      </c>
      <c r="S3721" s="9" t="str">
        <f>IF(ISBLANK($R3721),"",VLOOKUP($R3721,'Liste des Villes'!$B$2:$H$1128,4,FALSE))</f>
        <v>Laurentides</v>
      </c>
      <c r="T3721" s="2" t="s">
        <v>15844</v>
      </c>
      <c r="U3721" s="2" t="s">
        <v>39</v>
      </c>
      <c r="V3721" s="2" t="s">
        <v>40</v>
      </c>
      <c r="W3721" s="2" t="s">
        <v>16128</v>
      </c>
      <c r="X3721" s="2"/>
      <c r="Y3721" s="2"/>
      <c r="Z3721" s="2"/>
      <c r="AA3721" s="2" t="s">
        <v>708</v>
      </c>
      <c r="AB3721" s="2" t="s">
        <v>14669</v>
      </c>
      <c r="AC3721" s="4" t="s">
        <v>44</v>
      </c>
    </row>
    <row r="3722" spans="1:29" x14ac:dyDescent="0.25">
      <c r="A3722" s="1">
        <v>3347</v>
      </c>
      <c r="B3722" s="17" t="s">
        <v>16129</v>
      </c>
      <c r="C3722" s="2" t="s">
        <v>16130</v>
      </c>
      <c r="D3722" s="15" t="s">
        <v>15088</v>
      </c>
      <c r="E3722" s="9" t="s">
        <v>3265</v>
      </c>
      <c r="F3722" s="9" t="s">
        <v>15087</v>
      </c>
      <c r="G3722" s="9" t="s">
        <v>3240</v>
      </c>
      <c r="H3722" s="2" t="s">
        <v>60</v>
      </c>
      <c r="I3722" s="3">
        <v>37239</v>
      </c>
      <c r="J3722" s="9" t="str">
        <f t="shared" ca="1" si="61"/>
        <v>21 ans</v>
      </c>
      <c r="K3722" s="2" t="s">
        <v>262</v>
      </c>
      <c r="L3722" s="2" t="str">
        <f>"2041"</f>
        <v>2041</v>
      </c>
      <c r="M3722" s="2"/>
      <c r="N3722" s="2" t="str">
        <f>"RUE LEBEAU"</f>
        <v>RUE LEBEAU</v>
      </c>
      <c r="O3722" s="2" t="s">
        <v>14661</v>
      </c>
      <c r="P3722" s="9" t="str">
        <f>VLOOKUP($O3722,'Liste des Villes'!$B$2:$B$1128,1,FALSE)</f>
        <v>Mirabel</v>
      </c>
      <c r="Q3722" s="9" t="str">
        <f>IFERROR($P3722,PROPER(VLOOKUP($O3722,'Villes en erreur'!$A$2:$B$72,2,FALSE)))</f>
        <v>Mirabel</v>
      </c>
      <c r="R3722" s="9" t="s">
        <v>14662</v>
      </c>
      <c r="S3722" s="9" t="str">
        <f>IF(ISBLANK($R3722),"",VLOOKUP($R3722,'Liste des Villes'!$B$2:$H$1128,4,FALSE))</f>
        <v>Laurentides</v>
      </c>
      <c r="T3722" s="2" t="s">
        <v>16131</v>
      </c>
      <c r="U3722" s="2" t="s">
        <v>39</v>
      </c>
      <c r="V3722" s="2" t="s">
        <v>40</v>
      </c>
      <c r="W3722" s="2" t="s">
        <v>16132</v>
      </c>
      <c r="X3722" s="2"/>
      <c r="Y3722" s="2"/>
      <c r="Z3722" s="2"/>
      <c r="AA3722" s="2" t="s">
        <v>708</v>
      </c>
      <c r="AB3722" s="2" t="s">
        <v>14669</v>
      </c>
      <c r="AC3722" s="4" t="s">
        <v>44</v>
      </c>
    </row>
    <row r="3723" spans="1:29" x14ac:dyDescent="0.25">
      <c r="A3723" s="1">
        <v>887</v>
      </c>
      <c r="B3723" s="17" t="s">
        <v>16133</v>
      </c>
      <c r="C3723" s="2" t="s">
        <v>16134</v>
      </c>
      <c r="D3723" s="15" t="s">
        <v>6794</v>
      </c>
      <c r="E3723" s="9" t="s">
        <v>8948</v>
      </c>
      <c r="F3723" s="9" t="s">
        <v>56</v>
      </c>
      <c r="G3723" s="9" t="s">
        <v>11126</v>
      </c>
      <c r="H3723" s="2" t="s">
        <v>35</v>
      </c>
      <c r="I3723" s="3">
        <v>37237</v>
      </c>
      <c r="J3723" s="9" t="str">
        <f t="shared" ca="1" si="61"/>
        <v>21 ans</v>
      </c>
      <c r="K3723" s="2" t="s">
        <v>262</v>
      </c>
      <c r="L3723" s="2" t="str">
        <f>"2037"</f>
        <v>2037</v>
      </c>
      <c r="M3723" s="2"/>
      <c r="N3723" s="2" t="str">
        <f>"RUE LE LONG-DU-LAC"</f>
        <v>RUE LE LONG-DU-LAC</v>
      </c>
      <c r="O3723" s="2" t="s">
        <v>14661</v>
      </c>
      <c r="P3723" s="9" t="str">
        <f>VLOOKUP($O3723,'Liste des Villes'!$B$2:$B$1128,1,FALSE)</f>
        <v>Mirabel</v>
      </c>
      <c r="Q3723" s="9" t="str">
        <f>IFERROR($P3723,PROPER(VLOOKUP($O3723,'Villes en erreur'!$A$2:$B$72,2,FALSE)))</f>
        <v>Mirabel</v>
      </c>
      <c r="R3723" s="9" t="s">
        <v>14662</v>
      </c>
      <c r="S3723" s="9" t="str">
        <f>IF(ISBLANK($R3723),"",VLOOKUP($R3723,'Liste des Villes'!$B$2:$H$1128,4,FALSE))</f>
        <v>Laurentides</v>
      </c>
      <c r="T3723" s="2" t="s">
        <v>15844</v>
      </c>
      <c r="U3723" s="2" t="s">
        <v>39</v>
      </c>
      <c r="V3723" s="2" t="s">
        <v>40</v>
      </c>
      <c r="W3723" s="2" t="s">
        <v>16135</v>
      </c>
      <c r="X3723" s="2"/>
      <c r="Y3723" s="2"/>
      <c r="Z3723" s="2"/>
      <c r="AA3723" s="2" t="s">
        <v>708</v>
      </c>
      <c r="AB3723" s="2" t="s">
        <v>14669</v>
      </c>
      <c r="AC3723" s="4" t="s">
        <v>44</v>
      </c>
    </row>
    <row r="3724" spans="1:29" x14ac:dyDescent="0.25">
      <c r="A3724" s="1">
        <v>1635</v>
      </c>
      <c r="B3724" s="17" t="s">
        <v>16136</v>
      </c>
      <c r="C3724" s="2" t="s">
        <v>16137</v>
      </c>
      <c r="D3724" s="15" t="s">
        <v>4739</v>
      </c>
      <c r="E3724" s="9" t="s">
        <v>137</v>
      </c>
      <c r="F3724" s="9" t="s">
        <v>527</v>
      </c>
      <c r="G3724" s="9" t="s">
        <v>4243</v>
      </c>
      <c r="H3724" s="2" t="s">
        <v>60</v>
      </c>
      <c r="I3724" s="3">
        <v>37162</v>
      </c>
      <c r="J3724" s="9" t="str">
        <f t="shared" ca="1" si="61"/>
        <v>21 ans</v>
      </c>
      <c r="K3724" s="2" t="s">
        <v>156</v>
      </c>
      <c r="L3724" s="2" t="str">
        <f>"1529"</f>
        <v>1529</v>
      </c>
      <c r="M3724" s="2"/>
      <c r="N3724" s="2" t="str">
        <f>"RUE JEAN-DE-L'OURS"</f>
        <v>RUE JEAN-DE-L'OURS</v>
      </c>
      <c r="O3724" s="2" t="s">
        <v>14661</v>
      </c>
      <c r="P3724" s="9" t="str">
        <f>VLOOKUP($O3724,'Liste des Villes'!$B$2:$B$1128,1,FALSE)</f>
        <v>Mirabel</v>
      </c>
      <c r="Q3724" s="9" t="str">
        <f>IFERROR($P3724,PROPER(VLOOKUP($O3724,'Villes en erreur'!$A$2:$B$72,2,FALSE)))</f>
        <v>Mirabel</v>
      </c>
      <c r="R3724" s="9" t="s">
        <v>14662</v>
      </c>
      <c r="S3724" s="9" t="str">
        <f>IF(ISBLANK($R3724),"",VLOOKUP($R3724,'Liste des Villes'!$B$2:$H$1128,4,FALSE))</f>
        <v>Laurentides</v>
      </c>
      <c r="T3724" s="2" t="s">
        <v>16138</v>
      </c>
      <c r="U3724" s="2" t="s">
        <v>39</v>
      </c>
      <c r="V3724" s="2" t="s">
        <v>40</v>
      </c>
      <c r="W3724" s="2" t="s">
        <v>16139</v>
      </c>
      <c r="X3724" s="2"/>
      <c r="Y3724" s="2"/>
      <c r="Z3724" s="2"/>
      <c r="AA3724" s="2" t="s">
        <v>708</v>
      </c>
      <c r="AB3724" s="2" t="s">
        <v>376</v>
      </c>
      <c r="AC3724" s="4" t="s">
        <v>44</v>
      </c>
    </row>
    <row r="3725" spans="1:29" x14ac:dyDescent="0.25">
      <c r="A3725" s="1">
        <v>2303</v>
      </c>
      <c r="B3725" s="17" t="s">
        <v>16140</v>
      </c>
      <c r="C3725" s="2" t="s">
        <v>16141</v>
      </c>
      <c r="D3725" s="15" t="s">
        <v>8972</v>
      </c>
      <c r="E3725" s="9" t="s">
        <v>2049</v>
      </c>
      <c r="F3725" s="9" t="s">
        <v>8971</v>
      </c>
      <c r="G3725" s="9" t="s">
        <v>6244</v>
      </c>
      <c r="H3725" s="2" t="s">
        <v>60</v>
      </c>
      <c r="I3725" s="3">
        <v>37176</v>
      </c>
      <c r="J3725" s="9" t="str">
        <f t="shared" ca="1" si="61"/>
        <v>21 ans</v>
      </c>
      <c r="K3725" s="2" t="s">
        <v>156</v>
      </c>
      <c r="L3725" s="2" t="str">
        <f>"1638"</f>
        <v>1638</v>
      </c>
      <c r="M3725" s="2"/>
      <c r="N3725" s="2" t="str">
        <f>"RUE JOSEPH DUBOIS"</f>
        <v>RUE JOSEPH DUBOIS</v>
      </c>
      <c r="O3725" s="2" t="s">
        <v>14661</v>
      </c>
      <c r="P3725" s="9" t="str">
        <f>VLOOKUP($O3725,'Liste des Villes'!$B$2:$B$1128,1,FALSE)</f>
        <v>Mirabel</v>
      </c>
      <c r="Q3725" s="9" t="str">
        <f>IFERROR($P3725,PROPER(VLOOKUP($O3725,'Villes en erreur'!$A$2:$B$72,2,FALSE)))</f>
        <v>Mirabel</v>
      </c>
      <c r="R3725" s="9" t="s">
        <v>14662</v>
      </c>
      <c r="S3725" s="9" t="str">
        <f>IF(ISBLANK($R3725),"",VLOOKUP($R3725,'Liste des Villes'!$B$2:$H$1128,4,FALSE))</f>
        <v>Laurentides</v>
      </c>
      <c r="T3725" s="2" t="s">
        <v>15008</v>
      </c>
      <c r="U3725" s="2" t="s">
        <v>39</v>
      </c>
      <c r="V3725" s="2" t="s">
        <v>40</v>
      </c>
      <c r="W3725" s="2" t="s">
        <v>16142</v>
      </c>
      <c r="X3725" s="2"/>
      <c r="Y3725" s="2"/>
      <c r="Z3725" s="2"/>
      <c r="AA3725" s="2" t="s">
        <v>708</v>
      </c>
      <c r="AB3725" s="2" t="s">
        <v>14669</v>
      </c>
      <c r="AC3725" s="4" t="s">
        <v>44</v>
      </c>
    </row>
    <row r="3726" spans="1:29" x14ac:dyDescent="0.25">
      <c r="A3726" s="1">
        <v>4166</v>
      </c>
      <c r="B3726" s="17" t="s">
        <v>16143</v>
      </c>
      <c r="C3726" s="2" t="s">
        <v>994</v>
      </c>
      <c r="D3726" s="15" t="s">
        <v>995</v>
      </c>
      <c r="E3726" s="9" t="s">
        <v>996</v>
      </c>
      <c r="F3726" s="9" t="s">
        <v>16144</v>
      </c>
      <c r="G3726" s="9" t="s">
        <v>1212</v>
      </c>
      <c r="H3726" s="2" t="s">
        <v>60</v>
      </c>
      <c r="I3726" s="3">
        <v>37096</v>
      </c>
      <c r="J3726" s="9" t="str">
        <f t="shared" ca="1" si="61"/>
        <v>22 ans</v>
      </c>
      <c r="K3726" s="2" t="s">
        <v>156</v>
      </c>
      <c r="L3726" s="2" t="str">
        <f>"1215"</f>
        <v>1215</v>
      </c>
      <c r="M3726" s="2"/>
      <c r="N3726" s="2" t="str">
        <f>"RUE FOURNIER"</f>
        <v>RUE FOURNIER</v>
      </c>
      <c r="O3726" s="2" t="s">
        <v>14661</v>
      </c>
      <c r="P3726" s="9" t="str">
        <f>VLOOKUP($O3726,'Liste des Villes'!$B$2:$B$1128,1,FALSE)</f>
        <v>Mirabel</v>
      </c>
      <c r="Q3726" s="9" t="str">
        <f>IFERROR($P3726,PROPER(VLOOKUP($O3726,'Villes en erreur'!$A$2:$B$72,2,FALSE)))</f>
        <v>Mirabel</v>
      </c>
      <c r="R3726" s="9" t="s">
        <v>14662</v>
      </c>
      <c r="S3726" s="9" t="str">
        <f>IF(ISBLANK($R3726),"",VLOOKUP($R3726,'Liste des Villes'!$B$2:$H$1128,4,FALSE))</f>
        <v>Laurentides</v>
      </c>
      <c r="T3726" s="2" t="s">
        <v>16098</v>
      </c>
      <c r="U3726" s="2" t="s">
        <v>39</v>
      </c>
      <c r="V3726" s="2" t="s">
        <v>40</v>
      </c>
      <c r="W3726" s="2" t="s">
        <v>16099</v>
      </c>
      <c r="X3726" s="2"/>
      <c r="Y3726" s="2"/>
      <c r="Z3726" s="2"/>
      <c r="AA3726" s="2" t="s">
        <v>375</v>
      </c>
      <c r="AB3726" s="2" t="s">
        <v>376</v>
      </c>
      <c r="AC3726" s="4" t="s">
        <v>44</v>
      </c>
    </row>
    <row r="3727" spans="1:29" x14ac:dyDescent="0.25">
      <c r="A3727" s="1">
        <v>1316</v>
      </c>
      <c r="B3727" s="17" t="s">
        <v>16145</v>
      </c>
      <c r="C3727" s="2" t="s">
        <v>9324</v>
      </c>
      <c r="D3727" s="15" t="s">
        <v>2706</v>
      </c>
      <c r="E3727" s="9" t="s">
        <v>3218</v>
      </c>
      <c r="F3727" s="9" t="s">
        <v>16146</v>
      </c>
      <c r="G3727" s="9" t="s">
        <v>15273</v>
      </c>
      <c r="H3727" s="2" t="s">
        <v>60</v>
      </c>
      <c r="I3727" s="3">
        <v>37242</v>
      </c>
      <c r="J3727" s="9" t="str">
        <f t="shared" ca="1" si="61"/>
        <v>21 ans</v>
      </c>
      <c r="K3727" s="2" t="s">
        <v>262</v>
      </c>
      <c r="L3727" s="2" t="str">
        <f>"2061"</f>
        <v>2061</v>
      </c>
      <c r="M3727" s="2"/>
      <c r="N3727" s="2" t="str">
        <f>"RUE L'ÉCUYER"</f>
        <v>RUE L'ÉCUYER</v>
      </c>
      <c r="O3727" s="2" t="s">
        <v>14661</v>
      </c>
      <c r="P3727" s="9" t="str">
        <f>VLOOKUP($O3727,'Liste des Villes'!$B$2:$B$1128,1,FALSE)</f>
        <v>Mirabel</v>
      </c>
      <c r="Q3727" s="9" t="str">
        <f>IFERROR($P3727,PROPER(VLOOKUP($O3727,'Villes en erreur'!$A$2:$B$72,2,FALSE)))</f>
        <v>Mirabel</v>
      </c>
      <c r="R3727" s="9" t="s">
        <v>14662</v>
      </c>
      <c r="S3727" s="9" t="str">
        <f>IF(ISBLANK($R3727),"",VLOOKUP($R3727,'Liste des Villes'!$B$2:$H$1128,4,FALSE))</f>
        <v>Laurentides</v>
      </c>
      <c r="T3727" s="2" t="s">
        <v>15527</v>
      </c>
      <c r="U3727" s="2" t="s">
        <v>39</v>
      </c>
      <c r="V3727" s="2" t="s">
        <v>40</v>
      </c>
      <c r="W3727" s="2" t="s">
        <v>16147</v>
      </c>
      <c r="X3727" s="2"/>
      <c r="Y3727" s="2"/>
      <c r="Z3727" s="2"/>
      <c r="AA3727" s="2" t="s">
        <v>708</v>
      </c>
      <c r="AB3727" s="2" t="s">
        <v>14669</v>
      </c>
      <c r="AC3727" s="4" t="s">
        <v>44</v>
      </c>
    </row>
    <row r="3728" spans="1:29" x14ac:dyDescent="0.25">
      <c r="A3728" s="1">
        <v>3930</v>
      </c>
      <c r="B3728" s="17" t="s">
        <v>16148</v>
      </c>
      <c r="C3728" s="2" t="s">
        <v>16149</v>
      </c>
      <c r="D3728" s="15" t="s">
        <v>16093</v>
      </c>
      <c r="E3728" s="9" t="s">
        <v>3346</v>
      </c>
      <c r="F3728" s="9" t="s">
        <v>16092</v>
      </c>
      <c r="G3728" s="9" t="s">
        <v>9246</v>
      </c>
      <c r="H3728" s="2" t="s">
        <v>60</v>
      </c>
      <c r="I3728" s="3">
        <v>37167</v>
      </c>
      <c r="J3728" s="9" t="str">
        <f t="shared" ca="1" si="61"/>
        <v>21 ans</v>
      </c>
      <c r="K3728" s="2" t="s">
        <v>156</v>
      </c>
      <c r="L3728" s="2" t="str">
        <f>"1559"</f>
        <v>1559</v>
      </c>
      <c r="M3728" s="2"/>
      <c r="N3728" s="2" t="str">
        <f>"RUE JEAN-PAUL-LEMIEUX"</f>
        <v>RUE JEAN-PAUL-LEMIEUX</v>
      </c>
      <c r="O3728" s="2" t="s">
        <v>14661</v>
      </c>
      <c r="P3728" s="9" t="str">
        <f>VLOOKUP($O3728,'Liste des Villes'!$B$2:$B$1128,1,FALSE)</f>
        <v>Mirabel</v>
      </c>
      <c r="Q3728" s="9" t="str">
        <f>IFERROR($P3728,PROPER(VLOOKUP($O3728,'Villes en erreur'!$A$2:$B$72,2,FALSE)))</f>
        <v>Mirabel</v>
      </c>
      <c r="R3728" s="9" t="s">
        <v>14662</v>
      </c>
      <c r="S3728" s="9" t="str">
        <f>IF(ISBLANK($R3728),"",VLOOKUP($R3728,'Liste des Villes'!$B$2:$H$1128,4,FALSE))</f>
        <v>Laurentides</v>
      </c>
      <c r="T3728" s="2" t="s">
        <v>15209</v>
      </c>
      <c r="U3728" s="2" t="s">
        <v>39</v>
      </c>
      <c r="V3728" s="2" t="s">
        <v>40</v>
      </c>
      <c r="W3728" s="2" t="s">
        <v>16150</v>
      </c>
      <c r="X3728" s="2"/>
      <c r="Y3728" s="2"/>
      <c r="Z3728" s="2"/>
      <c r="AA3728" s="2" t="s">
        <v>708</v>
      </c>
      <c r="AB3728" s="2" t="s">
        <v>376</v>
      </c>
      <c r="AC3728" s="4" t="s">
        <v>44</v>
      </c>
    </row>
    <row r="3729" spans="1:29" x14ac:dyDescent="0.25">
      <c r="A3729" s="1">
        <v>455</v>
      </c>
      <c r="B3729" s="17" t="s">
        <v>16151</v>
      </c>
      <c r="C3729" s="2" t="s">
        <v>46</v>
      </c>
      <c r="D3729" s="15" t="s">
        <v>47</v>
      </c>
      <c r="E3729" s="9" t="s">
        <v>48</v>
      </c>
      <c r="F3729" s="9" t="s">
        <v>3729</v>
      </c>
      <c r="G3729" s="9" t="s">
        <v>1924</v>
      </c>
      <c r="H3729" s="2" t="s">
        <v>35</v>
      </c>
      <c r="I3729" s="3">
        <v>37196</v>
      </c>
      <c r="J3729" s="9" t="str">
        <f t="shared" ca="1" si="61"/>
        <v>21 ans</v>
      </c>
      <c r="K3729" s="2" t="s">
        <v>262</v>
      </c>
      <c r="L3729" s="2" t="str">
        <f>"1735"</f>
        <v>1735</v>
      </c>
      <c r="M3729" s="2"/>
      <c r="N3729" s="2" t="str">
        <f>"RUE LABELLE"</f>
        <v>RUE LABELLE</v>
      </c>
      <c r="O3729" s="2" t="s">
        <v>14661</v>
      </c>
      <c r="P3729" s="9" t="str">
        <f>VLOOKUP($O3729,'Liste des Villes'!$B$2:$B$1128,1,FALSE)</f>
        <v>Mirabel</v>
      </c>
      <c r="Q3729" s="9" t="str">
        <f>IFERROR($P3729,PROPER(VLOOKUP($O3729,'Villes en erreur'!$A$2:$B$72,2,FALSE)))</f>
        <v>Mirabel</v>
      </c>
      <c r="R3729" s="9" t="s">
        <v>14662</v>
      </c>
      <c r="S3729" s="9" t="str">
        <f>IF(ISBLANK($R3729),"",VLOOKUP($R3729,'Liste des Villes'!$B$2:$H$1128,4,FALSE))</f>
        <v>Laurentides</v>
      </c>
      <c r="T3729" s="2" t="s">
        <v>14735</v>
      </c>
      <c r="U3729" s="2" t="s">
        <v>39</v>
      </c>
      <c r="V3729" s="2" t="s">
        <v>40</v>
      </c>
      <c r="W3729" s="2" t="s">
        <v>16152</v>
      </c>
      <c r="X3729" s="2"/>
      <c r="Y3729" s="2"/>
      <c r="Z3729" s="2"/>
      <c r="AA3729" s="2" t="s">
        <v>708</v>
      </c>
      <c r="AB3729" s="2" t="s">
        <v>14669</v>
      </c>
      <c r="AC3729" s="4" t="s">
        <v>44</v>
      </c>
    </row>
    <row r="3730" spans="1:29" x14ac:dyDescent="0.25">
      <c r="A3730" s="1">
        <v>2873</v>
      </c>
      <c r="B3730" s="17" t="s">
        <v>16153</v>
      </c>
      <c r="C3730" s="2" t="s">
        <v>16154</v>
      </c>
      <c r="D3730" s="15" t="s">
        <v>2843</v>
      </c>
      <c r="E3730" s="9" t="s">
        <v>5462</v>
      </c>
      <c r="F3730" s="9" t="s">
        <v>2841</v>
      </c>
      <c r="G3730" s="9" t="s">
        <v>5476</v>
      </c>
      <c r="H3730" s="2" t="s">
        <v>35</v>
      </c>
      <c r="I3730" s="3">
        <v>37136</v>
      </c>
      <c r="J3730" s="9" t="str">
        <f t="shared" ca="1" si="61"/>
        <v>21 ans</v>
      </c>
      <c r="K3730" s="2" t="s">
        <v>156</v>
      </c>
      <c r="L3730" s="2" t="str">
        <f>"1376"</f>
        <v>1376</v>
      </c>
      <c r="M3730" s="2"/>
      <c r="N3730" s="2" t="str">
        <f>"RUE HENRI-PICHÉ"</f>
        <v>RUE HENRI-PICHÉ</v>
      </c>
      <c r="O3730" s="2" t="s">
        <v>14661</v>
      </c>
      <c r="P3730" s="9" t="str">
        <f>VLOOKUP($O3730,'Liste des Villes'!$B$2:$B$1128,1,FALSE)</f>
        <v>Mirabel</v>
      </c>
      <c r="Q3730" s="9" t="str">
        <f>IFERROR($P3730,PROPER(VLOOKUP($O3730,'Villes en erreur'!$A$2:$B$72,2,FALSE)))</f>
        <v>Mirabel</v>
      </c>
      <c r="R3730" s="9" t="s">
        <v>14662</v>
      </c>
      <c r="S3730" s="9" t="str">
        <f>IF(ISBLANK($R3730),"",VLOOKUP($R3730,'Liste des Villes'!$B$2:$H$1128,4,FALSE))</f>
        <v>Laurentides</v>
      </c>
      <c r="T3730" s="2" t="s">
        <v>14846</v>
      </c>
      <c r="U3730" s="2" t="s">
        <v>39</v>
      </c>
      <c r="V3730" s="2" t="s">
        <v>40</v>
      </c>
      <c r="W3730" s="2" t="s">
        <v>16155</v>
      </c>
      <c r="X3730" s="2"/>
      <c r="Y3730" s="2"/>
      <c r="Z3730" s="2"/>
      <c r="AA3730" s="2" t="s">
        <v>708</v>
      </c>
      <c r="AB3730" s="2" t="s">
        <v>376</v>
      </c>
      <c r="AC3730" s="4" t="s">
        <v>44</v>
      </c>
    </row>
    <row r="3731" spans="1:29" x14ac:dyDescent="0.25">
      <c r="A3731" s="1">
        <v>3143</v>
      </c>
      <c r="B3731" s="17" t="s">
        <v>16156</v>
      </c>
      <c r="C3731" s="2" t="s">
        <v>16157</v>
      </c>
      <c r="D3731" s="15" t="s">
        <v>8753</v>
      </c>
      <c r="E3731" s="9" t="s">
        <v>396</v>
      </c>
      <c r="F3731" s="9" t="s">
        <v>34</v>
      </c>
      <c r="G3731" s="9" t="s">
        <v>5287</v>
      </c>
      <c r="H3731" s="2" t="s">
        <v>35</v>
      </c>
      <c r="I3731" s="3">
        <v>37230</v>
      </c>
      <c r="J3731" s="9" t="str">
        <f t="shared" ca="1" si="61"/>
        <v>21 ans</v>
      </c>
      <c r="K3731" s="2" t="s">
        <v>262</v>
      </c>
      <c r="L3731" s="2" t="str">
        <f>"1995"</f>
        <v>1995</v>
      </c>
      <c r="M3731" s="2"/>
      <c r="N3731" s="2" t="str">
        <f>"RUE LAURIN"</f>
        <v>RUE LAURIN</v>
      </c>
      <c r="O3731" s="2" t="s">
        <v>14661</v>
      </c>
      <c r="P3731" s="9" t="str">
        <f>VLOOKUP($O3731,'Liste des Villes'!$B$2:$B$1128,1,FALSE)</f>
        <v>Mirabel</v>
      </c>
      <c r="Q3731" s="9" t="str">
        <f>IFERROR($P3731,PROPER(VLOOKUP($O3731,'Villes en erreur'!$A$2:$B$72,2,FALSE)))</f>
        <v>Mirabel</v>
      </c>
      <c r="R3731" s="9" t="s">
        <v>14662</v>
      </c>
      <c r="S3731" s="9" t="str">
        <f>IF(ISBLANK($R3731),"",VLOOKUP($R3731,'Liste des Villes'!$B$2:$H$1128,4,FALSE))</f>
        <v>Laurentides</v>
      </c>
      <c r="T3731" s="2" t="s">
        <v>15038</v>
      </c>
      <c r="U3731" s="2" t="s">
        <v>39</v>
      </c>
      <c r="V3731" s="2" t="s">
        <v>40</v>
      </c>
      <c r="W3731" s="2" t="s">
        <v>16158</v>
      </c>
      <c r="X3731" s="2"/>
      <c r="Y3731" s="2"/>
      <c r="Z3731" s="2"/>
      <c r="AA3731" s="2" t="s">
        <v>708</v>
      </c>
      <c r="AB3731" s="2" t="s">
        <v>14669</v>
      </c>
      <c r="AC3731" s="4" t="s">
        <v>44</v>
      </c>
    </row>
    <row r="3732" spans="1:29" x14ac:dyDescent="0.25">
      <c r="A3732" s="1">
        <v>4409</v>
      </c>
      <c r="B3732" s="17" t="s">
        <v>16159</v>
      </c>
      <c r="C3732" s="2" t="s">
        <v>16160</v>
      </c>
      <c r="D3732" s="15" t="s">
        <v>16161</v>
      </c>
      <c r="E3732" s="9" t="s">
        <v>1504</v>
      </c>
      <c r="F3732" s="9" t="s">
        <v>16162</v>
      </c>
      <c r="G3732" s="9" t="s">
        <v>6543</v>
      </c>
      <c r="H3732" s="2" t="s">
        <v>35</v>
      </c>
      <c r="I3732" s="3">
        <v>37124</v>
      </c>
      <c r="J3732" s="9" t="str">
        <f t="shared" ca="1" si="61"/>
        <v>22 ans</v>
      </c>
      <c r="K3732" s="2" t="s">
        <v>156</v>
      </c>
      <c r="L3732" s="2" t="str">
        <f>"1327"</f>
        <v>1327</v>
      </c>
      <c r="M3732" s="2"/>
      <c r="N3732" s="2" t="str">
        <f>"RUE GRAVEL"</f>
        <v>RUE GRAVEL</v>
      </c>
      <c r="O3732" s="2" t="s">
        <v>14661</v>
      </c>
      <c r="P3732" s="9" t="str">
        <f>VLOOKUP($O3732,'Liste des Villes'!$B$2:$B$1128,1,FALSE)</f>
        <v>Mirabel</v>
      </c>
      <c r="Q3732" s="9" t="str">
        <f>IFERROR($P3732,PROPER(VLOOKUP($O3732,'Villes en erreur'!$A$2:$B$72,2,FALSE)))</f>
        <v>Mirabel</v>
      </c>
      <c r="R3732" s="9" t="s">
        <v>14662</v>
      </c>
      <c r="S3732" s="9" t="str">
        <f>IF(ISBLANK($R3732),"",VLOOKUP($R3732,'Liste des Villes'!$B$2:$H$1128,4,FALSE))</f>
        <v>Laurentides</v>
      </c>
      <c r="T3732" s="2" t="s">
        <v>16163</v>
      </c>
      <c r="U3732" s="2" t="s">
        <v>39</v>
      </c>
      <c r="V3732" s="2" t="s">
        <v>40</v>
      </c>
      <c r="W3732" s="2" t="s">
        <v>16164</v>
      </c>
      <c r="X3732" s="2"/>
      <c r="Y3732" s="2"/>
      <c r="Z3732" s="2"/>
      <c r="AA3732" s="2" t="s">
        <v>375</v>
      </c>
      <c r="AB3732" s="2" t="s">
        <v>376</v>
      </c>
      <c r="AC3732" s="4" t="s">
        <v>44</v>
      </c>
    </row>
    <row r="3733" spans="1:29" x14ac:dyDescent="0.25">
      <c r="A3733" s="1">
        <v>1504</v>
      </c>
      <c r="B3733" s="17" t="s">
        <v>16165</v>
      </c>
      <c r="C3733" s="2" t="s">
        <v>16166</v>
      </c>
      <c r="D3733" s="15" t="s">
        <v>8326</v>
      </c>
      <c r="E3733" s="9" t="s">
        <v>3162</v>
      </c>
      <c r="F3733" s="9" t="s">
        <v>2474</v>
      </c>
      <c r="G3733" s="9" t="s">
        <v>1591</v>
      </c>
      <c r="H3733" s="2" t="s">
        <v>35</v>
      </c>
      <c r="I3733" s="3">
        <v>37245</v>
      </c>
      <c r="J3733" s="9" t="str">
        <f t="shared" ca="1" si="61"/>
        <v>21 ans</v>
      </c>
      <c r="K3733" s="2" t="s">
        <v>262</v>
      </c>
      <c r="L3733" s="2" t="str">
        <f>"2084"</f>
        <v>2084</v>
      </c>
      <c r="M3733" s="2"/>
      <c r="N3733" s="2" t="str">
        <f>"RUE LEMIRE"</f>
        <v>RUE LEMIRE</v>
      </c>
      <c r="O3733" s="2" t="s">
        <v>14661</v>
      </c>
      <c r="P3733" s="9" t="str">
        <f>VLOOKUP($O3733,'Liste des Villes'!$B$2:$B$1128,1,FALSE)</f>
        <v>Mirabel</v>
      </c>
      <c r="Q3733" s="9" t="str">
        <f>IFERROR($P3733,PROPER(VLOOKUP($O3733,'Villes en erreur'!$A$2:$B$72,2,FALSE)))</f>
        <v>Mirabel</v>
      </c>
      <c r="R3733" s="9" t="s">
        <v>14662</v>
      </c>
      <c r="S3733" s="9" t="str">
        <f>IF(ISBLANK($R3733),"",VLOOKUP($R3733,'Liste des Villes'!$B$2:$H$1128,4,FALSE))</f>
        <v>Laurentides</v>
      </c>
      <c r="T3733" s="2" t="s">
        <v>14927</v>
      </c>
      <c r="U3733" s="2" t="s">
        <v>39</v>
      </c>
      <c r="V3733" s="2" t="s">
        <v>40</v>
      </c>
      <c r="W3733" s="2" t="s">
        <v>16167</v>
      </c>
      <c r="X3733" s="2"/>
      <c r="Y3733" s="2"/>
      <c r="Z3733" s="2"/>
      <c r="AA3733" s="2" t="s">
        <v>708</v>
      </c>
      <c r="AB3733" s="2" t="s">
        <v>14669</v>
      </c>
      <c r="AC3733" s="4" t="s">
        <v>44</v>
      </c>
    </row>
    <row r="3734" spans="1:29" x14ac:dyDescent="0.25">
      <c r="A3734" s="1">
        <v>1098</v>
      </c>
      <c r="B3734" s="17" t="s">
        <v>16168</v>
      </c>
      <c r="C3734" s="2" t="s">
        <v>16169</v>
      </c>
      <c r="D3734" s="15" t="s">
        <v>10982</v>
      </c>
      <c r="E3734" s="9" t="s">
        <v>6323</v>
      </c>
      <c r="F3734" s="9" t="s">
        <v>10981</v>
      </c>
      <c r="G3734" s="9" t="s">
        <v>743</v>
      </c>
      <c r="H3734" s="2" t="s">
        <v>60</v>
      </c>
      <c r="I3734" s="3">
        <v>37172</v>
      </c>
      <c r="J3734" s="9" t="str">
        <f t="shared" ca="1" si="61"/>
        <v>21 ans</v>
      </c>
      <c r="K3734" s="2" t="s">
        <v>156</v>
      </c>
      <c r="L3734" s="2" t="str">
        <f>"1590"</f>
        <v>1590</v>
      </c>
      <c r="M3734" s="2"/>
      <c r="N3734" s="2" t="str">
        <f>"RUE JOINVILLE"</f>
        <v>RUE JOINVILLE</v>
      </c>
      <c r="O3734" s="2" t="s">
        <v>14661</v>
      </c>
      <c r="P3734" s="9" t="str">
        <f>VLOOKUP($O3734,'Liste des Villes'!$B$2:$B$1128,1,FALSE)</f>
        <v>Mirabel</v>
      </c>
      <c r="Q3734" s="9" t="str">
        <f>IFERROR($P3734,PROPER(VLOOKUP($O3734,'Villes en erreur'!$A$2:$B$72,2,FALSE)))</f>
        <v>Mirabel</v>
      </c>
      <c r="R3734" s="9" t="s">
        <v>14662</v>
      </c>
      <c r="S3734" s="9" t="str">
        <f>IF(ISBLANK($R3734),"",VLOOKUP($R3734,'Liste des Villes'!$B$2:$H$1128,4,FALSE))</f>
        <v>Laurentides</v>
      </c>
      <c r="T3734" s="2" t="s">
        <v>15407</v>
      </c>
      <c r="U3734" s="2" t="s">
        <v>39</v>
      </c>
      <c r="V3734" s="2" t="s">
        <v>40</v>
      </c>
      <c r="W3734" s="2" t="s">
        <v>15408</v>
      </c>
      <c r="X3734" s="2"/>
      <c r="Y3734" s="2"/>
      <c r="Z3734" s="2"/>
      <c r="AA3734" s="2" t="s">
        <v>708</v>
      </c>
      <c r="AB3734" s="2" t="s">
        <v>14669</v>
      </c>
      <c r="AC3734" s="4" t="s">
        <v>44</v>
      </c>
    </row>
    <row r="3735" spans="1:29" x14ac:dyDescent="0.25">
      <c r="A3735" s="1">
        <v>296</v>
      </c>
      <c r="B3735" s="17" t="s">
        <v>16170</v>
      </c>
      <c r="C3735" s="2" t="s">
        <v>3227</v>
      </c>
      <c r="D3735" s="15" t="s">
        <v>3228</v>
      </c>
      <c r="E3735" s="9" t="s">
        <v>2381</v>
      </c>
      <c r="F3735" s="9" t="s">
        <v>13375</v>
      </c>
      <c r="G3735" s="9" t="s">
        <v>12616</v>
      </c>
      <c r="H3735" s="2" t="s">
        <v>60</v>
      </c>
      <c r="I3735" s="3">
        <v>37137</v>
      </c>
      <c r="J3735" s="9" t="str">
        <f t="shared" ca="1" si="61"/>
        <v>21 ans</v>
      </c>
      <c r="K3735" s="2" t="s">
        <v>156</v>
      </c>
      <c r="L3735" s="2" t="str">
        <f>"1377"</f>
        <v>1377</v>
      </c>
      <c r="M3735" s="2"/>
      <c r="N3735" s="2" t="str">
        <f>"RUE HENRI-PICHÉ"</f>
        <v>RUE HENRI-PICHÉ</v>
      </c>
      <c r="O3735" s="2" t="s">
        <v>14661</v>
      </c>
      <c r="P3735" s="9" t="str">
        <f>VLOOKUP($O3735,'Liste des Villes'!$B$2:$B$1128,1,FALSE)</f>
        <v>Mirabel</v>
      </c>
      <c r="Q3735" s="9" t="str">
        <f>IFERROR($P3735,PROPER(VLOOKUP($O3735,'Villes en erreur'!$A$2:$B$72,2,FALSE)))</f>
        <v>Mirabel</v>
      </c>
      <c r="R3735" s="9" t="s">
        <v>14662</v>
      </c>
      <c r="S3735" s="9" t="str">
        <f>IF(ISBLANK($R3735),"",VLOOKUP($R3735,'Liste des Villes'!$B$2:$H$1128,4,FALSE))</f>
        <v>Laurentides</v>
      </c>
      <c r="T3735" s="2" t="s">
        <v>16171</v>
      </c>
      <c r="U3735" s="2" t="s">
        <v>39</v>
      </c>
      <c r="V3735" s="2" t="s">
        <v>40</v>
      </c>
      <c r="W3735" s="2" t="s">
        <v>16172</v>
      </c>
      <c r="X3735" s="2"/>
      <c r="Y3735" s="2"/>
      <c r="Z3735" s="2"/>
      <c r="AA3735" s="2" t="s">
        <v>708</v>
      </c>
      <c r="AB3735" s="2" t="s">
        <v>376</v>
      </c>
      <c r="AC3735" s="4" t="s">
        <v>44</v>
      </c>
    </row>
    <row r="3736" spans="1:29" x14ac:dyDescent="0.25">
      <c r="A3736" s="1">
        <v>2773</v>
      </c>
      <c r="B3736" s="17" t="s">
        <v>16173</v>
      </c>
      <c r="C3736" s="2" t="s">
        <v>4247</v>
      </c>
      <c r="D3736" s="15" t="s">
        <v>4248</v>
      </c>
      <c r="E3736" s="9" t="s">
        <v>4249</v>
      </c>
      <c r="F3736" s="9" t="s">
        <v>11368</v>
      </c>
      <c r="G3736" s="9" t="s">
        <v>11195</v>
      </c>
      <c r="H3736" s="2" t="s">
        <v>60</v>
      </c>
      <c r="I3736" s="3">
        <v>37091</v>
      </c>
      <c r="J3736" s="9" t="str">
        <f t="shared" ca="1" si="61"/>
        <v>22 ans</v>
      </c>
      <c r="K3736" s="2" t="s">
        <v>156</v>
      </c>
      <c r="L3736" s="2" t="str">
        <f>"1209"</f>
        <v>1209</v>
      </c>
      <c r="M3736" s="2"/>
      <c r="N3736" s="2" t="str">
        <f>"RUE FOURNIER"</f>
        <v>RUE FOURNIER</v>
      </c>
      <c r="O3736" s="2" t="s">
        <v>14661</v>
      </c>
      <c r="P3736" s="9" t="str">
        <f>VLOOKUP($O3736,'Liste des Villes'!$B$2:$B$1128,1,FALSE)</f>
        <v>Mirabel</v>
      </c>
      <c r="Q3736" s="9" t="str">
        <f>IFERROR($P3736,PROPER(VLOOKUP($O3736,'Villes en erreur'!$A$2:$B$72,2,FALSE)))</f>
        <v>Mirabel</v>
      </c>
      <c r="R3736" s="9" t="s">
        <v>14662</v>
      </c>
      <c r="S3736" s="9" t="str">
        <f>IF(ISBLANK($R3736),"",VLOOKUP($R3736,'Liste des Villes'!$B$2:$H$1128,4,FALSE))</f>
        <v>Laurentides</v>
      </c>
      <c r="T3736" s="2" t="s">
        <v>16174</v>
      </c>
      <c r="U3736" s="2" t="s">
        <v>39</v>
      </c>
      <c r="V3736" s="2" t="s">
        <v>40</v>
      </c>
      <c r="W3736" s="2" t="s">
        <v>15768</v>
      </c>
      <c r="X3736" s="2"/>
      <c r="Y3736" s="2"/>
      <c r="Z3736" s="2"/>
      <c r="AA3736" s="2" t="s">
        <v>375</v>
      </c>
      <c r="AB3736" s="2" t="s">
        <v>376</v>
      </c>
      <c r="AC3736" s="4" t="s">
        <v>44</v>
      </c>
    </row>
    <row r="3737" spans="1:29" x14ac:dyDescent="0.25">
      <c r="A3737" s="1">
        <v>2568</v>
      </c>
      <c r="B3737" s="17" t="s">
        <v>16175</v>
      </c>
      <c r="C3737" s="2" t="s">
        <v>16176</v>
      </c>
      <c r="D3737" s="15" t="s">
        <v>14604</v>
      </c>
      <c r="E3737" s="9" t="s">
        <v>13029</v>
      </c>
      <c r="F3737" s="9" t="s">
        <v>100</v>
      </c>
      <c r="G3737" s="9" t="s">
        <v>3700</v>
      </c>
      <c r="H3737" s="2" t="s">
        <v>60</v>
      </c>
      <c r="I3737" s="3">
        <v>37139</v>
      </c>
      <c r="J3737" s="9" t="str">
        <f t="shared" ca="1" si="61"/>
        <v>21 ans</v>
      </c>
      <c r="K3737" s="2" t="s">
        <v>156</v>
      </c>
      <c r="L3737" s="2" t="str">
        <f>"1403"</f>
        <v>1403</v>
      </c>
      <c r="M3737" s="2"/>
      <c r="N3737" s="2" t="str">
        <f>"RUE HUBERT"</f>
        <v>RUE HUBERT</v>
      </c>
      <c r="O3737" s="2" t="s">
        <v>14661</v>
      </c>
      <c r="P3737" s="9" t="str">
        <f>VLOOKUP($O3737,'Liste des Villes'!$B$2:$B$1128,1,FALSE)</f>
        <v>Mirabel</v>
      </c>
      <c r="Q3737" s="9" t="str">
        <f>IFERROR($P3737,PROPER(VLOOKUP($O3737,'Villes en erreur'!$A$2:$B$72,2,FALSE)))</f>
        <v>Mirabel</v>
      </c>
      <c r="R3737" s="9" t="s">
        <v>14662</v>
      </c>
      <c r="S3737" s="9" t="str">
        <f>IF(ISBLANK($R3737),"",VLOOKUP($R3737,'Liste des Villes'!$B$2:$H$1128,4,FALSE))</f>
        <v>Laurentides</v>
      </c>
      <c r="T3737" s="2" t="s">
        <v>16177</v>
      </c>
      <c r="U3737" s="2" t="s">
        <v>39</v>
      </c>
      <c r="V3737" s="2" t="s">
        <v>40</v>
      </c>
      <c r="W3737" s="2" t="s">
        <v>16178</v>
      </c>
      <c r="X3737" s="2"/>
      <c r="Y3737" s="2"/>
      <c r="Z3737" s="2"/>
      <c r="AA3737" s="2" t="s">
        <v>708</v>
      </c>
      <c r="AB3737" s="2" t="s">
        <v>376</v>
      </c>
      <c r="AC3737" s="4" t="s">
        <v>44</v>
      </c>
    </row>
    <row r="3738" spans="1:29" x14ac:dyDescent="0.25">
      <c r="A3738" s="1">
        <v>1888</v>
      </c>
      <c r="B3738" s="17" t="s">
        <v>16179</v>
      </c>
      <c r="C3738" s="2" t="s">
        <v>8837</v>
      </c>
      <c r="D3738" s="15" t="s">
        <v>3080</v>
      </c>
      <c r="E3738" s="9" t="s">
        <v>188</v>
      </c>
      <c r="F3738" s="9" t="s">
        <v>10315</v>
      </c>
      <c r="G3738" s="9" t="s">
        <v>1302</v>
      </c>
      <c r="H3738" s="2" t="s">
        <v>60</v>
      </c>
      <c r="I3738" s="3">
        <v>37155</v>
      </c>
      <c r="J3738" s="9" t="str">
        <f t="shared" ca="1" si="61"/>
        <v>21 ans</v>
      </c>
      <c r="K3738" s="2" t="s">
        <v>156</v>
      </c>
      <c r="L3738" s="2" t="str">
        <f>"1474"</f>
        <v>1474</v>
      </c>
      <c r="M3738" s="2"/>
      <c r="N3738" s="2" t="str">
        <f>"RUE JACQUES-BLANCHET"</f>
        <v>RUE JACQUES-BLANCHET</v>
      </c>
      <c r="O3738" s="2" t="s">
        <v>14661</v>
      </c>
      <c r="P3738" s="9" t="str">
        <f>VLOOKUP($O3738,'Liste des Villes'!$B$2:$B$1128,1,FALSE)</f>
        <v>Mirabel</v>
      </c>
      <c r="Q3738" s="9" t="str">
        <f>IFERROR($P3738,PROPER(VLOOKUP($O3738,'Villes en erreur'!$A$2:$B$72,2,FALSE)))</f>
        <v>Mirabel</v>
      </c>
      <c r="R3738" s="9" t="s">
        <v>14662</v>
      </c>
      <c r="S3738" s="9" t="str">
        <f>IF(ISBLANK($R3738),"",VLOOKUP($R3738,'Liste des Villes'!$B$2:$H$1128,4,FALSE))</f>
        <v>Laurentides</v>
      </c>
      <c r="T3738" s="2" t="s">
        <v>15080</v>
      </c>
      <c r="U3738" s="2" t="s">
        <v>39</v>
      </c>
      <c r="V3738" s="2" t="s">
        <v>40</v>
      </c>
      <c r="W3738" s="2" t="s">
        <v>16180</v>
      </c>
      <c r="X3738" s="2"/>
      <c r="Y3738" s="2"/>
      <c r="Z3738" s="2"/>
      <c r="AA3738" s="2" t="s">
        <v>708</v>
      </c>
      <c r="AB3738" s="2" t="s">
        <v>376</v>
      </c>
      <c r="AC3738" s="4" t="s">
        <v>44</v>
      </c>
    </row>
    <row r="3739" spans="1:29" x14ac:dyDescent="0.25">
      <c r="A3739" s="1">
        <v>1650</v>
      </c>
      <c r="B3739" s="17" t="s">
        <v>16181</v>
      </c>
      <c r="C3739" s="2" t="s">
        <v>8635</v>
      </c>
      <c r="D3739" s="15" t="s">
        <v>3810</v>
      </c>
      <c r="E3739" s="9" t="s">
        <v>2198</v>
      </c>
      <c r="F3739" s="9" t="s">
        <v>3667</v>
      </c>
      <c r="G3739" s="9" t="s">
        <v>3373</v>
      </c>
      <c r="H3739" s="2" t="s">
        <v>35</v>
      </c>
      <c r="I3739" s="3">
        <v>37084</v>
      </c>
      <c r="J3739" s="9" t="str">
        <f t="shared" ca="1" si="61"/>
        <v>22 ans</v>
      </c>
      <c r="K3739" s="2" t="s">
        <v>156</v>
      </c>
      <c r="L3739" s="2" t="str">
        <f>"1180"</f>
        <v>1180</v>
      </c>
      <c r="M3739" s="2"/>
      <c r="N3739" s="2" t="str">
        <f>"RUE FERNAND CASAVANT"</f>
        <v>RUE FERNAND CASAVANT</v>
      </c>
      <c r="O3739" s="2" t="s">
        <v>14661</v>
      </c>
      <c r="P3739" s="9" t="str">
        <f>VLOOKUP($O3739,'Liste des Villes'!$B$2:$B$1128,1,FALSE)</f>
        <v>Mirabel</v>
      </c>
      <c r="Q3739" s="9" t="str">
        <f>IFERROR($P3739,PROPER(VLOOKUP($O3739,'Villes en erreur'!$A$2:$B$72,2,FALSE)))</f>
        <v>Mirabel</v>
      </c>
      <c r="R3739" s="9" t="s">
        <v>14662</v>
      </c>
      <c r="S3739" s="9" t="str">
        <f>IF(ISBLANK($R3739),"",VLOOKUP($R3739,'Liste des Villes'!$B$2:$H$1128,4,FALSE))</f>
        <v>Laurentides</v>
      </c>
      <c r="T3739" s="2" t="s">
        <v>16182</v>
      </c>
      <c r="U3739" s="2" t="s">
        <v>39</v>
      </c>
      <c r="V3739" s="2" t="s">
        <v>40</v>
      </c>
      <c r="W3739" s="2" t="s">
        <v>16183</v>
      </c>
      <c r="X3739" s="2"/>
      <c r="Y3739" s="2"/>
      <c r="Z3739" s="2"/>
      <c r="AA3739" s="2" t="s">
        <v>375</v>
      </c>
      <c r="AB3739" s="2" t="s">
        <v>376</v>
      </c>
      <c r="AC3739" s="4" t="s">
        <v>44</v>
      </c>
    </row>
    <row r="3740" spans="1:29" x14ac:dyDescent="0.25">
      <c r="A3740" s="1">
        <v>833</v>
      </c>
      <c r="B3740" s="17" t="s">
        <v>16184</v>
      </c>
      <c r="C3740" s="2" t="s">
        <v>954</v>
      </c>
      <c r="D3740" s="15" t="s">
        <v>955</v>
      </c>
      <c r="E3740" s="9" t="s">
        <v>956</v>
      </c>
      <c r="F3740" s="9" t="s">
        <v>957</v>
      </c>
      <c r="G3740" s="9" t="s">
        <v>233</v>
      </c>
      <c r="H3740" s="2" t="s">
        <v>60</v>
      </c>
      <c r="I3740" s="3">
        <v>37218</v>
      </c>
      <c r="J3740" s="9" t="str">
        <f t="shared" ca="1" si="61"/>
        <v>21 ans</v>
      </c>
      <c r="K3740" s="2" t="s">
        <v>262</v>
      </c>
      <c r="L3740" s="2" t="str">
        <f>"1917"</f>
        <v>1917</v>
      </c>
      <c r="M3740" s="2"/>
      <c r="N3740" s="2" t="str">
        <f>"RUE LAPIERRE"</f>
        <v>RUE LAPIERRE</v>
      </c>
      <c r="O3740" s="2" t="s">
        <v>14661</v>
      </c>
      <c r="P3740" s="9" t="str">
        <f>VLOOKUP($O3740,'Liste des Villes'!$B$2:$B$1128,1,FALSE)</f>
        <v>Mirabel</v>
      </c>
      <c r="Q3740" s="9" t="str">
        <f>IFERROR($P3740,PROPER(VLOOKUP($O3740,'Villes en erreur'!$A$2:$B$72,2,FALSE)))</f>
        <v>Mirabel</v>
      </c>
      <c r="R3740" s="9" t="s">
        <v>14662</v>
      </c>
      <c r="S3740" s="9" t="str">
        <f>IF(ISBLANK($R3740),"",VLOOKUP($R3740,'Liste des Villes'!$B$2:$H$1128,4,FALSE))</f>
        <v>Laurentides</v>
      </c>
      <c r="T3740" s="2" t="s">
        <v>15749</v>
      </c>
      <c r="U3740" s="2" t="s">
        <v>39</v>
      </c>
      <c r="V3740" s="2" t="s">
        <v>40</v>
      </c>
      <c r="W3740" s="2" t="s">
        <v>16185</v>
      </c>
      <c r="X3740" s="2"/>
      <c r="Y3740" s="2"/>
      <c r="Z3740" s="2"/>
      <c r="AA3740" s="2" t="s">
        <v>708</v>
      </c>
      <c r="AB3740" s="2" t="s">
        <v>14669</v>
      </c>
      <c r="AC3740" s="4" t="s">
        <v>44</v>
      </c>
    </row>
    <row r="3741" spans="1:29" x14ac:dyDescent="0.25">
      <c r="A3741" s="1">
        <v>1006</v>
      </c>
      <c r="B3741" s="17" t="s">
        <v>16186</v>
      </c>
      <c r="C3741" s="2" t="s">
        <v>16187</v>
      </c>
      <c r="D3741" s="15" t="s">
        <v>15069</v>
      </c>
      <c r="E3741" s="9" t="s">
        <v>5335</v>
      </c>
      <c r="F3741" s="9" t="s">
        <v>1104</v>
      </c>
      <c r="G3741" s="9" t="s">
        <v>1212</v>
      </c>
      <c r="H3741" s="2" t="s">
        <v>60</v>
      </c>
      <c r="I3741" s="3">
        <v>37096</v>
      </c>
      <c r="J3741" s="9" t="str">
        <f t="shared" ca="1" si="61"/>
        <v>22 ans</v>
      </c>
      <c r="K3741" s="2" t="s">
        <v>156</v>
      </c>
      <c r="L3741" s="2" t="str">
        <f>"1217"</f>
        <v>1217</v>
      </c>
      <c r="M3741" s="2"/>
      <c r="N3741" s="2" t="str">
        <f>"RUE FOURNIER"</f>
        <v>RUE FOURNIER</v>
      </c>
      <c r="O3741" s="2" t="s">
        <v>14661</v>
      </c>
      <c r="P3741" s="9" t="str">
        <f>VLOOKUP($O3741,'Liste des Villes'!$B$2:$B$1128,1,FALSE)</f>
        <v>Mirabel</v>
      </c>
      <c r="Q3741" s="9" t="str">
        <f>IFERROR($P3741,PROPER(VLOOKUP($O3741,'Villes en erreur'!$A$2:$B$72,2,FALSE)))</f>
        <v>Mirabel</v>
      </c>
      <c r="R3741" s="9" t="s">
        <v>14662</v>
      </c>
      <c r="S3741" s="9" t="str">
        <f>IF(ISBLANK($R3741),"",VLOOKUP($R3741,'Liste des Villes'!$B$2:$H$1128,4,FALSE))</f>
        <v>Laurentides</v>
      </c>
      <c r="T3741" s="2" t="s">
        <v>16188</v>
      </c>
      <c r="U3741" s="2" t="s">
        <v>39</v>
      </c>
      <c r="V3741" s="2" t="s">
        <v>40</v>
      </c>
      <c r="W3741" s="2" t="s">
        <v>16189</v>
      </c>
      <c r="X3741" s="2"/>
      <c r="Y3741" s="2"/>
      <c r="Z3741" s="2"/>
      <c r="AA3741" s="2" t="s">
        <v>375</v>
      </c>
      <c r="AB3741" s="2" t="s">
        <v>376</v>
      </c>
      <c r="AC3741" s="4" t="s">
        <v>44</v>
      </c>
    </row>
    <row r="3742" spans="1:29" x14ac:dyDescent="0.25">
      <c r="A3742" s="1">
        <v>1114</v>
      </c>
      <c r="B3742" s="17" t="s">
        <v>16190</v>
      </c>
      <c r="C3742" s="2" t="s">
        <v>16191</v>
      </c>
      <c r="D3742" s="15" t="s">
        <v>9105</v>
      </c>
      <c r="E3742" s="9" t="s">
        <v>1660</v>
      </c>
      <c r="F3742" s="9" t="s">
        <v>9104</v>
      </c>
      <c r="G3742" s="9" t="s">
        <v>4803</v>
      </c>
      <c r="H3742" s="2" t="s">
        <v>35</v>
      </c>
      <c r="I3742" s="3">
        <v>37225</v>
      </c>
      <c r="J3742" s="9" t="str">
        <f t="shared" ca="1" si="61"/>
        <v>21 ans</v>
      </c>
      <c r="K3742" s="2" t="s">
        <v>262</v>
      </c>
      <c r="L3742" s="2" t="str">
        <f>"1969"</f>
        <v>1969</v>
      </c>
      <c r="M3742" s="2"/>
      <c r="N3742" s="2" t="str">
        <f>"RUE LATREILLE"</f>
        <v>RUE LATREILLE</v>
      </c>
      <c r="O3742" s="2" t="s">
        <v>14661</v>
      </c>
      <c r="P3742" s="9" t="str">
        <f>VLOOKUP($O3742,'Liste des Villes'!$B$2:$B$1128,1,FALSE)</f>
        <v>Mirabel</v>
      </c>
      <c r="Q3742" s="9" t="str">
        <f>IFERROR($P3742,PROPER(VLOOKUP($O3742,'Villes en erreur'!$A$2:$B$72,2,FALSE)))</f>
        <v>Mirabel</v>
      </c>
      <c r="R3742" s="9" t="s">
        <v>14662</v>
      </c>
      <c r="S3742" s="9" t="str">
        <f>IF(ISBLANK($R3742),"",VLOOKUP($R3742,'Liste des Villes'!$B$2:$H$1128,4,FALSE))</f>
        <v>Laurentides</v>
      </c>
      <c r="T3742" s="2" t="s">
        <v>16192</v>
      </c>
      <c r="U3742" s="2" t="s">
        <v>39</v>
      </c>
      <c r="V3742" s="2" t="s">
        <v>40</v>
      </c>
      <c r="W3742" s="2" t="s">
        <v>16193</v>
      </c>
      <c r="X3742" s="2"/>
      <c r="Y3742" s="2"/>
      <c r="Z3742" s="2"/>
      <c r="AA3742" s="2" t="s">
        <v>708</v>
      </c>
      <c r="AB3742" s="2" t="s">
        <v>14669</v>
      </c>
      <c r="AC3742" s="4" t="s">
        <v>44</v>
      </c>
    </row>
    <row r="3743" spans="1:29" x14ac:dyDescent="0.25">
      <c r="A3743" s="1">
        <v>4184</v>
      </c>
      <c r="B3743" s="17" t="s">
        <v>16194</v>
      </c>
      <c r="C3743" s="2" t="s">
        <v>16195</v>
      </c>
      <c r="D3743" s="15" t="s">
        <v>11454</v>
      </c>
      <c r="E3743" s="9" t="s">
        <v>16196</v>
      </c>
      <c r="F3743" s="9" t="s">
        <v>1117</v>
      </c>
      <c r="G3743" s="9" t="s">
        <v>549</v>
      </c>
      <c r="H3743" s="2" t="s">
        <v>60</v>
      </c>
      <c r="I3743" s="3">
        <v>37223</v>
      </c>
      <c r="J3743" s="9" t="str">
        <f t="shared" ca="1" si="61"/>
        <v>21 ans</v>
      </c>
      <c r="K3743" s="2" t="s">
        <v>262</v>
      </c>
      <c r="L3743" s="2" t="str">
        <f>"1949"</f>
        <v>1949</v>
      </c>
      <c r="M3743" s="2"/>
      <c r="N3743" s="2" t="str">
        <f>"RUE LAROCQUE"</f>
        <v>RUE LAROCQUE</v>
      </c>
      <c r="O3743" s="2" t="s">
        <v>14661</v>
      </c>
      <c r="P3743" s="9" t="str">
        <f>VLOOKUP($O3743,'Liste des Villes'!$B$2:$B$1128,1,FALSE)</f>
        <v>Mirabel</v>
      </c>
      <c r="Q3743" s="9" t="str">
        <f>IFERROR($P3743,PROPER(VLOOKUP($O3743,'Villes en erreur'!$A$2:$B$72,2,FALSE)))</f>
        <v>Mirabel</v>
      </c>
      <c r="R3743" s="9" t="s">
        <v>14662</v>
      </c>
      <c r="S3743" s="9" t="str">
        <f>IF(ISBLANK($R3743),"",VLOOKUP($R3743,'Liste des Villes'!$B$2:$H$1128,4,FALSE))</f>
        <v>Laurentides</v>
      </c>
      <c r="T3743" s="2" t="s">
        <v>15198</v>
      </c>
      <c r="U3743" s="2" t="s">
        <v>39</v>
      </c>
      <c r="V3743" s="2" t="s">
        <v>40</v>
      </c>
      <c r="W3743" s="2" t="s">
        <v>16197</v>
      </c>
      <c r="X3743" s="2"/>
      <c r="Y3743" s="2"/>
      <c r="Z3743" s="2"/>
      <c r="AA3743" s="2" t="s">
        <v>708</v>
      </c>
      <c r="AB3743" s="2" t="s">
        <v>14669</v>
      </c>
      <c r="AC3743" s="4" t="s">
        <v>44</v>
      </c>
    </row>
    <row r="3744" spans="1:29" x14ac:dyDescent="0.25">
      <c r="A3744" s="1">
        <v>4031</v>
      </c>
      <c r="B3744" s="17" t="s">
        <v>16198</v>
      </c>
      <c r="C3744" s="2" t="s">
        <v>1414</v>
      </c>
      <c r="D3744" s="15" t="s">
        <v>1415</v>
      </c>
      <c r="E3744" s="9" t="s">
        <v>1416</v>
      </c>
      <c r="F3744" s="9" t="s">
        <v>1417</v>
      </c>
      <c r="G3744" s="9" t="s">
        <v>4243</v>
      </c>
      <c r="H3744" s="2" t="s">
        <v>60</v>
      </c>
      <c r="I3744" s="3">
        <v>37160</v>
      </c>
      <c r="J3744" s="9" t="str">
        <f t="shared" ca="1" si="61"/>
        <v>21 ans</v>
      </c>
      <c r="K3744" s="2" t="s">
        <v>156</v>
      </c>
      <c r="L3744" s="2" t="str">
        <f>"1515"</f>
        <v>1515</v>
      </c>
      <c r="M3744" s="2"/>
      <c r="N3744" s="2" t="str">
        <f>"RUE JEAN PAUL LEMIEUX"</f>
        <v>RUE JEAN PAUL LEMIEUX</v>
      </c>
      <c r="O3744" s="2" t="s">
        <v>14661</v>
      </c>
      <c r="P3744" s="9" t="str">
        <f>VLOOKUP($O3744,'Liste des Villes'!$B$2:$B$1128,1,FALSE)</f>
        <v>Mirabel</v>
      </c>
      <c r="Q3744" s="9" t="str">
        <f>IFERROR($P3744,PROPER(VLOOKUP($O3744,'Villes en erreur'!$A$2:$B$72,2,FALSE)))</f>
        <v>Mirabel</v>
      </c>
      <c r="R3744" s="9" t="s">
        <v>14662</v>
      </c>
      <c r="S3744" s="9" t="str">
        <f>IF(ISBLANK($R3744),"",VLOOKUP($R3744,'Liste des Villes'!$B$2:$H$1128,4,FALSE))</f>
        <v>Laurentides</v>
      </c>
      <c r="T3744" s="2" t="s">
        <v>16199</v>
      </c>
      <c r="U3744" s="2" t="s">
        <v>39</v>
      </c>
      <c r="V3744" s="2" t="s">
        <v>40</v>
      </c>
      <c r="W3744" s="2" t="s">
        <v>16200</v>
      </c>
      <c r="X3744" s="2"/>
      <c r="Y3744" s="2"/>
      <c r="Z3744" s="2"/>
      <c r="AA3744" s="2" t="s">
        <v>708</v>
      </c>
      <c r="AB3744" s="2" t="s">
        <v>376</v>
      </c>
      <c r="AC3744" s="4" t="s">
        <v>44</v>
      </c>
    </row>
    <row r="3745" spans="1:29" x14ac:dyDescent="0.25">
      <c r="A3745" s="1">
        <v>780</v>
      </c>
      <c r="B3745" s="17" t="s">
        <v>16201</v>
      </c>
      <c r="C3745" s="2" t="s">
        <v>16202</v>
      </c>
      <c r="D3745" s="15" t="s">
        <v>803</v>
      </c>
      <c r="E3745" s="9" t="s">
        <v>16203</v>
      </c>
      <c r="F3745" s="9" t="s">
        <v>13608</v>
      </c>
      <c r="G3745" s="9" t="s">
        <v>1004</v>
      </c>
      <c r="H3745" s="2" t="s">
        <v>60</v>
      </c>
      <c r="I3745" s="3">
        <v>37109</v>
      </c>
      <c r="J3745" s="9" t="str">
        <f t="shared" ca="1" si="61"/>
        <v>22 ans</v>
      </c>
      <c r="K3745" s="2" t="s">
        <v>156</v>
      </c>
      <c r="L3745" s="2" t="str">
        <f>"1255"</f>
        <v>1255</v>
      </c>
      <c r="M3745" s="2"/>
      <c r="N3745" s="2" t="str">
        <f>"RUE GAUDREAU"</f>
        <v>RUE GAUDREAU</v>
      </c>
      <c r="O3745" s="2" t="s">
        <v>14661</v>
      </c>
      <c r="P3745" s="9" t="str">
        <f>VLOOKUP($O3745,'Liste des Villes'!$B$2:$B$1128,1,FALSE)</f>
        <v>Mirabel</v>
      </c>
      <c r="Q3745" s="9" t="str">
        <f>IFERROR($P3745,PROPER(VLOOKUP($O3745,'Villes en erreur'!$A$2:$B$72,2,FALSE)))</f>
        <v>Mirabel</v>
      </c>
      <c r="R3745" s="9" t="s">
        <v>14662</v>
      </c>
      <c r="S3745" s="9" t="str">
        <f>IF(ISBLANK($R3745),"",VLOOKUP($R3745,'Liste des Villes'!$B$2:$H$1128,4,FALSE))</f>
        <v>Laurentides</v>
      </c>
      <c r="T3745" s="2" t="s">
        <v>16204</v>
      </c>
      <c r="U3745" s="2" t="s">
        <v>39</v>
      </c>
      <c r="V3745" s="2" t="s">
        <v>40</v>
      </c>
      <c r="W3745" s="2" t="s">
        <v>16205</v>
      </c>
      <c r="X3745" s="2"/>
      <c r="Y3745" s="2"/>
      <c r="Z3745" s="2"/>
      <c r="AA3745" s="2" t="s">
        <v>375</v>
      </c>
      <c r="AB3745" s="2" t="s">
        <v>376</v>
      </c>
      <c r="AC3745" s="4" t="s">
        <v>44</v>
      </c>
    </row>
    <row r="3746" spans="1:29" x14ac:dyDescent="0.25">
      <c r="A3746" s="1">
        <v>519</v>
      </c>
      <c r="B3746" s="17" t="s">
        <v>16206</v>
      </c>
      <c r="C3746" s="2" t="s">
        <v>16207</v>
      </c>
      <c r="D3746" s="15" t="s">
        <v>3050</v>
      </c>
      <c r="E3746" s="9" t="s">
        <v>737</v>
      </c>
      <c r="F3746" s="9" t="s">
        <v>738</v>
      </c>
      <c r="G3746" s="9" t="s">
        <v>1004</v>
      </c>
      <c r="H3746" s="2" t="s">
        <v>60</v>
      </c>
      <c r="I3746" s="3">
        <v>37103</v>
      </c>
      <c r="J3746" s="9" t="str">
        <f t="shared" ca="1" si="61"/>
        <v>22 ans</v>
      </c>
      <c r="K3746" s="2" t="s">
        <v>156</v>
      </c>
      <c r="L3746" s="2" t="str">
        <f>"1240"</f>
        <v>1240</v>
      </c>
      <c r="M3746" s="2"/>
      <c r="N3746" s="2" t="str">
        <f>"RUE GABRIELLE ROY"</f>
        <v>RUE GABRIELLE ROY</v>
      </c>
      <c r="O3746" s="2" t="s">
        <v>14661</v>
      </c>
      <c r="P3746" s="9" t="str">
        <f>VLOOKUP($O3746,'Liste des Villes'!$B$2:$B$1128,1,FALSE)</f>
        <v>Mirabel</v>
      </c>
      <c r="Q3746" s="9" t="str">
        <f>IFERROR($P3746,PROPER(VLOOKUP($O3746,'Villes en erreur'!$A$2:$B$72,2,FALSE)))</f>
        <v>Mirabel</v>
      </c>
      <c r="R3746" s="9" t="s">
        <v>14662</v>
      </c>
      <c r="S3746" s="9" t="str">
        <f>IF(ISBLANK($R3746),"",VLOOKUP($R3746,'Liste des Villes'!$B$2:$H$1128,4,FALSE))</f>
        <v>Laurentides</v>
      </c>
      <c r="T3746" s="2" t="s">
        <v>16208</v>
      </c>
      <c r="U3746" s="2" t="s">
        <v>39</v>
      </c>
      <c r="V3746" s="2" t="s">
        <v>40</v>
      </c>
      <c r="W3746" s="2" t="s">
        <v>16209</v>
      </c>
      <c r="X3746" s="2"/>
      <c r="Y3746" s="2"/>
      <c r="Z3746" s="2"/>
      <c r="AA3746" s="2" t="s">
        <v>375</v>
      </c>
      <c r="AB3746" s="2" t="s">
        <v>376</v>
      </c>
      <c r="AC3746" s="4" t="s">
        <v>44</v>
      </c>
    </row>
    <row r="3747" spans="1:29" x14ac:dyDescent="0.25">
      <c r="A3747" s="1">
        <v>2369</v>
      </c>
      <c r="B3747" s="17" t="s">
        <v>16210</v>
      </c>
      <c r="C3747" s="2" t="s">
        <v>16211</v>
      </c>
      <c r="D3747" s="15" t="s">
        <v>15638</v>
      </c>
      <c r="E3747" s="9" t="s">
        <v>179</v>
      </c>
      <c r="F3747" s="9" t="s">
        <v>3625</v>
      </c>
      <c r="G3747" s="9" t="s">
        <v>418</v>
      </c>
      <c r="H3747" s="2" t="s">
        <v>60</v>
      </c>
      <c r="I3747" s="3">
        <v>37202</v>
      </c>
      <c r="J3747" s="9" t="str">
        <f t="shared" ca="1" si="61"/>
        <v>21 ans</v>
      </c>
      <c r="K3747" s="2" t="s">
        <v>262</v>
      </c>
      <c r="L3747" s="2" t="str">
        <f>"1764"</f>
        <v>1764</v>
      </c>
      <c r="M3747" s="2"/>
      <c r="N3747" s="2" t="str">
        <f>"RUE LACHAINE"</f>
        <v>RUE LACHAINE</v>
      </c>
      <c r="O3747" s="2" t="s">
        <v>14661</v>
      </c>
      <c r="P3747" s="9" t="str">
        <f>VLOOKUP($O3747,'Liste des Villes'!$B$2:$B$1128,1,FALSE)</f>
        <v>Mirabel</v>
      </c>
      <c r="Q3747" s="9" t="str">
        <f>IFERROR($P3747,PROPER(VLOOKUP($O3747,'Villes en erreur'!$A$2:$B$72,2,FALSE)))</f>
        <v>Mirabel</v>
      </c>
      <c r="R3747" s="9" t="s">
        <v>14662</v>
      </c>
      <c r="S3747" s="9" t="str">
        <f>IF(ISBLANK($R3747),"",VLOOKUP($R3747,'Liste des Villes'!$B$2:$H$1128,4,FALSE))</f>
        <v>Laurentides</v>
      </c>
      <c r="T3747" s="2" t="s">
        <v>16212</v>
      </c>
      <c r="U3747" s="2" t="s">
        <v>39</v>
      </c>
      <c r="V3747" s="2" t="s">
        <v>40</v>
      </c>
      <c r="W3747" s="2" t="s">
        <v>16213</v>
      </c>
      <c r="X3747" s="2"/>
      <c r="Y3747" s="2"/>
      <c r="Z3747" s="2"/>
      <c r="AA3747" s="2" t="s">
        <v>708</v>
      </c>
      <c r="AB3747" s="2" t="s">
        <v>14669</v>
      </c>
      <c r="AC3747" s="4" t="s">
        <v>44</v>
      </c>
    </row>
    <row r="3748" spans="1:29" x14ac:dyDescent="0.25">
      <c r="A3748" s="1">
        <v>3453</v>
      </c>
      <c r="B3748" s="17" t="s">
        <v>16214</v>
      </c>
      <c r="C3748" s="2" t="s">
        <v>16215</v>
      </c>
      <c r="D3748" s="15" t="s">
        <v>3097</v>
      </c>
      <c r="E3748" s="9" t="s">
        <v>5648</v>
      </c>
      <c r="F3748" s="9" t="s">
        <v>2139</v>
      </c>
      <c r="G3748" s="9" t="s">
        <v>418</v>
      </c>
      <c r="H3748" s="2" t="s">
        <v>60</v>
      </c>
      <c r="I3748" s="3">
        <v>37202</v>
      </c>
      <c r="J3748" s="9" t="str">
        <f t="shared" ca="1" si="61"/>
        <v>21 ans</v>
      </c>
      <c r="K3748" s="2" t="s">
        <v>262</v>
      </c>
      <c r="L3748" s="2" t="str">
        <f>"1767"</f>
        <v>1767</v>
      </c>
      <c r="M3748" s="2"/>
      <c r="N3748" s="2" t="str">
        <f>"RUE LACHAPELLE"</f>
        <v>RUE LACHAPELLE</v>
      </c>
      <c r="O3748" s="2" t="s">
        <v>14661</v>
      </c>
      <c r="P3748" s="9" t="str">
        <f>VLOOKUP($O3748,'Liste des Villes'!$B$2:$B$1128,1,FALSE)</f>
        <v>Mirabel</v>
      </c>
      <c r="Q3748" s="9" t="str">
        <f>IFERROR($P3748,PROPER(VLOOKUP($O3748,'Villes en erreur'!$A$2:$B$72,2,FALSE)))</f>
        <v>Mirabel</v>
      </c>
      <c r="R3748" s="9" t="s">
        <v>14662</v>
      </c>
      <c r="S3748" s="9" t="str">
        <f>IF(ISBLANK($R3748),"",VLOOKUP($R3748,'Liste des Villes'!$B$2:$H$1128,4,FALSE))</f>
        <v>Laurentides</v>
      </c>
      <c r="T3748" s="2" t="s">
        <v>15872</v>
      </c>
      <c r="U3748" s="2" t="s">
        <v>39</v>
      </c>
      <c r="V3748" s="2" t="s">
        <v>40</v>
      </c>
      <c r="W3748" s="2" t="s">
        <v>15249</v>
      </c>
      <c r="X3748" s="2"/>
      <c r="Y3748" s="2"/>
      <c r="Z3748" s="2"/>
      <c r="AA3748" s="2" t="s">
        <v>708</v>
      </c>
      <c r="AB3748" s="2" t="s">
        <v>14669</v>
      </c>
      <c r="AC3748" s="4" t="s">
        <v>44</v>
      </c>
    </row>
    <row r="3749" spans="1:29" x14ac:dyDescent="0.25">
      <c r="A3749" s="1">
        <v>2169</v>
      </c>
      <c r="B3749" s="17" t="s">
        <v>16216</v>
      </c>
      <c r="C3749" s="2" t="s">
        <v>16217</v>
      </c>
      <c r="D3749" s="15" t="s">
        <v>9401</v>
      </c>
      <c r="E3749" s="9" t="s">
        <v>370</v>
      </c>
      <c r="F3749" s="9" t="s">
        <v>2910</v>
      </c>
      <c r="G3749" s="9" t="s">
        <v>233</v>
      </c>
      <c r="H3749" s="2" t="s">
        <v>60</v>
      </c>
      <c r="I3749" s="3">
        <v>37217</v>
      </c>
      <c r="J3749" s="9" t="str">
        <f t="shared" ca="1" si="61"/>
        <v>21 ans</v>
      </c>
      <c r="K3749" s="2" t="s">
        <v>262</v>
      </c>
      <c r="L3749" s="2" t="str">
        <f>"1911"</f>
        <v>1911</v>
      </c>
      <c r="M3749" s="2"/>
      <c r="N3749" s="2" t="str">
        <f>"RUE LANGLOIS"</f>
        <v>RUE LANGLOIS</v>
      </c>
      <c r="O3749" s="2" t="s">
        <v>14661</v>
      </c>
      <c r="P3749" s="9" t="str">
        <f>VLOOKUP($O3749,'Liste des Villes'!$B$2:$B$1128,1,FALSE)</f>
        <v>Mirabel</v>
      </c>
      <c r="Q3749" s="9" t="str">
        <f>IFERROR($P3749,PROPER(VLOOKUP($O3749,'Villes en erreur'!$A$2:$B$72,2,FALSE)))</f>
        <v>Mirabel</v>
      </c>
      <c r="R3749" s="9" t="s">
        <v>14662</v>
      </c>
      <c r="S3749" s="9" t="str">
        <f>IF(ISBLANK($R3749),"",VLOOKUP($R3749,'Liste des Villes'!$B$2:$H$1128,4,FALSE))</f>
        <v>Laurentides</v>
      </c>
      <c r="T3749" s="2" t="s">
        <v>15534</v>
      </c>
      <c r="U3749" s="2" t="s">
        <v>39</v>
      </c>
      <c r="V3749" s="2" t="s">
        <v>40</v>
      </c>
      <c r="W3749" s="2" t="s">
        <v>16218</v>
      </c>
      <c r="X3749" s="2"/>
      <c r="Y3749" s="2"/>
      <c r="Z3749" s="2"/>
      <c r="AA3749" s="2" t="s">
        <v>708</v>
      </c>
      <c r="AB3749" s="2" t="s">
        <v>14669</v>
      </c>
      <c r="AC3749" s="4" t="s">
        <v>44</v>
      </c>
    </row>
    <row r="3750" spans="1:29" x14ac:dyDescent="0.25">
      <c r="A3750" s="1">
        <v>1153</v>
      </c>
      <c r="B3750" s="17" t="s">
        <v>16219</v>
      </c>
      <c r="C3750" s="2" t="s">
        <v>16220</v>
      </c>
      <c r="D3750" s="15" t="s">
        <v>16221</v>
      </c>
      <c r="E3750" s="9" t="s">
        <v>11938</v>
      </c>
      <c r="F3750" s="9" t="s">
        <v>16222</v>
      </c>
      <c r="G3750" s="9" t="s">
        <v>4092</v>
      </c>
      <c r="H3750" s="2" t="s">
        <v>35</v>
      </c>
      <c r="I3750" s="3">
        <v>37130</v>
      </c>
      <c r="J3750" s="9" t="str">
        <f t="shared" ca="1" si="61"/>
        <v>21 ans</v>
      </c>
      <c r="K3750" s="2" t="s">
        <v>156</v>
      </c>
      <c r="L3750" s="2" t="str">
        <f>"1350"</f>
        <v>1350</v>
      </c>
      <c r="M3750" s="2"/>
      <c r="N3750" s="2" t="str">
        <f>"RUE HAMELIN"</f>
        <v>RUE HAMELIN</v>
      </c>
      <c r="O3750" s="2" t="s">
        <v>14661</v>
      </c>
      <c r="P3750" s="9" t="str">
        <f>VLOOKUP($O3750,'Liste des Villes'!$B$2:$B$1128,1,FALSE)</f>
        <v>Mirabel</v>
      </c>
      <c r="Q3750" s="9" t="str">
        <f>IFERROR($P3750,PROPER(VLOOKUP($O3750,'Villes en erreur'!$A$2:$B$72,2,FALSE)))</f>
        <v>Mirabel</v>
      </c>
      <c r="R3750" s="9" t="s">
        <v>14662</v>
      </c>
      <c r="S3750" s="9" t="str">
        <f>IF(ISBLANK($R3750),"",VLOOKUP($R3750,'Liste des Villes'!$B$2:$H$1128,4,FALSE))</f>
        <v>Laurentides</v>
      </c>
      <c r="T3750" s="2" t="s">
        <v>16223</v>
      </c>
      <c r="U3750" s="2" t="s">
        <v>39</v>
      </c>
      <c r="V3750" s="2" t="s">
        <v>40</v>
      </c>
      <c r="W3750" s="2" t="s">
        <v>16224</v>
      </c>
      <c r="X3750" s="2"/>
      <c r="Y3750" s="2"/>
      <c r="Z3750" s="2"/>
      <c r="AA3750" s="2" t="s">
        <v>375</v>
      </c>
      <c r="AB3750" s="2" t="s">
        <v>376</v>
      </c>
      <c r="AC3750" s="4" t="s">
        <v>44</v>
      </c>
    </row>
    <row r="3751" spans="1:29" x14ac:dyDescent="0.25">
      <c r="A3751" s="1">
        <v>4543</v>
      </c>
      <c r="B3751" s="17" t="s">
        <v>16225</v>
      </c>
      <c r="C3751" s="2" t="s">
        <v>9916</v>
      </c>
      <c r="D3751" s="15" t="s">
        <v>2755</v>
      </c>
      <c r="E3751" s="9" t="s">
        <v>616</v>
      </c>
      <c r="F3751" s="9" t="s">
        <v>13511</v>
      </c>
      <c r="G3751" s="9" t="s">
        <v>3235</v>
      </c>
      <c r="H3751" s="2" t="s">
        <v>60</v>
      </c>
      <c r="I3751" s="3">
        <v>37143</v>
      </c>
      <c r="J3751" s="9" t="str">
        <f t="shared" ca="1" si="61"/>
        <v>21 ans</v>
      </c>
      <c r="K3751" s="2" t="s">
        <v>156</v>
      </c>
      <c r="L3751" s="2" t="str">
        <f>"1418"</f>
        <v>1418</v>
      </c>
      <c r="M3751" s="2"/>
      <c r="N3751" s="2" t="str">
        <f>"RUE IRÉNÉE"</f>
        <v>RUE IRÉNÉE</v>
      </c>
      <c r="O3751" s="2" t="s">
        <v>14661</v>
      </c>
      <c r="P3751" s="9" t="str">
        <f>VLOOKUP($O3751,'Liste des Villes'!$B$2:$B$1128,1,FALSE)</f>
        <v>Mirabel</v>
      </c>
      <c r="Q3751" s="9" t="str">
        <f>IFERROR($P3751,PROPER(VLOOKUP($O3751,'Villes en erreur'!$A$2:$B$72,2,FALSE)))</f>
        <v>Mirabel</v>
      </c>
      <c r="R3751" s="9" t="s">
        <v>14662</v>
      </c>
      <c r="S3751" s="9" t="str">
        <f>IF(ISBLANK($R3751),"",VLOOKUP($R3751,'Liste des Villes'!$B$2:$H$1128,4,FALSE))</f>
        <v>Laurentides</v>
      </c>
      <c r="T3751" s="2" t="s">
        <v>14788</v>
      </c>
      <c r="U3751" s="2" t="s">
        <v>39</v>
      </c>
      <c r="V3751" s="2" t="s">
        <v>40</v>
      </c>
      <c r="W3751" s="2" t="s">
        <v>16226</v>
      </c>
      <c r="X3751" s="2"/>
      <c r="Y3751" s="2"/>
      <c r="Z3751" s="2"/>
      <c r="AA3751" s="2" t="s">
        <v>708</v>
      </c>
      <c r="AB3751" s="2" t="s">
        <v>376</v>
      </c>
      <c r="AC3751" s="4" t="s">
        <v>44</v>
      </c>
    </row>
    <row r="3752" spans="1:29" x14ac:dyDescent="0.25">
      <c r="A3752" s="1">
        <v>3116</v>
      </c>
      <c r="B3752" s="17" t="s">
        <v>16227</v>
      </c>
      <c r="C3752" s="2" t="s">
        <v>16228</v>
      </c>
      <c r="D3752" s="15" t="s">
        <v>1061</v>
      </c>
      <c r="E3752" s="9" t="s">
        <v>6687</v>
      </c>
      <c r="F3752" s="9" t="s">
        <v>15580</v>
      </c>
      <c r="G3752" s="9" t="s">
        <v>4243</v>
      </c>
      <c r="H3752" s="2" t="s">
        <v>60</v>
      </c>
      <c r="I3752" s="3">
        <v>37162</v>
      </c>
      <c r="J3752" s="9" t="str">
        <f t="shared" ca="1" si="61"/>
        <v>21 ans</v>
      </c>
      <c r="K3752" s="2" t="s">
        <v>156</v>
      </c>
      <c r="L3752" s="2" t="str">
        <f>"1533"</f>
        <v>1533</v>
      </c>
      <c r="M3752" s="2"/>
      <c r="N3752" s="2" t="str">
        <f>"RUE JEAN-DESPREZ"</f>
        <v>RUE JEAN-DESPREZ</v>
      </c>
      <c r="O3752" s="2" t="s">
        <v>14661</v>
      </c>
      <c r="P3752" s="9" t="str">
        <f>VLOOKUP($O3752,'Liste des Villes'!$B$2:$B$1128,1,FALSE)</f>
        <v>Mirabel</v>
      </c>
      <c r="Q3752" s="9" t="str">
        <f>IFERROR($P3752,PROPER(VLOOKUP($O3752,'Villes en erreur'!$A$2:$B$72,2,FALSE)))</f>
        <v>Mirabel</v>
      </c>
      <c r="R3752" s="9" t="s">
        <v>14662</v>
      </c>
      <c r="S3752" s="9" t="str">
        <f>IF(ISBLANK($R3752),"",VLOOKUP($R3752,'Liste des Villes'!$B$2:$H$1128,4,FALSE))</f>
        <v>Laurentides</v>
      </c>
      <c r="T3752" s="2" t="s">
        <v>16229</v>
      </c>
      <c r="U3752" s="2" t="s">
        <v>39</v>
      </c>
      <c r="V3752" s="2" t="s">
        <v>40</v>
      </c>
      <c r="W3752" s="2" t="s">
        <v>16230</v>
      </c>
      <c r="X3752" s="2"/>
      <c r="Y3752" s="2"/>
      <c r="Z3752" s="2"/>
      <c r="AA3752" s="2" t="s">
        <v>708</v>
      </c>
      <c r="AB3752" s="2" t="s">
        <v>376</v>
      </c>
      <c r="AC3752" s="4" t="s">
        <v>44</v>
      </c>
    </row>
    <row r="3753" spans="1:29" x14ac:dyDescent="0.25">
      <c r="A3753" s="1">
        <v>3894</v>
      </c>
      <c r="B3753" s="17" t="s">
        <v>16231</v>
      </c>
      <c r="C3753" s="2" t="s">
        <v>16232</v>
      </c>
      <c r="D3753" s="15" t="s">
        <v>3655</v>
      </c>
      <c r="E3753" s="9" t="s">
        <v>10618</v>
      </c>
      <c r="F3753" s="9" t="s">
        <v>14685</v>
      </c>
      <c r="G3753" s="9" t="s">
        <v>10628</v>
      </c>
      <c r="H3753" s="2" t="s">
        <v>60</v>
      </c>
      <c r="I3753" s="3">
        <v>37088</v>
      </c>
      <c r="J3753" s="9" t="str">
        <f t="shared" ca="1" si="61"/>
        <v>22 ans</v>
      </c>
      <c r="K3753" s="2" t="s">
        <v>156</v>
      </c>
      <c r="L3753" s="2" t="str">
        <f>"1195"</f>
        <v>1195</v>
      </c>
      <c r="M3753" s="2"/>
      <c r="N3753" s="2" t="str">
        <f>"RUE FOLLEREAU"</f>
        <v>RUE FOLLEREAU</v>
      </c>
      <c r="O3753" s="2" t="s">
        <v>14661</v>
      </c>
      <c r="P3753" s="9" t="str">
        <f>VLOOKUP($O3753,'Liste des Villes'!$B$2:$B$1128,1,FALSE)</f>
        <v>Mirabel</v>
      </c>
      <c r="Q3753" s="9" t="str">
        <f>IFERROR($P3753,PROPER(VLOOKUP($O3753,'Villes en erreur'!$A$2:$B$72,2,FALSE)))</f>
        <v>Mirabel</v>
      </c>
      <c r="R3753" s="9" t="s">
        <v>14662</v>
      </c>
      <c r="S3753" s="9" t="str">
        <f>IF(ISBLANK($R3753),"",VLOOKUP($R3753,'Liste des Villes'!$B$2:$H$1128,4,FALSE))</f>
        <v>Laurentides</v>
      </c>
      <c r="T3753" s="2" t="s">
        <v>14753</v>
      </c>
      <c r="U3753" s="2" t="s">
        <v>39</v>
      </c>
      <c r="V3753" s="2" t="s">
        <v>40</v>
      </c>
      <c r="W3753" s="2" t="s">
        <v>16233</v>
      </c>
      <c r="X3753" s="2"/>
      <c r="Y3753" s="2"/>
      <c r="Z3753" s="2"/>
      <c r="AA3753" s="2" t="s">
        <v>375</v>
      </c>
      <c r="AB3753" s="2" t="s">
        <v>376</v>
      </c>
      <c r="AC3753" s="4" t="s">
        <v>44</v>
      </c>
    </row>
    <row r="3754" spans="1:29" x14ac:dyDescent="0.25">
      <c r="A3754" s="1">
        <v>384</v>
      </c>
      <c r="B3754" s="17" t="s">
        <v>16234</v>
      </c>
      <c r="C3754" s="2" t="s">
        <v>1733</v>
      </c>
      <c r="D3754" s="15" t="s">
        <v>100</v>
      </c>
      <c r="E3754" s="9" t="s">
        <v>122</v>
      </c>
      <c r="F3754" s="9" t="s">
        <v>3636</v>
      </c>
      <c r="G3754" s="9" t="s">
        <v>883</v>
      </c>
      <c r="H3754" s="2" t="s">
        <v>35</v>
      </c>
      <c r="I3754" s="3">
        <v>37204</v>
      </c>
      <c r="J3754" s="9" t="str">
        <f t="shared" ca="1" si="61"/>
        <v>21 ans</v>
      </c>
      <c r="K3754" s="2" t="s">
        <v>262</v>
      </c>
      <c r="L3754" s="2" t="str">
        <f>"1783"</f>
        <v>1783</v>
      </c>
      <c r="M3754" s="2"/>
      <c r="N3754" s="2" t="str">
        <f>"RUE LACHAPELLE"</f>
        <v>RUE LACHAPELLE</v>
      </c>
      <c r="O3754" s="2" t="s">
        <v>14661</v>
      </c>
      <c r="P3754" s="9" t="str">
        <f>VLOOKUP($O3754,'Liste des Villes'!$B$2:$B$1128,1,FALSE)</f>
        <v>Mirabel</v>
      </c>
      <c r="Q3754" s="9" t="str">
        <f>IFERROR($P3754,PROPER(VLOOKUP($O3754,'Villes en erreur'!$A$2:$B$72,2,FALSE)))</f>
        <v>Mirabel</v>
      </c>
      <c r="R3754" s="9" t="s">
        <v>14662</v>
      </c>
      <c r="S3754" s="9" t="str">
        <f>IF(ISBLANK($R3754),"",VLOOKUP($R3754,'Liste des Villes'!$B$2:$H$1128,4,FALSE))</f>
        <v>Laurentides</v>
      </c>
      <c r="T3754" s="2" t="s">
        <v>14898</v>
      </c>
      <c r="U3754" s="2" t="s">
        <v>39</v>
      </c>
      <c r="V3754" s="2" t="s">
        <v>40</v>
      </c>
      <c r="W3754" s="2" t="s">
        <v>16235</v>
      </c>
      <c r="X3754" s="2"/>
      <c r="Y3754" s="2"/>
      <c r="Z3754" s="2"/>
      <c r="AA3754" s="2" t="s">
        <v>708</v>
      </c>
      <c r="AB3754" s="2" t="s">
        <v>14669</v>
      </c>
      <c r="AC3754" s="4" t="s">
        <v>44</v>
      </c>
    </row>
    <row r="3755" spans="1:29" x14ac:dyDescent="0.25">
      <c r="A3755" s="1">
        <v>1844</v>
      </c>
      <c r="B3755" s="17" t="s">
        <v>16236</v>
      </c>
      <c r="C3755" s="2" t="s">
        <v>3653</v>
      </c>
      <c r="D3755" s="15" t="s">
        <v>3654</v>
      </c>
      <c r="E3755" s="9" t="s">
        <v>1330</v>
      </c>
      <c r="F3755" s="9" t="s">
        <v>7179</v>
      </c>
      <c r="G3755" s="9" t="s">
        <v>325</v>
      </c>
      <c r="H3755" s="2" t="s">
        <v>35</v>
      </c>
      <c r="I3755" s="3">
        <v>37235</v>
      </c>
      <c r="J3755" s="9" t="str">
        <f t="shared" ca="1" si="61"/>
        <v>21 ans</v>
      </c>
      <c r="K3755" s="2" t="s">
        <v>262</v>
      </c>
      <c r="L3755" s="2" t="str">
        <f>"2018"</f>
        <v>2018</v>
      </c>
      <c r="M3755" s="2"/>
      <c r="N3755" s="2" t="str">
        <f>"RUE LAVAL"</f>
        <v>RUE LAVAL</v>
      </c>
      <c r="O3755" s="2" t="s">
        <v>14661</v>
      </c>
      <c r="P3755" s="9" t="str">
        <f>VLOOKUP($O3755,'Liste des Villes'!$B$2:$B$1128,1,FALSE)</f>
        <v>Mirabel</v>
      </c>
      <c r="Q3755" s="9" t="str">
        <f>IFERROR($P3755,PROPER(VLOOKUP($O3755,'Villes en erreur'!$A$2:$B$72,2,FALSE)))</f>
        <v>Mirabel</v>
      </c>
      <c r="R3755" s="9" t="s">
        <v>14662</v>
      </c>
      <c r="S3755" s="9" t="str">
        <f>IF(ISBLANK($R3755),"",VLOOKUP($R3755,'Liste des Villes'!$B$2:$H$1128,4,FALSE))</f>
        <v>Laurentides</v>
      </c>
      <c r="T3755" s="2" t="s">
        <v>16237</v>
      </c>
      <c r="U3755" s="2" t="s">
        <v>39</v>
      </c>
      <c r="V3755" s="2" t="s">
        <v>40</v>
      </c>
      <c r="W3755" s="2" t="s">
        <v>16238</v>
      </c>
      <c r="X3755" s="2"/>
      <c r="Y3755" s="2"/>
      <c r="Z3755" s="2"/>
      <c r="AA3755" s="2" t="s">
        <v>708</v>
      </c>
      <c r="AB3755" s="2" t="s">
        <v>14669</v>
      </c>
      <c r="AC3755" s="4" t="s">
        <v>44</v>
      </c>
    </row>
    <row r="3756" spans="1:29" x14ac:dyDescent="0.25">
      <c r="A3756" s="1">
        <v>3917</v>
      </c>
      <c r="B3756" s="17" t="s">
        <v>16239</v>
      </c>
      <c r="C3756" s="2" t="s">
        <v>939</v>
      </c>
      <c r="D3756" s="15" t="s">
        <v>827</v>
      </c>
      <c r="E3756" s="9" t="s">
        <v>940</v>
      </c>
      <c r="F3756" s="9" t="s">
        <v>825</v>
      </c>
      <c r="G3756" s="9" t="s">
        <v>743</v>
      </c>
      <c r="H3756" s="2" t="s">
        <v>60</v>
      </c>
      <c r="I3756" s="3">
        <v>37172</v>
      </c>
      <c r="J3756" s="9" t="str">
        <f t="shared" ca="1" si="61"/>
        <v>21 ans</v>
      </c>
      <c r="K3756" s="2" t="s">
        <v>156</v>
      </c>
      <c r="L3756" s="2" t="str">
        <f>"1601"</f>
        <v>1601</v>
      </c>
      <c r="M3756" s="2"/>
      <c r="N3756" s="2" t="str">
        <f>"RUE JOLIETTE"</f>
        <v>RUE JOLIETTE</v>
      </c>
      <c r="O3756" s="2" t="s">
        <v>14661</v>
      </c>
      <c r="P3756" s="9" t="str">
        <f>VLOOKUP($O3756,'Liste des Villes'!$B$2:$B$1128,1,FALSE)</f>
        <v>Mirabel</v>
      </c>
      <c r="Q3756" s="9" t="str">
        <f>IFERROR($P3756,PROPER(VLOOKUP($O3756,'Villes en erreur'!$A$2:$B$72,2,FALSE)))</f>
        <v>Mirabel</v>
      </c>
      <c r="R3756" s="9" t="s">
        <v>14662</v>
      </c>
      <c r="S3756" s="9" t="str">
        <f>IF(ISBLANK($R3756),"",VLOOKUP($R3756,'Liste des Villes'!$B$2:$H$1128,4,FALSE))</f>
        <v>Laurentides</v>
      </c>
      <c r="T3756" s="2" t="s">
        <v>16240</v>
      </c>
      <c r="U3756" s="2" t="s">
        <v>39</v>
      </c>
      <c r="V3756" s="2" t="s">
        <v>40</v>
      </c>
      <c r="W3756" s="2" t="s">
        <v>16241</v>
      </c>
      <c r="X3756" s="2"/>
      <c r="Y3756" s="2"/>
      <c r="Z3756" s="2"/>
      <c r="AA3756" s="2" t="s">
        <v>708</v>
      </c>
      <c r="AB3756" s="2" t="s">
        <v>14669</v>
      </c>
      <c r="AC3756" s="4" t="s">
        <v>44</v>
      </c>
    </row>
    <row r="3757" spans="1:29" x14ac:dyDescent="0.25">
      <c r="A3757" s="1">
        <v>1962</v>
      </c>
      <c r="B3757" s="17" t="s">
        <v>16242</v>
      </c>
      <c r="C3757" s="2" t="s">
        <v>8837</v>
      </c>
      <c r="D3757" s="15" t="s">
        <v>3080</v>
      </c>
      <c r="E3757" s="9" t="s">
        <v>188</v>
      </c>
      <c r="F3757" s="9" t="s">
        <v>4830</v>
      </c>
      <c r="G3757" s="9" t="s">
        <v>630</v>
      </c>
      <c r="H3757" s="2" t="s">
        <v>60</v>
      </c>
      <c r="I3757" s="3">
        <v>37155</v>
      </c>
      <c r="J3757" s="9" t="str">
        <f t="shared" ca="1" si="61"/>
        <v>21 ans</v>
      </c>
      <c r="K3757" s="2" t="s">
        <v>156</v>
      </c>
      <c r="L3757" s="2" t="str">
        <f>"1481"</f>
        <v>1481</v>
      </c>
      <c r="M3757" s="2"/>
      <c r="N3757" s="2" t="str">
        <f>"RUE JACQUES-DESROSIERS"</f>
        <v>RUE JACQUES-DESROSIERS</v>
      </c>
      <c r="O3757" s="2" t="s">
        <v>14661</v>
      </c>
      <c r="P3757" s="9" t="str">
        <f>VLOOKUP($O3757,'Liste des Villes'!$B$2:$B$1128,1,FALSE)</f>
        <v>Mirabel</v>
      </c>
      <c r="Q3757" s="9" t="str">
        <f>IFERROR($P3757,PROPER(VLOOKUP($O3757,'Villes en erreur'!$A$2:$B$72,2,FALSE)))</f>
        <v>Mirabel</v>
      </c>
      <c r="R3757" s="9" t="s">
        <v>14662</v>
      </c>
      <c r="S3757" s="9" t="str">
        <f>IF(ISBLANK($R3757),"",VLOOKUP($R3757,'Liste des Villes'!$B$2:$H$1128,4,FALSE))</f>
        <v>Laurentides</v>
      </c>
      <c r="T3757" s="2" t="s">
        <v>16243</v>
      </c>
      <c r="U3757" s="2" t="s">
        <v>39</v>
      </c>
      <c r="V3757" s="2" t="s">
        <v>40</v>
      </c>
      <c r="W3757" s="2" t="s">
        <v>16244</v>
      </c>
      <c r="X3757" s="2"/>
      <c r="Y3757" s="2"/>
      <c r="Z3757" s="2"/>
      <c r="AA3757" s="2" t="s">
        <v>708</v>
      </c>
      <c r="AB3757" s="2" t="s">
        <v>376</v>
      </c>
      <c r="AC3757" s="4" t="s">
        <v>44</v>
      </c>
    </row>
    <row r="3758" spans="1:29" x14ac:dyDescent="0.25">
      <c r="A3758" s="1">
        <v>1423</v>
      </c>
      <c r="B3758" s="17" t="s">
        <v>16245</v>
      </c>
      <c r="C3758" s="2" t="s">
        <v>16246</v>
      </c>
      <c r="D3758" s="15" t="s">
        <v>3705</v>
      </c>
      <c r="E3758" s="9" t="s">
        <v>10650</v>
      </c>
      <c r="F3758" s="9" t="s">
        <v>16247</v>
      </c>
      <c r="G3758" s="9" t="s">
        <v>6936</v>
      </c>
      <c r="H3758" s="2" t="s">
        <v>60</v>
      </c>
      <c r="I3758" s="3">
        <v>37086</v>
      </c>
      <c r="J3758" s="9" t="str">
        <f t="shared" ca="1" si="61"/>
        <v>22 ans</v>
      </c>
      <c r="K3758" s="2" t="s">
        <v>156</v>
      </c>
      <c r="L3758" s="2" t="str">
        <f>"1186"</f>
        <v>1186</v>
      </c>
      <c r="M3758" s="2"/>
      <c r="N3758" s="2" t="str">
        <f>"RUE FILION"</f>
        <v>RUE FILION</v>
      </c>
      <c r="O3758" s="2" t="s">
        <v>14661</v>
      </c>
      <c r="P3758" s="9" t="str">
        <f>VLOOKUP($O3758,'Liste des Villes'!$B$2:$B$1128,1,FALSE)</f>
        <v>Mirabel</v>
      </c>
      <c r="Q3758" s="9" t="str">
        <f>IFERROR($P3758,PROPER(VLOOKUP($O3758,'Villes en erreur'!$A$2:$B$72,2,FALSE)))</f>
        <v>Mirabel</v>
      </c>
      <c r="R3758" s="9" t="s">
        <v>14662</v>
      </c>
      <c r="S3758" s="9" t="str">
        <f>IF(ISBLANK($R3758),"",VLOOKUP($R3758,'Liste des Villes'!$B$2:$H$1128,4,FALSE))</f>
        <v>Laurentides</v>
      </c>
      <c r="T3758" s="2" t="s">
        <v>15530</v>
      </c>
      <c r="U3758" s="2" t="s">
        <v>39</v>
      </c>
      <c r="V3758" s="2" t="s">
        <v>40</v>
      </c>
      <c r="W3758" s="2" t="s">
        <v>16248</v>
      </c>
      <c r="X3758" s="2"/>
      <c r="Y3758" s="2"/>
      <c r="Z3758" s="2"/>
      <c r="AA3758" s="2" t="s">
        <v>375</v>
      </c>
      <c r="AB3758" s="2" t="s">
        <v>376</v>
      </c>
      <c r="AC3758" s="4" t="s">
        <v>44</v>
      </c>
    </row>
    <row r="3759" spans="1:29" x14ac:dyDescent="0.25">
      <c r="A3759" s="1">
        <v>1070</v>
      </c>
      <c r="B3759" s="17" t="s">
        <v>16249</v>
      </c>
      <c r="C3759" s="2" t="s">
        <v>14202</v>
      </c>
      <c r="D3759" s="15" t="s">
        <v>14203</v>
      </c>
      <c r="E3759" s="9" t="s">
        <v>1410</v>
      </c>
      <c r="F3759" s="9" t="s">
        <v>1897</v>
      </c>
      <c r="G3759" s="9" t="s">
        <v>1650</v>
      </c>
      <c r="H3759" s="2" t="s">
        <v>35</v>
      </c>
      <c r="I3759" s="3">
        <v>37126</v>
      </c>
      <c r="J3759" s="9" t="str">
        <f t="shared" ca="1" si="61"/>
        <v>22 ans</v>
      </c>
      <c r="K3759" s="2" t="s">
        <v>156</v>
      </c>
      <c r="L3759" s="2" t="str">
        <f>"1332"</f>
        <v>1332</v>
      </c>
      <c r="M3759" s="2"/>
      <c r="N3759" s="2" t="str">
        <f>"RUE GROULX"</f>
        <v>RUE GROULX</v>
      </c>
      <c r="O3759" s="2" t="s">
        <v>14661</v>
      </c>
      <c r="P3759" s="9" t="str">
        <f>VLOOKUP($O3759,'Liste des Villes'!$B$2:$B$1128,1,FALSE)</f>
        <v>Mirabel</v>
      </c>
      <c r="Q3759" s="9" t="str">
        <f>IFERROR($P3759,PROPER(VLOOKUP($O3759,'Villes en erreur'!$A$2:$B$72,2,FALSE)))</f>
        <v>Mirabel</v>
      </c>
      <c r="R3759" s="9" t="s">
        <v>14662</v>
      </c>
      <c r="S3759" s="9" t="str">
        <f>IF(ISBLANK($R3759),"",VLOOKUP($R3759,'Liste des Villes'!$B$2:$H$1128,4,FALSE))</f>
        <v>Laurentides</v>
      </c>
      <c r="T3759" s="2" t="s">
        <v>16250</v>
      </c>
      <c r="U3759" s="2" t="s">
        <v>39</v>
      </c>
      <c r="V3759" s="2" t="s">
        <v>40</v>
      </c>
      <c r="W3759" s="2" t="s">
        <v>15255</v>
      </c>
      <c r="X3759" s="2"/>
      <c r="Y3759" s="2"/>
      <c r="Z3759" s="2"/>
      <c r="AA3759" s="2" t="s">
        <v>375</v>
      </c>
      <c r="AB3759" s="2" t="s">
        <v>376</v>
      </c>
      <c r="AC3759" s="4" t="s">
        <v>44</v>
      </c>
    </row>
    <row r="3760" spans="1:29" x14ac:dyDescent="0.25">
      <c r="A3760" s="1">
        <v>2496</v>
      </c>
      <c r="B3760" s="17" t="s">
        <v>16251</v>
      </c>
      <c r="C3760" s="2" t="s">
        <v>16252</v>
      </c>
      <c r="D3760" s="15" t="s">
        <v>7593</v>
      </c>
      <c r="E3760" s="9" t="s">
        <v>600</v>
      </c>
      <c r="F3760" s="9" t="s">
        <v>7591</v>
      </c>
      <c r="G3760" s="9" t="s">
        <v>11195</v>
      </c>
      <c r="H3760" s="2" t="s">
        <v>60</v>
      </c>
      <c r="I3760" s="3">
        <v>37091</v>
      </c>
      <c r="J3760" s="9" t="str">
        <f t="shared" ca="1" si="61"/>
        <v>22 ans</v>
      </c>
      <c r="K3760" s="2" t="s">
        <v>156</v>
      </c>
      <c r="L3760" s="2" t="str">
        <f>"1206"</f>
        <v>1206</v>
      </c>
      <c r="M3760" s="2"/>
      <c r="N3760" s="2" t="str">
        <f>"RUE FOURNIER"</f>
        <v>RUE FOURNIER</v>
      </c>
      <c r="O3760" s="2" t="s">
        <v>14661</v>
      </c>
      <c r="P3760" s="9" t="str">
        <f>VLOOKUP($O3760,'Liste des Villes'!$B$2:$B$1128,1,FALSE)</f>
        <v>Mirabel</v>
      </c>
      <c r="Q3760" s="9" t="str">
        <f>IFERROR($P3760,PROPER(VLOOKUP($O3760,'Villes en erreur'!$A$2:$B$72,2,FALSE)))</f>
        <v>Mirabel</v>
      </c>
      <c r="R3760" s="9" t="s">
        <v>14662</v>
      </c>
      <c r="S3760" s="9" t="str">
        <f>IF(ISBLANK($R3760),"",VLOOKUP($R3760,'Liste des Villes'!$B$2:$H$1128,4,FALSE))</f>
        <v>Laurentides</v>
      </c>
      <c r="T3760" s="2" t="s">
        <v>14978</v>
      </c>
      <c r="U3760" s="2" t="s">
        <v>39</v>
      </c>
      <c r="V3760" s="2" t="s">
        <v>40</v>
      </c>
      <c r="W3760" s="2" t="s">
        <v>16253</v>
      </c>
      <c r="X3760" s="2"/>
      <c r="Y3760" s="2"/>
      <c r="Z3760" s="2"/>
      <c r="AA3760" s="2" t="s">
        <v>375</v>
      </c>
      <c r="AB3760" s="2" t="s">
        <v>376</v>
      </c>
      <c r="AC3760" s="4" t="s">
        <v>44</v>
      </c>
    </row>
    <row r="3761" spans="1:29" x14ac:dyDescent="0.25">
      <c r="A3761" s="1">
        <v>3862</v>
      </c>
      <c r="B3761" s="17" t="s">
        <v>16254</v>
      </c>
      <c r="C3761" s="2" t="s">
        <v>16255</v>
      </c>
      <c r="D3761" s="15" t="s">
        <v>164</v>
      </c>
      <c r="E3761" s="9" t="s">
        <v>12839</v>
      </c>
      <c r="F3761" s="9" t="s">
        <v>3646</v>
      </c>
      <c r="G3761" s="9" t="s">
        <v>743</v>
      </c>
      <c r="H3761" s="2" t="s">
        <v>60</v>
      </c>
      <c r="I3761" s="3">
        <v>37170</v>
      </c>
      <c r="J3761" s="9" t="str">
        <f t="shared" ca="1" si="61"/>
        <v>21 ans</v>
      </c>
      <c r="K3761" s="2" t="s">
        <v>156</v>
      </c>
      <c r="L3761" s="2" t="str">
        <f>"1583"</f>
        <v>1583</v>
      </c>
      <c r="M3761" s="2"/>
      <c r="N3761" s="2" t="str">
        <f>"RUE JOHANNE"</f>
        <v>RUE JOHANNE</v>
      </c>
      <c r="O3761" s="2" t="s">
        <v>14661</v>
      </c>
      <c r="P3761" s="9" t="str">
        <f>VLOOKUP($O3761,'Liste des Villes'!$B$2:$B$1128,1,FALSE)</f>
        <v>Mirabel</v>
      </c>
      <c r="Q3761" s="9" t="str">
        <f>IFERROR($P3761,PROPER(VLOOKUP($O3761,'Villes en erreur'!$A$2:$B$72,2,FALSE)))</f>
        <v>Mirabel</v>
      </c>
      <c r="R3761" s="9" t="s">
        <v>14662</v>
      </c>
      <c r="S3761" s="9" t="str">
        <f>IF(ISBLANK($R3761),"",VLOOKUP($R3761,'Liste des Villes'!$B$2:$H$1128,4,FALSE))</f>
        <v>Laurentides</v>
      </c>
      <c r="T3761" s="2" t="s">
        <v>15597</v>
      </c>
      <c r="U3761" s="2" t="s">
        <v>39</v>
      </c>
      <c r="V3761" s="2" t="s">
        <v>40</v>
      </c>
      <c r="W3761" s="2" t="s">
        <v>16256</v>
      </c>
      <c r="X3761" s="2"/>
      <c r="Y3761" s="2"/>
      <c r="Z3761" s="2"/>
      <c r="AA3761" s="2" t="s">
        <v>708</v>
      </c>
      <c r="AB3761" s="2" t="s">
        <v>376</v>
      </c>
      <c r="AC3761" s="4" t="s">
        <v>44</v>
      </c>
    </row>
    <row r="3762" spans="1:29" x14ac:dyDescent="0.25">
      <c r="A3762" s="1">
        <v>2712</v>
      </c>
      <c r="B3762" s="17" t="s">
        <v>16257</v>
      </c>
      <c r="C3762" s="2" t="s">
        <v>3136</v>
      </c>
      <c r="D3762" s="15" t="s">
        <v>944</v>
      </c>
      <c r="E3762" s="9" t="s">
        <v>233</v>
      </c>
      <c r="F3762" s="9" t="s">
        <v>5986</v>
      </c>
      <c r="G3762" s="9" t="s">
        <v>743</v>
      </c>
      <c r="H3762" s="2" t="s">
        <v>60</v>
      </c>
      <c r="I3762" s="3">
        <v>37172</v>
      </c>
      <c r="J3762" s="9" t="str">
        <f t="shared" ca="1" si="61"/>
        <v>21 ans</v>
      </c>
      <c r="K3762" s="2" t="s">
        <v>156</v>
      </c>
      <c r="L3762" s="2" t="str">
        <f>"1615"</f>
        <v>1615</v>
      </c>
      <c r="M3762" s="2"/>
      <c r="N3762" s="2" t="str">
        <f>"RUE JOLY"</f>
        <v>RUE JOLY</v>
      </c>
      <c r="O3762" s="2" t="s">
        <v>14661</v>
      </c>
      <c r="P3762" s="9" t="str">
        <f>VLOOKUP($O3762,'Liste des Villes'!$B$2:$B$1128,1,FALSE)</f>
        <v>Mirabel</v>
      </c>
      <c r="Q3762" s="9" t="str">
        <f>IFERROR($P3762,PROPER(VLOOKUP($O3762,'Villes en erreur'!$A$2:$B$72,2,FALSE)))</f>
        <v>Mirabel</v>
      </c>
      <c r="R3762" s="9" t="s">
        <v>14662</v>
      </c>
      <c r="S3762" s="9" t="str">
        <f>IF(ISBLANK($R3762),"",VLOOKUP($R3762,'Liste des Villes'!$B$2:$H$1128,4,FALSE))</f>
        <v>Laurentides</v>
      </c>
      <c r="T3762" s="2" t="s">
        <v>15089</v>
      </c>
      <c r="U3762" s="2" t="s">
        <v>39</v>
      </c>
      <c r="V3762" s="2" t="s">
        <v>40</v>
      </c>
      <c r="W3762" s="2" t="s">
        <v>16258</v>
      </c>
      <c r="X3762" s="2"/>
      <c r="Y3762" s="2"/>
      <c r="Z3762" s="2"/>
      <c r="AA3762" s="2" t="s">
        <v>708</v>
      </c>
      <c r="AB3762" s="2" t="s">
        <v>14669</v>
      </c>
      <c r="AC3762" s="4" t="s">
        <v>44</v>
      </c>
    </row>
    <row r="3763" spans="1:29" x14ac:dyDescent="0.25">
      <c r="A3763" s="1">
        <v>2526</v>
      </c>
      <c r="B3763" s="17" t="s">
        <v>16259</v>
      </c>
      <c r="C3763" s="2" t="s">
        <v>8477</v>
      </c>
      <c r="D3763" s="15" t="s">
        <v>84</v>
      </c>
      <c r="E3763" s="9" t="s">
        <v>737</v>
      </c>
      <c r="F3763" s="9" t="s">
        <v>86</v>
      </c>
      <c r="G3763" s="9" t="s">
        <v>233</v>
      </c>
      <c r="H3763" s="2" t="s">
        <v>60</v>
      </c>
      <c r="I3763" s="3">
        <v>37217</v>
      </c>
      <c r="J3763" s="9" t="str">
        <f t="shared" ca="1" si="61"/>
        <v>21 ans</v>
      </c>
      <c r="K3763" s="2" t="s">
        <v>262</v>
      </c>
      <c r="L3763" s="2" t="str">
        <f>"1913"</f>
        <v>1913</v>
      </c>
      <c r="M3763" s="2"/>
      <c r="N3763" s="2" t="str">
        <f>"RUE LANTHIER"</f>
        <v>RUE LANTHIER</v>
      </c>
      <c r="O3763" s="2" t="s">
        <v>14661</v>
      </c>
      <c r="P3763" s="9" t="str">
        <f>VLOOKUP($O3763,'Liste des Villes'!$B$2:$B$1128,1,FALSE)</f>
        <v>Mirabel</v>
      </c>
      <c r="Q3763" s="9" t="str">
        <f>IFERROR($P3763,PROPER(VLOOKUP($O3763,'Villes en erreur'!$A$2:$B$72,2,FALSE)))</f>
        <v>Mirabel</v>
      </c>
      <c r="R3763" s="9" t="s">
        <v>14662</v>
      </c>
      <c r="S3763" s="9" t="str">
        <f>IF(ISBLANK($R3763),"",VLOOKUP($R3763,'Liste des Villes'!$B$2:$H$1128,4,FALSE))</f>
        <v>Laurentides</v>
      </c>
      <c r="T3763" s="2" t="s">
        <v>16260</v>
      </c>
      <c r="U3763" s="2" t="s">
        <v>39</v>
      </c>
      <c r="V3763" s="2" t="s">
        <v>40</v>
      </c>
      <c r="W3763" s="2" t="s">
        <v>16261</v>
      </c>
      <c r="X3763" s="2"/>
      <c r="Y3763" s="2"/>
      <c r="Z3763" s="2"/>
      <c r="AA3763" s="2" t="s">
        <v>708</v>
      </c>
      <c r="AB3763" s="2" t="s">
        <v>14669</v>
      </c>
      <c r="AC3763" s="4" t="s">
        <v>44</v>
      </c>
    </row>
    <row r="3764" spans="1:29" x14ac:dyDescent="0.25">
      <c r="A3764" s="1">
        <v>217</v>
      </c>
      <c r="B3764" s="17" t="s">
        <v>16262</v>
      </c>
      <c r="C3764" s="2" t="s">
        <v>12424</v>
      </c>
      <c r="D3764" s="15" t="s">
        <v>1303</v>
      </c>
      <c r="E3764" s="9" t="s">
        <v>3404</v>
      </c>
      <c r="F3764" s="9" t="s">
        <v>1301</v>
      </c>
      <c r="G3764" s="9" t="s">
        <v>2140</v>
      </c>
      <c r="H3764" s="2" t="s">
        <v>35</v>
      </c>
      <c r="I3764" s="3">
        <v>37227</v>
      </c>
      <c r="J3764" s="9" t="str">
        <f t="shared" ca="1" si="61"/>
        <v>21 ans</v>
      </c>
      <c r="K3764" s="2" t="s">
        <v>262</v>
      </c>
      <c r="L3764" s="2" t="str">
        <f>"1978"</f>
        <v>1978</v>
      </c>
      <c r="M3764" s="2"/>
      <c r="N3764" s="2" t="str">
        <f>"RUE LAURIER"</f>
        <v>RUE LAURIER</v>
      </c>
      <c r="O3764" s="2" t="s">
        <v>14661</v>
      </c>
      <c r="P3764" s="9" t="str">
        <f>VLOOKUP($O3764,'Liste des Villes'!$B$2:$B$1128,1,FALSE)</f>
        <v>Mirabel</v>
      </c>
      <c r="Q3764" s="9" t="str">
        <f>IFERROR($P3764,PROPER(VLOOKUP($O3764,'Villes en erreur'!$A$2:$B$72,2,FALSE)))</f>
        <v>Mirabel</v>
      </c>
      <c r="R3764" s="9" t="s">
        <v>14662</v>
      </c>
      <c r="S3764" s="9" t="str">
        <f>IF(ISBLANK($R3764),"",VLOOKUP($R3764,'Liste des Villes'!$B$2:$H$1128,4,FALSE))</f>
        <v>Laurentides</v>
      </c>
      <c r="T3764" s="2" t="s">
        <v>15386</v>
      </c>
      <c r="U3764" s="2" t="s">
        <v>39</v>
      </c>
      <c r="V3764" s="2" t="s">
        <v>40</v>
      </c>
      <c r="W3764" s="2" t="s">
        <v>16263</v>
      </c>
      <c r="X3764" s="2"/>
      <c r="Y3764" s="2"/>
      <c r="Z3764" s="2"/>
      <c r="AA3764" s="2" t="s">
        <v>708</v>
      </c>
      <c r="AB3764" s="2" t="s">
        <v>14669</v>
      </c>
      <c r="AC3764" s="4" t="s">
        <v>44</v>
      </c>
    </row>
    <row r="3765" spans="1:29" x14ac:dyDescent="0.25">
      <c r="A3765" s="1">
        <v>3610</v>
      </c>
      <c r="B3765" s="17" t="s">
        <v>16264</v>
      </c>
      <c r="C3765" s="2" t="s">
        <v>16265</v>
      </c>
      <c r="D3765" s="15" t="s">
        <v>4722</v>
      </c>
      <c r="E3765" s="9" t="s">
        <v>12518</v>
      </c>
      <c r="F3765" s="9" t="s">
        <v>2518</v>
      </c>
      <c r="G3765" s="9" t="s">
        <v>1289</v>
      </c>
      <c r="H3765" s="2" t="s">
        <v>35</v>
      </c>
      <c r="I3765" s="3">
        <v>37081</v>
      </c>
      <c r="J3765" s="9" t="str">
        <f t="shared" ca="1" si="61"/>
        <v>22 ans</v>
      </c>
      <c r="K3765" s="2" t="s">
        <v>156</v>
      </c>
      <c r="L3765" s="2" t="str">
        <f>"1165"</f>
        <v>1165</v>
      </c>
      <c r="M3765" s="2"/>
      <c r="N3765" s="2" t="str">
        <f>"RUE FABIOLA"</f>
        <v>RUE FABIOLA</v>
      </c>
      <c r="O3765" s="2" t="s">
        <v>14661</v>
      </c>
      <c r="P3765" s="9" t="str">
        <f>VLOOKUP($O3765,'Liste des Villes'!$B$2:$B$1128,1,FALSE)</f>
        <v>Mirabel</v>
      </c>
      <c r="Q3765" s="9" t="str">
        <f>IFERROR($P3765,PROPER(VLOOKUP($O3765,'Villes en erreur'!$A$2:$B$72,2,FALSE)))</f>
        <v>Mirabel</v>
      </c>
      <c r="R3765" s="9" t="s">
        <v>14662</v>
      </c>
      <c r="S3765" s="9" t="str">
        <f>IF(ISBLANK($R3765),"",VLOOKUP($R3765,'Liste des Villes'!$B$2:$H$1128,4,FALSE))</f>
        <v>Laurentides</v>
      </c>
      <c r="T3765" s="2" t="s">
        <v>16266</v>
      </c>
      <c r="U3765" s="2" t="s">
        <v>39</v>
      </c>
      <c r="V3765" s="2" t="s">
        <v>40</v>
      </c>
      <c r="W3765" s="2" t="s">
        <v>16267</v>
      </c>
      <c r="X3765" s="2"/>
      <c r="Y3765" s="2"/>
      <c r="Z3765" s="2"/>
      <c r="AA3765" s="2" t="s">
        <v>375</v>
      </c>
      <c r="AB3765" s="2" t="s">
        <v>376</v>
      </c>
      <c r="AC3765" s="4" t="s">
        <v>44</v>
      </c>
    </row>
    <row r="3766" spans="1:29" x14ac:dyDescent="0.25">
      <c r="A3766" s="1">
        <v>4112</v>
      </c>
      <c r="B3766" s="17" t="s">
        <v>16268</v>
      </c>
      <c r="C3766" s="2" t="s">
        <v>16269</v>
      </c>
      <c r="D3766" s="15" t="s">
        <v>7462</v>
      </c>
      <c r="E3766" s="9" t="s">
        <v>2796</v>
      </c>
      <c r="F3766" s="9" t="s">
        <v>7461</v>
      </c>
      <c r="G3766" s="9" t="s">
        <v>418</v>
      </c>
      <c r="H3766" s="2" t="s">
        <v>60</v>
      </c>
      <c r="I3766" s="3">
        <v>37202</v>
      </c>
      <c r="J3766" s="9" t="str">
        <f t="shared" ca="1" si="61"/>
        <v>21 ans</v>
      </c>
      <c r="K3766" s="2" t="s">
        <v>262</v>
      </c>
      <c r="L3766" s="2" t="str">
        <f>"1761"</f>
        <v>1761</v>
      </c>
      <c r="M3766" s="2"/>
      <c r="N3766" s="2" t="str">
        <f>"RUE LABRÈCHE"</f>
        <v>RUE LABRÈCHE</v>
      </c>
      <c r="O3766" s="2" t="s">
        <v>14661</v>
      </c>
      <c r="P3766" s="9" t="str">
        <f>VLOOKUP($O3766,'Liste des Villes'!$B$2:$B$1128,1,FALSE)</f>
        <v>Mirabel</v>
      </c>
      <c r="Q3766" s="9" t="str">
        <f>IFERROR($P3766,PROPER(VLOOKUP($O3766,'Villes en erreur'!$A$2:$B$72,2,FALSE)))</f>
        <v>Mirabel</v>
      </c>
      <c r="R3766" s="9" t="s">
        <v>14662</v>
      </c>
      <c r="S3766" s="9" t="str">
        <f>IF(ISBLANK($R3766),"",VLOOKUP($R3766,'Liste des Villes'!$B$2:$H$1128,4,FALSE))</f>
        <v>Laurentides</v>
      </c>
      <c r="T3766" s="2" t="s">
        <v>15761</v>
      </c>
      <c r="U3766" s="2" t="s">
        <v>39</v>
      </c>
      <c r="V3766" s="2" t="s">
        <v>40</v>
      </c>
      <c r="W3766" s="2" t="s">
        <v>16270</v>
      </c>
      <c r="X3766" s="2"/>
      <c r="Y3766" s="2"/>
      <c r="Z3766" s="2"/>
      <c r="AA3766" s="2" t="s">
        <v>708</v>
      </c>
      <c r="AB3766" s="2" t="s">
        <v>14669</v>
      </c>
      <c r="AC3766" s="4" t="s">
        <v>44</v>
      </c>
    </row>
    <row r="3767" spans="1:29" x14ac:dyDescent="0.25">
      <c r="A3767" s="1">
        <v>2392</v>
      </c>
      <c r="B3767" s="17" t="s">
        <v>16271</v>
      </c>
      <c r="C3767" s="2" t="s">
        <v>16272</v>
      </c>
      <c r="D3767" s="15" t="s">
        <v>4447</v>
      </c>
      <c r="E3767" s="9" t="s">
        <v>10538</v>
      </c>
      <c r="F3767" s="9" t="s">
        <v>16273</v>
      </c>
      <c r="G3767" s="9" t="s">
        <v>3868</v>
      </c>
      <c r="H3767" s="2" t="s">
        <v>60</v>
      </c>
      <c r="I3767" s="3">
        <v>37138</v>
      </c>
      <c r="J3767" s="9" t="str">
        <f t="shared" ca="1" si="61"/>
        <v>21 ans</v>
      </c>
      <c r="K3767" s="2" t="s">
        <v>156</v>
      </c>
      <c r="L3767" s="2" t="str">
        <f>"1383"</f>
        <v>1383</v>
      </c>
      <c r="M3767" s="2"/>
      <c r="N3767" s="2" t="str">
        <f>"RUE HERMAN"</f>
        <v>RUE HERMAN</v>
      </c>
      <c r="O3767" s="2" t="s">
        <v>14661</v>
      </c>
      <c r="P3767" s="9" t="str">
        <f>VLOOKUP($O3767,'Liste des Villes'!$B$2:$B$1128,1,FALSE)</f>
        <v>Mirabel</v>
      </c>
      <c r="Q3767" s="9" t="str">
        <f>IFERROR($P3767,PROPER(VLOOKUP($O3767,'Villes en erreur'!$A$2:$B$72,2,FALSE)))</f>
        <v>Mirabel</v>
      </c>
      <c r="R3767" s="9" t="s">
        <v>14662</v>
      </c>
      <c r="S3767" s="9" t="str">
        <f>IF(ISBLANK($R3767),"",VLOOKUP($R3767,'Liste des Villes'!$B$2:$H$1128,4,FALSE))</f>
        <v>Laurentides</v>
      </c>
      <c r="T3767" s="2" t="s">
        <v>15688</v>
      </c>
      <c r="U3767" s="2" t="s">
        <v>39</v>
      </c>
      <c r="V3767" s="2" t="s">
        <v>40</v>
      </c>
      <c r="W3767" s="2" t="s">
        <v>16274</v>
      </c>
      <c r="X3767" s="2"/>
      <c r="Y3767" s="2"/>
      <c r="Z3767" s="2"/>
      <c r="AA3767" s="2" t="s">
        <v>708</v>
      </c>
      <c r="AB3767" s="2" t="s">
        <v>376</v>
      </c>
      <c r="AC3767" s="4" t="s">
        <v>44</v>
      </c>
    </row>
    <row r="3768" spans="1:29" x14ac:dyDescent="0.25">
      <c r="A3768" s="1">
        <v>2506</v>
      </c>
      <c r="B3768" s="17" t="s">
        <v>16275</v>
      </c>
      <c r="C3768" s="2" t="s">
        <v>9464</v>
      </c>
      <c r="D3768" s="15" t="s">
        <v>8666</v>
      </c>
      <c r="E3768" s="9" t="s">
        <v>610</v>
      </c>
      <c r="F3768" s="9" t="s">
        <v>3073</v>
      </c>
      <c r="G3768" s="9" t="s">
        <v>4803</v>
      </c>
      <c r="H3768" s="2" t="s">
        <v>35</v>
      </c>
      <c r="I3768" s="3">
        <v>37225</v>
      </c>
      <c r="J3768" s="9" t="str">
        <f t="shared" ca="1" si="61"/>
        <v>21 ans</v>
      </c>
      <c r="K3768" s="2" t="s">
        <v>262</v>
      </c>
      <c r="L3768" s="2" t="str">
        <f>"1965"</f>
        <v>1965</v>
      </c>
      <c r="M3768" s="2"/>
      <c r="N3768" s="2" t="str">
        <f>"RUE LATREILLE"</f>
        <v>RUE LATREILLE</v>
      </c>
      <c r="O3768" s="2" t="s">
        <v>14661</v>
      </c>
      <c r="P3768" s="9" t="str">
        <f>VLOOKUP($O3768,'Liste des Villes'!$B$2:$B$1128,1,FALSE)</f>
        <v>Mirabel</v>
      </c>
      <c r="Q3768" s="9" t="str">
        <f>IFERROR($P3768,PROPER(VLOOKUP($O3768,'Villes en erreur'!$A$2:$B$72,2,FALSE)))</f>
        <v>Mirabel</v>
      </c>
      <c r="R3768" s="9" t="s">
        <v>14662</v>
      </c>
      <c r="S3768" s="9" t="str">
        <f>IF(ISBLANK($R3768),"",VLOOKUP($R3768,'Liste des Villes'!$B$2:$H$1128,4,FALSE))</f>
        <v>Laurentides</v>
      </c>
      <c r="T3768" s="2" t="s">
        <v>16192</v>
      </c>
      <c r="U3768" s="2" t="s">
        <v>39</v>
      </c>
      <c r="V3768" s="2" t="s">
        <v>40</v>
      </c>
      <c r="W3768" s="2" t="s">
        <v>16276</v>
      </c>
      <c r="X3768" s="2"/>
      <c r="Y3768" s="2"/>
      <c r="Z3768" s="2"/>
      <c r="AA3768" s="2" t="s">
        <v>708</v>
      </c>
      <c r="AB3768" s="2" t="s">
        <v>14669</v>
      </c>
      <c r="AC3768" s="4" t="s">
        <v>44</v>
      </c>
    </row>
    <row r="3769" spans="1:29" x14ac:dyDescent="0.25">
      <c r="A3769" s="1">
        <v>308</v>
      </c>
      <c r="B3769" s="17" t="s">
        <v>16277</v>
      </c>
      <c r="C3769" s="2" t="s">
        <v>16278</v>
      </c>
      <c r="D3769" s="15" t="s">
        <v>412</v>
      </c>
      <c r="E3769" s="9" t="s">
        <v>635</v>
      </c>
      <c r="F3769" s="9" t="s">
        <v>411</v>
      </c>
      <c r="G3769" s="9" t="s">
        <v>5476</v>
      </c>
      <c r="H3769" s="2" t="s">
        <v>35</v>
      </c>
      <c r="I3769" s="3">
        <v>37136</v>
      </c>
      <c r="J3769" s="9" t="str">
        <f t="shared" ca="1" si="61"/>
        <v>21 ans</v>
      </c>
      <c r="K3769" s="2" t="s">
        <v>156</v>
      </c>
      <c r="L3769" s="2" t="str">
        <f>"1373"</f>
        <v>1373</v>
      </c>
      <c r="M3769" s="2"/>
      <c r="N3769" s="2" t="str">
        <f>"RUE HENRI-PICHÉ"</f>
        <v>RUE HENRI-PICHÉ</v>
      </c>
      <c r="O3769" s="2" t="s">
        <v>14661</v>
      </c>
      <c r="P3769" s="9" t="str">
        <f>VLOOKUP($O3769,'Liste des Villes'!$B$2:$B$1128,1,FALSE)</f>
        <v>Mirabel</v>
      </c>
      <c r="Q3769" s="9" t="str">
        <f>IFERROR($P3769,PROPER(VLOOKUP($O3769,'Villes en erreur'!$A$2:$B$72,2,FALSE)))</f>
        <v>Mirabel</v>
      </c>
      <c r="R3769" s="9" t="s">
        <v>14662</v>
      </c>
      <c r="S3769" s="9" t="str">
        <f>IF(ISBLANK($R3769),"",VLOOKUP($R3769,'Liste des Villes'!$B$2:$H$1128,4,FALSE))</f>
        <v>Laurentides</v>
      </c>
      <c r="T3769" s="2" t="s">
        <v>16279</v>
      </c>
      <c r="U3769" s="2" t="s">
        <v>39</v>
      </c>
      <c r="V3769" s="2" t="s">
        <v>40</v>
      </c>
      <c r="W3769" s="2" t="s">
        <v>16280</v>
      </c>
      <c r="X3769" s="2"/>
      <c r="Y3769" s="2"/>
      <c r="Z3769" s="2"/>
      <c r="AA3769" s="2" t="s">
        <v>708</v>
      </c>
      <c r="AB3769" s="2" t="s">
        <v>376</v>
      </c>
      <c r="AC3769" s="4" t="s">
        <v>44</v>
      </c>
    </row>
    <row r="3770" spans="1:29" x14ac:dyDescent="0.25">
      <c r="A3770" s="1">
        <v>1901</v>
      </c>
      <c r="B3770" s="17" t="s">
        <v>16281</v>
      </c>
      <c r="C3770" s="2" t="s">
        <v>3699</v>
      </c>
      <c r="D3770" s="15" t="s">
        <v>1716</v>
      </c>
      <c r="E3770" s="9" t="s">
        <v>3700</v>
      </c>
      <c r="F3770" s="9" t="s">
        <v>16282</v>
      </c>
      <c r="G3770" s="9" t="s">
        <v>1091</v>
      </c>
      <c r="H3770" s="2" t="s">
        <v>60</v>
      </c>
      <c r="I3770" s="3">
        <v>37209</v>
      </c>
      <c r="J3770" s="9" t="str">
        <f t="shared" ca="1" si="61"/>
        <v>21 ans</v>
      </c>
      <c r="K3770" s="2" t="s">
        <v>262</v>
      </c>
      <c r="L3770" s="2" t="str">
        <f>"1840"</f>
        <v>1840</v>
      </c>
      <c r="M3770" s="2"/>
      <c r="N3770" s="2" t="str">
        <f>"RUE LAJEUNESSE"</f>
        <v>RUE LAJEUNESSE</v>
      </c>
      <c r="O3770" s="2" t="s">
        <v>14661</v>
      </c>
      <c r="P3770" s="9" t="str">
        <f>VLOOKUP($O3770,'Liste des Villes'!$B$2:$B$1128,1,FALSE)</f>
        <v>Mirabel</v>
      </c>
      <c r="Q3770" s="9" t="str">
        <f>IFERROR($P3770,PROPER(VLOOKUP($O3770,'Villes en erreur'!$A$2:$B$72,2,FALSE)))</f>
        <v>Mirabel</v>
      </c>
      <c r="R3770" s="9" t="s">
        <v>14662</v>
      </c>
      <c r="S3770" s="9" t="str">
        <f>IF(ISBLANK($R3770),"",VLOOKUP($R3770,'Liste des Villes'!$B$2:$H$1128,4,FALSE))</f>
        <v>Laurentides</v>
      </c>
      <c r="T3770" s="2" t="s">
        <v>16283</v>
      </c>
      <c r="U3770" s="2" t="s">
        <v>39</v>
      </c>
      <c r="V3770" s="2" t="s">
        <v>40</v>
      </c>
      <c r="W3770" s="2" t="s">
        <v>16284</v>
      </c>
      <c r="X3770" s="2"/>
      <c r="Y3770" s="2"/>
      <c r="Z3770" s="2"/>
      <c r="AA3770" s="2" t="s">
        <v>708</v>
      </c>
      <c r="AB3770" s="2" t="s">
        <v>14669</v>
      </c>
      <c r="AC3770" s="4" t="s">
        <v>44</v>
      </c>
    </row>
    <row r="3771" spans="1:29" x14ac:dyDescent="0.25">
      <c r="A3771" s="1">
        <v>3256</v>
      </c>
      <c r="B3771" s="17" t="s">
        <v>16285</v>
      </c>
      <c r="C3771" s="2" t="s">
        <v>16286</v>
      </c>
      <c r="D3771" s="15" t="s">
        <v>3149</v>
      </c>
      <c r="E3771" s="9" t="s">
        <v>404</v>
      </c>
      <c r="F3771" s="9" t="s">
        <v>3147</v>
      </c>
      <c r="G3771" s="9" t="s">
        <v>840</v>
      </c>
      <c r="H3771" s="2" t="s">
        <v>60</v>
      </c>
      <c r="I3771" s="3">
        <v>37180</v>
      </c>
      <c r="J3771" s="9" t="str">
        <f t="shared" ca="1" si="61"/>
        <v>21 ans</v>
      </c>
      <c r="K3771" s="2" t="s">
        <v>262</v>
      </c>
      <c r="L3771" s="2" t="str">
        <f>"1650"</f>
        <v>1650</v>
      </c>
      <c r="M3771" s="2"/>
      <c r="N3771" s="2" t="str">
        <f>"RUE JOSEPH-GUITARD"</f>
        <v>RUE JOSEPH-GUITARD</v>
      </c>
      <c r="O3771" s="2" t="s">
        <v>14661</v>
      </c>
      <c r="P3771" s="9" t="str">
        <f>VLOOKUP($O3771,'Liste des Villes'!$B$2:$B$1128,1,FALSE)</f>
        <v>Mirabel</v>
      </c>
      <c r="Q3771" s="9" t="str">
        <f>IFERROR($P3771,PROPER(VLOOKUP($O3771,'Villes en erreur'!$A$2:$B$72,2,FALSE)))</f>
        <v>Mirabel</v>
      </c>
      <c r="R3771" s="9" t="s">
        <v>14662</v>
      </c>
      <c r="S3771" s="9" t="str">
        <f>IF(ISBLANK($R3771),"",VLOOKUP($R3771,'Liste des Villes'!$B$2:$H$1128,4,FALSE))</f>
        <v>Laurentides</v>
      </c>
      <c r="T3771" s="2" t="s">
        <v>15148</v>
      </c>
      <c r="U3771" s="2" t="s">
        <v>39</v>
      </c>
      <c r="V3771" s="2" t="s">
        <v>40</v>
      </c>
      <c r="W3771" s="2" t="s">
        <v>16287</v>
      </c>
      <c r="X3771" s="2"/>
      <c r="Y3771" s="2"/>
      <c r="Z3771" s="2"/>
      <c r="AA3771" s="2" t="s">
        <v>708</v>
      </c>
      <c r="AB3771" s="2" t="s">
        <v>14669</v>
      </c>
      <c r="AC3771" s="4" t="s">
        <v>44</v>
      </c>
    </row>
    <row r="3772" spans="1:29" x14ac:dyDescent="0.25">
      <c r="A3772" s="1">
        <v>3903</v>
      </c>
      <c r="B3772" s="17" t="s">
        <v>16288</v>
      </c>
      <c r="C3772" s="2" t="s">
        <v>13855</v>
      </c>
      <c r="D3772" s="15" t="s">
        <v>2322</v>
      </c>
      <c r="E3772" s="9" t="s">
        <v>622</v>
      </c>
      <c r="F3772" s="9" t="s">
        <v>2321</v>
      </c>
      <c r="G3772" s="9" t="s">
        <v>1702</v>
      </c>
      <c r="H3772" s="2" t="s">
        <v>35</v>
      </c>
      <c r="I3772" s="3">
        <v>37152</v>
      </c>
      <c r="J3772" s="9" t="str">
        <f t="shared" ca="1" si="61"/>
        <v>21 ans</v>
      </c>
      <c r="K3772" s="2" t="s">
        <v>156</v>
      </c>
      <c r="L3772" s="2" t="str">
        <f>"1456"</f>
        <v>1456</v>
      </c>
      <c r="M3772" s="2"/>
      <c r="N3772" s="2" t="str">
        <f>"RUE JACINTHE"</f>
        <v>RUE JACINTHE</v>
      </c>
      <c r="O3772" s="2" t="s">
        <v>14661</v>
      </c>
      <c r="P3772" s="9" t="str">
        <f>VLOOKUP($O3772,'Liste des Villes'!$B$2:$B$1128,1,FALSE)</f>
        <v>Mirabel</v>
      </c>
      <c r="Q3772" s="9" t="str">
        <f>IFERROR($P3772,PROPER(VLOOKUP($O3772,'Villes en erreur'!$A$2:$B$72,2,FALSE)))</f>
        <v>Mirabel</v>
      </c>
      <c r="R3772" s="9" t="s">
        <v>14662</v>
      </c>
      <c r="S3772" s="9" t="str">
        <f>IF(ISBLANK($R3772),"",VLOOKUP($R3772,'Liste des Villes'!$B$2:$H$1128,4,FALSE))</f>
        <v>Laurentides</v>
      </c>
      <c r="T3772" s="2" t="s">
        <v>16289</v>
      </c>
      <c r="U3772" s="2" t="s">
        <v>39</v>
      </c>
      <c r="V3772" s="2" t="s">
        <v>40</v>
      </c>
      <c r="W3772" s="2" t="s">
        <v>16290</v>
      </c>
      <c r="X3772" s="2"/>
      <c r="Y3772" s="2"/>
      <c r="Z3772" s="2"/>
      <c r="AA3772" s="2" t="s">
        <v>708</v>
      </c>
      <c r="AB3772" s="2" t="s">
        <v>376</v>
      </c>
      <c r="AC3772" s="4" t="s">
        <v>44</v>
      </c>
    </row>
    <row r="3773" spans="1:29" x14ac:dyDescent="0.25">
      <c r="A3773" s="1">
        <v>306</v>
      </c>
      <c r="B3773" s="17" t="s">
        <v>16291</v>
      </c>
      <c r="C3773" s="2" t="s">
        <v>8955</v>
      </c>
      <c r="D3773" s="15" t="s">
        <v>3788</v>
      </c>
      <c r="E3773" s="9" t="s">
        <v>8956</v>
      </c>
      <c r="F3773" s="9" t="s">
        <v>8677</v>
      </c>
      <c r="G3773" s="9" t="s">
        <v>325</v>
      </c>
      <c r="H3773" s="2" t="s">
        <v>35</v>
      </c>
      <c r="I3773" s="3">
        <v>37232</v>
      </c>
      <c r="J3773" s="9" t="str">
        <f t="shared" ca="1" si="61"/>
        <v>21 ans</v>
      </c>
      <c r="K3773" s="2" t="s">
        <v>262</v>
      </c>
      <c r="L3773" s="2" t="str">
        <f>"2007"</f>
        <v>2007</v>
      </c>
      <c r="M3773" s="2"/>
      <c r="N3773" s="2" t="str">
        <f>"RUE LAUZON"</f>
        <v>RUE LAUZON</v>
      </c>
      <c r="O3773" s="2" t="s">
        <v>14661</v>
      </c>
      <c r="P3773" s="9" t="str">
        <f>VLOOKUP($O3773,'Liste des Villes'!$B$2:$B$1128,1,FALSE)</f>
        <v>Mirabel</v>
      </c>
      <c r="Q3773" s="9" t="str">
        <f>IFERROR($P3773,PROPER(VLOOKUP($O3773,'Villes en erreur'!$A$2:$B$72,2,FALSE)))</f>
        <v>Mirabel</v>
      </c>
      <c r="R3773" s="9" t="s">
        <v>14662</v>
      </c>
      <c r="S3773" s="9" t="str">
        <f>IF(ISBLANK($R3773),"",VLOOKUP($R3773,'Liste des Villes'!$B$2:$H$1128,4,FALSE))</f>
        <v>Laurentides</v>
      </c>
      <c r="T3773" s="2" t="s">
        <v>16292</v>
      </c>
      <c r="U3773" s="2" t="s">
        <v>39</v>
      </c>
      <c r="V3773" s="2" t="s">
        <v>40</v>
      </c>
      <c r="W3773" s="2" t="s">
        <v>16293</v>
      </c>
      <c r="X3773" s="2"/>
      <c r="Y3773" s="2"/>
      <c r="Z3773" s="2"/>
      <c r="AA3773" s="2" t="s">
        <v>708</v>
      </c>
      <c r="AB3773" s="2" t="s">
        <v>14669</v>
      </c>
      <c r="AC3773" s="4" t="s">
        <v>44</v>
      </c>
    </row>
    <row r="3774" spans="1:29" x14ac:dyDescent="0.25">
      <c r="A3774" s="1">
        <v>485</v>
      </c>
      <c r="B3774" s="17" t="s">
        <v>16294</v>
      </c>
      <c r="C3774" s="2" t="s">
        <v>16295</v>
      </c>
      <c r="D3774" s="15" t="s">
        <v>10253</v>
      </c>
      <c r="E3774" s="9" t="s">
        <v>891</v>
      </c>
      <c r="F3774" s="9" t="s">
        <v>5635</v>
      </c>
      <c r="G3774" s="9" t="s">
        <v>16296</v>
      </c>
      <c r="H3774" s="2" t="s">
        <v>60</v>
      </c>
      <c r="I3774" s="3">
        <v>37086</v>
      </c>
      <c r="J3774" s="9" t="str">
        <f t="shared" ca="1" si="61"/>
        <v>22 ans</v>
      </c>
      <c r="K3774" s="2" t="s">
        <v>156</v>
      </c>
      <c r="L3774" s="2" t="str">
        <f>"1186"</f>
        <v>1186</v>
      </c>
      <c r="M3774" s="2"/>
      <c r="N3774" s="2" t="str">
        <f>"RUE FILION"</f>
        <v>RUE FILION</v>
      </c>
      <c r="O3774" s="2" t="s">
        <v>14661</v>
      </c>
      <c r="P3774" s="9" t="str">
        <f>VLOOKUP($O3774,'Liste des Villes'!$B$2:$B$1128,1,FALSE)</f>
        <v>Mirabel</v>
      </c>
      <c r="Q3774" s="9" t="str">
        <f>IFERROR($P3774,PROPER(VLOOKUP($O3774,'Villes en erreur'!$A$2:$B$72,2,FALSE)))</f>
        <v>Mirabel</v>
      </c>
      <c r="R3774" s="9" t="s">
        <v>14662</v>
      </c>
      <c r="S3774" s="9" t="str">
        <f>IF(ISBLANK($R3774),"",VLOOKUP($R3774,'Liste des Villes'!$B$2:$H$1128,4,FALSE))</f>
        <v>Laurentides</v>
      </c>
      <c r="T3774" s="2" t="s">
        <v>15530</v>
      </c>
      <c r="U3774" s="2" t="s">
        <v>39</v>
      </c>
      <c r="V3774" s="2" t="s">
        <v>40</v>
      </c>
      <c r="W3774" s="2" t="s">
        <v>16297</v>
      </c>
      <c r="X3774" s="2"/>
      <c r="Y3774" s="2"/>
      <c r="Z3774" s="2"/>
      <c r="AA3774" s="2" t="s">
        <v>375</v>
      </c>
      <c r="AB3774" s="2" t="s">
        <v>376</v>
      </c>
      <c r="AC3774" s="4" t="s">
        <v>44</v>
      </c>
    </row>
    <row r="3775" spans="1:29" x14ac:dyDescent="0.25">
      <c r="A3775" s="1">
        <v>2688</v>
      </c>
      <c r="B3775" s="17" t="s">
        <v>16298</v>
      </c>
      <c r="C3775" s="2" t="s">
        <v>5651</v>
      </c>
      <c r="D3775" s="15" t="s">
        <v>766</v>
      </c>
      <c r="E3775" s="9" t="s">
        <v>5652</v>
      </c>
      <c r="F3775" s="9" t="s">
        <v>8884</v>
      </c>
      <c r="G3775" s="9" t="s">
        <v>325</v>
      </c>
      <c r="H3775" s="2" t="s">
        <v>35</v>
      </c>
      <c r="I3775" s="3">
        <v>37230</v>
      </c>
      <c r="J3775" s="9" t="str">
        <f t="shared" ca="1" si="61"/>
        <v>21 ans</v>
      </c>
      <c r="K3775" s="2" t="s">
        <v>262</v>
      </c>
      <c r="L3775" s="2" t="str">
        <f>"2001"</f>
        <v>2001</v>
      </c>
      <c r="M3775" s="2"/>
      <c r="N3775" s="2" t="str">
        <f>"RUE LAUZON"</f>
        <v>RUE LAUZON</v>
      </c>
      <c r="O3775" s="2" t="s">
        <v>14661</v>
      </c>
      <c r="P3775" s="9" t="str">
        <f>VLOOKUP($O3775,'Liste des Villes'!$B$2:$B$1128,1,FALSE)</f>
        <v>Mirabel</v>
      </c>
      <c r="Q3775" s="9" t="str">
        <f>IFERROR($P3775,PROPER(VLOOKUP($O3775,'Villes en erreur'!$A$2:$B$72,2,FALSE)))</f>
        <v>Mirabel</v>
      </c>
      <c r="R3775" s="9" t="s">
        <v>14662</v>
      </c>
      <c r="S3775" s="9" t="str">
        <f>IF(ISBLANK($R3775),"",VLOOKUP($R3775,'Liste des Villes'!$B$2:$H$1128,4,FALSE))</f>
        <v>Laurentides</v>
      </c>
      <c r="T3775" s="2" t="s">
        <v>15170</v>
      </c>
      <c r="U3775" s="2" t="s">
        <v>39</v>
      </c>
      <c r="V3775" s="2" t="s">
        <v>40</v>
      </c>
      <c r="W3775" s="2" t="s">
        <v>16299</v>
      </c>
      <c r="X3775" s="2"/>
      <c r="Y3775" s="2"/>
      <c r="Z3775" s="2"/>
      <c r="AA3775" s="2" t="s">
        <v>708</v>
      </c>
      <c r="AB3775" s="2" t="s">
        <v>14669</v>
      </c>
      <c r="AC3775" s="4" t="s">
        <v>44</v>
      </c>
    </row>
    <row r="3776" spans="1:29" x14ac:dyDescent="0.25">
      <c r="A3776" s="1">
        <v>2222</v>
      </c>
      <c r="B3776" s="17" t="s">
        <v>16300</v>
      </c>
      <c r="C3776" s="2" t="s">
        <v>1435</v>
      </c>
      <c r="D3776" s="15" t="s">
        <v>1436</v>
      </c>
      <c r="E3776" s="9" t="s">
        <v>99</v>
      </c>
      <c r="F3776" s="9" t="s">
        <v>100</v>
      </c>
      <c r="G3776" s="9" t="s">
        <v>2223</v>
      </c>
      <c r="H3776" s="2" t="s">
        <v>60</v>
      </c>
      <c r="I3776" s="3">
        <v>37252</v>
      </c>
      <c r="J3776" s="9" t="str">
        <f t="shared" ca="1" si="61"/>
        <v>21 ans</v>
      </c>
      <c r="K3776" s="2" t="s">
        <v>262</v>
      </c>
      <c r="L3776" s="2" t="str">
        <f>"2121"</f>
        <v>2121</v>
      </c>
      <c r="M3776" s="2"/>
      <c r="N3776" s="2" t="str">
        <f>"RUE LESAGE"</f>
        <v>RUE LESAGE</v>
      </c>
      <c r="O3776" s="2" t="s">
        <v>16301</v>
      </c>
      <c r="P3776" s="9" t="str">
        <f>VLOOKUP($O3776,'Liste des Villes'!$B$2:$B$1128,1,FALSE)</f>
        <v>Mille-Isles</v>
      </c>
      <c r="Q3776" s="9" t="str">
        <f>IFERROR($P3776,PROPER(VLOOKUP($O3776,'Villes en erreur'!$A$2:$B$72,2,FALSE)))</f>
        <v>Mille-Isles</v>
      </c>
      <c r="R3776" s="9" t="s">
        <v>16302</v>
      </c>
      <c r="S3776" s="9" t="str">
        <f>IF(ISBLANK($R3776),"",VLOOKUP($R3776,'Liste des Villes'!$B$2:$H$1128,4,FALSE))</f>
        <v>Laurentides</v>
      </c>
      <c r="T3776" s="2" t="s">
        <v>16303</v>
      </c>
      <c r="U3776" s="2" t="s">
        <v>39</v>
      </c>
      <c r="V3776" s="2" t="s">
        <v>40</v>
      </c>
      <c r="W3776" s="2" t="s">
        <v>16304</v>
      </c>
      <c r="X3776" s="2"/>
      <c r="Y3776" s="2"/>
      <c r="Z3776" s="2"/>
      <c r="AA3776" s="2" t="s">
        <v>708</v>
      </c>
      <c r="AB3776" s="2" t="s">
        <v>14669</v>
      </c>
      <c r="AC3776" s="4" t="s">
        <v>44</v>
      </c>
    </row>
    <row r="3777" spans="1:29" x14ac:dyDescent="0.25">
      <c r="A3777" s="1">
        <v>1275</v>
      </c>
      <c r="B3777" s="17" t="s">
        <v>16305</v>
      </c>
      <c r="C3777" s="2" t="s">
        <v>16306</v>
      </c>
      <c r="D3777" s="15" t="s">
        <v>8495</v>
      </c>
      <c r="E3777" s="9" t="s">
        <v>8284</v>
      </c>
      <c r="F3777" s="9" t="s">
        <v>4330</v>
      </c>
      <c r="G3777" s="9" t="s">
        <v>2223</v>
      </c>
      <c r="H3777" s="2" t="s">
        <v>60</v>
      </c>
      <c r="I3777" s="3">
        <v>37252</v>
      </c>
      <c r="J3777" s="9" t="str">
        <f t="shared" ca="1" si="61"/>
        <v>21 ans</v>
      </c>
      <c r="K3777" s="2" t="s">
        <v>262</v>
      </c>
      <c r="L3777" s="2" t="str">
        <f>"2125"</f>
        <v>2125</v>
      </c>
      <c r="M3777" s="2"/>
      <c r="N3777" s="2" t="str">
        <f>"RUE LESSARD"</f>
        <v>RUE LESSARD</v>
      </c>
      <c r="O3777" s="2" t="s">
        <v>16301</v>
      </c>
      <c r="P3777" s="9" t="str">
        <f>VLOOKUP($O3777,'Liste des Villes'!$B$2:$B$1128,1,FALSE)</f>
        <v>Mille-Isles</v>
      </c>
      <c r="Q3777" s="9" t="str">
        <f>IFERROR($P3777,PROPER(VLOOKUP($O3777,'Villes en erreur'!$A$2:$B$72,2,FALSE)))</f>
        <v>Mille-Isles</v>
      </c>
      <c r="R3777" s="9" t="s">
        <v>16302</v>
      </c>
      <c r="S3777" s="9" t="str">
        <f>IF(ISBLANK($R3777),"",VLOOKUP($R3777,'Liste des Villes'!$B$2:$H$1128,4,FALSE))</f>
        <v>Laurentides</v>
      </c>
      <c r="T3777" s="2" t="s">
        <v>16307</v>
      </c>
      <c r="U3777" s="2" t="s">
        <v>39</v>
      </c>
      <c r="V3777" s="2" t="s">
        <v>40</v>
      </c>
      <c r="W3777" s="2" t="s">
        <v>16308</v>
      </c>
      <c r="X3777" s="2"/>
      <c r="Y3777" s="2"/>
      <c r="Z3777" s="2"/>
      <c r="AA3777" s="2" t="s">
        <v>708</v>
      </c>
      <c r="AB3777" s="2" t="s">
        <v>14669</v>
      </c>
      <c r="AC3777" s="4" t="s">
        <v>44</v>
      </c>
    </row>
    <row r="3778" spans="1:29" x14ac:dyDescent="0.25">
      <c r="A3778" s="1">
        <v>2190</v>
      </c>
      <c r="B3778" s="17" t="s">
        <v>16309</v>
      </c>
      <c r="C3778" s="2" t="s">
        <v>16310</v>
      </c>
      <c r="D3778" s="15" t="s">
        <v>4270</v>
      </c>
      <c r="E3778" s="9" t="s">
        <v>1212</v>
      </c>
      <c r="F3778" s="9" t="s">
        <v>4269</v>
      </c>
      <c r="G3778" s="9" t="s">
        <v>4584</v>
      </c>
      <c r="H3778" s="2" t="s">
        <v>35</v>
      </c>
      <c r="I3778" s="3">
        <v>37249</v>
      </c>
      <c r="J3778" s="9" t="str">
        <f t="shared" ref="J3778:J3841" ca="1" si="62">_xlfn.CONCAT(INT((TODAY()-$I3778)/365.25)," ans")</f>
        <v>21 ans</v>
      </c>
      <c r="K3778" s="2" t="s">
        <v>262</v>
      </c>
      <c r="L3778" s="2" t="str">
        <f>"2108"</f>
        <v>2108</v>
      </c>
      <c r="M3778" s="2"/>
      <c r="N3778" s="2" t="str">
        <f>"RUE LÉOPOLD-LECOURT"</f>
        <v>RUE LÉOPOLD-LECOURT</v>
      </c>
      <c r="O3778" s="2" t="s">
        <v>16301</v>
      </c>
      <c r="P3778" s="9" t="str">
        <f>VLOOKUP($O3778,'Liste des Villes'!$B$2:$B$1128,1,FALSE)</f>
        <v>Mille-Isles</v>
      </c>
      <c r="Q3778" s="9" t="str">
        <f>IFERROR($P3778,PROPER(VLOOKUP($O3778,'Villes en erreur'!$A$2:$B$72,2,FALSE)))</f>
        <v>Mille-Isles</v>
      </c>
      <c r="R3778" s="9" t="s">
        <v>16302</v>
      </c>
      <c r="S3778" s="9" t="str">
        <f>IF(ISBLANK($R3778),"",VLOOKUP($R3778,'Liste des Villes'!$B$2:$H$1128,4,FALSE))</f>
        <v>Laurentides</v>
      </c>
      <c r="T3778" s="2" t="s">
        <v>16311</v>
      </c>
      <c r="U3778" s="2" t="s">
        <v>39</v>
      </c>
      <c r="V3778" s="2" t="s">
        <v>40</v>
      </c>
      <c r="W3778" s="2" t="s">
        <v>16312</v>
      </c>
      <c r="X3778" s="2"/>
      <c r="Y3778" s="2"/>
      <c r="Z3778" s="2"/>
      <c r="AA3778" s="2" t="s">
        <v>708</v>
      </c>
      <c r="AB3778" s="2" t="s">
        <v>14669</v>
      </c>
      <c r="AC3778" s="4" t="s">
        <v>44</v>
      </c>
    </row>
    <row r="3779" spans="1:29" x14ac:dyDescent="0.25">
      <c r="A3779" s="1">
        <v>575</v>
      </c>
      <c r="B3779" s="17" t="s">
        <v>16313</v>
      </c>
      <c r="C3779" s="2" t="s">
        <v>16314</v>
      </c>
      <c r="D3779" s="15" t="s">
        <v>16144</v>
      </c>
      <c r="E3779" s="9" t="s">
        <v>1341</v>
      </c>
      <c r="F3779" s="9" t="s">
        <v>995</v>
      </c>
      <c r="G3779" s="9" t="s">
        <v>4584</v>
      </c>
      <c r="H3779" s="2" t="s">
        <v>35</v>
      </c>
      <c r="I3779" s="3">
        <v>37249</v>
      </c>
      <c r="J3779" s="9" t="str">
        <f t="shared" ca="1" si="62"/>
        <v>21 ans</v>
      </c>
      <c r="K3779" s="2" t="s">
        <v>262</v>
      </c>
      <c r="L3779" s="2" t="str">
        <f>"2109"</f>
        <v>2109</v>
      </c>
      <c r="M3779" s="2"/>
      <c r="N3779" s="2" t="str">
        <f>"RUE LÉOPOLD-NANTEL"</f>
        <v>RUE LÉOPOLD-NANTEL</v>
      </c>
      <c r="O3779" s="2" t="s">
        <v>16301</v>
      </c>
      <c r="P3779" s="9" t="str">
        <f>VLOOKUP($O3779,'Liste des Villes'!$B$2:$B$1128,1,FALSE)</f>
        <v>Mille-Isles</v>
      </c>
      <c r="Q3779" s="9" t="str">
        <f>IFERROR($P3779,PROPER(VLOOKUP($O3779,'Villes en erreur'!$A$2:$B$72,2,FALSE)))</f>
        <v>Mille-Isles</v>
      </c>
      <c r="R3779" s="9" t="s">
        <v>16302</v>
      </c>
      <c r="S3779" s="9" t="str">
        <f>IF(ISBLANK($R3779),"",VLOOKUP($R3779,'Liste des Villes'!$B$2:$H$1128,4,FALSE))</f>
        <v>Laurentides</v>
      </c>
      <c r="T3779" s="2" t="s">
        <v>16315</v>
      </c>
      <c r="U3779" s="2" t="s">
        <v>39</v>
      </c>
      <c r="V3779" s="2" t="s">
        <v>40</v>
      </c>
      <c r="W3779" s="2" t="s">
        <v>16316</v>
      </c>
      <c r="X3779" s="2"/>
      <c r="Y3779" s="2"/>
      <c r="Z3779" s="2"/>
      <c r="AA3779" s="2" t="s">
        <v>708</v>
      </c>
      <c r="AB3779" s="2" t="s">
        <v>14669</v>
      </c>
      <c r="AC3779" s="4" t="s">
        <v>44</v>
      </c>
    </row>
    <row r="3780" spans="1:29" x14ac:dyDescent="0.25">
      <c r="A3780" s="1">
        <v>3442</v>
      </c>
      <c r="B3780" s="17" t="s">
        <v>16317</v>
      </c>
      <c r="C3780" s="2" t="s">
        <v>16318</v>
      </c>
      <c r="D3780" s="15" t="s">
        <v>1523</v>
      </c>
      <c r="E3780" s="9" t="s">
        <v>4422</v>
      </c>
      <c r="F3780" s="9" t="s">
        <v>6205</v>
      </c>
      <c r="G3780" s="9" t="s">
        <v>2223</v>
      </c>
      <c r="H3780" s="2" t="s">
        <v>60</v>
      </c>
      <c r="I3780" s="3">
        <v>37251</v>
      </c>
      <c r="J3780" s="9" t="str">
        <f t="shared" ca="1" si="62"/>
        <v>21 ans</v>
      </c>
      <c r="K3780" s="2" t="s">
        <v>262</v>
      </c>
      <c r="L3780" s="2" t="str">
        <f>"2120"</f>
        <v>2120</v>
      </c>
      <c r="M3780" s="2"/>
      <c r="N3780" s="2" t="str">
        <f>"RUE LESAGE"</f>
        <v>RUE LESAGE</v>
      </c>
      <c r="O3780" s="2" t="s">
        <v>16301</v>
      </c>
      <c r="P3780" s="9" t="str">
        <f>VLOOKUP($O3780,'Liste des Villes'!$B$2:$B$1128,1,FALSE)</f>
        <v>Mille-Isles</v>
      </c>
      <c r="Q3780" s="9" t="str">
        <f>IFERROR($P3780,PROPER(VLOOKUP($O3780,'Villes en erreur'!$A$2:$B$72,2,FALSE)))</f>
        <v>Mille-Isles</v>
      </c>
      <c r="R3780" s="9" t="s">
        <v>16302</v>
      </c>
      <c r="S3780" s="9" t="str">
        <f>IF(ISBLANK($R3780),"",VLOOKUP($R3780,'Liste des Villes'!$B$2:$H$1128,4,FALSE))</f>
        <v>Laurentides</v>
      </c>
      <c r="T3780" s="2" t="s">
        <v>16319</v>
      </c>
      <c r="U3780" s="2" t="s">
        <v>39</v>
      </c>
      <c r="V3780" s="2" t="s">
        <v>40</v>
      </c>
      <c r="W3780" s="2" t="s">
        <v>16320</v>
      </c>
      <c r="X3780" s="2"/>
      <c r="Y3780" s="2"/>
      <c r="Z3780" s="2"/>
      <c r="AA3780" s="2" t="s">
        <v>708</v>
      </c>
      <c r="AB3780" s="2" t="s">
        <v>14669</v>
      </c>
      <c r="AC3780" s="4" t="s">
        <v>44</v>
      </c>
    </row>
    <row r="3781" spans="1:29" x14ac:dyDescent="0.25">
      <c r="A3781" s="1">
        <v>3273</v>
      </c>
      <c r="B3781" s="17" t="s">
        <v>16321</v>
      </c>
      <c r="C3781" s="2" t="s">
        <v>16322</v>
      </c>
      <c r="D3781" s="15" t="s">
        <v>693</v>
      </c>
      <c r="E3781" s="9" t="s">
        <v>11616</v>
      </c>
      <c r="F3781" s="9" t="s">
        <v>691</v>
      </c>
      <c r="G3781" s="9" t="s">
        <v>698</v>
      </c>
      <c r="H3781" s="2" t="s">
        <v>60</v>
      </c>
      <c r="I3781" s="3">
        <v>37252</v>
      </c>
      <c r="J3781" s="9" t="str">
        <f t="shared" ca="1" si="62"/>
        <v>21 ans</v>
      </c>
      <c r="K3781" s="2" t="s">
        <v>262</v>
      </c>
      <c r="L3781" s="2" t="str">
        <f>"2133"</f>
        <v>2133</v>
      </c>
      <c r="M3781" s="2"/>
      <c r="N3781" s="2" t="str">
        <f>"RUE LESSARD"</f>
        <v>RUE LESSARD</v>
      </c>
      <c r="O3781" s="2" t="s">
        <v>16301</v>
      </c>
      <c r="P3781" s="9" t="str">
        <f>VLOOKUP($O3781,'Liste des Villes'!$B$2:$B$1128,1,FALSE)</f>
        <v>Mille-Isles</v>
      </c>
      <c r="Q3781" s="9" t="str">
        <f>IFERROR($P3781,PROPER(VLOOKUP($O3781,'Villes en erreur'!$A$2:$B$72,2,FALSE)))</f>
        <v>Mille-Isles</v>
      </c>
      <c r="R3781" s="9" t="s">
        <v>16302</v>
      </c>
      <c r="S3781" s="9" t="str">
        <f>IF(ISBLANK($R3781),"",VLOOKUP($R3781,'Liste des Villes'!$B$2:$H$1128,4,FALSE))</f>
        <v>Laurentides</v>
      </c>
      <c r="T3781" s="2" t="s">
        <v>16323</v>
      </c>
      <c r="U3781" s="2" t="s">
        <v>39</v>
      </c>
      <c r="V3781" s="2" t="s">
        <v>40</v>
      </c>
      <c r="W3781" s="2" t="s">
        <v>16324</v>
      </c>
      <c r="X3781" s="2"/>
      <c r="Y3781" s="2"/>
      <c r="Z3781" s="2"/>
      <c r="AA3781" s="2" t="s">
        <v>708</v>
      </c>
      <c r="AB3781" s="2" t="s">
        <v>14669</v>
      </c>
      <c r="AC3781" s="4" t="s">
        <v>44</v>
      </c>
    </row>
    <row r="3782" spans="1:29" x14ac:dyDescent="0.25">
      <c r="A3782" s="1">
        <v>886</v>
      </c>
      <c r="B3782" s="17" t="s">
        <v>16325</v>
      </c>
      <c r="C3782" s="2" t="s">
        <v>16326</v>
      </c>
      <c r="D3782" s="15" t="s">
        <v>13988</v>
      </c>
      <c r="E3782" s="9" t="s">
        <v>1689</v>
      </c>
      <c r="F3782" s="9" t="s">
        <v>2802</v>
      </c>
      <c r="G3782" s="9" t="s">
        <v>698</v>
      </c>
      <c r="H3782" s="2" t="s">
        <v>60</v>
      </c>
      <c r="I3782" s="3">
        <v>37253</v>
      </c>
      <c r="J3782" s="9" t="str">
        <f t="shared" ca="1" si="62"/>
        <v>21 ans</v>
      </c>
      <c r="K3782" s="2" t="s">
        <v>262</v>
      </c>
      <c r="L3782" s="2" t="str">
        <f>"2134"</f>
        <v>2134</v>
      </c>
      <c r="M3782" s="2"/>
      <c r="N3782" s="2" t="str">
        <f>"RUE LESSARD"</f>
        <v>RUE LESSARD</v>
      </c>
      <c r="O3782" s="2" t="s">
        <v>16301</v>
      </c>
      <c r="P3782" s="9" t="str">
        <f>VLOOKUP($O3782,'Liste des Villes'!$B$2:$B$1128,1,FALSE)</f>
        <v>Mille-Isles</v>
      </c>
      <c r="Q3782" s="9" t="str">
        <f>IFERROR($P3782,PROPER(VLOOKUP($O3782,'Villes en erreur'!$A$2:$B$72,2,FALSE)))</f>
        <v>Mille-Isles</v>
      </c>
      <c r="R3782" s="9" t="s">
        <v>16302</v>
      </c>
      <c r="S3782" s="9" t="str">
        <f>IF(ISBLANK($R3782),"",VLOOKUP($R3782,'Liste des Villes'!$B$2:$H$1128,4,FALSE))</f>
        <v>Laurentides</v>
      </c>
      <c r="T3782" s="2" t="s">
        <v>16327</v>
      </c>
      <c r="U3782" s="2" t="s">
        <v>39</v>
      </c>
      <c r="V3782" s="2" t="s">
        <v>40</v>
      </c>
      <c r="W3782" s="2" t="s">
        <v>16328</v>
      </c>
      <c r="X3782" s="2"/>
      <c r="Y3782" s="2"/>
      <c r="Z3782" s="2"/>
      <c r="AA3782" s="2" t="s">
        <v>708</v>
      </c>
      <c r="AB3782" s="2" t="s">
        <v>14669</v>
      </c>
      <c r="AC3782" s="4" t="s">
        <v>44</v>
      </c>
    </row>
    <row r="3783" spans="1:29" x14ac:dyDescent="0.25">
      <c r="A3783" s="1">
        <v>278</v>
      </c>
      <c r="B3783" s="17" t="s">
        <v>16329</v>
      </c>
      <c r="C3783" s="2" t="s">
        <v>16330</v>
      </c>
      <c r="D3783" s="15" t="s">
        <v>3705</v>
      </c>
      <c r="E3783" s="9" t="s">
        <v>10838</v>
      </c>
      <c r="F3783" s="9" t="s">
        <v>4316</v>
      </c>
      <c r="G3783" s="9" t="s">
        <v>4584</v>
      </c>
      <c r="H3783" s="2" t="s">
        <v>35</v>
      </c>
      <c r="I3783" s="3">
        <v>37248</v>
      </c>
      <c r="J3783" s="9" t="str">
        <f t="shared" ca="1" si="62"/>
        <v>21 ans</v>
      </c>
      <c r="K3783" s="2" t="s">
        <v>262</v>
      </c>
      <c r="L3783" s="2" t="str">
        <f>"2104"</f>
        <v>2104</v>
      </c>
      <c r="M3783" s="2"/>
      <c r="N3783" s="2" t="str">
        <f>"RUE LÉOPOLD-LECOURT"</f>
        <v>RUE LÉOPOLD-LECOURT</v>
      </c>
      <c r="O3783" s="2" t="s">
        <v>16301</v>
      </c>
      <c r="P3783" s="9" t="str">
        <f>VLOOKUP($O3783,'Liste des Villes'!$B$2:$B$1128,1,FALSE)</f>
        <v>Mille-Isles</v>
      </c>
      <c r="Q3783" s="9" t="str">
        <f>IFERROR($P3783,PROPER(VLOOKUP($O3783,'Villes en erreur'!$A$2:$B$72,2,FALSE)))</f>
        <v>Mille-Isles</v>
      </c>
      <c r="R3783" s="9" t="s">
        <v>16302</v>
      </c>
      <c r="S3783" s="9" t="str">
        <f>IF(ISBLANK($R3783),"",VLOOKUP($R3783,'Liste des Villes'!$B$2:$H$1128,4,FALSE))</f>
        <v>Laurentides</v>
      </c>
      <c r="T3783" s="2" t="s">
        <v>16311</v>
      </c>
      <c r="U3783" s="2" t="s">
        <v>39</v>
      </c>
      <c r="V3783" s="2" t="s">
        <v>40</v>
      </c>
      <c r="W3783" s="2" t="s">
        <v>16331</v>
      </c>
      <c r="X3783" s="2"/>
      <c r="Y3783" s="2"/>
      <c r="Z3783" s="2"/>
      <c r="AA3783" s="2" t="s">
        <v>708</v>
      </c>
      <c r="AB3783" s="2" t="s">
        <v>14669</v>
      </c>
      <c r="AC3783" s="4" t="s">
        <v>44</v>
      </c>
    </row>
    <row r="3784" spans="1:29" x14ac:dyDescent="0.25">
      <c r="A3784" s="1">
        <v>3044</v>
      </c>
      <c r="B3784" s="17" t="s">
        <v>16332</v>
      </c>
      <c r="C3784" s="2" t="s">
        <v>16333</v>
      </c>
      <c r="D3784" s="15" t="s">
        <v>15044</v>
      </c>
      <c r="E3784" s="9" t="s">
        <v>929</v>
      </c>
      <c r="F3784" s="9" t="s">
        <v>3228</v>
      </c>
      <c r="G3784" s="9" t="s">
        <v>698</v>
      </c>
      <c r="H3784" s="2" t="s">
        <v>60</v>
      </c>
      <c r="I3784" s="3">
        <v>37253</v>
      </c>
      <c r="J3784" s="9" t="str">
        <f t="shared" ca="1" si="62"/>
        <v>21 ans</v>
      </c>
      <c r="K3784" s="2" t="s">
        <v>262</v>
      </c>
      <c r="L3784" s="2" t="str">
        <f>"2136"</f>
        <v>2136</v>
      </c>
      <c r="M3784" s="2"/>
      <c r="N3784" s="2" t="str">
        <f>"RUE LETENDRE"</f>
        <v>RUE LETENDRE</v>
      </c>
      <c r="O3784" s="2" t="s">
        <v>16301</v>
      </c>
      <c r="P3784" s="9" t="str">
        <f>VLOOKUP($O3784,'Liste des Villes'!$B$2:$B$1128,1,FALSE)</f>
        <v>Mille-Isles</v>
      </c>
      <c r="Q3784" s="9" t="str">
        <f>IFERROR($P3784,PROPER(VLOOKUP($O3784,'Villes en erreur'!$A$2:$B$72,2,FALSE)))</f>
        <v>Mille-Isles</v>
      </c>
      <c r="R3784" s="9" t="s">
        <v>16302</v>
      </c>
      <c r="S3784" s="9" t="str">
        <f>IF(ISBLANK($R3784),"",VLOOKUP($R3784,'Liste des Villes'!$B$2:$H$1128,4,FALSE))</f>
        <v>Laurentides</v>
      </c>
      <c r="T3784" s="2" t="s">
        <v>16334</v>
      </c>
      <c r="U3784" s="2" t="s">
        <v>39</v>
      </c>
      <c r="V3784" s="2" t="s">
        <v>40</v>
      </c>
      <c r="W3784" s="2" t="s">
        <v>16335</v>
      </c>
      <c r="X3784" s="2"/>
      <c r="Y3784" s="2"/>
      <c r="Z3784" s="2"/>
      <c r="AA3784" s="2" t="s">
        <v>708</v>
      </c>
      <c r="AB3784" s="2" t="s">
        <v>14669</v>
      </c>
      <c r="AC3784" s="4" t="s">
        <v>44</v>
      </c>
    </row>
    <row r="3785" spans="1:29" x14ac:dyDescent="0.25">
      <c r="A3785" s="1">
        <v>2473</v>
      </c>
      <c r="B3785" s="17" t="s">
        <v>16336</v>
      </c>
      <c r="C3785" s="2" t="s">
        <v>16337</v>
      </c>
      <c r="D3785" s="15" t="s">
        <v>9620</v>
      </c>
      <c r="E3785" s="9" t="s">
        <v>10498</v>
      </c>
      <c r="F3785" s="9" t="s">
        <v>9619</v>
      </c>
      <c r="G3785" s="9" t="s">
        <v>13481</v>
      </c>
      <c r="H3785" s="2" t="s">
        <v>60</v>
      </c>
      <c r="I3785" s="3">
        <v>37252</v>
      </c>
      <c r="J3785" s="9" t="str">
        <f t="shared" ca="1" si="62"/>
        <v>21 ans</v>
      </c>
      <c r="K3785" s="2" t="s">
        <v>262</v>
      </c>
      <c r="L3785" s="2" t="str">
        <f>"2127"</f>
        <v>2127</v>
      </c>
      <c r="M3785" s="2"/>
      <c r="N3785" s="2" t="str">
        <f>"RUE LESSARD"</f>
        <v>RUE LESSARD</v>
      </c>
      <c r="O3785" s="2" t="s">
        <v>16301</v>
      </c>
      <c r="P3785" s="9" t="str">
        <f>VLOOKUP($O3785,'Liste des Villes'!$B$2:$B$1128,1,FALSE)</f>
        <v>Mille-Isles</v>
      </c>
      <c r="Q3785" s="9" t="str">
        <f>IFERROR($P3785,PROPER(VLOOKUP($O3785,'Villes en erreur'!$A$2:$B$72,2,FALSE)))</f>
        <v>Mille-Isles</v>
      </c>
      <c r="R3785" s="9" t="s">
        <v>16302</v>
      </c>
      <c r="S3785" s="9" t="str">
        <f>IF(ISBLANK($R3785),"",VLOOKUP($R3785,'Liste des Villes'!$B$2:$H$1128,4,FALSE))</f>
        <v>Laurentides</v>
      </c>
      <c r="T3785" s="2" t="s">
        <v>16307</v>
      </c>
      <c r="U3785" s="2" t="s">
        <v>39</v>
      </c>
      <c r="V3785" s="2" t="s">
        <v>40</v>
      </c>
      <c r="W3785" s="2" t="s">
        <v>16338</v>
      </c>
      <c r="X3785" s="2"/>
      <c r="Y3785" s="2"/>
      <c r="Z3785" s="2"/>
      <c r="AA3785" s="2" t="s">
        <v>708</v>
      </c>
      <c r="AB3785" s="2" t="s">
        <v>14669</v>
      </c>
      <c r="AC3785" s="4" t="s">
        <v>44</v>
      </c>
    </row>
    <row r="3786" spans="1:29" x14ac:dyDescent="0.25">
      <c r="A3786" s="1">
        <v>508</v>
      </c>
      <c r="B3786" s="17" t="s">
        <v>16339</v>
      </c>
      <c r="C3786" s="2" t="s">
        <v>10598</v>
      </c>
      <c r="D3786" s="15" t="s">
        <v>827</v>
      </c>
      <c r="E3786" s="9" t="s">
        <v>5652</v>
      </c>
      <c r="F3786" s="9" t="s">
        <v>825</v>
      </c>
      <c r="G3786" s="9" t="s">
        <v>4633</v>
      </c>
      <c r="H3786" s="2" t="s">
        <v>35</v>
      </c>
      <c r="I3786" s="3">
        <v>37247</v>
      </c>
      <c r="J3786" s="9" t="str">
        <f t="shared" ca="1" si="62"/>
        <v>21 ans</v>
      </c>
      <c r="K3786" s="2" t="s">
        <v>262</v>
      </c>
      <c r="L3786" s="2" t="str">
        <f>"2104"</f>
        <v>2104</v>
      </c>
      <c r="M3786" s="2"/>
      <c r="N3786" s="2" t="str">
        <f>"RUE LÉOPOLD-LECOURT"</f>
        <v>RUE LÉOPOLD-LECOURT</v>
      </c>
      <c r="O3786" s="2" t="s">
        <v>16301</v>
      </c>
      <c r="P3786" s="9" t="str">
        <f>VLOOKUP($O3786,'Liste des Villes'!$B$2:$B$1128,1,FALSE)</f>
        <v>Mille-Isles</v>
      </c>
      <c r="Q3786" s="9" t="str">
        <f>IFERROR($P3786,PROPER(VLOOKUP($O3786,'Villes en erreur'!$A$2:$B$72,2,FALSE)))</f>
        <v>Mille-Isles</v>
      </c>
      <c r="R3786" s="9" t="s">
        <v>16302</v>
      </c>
      <c r="S3786" s="9" t="str">
        <f>IF(ISBLANK($R3786),"",VLOOKUP($R3786,'Liste des Villes'!$B$2:$H$1128,4,FALSE))</f>
        <v>Laurentides</v>
      </c>
      <c r="T3786" s="2" t="s">
        <v>16340</v>
      </c>
      <c r="U3786" s="2" t="s">
        <v>39</v>
      </c>
      <c r="V3786" s="2" t="s">
        <v>40</v>
      </c>
      <c r="W3786" s="2" t="s">
        <v>16341</v>
      </c>
      <c r="X3786" s="2"/>
      <c r="Y3786" s="2"/>
      <c r="Z3786" s="2"/>
      <c r="AA3786" s="2" t="s">
        <v>708</v>
      </c>
      <c r="AB3786" s="2" t="s">
        <v>14669</v>
      </c>
      <c r="AC3786" s="4" t="s">
        <v>44</v>
      </c>
    </row>
    <row r="3787" spans="1:29" x14ac:dyDescent="0.25">
      <c r="A3787" s="1">
        <v>1034</v>
      </c>
      <c r="B3787" s="17" t="s">
        <v>16342</v>
      </c>
      <c r="C3787" s="2" t="s">
        <v>6552</v>
      </c>
      <c r="D3787" s="15" t="s">
        <v>1362</v>
      </c>
      <c r="E3787" s="9" t="s">
        <v>678</v>
      </c>
      <c r="F3787" s="9" t="s">
        <v>1360</v>
      </c>
      <c r="G3787" s="9" t="s">
        <v>4633</v>
      </c>
      <c r="H3787" s="2" t="s">
        <v>35</v>
      </c>
      <c r="I3787" s="3">
        <v>37247</v>
      </c>
      <c r="J3787" s="9" t="str">
        <f t="shared" ca="1" si="62"/>
        <v>21 ans</v>
      </c>
      <c r="K3787" s="2" t="s">
        <v>262</v>
      </c>
      <c r="L3787" s="2" t="str">
        <f>"2102"</f>
        <v>2102</v>
      </c>
      <c r="M3787" s="2"/>
      <c r="N3787" s="2" t="str">
        <f>"RUE LÉOPOLD-LECOURT"</f>
        <v>RUE LÉOPOLD-LECOURT</v>
      </c>
      <c r="O3787" s="2" t="s">
        <v>16301</v>
      </c>
      <c r="P3787" s="9" t="str">
        <f>VLOOKUP($O3787,'Liste des Villes'!$B$2:$B$1128,1,FALSE)</f>
        <v>Mille-Isles</v>
      </c>
      <c r="Q3787" s="9" t="str">
        <f>IFERROR($P3787,PROPER(VLOOKUP($O3787,'Villes en erreur'!$A$2:$B$72,2,FALSE)))</f>
        <v>Mille-Isles</v>
      </c>
      <c r="R3787" s="9" t="s">
        <v>16302</v>
      </c>
      <c r="S3787" s="9" t="str">
        <f>IF(ISBLANK($R3787),"",VLOOKUP($R3787,'Liste des Villes'!$B$2:$H$1128,4,FALSE))</f>
        <v>Laurentides</v>
      </c>
      <c r="T3787" s="2" t="s">
        <v>16343</v>
      </c>
      <c r="U3787" s="2" t="s">
        <v>39</v>
      </c>
      <c r="V3787" s="2" t="s">
        <v>40</v>
      </c>
      <c r="W3787" s="2" t="s">
        <v>16344</v>
      </c>
      <c r="X3787" s="2"/>
      <c r="Y3787" s="2"/>
      <c r="Z3787" s="2"/>
      <c r="AA3787" s="2" t="s">
        <v>708</v>
      </c>
      <c r="AB3787" s="2" t="s">
        <v>14669</v>
      </c>
      <c r="AC3787" s="4" t="s">
        <v>44</v>
      </c>
    </row>
    <row r="3788" spans="1:29" x14ac:dyDescent="0.25">
      <c r="A3788" s="1">
        <v>3191</v>
      </c>
      <c r="B3788" s="17" t="s">
        <v>16345</v>
      </c>
      <c r="C3788" s="2" t="s">
        <v>7265</v>
      </c>
      <c r="D3788" s="15" t="s">
        <v>1061</v>
      </c>
      <c r="E3788" s="9" t="s">
        <v>1560</v>
      </c>
      <c r="F3788" s="9" t="s">
        <v>9030</v>
      </c>
      <c r="G3788" s="9" t="s">
        <v>4584</v>
      </c>
      <c r="H3788" s="2" t="s">
        <v>35</v>
      </c>
      <c r="I3788" s="3">
        <v>37249</v>
      </c>
      <c r="J3788" s="9" t="str">
        <f t="shared" ca="1" si="62"/>
        <v>21 ans</v>
      </c>
      <c r="K3788" s="2" t="s">
        <v>262</v>
      </c>
      <c r="L3788" s="2" t="str">
        <f>"2109"</f>
        <v>2109</v>
      </c>
      <c r="M3788" s="2"/>
      <c r="N3788" s="2" t="str">
        <f>"RUE LÉOPOLD-NANTEL"</f>
        <v>RUE LÉOPOLD-NANTEL</v>
      </c>
      <c r="O3788" s="2" t="s">
        <v>16301</v>
      </c>
      <c r="P3788" s="9" t="str">
        <f>VLOOKUP($O3788,'Liste des Villes'!$B$2:$B$1128,1,FALSE)</f>
        <v>Mille-Isles</v>
      </c>
      <c r="Q3788" s="9" t="str">
        <f>IFERROR($P3788,PROPER(VLOOKUP($O3788,'Villes en erreur'!$A$2:$B$72,2,FALSE)))</f>
        <v>Mille-Isles</v>
      </c>
      <c r="R3788" s="9" t="s">
        <v>16302</v>
      </c>
      <c r="S3788" s="9" t="str">
        <f>IF(ISBLANK($R3788),"",VLOOKUP($R3788,'Liste des Villes'!$B$2:$H$1128,4,FALSE))</f>
        <v>Laurentides</v>
      </c>
      <c r="T3788" s="2" t="s">
        <v>16311</v>
      </c>
      <c r="U3788" s="2" t="s">
        <v>39</v>
      </c>
      <c r="V3788" s="2" t="s">
        <v>40</v>
      </c>
      <c r="W3788" s="2" t="s">
        <v>16346</v>
      </c>
      <c r="X3788" s="2"/>
      <c r="Y3788" s="2"/>
      <c r="Z3788" s="2"/>
      <c r="AA3788" s="2" t="s">
        <v>708</v>
      </c>
      <c r="AB3788" s="2" t="s">
        <v>14669</v>
      </c>
      <c r="AC3788" s="4" t="s">
        <v>44</v>
      </c>
    </row>
    <row r="3789" spans="1:29" x14ac:dyDescent="0.25">
      <c r="A3789" s="1">
        <v>3466</v>
      </c>
      <c r="B3789" s="17" t="s">
        <v>16347</v>
      </c>
      <c r="C3789" s="2" t="s">
        <v>16348</v>
      </c>
      <c r="D3789" s="15" t="s">
        <v>5224</v>
      </c>
      <c r="E3789" s="9" t="s">
        <v>16349</v>
      </c>
      <c r="F3789" s="9" t="s">
        <v>5223</v>
      </c>
      <c r="G3789" s="9" t="s">
        <v>4584</v>
      </c>
      <c r="H3789" s="2" t="s">
        <v>35</v>
      </c>
      <c r="I3789" s="3">
        <v>37250</v>
      </c>
      <c r="J3789" s="9" t="str">
        <f t="shared" ca="1" si="62"/>
        <v>21 ans</v>
      </c>
      <c r="K3789" s="2" t="s">
        <v>262</v>
      </c>
      <c r="L3789" s="2" t="str">
        <f>"2115"</f>
        <v>2115</v>
      </c>
      <c r="M3789" s="2"/>
      <c r="N3789" s="2" t="str">
        <f>"RUE LÉPINE"</f>
        <v>RUE LÉPINE</v>
      </c>
      <c r="O3789" s="2" t="s">
        <v>16301</v>
      </c>
      <c r="P3789" s="9" t="str">
        <f>VLOOKUP($O3789,'Liste des Villes'!$B$2:$B$1128,1,FALSE)</f>
        <v>Mille-Isles</v>
      </c>
      <c r="Q3789" s="9" t="str">
        <f>IFERROR($P3789,PROPER(VLOOKUP($O3789,'Villes en erreur'!$A$2:$B$72,2,FALSE)))</f>
        <v>Mille-Isles</v>
      </c>
      <c r="R3789" s="9" t="s">
        <v>16302</v>
      </c>
      <c r="S3789" s="9" t="str">
        <f>IF(ISBLANK($R3789),"",VLOOKUP($R3789,'Liste des Villes'!$B$2:$H$1128,4,FALSE))</f>
        <v>Laurentides</v>
      </c>
      <c r="T3789" s="2" t="s">
        <v>16350</v>
      </c>
      <c r="U3789" s="2" t="s">
        <v>39</v>
      </c>
      <c r="V3789" s="2" t="s">
        <v>40</v>
      </c>
      <c r="W3789" s="2" t="s">
        <v>16351</v>
      </c>
      <c r="X3789" s="2"/>
      <c r="Y3789" s="2"/>
      <c r="Z3789" s="2"/>
      <c r="AA3789" s="2" t="s">
        <v>708</v>
      </c>
      <c r="AB3789" s="2" t="s">
        <v>14669</v>
      </c>
      <c r="AC3789" s="4" t="s">
        <v>44</v>
      </c>
    </row>
    <row r="3790" spans="1:29" x14ac:dyDescent="0.25">
      <c r="A3790" s="1">
        <v>2657</v>
      </c>
      <c r="B3790" s="17" t="s">
        <v>16352</v>
      </c>
      <c r="C3790" s="2" t="s">
        <v>16353</v>
      </c>
      <c r="D3790" s="15" t="s">
        <v>7043</v>
      </c>
      <c r="E3790" s="9" t="s">
        <v>4227</v>
      </c>
      <c r="F3790" s="9" t="s">
        <v>1716</v>
      </c>
      <c r="G3790" s="9" t="s">
        <v>4584</v>
      </c>
      <c r="H3790" s="2" t="s">
        <v>35</v>
      </c>
      <c r="I3790" s="3">
        <v>37250</v>
      </c>
      <c r="J3790" s="9" t="str">
        <f t="shared" ca="1" si="62"/>
        <v>21 ans</v>
      </c>
      <c r="K3790" s="2" t="s">
        <v>262</v>
      </c>
      <c r="L3790" s="2" t="str">
        <f>"2118"</f>
        <v>2118</v>
      </c>
      <c r="M3790" s="2"/>
      <c r="N3790" s="2" t="str">
        <f>"RUE LEROUX"</f>
        <v>RUE LEROUX</v>
      </c>
      <c r="O3790" s="2" t="s">
        <v>16301</v>
      </c>
      <c r="P3790" s="9" t="str">
        <f>VLOOKUP($O3790,'Liste des Villes'!$B$2:$B$1128,1,FALSE)</f>
        <v>Mille-Isles</v>
      </c>
      <c r="Q3790" s="9" t="str">
        <f>IFERROR($P3790,PROPER(VLOOKUP($O3790,'Villes en erreur'!$A$2:$B$72,2,FALSE)))</f>
        <v>Mille-Isles</v>
      </c>
      <c r="R3790" s="9" t="s">
        <v>16302</v>
      </c>
      <c r="S3790" s="9" t="str">
        <f>IF(ISBLANK($R3790),"",VLOOKUP($R3790,'Liste des Villes'!$B$2:$H$1128,4,FALSE))</f>
        <v>Laurentides</v>
      </c>
      <c r="T3790" s="2" t="s">
        <v>16354</v>
      </c>
      <c r="U3790" s="2" t="s">
        <v>39</v>
      </c>
      <c r="V3790" s="2" t="s">
        <v>40</v>
      </c>
      <c r="W3790" s="2" t="s">
        <v>16355</v>
      </c>
      <c r="X3790" s="2"/>
      <c r="Y3790" s="2"/>
      <c r="Z3790" s="2"/>
      <c r="AA3790" s="2" t="s">
        <v>708</v>
      </c>
      <c r="AB3790" s="2" t="s">
        <v>14669</v>
      </c>
      <c r="AC3790" s="4" t="s">
        <v>44</v>
      </c>
    </row>
    <row r="3791" spans="1:29" x14ac:dyDescent="0.25">
      <c r="A3791" s="1">
        <v>2546</v>
      </c>
      <c r="B3791" s="17" t="s">
        <v>16356</v>
      </c>
      <c r="C3791" s="2" t="s">
        <v>16357</v>
      </c>
      <c r="D3791" s="15" t="s">
        <v>2878</v>
      </c>
      <c r="E3791" s="9" t="s">
        <v>1660</v>
      </c>
      <c r="F3791" s="9" t="s">
        <v>2876</v>
      </c>
      <c r="G3791" s="9" t="s">
        <v>4584</v>
      </c>
      <c r="H3791" s="2" t="s">
        <v>35</v>
      </c>
      <c r="I3791" s="3">
        <v>37249</v>
      </c>
      <c r="J3791" s="9" t="str">
        <f t="shared" ca="1" si="62"/>
        <v>21 ans</v>
      </c>
      <c r="K3791" s="2" t="s">
        <v>262</v>
      </c>
      <c r="L3791" s="2" t="str">
        <f>"2110"</f>
        <v>2110</v>
      </c>
      <c r="M3791" s="2"/>
      <c r="N3791" s="2" t="str">
        <f>"RUE LÉOPOLD-NANTEL"</f>
        <v>RUE LÉOPOLD-NANTEL</v>
      </c>
      <c r="O3791" s="2" t="s">
        <v>16301</v>
      </c>
      <c r="P3791" s="9" t="str">
        <f>VLOOKUP($O3791,'Liste des Villes'!$B$2:$B$1128,1,FALSE)</f>
        <v>Mille-Isles</v>
      </c>
      <c r="Q3791" s="9" t="str">
        <f>IFERROR($P3791,PROPER(VLOOKUP($O3791,'Villes en erreur'!$A$2:$B$72,2,FALSE)))</f>
        <v>Mille-Isles</v>
      </c>
      <c r="R3791" s="9" t="s">
        <v>16302</v>
      </c>
      <c r="S3791" s="9" t="str">
        <f>IF(ISBLANK($R3791),"",VLOOKUP($R3791,'Liste des Villes'!$B$2:$H$1128,4,FALSE))</f>
        <v>Laurentides</v>
      </c>
      <c r="T3791" s="2" t="s">
        <v>16358</v>
      </c>
      <c r="U3791" s="2" t="s">
        <v>39</v>
      </c>
      <c r="V3791" s="2" t="s">
        <v>40</v>
      </c>
      <c r="W3791" s="2" t="s">
        <v>16359</v>
      </c>
      <c r="X3791" s="2"/>
      <c r="Y3791" s="2"/>
      <c r="Z3791" s="2"/>
      <c r="AA3791" s="2" t="s">
        <v>708</v>
      </c>
      <c r="AB3791" s="2" t="s">
        <v>14669</v>
      </c>
      <c r="AC3791" s="4" t="s">
        <v>44</v>
      </c>
    </row>
    <row r="3792" spans="1:29" x14ac:dyDescent="0.25">
      <c r="A3792" s="1">
        <v>2559</v>
      </c>
      <c r="B3792" s="17" t="s">
        <v>16360</v>
      </c>
      <c r="C3792" s="2" t="s">
        <v>16361</v>
      </c>
      <c r="D3792" s="15" t="s">
        <v>3530</v>
      </c>
      <c r="E3792" s="9" t="s">
        <v>14549</v>
      </c>
      <c r="F3792" s="9" t="s">
        <v>3528</v>
      </c>
      <c r="G3792" s="9" t="s">
        <v>4584</v>
      </c>
      <c r="H3792" s="2" t="s">
        <v>35</v>
      </c>
      <c r="I3792" s="3">
        <v>37250</v>
      </c>
      <c r="J3792" s="9" t="str">
        <f t="shared" ca="1" si="62"/>
        <v>21 ans</v>
      </c>
      <c r="K3792" s="2" t="s">
        <v>262</v>
      </c>
      <c r="L3792" s="2" t="str">
        <f>"2115"</f>
        <v>2115</v>
      </c>
      <c r="M3792" s="2"/>
      <c r="N3792" s="2" t="str">
        <f>"RUE LEROUX"</f>
        <v>RUE LEROUX</v>
      </c>
      <c r="O3792" s="2" t="s">
        <v>16301</v>
      </c>
      <c r="P3792" s="9" t="str">
        <f>VLOOKUP($O3792,'Liste des Villes'!$B$2:$B$1128,1,FALSE)</f>
        <v>Mille-Isles</v>
      </c>
      <c r="Q3792" s="9" t="str">
        <f>IFERROR($P3792,PROPER(VLOOKUP($O3792,'Villes en erreur'!$A$2:$B$72,2,FALSE)))</f>
        <v>Mille-Isles</v>
      </c>
      <c r="R3792" s="9" t="s">
        <v>16302</v>
      </c>
      <c r="S3792" s="9" t="str">
        <f>IF(ISBLANK($R3792),"",VLOOKUP($R3792,'Liste des Villes'!$B$2:$H$1128,4,FALSE))</f>
        <v>Laurentides</v>
      </c>
      <c r="T3792" s="2" t="s">
        <v>16354</v>
      </c>
      <c r="U3792" s="2" t="s">
        <v>39</v>
      </c>
      <c r="V3792" s="2" t="s">
        <v>40</v>
      </c>
      <c r="W3792" s="2" t="s">
        <v>16362</v>
      </c>
      <c r="X3792" s="2"/>
      <c r="Y3792" s="2"/>
      <c r="Z3792" s="2"/>
      <c r="AA3792" s="2" t="s">
        <v>708</v>
      </c>
      <c r="AB3792" s="2" t="s">
        <v>14669</v>
      </c>
      <c r="AC3792" s="4" t="s">
        <v>44</v>
      </c>
    </row>
    <row r="3793" spans="1:29" x14ac:dyDescent="0.25">
      <c r="A3793" s="1">
        <v>882</v>
      </c>
      <c r="B3793" s="17" t="s">
        <v>16363</v>
      </c>
      <c r="C3793" s="2" t="s">
        <v>5212</v>
      </c>
      <c r="D3793" s="15" t="s">
        <v>5213</v>
      </c>
      <c r="E3793" s="9" t="s">
        <v>698</v>
      </c>
      <c r="F3793" s="9" t="s">
        <v>5214</v>
      </c>
      <c r="G3793" s="9" t="s">
        <v>4584</v>
      </c>
      <c r="H3793" s="2" t="s">
        <v>35</v>
      </c>
      <c r="I3793" s="3">
        <v>37249</v>
      </c>
      <c r="J3793" s="9" t="str">
        <f t="shared" ca="1" si="62"/>
        <v>21 ans</v>
      </c>
      <c r="K3793" s="2" t="s">
        <v>262</v>
      </c>
      <c r="L3793" s="2" t="str">
        <f>"2114"</f>
        <v>2114</v>
      </c>
      <c r="M3793" s="2"/>
      <c r="N3793" s="2" t="str">
        <f>"RUE LEPAGE"</f>
        <v>RUE LEPAGE</v>
      </c>
      <c r="O3793" s="2" t="s">
        <v>16301</v>
      </c>
      <c r="P3793" s="9" t="str">
        <f>VLOOKUP($O3793,'Liste des Villes'!$B$2:$B$1128,1,FALSE)</f>
        <v>Mille-Isles</v>
      </c>
      <c r="Q3793" s="9" t="str">
        <f>IFERROR($P3793,PROPER(VLOOKUP($O3793,'Villes en erreur'!$A$2:$B$72,2,FALSE)))</f>
        <v>Mille-Isles</v>
      </c>
      <c r="R3793" s="9" t="s">
        <v>16302</v>
      </c>
      <c r="S3793" s="9" t="str">
        <f>IF(ISBLANK($R3793),"",VLOOKUP($R3793,'Liste des Villes'!$B$2:$H$1128,4,FALSE))</f>
        <v>Laurentides</v>
      </c>
      <c r="T3793" s="2" t="s">
        <v>16364</v>
      </c>
      <c r="U3793" s="2" t="s">
        <v>39</v>
      </c>
      <c r="V3793" s="2" t="s">
        <v>40</v>
      </c>
      <c r="W3793" s="2" t="s">
        <v>16365</v>
      </c>
      <c r="X3793" s="2"/>
      <c r="Y3793" s="2"/>
      <c r="Z3793" s="2"/>
      <c r="AA3793" s="2" t="s">
        <v>708</v>
      </c>
      <c r="AB3793" s="2" t="s">
        <v>14669</v>
      </c>
      <c r="AC3793" s="4" t="s">
        <v>44</v>
      </c>
    </row>
    <row r="3794" spans="1:29" x14ac:dyDescent="0.25">
      <c r="A3794" s="1">
        <v>725</v>
      </c>
      <c r="B3794" s="17" t="s">
        <v>16366</v>
      </c>
      <c r="C3794" s="2" t="s">
        <v>16367</v>
      </c>
      <c r="D3794" s="15" t="s">
        <v>12166</v>
      </c>
      <c r="E3794" s="9" t="s">
        <v>5440</v>
      </c>
      <c r="F3794" s="9" t="s">
        <v>3431</v>
      </c>
      <c r="G3794" s="9" t="s">
        <v>698</v>
      </c>
      <c r="H3794" s="2" t="s">
        <v>60</v>
      </c>
      <c r="I3794" s="3">
        <v>37253</v>
      </c>
      <c r="J3794" s="9" t="str">
        <f t="shared" ca="1" si="62"/>
        <v>21 ans</v>
      </c>
      <c r="K3794" s="2" t="s">
        <v>262</v>
      </c>
      <c r="L3794" s="2" t="str">
        <f>"2139"</f>
        <v>2139</v>
      </c>
      <c r="M3794" s="2"/>
      <c r="N3794" s="2" t="str">
        <f>"RUE LÉTOURNEAU"</f>
        <v>RUE LÉTOURNEAU</v>
      </c>
      <c r="O3794" s="2" t="s">
        <v>16301</v>
      </c>
      <c r="P3794" s="9" t="str">
        <f>VLOOKUP($O3794,'Liste des Villes'!$B$2:$B$1128,1,FALSE)</f>
        <v>Mille-Isles</v>
      </c>
      <c r="Q3794" s="9" t="str">
        <f>IFERROR($P3794,PROPER(VLOOKUP($O3794,'Villes en erreur'!$A$2:$B$72,2,FALSE)))</f>
        <v>Mille-Isles</v>
      </c>
      <c r="R3794" s="9" t="s">
        <v>16302</v>
      </c>
      <c r="S3794" s="9" t="str">
        <f>IF(ISBLANK($R3794),"",VLOOKUP($R3794,'Liste des Villes'!$B$2:$H$1128,4,FALSE))</f>
        <v>Laurentides</v>
      </c>
      <c r="T3794" s="2" t="s">
        <v>16368</v>
      </c>
      <c r="U3794" s="2" t="s">
        <v>39</v>
      </c>
      <c r="V3794" s="2" t="s">
        <v>40</v>
      </c>
      <c r="W3794" s="2" t="s">
        <v>16369</v>
      </c>
      <c r="X3794" s="2"/>
      <c r="Y3794" s="2"/>
      <c r="Z3794" s="2"/>
      <c r="AA3794" s="2" t="s">
        <v>708</v>
      </c>
      <c r="AB3794" s="2" t="s">
        <v>14669</v>
      </c>
      <c r="AC3794" s="4" t="s">
        <v>44</v>
      </c>
    </row>
    <row r="3795" spans="1:29" x14ac:dyDescent="0.25">
      <c r="A3795" s="1">
        <v>754</v>
      </c>
      <c r="B3795" s="17" t="s">
        <v>16370</v>
      </c>
      <c r="C3795" s="2" t="s">
        <v>16371</v>
      </c>
      <c r="D3795" s="15" t="s">
        <v>31</v>
      </c>
      <c r="E3795" s="9" t="s">
        <v>3253</v>
      </c>
      <c r="F3795" s="9" t="s">
        <v>14383</v>
      </c>
      <c r="G3795" s="9" t="s">
        <v>698</v>
      </c>
      <c r="H3795" s="2" t="s">
        <v>60</v>
      </c>
      <c r="I3795" s="3">
        <v>37254</v>
      </c>
      <c r="J3795" s="9" t="str">
        <f t="shared" ca="1" si="62"/>
        <v>21 ans</v>
      </c>
      <c r="K3795" s="2" t="s">
        <v>262</v>
      </c>
      <c r="L3795" s="2" t="str">
        <f>"2140"</f>
        <v>2140</v>
      </c>
      <c r="M3795" s="2"/>
      <c r="N3795" s="2" t="str">
        <f>"RUE LEVAC"</f>
        <v>RUE LEVAC</v>
      </c>
      <c r="O3795" s="2" t="s">
        <v>16372</v>
      </c>
      <c r="P3795" s="9" t="str">
        <f>VLOOKUP($O3795,'Liste des Villes'!$B$2:$B$1128,1,FALSE)</f>
        <v>Matagami</v>
      </c>
      <c r="Q3795" s="9" t="str">
        <f>IFERROR($P3795,PROPER(VLOOKUP($O3795,'Villes en erreur'!$A$2:$B$72,2,FALSE)))</f>
        <v>Matagami</v>
      </c>
      <c r="R3795" s="9" t="s">
        <v>16373</v>
      </c>
      <c r="S3795" s="9" t="str">
        <f>IF(ISBLANK($R3795),"",VLOOKUP($R3795,'Liste des Villes'!$B$2:$H$1128,4,FALSE))</f>
        <v>Nord-du-Québec</v>
      </c>
      <c r="T3795" s="2" t="s">
        <v>16374</v>
      </c>
      <c r="U3795" s="2" t="s">
        <v>39</v>
      </c>
      <c r="V3795" s="2" t="s">
        <v>40</v>
      </c>
      <c r="W3795" s="2" t="s">
        <v>16375</v>
      </c>
      <c r="X3795" s="2"/>
      <c r="Y3795" s="2"/>
      <c r="Z3795" s="2"/>
      <c r="AA3795" s="2" t="s">
        <v>708</v>
      </c>
      <c r="AB3795" s="2" t="s">
        <v>14669</v>
      </c>
      <c r="AC3795" s="4" t="s">
        <v>44</v>
      </c>
    </row>
    <row r="3796" spans="1:29" x14ac:dyDescent="0.25">
      <c r="A3796" s="1">
        <v>1026</v>
      </c>
      <c r="B3796" s="17" t="s">
        <v>16376</v>
      </c>
      <c r="C3796" s="2" t="s">
        <v>8013</v>
      </c>
      <c r="D3796" s="15" t="s">
        <v>677</v>
      </c>
      <c r="E3796" s="9" t="s">
        <v>2381</v>
      </c>
      <c r="F3796" s="9" t="s">
        <v>675</v>
      </c>
      <c r="G3796" s="9" t="s">
        <v>698</v>
      </c>
      <c r="H3796" s="2" t="s">
        <v>60</v>
      </c>
      <c r="I3796" s="3">
        <v>37256</v>
      </c>
      <c r="J3796" s="9" t="str">
        <f t="shared" ca="1" si="62"/>
        <v>21 ans</v>
      </c>
      <c r="K3796" s="2" t="s">
        <v>262</v>
      </c>
      <c r="L3796" s="2" t="str">
        <f>"2149"</f>
        <v>2149</v>
      </c>
      <c r="M3796" s="2"/>
      <c r="N3796" s="2" t="str">
        <f>"RUE LIMOGES"</f>
        <v>RUE LIMOGES</v>
      </c>
      <c r="O3796" s="2" t="s">
        <v>16377</v>
      </c>
      <c r="P3796" s="9" t="str">
        <f>VLOOKUP($O3796,'Liste des Villes'!$B$2:$B$1128,1,FALSE)</f>
        <v>Mascouche</v>
      </c>
      <c r="Q3796" s="9" t="str">
        <f>IFERROR($P3796,PROPER(VLOOKUP($O3796,'Villes en erreur'!$A$2:$B$72,2,FALSE)))</f>
        <v>Mascouche</v>
      </c>
      <c r="R3796" s="9" t="s">
        <v>16378</v>
      </c>
      <c r="S3796" s="9" t="str">
        <f>IF(ISBLANK($R3796),"",VLOOKUP($R3796,'Liste des Villes'!$B$2:$H$1128,4,FALSE))</f>
        <v>Lanaudière</v>
      </c>
      <c r="T3796" s="2" t="s">
        <v>16379</v>
      </c>
      <c r="U3796" s="2" t="s">
        <v>39</v>
      </c>
      <c r="V3796" s="2" t="s">
        <v>40</v>
      </c>
      <c r="W3796" s="2" t="s">
        <v>16380</v>
      </c>
      <c r="X3796" s="2"/>
      <c r="Y3796" s="2"/>
      <c r="Z3796" s="2"/>
      <c r="AA3796" s="2" t="s">
        <v>708</v>
      </c>
      <c r="AB3796" s="2" t="s">
        <v>14669</v>
      </c>
      <c r="AC3796" s="4" t="s">
        <v>44</v>
      </c>
    </row>
    <row r="3797" spans="1:29" x14ac:dyDescent="0.25">
      <c r="A3797" s="1">
        <v>1288</v>
      </c>
      <c r="B3797" s="17" t="s">
        <v>16381</v>
      </c>
      <c r="C3797" s="2" t="s">
        <v>517</v>
      </c>
      <c r="D3797" s="15" t="s">
        <v>518</v>
      </c>
      <c r="E3797" s="9" t="s">
        <v>519</v>
      </c>
      <c r="F3797" s="9" t="s">
        <v>520</v>
      </c>
      <c r="G3797" s="9" t="s">
        <v>698</v>
      </c>
      <c r="H3797" s="2" t="s">
        <v>60</v>
      </c>
      <c r="I3797" s="3">
        <v>37261</v>
      </c>
      <c r="J3797" s="9" t="str">
        <f t="shared" ca="1" si="62"/>
        <v>21 ans</v>
      </c>
      <c r="K3797" s="2" t="s">
        <v>262</v>
      </c>
      <c r="L3797" s="2" t="str">
        <f>"2184"</f>
        <v>2184</v>
      </c>
      <c r="M3797" s="2"/>
      <c r="N3797" s="2" t="str">
        <f>"RUE LORRAIN"</f>
        <v>RUE LORRAIN</v>
      </c>
      <c r="O3797" s="2" t="s">
        <v>16377</v>
      </c>
      <c r="P3797" s="9" t="str">
        <f>VLOOKUP($O3797,'Liste des Villes'!$B$2:$B$1128,1,FALSE)</f>
        <v>Mascouche</v>
      </c>
      <c r="Q3797" s="9" t="str">
        <f>IFERROR($P3797,PROPER(VLOOKUP($O3797,'Villes en erreur'!$A$2:$B$72,2,FALSE)))</f>
        <v>Mascouche</v>
      </c>
      <c r="R3797" s="9" t="s">
        <v>16378</v>
      </c>
      <c r="S3797" s="9" t="str">
        <f>IF(ISBLANK($R3797),"",VLOOKUP($R3797,'Liste des Villes'!$B$2:$H$1128,4,FALSE))</f>
        <v>Lanaudière</v>
      </c>
      <c r="T3797" s="2" t="s">
        <v>16382</v>
      </c>
      <c r="U3797" s="2" t="s">
        <v>39</v>
      </c>
      <c r="V3797" s="2" t="s">
        <v>40</v>
      </c>
      <c r="W3797" s="2" t="s">
        <v>16383</v>
      </c>
      <c r="X3797" s="2"/>
      <c r="Y3797" s="2"/>
      <c r="Z3797" s="2"/>
      <c r="AA3797" s="2" t="s">
        <v>708</v>
      </c>
      <c r="AB3797" s="2" t="s">
        <v>14669</v>
      </c>
      <c r="AC3797" s="4" t="s">
        <v>44</v>
      </c>
    </row>
    <row r="3798" spans="1:29" x14ac:dyDescent="0.25">
      <c r="A3798" s="1">
        <v>2163</v>
      </c>
      <c r="B3798" s="17" t="s">
        <v>16384</v>
      </c>
      <c r="C3798" s="2" t="s">
        <v>16385</v>
      </c>
      <c r="D3798" s="15" t="s">
        <v>2640</v>
      </c>
      <c r="E3798" s="9" t="s">
        <v>16386</v>
      </c>
      <c r="F3798" s="9" t="s">
        <v>16387</v>
      </c>
      <c r="G3798" s="9" t="s">
        <v>698</v>
      </c>
      <c r="H3798" s="2" t="s">
        <v>60</v>
      </c>
      <c r="I3798" s="3">
        <v>37263</v>
      </c>
      <c r="J3798" s="9" t="str">
        <f t="shared" ca="1" si="62"/>
        <v>21 ans</v>
      </c>
      <c r="K3798" s="2" t="s">
        <v>262</v>
      </c>
      <c r="L3798" s="2" t="str">
        <f>"2215"</f>
        <v>2215</v>
      </c>
      <c r="M3798" s="2"/>
      <c r="N3798" s="2" t="str">
        <f>"RUE LORTIE"</f>
        <v>RUE LORTIE</v>
      </c>
      <c r="O3798" s="2" t="s">
        <v>16377</v>
      </c>
      <c r="P3798" s="9" t="str">
        <f>VLOOKUP($O3798,'Liste des Villes'!$B$2:$B$1128,1,FALSE)</f>
        <v>Mascouche</v>
      </c>
      <c r="Q3798" s="9" t="str">
        <f>IFERROR($P3798,PROPER(VLOOKUP($O3798,'Villes en erreur'!$A$2:$B$72,2,FALSE)))</f>
        <v>Mascouche</v>
      </c>
      <c r="R3798" s="9" t="s">
        <v>16378</v>
      </c>
      <c r="S3798" s="9" t="str">
        <f>IF(ISBLANK($R3798),"",VLOOKUP($R3798,'Liste des Villes'!$B$2:$H$1128,4,FALSE))</f>
        <v>Lanaudière</v>
      </c>
      <c r="T3798" s="2" t="s">
        <v>16388</v>
      </c>
      <c r="U3798" s="2" t="s">
        <v>39</v>
      </c>
      <c r="V3798" s="2" t="s">
        <v>40</v>
      </c>
      <c r="W3798" s="2" t="s">
        <v>16389</v>
      </c>
      <c r="X3798" s="2"/>
      <c r="Y3798" s="2"/>
      <c r="Z3798" s="2"/>
      <c r="AA3798" s="2" t="s">
        <v>708</v>
      </c>
      <c r="AB3798" s="2" t="s">
        <v>14669</v>
      </c>
      <c r="AC3798" s="4" t="s">
        <v>44</v>
      </c>
    </row>
    <row r="3799" spans="1:29" x14ac:dyDescent="0.25">
      <c r="A3799" s="1">
        <v>2254</v>
      </c>
      <c r="B3799" s="17" t="s">
        <v>16390</v>
      </c>
      <c r="C3799" s="2" t="s">
        <v>7535</v>
      </c>
      <c r="D3799" s="15" t="s">
        <v>1367</v>
      </c>
      <c r="E3799" s="9" t="s">
        <v>643</v>
      </c>
      <c r="F3799" s="9" t="s">
        <v>15817</v>
      </c>
      <c r="G3799" s="9" t="s">
        <v>698</v>
      </c>
      <c r="H3799" s="2" t="s">
        <v>60</v>
      </c>
      <c r="I3799" s="3">
        <v>37260</v>
      </c>
      <c r="J3799" s="9" t="str">
        <f t="shared" ca="1" si="62"/>
        <v>21 ans</v>
      </c>
      <c r="K3799" s="2" t="s">
        <v>262</v>
      </c>
      <c r="L3799" s="2" t="str">
        <f>"2176"</f>
        <v>2176</v>
      </c>
      <c r="M3799" s="2"/>
      <c r="N3799" s="2" t="str">
        <f>"RUE LORENZO BOURCIER"</f>
        <v>RUE LORENZO BOURCIER</v>
      </c>
      <c r="O3799" s="2" t="s">
        <v>16377</v>
      </c>
      <c r="P3799" s="9" t="str">
        <f>VLOOKUP($O3799,'Liste des Villes'!$B$2:$B$1128,1,FALSE)</f>
        <v>Mascouche</v>
      </c>
      <c r="Q3799" s="9" t="str">
        <f>IFERROR($P3799,PROPER(VLOOKUP($O3799,'Villes en erreur'!$A$2:$B$72,2,FALSE)))</f>
        <v>Mascouche</v>
      </c>
      <c r="R3799" s="9" t="s">
        <v>16378</v>
      </c>
      <c r="S3799" s="9" t="str">
        <f>IF(ISBLANK($R3799),"",VLOOKUP($R3799,'Liste des Villes'!$B$2:$H$1128,4,FALSE))</f>
        <v>Lanaudière</v>
      </c>
      <c r="T3799" s="2" t="s">
        <v>16391</v>
      </c>
      <c r="U3799" s="2" t="s">
        <v>39</v>
      </c>
      <c r="V3799" s="2" t="s">
        <v>40</v>
      </c>
      <c r="W3799" s="2" t="s">
        <v>16392</v>
      </c>
      <c r="X3799" s="2"/>
      <c r="Y3799" s="2"/>
      <c r="Z3799" s="2"/>
      <c r="AA3799" s="2" t="s">
        <v>708</v>
      </c>
      <c r="AB3799" s="2" t="s">
        <v>14669</v>
      </c>
      <c r="AC3799" s="4" t="s">
        <v>44</v>
      </c>
    </row>
    <row r="3800" spans="1:29" x14ac:dyDescent="0.25">
      <c r="A3800" s="1">
        <v>1825</v>
      </c>
      <c r="B3800" s="17" t="s">
        <v>16393</v>
      </c>
      <c r="C3800" s="2" t="s">
        <v>16394</v>
      </c>
      <c r="D3800" s="15" t="s">
        <v>1932</v>
      </c>
      <c r="E3800" s="9" t="s">
        <v>610</v>
      </c>
      <c r="F3800" s="9" t="s">
        <v>208</v>
      </c>
      <c r="G3800" s="9" t="s">
        <v>698</v>
      </c>
      <c r="H3800" s="2" t="s">
        <v>60</v>
      </c>
      <c r="I3800" s="3">
        <v>37259</v>
      </c>
      <c r="J3800" s="9" t="str">
        <f t="shared" ca="1" si="62"/>
        <v>21 ans</v>
      </c>
      <c r="K3800" s="2" t="s">
        <v>262</v>
      </c>
      <c r="L3800" s="2" t="str">
        <f>"2169"</f>
        <v>2169</v>
      </c>
      <c r="M3800" s="2"/>
      <c r="N3800" s="2" t="str">
        <f>"RUE LIONEL-DAUNAIS"</f>
        <v>RUE LIONEL-DAUNAIS</v>
      </c>
      <c r="O3800" s="2" t="s">
        <v>16377</v>
      </c>
      <c r="P3800" s="9" t="str">
        <f>VLOOKUP($O3800,'Liste des Villes'!$B$2:$B$1128,1,FALSE)</f>
        <v>Mascouche</v>
      </c>
      <c r="Q3800" s="9" t="str">
        <f>IFERROR($P3800,PROPER(VLOOKUP($O3800,'Villes en erreur'!$A$2:$B$72,2,FALSE)))</f>
        <v>Mascouche</v>
      </c>
      <c r="R3800" s="9" t="s">
        <v>16378</v>
      </c>
      <c r="S3800" s="9" t="str">
        <f>IF(ISBLANK($R3800),"",VLOOKUP($R3800,'Liste des Villes'!$B$2:$H$1128,4,FALSE))</f>
        <v>Lanaudière</v>
      </c>
      <c r="T3800" s="2" t="s">
        <v>16395</v>
      </c>
      <c r="U3800" s="2" t="s">
        <v>39</v>
      </c>
      <c r="V3800" s="2" t="s">
        <v>40</v>
      </c>
      <c r="W3800" s="2" t="s">
        <v>16396</v>
      </c>
      <c r="X3800" s="2"/>
      <c r="Y3800" s="2"/>
      <c r="Z3800" s="2"/>
      <c r="AA3800" s="2" t="s">
        <v>708</v>
      </c>
      <c r="AB3800" s="2" t="s">
        <v>14669</v>
      </c>
      <c r="AC3800" s="4" t="s">
        <v>44</v>
      </c>
    </row>
    <row r="3801" spans="1:29" x14ac:dyDescent="0.25">
      <c r="A3801" s="1">
        <v>846</v>
      </c>
      <c r="B3801" s="17" t="s">
        <v>16397</v>
      </c>
      <c r="C3801" s="2" t="s">
        <v>16398</v>
      </c>
      <c r="D3801" s="15" t="s">
        <v>8917</v>
      </c>
      <c r="E3801" s="9" t="s">
        <v>6206</v>
      </c>
      <c r="F3801" s="9" t="s">
        <v>2434</v>
      </c>
      <c r="G3801" s="9" t="s">
        <v>698</v>
      </c>
      <c r="H3801" s="2" t="s">
        <v>60</v>
      </c>
      <c r="I3801" s="3">
        <v>37263</v>
      </c>
      <c r="J3801" s="9" t="str">
        <f t="shared" ca="1" si="62"/>
        <v>21 ans</v>
      </c>
      <c r="K3801" s="2" t="s">
        <v>262</v>
      </c>
      <c r="L3801" s="2" t="str">
        <f>"2202"</f>
        <v>2202</v>
      </c>
      <c r="M3801" s="2"/>
      <c r="N3801" s="2" t="str">
        <f>"RUE LORRAINE"</f>
        <v>RUE LORRAINE</v>
      </c>
      <c r="O3801" s="2" t="s">
        <v>16377</v>
      </c>
      <c r="P3801" s="9" t="str">
        <f>VLOOKUP($O3801,'Liste des Villes'!$B$2:$B$1128,1,FALSE)</f>
        <v>Mascouche</v>
      </c>
      <c r="Q3801" s="9" t="str">
        <f>IFERROR($P3801,PROPER(VLOOKUP($O3801,'Villes en erreur'!$A$2:$B$72,2,FALSE)))</f>
        <v>Mascouche</v>
      </c>
      <c r="R3801" s="9" t="s">
        <v>16378</v>
      </c>
      <c r="S3801" s="9" t="str">
        <f>IF(ISBLANK($R3801),"",VLOOKUP($R3801,'Liste des Villes'!$B$2:$H$1128,4,FALSE))</f>
        <v>Lanaudière</v>
      </c>
      <c r="T3801" s="2" t="s">
        <v>16399</v>
      </c>
      <c r="U3801" s="2" t="s">
        <v>39</v>
      </c>
      <c r="V3801" s="2" t="s">
        <v>40</v>
      </c>
      <c r="W3801" s="2" t="s">
        <v>16400</v>
      </c>
      <c r="X3801" s="2"/>
      <c r="Y3801" s="2"/>
      <c r="Z3801" s="2"/>
      <c r="AA3801" s="2" t="s">
        <v>708</v>
      </c>
      <c r="AB3801" s="2" t="s">
        <v>14669</v>
      </c>
      <c r="AC3801" s="4" t="s">
        <v>44</v>
      </c>
    </row>
    <row r="3802" spans="1:29" x14ac:dyDescent="0.25">
      <c r="A3802" s="1">
        <v>3125</v>
      </c>
      <c r="B3802" s="17" t="s">
        <v>16401</v>
      </c>
      <c r="C3802" s="2" t="s">
        <v>16402</v>
      </c>
      <c r="D3802" s="15" t="s">
        <v>261</v>
      </c>
      <c r="E3802" s="9" t="s">
        <v>12305</v>
      </c>
      <c r="F3802" s="9" t="s">
        <v>259</v>
      </c>
      <c r="G3802" s="9" t="s">
        <v>698</v>
      </c>
      <c r="H3802" s="2" t="s">
        <v>60</v>
      </c>
      <c r="I3802" s="3">
        <v>37264</v>
      </c>
      <c r="J3802" s="9" t="str">
        <f t="shared" ca="1" si="62"/>
        <v>21 ans</v>
      </c>
      <c r="K3802" s="2" t="s">
        <v>262</v>
      </c>
      <c r="L3802" s="2" t="str">
        <f>"2235"</f>
        <v>2235</v>
      </c>
      <c r="M3802" s="2"/>
      <c r="N3802" s="2" t="str">
        <f>"RUE LOUIS-DULONGPRÉ"</f>
        <v>RUE LOUIS-DULONGPRÉ</v>
      </c>
      <c r="O3802" s="2" t="s">
        <v>16377</v>
      </c>
      <c r="P3802" s="9" t="str">
        <f>VLOOKUP($O3802,'Liste des Villes'!$B$2:$B$1128,1,FALSE)</f>
        <v>Mascouche</v>
      </c>
      <c r="Q3802" s="9" t="str">
        <f>IFERROR($P3802,PROPER(VLOOKUP($O3802,'Villes en erreur'!$A$2:$B$72,2,FALSE)))</f>
        <v>Mascouche</v>
      </c>
      <c r="R3802" s="9" t="s">
        <v>16378</v>
      </c>
      <c r="S3802" s="9" t="str">
        <f>IF(ISBLANK($R3802),"",VLOOKUP($R3802,'Liste des Villes'!$B$2:$H$1128,4,FALSE))</f>
        <v>Lanaudière</v>
      </c>
      <c r="T3802" s="2" t="s">
        <v>16403</v>
      </c>
      <c r="U3802" s="2" t="s">
        <v>39</v>
      </c>
      <c r="V3802" s="2" t="s">
        <v>40</v>
      </c>
      <c r="W3802" s="2" t="s">
        <v>16404</v>
      </c>
      <c r="X3802" s="2"/>
      <c r="Y3802" s="2"/>
      <c r="Z3802" s="2"/>
      <c r="AA3802" s="2" t="s">
        <v>708</v>
      </c>
      <c r="AB3802" s="2" t="s">
        <v>709</v>
      </c>
      <c r="AC3802" s="4" t="s">
        <v>44</v>
      </c>
    </row>
    <row r="3803" spans="1:29" x14ac:dyDescent="0.25">
      <c r="A3803" s="1">
        <v>3432</v>
      </c>
      <c r="B3803" s="17" t="s">
        <v>16405</v>
      </c>
      <c r="C3803" s="2" t="s">
        <v>16406</v>
      </c>
      <c r="D3803" s="15" t="s">
        <v>7635</v>
      </c>
      <c r="E3803" s="9" t="s">
        <v>4686</v>
      </c>
      <c r="F3803" s="9" t="s">
        <v>7597</v>
      </c>
      <c r="G3803" s="9" t="s">
        <v>698</v>
      </c>
      <c r="H3803" s="2" t="s">
        <v>60</v>
      </c>
      <c r="I3803" s="3">
        <v>37261</v>
      </c>
      <c r="J3803" s="9" t="str">
        <f t="shared" ca="1" si="62"/>
        <v>21 ans</v>
      </c>
      <c r="K3803" s="2" t="s">
        <v>262</v>
      </c>
      <c r="L3803" s="2" t="str">
        <f>"2183"</f>
        <v>2183</v>
      </c>
      <c r="M3803" s="2"/>
      <c r="N3803" s="2" t="str">
        <f>"RUE LORENZO-BOURCIER"</f>
        <v>RUE LORENZO-BOURCIER</v>
      </c>
      <c r="O3803" s="2" t="s">
        <v>16377</v>
      </c>
      <c r="P3803" s="9" t="str">
        <f>VLOOKUP($O3803,'Liste des Villes'!$B$2:$B$1128,1,FALSE)</f>
        <v>Mascouche</v>
      </c>
      <c r="Q3803" s="9" t="str">
        <f>IFERROR($P3803,PROPER(VLOOKUP($O3803,'Villes en erreur'!$A$2:$B$72,2,FALSE)))</f>
        <v>Mascouche</v>
      </c>
      <c r="R3803" s="9" t="s">
        <v>16378</v>
      </c>
      <c r="S3803" s="9" t="str">
        <f>IF(ISBLANK($R3803),"",VLOOKUP($R3803,'Liste des Villes'!$B$2:$H$1128,4,FALSE))</f>
        <v>Lanaudière</v>
      </c>
      <c r="T3803" s="2" t="s">
        <v>16407</v>
      </c>
      <c r="U3803" s="2" t="s">
        <v>39</v>
      </c>
      <c r="V3803" s="2" t="s">
        <v>40</v>
      </c>
      <c r="W3803" s="2" t="s">
        <v>16408</v>
      </c>
      <c r="X3803" s="2"/>
      <c r="Y3803" s="2"/>
      <c r="Z3803" s="2"/>
      <c r="AA3803" s="2" t="s">
        <v>708</v>
      </c>
      <c r="AB3803" s="2" t="s">
        <v>14669</v>
      </c>
      <c r="AC3803" s="4" t="s">
        <v>44</v>
      </c>
    </row>
    <row r="3804" spans="1:29" x14ac:dyDescent="0.25">
      <c r="A3804" s="1">
        <v>163</v>
      </c>
      <c r="B3804" s="17" t="s">
        <v>16409</v>
      </c>
      <c r="C3804" s="2" t="s">
        <v>16410</v>
      </c>
      <c r="D3804" s="15" t="s">
        <v>2773</v>
      </c>
      <c r="E3804" s="9" t="s">
        <v>15415</v>
      </c>
      <c r="F3804" s="9" t="s">
        <v>1076</v>
      </c>
      <c r="G3804" s="9" t="s">
        <v>698</v>
      </c>
      <c r="H3804" s="2" t="s">
        <v>60</v>
      </c>
      <c r="I3804" s="3">
        <v>37263</v>
      </c>
      <c r="J3804" s="9" t="str">
        <f t="shared" ca="1" si="62"/>
        <v>21 ans</v>
      </c>
      <c r="K3804" s="2" t="s">
        <v>262</v>
      </c>
      <c r="L3804" s="2" t="str">
        <f>"2235"</f>
        <v>2235</v>
      </c>
      <c r="M3804" s="2"/>
      <c r="N3804" s="2" t="str">
        <f>"RUE LOUIS-DANTIN"</f>
        <v>RUE LOUIS-DANTIN</v>
      </c>
      <c r="O3804" s="2" t="s">
        <v>16377</v>
      </c>
      <c r="P3804" s="9" t="str">
        <f>VLOOKUP($O3804,'Liste des Villes'!$B$2:$B$1128,1,FALSE)</f>
        <v>Mascouche</v>
      </c>
      <c r="Q3804" s="9" t="str">
        <f>IFERROR($P3804,PROPER(VLOOKUP($O3804,'Villes en erreur'!$A$2:$B$72,2,FALSE)))</f>
        <v>Mascouche</v>
      </c>
      <c r="R3804" s="9" t="s">
        <v>16378</v>
      </c>
      <c r="S3804" s="9" t="str">
        <f>IF(ISBLANK($R3804),"",VLOOKUP($R3804,'Liste des Villes'!$B$2:$H$1128,4,FALSE))</f>
        <v>Lanaudière</v>
      </c>
      <c r="T3804" s="2" t="s">
        <v>16403</v>
      </c>
      <c r="U3804" s="2" t="s">
        <v>39</v>
      </c>
      <c r="V3804" s="2" t="s">
        <v>40</v>
      </c>
      <c r="W3804" s="2" t="s">
        <v>16411</v>
      </c>
      <c r="X3804" s="2"/>
      <c r="Y3804" s="2"/>
      <c r="Z3804" s="2"/>
      <c r="AA3804" s="2" t="s">
        <v>708</v>
      </c>
      <c r="AB3804" s="2" t="s">
        <v>14669</v>
      </c>
      <c r="AC3804" s="4" t="s">
        <v>44</v>
      </c>
    </row>
    <row r="3805" spans="1:29" x14ac:dyDescent="0.25">
      <c r="A3805" s="1">
        <v>4013</v>
      </c>
      <c r="B3805" s="17" t="s">
        <v>16412</v>
      </c>
      <c r="C3805" s="2" t="s">
        <v>16413</v>
      </c>
      <c r="D3805" s="15" t="s">
        <v>5214</v>
      </c>
      <c r="E3805" s="9" t="s">
        <v>4040</v>
      </c>
      <c r="F3805" s="9" t="s">
        <v>5213</v>
      </c>
      <c r="G3805" s="9" t="s">
        <v>698</v>
      </c>
      <c r="H3805" s="2" t="s">
        <v>60</v>
      </c>
      <c r="I3805" s="3">
        <v>37259</v>
      </c>
      <c r="J3805" s="9" t="str">
        <f t="shared" ca="1" si="62"/>
        <v>21 ans</v>
      </c>
      <c r="K3805" s="2" t="s">
        <v>262</v>
      </c>
      <c r="L3805" s="2" t="str">
        <f>"2172"</f>
        <v>2172</v>
      </c>
      <c r="M3805" s="2"/>
      <c r="N3805" s="2" t="str">
        <f>"RUE LORANGER"</f>
        <v>RUE LORANGER</v>
      </c>
      <c r="O3805" s="2" t="s">
        <v>16377</v>
      </c>
      <c r="P3805" s="9" t="str">
        <f>VLOOKUP($O3805,'Liste des Villes'!$B$2:$B$1128,1,FALSE)</f>
        <v>Mascouche</v>
      </c>
      <c r="Q3805" s="9" t="str">
        <f>IFERROR($P3805,PROPER(VLOOKUP($O3805,'Villes en erreur'!$A$2:$B$72,2,FALSE)))</f>
        <v>Mascouche</v>
      </c>
      <c r="R3805" s="9" t="s">
        <v>16378</v>
      </c>
      <c r="S3805" s="9" t="str">
        <f>IF(ISBLANK($R3805),"",VLOOKUP($R3805,'Liste des Villes'!$B$2:$H$1128,4,FALSE))</f>
        <v>Lanaudière</v>
      </c>
      <c r="T3805" s="2" t="s">
        <v>16414</v>
      </c>
      <c r="U3805" s="2" t="s">
        <v>39</v>
      </c>
      <c r="V3805" s="2" t="s">
        <v>40</v>
      </c>
      <c r="W3805" s="2" t="s">
        <v>16415</v>
      </c>
      <c r="X3805" s="2"/>
      <c r="Y3805" s="2"/>
      <c r="Z3805" s="2"/>
      <c r="AA3805" s="2" t="s">
        <v>708</v>
      </c>
      <c r="AB3805" s="2" t="s">
        <v>14669</v>
      </c>
      <c r="AC3805" s="4" t="s">
        <v>44</v>
      </c>
    </row>
    <row r="3806" spans="1:29" x14ac:dyDescent="0.25">
      <c r="A3806" s="1">
        <v>2212</v>
      </c>
      <c r="B3806" s="17" t="s">
        <v>16416</v>
      </c>
      <c r="C3806" s="2" t="s">
        <v>2565</v>
      </c>
      <c r="D3806" s="15" t="s">
        <v>520</v>
      </c>
      <c r="E3806" s="9" t="s">
        <v>1037</v>
      </c>
      <c r="F3806" s="9" t="s">
        <v>518</v>
      </c>
      <c r="G3806" s="9" t="s">
        <v>698</v>
      </c>
      <c r="H3806" s="2" t="s">
        <v>60</v>
      </c>
      <c r="I3806" s="3">
        <v>37263</v>
      </c>
      <c r="J3806" s="9" t="str">
        <f t="shared" ca="1" si="62"/>
        <v>21 ans</v>
      </c>
      <c r="K3806" s="2" t="s">
        <v>262</v>
      </c>
      <c r="L3806" s="2" t="str">
        <f>"2209"</f>
        <v>2209</v>
      </c>
      <c r="M3806" s="2"/>
      <c r="N3806" s="2" t="str">
        <f>"RUE LORRAINE"</f>
        <v>RUE LORRAINE</v>
      </c>
      <c r="O3806" s="2" t="s">
        <v>16377</v>
      </c>
      <c r="P3806" s="9" t="str">
        <f>VLOOKUP($O3806,'Liste des Villes'!$B$2:$B$1128,1,FALSE)</f>
        <v>Mascouche</v>
      </c>
      <c r="Q3806" s="9" t="str">
        <f>IFERROR($P3806,PROPER(VLOOKUP($O3806,'Villes en erreur'!$A$2:$B$72,2,FALSE)))</f>
        <v>Mascouche</v>
      </c>
      <c r="R3806" s="9" t="s">
        <v>16378</v>
      </c>
      <c r="S3806" s="9" t="str">
        <f>IF(ISBLANK($R3806),"",VLOOKUP($R3806,'Liste des Villes'!$B$2:$H$1128,4,FALSE))</f>
        <v>Lanaudière</v>
      </c>
      <c r="T3806" s="2" t="s">
        <v>16417</v>
      </c>
      <c r="U3806" s="2" t="s">
        <v>39</v>
      </c>
      <c r="V3806" s="2" t="s">
        <v>40</v>
      </c>
      <c r="W3806" s="2" t="s">
        <v>16418</v>
      </c>
      <c r="X3806" s="2"/>
      <c r="Y3806" s="2"/>
      <c r="Z3806" s="2"/>
      <c r="AA3806" s="2" t="s">
        <v>708</v>
      </c>
      <c r="AB3806" s="2" t="s">
        <v>14669</v>
      </c>
      <c r="AC3806" s="4" t="s">
        <v>44</v>
      </c>
    </row>
    <row r="3807" spans="1:29" x14ac:dyDescent="0.25">
      <c r="A3807" s="1">
        <v>1459</v>
      </c>
      <c r="B3807" s="17" t="s">
        <v>16419</v>
      </c>
      <c r="C3807" s="2" t="s">
        <v>6516</v>
      </c>
      <c r="D3807" s="15" t="s">
        <v>584</v>
      </c>
      <c r="E3807" s="9" t="s">
        <v>305</v>
      </c>
      <c r="F3807" s="9" t="s">
        <v>582</v>
      </c>
      <c r="G3807" s="9" t="s">
        <v>698</v>
      </c>
      <c r="H3807" s="2" t="s">
        <v>60</v>
      </c>
      <c r="I3807" s="3">
        <v>37256</v>
      </c>
      <c r="J3807" s="9" t="str">
        <f t="shared" ca="1" si="62"/>
        <v>21 ans</v>
      </c>
      <c r="K3807" s="2" t="s">
        <v>262</v>
      </c>
      <c r="L3807" s="2" t="str">
        <f>"2148"</f>
        <v>2148</v>
      </c>
      <c r="M3807" s="2"/>
      <c r="N3807" s="2" t="str">
        <f>"RUE LIMOGES"</f>
        <v>RUE LIMOGES</v>
      </c>
      <c r="O3807" s="2" t="s">
        <v>16377</v>
      </c>
      <c r="P3807" s="9" t="str">
        <f>VLOOKUP($O3807,'Liste des Villes'!$B$2:$B$1128,1,FALSE)</f>
        <v>Mascouche</v>
      </c>
      <c r="Q3807" s="9" t="str">
        <f>IFERROR($P3807,PROPER(VLOOKUP($O3807,'Villes en erreur'!$A$2:$B$72,2,FALSE)))</f>
        <v>Mascouche</v>
      </c>
      <c r="R3807" s="9" t="s">
        <v>16378</v>
      </c>
      <c r="S3807" s="9" t="str">
        <f>IF(ISBLANK($R3807),"",VLOOKUP($R3807,'Liste des Villes'!$B$2:$H$1128,4,FALSE))</f>
        <v>Lanaudière</v>
      </c>
      <c r="T3807" s="2" t="s">
        <v>16420</v>
      </c>
      <c r="U3807" s="2" t="s">
        <v>39</v>
      </c>
      <c r="V3807" s="2" t="s">
        <v>40</v>
      </c>
      <c r="W3807" s="2" t="s">
        <v>16421</v>
      </c>
      <c r="X3807" s="2"/>
      <c r="Y3807" s="2"/>
      <c r="Z3807" s="2"/>
      <c r="AA3807" s="2" t="s">
        <v>708</v>
      </c>
      <c r="AB3807" s="2" t="s">
        <v>14669</v>
      </c>
      <c r="AC3807" s="4" t="s">
        <v>44</v>
      </c>
    </row>
    <row r="3808" spans="1:29" x14ac:dyDescent="0.25">
      <c r="A3808" s="1">
        <v>3033</v>
      </c>
      <c r="B3808" s="17" t="s">
        <v>16422</v>
      </c>
      <c r="C3808" s="2" t="s">
        <v>16423</v>
      </c>
      <c r="D3808" s="15" t="s">
        <v>15957</v>
      </c>
      <c r="E3808" s="9" t="s">
        <v>277</v>
      </c>
      <c r="F3808" s="9" t="s">
        <v>15956</v>
      </c>
      <c r="G3808" s="9" t="s">
        <v>698</v>
      </c>
      <c r="H3808" s="2" t="s">
        <v>60</v>
      </c>
      <c r="I3808" s="3">
        <v>37263</v>
      </c>
      <c r="J3808" s="9" t="str">
        <f t="shared" ca="1" si="62"/>
        <v>21 ans</v>
      </c>
      <c r="K3808" s="2" t="s">
        <v>262</v>
      </c>
      <c r="L3808" s="2" t="str">
        <f>"2203"</f>
        <v>2203</v>
      </c>
      <c r="M3808" s="2"/>
      <c r="N3808" s="2" t="str">
        <f>"RUE LORRAINE"</f>
        <v>RUE LORRAINE</v>
      </c>
      <c r="O3808" s="2" t="s">
        <v>16377</v>
      </c>
      <c r="P3808" s="9" t="str">
        <f>VLOOKUP($O3808,'Liste des Villes'!$B$2:$B$1128,1,FALSE)</f>
        <v>Mascouche</v>
      </c>
      <c r="Q3808" s="9" t="str">
        <f>IFERROR($P3808,PROPER(VLOOKUP($O3808,'Villes en erreur'!$A$2:$B$72,2,FALSE)))</f>
        <v>Mascouche</v>
      </c>
      <c r="R3808" s="9" t="s">
        <v>16378</v>
      </c>
      <c r="S3808" s="9" t="str">
        <f>IF(ISBLANK($R3808),"",VLOOKUP($R3808,'Liste des Villes'!$B$2:$H$1128,4,FALSE))</f>
        <v>Lanaudière</v>
      </c>
      <c r="T3808" s="2" t="s">
        <v>16424</v>
      </c>
      <c r="U3808" s="2" t="s">
        <v>39</v>
      </c>
      <c r="V3808" s="2" t="s">
        <v>40</v>
      </c>
      <c r="W3808" s="2" t="s">
        <v>16400</v>
      </c>
      <c r="X3808" s="2"/>
      <c r="Y3808" s="2"/>
      <c r="Z3808" s="2"/>
      <c r="AA3808" s="2" t="s">
        <v>708</v>
      </c>
      <c r="AB3808" s="2" t="s">
        <v>14669</v>
      </c>
      <c r="AC3808" s="4" t="s">
        <v>44</v>
      </c>
    </row>
    <row r="3809" spans="1:29" x14ac:dyDescent="0.25">
      <c r="A3809" s="1">
        <v>1334</v>
      </c>
      <c r="B3809" s="17" t="s">
        <v>16425</v>
      </c>
      <c r="C3809" s="2" t="s">
        <v>16426</v>
      </c>
      <c r="D3809" s="15" t="s">
        <v>8191</v>
      </c>
      <c r="E3809" s="9" t="s">
        <v>4740</v>
      </c>
      <c r="F3809" s="9" t="s">
        <v>8189</v>
      </c>
      <c r="G3809" s="9" t="s">
        <v>698</v>
      </c>
      <c r="H3809" s="2" t="s">
        <v>60</v>
      </c>
      <c r="I3809" s="3">
        <v>37258</v>
      </c>
      <c r="J3809" s="9" t="str">
        <f t="shared" ca="1" si="62"/>
        <v>21 ans</v>
      </c>
      <c r="K3809" s="2" t="s">
        <v>262</v>
      </c>
      <c r="L3809" s="2" t="str">
        <f>"2157"</f>
        <v>2157</v>
      </c>
      <c r="M3809" s="2"/>
      <c r="N3809" s="2" t="str">
        <f>"RUE LIONEL-DAUNAIS"</f>
        <v>RUE LIONEL-DAUNAIS</v>
      </c>
      <c r="O3809" s="2" t="s">
        <v>16377</v>
      </c>
      <c r="P3809" s="9" t="str">
        <f>VLOOKUP($O3809,'Liste des Villes'!$B$2:$B$1128,1,FALSE)</f>
        <v>Mascouche</v>
      </c>
      <c r="Q3809" s="9" t="str">
        <f>IFERROR($P3809,PROPER(VLOOKUP($O3809,'Villes en erreur'!$A$2:$B$72,2,FALSE)))</f>
        <v>Mascouche</v>
      </c>
      <c r="R3809" s="9" t="s">
        <v>16378</v>
      </c>
      <c r="S3809" s="9" t="str">
        <f>IF(ISBLANK($R3809),"",VLOOKUP($R3809,'Liste des Villes'!$B$2:$H$1128,4,FALSE))</f>
        <v>Lanaudière</v>
      </c>
      <c r="T3809" s="2" t="s">
        <v>16427</v>
      </c>
      <c r="U3809" s="2" t="s">
        <v>39</v>
      </c>
      <c r="V3809" s="2" t="s">
        <v>40</v>
      </c>
      <c r="W3809" s="2" t="s">
        <v>16428</v>
      </c>
      <c r="X3809" s="2"/>
      <c r="Y3809" s="2"/>
      <c r="Z3809" s="2"/>
      <c r="AA3809" s="2" t="s">
        <v>708</v>
      </c>
      <c r="AB3809" s="2" t="s">
        <v>14669</v>
      </c>
      <c r="AC3809" s="4" t="s">
        <v>44</v>
      </c>
    </row>
    <row r="3810" spans="1:29" x14ac:dyDescent="0.25">
      <c r="A3810" s="1">
        <v>3040</v>
      </c>
      <c r="B3810" s="17" t="s">
        <v>16429</v>
      </c>
      <c r="C3810" s="2" t="s">
        <v>8459</v>
      </c>
      <c r="D3810" s="15" t="s">
        <v>1845</v>
      </c>
      <c r="E3810" s="9" t="s">
        <v>2062</v>
      </c>
      <c r="F3810" s="9" t="s">
        <v>13318</v>
      </c>
      <c r="G3810" s="9" t="s">
        <v>698</v>
      </c>
      <c r="H3810" s="2" t="s">
        <v>60</v>
      </c>
      <c r="I3810" s="3">
        <v>37254</v>
      </c>
      <c r="J3810" s="9" t="str">
        <f t="shared" ca="1" si="62"/>
        <v>21 ans</v>
      </c>
      <c r="K3810" s="2" t="s">
        <v>262</v>
      </c>
      <c r="L3810" s="2" t="str">
        <f>"2147"</f>
        <v>2147</v>
      </c>
      <c r="M3810" s="2"/>
      <c r="N3810" s="2" t="str">
        <f>"RUE LÉVIS"</f>
        <v>RUE LÉVIS</v>
      </c>
      <c r="O3810" s="2" t="s">
        <v>16377</v>
      </c>
      <c r="P3810" s="9" t="str">
        <f>VLOOKUP($O3810,'Liste des Villes'!$B$2:$B$1128,1,FALSE)</f>
        <v>Mascouche</v>
      </c>
      <c r="Q3810" s="9" t="str">
        <f>IFERROR($P3810,PROPER(VLOOKUP($O3810,'Villes en erreur'!$A$2:$B$72,2,FALSE)))</f>
        <v>Mascouche</v>
      </c>
      <c r="R3810" s="9" t="s">
        <v>16378</v>
      </c>
      <c r="S3810" s="9" t="str">
        <f>IF(ISBLANK($R3810),"",VLOOKUP($R3810,'Liste des Villes'!$B$2:$H$1128,4,FALSE))</f>
        <v>Lanaudière</v>
      </c>
      <c r="T3810" s="2" t="s">
        <v>16430</v>
      </c>
      <c r="U3810" s="2" t="s">
        <v>39</v>
      </c>
      <c r="V3810" s="2" t="s">
        <v>40</v>
      </c>
      <c r="W3810" s="2" t="s">
        <v>16431</v>
      </c>
      <c r="X3810" s="2"/>
      <c r="Y3810" s="2"/>
      <c r="Z3810" s="2"/>
      <c r="AA3810" s="2" t="s">
        <v>708</v>
      </c>
      <c r="AB3810" s="2" t="s">
        <v>14669</v>
      </c>
      <c r="AC3810" s="4" t="s">
        <v>44</v>
      </c>
    </row>
    <row r="3811" spans="1:29" x14ac:dyDescent="0.25">
      <c r="A3811" s="1">
        <v>2327</v>
      </c>
      <c r="B3811" s="17" t="s">
        <v>16432</v>
      </c>
      <c r="C3811" s="2" t="s">
        <v>16433</v>
      </c>
      <c r="D3811" s="15" t="s">
        <v>3663</v>
      </c>
      <c r="E3811" s="9" t="s">
        <v>59</v>
      </c>
      <c r="F3811" s="9" t="s">
        <v>657</v>
      </c>
      <c r="G3811" s="9" t="s">
        <v>698</v>
      </c>
      <c r="H3811" s="2" t="s">
        <v>60</v>
      </c>
      <c r="I3811" s="3">
        <v>37261</v>
      </c>
      <c r="J3811" s="9" t="str">
        <f t="shared" ca="1" si="62"/>
        <v>21 ans</v>
      </c>
      <c r="K3811" s="2" t="s">
        <v>262</v>
      </c>
      <c r="L3811" s="2" t="str">
        <f>"2185"</f>
        <v>2185</v>
      </c>
      <c r="M3811" s="2"/>
      <c r="N3811" s="2" t="str">
        <f>"RUE LORRAIN"</f>
        <v>RUE LORRAIN</v>
      </c>
      <c r="O3811" s="2" t="s">
        <v>16377</v>
      </c>
      <c r="P3811" s="9" t="str">
        <f>VLOOKUP($O3811,'Liste des Villes'!$B$2:$B$1128,1,FALSE)</f>
        <v>Mascouche</v>
      </c>
      <c r="Q3811" s="9" t="str">
        <f>IFERROR($P3811,PROPER(VLOOKUP($O3811,'Villes en erreur'!$A$2:$B$72,2,FALSE)))</f>
        <v>Mascouche</v>
      </c>
      <c r="R3811" s="9" t="s">
        <v>16378</v>
      </c>
      <c r="S3811" s="9" t="str">
        <f>IF(ISBLANK($R3811),"",VLOOKUP($R3811,'Liste des Villes'!$B$2:$H$1128,4,FALSE))</f>
        <v>Lanaudière</v>
      </c>
      <c r="T3811" s="2" t="s">
        <v>16382</v>
      </c>
      <c r="U3811" s="2" t="s">
        <v>39</v>
      </c>
      <c r="V3811" s="2" t="s">
        <v>40</v>
      </c>
      <c r="W3811" s="2" t="s">
        <v>16434</v>
      </c>
      <c r="X3811" s="2"/>
      <c r="Y3811" s="2"/>
      <c r="Z3811" s="2"/>
      <c r="AA3811" s="2" t="s">
        <v>708</v>
      </c>
      <c r="AB3811" s="2" t="s">
        <v>14669</v>
      </c>
      <c r="AC3811" s="4" t="s">
        <v>44</v>
      </c>
    </row>
    <row r="3812" spans="1:29" x14ac:dyDescent="0.25">
      <c r="A3812" s="1">
        <v>183</v>
      </c>
      <c r="B3812" s="17" t="s">
        <v>16435</v>
      </c>
      <c r="C3812" s="2" t="s">
        <v>8960</v>
      </c>
      <c r="D3812" s="15" t="s">
        <v>6669</v>
      </c>
      <c r="E3812" s="9" t="s">
        <v>8075</v>
      </c>
      <c r="F3812" s="9" t="s">
        <v>449</v>
      </c>
      <c r="G3812" s="9" t="s">
        <v>698</v>
      </c>
      <c r="H3812" s="2" t="s">
        <v>60</v>
      </c>
      <c r="I3812" s="3">
        <v>37260</v>
      </c>
      <c r="J3812" s="9" t="str">
        <f t="shared" ca="1" si="62"/>
        <v>21 ans</v>
      </c>
      <c r="K3812" s="2" t="s">
        <v>262</v>
      </c>
      <c r="L3812" s="2" t="str">
        <f>"2175"</f>
        <v>2175</v>
      </c>
      <c r="M3812" s="2"/>
      <c r="N3812" s="2" t="str">
        <f>"RUE LORANGER"</f>
        <v>RUE LORANGER</v>
      </c>
      <c r="O3812" s="2" t="s">
        <v>16377</v>
      </c>
      <c r="P3812" s="9" t="str">
        <f>VLOOKUP($O3812,'Liste des Villes'!$B$2:$B$1128,1,FALSE)</f>
        <v>Mascouche</v>
      </c>
      <c r="Q3812" s="9" t="str">
        <f>IFERROR($P3812,PROPER(VLOOKUP($O3812,'Villes en erreur'!$A$2:$B$72,2,FALSE)))</f>
        <v>Mascouche</v>
      </c>
      <c r="R3812" s="9" t="s">
        <v>16378</v>
      </c>
      <c r="S3812" s="9" t="str">
        <f>IF(ISBLANK($R3812),"",VLOOKUP($R3812,'Liste des Villes'!$B$2:$H$1128,4,FALSE))</f>
        <v>Lanaudière</v>
      </c>
      <c r="T3812" s="2" t="s">
        <v>16436</v>
      </c>
      <c r="U3812" s="2" t="s">
        <v>39</v>
      </c>
      <c r="V3812" s="2" t="s">
        <v>40</v>
      </c>
      <c r="W3812" s="2" t="s">
        <v>16437</v>
      </c>
      <c r="X3812" s="2"/>
      <c r="Y3812" s="2"/>
      <c r="Z3812" s="2"/>
      <c r="AA3812" s="2" t="s">
        <v>708</v>
      </c>
      <c r="AB3812" s="2" t="s">
        <v>14669</v>
      </c>
      <c r="AC3812" s="4" t="s">
        <v>44</v>
      </c>
    </row>
    <row r="3813" spans="1:29" x14ac:dyDescent="0.25">
      <c r="A3813" s="1">
        <v>2702</v>
      </c>
      <c r="B3813" s="17" t="s">
        <v>16438</v>
      </c>
      <c r="C3813" s="2" t="s">
        <v>16439</v>
      </c>
      <c r="D3813" s="15" t="s">
        <v>5758</v>
      </c>
      <c r="E3813" s="9" t="s">
        <v>253</v>
      </c>
      <c r="F3813" s="9" t="s">
        <v>5757</v>
      </c>
      <c r="G3813" s="9" t="s">
        <v>698</v>
      </c>
      <c r="H3813" s="2" t="s">
        <v>60</v>
      </c>
      <c r="I3813" s="3">
        <v>37263</v>
      </c>
      <c r="J3813" s="9" t="str">
        <f t="shared" ca="1" si="62"/>
        <v>21 ans</v>
      </c>
      <c r="K3813" s="2" t="s">
        <v>262</v>
      </c>
      <c r="L3813" s="2" t="str">
        <f>"2222"</f>
        <v>2222</v>
      </c>
      <c r="M3813" s="2"/>
      <c r="N3813" s="2" t="str">
        <f>"RUE LOUIS JOSEPH PAPINEAU"</f>
        <v>RUE LOUIS JOSEPH PAPINEAU</v>
      </c>
      <c r="O3813" s="2" t="s">
        <v>16377</v>
      </c>
      <c r="P3813" s="9" t="str">
        <f>VLOOKUP($O3813,'Liste des Villes'!$B$2:$B$1128,1,FALSE)</f>
        <v>Mascouche</v>
      </c>
      <c r="Q3813" s="9" t="str">
        <f>IFERROR($P3813,PROPER(VLOOKUP($O3813,'Villes en erreur'!$A$2:$B$72,2,FALSE)))</f>
        <v>Mascouche</v>
      </c>
      <c r="R3813" s="9" t="s">
        <v>16378</v>
      </c>
      <c r="S3813" s="9" t="str">
        <f>IF(ISBLANK($R3813),"",VLOOKUP($R3813,'Liste des Villes'!$B$2:$H$1128,4,FALSE))</f>
        <v>Lanaudière</v>
      </c>
      <c r="T3813" s="2" t="s">
        <v>16440</v>
      </c>
      <c r="U3813" s="2" t="s">
        <v>39</v>
      </c>
      <c r="V3813" s="2" t="s">
        <v>40</v>
      </c>
      <c r="W3813" s="2" t="s">
        <v>16441</v>
      </c>
      <c r="X3813" s="2"/>
      <c r="Y3813" s="2"/>
      <c r="Z3813" s="2"/>
      <c r="AA3813" s="2" t="s">
        <v>708</v>
      </c>
      <c r="AB3813" s="2" t="s">
        <v>14669</v>
      </c>
      <c r="AC3813" s="4" t="s">
        <v>44</v>
      </c>
    </row>
    <row r="3814" spans="1:29" x14ac:dyDescent="0.25">
      <c r="A3814" s="1">
        <v>1546</v>
      </c>
      <c r="B3814" s="17" t="s">
        <v>16442</v>
      </c>
      <c r="C3814" s="2" t="s">
        <v>561</v>
      </c>
      <c r="D3814" s="15" t="s">
        <v>562</v>
      </c>
      <c r="E3814" s="9" t="s">
        <v>563</v>
      </c>
      <c r="F3814" s="9" t="s">
        <v>2551</v>
      </c>
      <c r="G3814" s="9" t="s">
        <v>698</v>
      </c>
      <c r="H3814" s="2" t="s">
        <v>60</v>
      </c>
      <c r="I3814" s="3">
        <v>37257</v>
      </c>
      <c r="J3814" s="9" t="str">
        <f t="shared" ca="1" si="62"/>
        <v>21 ans</v>
      </c>
      <c r="K3814" s="2" t="s">
        <v>262</v>
      </c>
      <c r="L3814" s="2" t="str">
        <f>"2153"</f>
        <v>2153</v>
      </c>
      <c r="M3814" s="2"/>
      <c r="N3814" s="2" t="str">
        <f>"RUE LIMOGES"</f>
        <v>RUE LIMOGES</v>
      </c>
      <c r="O3814" s="2" t="s">
        <v>16377</v>
      </c>
      <c r="P3814" s="9" t="str">
        <f>VLOOKUP($O3814,'Liste des Villes'!$B$2:$B$1128,1,FALSE)</f>
        <v>Mascouche</v>
      </c>
      <c r="Q3814" s="9" t="str">
        <f>IFERROR($P3814,PROPER(VLOOKUP($O3814,'Villes en erreur'!$A$2:$B$72,2,FALSE)))</f>
        <v>Mascouche</v>
      </c>
      <c r="R3814" s="9" t="s">
        <v>16378</v>
      </c>
      <c r="S3814" s="9" t="str">
        <f>IF(ISBLANK($R3814),"",VLOOKUP($R3814,'Liste des Villes'!$B$2:$H$1128,4,FALSE))</f>
        <v>Lanaudière</v>
      </c>
      <c r="T3814" s="2" t="s">
        <v>16443</v>
      </c>
      <c r="U3814" s="2" t="s">
        <v>39</v>
      </c>
      <c r="V3814" s="2" t="s">
        <v>40</v>
      </c>
      <c r="W3814" s="2" t="s">
        <v>16444</v>
      </c>
      <c r="X3814" s="2"/>
      <c r="Y3814" s="2"/>
      <c r="Z3814" s="2"/>
      <c r="AA3814" s="2" t="s">
        <v>708</v>
      </c>
      <c r="AB3814" s="2" t="s">
        <v>14669</v>
      </c>
      <c r="AC3814" s="4" t="s">
        <v>44</v>
      </c>
    </row>
    <row r="3815" spans="1:29" x14ac:dyDescent="0.25">
      <c r="A3815" s="1">
        <v>3153</v>
      </c>
      <c r="B3815" s="17" t="s">
        <v>16445</v>
      </c>
      <c r="C3815" s="2" t="s">
        <v>16446</v>
      </c>
      <c r="D3815" s="15" t="s">
        <v>11081</v>
      </c>
      <c r="E3815" s="9" t="s">
        <v>1120</v>
      </c>
      <c r="F3815" s="9" t="s">
        <v>11080</v>
      </c>
      <c r="G3815" s="9" t="s">
        <v>698</v>
      </c>
      <c r="H3815" s="2" t="s">
        <v>60</v>
      </c>
      <c r="I3815" s="3">
        <v>37258</v>
      </c>
      <c r="J3815" s="9" t="str">
        <f t="shared" ca="1" si="62"/>
        <v>21 ans</v>
      </c>
      <c r="K3815" s="2" t="s">
        <v>262</v>
      </c>
      <c r="L3815" s="2" t="str">
        <f>"2157"</f>
        <v>2157</v>
      </c>
      <c r="M3815" s="2"/>
      <c r="N3815" s="2" t="str">
        <f>"RUE LIONEL-DAUNAIS"</f>
        <v>RUE LIONEL-DAUNAIS</v>
      </c>
      <c r="O3815" s="2" t="s">
        <v>16377</v>
      </c>
      <c r="P3815" s="9" t="str">
        <f>VLOOKUP($O3815,'Liste des Villes'!$B$2:$B$1128,1,FALSE)</f>
        <v>Mascouche</v>
      </c>
      <c r="Q3815" s="9" t="str">
        <f>IFERROR($P3815,PROPER(VLOOKUP($O3815,'Villes en erreur'!$A$2:$B$72,2,FALSE)))</f>
        <v>Mascouche</v>
      </c>
      <c r="R3815" s="9" t="s">
        <v>16378</v>
      </c>
      <c r="S3815" s="9" t="str">
        <f>IF(ISBLANK($R3815),"",VLOOKUP($R3815,'Liste des Villes'!$B$2:$H$1128,4,FALSE))</f>
        <v>Lanaudière</v>
      </c>
      <c r="T3815" s="2" t="s">
        <v>16427</v>
      </c>
      <c r="U3815" s="2" t="s">
        <v>39</v>
      </c>
      <c r="V3815" s="2" t="s">
        <v>40</v>
      </c>
      <c r="W3815" s="2" t="s">
        <v>16447</v>
      </c>
      <c r="X3815" s="2"/>
      <c r="Y3815" s="2"/>
      <c r="Z3815" s="2"/>
      <c r="AA3815" s="2" t="s">
        <v>708</v>
      </c>
      <c r="AB3815" s="2" t="s">
        <v>14669</v>
      </c>
      <c r="AC3815" s="4" t="s">
        <v>44</v>
      </c>
    </row>
    <row r="3816" spans="1:29" x14ac:dyDescent="0.25">
      <c r="A3816" s="1">
        <v>2600</v>
      </c>
      <c r="B3816" s="17" t="s">
        <v>16448</v>
      </c>
      <c r="C3816" s="2" t="s">
        <v>16449</v>
      </c>
      <c r="D3816" s="15" t="s">
        <v>7870</v>
      </c>
      <c r="E3816" s="9" t="s">
        <v>1246</v>
      </c>
      <c r="F3816" s="9" t="s">
        <v>7868</v>
      </c>
      <c r="G3816" s="9" t="s">
        <v>698</v>
      </c>
      <c r="H3816" s="2" t="s">
        <v>60</v>
      </c>
      <c r="I3816" s="3">
        <v>37260</v>
      </c>
      <c r="J3816" s="9" t="str">
        <f t="shared" ca="1" si="62"/>
        <v>21 ans</v>
      </c>
      <c r="K3816" s="2" t="s">
        <v>262</v>
      </c>
      <c r="L3816" s="2" t="str">
        <f>"2172"</f>
        <v>2172</v>
      </c>
      <c r="M3816" s="2"/>
      <c r="N3816" s="2" t="str">
        <f>"RUE LORANGER"</f>
        <v>RUE LORANGER</v>
      </c>
      <c r="O3816" s="2" t="s">
        <v>16377</v>
      </c>
      <c r="P3816" s="9" t="str">
        <f>VLOOKUP($O3816,'Liste des Villes'!$B$2:$B$1128,1,FALSE)</f>
        <v>Mascouche</v>
      </c>
      <c r="Q3816" s="9" t="str">
        <f>IFERROR($P3816,PROPER(VLOOKUP($O3816,'Villes en erreur'!$A$2:$B$72,2,FALSE)))</f>
        <v>Mascouche</v>
      </c>
      <c r="R3816" s="9" t="s">
        <v>16378</v>
      </c>
      <c r="S3816" s="9" t="str">
        <f>IF(ISBLANK($R3816),"",VLOOKUP($R3816,'Liste des Villes'!$B$2:$H$1128,4,FALSE))</f>
        <v>Lanaudière</v>
      </c>
      <c r="T3816" s="2" t="s">
        <v>16436</v>
      </c>
      <c r="U3816" s="2" t="s">
        <v>39</v>
      </c>
      <c r="V3816" s="2" t="s">
        <v>40</v>
      </c>
      <c r="W3816" s="2" t="s">
        <v>16450</v>
      </c>
      <c r="X3816" s="2"/>
      <c r="Y3816" s="2"/>
      <c r="Z3816" s="2"/>
      <c r="AA3816" s="2" t="s">
        <v>708</v>
      </c>
      <c r="AB3816" s="2" t="s">
        <v>14669</v>
      </c>
      <c r="AC3816" s="4" t="s">
        <v>44</v>
      </c>
    </row>
    <row r="3817" spans="1:29" x14ac:dyDescent="0.25">
      <c r="A3817" s="1">
        <v>2162</v>
      </c>
      <c r="B3817" s="17" t="s">
        <v>16451</v>
      </c>
      <c r="C3817" s="2" t="s">
        <v>3102</v>
      </c>
      <c r="D3817" s="15" t="s">
        <v>657</v>
      </c>
      <c r="E3817" s="9" t="s">
        <v>452</v>
      </c>
      <c r="F3817" s="9" t="s">
        <v>14750</v>
      </c>
      <c r="G3817" s="9" t="s">
        <v>698</v>
      </c>
      <c r="H3817" s="2" t="s">
        <v>60</v>
      </c>
      <c r="I3817" s="3">
        <v>37254</v>
      </c>
      <c r="J3817" s="9" t="str">
        <f t="shared" ca="1" si="62"/>
        <v>21 ans</v>
      </c>
      <c r="K3817" s="2" t="s">
        <v>262</v>
      </c>
      <c r="L3817" s="2" t="str">
        <f>"2141"</f>
        <v>2141</v>
      </c>
      <c r="M3817" s="2"/>
      <c r="N3817" s="2" t="str">
        <f>"RUE LEVAC"</f>
        <v>RUE LEVAC</v>
      </c>
      <c r="O3817" s="2" t="s">
        <v>16377</v>
      </c>
      <c r="P3817" s="9" t="str">
        <f>VLOOKUP($O3817,'Liste des Villes'!$B$2:$B$1128,1,FALSE)</f>
        <v>Mascouche</v>
      </c>
      <c r="Q3817" s="9" t="str">
        <f>IFERROR($P3817,PROPER(VLOOKUP($O3817,'Villes en erreur'!$A$2:$B$72,2,FALSE)))</f>
        <v>Mascouche</v>
      </c>
      <c r="R3817" s="9" t="s">
        <v>16378</v>
      </c>
      <c r="S3817" s="9" t="str">
        <f>IF(ISBLANK($R3817),"",VLOOKUP($R3817,'Liste des Villes'!$B$2:$H$1128,4,FALSE))</f>
        <v>Lanaudière</v>
      </c>
      <c r="T3817" s="2" t="s">
        <v>16430</v>
      </c>
      <c r="U3817" s="2" t="s">
        <v>39</v>
      </c>
      <c r="V3817" s="2" t="s">
        <v>40</v>
      </c>
      <c r="W3817" s="2" t="s">
        <v>16452</v>
      </c>
      <c r="X3817" s="2"/>
      <c r="Y3817" s="2"/>
      <c r="Z3817" s="2"/>
      <c r="AA3817" s="2" t="s">
        <v>708</v>
      </c>
      <c r="AB3817" s="2" t="s">
        <v>14669</v>
      </c>
      <c r="AC3817" s="4" t="s">
        <v>44</v>
      </c>
    </row>
    <row r="3818" spans="1:29" x14ac:dyDescent="0.25">
      <c r="A3818" s="1">
        <v>2233</v>
      </c>
      <c r="B3818" s="17" t="s">
        <v>16453</v>
      </c>
      <c r="C3818" s="2" t="s">
        <v>16454</v>
      </c>
      <c r="D3818" s="15" t="s">
        <v>8209</v>
      </c>
      <c r="E3818" s="9" t="s">
        <v>7553</v>
      </c>
      <c r="F3818" s="9" t="s">
        <v>8208</v>
      </c>
      <c r="G3818" s="9" t="s">
        <v>698</v>
      </c>
      <c r="H3818" s="2" t="s">
        <v>60</v>
      </c>
      <c r="I3818" s="3">
        <v>37260</v>
      </c>
      <c r="J3818" s="9" t="str">
        <f t="shared" ca="1" si="62"/>
        <v>21 ans</v>
      </c>
      <c r="K3818" s="2" t="s">
        <v>262</v>
      </c>
      <c r="L3818" s="2" t="str">
        <f>"2176"</f>
        <v>2176</v>
      </c>
      <c r="M3818" s="2"/>
      <c r="N3818" s="2" t="str">
        <f>"RUE LORANGER"</f>
        <v>RUE LORANGER</v>
      </c>
      <c r="O3818" s="2" t="s">
        <v>16377</v>
      </c>
      <c r="P3818" s="9" t="str">
        <f>VLOOKUP($O3818,'Liste des Villes'!$B$2:$B$1128,1,FALSE)</f>
        <v>Mascouche</v>
      </c>
      <c r="Q3818" s="9" t="str">
        <f>IFERROR($P3818,PROPER(VLOOKUP($O3818,'Villes en erreur'!$A$2:$B$72,2,FALSE)))</f>
        <v>Mascouche</v>
      </c>
      <c r="R3818" s="9" t="s">
        <v>16378</v>
      </c>
      <c r="S3818" s="9" t="str">
        <f>IF(ISBLANK($R3818),"",VLOOKUP($R3818,'Liste des Villes'!$B$2:$H$1128,4,FALSE))</f>
        <v>Lanaudière</v>
      </c>
      <c r="T3818" s="2" t="s">
        <v>16455</v>
      </c>
      <c r="U3818" s="2" t="s">
        <v>39</v>
      </c>
      <c r="V3818" s="2" t="s">
        <v>40</v>
      </c>
      <c r="W3818" s="2" t="s">
        <v>16456</v>
      </c>
      <c r="X3818" s="2"/>
      <c r="Y3818" s="2"/>
      <c r="Z3818" s="2"/>
      <c r="AA3818" s="2" t="s">
        <v>708</v>
      </c>
      <c r="AB3818" s="2" t="s">
        <v>14669</v>
      </c>
      <c r="AC3818" s="4" t="s">
        <v>44</v>
      </c>
    </row>
    <row r="3819" spans="1:29" x14ac:dyDescent="0.25">
      <c r="A3819" s="1">
        <v>3408</v>
      </c>
      <c r="B3819" s="17" t="s">
        <v>16457</v>
      </c>
      <c r="C3819" s="2" t="s">
        <v>16458</v>
      </c>
      <c r="D3819" s="15" t="s">
        <v>9834</v>
      </c>
      <c r="E3819" s="9" t="s">
        <v>509</v>
      </c>
      <c r="F3819" s="9" t="s">
        <v>510</v>
      </c>
      <c r="G3819" s="9" t="s">
        <v>698</v>
      </c>
      <c r="H3819" s="2" t="s">
        <v>60</v>
      </c>
      <c r="I3819" s="3">
        <v>37261</v>
      </c>
      <c r="J3819" s="9" t="str">
        <f t="shared" ca="1" si="62"/>
        <v>21 ans</v>
      </c>
      <c r="K3819" s="2" t="s">
        <v>262</v>
      </c>
      <c r="L3819" s="2" t="str">
        <f>"2180"</f>
        <v>2180</v>
      </c>
      <c r="M3819" s="2"/>
      <c r="N3819" s="2" t="str">
        <f>"RUE LORENZO-BOURCIER"</f>
        <v>RUE LORENZO-BOURCIER</v>
      </c>
      <c r="O3819" s="2" t="s">
        <v>16377</v>
      </c>
      <c r="P3819" s="9" t="str">
        <f>VLOOKUP($O3819,'Liste des Villes'!$B$2:$B$1128,1,FALSE)</f>
        <v>Mascouche</v>
      </c>
      <c r="Q3819" s="9" t="str">
        <f>IFERROR($P3819,PROPER(VLOOKUP($O3819,'Villes en erreur'!$A$2:$B$72,2,FALSE)))</f>
        <v>Mascouche</v>
      </c>
      <c r="R3819" s="9" t="s">
        <v>16378</v>
      </c>
      <c r="S3819" s="9" t="str">
        <f>IF(ISBLANK($R3819),"",VLOOKUP($R3819,'Liste des Villes'!$B$2:$H$1128,4,FALSE))</f>
        <v>Lanaudière</v>
      </c>
      <c r="T3819" s="2" t="s">
        <v>16459</v>
      </c>
      <c r="U3819" s="2" t="s">
        <v>39</v>
      </c>
      <c r="V3819" s="2" t="s">
        <v>40</v>
      </c>
      <c r="W3819" s="2" t="s">
        <v>16460</v>
      </c>
      <c r="X3819" s="2"/>
      <c r="Y3819" s="2"/>
      <c r="Z3819" s="2"/>
      <c r="AA3819" s="2" t="s">
        <v>708</v>
      </c>
      <c r="AB3819" s="2" t="s">
        <v>14669</v>
      </c>
      <c r="AC3819" s="4" t="s">
        <v>44</v>
      </c>
    </row>
    <row r="3820" spans="1:29" x14ac:dyDescent="0.25">
      <c r="A3820" s="1">
        <v>2458</v>
      </c>
      <c r="B3820" s="17" t="s">
        <v>16461</v>
      </c>
      <c r="C3820" s="2" t="s">
        <v>16462</v>
      </c>
      <c r="D3820" s="15" t="s">
        <v>13301</v>
      </c>
      <c r="E3820" s="9" t="s">
        <v>1246</v>
      </c>
      <c r="F3820" s="9" t="s">
        <v>2434</v>
      </c>
      <c r="G3820" s="9" t="s">
        <v>698</v>
      </c>
      <c r="H3820" s="2" t="s">
        <v>60</v>
      </c>
      <c r="I3820" s="3">
        <v>37263</v>
      </c>
      <c r="J3820" s="9" t="str">
        <f t="shared" ca="1" si="62"/>
        <v>21 ans</v>
      </c>
      <c r="K3820" s="2" t="s">
        <v>262</v>
      </c>
      <c r="L3820" s="2" t="str">
        <f>"2230"</f>
        <v>2230</v>
      </c>
      <c r="M3820" s="2"/>
      <c r="N3820" s="2" t="str">
        <f>"RUE LOUIS-CYR"</f>
        <v>RUE LOUIS-CYR</v>
      </c>
      <c r="O3820" s="2" t="s">
        <v>16377</v>
      </c>
      <c r="P3820" s="9" t="str">
        <f>VLOOKUP($O3820,'Liste des Villes'!$B$2:$B$1128,1,FALSE)</f>
        <v>Mascouche</v>
      </c>
      <c r="Q3820" s="9" t="str">
        <f>IFERROR($P3820,PROPER(VLOOKUP($O3820,'Villes en erreur'!$A$2:$B$72,2,FALSE)))</f>
        <v>Mascouche</v>
      </c>
      <c r="R3820" s="9" t="s">
        <v>16378</v>
      </c>
      <c r="S3820" s="9" t="str">
        <f>IF(ISBLANK($R3820),"",VLOOKUP($R3820,'Liste des Villes'!$B$2:$H$1128,4,FALSE))</f>
        <v>Lanaudière</v>
      </c>
      <c r="T3820" s="2" t="s">
        <v>16463</v>
      </c>
      <c r="U3820" s="2" t="s">
        <v>39</v>
      </c>
      <c r="V3820" s="2" t="s">
        <v>40</v>
      </c>
      <c r="W3820" s="2" t="s">
        <v>16464</v>
      </c>
      <c r="X3820" s="2"/>
      <c r="Y3820" s="2"/>
      <c r="Z3820" s="2"/>
      <c r="AA3820" s="2" t="s">
        <v>708</v>
      </c>
      <c r="AB3820" s="2" t="s">
        <v>14669</v>
      </c>
      <c r="AC3820" s="4" t="s">
        <v>44</v>
      </c>
    </row>
    <row r="3821" spans="1:29" x14ac:dyDescent="0.25">
      <c r="A3821" s="1">
        <v>2750</v>
      </c>
      <c r="B3821" s="17" t="s">
        <v>16465</v>
      </c>
      <c r="C3821" s="2" t="s">
        <v>16466</v>
      </c>
      <c r="D3821" s="15" t="s">
        <v>5322</v>
      </c>
      <c r="E3821" s="9" t="s">
        <v>7055</v>
      </c>
      <c r="F3821" s="9" t="s">
        <v>4353</v>
      </c>
      <c r="G3821" s="9" t="s">
        <v>698</v>
      </c>
      <c r="H3821" s="2" t="s">
        <v>60</v>
      </c>
      <c r="I3821" s="3">
        <v>37263</v>
      </c>
      <c r="J3821" s="9" t="str">
        <f t="shared" ca="1" si="62"/>
        <v>21 ans</v>
      </c>
      <c r="K3821" s="2" t="s">
        <v>262</v>
      </c>
      <c r="L3821" s="2" t="str">
        <f>"2228"</f>
        <v>2228</v>
      </c>
      <c r="M3821" s="2"/>
      <c r="N3821" s="2" t="str">
        <f>"RUE LOUIS RITCHIE"</f>
        <v>RUE LOUIS RITCHIE</v>
      </c>
      <c r="O3821" s="2" t="s">
        <v>16377</v>
      </c>
      <c r="P3821" s="9" t="str">
        <f>VLOOKUP($O3821,'Liste des Villes'!$B$2:$B$1128,1,FALSE)</f>
        <v>Mascouche</v>
      </c>
      <c r="Q3821" s="9" t="str">
        <f>IFERROR($P3821,PROPER(VLOOKUP($O3821,'Villes en erreur'!$A$2:$B$72,2,FALSE)))</f>
        <v>Mascouche</v>
      </c>
      <c r="R3821" s="9" t="s">
        <v>16378</v>
      </c>
      <c r="S3821" s="9" t="str">
        <f>IF(ISBLANK($R3821),"",VLOOKUP($R3821,'Liste des Villes'!$B$2:$H$1128,4,FALSE))</f>
        <v>Lanaudière</v>
      </c>
      <c r="T3821" s="2" t="s">
        <v>16440</v>
      </c>
      <c r="U3821" s="2" t="s">
        <v>39</v>
      </c>
      <c r="V3821" s="2" t="s">
        <v>40</v>
      </c>
      <c r="W3821" s="2" t="s">
        <v>16467</v>
      </c>
      <c r="X3821" s="2"/>
      <c r="Y3821" s="2"/>
      <c r="Z3821" s="2"/>
      <c r="AA3821" s="2" t="s">
        <v>708</v>
      </c>
      <c r="AB3821" s="2" t="s">
        <v>14669</v>
      </c>
      <c r="AC3821" s="4" t="s">
        <v>44</v>
      </c>
    </row>
    <row r="3822" spans="1:29" x14ac:dyDescent="0.25">
      <c r="A3822" s="1">
        <v>2707</v>
      </c>
      <c r="B3822" s="17" t="s">
        <v>16468</v>
      </c>
      <c r="C3822" s="2" t="s">
        <v>5393</v>
      </c>
      <c r="D3822" s="15" t="s">
        <v>2698</v>
      </c>
      <c r="E3822" s="9" t="s">
        <v>4988</v>
      </c>
      <c r="F3822" s="9" t="s">
        <v>5394</v>
      </c>
      <c r="G3822" s="9" t="s">
        <v>698</v>
      </c>
      <c r="H3822" s="2" t="s">
        <v>60</v>
      </c>
      <c r="I3822" s="3">
        <v>37263</v>
      </c>
      <c r="J3822" s="9" t="str">
        <f t="shared" ca="1" si="62"/>
        <v>21 ans</v>
      </c>
      <c r="K3822" s="2" t="s">
        <v>262</v>
      </c>
      <c r="L3822" s="2" t="str">
        <f>"2193"</f>
        <v>2193</v>
      </c>
      <c r="M3822" s="2"/>
      <c r="N3822" s="2" t="str">
        <f>"RUE LORRAIN"</f>
        <v>RUE LORRAIN</v>
      </c>
      <c r="O3822" s="2" t="s">
        <v>16377</v>
      </c>
      <c r="P3822" s="9" t="str">
        <f>VLOOKUP($O3822,'Liste des Villes'!$B$2:$B$1128,1,FALSE)</f>
        <v>Mascouche</v>
      </c>
      <c r="Q3822" s="9" t="str">
        <f>IFERROR($P3822,PROPER(VLOOKUP($O3822,'Villes en erreur'!$A$2:$B$72,2,FALSE)))</f>
        <v>Mascouche</v>
      </c>
      <c r="R3822" s="9" t="s">
        <v>16378</v>
      </c>
      <c r="S3822" s="9" t="str">
        <f>IF(ISBLANK($R3822),"",VLOOKUP($R3822,'Liste des Villes'!$B$2:$H$1128,4,FALSE))</f>
        <v>Lanaudière</v>
      </c>
      <c r="T3822" s="2" t="s">
        <v>16469</v>
      </c>
      <c r="U3822" s="2" t="s">
        <v>39</v>
      </c>
      <c r="V3822" s="2" t="s">
        <v>40</v>
      </c>
      <c r="W3822" s="2" t="s">
        <v>16470</v>
      </c>
      <c r="X3822" s="2"/>
      <c r="Y3822" s="2"/>
      <c r="Z3822" s="2"/>
      <c r="AA3822" s="2" t="s">
        <v>708</v>
      </c>
      <c r="AB3822" s="2" t="s">
        <v>14669</v>
      </c>
      <c r="AC3822" s="4" t="s">
        <v>44</v>
      </c>
    </row>
    <row r="3823" spans="1:29" x14ac:dyDescent="0.25">
      <c r="A3823" s="1">
        <v>2316</v>
      </c>
      <c r="B3823" s="17" t="s">
        <v>16471</v>
      </c>
      <c r="C3823" s="2" t="s">
        <v>16472</v>
      </c>
      <c r="D3823" s="15" t="s">
        <v>4479</v>
      </c>
      <c r="E3823" s="9" t="s">
        <v>1277</v>
      </c>
      <c r="F3823" s="9" t="s">
        <v>144</v>
      </c>
      <c r="G3823" s="9" t="s">
        <v>698</v>
      </c>
      <c r="H3823" s="2" t="s">
        <v>60</v>
      </c>
      <c r="I3823" s="3">
        <v>37257</v>
      </c>
      <c r="J3823" s="9" t="str">
        <f t="shared" ca="1" si="62"/>
        <v>21 ans</v>
      </c>
      <c r="K3823" s="2" t="s">
        <v>262</v>
      </c>
      <c r="L3823" s="2" t="str">
        <f>"2155"</f>
        <v>2155</v>
      </c>
      <c r="M3823" s="2"/>
      <c r="N3823" s="2" t="str">
        <f>"RUE LIONEL-DAUNAIS"</f>
        <v>RUE LIONEL-DAUNAIS</v>
      </c>
      <c r="O3823" s="2" t="s">
        <v>16377</v>
      </c>
      <c r="P3823" s="9" t="str">
        <f>VLOOKUP($O3823,'Liste des Villes'!$B$2:$B$1128,1,FALSE)</f>
        <v>Mascouche</v>
      </c>
      <c r="Q3823" s="9" t="str">
        <f>IFERROR($P3823,PROPER(VLOOKUP($O3823,'Villes en erreur'!$A$2:$B$72,2,FALSE)))</f>
        <v>Mascouche</v>
      </c>
      <c r="R3823" s="9" t="s">
        <v>16378</v>
      </c>
      <c r="S3823" s="9" t="str">
        <f>IF(ISBLANK($R3823),"",VLOOKUP($R3823,'Liste des Villes'!$B$2:$H$1128,4,FALSE))</f>
        <v>Lanaudière</v>
      </c>
      <c r="T3823" s="2" t="s">
        <v>16427</v>
      </c>
      <c r="U3823" s="2" t="s">
        <v>39</v>
      </c>
      <c r="V3823" s="2" t="s">
        <v>40</v>
      </c>
      <c r="W3823" s="2" t="s">
        <v>16473</v>
      </c>
      <c r="X3823" s="2"/>
      <c r="Y3823" s="2"/>
      <c r="Z3823" s="2"/>
      <c r="AA3823" s="2" t="s">
        <v>708</v>
      </c>
      <c r="AB3823" s="2" t="s">
        <v>14669</v>
      </c>
      <c r="AC3823" s="4" t="s">
        <v>44</v>
      </c>
    </row>
    <row r="3824" spans="1:29" x14ac:dyDescent="0.25">
      <c r="A3824" s="1">
        <v>3123</v>
      </c>
      <c r="B3824" s="17" t="s">
        <v>16474</v>
      </c>
      <c r="C3824" s="2" t="s">
        <v>10509</v>
      </c>
      <c r="D3824" s="15" t="s">
        <v>738</v>
      </c>
      <c r="E3824" s="9" t="s">
        <v>5143</v>
      </c>
      <c r="F3824" s="9" t="s">
        <v>736</v>
      </c>
      <c r="G3824" s="9" t="s">
        <v>698</v>
      </c>
      <c r="H3824" s="2" t="s">
        <v>60</v>
      </c>
      <c r="I3824" s="3">
        <v>37263</v>
      </c>
      <c r="J3824" s="9" t="str">
        <f t="shared" ca="1" si="62"/>
        <v>21 ans</v>
      </c>
      <c r="K3824" s="2" t="s">
        <v>262</v>
      </c>
      <c r="L3824" s="2" t="str">
        <f>"2200"</f>
        <v>2200</v>
      </c>
      <c r="M3824" s="2"/>
      <c r="N3824" s="2" t="str">
        <f>"RUE LORRAIN"</f>
        <v>RUE LORRAIN</v>
      </c>
      <c r="O3824" s="2" t="s">
        <v>16377</v>
      </c>
      <c r="P3824" s="9" t="str">
        <f>VLOOKUP($O3824,'Liste des Villes'!$B$2:$B$1128,1,FALSE)</f>
        <v>Mascouche</v>
      </c>
      <c r="Q3824" s="9" t="str">
        <f>IFERROR($P3824,PROPER(VLOOKUP($O3824,'Villes en erreur'!$A$2:$B$72,2,FALSE)))</f>
        <v>Mascouche</v>
      </c>
      <c r="R3824" s="9" t="s">
        <v>16378</v>
      </c>
      <c r="S3824" s="9" t="str">
        <f>IF(ISBLANK($R3824),"",VLOOKUP($R3824,'Liste des Villes'!$B$2:$H$1128,4,FALSE))</f>
        <v>Lanaudière</v>
      </c>
      <c r="T3824" s="2" t="s">
        <v>16399</v>
      </c>
      <c r="U3824" s="2" t="s">
        <v>39</v>
      </c>
      <c r="V3824" s="2" t="s">
        <v>40</v>
      </c>
      <c r="W3824" s="2" t="s">
        <v>16475</v>
      </c>
      <c r="X3824" s="2"/>
      <c r="Y3824" s="2"/>
      <c r="Z3824" s="2"/>
      <c r="AA3824" s="2" t="s">
        <v>708</v>
      </c>
      <c r="AB3824" s="2" t="s">
        <v>14669</v>
      </c>
      <c r="AC3824" s="4" t="s">
        <v>44</v>
      </c>
    </row>
    <row r="3825" spans="1:29" x14ac:dyDescent="0.25">
      <c r="A3825" s="1">
        <v>131</v>
      </c>
      <c r="B3825" s="17" t="s">
        <v>16476</v>
      </c>
      <c r="C3825" s="2" t="s">
        <v>16477</v>
      </c>
      <c r="D3825" s="15" t="s">
        <v>510</v>
      </c>
      <c r="E3825" s="9" t="s">
        <v>9449</v>
      </c>
      <c r="F3825" s="9" t="s">
        <v>1837</v>
      </c>
      <c r="G3825" s="9" t="s">
        <v>698</v>
      </c>
      <c r="H3825" s="2" t="s">
        <v>60</v>
      </c>
      <c r="I3825" s="3">
        <v>37262</v>
      </c>
      <c r="J3825" s="9" t="str">
        <f t="shared" ca="1" si="62"/>
        <v>21 ans</v>
      </c>
      <c r="K3825" s="2" t="s">
        <v>262</v>
      </c>
      <c r="L3825" s="2" t="str">
        <f>"2190"</f>
        <v>2190</v>
      </c>
      <c r="M3825" s="2"/>
      <c r="N3825" s="2" t="str">
        <f>"RUE LORRAIN"</f>
        <v>RUE LORRAIN</v>
      </c>
      <c r="O3825" s="2" t="s">
        <v>16377</v>
      </c>
      <c r="P3825" s="9" t="str">
        <f>VLOOKUP($O3825,'Liste des Villes'!$B$2:$B$1128,1,FALSE)</f>
        <v>Mascouche</v>
      </c>
      <c r="Q3825" s="9" t="str">
        <f>IFERROR($P3825,PROPER(VLOOKUP($O3825,'Villes en erreur'!$A$2:$B$72,2,FALSE)))</f>
        <v>Mascouche</v>
      </c>
      <c r="R3825" s="9" t="s">
        <v>16378</v>
      </c>
      <c r="S3825" s="9" t="str">
        <f>IF(ISBLANK($R3825),"",VLOOKUP($R3825,'Liste des Villes'!$B$2:$H$1128,4,FALSE))</f>
        <v>Lanaudière</v>
      </c>
      <c r="T3825" s="2" t="s">
        <v>16478</v>
      </c>
      <c r="U3825" s="2" t="s">
        <v>39</v>
      </c>
      <c r="V3825" s="2" t="s">
        <v>40</v>
      </c>
      <c r="W3825" s="2" t="s">
        <v>16479</v>
      </c>
      <c r="X3825" s="2"/>
      <c r="Y3825" s="2"/>
      <c r="Z3825" s="2"/>
      <c r="AA3825" s="2" t="s">
        <v>708</v>
      </c>
      <c r="AB3825" s="2" t="s">
        <v>14669</v>
      </c>
      <c r="AC3825" s="4" t="s">
        <v>44</v>
      </c>
    </row>
    <row r="3826" spans="1:29" x14ac:dyDescent="0.25">
      <c r="A3826" s="1">
        <v>2947</v>
      </c>
      <c r="B3826" s="17" t="s">
        <v>16480</v>
      </c>
      <c r="C3826" s="2" t="s">
        <v>2565</v>
      </c>
      <c r="D3826" s="15" t="s">
        <v>520</v>
      </c>
      <c r="E3826" s="9" t="s">
        <v>1037</v>
      </c>
      <c r="F3826" s="9" t="s">
        <v>518</v>
      </c>
      <c r="G3826" s="9" t="s">
        <v>698</v>
      </c>
      <c r="H3826" s="2" t="s">
        <v>60</v>
      </c>
      <c r="I3826" s="3">
        <v>37259</v>
      </c>
      <c r="J3826" s="9" t="str">
        <f t="shared" ca="1" si="62"/>
        <v>21 ans</v>
      </c>
      <c r="K3826" s="2" t="s">
        <v>262</v>
      </c>
      <c r="L3826" s="2" t="str">
        <f>"2170"</f>
        <v>2170</v>
      </c>
      <c r="M3826" s="2"/>
      <c r="N3826" s="2" t="str">
        <f>"RUE LIONEL-GROULX"</f>
        <v>RUE LIONEL-GROULX</v>
      </c>
      <c r="O3826" s="2" t="s">
        <v>16377</v>
      </c>
      <c r="P3826" s="9" t="str">
        <f>VLOOKUP($O3826,'Liste des Villes'!$B$2:$B$1128,1,FALSE)</f>
        <v>Mascouche</v>
      </c>
      <c r="Q3826" s="9" t="str">
        <f>IFERROR($P3826,PROPER(VLOOKUP($O3826,'Villes en erreur'!$A$2:$B$72,2,FALSE)))</f>
        <v>Mascouche</v>
      </c>
      <c r="R3826" s="9" t="s">
        <v>16378</v>
      </c>
      <c r="S3826" s="9" t="str">
        <f>IF(ISBLANK($R3826),"",VLOOKUP($R3826,'Liste des Villes'!$B$2:$H$1128,4,FALSE))</f>
        <v>Lanaudière</v>
      </c>
      <c r="T3826" s="2" t="s">
        <v>16481</v>
      </c>
      <c r="U3826" s="2" t="s">
        <v>39</v>
      </c>
      <c r="V3826" s="2" t="s">
        <v>40</v>
      </c>
      <c r="W3826" s="2" t="s">
        <v>16482</v>
      </c>
      <c r="X3826" s="2"/>
      <c r="Y3826" s="2"/>
      <c r="Z3826" s="2"/>
      <c r="AA3826" s="2" t="s">
        <v>708</v>
      </c>
      <c r="AB3826" s="2" t="s">
        <v>14669</v>
      </c>
      <c r="AC3826" s="4" t="s">
        <v>44</v>
      </c>
    </row>
    <row r="3827" spans="1:29" x14ac:dyDescent="0.25">
      <c r="A3827" s="1">
        <v>3677</v>
      </c>
      <c r="B3827" s="17" t="s">
        <v>16483</v>
      </c>
      <c r="C3827" s="2" t="s">
        <v>16484</v>
      </c>
      <c r="D3827" s="15" t="s">
        <v>12889</v>
      </c>
      <c r="E3827" s="9" t="s">
        <v>9031</v>
      </c>
      <c r="F3827" s="9" t="s">
        <v>56</v>
      </c>
      <c r="G3827" s="9" t="s">
        <v>698</v>
      </c>
      <c r="H3827" s="2" t="s">
        <v>60</v>
      </c>
      <c r="I3827" s="3">
        <v>37255</v>
      </c>
      <c r="J3827" s="9" t="str">
        <f t="shared" ca="1" si="62"/>
        <v>21 ans</v>
      </c>
      <c r="K3827" s="2" t="s">
        <v>262</v>
      </c>
      <c r="L3827" s="2" t="str">
        <f>"2147"</f>
        <v>2147</v>
      </c>
      <c r="M3827" s="2"/>
      <c r="N3827" s="2" t="str">
        <f>"RUE LÉVIS"</f>
        <v>RUE LÉVIS</v>
      </c>
      <c r="O3827" s="2" t="s">
        <v>16377</v>
      </c>
      <c r="P3827" s="9" t="str">
        <f>VLOOKUP($O3827,'Liste des Villes'!$B$2:$B$1128,1,FALSE)</f>
        <v>Mascouche</v>
      </c>
      <c r="Q3827" s="9" t="str">
        <f>IFERROR($P3827,PROPER(VLOOKUP($O3827,'Villes en erreur'!$A$2:$B$72,2,FALSE)))</f>
        <v>Mascouche</v>
      </c>
      <c r="R3827" s="9" t="s">
        <v>16378</v>
      </c>
      <c r="S3827" s="9" t="str">
        <f>IF(ISBLANK($R3827),"",VLOOKUP($R3827,'Liste des Villes'!$B$2:$H$1128,4,FALSE))</f>
        <v>Lanaudière</v>
      </c>
      <c r="T3827" s="2" t="s">
        <v>16485</v>
      </c>
      <c r="U3827" s="2" t="s">
        <v>39</v>
      </c>
      <c r="V3827" s="2" t="s">
        <v>40</v>
      </c>
      <c r="W3827" s="2" t="s">
        <v>16486</v>
      </c>
      <c r="X3827" s="2"/>
      <c r="Y3827" s="2"/>
      <c r="Z3827" s="2"/>
      <c r="AA3827" s="2" t="s">
        <v>708</v>
      </c>
      <c r="AB3827" s="2" t="s">
        <v>14669</v>
      </c>
      <c r="AC3827" s="4" t="s">
        <v>44</v>
      </c>
    </row>
    <row r="3828" spans="1:29" x14ac:dyDescent="0.25">
      <c r="A3828" s="1">
        <v>2170</v>
      </c>
      <c r="B3828" s="17" t="s">
        <v>16487</v>
      </c>
      <c r="C3828" s="2" t="s">
        <v>6607</v>
      </c>
      <c r="D3828" s="15" t="s">
        <v>6608</v>
      </c>
      <c r="E3828" s="9" t="s">
        <v>5511</v>
      </c>
      <c r="F3828" s="9" t="s">
        <v>718</v>
      </c>
      <c r="G3828" s="9" t="s">
        <v>698</v>
      </c>
      <c r="H3828" s="2" t="s">
        <v>60</v>
      </c>
      <c r="I3828" s="3">
        <v>37259</v>
      </c>
      <c r="J3828" s="9" t="str">
        <f t="shared" ca="1" si="62"/>
        <v>21 ans</v>
      </c>
      <c r="K3828" s="2" t="s">
        <v>262</v>
      </c>
      <c r="L3828" s="2" t="str">
        <f>"2170"</f>
        <v>2170</v>
      </c>
      <c r="M3828" s="2"/>
      <c r="N3828" s="2" t="str">
        <f>"RUE LISIEUX"</f>
        <v>RUE LISIEUX</v>
      </c>
      <c r="O3828" s="2" t="s">
        <v>16377</v>
      </c>
      <c r="P3828" s="9" t="str">
        <f>VLOOKUP($O3828,'Liste des Villes'!$B$2:$B$1128,1,FALSE)</f>
        <v>Mascouche</v>
      </c>
      <c r="Q3828" s="9" t="str">
        <f>IFERROR($P3828,PROPER(VLOOKUP($O3828,'Villes en erreur'!$A$2:$B$72,2,FALSE)))</f>
        <v>Mascouche</v>
      </c>
      <c r="R3828" s="9" t="s">
        <v>16378</v>
      </c>
      <c r="S3828" s="9" t="str">
        <f>IF(ISBLANK($R3828),"",VLOOKUP($R3828,'Liste des Villes'!$B$2:$H$1128,4,FALSE))</f>
        <v>Lanaudière</v>
      </c>
      <c r="T3828" s="2" t="s">
        <v>16488</v>
      </c>
      <c r="U3828" s="2" t="s">
        <v>39</v>
      </c>
      <c r="V3828" s="2" t="s">
        <v>40</v>
      </c>
      <c r="W3828" s="2" t="s">
        <v>16489</v>
      </c>
      <c r="X3828" s="2"/>
      <c r="Y3828" s="2"/>
      <c r="Z3828" s="2"/>
      <c r="AA3828" s="2" t="s">
        <v>708</v>
      </c>
      <c r="AB3828" s="2" t="s">
        <v>14669</v>
      </c>
      <c r="AC3828" s="4" t="s">
        <v>44</v>
      </c>
    </row>
    <row r="3829" spans="1:29" x14ac:dyDescent="0.25">
      <c r="A3829" s="1">
        <v>629</v>
      </c>
      <c r="B3829" s="17" t="s">
        <v>16490</v>
      </c>
      <c r="C3829" s="2" t="s">
        <v>5141</v>
      </c>
      <c r="D3829" s="15" t="s">
        <v>3350</v>
      </c>
      <c r="E3829" s="9" t="s">
        <v>5142</v>
      </c>
      <c r="F3829" s="9" t="s">
        <v>164</v>
      </c>
      <c r="G3829" s="9" t="s">
        <v>698</v>
      </c>
      <c r="H3829" s="2" t="s">
        <v>60</v>
      </c>
      <c r="I3829" s="3">
        <v>37259</v>
      </c>
      <c r="J3829" s="9" t="str">
        <f t="shared" ca="1" si="62"/>
        <v>21 ans</v>
      </c>
      <c r="K3829" s="2" t="s">
        <v>262</v>
      </c>
      <c r="L3829" s="2" t="str">
        <f>"2163"</f>
        <v>2163</v>
      </c>
      <c r="M3829" s="2"/>
      <c r="N3829" s="2" t="str">
        <f>"RUE LIONEL-DAUNAIS"</f>
        <v>RUE LIONEL-DAUNAIS</v>
      </c>
      <c r="O3829" s="2" t="s">
        <v>16377</v>
      </c>
      <c r="P3829" s="9" t="str">
        <f>VLOOKUP($O3829,'Liste des Villes'!$B$2:$B$1128,1,FALSE)</f>
        <v>Mascouche</v>
      </c>
      <c r="Q3829" s="9" t="str">
        <f>IFERROR($P3829,PROPER(VLOOKUP($O3829,'Villes en erreur'!$A$2:$B$72,2,FALSE)))</f>
        <v>Mascouche</v>
      </c>
      <c r="R3829" s="9" t="s">
        <v>16378</v>
      </c>
      <c r="S3829" s="9" t="str">
        <f>IF(ISBLANK($R3829),"",VLOOKUP($R3829,'Liste des Villes'!$B$2:$H$1128,4,FALSE))</f>
        <v>Lanaudière</v>
      </c>
      <c r="T3829" s="2" t="s">
        <v>16491</v>
      </c>
      <c r="U3829" s="2" t="s">
        <v>39</v>
      </c>
      <c r="V3829" s="2" t="s">
        <v>40</v>
      </c>
      <c r="W3829" s="2" t="s">
        <v>16492</v>
      </c>
      <c r="X3829" s="2"/>
      <c r="Y3829" s="2"/>
      <c r="Z3829" s="2"/>
      <c r="AA3829" s="2" t="s">
        <v>708</v>
      </c>
      <c r="AB3829" s="2" t="s">
        <v>14669</v>
      </c>
      <c r="AC3829" s="4" t="s">
        <v>44</v>
      </c>
    </row>
    <row r="3830" spans="1:29" x14ac:dyDescent="0.25">
      <c r="A3830" s="1">
        <v>4165</v>
      </c>
      <c r="B3830" s="17" t="s">
        <v>16493</v>
      </c>
      <c r="C3830" s="2" t="s">
        <v>46</v>
      </c>
      <c r="D3830" s="15" t="s">
        <v>47</v>
      </c>
      <c r="E3830" s="9" t="s">
        <v>48</v>
      </c>
      <c r="F3830" s="9" t="s">
        <v>5792</v>
      </c>
      <c r="G3830" s="9" t="s">
        <v>698</v>
      </c>
      <c r="H3830" s="2" t="s">
        <v>60</v>
      </c>
      <c r="I3830" s="3">
        <v>37265</v>
      </c>
      <c r="J3830" s="9" t="str">
        <f t="shared" ca="1" si="62"/>
        <v>21 ans</v>
      </c>
      <c r="K3830" s="2" t="s">
        <v>262</v>
      </c>
      <c r="L3830" s="2" t="str">
        <f>"2249"</f>
        <v>2249</v>
      </c>
      <c r="M3830" s="2"/>
      <c r="N3830" s="2" t="str">
        <f>"RUE LOUIS-DULONGPRÉ"</f>
        <v>RUE LOUIS-DULONGPRÉ</v>
      </c>
      <c r="O3830" s="2" t="s">
        <v>16494</v>
      </c>
      <c r="P3830" s="9" t="str">
        <f>VLOOKUP($O3830,'Liste des Villes'!$B$2:$B$1128,1,FALSE)</f>
        <v>Lorraine</v>
      </c>
      <c r="Q3830" s="9" t="str">
        <f>IFERROR($P3830,PROPER(VLOOKUP($O3830,'Villes en erreur'!$A$2:$B$72,2,FALSE)))</f>
        <v>Lorraine</v>
      </c>
      <c r="R3830" s="9" t="s">
        <v>16495</v>
      </c>
      <c r="S3830" s="9" t="str">
        <f>IF(ISBLANK($R3830),"",VLOOKUP($R3830,'Liste des Villes'!$B$2:$H$1128,4,FALSE))</f>
        <v>Laurentides</v>
      </c>
      <c r="T3830" s="2" t="s">
        <v>16496</v>
      </c>
      <c r="U3830" s="2" t="s">
        <v>39</v>
      </c>
      <c r="V3830" s="2" t="s">
        <v>40</v>
      </c>
      <c r="W3830" s="2" t="s">
        <v>16497</v>
      </c>
      <c r="X3830" s="2"/>
      <c r="Y3830" s="2"/>
      <c r="Z3830" s="2"/>
      <c r="AA3830" s="2" t="s">
        <v>708</v>
      </c>
      <c r="AB3830" s="2" t="s">
        <v>709</v>
      </c>
      <c r="AC3830" s="4" t="s">
        <v>44</v>
      </c>
    </row>
    <row r="3831" spans="1:29" x14ac:dyDescent="0.25">
      <c r="A3831" s="1">
        <v>4175</v>
      </c>
      <c r="B3831" s="17" t="s">
        <v>16498</v>
      </c>
      <c r="C3831" s="2" t="s">
        <v>16499</v>
      </c>
      <c r="D3831" s="15" t="s">
        <v>6635</v>
      </c>
      <c r="E3831" s="9" t="s">
        <v>5016</v>
      </c>
      <c r="F3831" s="9" t="s">
        <v>16500</v>
      </c>
      <c r="G3831" s="9" t="s">
        <v>698</v>
      </c>
      <c r="H3831" s="2" t="s">
        <v>60</v>
      </c>
      <c r="I3831" s="3">
        <v>37267</v>
      </c>
      <c r="J3831" s="9" t="str">
        <f t="shared" ca="1" si="62"/>
        <v>21 ans</v>
      </c>
      <c r="K3831" s="2" t="s">
        <v>262</v>
      </c>
      <c r="L3831" s="2" t="str">
        <f>"2285"</f>
        <v>2285</v>
      </c>
      <c r="M3831" s="2"/>
      <c r="N3831" s="2" t="str">
        <f>"RUE LOUISE"</f>
        <v>RUE LOUISE</v>
      </c>
      <c r="O3831" s="2" t="s">
        <v>16494</v>
      </c>
      <c r="P3831" s="9" t="str">
        <f>VLOOKUP($O3831,'Liste des Villes'!$B$2:$B$1128,1,FALSE)</f>
        <v>Lorraine</v>
      </c>
      <c r="Q3831" s="9" t="str">
        <f>IFERROR($P3831,PROPER(VLOOKUP($O3831,'Villes en erreur'!$A$2:$B$72,2,FALSE)))</f>
        <v>Lorraine</v>
      </c>
      <c r="R3831" s="9" t="s">
        <v>16495</v>
      </c>
      <c r="S3831" s="9" t="str">
        <f>IF(ISBLANK($R3831),"",VLOOKUP($R3831,'Liste des Villes'!$B$2:$H$1128,4,FALSE))</f>
        <v>Laurentides</v>
      </c>
      <c r="T3831" s="2" t="s">
        <v>16501</v>
      </c>
      <c r="U3831" s="2" t="s">
        <v>39</v>
      </c>
      <c r="V3831" s="2" t="s">
        <v>40</v>
      </c>
      <c r="W3831" s="2" t="s">
        <v>16502</v>
      </c>
      <c r="X3831" s="2"/>
      <c r="Y3831" s="2"/>
      <c r="Z3831" s="2"/>
      <c r="AA3831" s="2" t="s">
        <v>708</v>
      </c>
      <c r="AB3831" s="2" t="s">
        <v>709</v>
      </c>
      <c r="AC3831" s="4" t="s">
        <v>44</v>
      </c>
    </row>
    <row r="3832" spans="1:29" x14ac:dyDescent="0.25">
      <c r="A3832" s="1">
        <v>56</v>
      </c>
      <c r="B3832" s="17" t="s">
        <v>16503</v>
      </c>
      <c r="C3832" s="2" t="s">
        <v>8481</v>
      </c>
      <c r="D3832" s="15" t="s">
        <v>2693</v>
      </c>
      <c r="E3832" s="9" t="s">
        <v>8482</v>
      </c>
      <c r="F3832" s="9" t="s">
        <v>782</v>
      </c>
      <c r="G3832" s="9" t="s">
        <v>698</v>
      </c>
      <c r="H3832" s="2" t="s">
        <v>60</v>
      </c>
      <c r="I3832" s="3">
        <v>37264</v>
      </c>
      <c r="J3832" s="9" t="str">
        <f t="shared" ca="1" si="62"/>
        <v>21 ans</v>
      </c>
      <c r="K3832" s="2" t="s">
        <v>262</v>
      </c>
      <c r="L3832" s="2" t="str">
        <f>"2237"</f>
        <v>2237</v>
      </c>
      <c r="M3832" s="2"/>
      <c r="N3832" s="2" t="str">
        <f>"RUE LOUIS-DULONGPRÉ"</f>
        <v>RUE LOUIS-DULONGPRÉ</v>
      </c>
      <c r="O3832" s="2" t="s">
        <v>16494</v>
      </c>
      <c r="P3832" s="9" t="str">
        <f>VLOOKUP($O3832,'Liste des Villes'!$B$2:$B$1128,1,FALSE)</f>
        <v>Lorraine</v>
      </c>
      <c r="Q3832" s="9" t="str">
        <f>IFERROR($P3832,PROPER(VLOOKUP($O3832,'Villes en erreur'!$A$2:$B$72,2,FALSE)))</f>
        <v>Lorraine</v>
      </c>
      <c r="R3832" s="9" t="s">
        <v>16495</v>
      </c>
      <c r="S3832" s="9" t="str">
        <f>IF(ISBLANK($R3832),"",VLOOKUP($R3832,'Liste des Villes'!$B$2:$H$1128,4,FALSE))</f>
        <v>Laurentides</v>
      </c>
      <c r="T3832" s="2" t="s">
        <v>16504</v>
      </c>
      <c r="U3832" s="2" t="s">
        <v>39</v>
      </c>
      <c r="V3832" s="2" t="s">
        <v>40</v>
      </c>
      <c r="W3832" s="2" t="s">
        <v>16505</v>
      </c>
      <c r="X3832" s="2"/>
      <c r="Y3832" s="2"/>
      <c r="Z3832" s="2"/>
      <c r="AA3832" s="2" t="s">
        <v>708</v>
      </c>
      <c r="AB3832" s="2" t="s">
        <v>709</v>
      </c>
      <c r="AC3832" s="4" t="s">
        <v>44</v>
      </c>
    </row>
    <row r="3833" spans="1:29" x14ac:dyDescent="0.25">
      <c r="A3833" s="1">
        <v>2279</v>
      </c>
      <c r="B3833" s="17" t="s">
        <v>16506</v>
      </c>
      <c r="C3833" s="2" t="s">
        <v>16507</v>
      </c>
      <c r="D3833" s="15" t="s">
        <v>7743</v>
      </c>
      <c r="E3833" s="9" t="s">
        <v>348</v>
      </c>
      <c r="F3833" s="9" t="s">
        <v>7742</v>
      </c>
      <c r="G3833" s="9" t="s">
        <v>698</v>
      </c>
      <c r="H3833" s="2" t="s">
        <v>60</v>
      </c>
      <c r="I3833" s="3">
        <v>37267</v>
      </c>
      <c r="J3833" s="9" t="str">
        <f t="shared" ca="1" si="62"/>
        <v>21 ans</v>
      </c>
      <c r="K3833" s="2" t="s">
        <v>262</v>
      </c>
      <c r="L3833" s="2" t="str">
        <f>"2252"</f>
        <v>2252</v>
      </c>
      <c r="M3833" s="2"/>
      <c r="N3833" s="2" t="str">
        <f>"RUE LOUISE"</f>
        <v>RUE LOUISE</v>
      </c>
      <c r="O3833" s="2" t="s">
        <v>16494</v>
      </c>
      <c r="P3833" s="9" t="str">
        <f>VLOOKUP($O3833,'Liste des Villes'!$B$2:$B$1128,1,FALSE)</f>
        <v>Lorraine</v>
      </c>
      <c r="Q3833" s="9" t="str">
        <f>IFERROR($P3833,PROPER(VLOOKUP($O3833,'Villes en erreur'!$A$2:$B$72,2,FALSE)))</f>
        <v>Lorraine</v>
      </c>
      <c r="R3833" s="9" t="s">
        <v>16495</v>
      </c>
      <c r="S3833" s="9" t="str">
        <f>IF(ISBLANK($R3833),"",VLOOKUP($R3833,'Liste des Villes'!$B$2:$H$1128,4,FALSE))</f>
        <v>Laurentides</v>
      </c>
      <c r="T3833" s="2" t="s">
        <v>16508</v>
      </c>
      <c r="U3833" s="2" t="s">
        <v>39</v>
      </c>
      <c r="V3833" s="2" t="s">
        <v>40</v>
      </c>
      <c r="W3833" s="2" t="s">
        <v>16509</v>
      </c>
      <c r="X3833" s="2"/>
      <c r="Y3833" s="2"/>
      <c r="Z3833" s="2"/>
      <c r="AA3833" s="2" t="s">
        <v>708</v>
      </c>
      <c r="AB3833" s="2" t="s">
        <v>709</v>
      </c>
      <c r="AC3833" s="4" t="s">
        <v>44</v>
      </c>
    </row>
    <row r="3834" spans="1:29" x14ac:dyDescent="0.25">
      <c r="A3834" s="1">
        <v>3240</v>
      </c>
      <c r="B3834" s="17" t="s">
        <v>16510</v>
      </c>
      <c r="C3834" s="2" t="s">
        <v>16511</v>
      </c>
      <c r="D3834" s="15" t="s">
        <v>5949</v>
      </c>
      <c r="E3834" s="9" t="s">
        <v>6895</v>
      </c>
      <c r="F3834" s="9" t="s">
        <v>5948</v>
      </c>
      <c r="G3834" s="9" t="s">
        <v>16196</v>
      </c>
      <c r="H3834" s="2" t="s">
        <v>60</v>
      </c>
      <c r="I3834" s="3">
        <v>37268</v>
      </c>
      <c r="J3834" s="9" t="str">
        <f t="shared" ca="1" si="62"/>
        <v>21 ans</v>
      </c>
      <c r="K3834" s="2" t="s">
        <v>262</v>
      </c>
      <c r="L3834" s="2" t="str">
        <f>"2290"</f>
        <v>2290</v>
      </c>
      <c r="M3834" s="2"/>
      <c r="N3834" s="2" t="str">
        <f>"RUE LOUIS-HÉMON"</f>
        <v>RUE LOUIS-HÉMON</v>
      </c>
      <c r="O3834" s="2" t="s">
        <v>16494</v>
      </c>
      <c r="P3834" s="9" t="str">
        <f>VLOOKUP($O3834,'Liste des Villes'!$B$2:$B$1128,1,FALSE)</f>
        <v>Lorraine</v>
      </c>
      <c r="Q3834" s="9" t="str">
        <f>IFERROR($P3834,PROPER(VLOOKUP($O3834,'Villes en erreur'!$A$2:$B$72,2,FALSE)))</f>
        <v>Lorraine</v>
      </c>
      <c r="R3834" s="9" t="s">
        <v>16495</v>
      </c>
      <c r="S3834" s="9" t="str">
        <f>IF(ISBLANK($R3834),"",VLOOKUP($R3834,'Liste des Villes'!$B$2:$H$1128,4,FALSE))</f>
        <v>Laurentides</v>
      </c>
      <c r="T3834" s="2" t="s">
        <v>16512</v>
      </c>
      <c r="U3834" s="2" t="s">
        <v>39</v>
      </c>
      <c r="V3834" s="2" t="s">
        <v>40</v>
      </c>
      <c r="W3834" s="2" t="s">
        <v>16513</v>
      </c>
      <c r="X3834" s="2"/>
      <c r="Y3834" s="2"/>
      <c r="Z3834" s="2"/>
      <c r="AA3834" s="2" t="s">
        <v>708</v>
      </c>
      <c r="AB3834" s="2" t="s">
        <v>709</v>
      </c>
      <c r="AC3834" s="4" t="s">
        <v>44</v>
      </c>
    </row>
    <row r="3835" spans="1:29" x14ac:dyDescent="0.25">
      <c r="A3835" s="1">
        <v>2760</v>
      </c>
      <c r="B3835" s="17" t="s">
        <v>16514</v>
      </c>
      <c r="C3835" s="2" t="s">
        <v>4091</v>
      </c>
      <c r="D3835" s="15" t="s">
        <v>4050</v>
      </c>
      <c r="E3835" s="9" t="s">
        <v>4092</v>
      </c>
      <c r="F3835" s="9" t="s">
        <v>14323</v>
      </c>
      <c r="G3835" s="9" t="s">
        <v>698</v>
      </c>
      <c r="H3835" s="2" t="s">
        <v>60</v>
      </c>
      <c r="I3835" s="3">
        <v>37267</v>
      </c>
      <c r="J3835" s="9" t="str">
        <f t="shared" ca="1" si="62"/>
        <v>21 ans</v>
      </c>
      <c r="K3835" s="2" t="s">
        <v>262</v>
      </c>
      <c r="L3835" s="2" t="str">
        <f>"2275"</f>
        <v>2275</v>
      </c>
      <c r="M3835" s="2"/>
      <c r="N3835" s="2" t="str">
        <f>"RUE LOUISE"</f>
        <v>RUE LOUISE</v>
      </c>
      <c r="O3835" s="2" t="s">
        <v>16494</v>
      </c>
      <c r="P3835" s="9" t="str">
        <f>VLOOKUP($O3835,'Liste des Villes'!$B$2:$B$1128,1,FALSE)</f>
        <v>Lorraine</v>
      </c>
      <c r="Q3835" s="9" t="str">
        <f>IFERROR($P3835,PROPER(VLOOKUP($O3835,'Villes en erreur'!$A$2:$B$72,2,FALSE)))</f>
        <v>Lorraine</v>
      </c>
      <c r="R3835" s="9" t="s">
        <v>16495</v>
      </c>
      <c r="S3835" s="9" t="str">
        <f>IF(ISBLANK($R3835),"",VLOOKUP($R3835,'Liste des Villes'!$B$2:$H$1128,4,FALSE))</f>
        <v>Laurentides</v>
      </c>
      <c r="T3835" s="2" t="s">
        <v>16515</v>
      </c>
      <c r="U3835" s="2" t="s">
        <v>39</v>
      </c>
      <c r="V3835" s="2" t="s">
        <v>40</v>
      </c>
      <c r="W3835" s="2" t="s">
        <v>16516</v>
      </c>
      <c r="X3835" s="2"/>
      <c r="Y3835" s="2"/>
      <c r="Z3835" s="2"/>
      <c r="AA3835" s="2" t="s">
        <v>708</v>
      </c>
      <c r="AB3835" s="2" t="s">
        <v>709</v>
      </c>
      <c r="AC3835" s="4" t="s">
        <v>44</v>
      </c>
    </row>
    <row r="3836" spans="1:29" x14ac:dyDescent="0.25">
      <c r="A3836" s="1">
        <v>1154</v>
      </c>
      <c r="B3836" s="17" t="s">
        <v>16517</v>
      </c>
      <c r="C3836" s="2" t="s">
        <v>16518</v>
      </c>
      <c r="D3836" s="15" t="s">
        <v>16519</v>
      </c>
      <c r="E3836" s="9" t="s">
        <v>4887</v>
      </c>
      <c r="F3836" s="9" t="s">
        <v>1814</v>
      </c>
      <c r="G3836" s="9" t="s">
        <v>698</v>
      </c>
      <c r="H3836" s="2" t="s">
        <v>60</v>
      </c>
      <c r="I3836" s="3">
        <v>37265</v>
      </c>
      <c r="J3836" s="9" t="str">
        <f t="shared" ca="1" si="62"/>
        <v>21 ans</v>
      </c>
      <c r="K3836" s="2" t="s">
        <v>262</v>
      </c>
      <c r="L3836" s="2" t="str">
        <f>"2238"</f>
        <v>2238</v>
      </c>
      <c r="M3836" s="2"/>
      <c r="N3836" s="2" t="str">
        <f>"RUE LOUIS-DULONGPRÉ"</f>
        <v>RUE LOUIS-DULONGPRÉ</v>
      </c>
      <c r="O3836" s="2" t="s">
        <v>16494</v>
      </c>
      <c r="P3836" s="9" t="str">
        <f>VLOOKUP($O3836,'Liste des Villes'!$B$2:$B$1128,1,FALSE)</f>
        <v>Lorraine</v>
      </c>
      <c r="Q3836" s="9" t="str">
        <f>IFERROR($P3836,PROPER(VLOOKUP($O3836,'Villes en erreur'!$A$2:$B$72,2,FALSE)))</f>
        <v>Lorraine</v>
      </c>
      <c r="R3836" s="9" t="s">
        <v>16495</v>
      </c>
      <c r="S3836" s="9" t="str">
        <f>IF(ISBLANK($R3836),"",VLOOKUP($R3836,'Liste des Villes'!$B$2:$H$1128,4,FALSE))</f>
        <v>Laurentides</v>
      </c>
      <c r="T3836" s="2" t="s">
        <v>16504</v>
      </c>
      <c r="U3836" s="2" t="s">
        <v>39</v>
      </c>
      <c r="V3836" s="2" t="s">
        <v>40</v>
      </c>
      <c r="W3836" s="2" t="s">
        <v>16520</v>
      </c>
      <c r="X3836" s="2"/>
      <c r="Y3836" s="2"/>
      <c r="Z3836" s="2"/>
      <c r="AA3836" s="2" t="s">
        <v>708</v>
      </c>
      <c r="AB3836" s="2" t="s">
        <v>709</v>
      </c>
      <c r="AC3836" s="4" t="s">
        <v>44</v>
      </c>
    </row>
    <row r="3837" spans="1:29" x14ac:dyDescent="0.25">
      <c r="A3837" s="1">
        <v>1866</v>
      </c>
      <c r="B3837" s="17" t="s">
        <v>16521</v>
      </c>
      <c r="C3837" s="2" t="s">
        <v>16522</v>
      </c>
      <c r="D3837" s="15" t="s">
        <v>2655</v>
      </c>
      <c r="E3837" s="9" t="s">
        <v>495</v>
      </c>
      <c r="F3837" s="9" t="s">
        <v>2653</v>
      </c>
      <c r="G3837" s="9" t="s">
        <v>698</v>
      </c>
      <c r="H3837" s="2" t="s">
        <v>60</v>
      </c>
      <c r="I3837" s="3">
        <v>37268</v>
      </c>
      <c r="J3837" s="9" t="str">
        <f t="shared" ca="1" si="62"/>
        <v>21 ans</v>
      </c>
      <c r="K3837" s="2" t="s">
        <v>262</v>
      </c>
      <c r="L3837" s="2" t="str">
        <f>"2289"</f>
        <v>2289</v>
      </c>
      <c r="M3837" s="2"/>
      <c r="N3837" s="2" t="str">
        <f>"RUE LOUIS-HÉBERT"</f>
        <v>RUE LOUIS-HÉBERT</v>
      </c>
      <c r="O3837" s="2" t="s">
        <v>16494</v>
      </c>
      <c r="P3837" s="9" t="str">
        <f>VLOOKUP($O3837,'Liste des Villes'!$B$2:$B$1128,1,FALSE)</f>
        <v>Lorraine</v>
      </c>
      <c r="Q3837" s="9" t="str">
        <f>IFERROR($P3837,PROPER(VLOOKUP($O3837,'Villes en erreur'!$A$2:$B$72,2,FALSE)))</f>
        <v>Lorraine</v>
      </c>
      <c r="R3837" s="9" t="s">
        <v>16495</v>
      </c>
      <c r="S3837" s="9" t="str">
        <f>IF(ISBLANK($R3837),"",VLOOKUP($R3837,'Liste des Villes'!$B$2:$H$1128,4,FALSE))</f>
        <v>Laurentides</v>
      </c>
      <c r="T3837" s="2" t="s">
        <v>16523</v>
      </c>
      <c r="U3837" s="2" t="s">
        <v>39</v>
      </c>
      <c r="V3837" s="2" t="s">
        <v>40</v>
      </c>
      <c r="W3837" s="2" t="s">
        <v>16524</v>
      </c>
      <c r="X3837" s="2"/>
      <c r="Y3837" s="2"/>
      <c r="Z3837" s="2"/>
      <c r="AA3837" s="2" t="s">
        <v>708</v>
      </c>
      <c r="AB3837" s="2" t="s">
        <v>709</v>
      </c>
      <c r="AC3837" s="4" t="s">
        <v>44</v>
      </c>
    </row>
    <row r="3838" spans="1:29" x14ac:dyDescent="0.25">
      <c r="A3838" s="1">
        <v>1186</v>
      </c>
      <c r="B3838" s="17" t="s">
        <v>16525</v>
      </c>
      <c r="C3838" s="2" t="s">
        <v>16526</v>
      </c>
      <c r="D3838" s="15" t="s">
        <v>9224</v>
      </c>
      <c r="E3838" s="9" t="s">
        <v>10933</v>
      </c>
      <c r="F3838" s="9" t="s">
        <v>9222</v>
      </c>
      <c r="G3838" s="9" t="s">
        <v>12352</v>
      </c>
      <c r="H3838" s="2" t="s">
        <v>60</v>
      </c>
      <c r="I3838" s="3">
        <v>37269</v>
      </c>
      <c r="J3838" s="9" t="str">
        <f t="shared" ca="1" si="62"/>
        <v>21 ans</v>
      </c>
      <c r="K3838" s="2" t="s">
        <v>262</v>
      </c>
      <c r="L3838" s="2" t="str">
        <f>"2290"</f>
        <v>2290</v>
      </c>
      <c r="M3838" s="2"/>
      <c r="N3838" s="2" t="str">
        <f>"RUE LOUIS-HÉMON"</f>
        <v>RUE LOUIS-HÉMON</v>
      </c>
      <c r="O3838" s="2" t="s">
        <v>16494</v>
      </c>
      <c r="P3838" s="9" t="str">
        <f>VLOOKUP($O3838,'Liste des Villes'!$B$2:$B$1128,1,FALSE)</f>
        <v>Lorraine</v>
      </c>
      <c r="Q3838" s="9" t="str">
        <f>IFERROR($P3838,PROPER(VLOOKUP($O3838,'Villes en erreur'!$A$2:$B$72,2,FALSE)))</f>
        <v>Lorraine</v>
      </c>
      <c r="R3838" s="9" t="s">
        <v>16495</v>
      </c>
      <c r="S3838" s="9" t="str">
        <f>IF(ISBLANK($R3838),"",VLOOKUP($R3838,'Liste des Villes'!$B$2:$H$1128,4,FALSE))</f>
        <v>Laurentides</v>
      </c>
      <c r="T3838" s="2" t="s">
        <v>16527</v>
      </c>
      <c r="U3838" s="2" t="s">
        <v>39</v>
      </c>
      <c r="V3838" s="2" t="s">
        <v>40</v>
      </c>
      <c r="W3838" s="2" t="s">
        <v>16528</v>
      </c>
      <c r="X3838" s="2"/>
      <c r="Y3838" s="2"/>
      <c r="Z3838" s="2"/>
      <c r="AA3838" s="2" t="s">
        <v>708</v>
      </c>
      <c r="AB3838" s="2" t="s">
        <v>709</v>
      </c>
      <c r="AC3838" s="4" t="s">
        <v>44</v>
      </c>
    </row>
    <row r="3839" spans="1:29" x14ac:dyDescent="0.25">
      <c r="A3839" s="1">
        <v>4569</v>
      </c>
      <c r="B3839" s="17" t="s">
        <v>16529</v>
      </c>
      <c r="C3839" s="2" t="s">
        <v>16530</v>
      </c>
      <c r="D3839" s="15" t="s">
        <v>16531</v>
      </c>
      <c r="E3839" s="9" t="s">
        <v>241</v>
      </c>
      <c r="F3839" s="9" t="s">
        <v>11487</v>
      </c>
      <c r="G3839" s="9" t="s">
        <v>698</v>
      </c>
      <c r="H3839" s="2" t="s">
        <v>60</v>
      </c>
      <c r="I3839" s="3">
        <v>37266</v>
      </c>
      <c r="J3839" s="9" t="str">
        <f t="shared" ca="1" si="62"/>
        <v>21 ans</v>
      </c>
      <c r="K3839" s="2" t="s">
        <v>262</v>
      </c>
      <c r="L3839" s="2" t="str">
        <f>"2250"</f>
        <v>2250</v>
      </c>
      <c r="M3839" s="2"/>
      <c r="N3839" s="2" t="str">
        <f>"RUE LOUIS-DULONGPRÉ"</f>
        <v>RUE LOUIS-DULONGPRÉ</v>
      </c>
      <c r="O3839" s="2" t="s">
        <v>16494</v>
      </c>
      <c r="P3839" s="9" t="str">
        <f>VLOOKUP($O3839,'Liste des Villes'!$B$2:$B$1128,1,FALSE)</f>
        <v>Lorraine</v>
      </c>
      <c r="Q3839" s="9" t="str">
        <f>IFERROR($P3839,PROPER(VLOOKUP($O3839,'Villes en erreur'!$A$2:$B$72,2,FALSE)))</f>
        <v>Lorraine</v>
      </c>
      <c r="R3839" s="9" t="s">
        <v>16495</v>
      </c>
      <c r="S3839" s="9" t="str">
        <f>IF(ISBLANK($R3839),"",VLOOKUP($R3839,'Liste des Villes'!$B$2:$H$1128,4,FALSE))</f>
        <v>Laurentides</v>
      </c>
      <c r="T3839" s="2" t="s">
        <v>16532</v>
      </c>
      <c r="U3839" s="2" t="s">
        <v>39</v>
      </c>
      <c r="V3839" s="2" t="s">
        <v>40</v>
      </c>
      <c r="W3839" s="2" t="s">
        <v>16533</v>
      </c>
      <c r="X3839" s="2"/>
      <c r="Y3839" s="2"/>
      <c r="Z3839" s="2"/>
      <c r="AA3839" s="2" t="s">
        <v>708</v>
      </c>
      <c r="AB3839" s="2" t="s">
        <v>709</v>
      </c>
      <c r="AC3839" s="4" t="s">
        <v>44</v>
      </c>
    </row>
    <row r="3840" spans="1:29" x14ac:dyDescent="0.25">
      <c r="A3840" s="1">
        <v>1909</v>
      </c>
      <c r="B3840" s="17" t="s">
        <v>16534</v>
      </c>
      <c r="C3840" s="2" t="s">
        <v>16535</v>
      </c>
      <c r="D3840" s="15" t="s">
        <v>15097</v>
      </c>
      <c r="E3840" s="9" t="s">
        <v>341</v>
      </c>
      <c r="F3840" s="9" t="s">
        <v>15096</v>
      </c>
      <c r="G3840" s="9" t="s">
        <v>698</v>
      </c>
      <c r="H3840" s="2" t="s">
        <v>60</v>
      </c>
      <c r="I3840" s="3">
        <v>37268</v>
      </c>
      <c r="J3840" s="9" t="str">
        <f t="shared" ca="1" si="62"/>
        <v>21 ans</v>
      </c>
      <c r="K3840" s="2" t="s">
        <v>262</v>
      </c>
      <c r="L3840" s="2" t="str">
        <f>"2287"</f>
        <v>2287</v>
      </c>
      <c r="M3840" s="2"/>
      <c r="N3840" s="2" t="str">
        <f>"RUE LOUISE"</f>
        <v>RUE LOUISE</v>
      </c>
      <c r="O3840" s="2" t="s">
        <v>16494</v>
      </c>
      <c r="P3840" s="9" t="str">
        <f>VLOOKUP($O3840,'Liste des Villes'!$B$2:$B$1128,1,FALSE)</f>
        <v>Lorraine</v>
      </c>
      <c r="Q3840" s="9" t="str">
        <f>IFERROR($P3840,PROPER(VLOOKUP($O3840,'Villes en erreur'!$A$2:$B$72,2,FALSE)))</f>
        <v>Lorraine</v>
      </c>
      <c r="R3840" s="9" t="s">
        <v>16495</v>
      </c>
      <c r="S3840" s="9" t="str">
        <f>IF(ISBLANK($R3840),"",VLOOKUP($R3840,'Liste des Villes'!$B$2:$H$1128,4,FALSE))</f>
        <v>Laurentides</v>
      </c>
      <c r="T3840" s="2" t="s">
        <v>16536</v>
      </c>
      <c r="U3840" s="2" t="s">
        <v>39</v>
      </c>
      <c r="V3840" s="2" t="s">
        <v>40</v>
      </c>
      <c r="W3840" s="2" t="s">
        <v>16537</v>
      </c>
      <c r="X3840" s="2"/>
      <c r="Y3840" s="2"/>
      <c r="Z3840" s="2"/>
      <c r="AA3840" s="2" t="s">
        <v>708</v>
      </c>
      <c r="AB3840" s="2" t="s">
        <v>709</v>
      </c>
      <c r="AC3840" s="4" t="s">
        <v>44</v>
      </c>
    </row>
    <row r="3841" spans="1:29" x14ac:dyDescent="0.25">
      <c r="A3841" s="1">
        <v>3868</v>
      </c>
      <c r="B3841" s="17" t="s">
        <v>16538</v>
      </c>
      <c r="C3841" s="2" t="s">
        <v>633</v>
      </c>
      <c r="D3841" s="15" t="s">
        <v>634</v>
      </c>
      <c r="E3841" s="9" t="s">
        <v>635</v>
      </c>
      <c r="F3841" s="9" t="s">
        <v>13735</v>
      </c>
      <c r="G3841" s="9" t="s">
        <v>15482</v>
      </c>
      <c r="H3841" s="2" t="s">
        <v>60</v>
      </c>
      <c r="I3841" s="3">
        <v>37271</v>
      </c>
      <c r="J3841" s="9" t="str">
        <f t="shared" ca="1" si="62"/>
        <v>21 ans</v>
      </c>
      <c r="K3841" s="2" t="s">
        <v>262</v>
      </c>
      <c r="L3841" s="2" t="str">
        <f>"2300"</f>
        <v>2300</v>
      </c>
      <c r="M3841" s="2"/>
      <c r="N3841" s="2" t="str">
        <f>"RUE LOUIS-JOLLIET"</f>
        <v>RUE LOUIS-JOLLIET</v>
      </c>
      <c r="O3841" s="2" t="s">
        <v>16539</v>
      </c>
      <c r="P3841" s="9" t="str">
        <f>VLOOKUP($O3841,'Liste des Villes'!$B$2:$B$1128,1,FALSE)</f>
        <v>Lévis</v>
      </c>
      <c r="Q3841" s="9" t="str">
        <f>IFERROR($P3841,PROPER(VLOOKUP($O3841,'Villes en erreur'!$A$2:$B$72,2,FALSE)))</f>
        <v>Lévis</v>
      </c>
      <c r="R3841" s="9" t="s">
        <v>13064</v>
      </c>
      <c r="S3841" s="9" t="str">
        <f>IF(ISBLANK($R3841),"",VLOOKUP($R3841,'Liste des Villes'!$B$2:$H$1128,4,FALSE))</f>
        <v>Chaudière-Appalaches</v>
      </c>
      <c r="T3841" s="2" t="s">
        <v>16540</v>
      </c>
      <c r="U3841" s="2" t="s">
        <v>39</v>
      </c>
      <c r="V3841" s="2" t="s">
        <v>40</v>
      </c>
      <c r="W3841" s="2" t="s">
        <v>16541</v>
      </c>
      <c r="X3841" s="2"/>
      <c r="Y3841" s="2"/>
      <c r="Z3841" s="2"/>
      <c r="AA3841" s="2" t="s">
        <v>708</v>
      </c>
      <c r="AB3841" s="2" t="s">
        <v>709</v>
      </c>
      <c r="AC3841" s="4" t="s">
        <v>44</v>
      </c>
    </row>
    <row r="3842" spans="1:29" x14ac:dyDescent="0.25">
      <c r="A3842" s="1">
        <v>1335</v>
      </c>
      <c r="B3842" s="17" t="s">
        <v>16542</v>
      </c>
      <c r="C3842" s="2" t="s">
        <v>16543</v>
      </c>
      <c r="D3842" s="15" t="s">
        <v>1479</v>
      </c>
      <c r="E3842" s="9" t="s">
        <v>9509</v>
      </c>
      <c r="F3842" s="9" t="s">
        <v>1477</v>
      </c>
      <c r="G3842" s="9" t="s">
        <v>14635</v>
      </c>
      <c r="H3842" s="2" t="s">
        <v>60</v>
      </c>
      <c r="I3842" s="3">
        <v>37272</v>
      </c>
      <c r="J3842" s="9" t="str">
        <f t="shared" ref="J3842:J3905" ca="1" si="63">_xlfn.CONCAT(INT((TODAY()-$I3842)/365.25)," ans")</f>
        <v>21 ans</v>
      </c>
      <c r="K3842" s="2" t="s">
        <v>262</v>
      </c>
      <c r="L3842" s="2" t="str">
        <f>"2301"</f>
        <v>2301</v>
      </c>
      <c r="M3842" s="2"/>
      <c r="N3842" s="2" t="str">
        <f>"RUE LOUIS-JOSEPH-PAPINEAU"</f>
        <v>RUE LOUIS-JOSEPH-PAPINEAU</v>
      </c>
      <c r="O3842" s="2" t="s">
        <v>16539</v>
      </c>
      <c r="P3842" s="9" t="str">
        <f>VLOOKUP($O3842,'Liste des Villes'!$B$2:$B$1128,1,FALSE)</f>
        <v>Lévis</v>
      </c>
      <c r="Q3842" s="9" t="str">
        <f>IFERROR($P3842,PROPER(VLOOKUP($O3842,'Villes en erreur'!$A$2:$B$72,2,FALSE)))</f>
        <v>Lévis</v>
      </c>
      <c r="R3842" s="9" t="s">
        <v>13064</v>
      </c>
      <c r="S3842" s="9" t="str">
        <f>IF(ISBLANK($R3842),"",VLOOKUP($R3842,'Liste des Villes'!$B$2:$H$1128,4,FALSE))</f>
        <v>Chaudière-Appalaches</v>
      </c>
      <c r="T3842" s="2" t="s">
        <v>16544</v>
      </c>
      <c r="U3842" s="2" t="s">
        <v>39</v>
      </c>
      <c r="V3842" s="2" t="s">
        <v>40</v>
      </c>
      <c r="W3842" s="2" t="s">
        <v>16545</v>
      </c>
      <c r="X3842" s="2"/>
      <c r="Y3842" s="2"/>
      <c r="Z3842" s="2"/>
      <c r="AA3842" s="2" t="s">
        <v>708</v>
      </c>
      <c r="AB3842" s="2" t="s">
        <v>709</v>
      </c>
      <c r="AC3842" s="4" t="s">
        <v>44</v>
      </c>
    </row>
    <row r="3843" spans="1:29" x14ac:dyDescent="0.25">
      <c r="A3843" s="1">
        <v>633</v>
      </c>
      <c r="B3843" s="17" t="s">
        <v>16546</v>
      </c>
      <c r="C3843" s="2" t="s">
        <v>8567</v>
      </c>
      <c r="D3843" s="15" t="s">
        <v>1959</v>
      </c>
      <c r="E3843" s="9" t="s">
        <v>389</v>
      </c>
      <c r="F3843" s="9" t="s">
        <v>8433</v>
      </c>
      <c r="G3843" s="9" t="s">
        <v>479</v>
      </c>
      <c r="H3843" s="2" t="s">
        <v>60</v>
      </c>
      <c r="I3843" s="3">
        <v>37270</v>
      </c>
      <c r="J3843" s="9" t="str">
        <f t="shared" ca="1" si="63"/>
        <v>21 ans</v>
      </c>
      <c r="K3843" s="2" t="s">
        <v>262</v>
      </c>
      <c r="L3843" s="2" t="str">
        <f>"2290"</f>
        <v>2290</v>
      </c>
      <c r="M3843" s="2"/>
      <c r="N3843" s="2" t="str">
        <f>"RUE LOUIS-HÉMON"</f>
        <v>RUE LOUIS-HÉMON</v>
      </c>
      <c r="O3843" s="2" t="s">
        <v>16539</v>
      </c>
      <c r="P3843" s="9" t="str">
        <f>VLOOKUP($O3843,'Liste des Villes'!$B$2:$B$1128,1,FALSE)</f>
        <v>Lévis</v>
      </c>
      <c r="Q3843" s="9" t="str">
        <f>IFERROR($P3843,PROPER(VLOOKUP($O3843,'Villes en erreur'!$A$2:$B$72,2,FALSE)))</f>
        <v>Lévis</v>
      </c>
      <c r="R3843" s="9" t="s">
        <v>13064</v>
      </c>
      <c r="S3843" s="9" t="str">
        <f>IF(ISBLANK($R3843),"",VLOOKUP($R3843,'Liste des Villes'!$B$2:$H$1128,4,FALSE))</f>
        <v>Chaudière-Appalaches</v>
      </c>
      <c r="T3843" s="2" t="s">
        <v>16547</v>
      </c>
      <c r="U3843" s="2" t="s">
        <v>39</v>
      </c>
      <c r="V3843" s="2" t="s">
        <v>40</v>
      </c>
      <c r="W3843" s="2" t="s">
        <v>16528</v>
      </c>
      <c r="X3843" s="2"/>
      <c r="Y3843" s="2"/>
      <c r="Z3843" s="2"/>
      <c r="AA3843" s="2" t="s">
        <v>708</v>
      </c>
      <c r="AB3843" s="2" t="s">
        <v>709</v>
      </c>
      <c r="AC3843" s="4" t="s">
        <v>44</v>
      </c>
    </row>
    <row r="3844" spans="1:29" x14ac:dyDescent="0.25">
      <c r="A3844" s="1">
        <v>3431</v>
      </c>
      <c r="B3844" s="17" t="s">
        <v>16548</v>
      </c>
      <c r="C3844" s="2" t="s">
        <v>12017</v>
      </c>
      <c r="D3844" s="15" t="s">
        <v>144</v>
      </c>
      <c r="E3844" s="9" t="s">
        <v>3104</v>
      </c>
      <c r="F3844" s="9" t="s">
        <v>11874</v>
      </c>
      <c r="G3844" s="9" t="s">
        <v>14635</v>
      </c>
      <c r="H3844" s="2" t="s">
        <v>60</v>
      </c>
      <c r="I3844" s="3">
        <v>37272</v>
      </c>
      <c r="J3844" s="9" t="str">
        <f t="shared" ca="1" si="63"/>
        <v>21 ans</v>
      </c>
      <c r="K3844" s="2" t="s">
        <v>262</v>
      </c>
      <c r="L3844" s="2" t="str">
        <f>"2305"</f>
        <v>2305</v>
      </c>
      <c r="M3844" s="2"/>
      <c r="N3844" s="2" t="str">
        <f>"RUE LOUIS-JOSEPH-PAPINEAU"</f>
        <v>RUE LOUIS-JOSEPH-PAPINEAU</v>
      </c>
      <c r="O3844" s="2" t="s">
        <v>16549</v>
      </c>
      <c r="P3844" s="9" t="str">
        <f>VLOOKUP($O3844,'Liste des Villes'!$B$2:$B$1128,1,FALSE)</f>
        <v>Les Cèdres</v>
      </c>
      <c r="Q3844" s="9" t="str">
        <f>IFERROR($P3844,PROPER(VLOOKUP($O3844,'Villes en erreur'!$A$2:$B$72,2,FALSE)))</f>
        <v>Les Cèdres</v>
      </c>
      <c r="R3844" s="9" t="s">
        <v>16550</v>
      </c>
      <c r="S3844" s="9" t="str">
        <f>IF(ISBLANK($R3844),"",VLOOKUP($R3844,'Liste des Villes'!$B$2:$H$1128,4,FALSE))</f>
        <v>Montérégie</v>
      </c>
      <c r="T3844" s="2" t="s">
        <v>16551</v>
      </c>
      <c r="U3844" s="2" t="s">
        <v>39</v>
      </c>
      <c r="V3844" s="2" t="s">
        <v>40</v>
      </c>
      <c r="W3844" s="2" t="s">
        <v>16552</v>
      </c>
      <c r="X3844" s="2"/>
      <c r="Y3844" s="2"/>
      <c r="Z3844" s="2"/>
      <c r="AA3844" s="2" t="s">
        <v>708</v>
      </c>
      <c r="AB3844" s="2" t="s">
        <v>709</v>
      </c>
      <c r="AC3844" s="4" t="s">
        <v>44</v>
      </c>
    </row>
    <row r="3845" spans="1:29" x14ac:dyDescent="0.25">
      <c r="A3845" s="1">
        <v>4389</v>
      </c>
      <c r="B3845" s="17" t="s">
        <v>16553</v>
      </c>
      <c r="C3845" s="2" t="s">
        <v>1359</v>
      </c>
      <c r="D3845" s="15" t="s">
        <v>1360</v>
      </c>
      <c r="E3845" s="9" t="s">
        <v>1361</v>
      </c>
      <c r="F3845" s="9" t="s">
        <v>2344</v>
      </c>
      <c r="G3845" s="9" t="s">
        <v>704</v>
      </c>
      <c r="H3845" s="2" t="s">
        <v>60</v>
      </c>
      <c r="I3845" s="3">
        <v>37273</v>
      </c>
      <c r="J3845" s="9" t="str">
        <f t="shared" ca="1" si="63"/>
        <v>21 ans</v>
      </c>
      <c r="K3845" s="2" t="s">
        <v>262</v>
      </c>
      <c r="L3845" s="2" t="str">
        <f>"2314"</f>
        <v>2314</v>
      </c>
      <c r="M3845" s="2"/>
      <c r="N3845" s="2" t="str">
        <f>"RUE LOUIS-JOSEPH-PAPINEAU"</f>
        <v>RUE LOUIS-JOSEPH-PAPINEAU</v>
      </c>
      <c r="O3845" s="2" t="s">
        <v>16554</v>
      </c>
      <c r="P3845" s="9" t="str">
        <f>VLOOKUP($O3845,'Liste des Villes'!$B$2:$B$1128,1,FALSE)</f>
        <v>L'Épiphanie</v>
      </c>
      <c r="Q3845" s="9" t="str">
        <f>IFERROR($P3845,PROPER(VLOOKUP($O3845,'Villes en erreur'!$A$2:$B$72,2,FALSE)))</f>
        <v>L'Épiphanie</v>
      </c>
      <c r="R3845" s="9" t="s">
        <v>16555</v>
      </c>
      <c r="S3845" s="9" t="str">
        <f>IF(ISBLANK($R3845),"",VLOOKUP($R3845,'Liste des Villes'!$B$2:$H$1128,4,FALSE))</f>
        <v>Lanaudière</v>
      </c>
      <c r="T3845" s="2" t="s">
        <v>16551</v>
      </c>
      <c r="U3845" s="2" t="s">
        <v>39</v>
      </c>
      <c r="V3845" s="2" t="s">
        <v>40</v>
      </c>
      <c r="W3845" s="2" t="s">
        <v>16556</v>
      </c>
      <c r="X3845" s="2"/>
      <c r="Y3845" s="2"/>
      <c r="Z3845" s="2"/>
      <c r="AA3845" s="2" t="s">
        <v>708</v>
      </c>
      <c r="AB3845" s="2" t="s">
        <v>709</v>
      </c>
      <c r="AC3845" s="4" t="s">
        <v>44</v>
      </c>
    </row>
    <row r="3846" spans="1:29" x14ac:dyDescent="0.25">
      <c r="A3846" s="1">
        <v>1777</v>
      </c>
      <c r="B3846" s="17" t="s">
        <v>16557</v>
      </c>
      <c r="C3846" s="2" t="s">
        <v>16558</v>
      </c>
      <c r="D3846" s="15" t="s">
        <v>304</v>
      </c>
      <c r="E3846" s="9" t="s">
        <v>16559</v>
      </c>
      <c r="F3846" s="9" t="s">
        <v>7506</v>
      </c>
      <c r="G3846" s="9" t="s">
        <v>704</v>
      </c>
      <c r="H3846" s="2" t="s">
        <v>60</v>
      </c>
      <c r="I3846" s="3">
        <v>37273</v>
      </c>
      <c r="J3846" s="9" t="str">
        <f t="shared" ca="1" si="63"/>
        <v>21 ans</v>
      </c>
      <c r="K3846" s="2" t="s">
        <v>262</v>
      </c>
      <c r="L3846" s="2" t="str">
        <f>"2336"</f>
        <v>2336</v>
      </c>
      <c r="M3846" s="2"/>
      <c r="N3846" s="2" t="str">
        <f>"RUE LOUIS-LEPIC"</f>
        <v>RUE LOUIS-LEPIC</v>
      </c>
      <c r="O3846" s="2" t="s">
        <v>16560</v>
      </c>
      <c r="P3846" s="9" t="str">
        <f>VLOOKUP($O3846,'Liste des Villes'!$B$2:$B$1128,1,FALSE)</f>
        <v>Lavaltrie</v>
      </c>
      <c r="Q3846" s="9" t="str">
        <f>IFERROR($P3846,PROPER(VLOOKUP($O3846,'Villes en erreur'!$A$2:$B$72,2,FALSE)))</f>
        <v>Lavaltrie</v>
      </c>
      <c r="R3846" s="9" t="s">
        <v>16561</v>
      </c>
      <c r="S3846" s="9" t="str">
        <f>IF(ISBLANK($R3846),"",VLOOKUP($R3846,'Liste des Villes'!$B$2:$H$1128,4,FALSE))</f>
        <v>Lanaudière</v>
      </c>
      <c r="T3846" s="2" t="s">
        <v>16562</v>
      </c>
      <c r="U3846" s="2" t="s">
        <v>39</v>
      </c>
      <c r="V3846" s="2" t="s">
        <v>40</v>
      </c>
      <c r="W3846" s="2" t="s">
        <v>16563</v>
      </c>
      <c r="X3846" s="2"/>
      <c r="Y3846" s="2"/>
      <c r="Z3846" s="2"/>
      <c r="AA3846" s="2" t="s">
        <v>708</v>
      </c>
      <c r="AB3846" s="2" t="s">
        <v>709</v>
      </c>
      <c r="AC3846" s="4" t="s">
        <v>44</v>
      </c>
    </row>
    <row r="3847" spans="1:29" x14ac:dyDescent="0.25">
      <c r="A3847" s="1">
        <v>1104</v>
      </c>
      <c r="B3847" s="17" t="s">
        <v>16564</v>
      </c>
      <c r="C3847" s="2" t="s">
        <v>9640</v>
      </c>
      <c r="D3847" s="15" t="s">
        <v>7598</v>
      </c>
      <c r="E3847" s="9" t="s">
        <v>4686</v>
      </c>
      <c r="F3847" s="9" t="s">
        <v>7597</v>
      </c>
      <c r="G3847" s="9" t="s">
        <v>2114</v>
      </c>
      <c r="H3847" s="2" t="s">
        <v>60</v>
      </c>
      <c r="I3847" s="3">
        <v>37287</v>
      </c>
      <c r="J3847" s="9" t="str">
        <f t="shared" ca="1" si="63"/>
        <v>21 ans</v>
      </c>
      <c r="K3847" s="2" t="s">
        <v>262</v>
      </c>
      <c r="L3847" s="2" t="str">
        <f>"2547"</f>
        <v>2547</v>
      </c>
      <c r="M3847" s="2"/>
      <c r="N3847" s="2" t="str">
        <f>"RUE MAPLE"</f>
        <v>RUE MAPLE</v>
      </c>
      <c r="O3847" s="2" t="s">
        <v>16565</v>
      </c>
      <c r="P3847" s="9" t="str">
        <f>VLOOKUP($O3847,'Liste des Villes'!$B$2:$B$1128,1,FALSE)</f>
        <v>Laval</v>
      </c>
      <c r="Q3847" s="9" t="str">
        <f>IFERROR($P3847,PROPER(VLOOKUP($O3847,'Villes en erreur'!$A$2:$B$72,2,FALSE)))</f>
        <v>Laval</v>
      </c>
      <c r="R3847" s="9" t="s">
        <v>16566</v>
      </c>
      <c r="S3847" s="9" t="str">
        <f>IF(ISBLANK($R3847),"",VLOOKUP($R3847,'Liste des Villes'!$B$2:$H$1128,4,FALSE))</f>
        <v>Laval</v>
      </c>
      <c r="T3847" s="2" t="s">
        <v>16567</v>
      </c>
      <c r="U3847" s="2" t="s">
        <v>39</v>
      </c>
      <c r="V3847" s="2" t="s">
        <v>40</v>
      </c>
      <c r="W3847" s="2" t="s">
        <v>16568</v>
      </c>
      <c r="X3847" s="2" t="str">
        <f>"4184390706"</f>
        <v>4184390706</v>
      </c>
      <c r="Y3847" s="2"/>
      <c r="Z3847" s="2"/>
      <c r="AA3847" s="2" t="s">
        <v>708</v>
      </c>
      <c r="AB3847" s="2" t="s">
        <v>709</v>
      </c>
      <c r="AC3847" s="4" t="s">
        <v>44</v>
      </c>
    </row>
    <row r="3848" spans="1:29" x14ac:dyDescent="0.25">
      <c r="A3848" s="1">
        <v>2903</v>
      </c>
      <c r="B3848" s="17" t="s">
        <v>16569</v>
      </c>
      <c r="C3848" s="2" t="s">
        <v>16570</v>
      </c>
      <c r="D3848" s="15" t="s">
        <v>766</v>
      </c>
      <c r="E3848" s="9" t="s">
        <v>11529</v>
      </c>
      <c r="F3848" s="9" t="s">
        <v>825</v>
      </c>
      <c r="G3848" s="9" t="s">
        <v>277</v>
      </c>
      <c r="H3848" s="2" t="s">
        <v>60</v>
      </c>
      <c r="I3848" s="3">
        <v>37300</v>
      </c>
      <c r="J3848" s="9" t="str">
        <f t="shared" ca="1" si="63"/>
        <v>21 ans</v>
      </c>
      <c r="K3848" s="2" t="s">
        <v>262</v>
      </c>
      <c r="L3848" s="2" t="str">
        <f>"2808"</f>
        <v>2808</v>
      </c>
      <c r="M3848" s="2"/>
      <c r="N3848" s="2" t="str">
        <f>"RUE MARIA"</f>
        <v>RUE MARIA</v>
      </c>
      <c r="O3848" s="2" t="s">
        <v>16565</v>
      </c>
      <c r="P3848" s="9" t="str">
        <f>VLOOKUP($O3848,'Liste des Villes'!$B$2:$B$1128,1,FALSE)</f>
        <v>Laval</v>
      </c>
      <c r="Q3848" s="9" t="str">
        <f>IFERROR($P3848,PROPER(VLOOKUP($O3848,'Villes en erreur'!$A$2:$B$72,2,FALSE)))</f>
        <v>Laval</v>
      </c>
      <c r="R3848" s="9" t="s">
        <v>16566</v>
      </c>
      <c r="S3848" s="9" t="str">
        <f>IF(ISBLANK($R3848),"",VLOOKUP($R3848,'Liste des Villes'!$B$2:$H$1128,4,FALSE))</f>
        <v>Laval</v>
      </c>
      <c r="T3848" s="2" t="s">
        <v>16571</v>
      </c>
      <c r="U3848" s="2" t="s">
        <v>39</v>
      </c>
      <c r="V3848" s="2" t="s">
        <v>40</v>
      </c>
      <c r="W3848" s="2" t="s">
        <v>16572</v>
      </c>
      <c r="X3848" s="2" t="str">
        <f>"4384911121"</f>
        <v>4384911121</v>
      </c>
      <c r="Y3848" s="2" t="str">
        <f>"8195134045"</f>
        <v>8195134045</v>
      </c>
      <c r="Z3848" s="2"/>
      <c r="AA3848" s="2" t="s">
        <v>708</v>
      </c>
      <c r="AB3848" s="2" t="s">
        <v>709</v>
      </c>
      <c r="AC3848" s="4" t="s">
        <v>44</v>
      </c>
    </row>
    <row r="3849" spans="1:29" x14ac:dyDescent="0.25">
      <c r="A3849" s="1">
        <v>991</v>
      </c>
      <c r="B3849" s="17" t="s">
        <v>16573</v>
      </c>
      <c r="C3849" s="2" t="s">
        <v>717</v>
      </c>
      <c r="D3849" s="15" t="s">
        <v>718</v>
      </c>
      <c r="E3849" s="9" t="s">
        <v>487</v>
      </c>
      <c r="F3849" s="9" t="s">
        <v>719</v>
      </c>
      <c r="G3849" s="9" t="s">
        <v>14837</v>
      </c>
      <c r="H3849" s="2" t="s">
        <v>35</v>
      </c>
      <c r="I3849" s="3">
        <v>37317</v>
      </c>
      <c r="J3849" s="9" t="str">
        <f t="shared" ca="1" si="63"/>
        <v>21 ans</v>
      </c>
      <c r="K3849" s="2" t="s">
        <v>262</v>
      </c>
      <c r="L3849" s="2" t="str">
        <f>"3265"</f>
        <v>3265</v>
      </c>
      <c r="M3849" s="2"/>
      <c r="N3849" s="2" t="str">
        <f>"RUE MAURICE-TESSIER"</f>
        <v>RUE MAURICE-TESSIER</v>
      </c>
      <c r="O3849" s="2" t="s">
        <v>16565</v>
      </c>
      <c r="P3849" s="9" t="str">
        <f>VLOOKUP($O3849,'Liste des Villes'!$B$2:$B$1128,1,FALSE)</f>
        <v>Laval</v>
      </c>
      <c r="Q3849" s="9" t="str">
        <f>IFERROR($P3849,PROPER(VLOOKUP($O3849,'Villes en erreur'!$A$2:$B$72,2,FALSE)))</f>
        <v>Laval</v>
      </c>
      <c r="R3849" s="9" t="s">
        <v>16566</v>
      </c>
      <c r="S3849" s="9" t="str">
        <f>IF(ISBLANK($R3849),"",VLOOKUP($R3849,'Liste des Villes'!$B$2:$H$1128,4,FALSE))</f>
        <v>Laval</v>
      </c>
      <c r="T3849" s="2" t="s">
        <v>16574</v>
      </c>
      <c r="U3849" s="2" t="s">
        <v>39</v>
      </c>
      <c r="V3849" s="2" t="s">
        <v>40</v>
      </c>
      <c r="W3849" s="2" t="s">
        <v>16575</v>
      </c>
      <c r="X3849" s="2" t="str">
        <f>"4388257723"</f>
        <v>4388257723</v>
      </c>
      <c r="Y3849" s="2" t="str">
        <f>"5798883446"</f>
        <v>5798883446</v>
      </c>
      <c r="Z3849" s="2"/>
      <c r="AA3849" s="2" t="s">
        <v>708</v>
      </c>
      <c r="AB3849" s="2" t="s">
        <v>16576</v>
      </c>
      <c r="AC3849" s="4" t="s">
        <v>44</v>
      </c>
    </row>
    <row r="3850" spans="1:29" x14ac:dyDescent="0.25">
      <c r="A3850" s="1">
        <v>4042</v>
      </c>
      <c r="B3850" s="17" t="s">
        <v>16577</v>
      </c>
      <c r="C3850" s="2" t="s">
        <v>16578</v>
      </c>
      <c r="D3850" s="15" t="s">
        <v>10125</v>
      </c>
      <c r="E3850" s="9" t="s">
        <v>3327</v>
      </c>
      <c r="F3850" s="9" t="s">
        <v>64</v>
      </c>
      <c r="G3850" s="9" t="s">
        <v>277</v>
      </c>
      <c r="H3850" s="2" t="s">
        <v>60</v>
      </c>
      <c r="I3850" s="3">
        <v>37293</v>
      </c>
      <c r="J3850" s="9" t="str">
        <f t="shared" ca="1" si="63"/>
        <v>21 ans</v>
      </c>
      <c r="K3850" s="2" t="s">
        <v>262</v>
      </c>
      <c r="L3850" s="2" t="str">
        <f>"2605"</f>
        <v>2605</v>
      </c>
      <c r="M3850" s="2"/>
      <c r="N3850" s="2" t="str">
        <f>"RUE MARC-AURÈLE-FORTIN"</f>
        <v>RUE MARC-AURÈLE-FORTIN</v>
      </c>
      <c r="O3850" s="2" t="s">
        <v>16565</v>
      </c>
      <c r="P3850" s="9" t="str">
        <f>VLOOKUP($O3850,'Liste des Villes'!$B$2:$B$1128,1,FALSE)</f>
        <v>Laval</v>
      </c>
      <c r="Q3850" s="9" t="str">
        <f>IFERROR($P3850,PROPER(VLOOKUP($O3850,'Villes en erreur'!$A$2:$B$72,2,FALSE)))</f>
        <v>Laval</v>
      </c>
      <c r="R3850" s="9" t="s">
        <v>16566</v>
      </c>
      <c r="S3850" s="9" t="str">
        <f>IF(ISBLANK($R3850),"",VLOOKUP($R3850,'Liste des Villes'!$B$2:$H$1128,4,FALSE))</f>
        <v>Laval</v>
      </c>
      <c r="T3850" s="2" t="s">
        <v>16579</v>
      </c>
      <c r="U3850" s="2" t="s">
        <v>39</v>
      </c>
      <c r="V3850" s="2" t="s">
        <v>40</v>
      </c>
      <c r="W3850" s="2" t="s">
        <v>16580</v>
      </c>
      <c r="X3850" s="2" t="str">
        <f>"4383912789"</f>
        <v>4383912789</v>
      </c>
      <c r="Y3850" s="2"/>
      <c r="Z3850" s="2"/>
      <c r="AA3850" s="2" t="s">
        <v>708</v>
      </c>
      <c r="AB3850" s="2" t="s">
        <v>709</v>
      </c>
      <c r="AC3850" s="4" t="s">
        <v>44</v>
      </c>
    </row>
    <row r="3851" spans="1:29" x14ac:dyDescent="0.25">
      <c r="A3851" s="1">
        <v>4275</v>
      </c>
      <c r="B3851" s="17" t="s">
        <v>16581</v>
      </c>
      <c r="C3851" s="2" t="s">
        <v>16582</v>
      </c>
      <c r="D3851" s="15" t="s">
        <v>16583</v>
      </c>
      <c r="E3851" s="9" t="s">
        <v>1410</v>
      </c>
      <c r="F3851" s="9" t="s">
        <v>1460</v>
      </c>
      <c r="G3851" s="9" t="s">
        <v>1341</v>
      </c>
      <c r="H3851" s="2" t="s">
        <v>60</v>
      </c>
      <c r="I3851" s="3">
        <v>37279</v>
      </c>
      <c r="J3851" s="9" t="str">
        <f t="shared" ca="1" si="63"/>
        <v>21 ans</v>
      </c>
      <c r="K3851" s="2" t="s">
        <v>262</v>
      </c>
      <c r="L3851" s="2" t="str">
        <f>"2400"</f>
        <v>2400</v>
      </c>
      <c r="M3851" s="2"/>
      <c r="N3851" s="2" t="str">
        <f>"RUE MACKENZIE"</f>
        <v>RUE MACKENZIE</v>
      </c>
      <c r="O3851" s="2" t="s">
        <v>16565</v>
      </c>
      <c r="P3851" s="9" t="str">
        <f>VLOOKUP($O3851,'Liste des Villes'!$B$2:$B$1128,1,FALSE)</f>
        <v>Laval</v>
      </c>
      <c r="Q3851" s="9" t="str">
        <f>IFERROR($P3851,PROPER(VLOOKUP($O3851,'Villes en erreur'!$A$2:$B$72,2,FALSE)))</f>
        <v>Laval</v>
      </c>
      <c r="R3851" s="9" t="s">
        <v>16566</v>
      </c>
      <c r="S3851" s="9" t="str">
        <f>IF(ISBLANK($R3851),"",VLOOKUP($R3851,'Liste des Villes'!$B$2:$H$1128,4,FALSE))</f>
        <v>Laval</v>
      </c>
      <c r="T3851" s="2" t="s">
        <v>16584</v>
      </c>
      <c r="U3851" s="2" t="s">
        <v>39</v>
      </c>
      <c r="V3851" s="2" t="s">
        <v>40</v>
      </c>
      <c r="W3851" s="2" t="s">
        <v>16585</v>
      </c>
      <c r="X3851" s="2"/>
      <c r="Y3851" s="2"/>
      <c r="Z3851" s="2"/>
      <c r="AA3851" s="2" t="s">
        <v>708</v>
      </c>
      <c r="AB3851" s="2" t="s">
        <v>709</v>
      </c>
      <c r="AC3851" s="4" t="s">
        <v>44</v>
      </c>
    </row>
    <row r="3852" spans="1:29" x14ac:dyDescent="0.25">
      <c r="A3852" s="1">
        <v>928</v>
      </c>
      <c r="B3852" s="17" t="s">
        <v>16586</v>
      </c>
      <c r="C3852" s="2" t="s">
        <v>4516</v>
      </c>
      <c r="D3852" s="15" t="s">
        <v>582</v>
      </c>
      <c r="E3852" s="9" t="s">
        <v>4517</v>
      </c>
      <c r="F3852" s="9" t="s">
        <v>2965</v>
      </c>
      <c r="G3852" s="9" t="s">
        <v>277</v>
      </c>
      <c r="H3852" s="2" t="s">
        <v>60</v>
      </c>
      <c r="I3852" s="3">
        <v>37296</v>
      </c>
      <c r="J3852" s="9" t="str">
        <f t="shared" ca="1" si="63"/>
        <v>21 ans</v>
      </c>
      <c r="K3852" s="2" t="s">
        <v>262</v>
      </c>
      <c r="L3852" s="2" t="str">
        <f>"2724"</f>
        <v>2724</v>
      </c>
      <c r="M3852" s="2"/>
      <c r="N3852" s="2" t="str">
        <f>"RUE MARCEL DUBÉ"</f>
        <v>RUE MARCEL DUBÉ</v>
      </c>
      <c r="O3852" s="2" t="s">
        <v>16565</v>
      </c>
      <c r="P3852" s="9" t="str">
        <f>VLOOKUP($O3852,'Liste des Villes'!$B$2:$B$1128,1,FALSE)</f>
        <v>Laval</v>
      </c>
      <c r="Q3852" s="9" t="str">
        <f>IFERROR($P3852,PROPER(VLOOKUP($O3852,'Villes en erreur'!$A$2:$B$72,2,FALSE)))</f>
        <v>Laval</v>
      </c>
      <c r="R3852" s="9" t="s">
        <v>16566</v>
      </c>
      <c r="S3852" s="9" t="str">
        <f>IF(ISBLANK($R3852),"",VLOOKUP($R3852,'Liste des Villes'!$B$2:$H$1128,4,FALSE))</f>
        <v>Laval</v>
      </c>
      <c r="T3852" s="2" t="s">
        <v>16587</v>
      </c>
      <c r="U3852" s="2" t="s">
        <v>39</v>
      </c>
      <c r="V3852" s="2" t="s">
        <v>40</v>
      </c>
      <c r="W3852" s="2" t="s">
        <v>16588</v>
      </c>
      <c r="X3852" s="2" t="str">
        <f>"4384037114"</f>
        <v>4384037114</v>
      </c>
      <c r="Y3852" s="2" t="str">
        <f>"8197741764"</f>
        <v>8197741764</v>
      </c>
      <c r="Z3852" s="2"/>
      <c r="AA3852" s="2" t="s">
        <v>708</v>
      </c>
      <c r="AB3852" s="2" t="s">
        <v>709</v>
      </c>
      <c r="AC3852" s="4" t="s">
        <v>44</v>
      </c>
    </row>
    <row r="3853" spans="1:29" x14ac:dyDescent="0.25">
      <c r="A3853" s="1">
        <v>924</v>
      </c>
      <c r="B3853" s="17" t="s">
        <v>16589</v>
      </c>
      <c r="C3853" s="2" t="s">
        <v>6925</v>
      </c>
      <c r="D3853" s="15" t="s">
        <v>6926</v>
      </c>
      <c r="E3853" s="9" t="s">
        <v>1560</v>
      </c>
      <c r="F3853" s="9" t="s">
        <v>867</v>
      </c>
      <c r="G3853" s="9" t="s">
        <v>277</v>
      </c>
      <c r="H3853" s="2" t="s">
        <v>60</v>
      </c>
      <c r="I3853" s="3">
        <v>37299</v>
      </c>
      <c r="J3853" s="9" t="str">
        <f t="shared" ca="1" si="63"/>
        <v>21 ans</v>
      </c>
      <c r="K3853" s="2" t="s">
        <v>262</v>
      </c>
      <c r="L3853" s="2" t="str">
        <f>"2793"</f>
        <v>2793</v>
      </c>
      <c r="M3853" s="2"/>
      <c r="N3853" s="2" t="str">
        <f>"RUE MARCIL"</f>
        <v>RUE MARCIL</v>
      </c>
      <c r="O3853" s="2" t="s">
        <v>16565</v>
      </c>
      <c r="P3853" s="9" t="str">
        <f>VLOOKUP($O3853,'Liste des Villes'!$B$2:$B$1128,1,FALSE)</f>
        <v>Laval</v>
      </c>
      <c r="Q3853" s="9" t="str">
        <f>IFERROR($P3853,PROPER(VLOOKUP($O3853,'Villes en erreur'!$A$2:$B$72,2,FALSE)))</f>
        <v>Laval</v>
      </c>
      <c r="R3853" s="9" t="s">
        <v>16566</v>
      </c>
      <c r="S3853" s="9" t="str">
        <f>IF(ISBLANK($R3853),"",VLOOKUP($R3853,'Liste des Villes'!$B$2:$H$1128,4,FALSE))</f>
        <v>Laval</v>
      </c>
      <c r="T3853" s="2" t="s">
        <v>16590</v>
      </c>
      <c r="U3853" s="2" t="s">
        <v>39</v>
      </c>
      <c r="V3853" s="2" t="s">
        <v>40</v>
      </c>
      <c r="W3853" s="2" t="s">
        <v>16591</v>
      </c>
      <c r="X3853" s="2" t="str">
        <f>"4384069618"</f>
        <v>4384069618</v>
      </c>
      <c r="Y3853" s="2" t="str">
        <f>"8196162342"</f>
        <v>8196162342</v>
      </c>
      <c r="Z3853" s="2"/>
      <c r="AA3853" s="2" t="s">
        <v>708</v>
      </c>
      <c r="AB3853" s="2" t="s">
        <v>709</v>
      </c>
      <c r="AC3853" s="4" t="s">
        <v>44</v>
      </c>
    </row>
    <row r="3854" spans="1:29" x14ac:dyDescent="0.25">
      <c r="A3854" s="1">
        <v>1241</v>
      </c>
      <c r="B3854" s="17" t="s">
        <v>16592</v>
      </c>
      <c r="C3854" s="2" t="s">
        <v>16593</v>
      </c>
      <c r="D3854" s="15" t="s">
        <v>6276</v>
      </c>
      <c r="E3854" s="9" t="s">
        <v>13798</v>
      </c>
      <c r="F3854" s="9" t="s">
        <v>8142</v>
      </c>
      <c r="G3854" s="9" t="s">
        <v>3491</v>
      </c>
      <c r="H3854" s="2" t="s">
        <v>35</v>
      </c>
      <c r="I3854" s="3">
        <v>37291</v>
      </c>
      <c r="J3854" s="9" t="str">
        <f t="shared" ca="1" si="63"/>
        <v>21 ans</v>
      </c>
      <c r="K3854" s="2" t="s">
        <v>262</v>
      </c>
      <c r="L3854" s="2" t="str">
        <f>"2605"</f>
        <v>2605</v>
      </c>
      <c r="M3854" s="2"/>
      <c r="N3854" s="2" t="str">
        <f>"RUE MARC-AURÈLE-FORTIN"</f>
        <v>RUE MARC-AURÈLE-FORTIN</v>
      </c>
      <c r="O3854" s="2" t="s">
        <v>16565</v>
      </c>
      <c r="P3854" s="9" t="str">
        <f>VLOOKUP($O3854,'Liste des Villes'!$B$2:$B$1128,1,FALSE)</f>
        <v>Laval</v>
      </c>
      <c r="Q3854" s="9" t="str">
        <f>IFERROR($P3854,PROPER(VLOOKUP($O3854,'Villes en erreur'!$A$2:$B$72,2,FALSE)))</f>
        <v>Laval</v>
      </c>
      <c r="R3854" s="9" t="s">
        <v>16566</v>
      </c>
      <c r="S3854" s="9" t="str">
        <f>IF(ISBLANK($R3854),"",VLOOKUP($R3854,'Liste des Villes'!$B$2:$H$1128,4,FALSE))</f>
        <v>Laval</v>
      </c>
      <c r="T3854" s="2" t="s">
        <v>16594</v>
      </c>
      <c r="U3854" s="2" t="s">
        <v>39</v>
      </c>
      <c r="V3854" s="2" t="s">
        <v>40</v>
      </c>
      <c r="W3854" s="2" t="s">
        <v>16595</v>
      </c>
      <c r="X3854" s="2" t="str">
        <f>"4383910244"</f>
        <v>4383910244</v>
      </c>
      <c r="Y3854" s="2"/>
      <c r="Z3854" s="2"/>
      <c r="AA3854" s="2" t="s">
        <v>708</v>
      </c>
      <c r="AB3854" s="2" t="s">
        <v>709</v>
      </c>
      <c r="AC3854" s="4" t="s">
        <v>44</v>
      </c>
    </row>
    <row r="3855" spans="1:29" x14ac:dyDescent="0.25">
      <c r="A3855" s="1">
        <v>4178</v>
      </c>
      <c r="B3855" s="17" t="s">
        <v>16596</v>
      </c>
      <c r="C3855" s="2" t="s">
        <v>16597</v>
      </c>
      <c r="D3855" s="15" t="s">
        <v>14155</v>
      </c>
      <c r="E3855" s="9" t="s">
        <v>996</v>
      </c>
      <c r="F3855" s="9" t="s">
        <v>1268</v>
      </c>
      <c r="G3855" s="9" t="s">
        <v>3432</v>
      </c>
      <c r="H3855" s="2" t="s">
        <v>35</v>
      </c>
      <c r="I3855" s="3">
        <v>37308</v>
      </c>
      <c r="J3855" s="9" t="str">
        <f t="shared" ca="1" si="63"/>
        <v>21 ans</v>
      </c>
      <c r="K3855" s="2" t="s">
        <v>262</v>
      </c>
      <c r="L3855" s="2" t="str">
        <f>"3007"</f>
        <v>3007</v>
      </c>
      <c r="M3855" s="2"/>
      <c r="N3855" s="2" t="str">
        <f>"RUE MARTINE"</f>
        <v>RUE MARTINE</v>
      </c>
      <c r="O3855" s="2" t="s">
        <v>16565</v>
      </c>
      <c r="P3855" s="9" t="str">
        <f>VLOOKUP($O3855,'Liste des Villes'!$B$2:$B$1128,1,FALSE)</f>
        <v>Laval</v>
      </c>
      <c r="Q3855" s="9" t="str">
        <f>IFERROR($P3855,PROPER(VLOOKUP($O3855,'Villes en erreur'!$A$2:$B$72,2,FALSE)))</f>
        <v>Laval</v>
      </c>
      <c r="R3855" s="9" t="s">
        <v>16566</v>
      </c>
      <c r="S3855" s="9" t="str">
        <f>IF(ISBLANK($R3855),"",VLOOKUP($R3855,'Liste des Villes'!$B$2:$H$1128,4,FALSE))</f>
        <v>Laval</v>
      </c>
      <c r="T3855" s="2" t="s">
        <v>16598</v>
      </c>
      <c r="U3855" s="2" t="s">
        <v>39</v>
      </c>
      <c r="V3855" s="2" t="s">
        <v>40</v>
      </c>
      <c r="W3855" s="2" t="s">
        <v>16599</v>
      </c>
      <c r="X3855" s="2" t="str">
        <f>"4385025602"</f>
        <v>4385025602</v>
      </c>
      <c r="Y3855" s="2" t="str">
        <f>"8193232462"</f>
        <v>8193232462</v>
      </c>
      <c r="Z3855" s="2"/>
      <c r="AA3855" s="2" t="s">
        <v>708</v>
      </c>
      <c r="AB3855" s="2" t="s">
        <v>16576</v>
      </c>
      <c r="AC3855" s="4" t="s">
        <v>44</v>
      </c>
    </row>
    <row r="3856" spans="1:29" x14ac:dyDescent="0.25">
      <c r="A3856" s="1">
        <v>137</v>
      </c>
      <c r="B3856" s="17" t="s">
        <v>16600</v>
      </c>
      <c r="C3856" s="2" t="s">
        <v>2000</v>
      </c>
      <c r="D3856" s="15" t="s">
        <v>2001</v>
      </c>
      <c r="E3856" s="9" t="s">
        <v>219</v>
      </c>
      <c r="F3856" s="9" t="s">
        <v>582</v>
      </c>
      <c r="G3856" s="9" t="s">
        <v>1341</v>
      </c>
      <c r="H3856" s="2" t="s">
        <v>60</v>
      </c>
      <c r="I3856" s="3">
        <v>37278</v>
      </c>
      <c r="J3856" s="9" t="str">
        <f t="shared" ca="1" si="63"/>
        <v>21 ans</v>
      </c>
      <c r="K3856" s="2" t="s">
        <v>262</v>
      </c>
      <c r="L3856" s="2" t="str">
        <f>"2399"</f>
        <v>2399</v>
      </c>
      <c r="M3856" s="2"/>
      <c r="N3856" s="2" t="str">
        <f>"RUE LYNE"</f>
        <v>RUE LYNE</v>
      </c>
      <c r="O3856" s="2" t="s">
        <v>16565</v>
      </c>
      <c r="P3856" s="9" t="str">
        <f>VLOOKUP($O3856,'Liste des Villes'!$B$2:$B$1128,1,FALSE)</f>
        <v>Laval</v>
      </c>
      <c r="Q3856" s="9" t="str">
        <f>IFERROR($P3856,PROPER(VLOOKUP($O3856,'Villes en erreur'!$A$2:$B$72,2,FALSE)))</f>
        <v>Laval</v>
      </c>
      <c r="R3856" s="9" t="s">
        <v>16566</v>
      </c>
      <c r="S3856" s="9" t="str">
        <f>IF(ISBLANK($R3856),"",VLOOKUP($R3856,'Liste des Villes'!$B$2:$H$1128,4,FALSE))</f>
        <v>Laval</v>
      </c>
      <c r="T3856" s="2" t="s">
        <v>16601</v>
      </c>
      <c r="U3856" s="2" t="s">
        <v>39</v>
      </c>
      <c r="V3856" s="2" t="s">
        <v>40</v>
      </c>
      <c r="W3856" s="2" t="s">
        <v>16602</v>
      </c>
      <c r="X3856" s="2"/>
      <c r="Y3856" s="2"/>
      <c r="Z3856" s="2"/>
      <c r="AA3856" s="2" t="s">
        <v>708</v>
      </c>
      <c r="AB3856" s="2" t="s">
        <v>709</v>
      </c>
      <c r="AC3856" s="4" t="s">
        <v>44</v>
      </c>
    </row>
    <row r="3857" spans="1:29" x14ac:dyDescent="0.25">
      <c r="A3857" s="1">
        <v>2009</v>
      </c>
      <c r="B3857" s="17" t="s">
        <v>16603</v>
      </c>
      <c r="C3857" s="2" t="s">
        <v>2722</v>
      </c>
      <c r="D3857" s="15" t="s">
        <v>2723</v>
      </c>
      <c r="E3857" s="9" t="s">
        <v>1754</v>
      </c>
      <c r="F3857" s="9" t="s">
        <v>2724</v>
      </c>
      <c r="G3857" s="9" t="s">
        <v>14015</v>
      </c>
      <c r="H3857" s="2" t="s">
        <v>60</v>
      </c>
      <c r="I3857" s="3">
        <v>37291</v>
      </c>
      <c r="J3857" s="9" t="str">
        <f t="shared" ca="1" si="63"/>
        <v>21 ans</v>
      </c>
      <c r="K3857" s="2" t="s">
        <v>262</v>
      </c>
      <c r="L3857" s="2" t="str">
        <f>"2595"</f>
        <v>2595</v>
      </c>
      <c r="M3857" s="2"/>
      <c r="N3857" s="2" t="str">
        <f>"RUE MARC-ANDRÉ"</f>
        <v>RUE MARC-ANDRÉ</v>
      </c>
      <c r="O3857" s="2" t="s">
        <v>16565</v>
      </c>
      <c r="P3857" s="9" t="str">
        <f>VLOOKUP($O3857,'Liste des Villes'!$B$2:$B$1128,1,FALSE)</f>
        <v>Laval</v>
      </c>
      <c r="Q3857" s="9" t="str">
        <f>IFERROR($P3857,PROPER(VLOOKUP($O3857,'Villes en erreur'!$A$2:$B$72,2,FALSE)))</f>
        <v>Laval</v>
      </c>
      <c r="R3857" s="9" t="s">
        <v>16566</v>
      </c>
      <c r="S3857" s="9" t="str">
        <f>IF(ISBLANK($R3857),"",VLOOKUP($R3857,'Liste des Villes'!$B$2:$H$1128,4,FALSE))</f>
        <v>Laval</v>
      </c>
      <c r="T3857" s="2" t="s">
        <v>16604</v>
      </c>
      <c r="U3857" s="2" t="s">
        <v>39</v>
      </c>
      <c r="V3857" s="2" t="s">
        <v>40</v>
      </c>
      <c r="W3857" s="2" t="s">
        <v>16605</v>
      </c>
      <c r="X3857" s="2" t="str">
        <f>"4383908107"</f>
        <v>4383908107</v>
      </c>
      <c r="Y3857" s="2"/>
      <c r="Z3857" s="2"/>
      <c r="AA3857" s="2" t="s">
        <v>708</v>
      </c>
      <c r="AB3857" s="2" t="s">
        <v>709</v>
      </c>
      <c r="AC3857" s="4" t="s">
        <v>44</v>
      </c>
    </row>
    <row r="3858" spans="1:29" x14ac:dyDescent="0.25">
      <c r="A3858" s="1">
        <v>3517</v>
      </c>
      <c r="B3858" s="17" t="s">
        <v>16606</v>
      </c>
      <c r="C3858" s="2" t="s">
        <v>16607</v>
      </c>
      <c r="D3858" s="15" t="s">
        <v>325</v>
      </c>
      <c r="E3858" s="9" t="s">
        <v>3397</v>
      </c>
      <c r="F3858" s="9" t="s">
        <v>1169</v>
      </c>
      <c r="G3858" s="9" t="s">
        <v>196</v>
      </c>
      <c r="H3858" s="2" t="s">
        <v>35</v>
      </c>
      <c r="I3858" s="3">
        <v>37325</v>
      </c>
      <c r="J3858" s="9" t="str">
        <f t="shared" ca="1" si="63"/>
        <v>21 ans</v>
      </c>
      <c r="K3858" s="2" t="s">
        <v>262</v>
      </c>
      <c r="L3858" s="2" t="str">
        <f>"3487"</f>
        <v>3487</v>
      </c>
      <c r="M3858" s="2"/>
      <c r="N3858" s="2" t="str">
        <f>"RUE MÉLANIE"</f>
        <v>RUE MÉLANIE</v>
      </c>
      <c r="O3858" s="2" t="s">
        <v>16565</v>
      </c>
      <c r="P3858" s="9" t="str">
        <f>VLOOKUP($O3858,'Liste des Villes'!$B$2:$B$1128,1,FALSE)</f>
        <v>Laval</v>
      </c>
      <c r="Q3858" s="9" t="str">
        <f>IFERROR($P3858,PROPER(VLOOKUP($O3858,'Villes en erreur'!$A$2:$B$72,2,FALSE)))</f>
        <v>Laval</v>
      </c>
      <c r="R3858" s="9" t="s">
        <v>16566</v>
      </c>
      <c r="S3858" s="9" t="str">
        <f>IF(ISBLANK($R3858),"",VLOOKUP($R3858,'Liste des Villes'!$B$2:$H$1128,4,FALSE))</f>
        <v>Laval</v>
      </c>
      <c r="T3858" s="2" t="s">
        <v>16608</v>
      </c>
      <c r="U3858" s="2" t="s">
        <v>39</v>
      </c>
      <c r="V3858" s="2" t="s">
        <v>40</v>
      </c>
      <c r="W3858" s="2" t="s">
        <v>16609</v>
      </c>
      <c r="X3858" s="2" t="str">
        <f>"4388887555"</f>
        <v>4388887555</v>
      </c>
      <c r="Y3858" s="2" t="str">
        <f>"5149698877"</f>
        <v>5149698877</v>
      </c>
      <c r="Z3858" s="2"/>
      <c r="AA3858" s="2" t="s">
        <v>708</v>
      </c>
      <c r="AB3858" s="2" t="s">
        <v>16576</v>
      </c>
      <c r="AC3858" s="4" t="s">
        <v>44</v>
      </c>
    </row>
    <row r="3859" spans="1:29" x14ac:dyDescent="0.25">
      <c r="A3859" s="1">
        <v>4444</v>
      </c>
      <c r="B3859" s="17" t="s">
        <v>16610</v>
      </c>
      <c r="C3859" s="2" t="s">
        <v>5783</v>
      </c>
      <c r="D3859" s="15" t="s">
        <v>3252</v>
      </c>
      <c r="E3859" s="9" t="s">
        <v>3497</v>
      </c>
      <c r="F3859" s="9" t="s">
        <v>16611</v>
      </c>
      <c r="G3859" s="9" t="s">
        <v>532</v>
      </c>
      <c r="H3859" s="2" t="s">
        <v>35</v>
      </c>
      <c r="I3859" s="3">
        <v>37314</v>
      </c>
      <c r="J3859" s="9" t="str">
        <f t="shared" ca="1" si="63"/>
        <v>21 ans</v>
      </c>
      <c r="K3859" s="2" t="s">
        <v>262</v>
      </c>
      <c r="L3859" s="2" t="str">
        <f>"3199"</f>
        <v>3199</v>
      </c>
      <c r="M3859" s="2"/>
      <c r="N3859" s="2" t="str">
        <f>"RUE MAURICE CULLEN"</f>
        <v>RUE MAURICE CULLEN</v>
      </c>
      <c r="O3859" s="2" t="s">
        <v>16565</v>
      </c>
      <c r="P3859" s="9" t="str">
        <f>VLOOKUP($O3859,'Liste des Villes'!$B$2:$B$1128,1,FALSE)</f>
        <v>Laval</v>
      </c>
      <c r="Q3859" s="9" t="str">
        <f>IFERROR($P3859,PROPER(VLOOKUP($O3859,'Villes en erreur'!$A$2:$B$72,2,FALSE)))</f>
        <v>Laval</v>
      </c>
      <c r="R3859" s="9" t="s">
        <v>16566</v>
      </c>
      <c r="S3859" s="9" t="str">
        <f>IF(ISBLANK($R3859),"",VLOOKUP($R3859,'Liste des Villes'!$B$2:$H$1128,4,FALSE))</f>
        <v>Laval</v>
      </c>
      <c r="T3859" s="2" t="s">
        <v>16612</v>
      </c>
      <c r="U3859" s="2" t="s">
        <v>39</v>
      </c>
      <c r="V3859" s="2" t="s">
        <v>40</v>
      </c>
      <c r="W3859" s="2" t="s">
        <v>16613</v>
      </c>
      <c r="X3859" s="2" t="str">
        <f>"4387228305"</f>
        <v>4387228305</v>
      </c>
      <c r="Y3859" s="2" t="str">
        <f>"8192160788"</f>
        <v>8192160788</v>
      </c>
      <c r="Z3859" s="2"/>
      <c r="AA3859" s="2" t="s">
        <v>708</v>
      </c>
      <c r="AB3859" s="2" t="s">
        <v>16576</v>
      </c>
      <c r="AC3859" s="4" t="s">
        <v>44</v>
      </c>
    </row>
    <row r="3860" spans="1:29" x14ac:dyDescent="0.25">
      <c r="A3860" s="1">
        <v>2115</v>
      </c>
      <c r="B3860" s="17" t="s">
        <v>16614</v>
      </c>
      <c r="C3860" s="2" t="s">
        <v>16615</v>
      </c>
      <c r="D3860" s="15" t="s">
        <v>2106</v>
      </c>
      <c r="E3860" s="9" t="s">
        <v>8290</v>
      </c>
      <c r="F3860" s="9" t="s">
        <v>6090</v>
      </c>
      <c r="G3860" s="9" t="s">
        <v>277</v>
      </c>
      <c r="H3860" s="2" t="s">
        <v>60</v>
      </c>
      <c r="I3860" s="3">
        <v>37303</v>
      </c>
      <c r="J3860" s="9" t="str">
        <f t="shared" ca="1" si="63"/>
        <v>21 ans</v>
      </c>
      <c r="K3860" s="2" t="s">
        <v>262</v>
      </c>
      <c r="L3860" s="2" t="str">
        <f>"2859"</f>
        <v>2859</v>
      </c>
      <c r="M3860" s="2"/>
      <c r="N3860" s="2" t="str">
        <f>"RUE MARIE-GÉRIN-LAJOIE"</f>
        <v>RUE MARIE-GÉRIN-LAJOIE</v>
      </c>
      <c r="O3860" s="2" t="s">
        <v>16565</v>
      </c>
      <c r="P3860" s="9" t="str">
        <f>VLOOKUP($O3860,'Liste des Villes'!$B$2:$B$1128,1,FALSE)</f>
        <v>Laval</v>
      </c>
      <c r="Q3860" s="9" t="str">
        <f>IFERROR($P3860,PROPER(VLOOKUP($O3860,'Villes en erreur'!$A$2:$B$72,2,FALSE)))</f>
        <v>Laval</v>
      </c>
      <c r="R3860" s="9" t="s">
        <v>16566</v>
      </c>
      <c r="S3860" s="9" t="str">
        <f>IF(ISBLANK($R3860),"",VLOOKUP($R3860,'Liste des Villes'!$B$2:$H$1128,4,FALSE))</f>
        <v>Laval</v>
      </c>
      <c r="T3860" s="2" t="s">
        <v>16616</v>
      </c>
      <c r="U3860" s="2" t="s">
        <v>39</v>
      </c>
      <c r="V3860" s="2" t="s">
        <v>40</v>
      </c>
      <c r="W3860" s="2" t="s">
        <v>16617</v>
      </c>
      <c r="X3860" s="2" t="str">
        <f>"4384949913"</f>
        <v>4384949913</v>
      </c>
      <c r="Y3860" s="2" t="str">
        <f>"8194214017"</f>
        <v>8194214017</v>
      </c>
      <c r="Z3860" s="2"/>
      <c r="AA3860" s="2" t="s">
        <v>708</v>
      </c>
      <c r="AB3860" s="2" t="s">
        <v>709</v>
      </c>
      <c r="AC3860" s="4" t="s">
        <v>44</v>
      </c>
    </row>
    <row r="3861" spans="1:29" x14ac:dyDescent="0.25">
      <c r="A3861" s="1">
        <v>4317</v>
      </c>
      <c r="B3861" s="17" t="s">
        <v>16618</v>
      </c>
      <c r="C3861" s="2" t="s">
        <v>16619</v>
      </c>
      <c r="D3861" s="15" t="s">
        <v>3832</v>
      </c>
      <c r="E3861" s="9" t="s">
        <v>253</v>
      </c>
      <c r="F3861" s="9" t="s">
        <v>3831</v>
      </c>
      <c r="G3861" s="9" t="s">
        <v>277</v>
      </c>
      <c r="H3861" s="2" t="s">
        <v>60</v>
      </c>
      <c r="I3861" s="3">
        <v>37303</v>
      </c>
      <c r="J3861" s="9" t="str">
        <f t="shared" ca="1" si="63"/>
        <v>21 ans</v>
      </c>
      <c r="K3861" s="2" t="s">
        <v>262</v>
      </c>
      <c r="L3861" s="2" t="str">
        <f>"2845"</f>
        <v>2845</v>
      </c>
      <c r="M3861" s="2"/>
      <c r="N3861" s="2" t="str">
        <f>"RUE MARIE-CHAPLEAU"</f>
        <v>RUE MARIE-CHAPLEAU</v>
      </c>
      <c r="O3861" s="2" t="s">
        <v>16565</v>
      </c>
      <c r="P3861" s="9" t="str">
        <f>VLOOKUP($O3861,'Liste des Villes'!$B$2:$B$1128,1,FALSE)</f>
        <v>Laval</v>
      </c>
      <c r="Q3861" s="9" t="str">
        <f>IFERROR($P3861,PROPER(VLOOKUP($O3861,'Villes en erreur'!$A$2:$B$72,2,FALSE)))</f>
        <v>Laval</v>
      </c>
      <c r="R3861" s="9" t="s">
        <v>16566</v>
      </c>
      <c r="S3861" s="9" t="str">
        <f>IF(ISBLANK($R3861),"",VLOOKUP($R3861,'Liste des Villes'!$B$2:$H$1128,4,FALSE))</f>
        <v>Laval</v>
      </c>
      <c r="T3861" s="2" t="s">
        <v>16616</v>
      </c>
      <c r="U3861" s="2" t="s">
        <v>39</v>
      </c>
      <c r="V3861" s="2" t="s">
        <v>40</v>
      </c>
      <c r="W3861" s="2" t="s">
        <v>16620</v>
      </c>
      <c r="X3861" s="2" t="str">
        <f>"4384943653"</f>
        <v>4384943653</v>
      </c>
      <c r="Y3861" s="2" t="str">
        <f>"8194245978"</f>
        <v>8194245978</v>
      </c>
      <c r="Z3861" s="2"/>
      <c r="AA3861" s="2" t="s">
        <v>708</v>
      </c>
      <c r="AB3861" s="2" t="s">
        <v>709</v>
      </c>
      <c r="AC3861" s="4" t="s">
        <v>44</v>
      </c>
    </row>
    <row r="3862" spans="1:29" x14ac:dyDescent="0.25">
      <c r="A3862" s="1">
        <v>4557</v>
      </c>
      <c r="B3862" s="17" t="s">
        <v>16621</v>
      </c>
      <c r="C3862" s="2" t="s">
        <v>16622</v>
      </c>
      <c r="D3862" s="15" t="s">
        <v>1146</v>
      </c>
      <c r="E3862" s="9" t="s">
        <v>318</v>
      </c>
      <c r="F3862" s="9" t="s">
        <v>1145</v>
      </c>
      <c r="G3862" s="9" t="s">
        <v>3432</v>
      </c>
      <c r="H3862" s="2" t="s">
        <v>35</v>
      </c>
      <c r="I3862" s="3">
        <v>37308</v>
      </c>
      <c r="J3862" s="9" t="str">
        <f t="shared" ca="1" si="63"/>
        <v>21 ans</v>
      </c>
      <c r="K3862" s="2" t="s">
        <v>262</v>
      </c>
      <c r="L3862" s="2" t="str">
        <f>"2995"</f>
        <v>2995</v>
      </c>
      <c r="M3862" s="2"/>
      <c r="N3862" s="2" t="str">
        <f>"RUE MARTIAL"</f>
        <v>RUE MARTIAL</v>
      </c>
      <c r="O3862" s="2" t="s">
        <v>16565</v>
      </c>
      <c r="P3862" s="9" t="str">
        <f>VLOOKUP($O3862,'Liste des Villes'!$B$2:$B$1128,1,FALSE)</f>
        <v>Laval</v>
      </c>
      <c r="Q3862" s="9" t="str">
        <f>IFERROR($P3862,PROPER(VLOOKUP($O3862,'Villes en erreur'!$A$2:$B$72,2,FALSE)))</f>
        <v>Laval</v>
      </c>
      <c r="R3862" s="9" t="s">
        <v>16566</v>
      </c>
      <c r="S3862" s="9" t="str">
        <f>IF(ISBLANK($R3862),"",VLOOKUP($R3862,'Liste des Villes'!$B$2:$H$1128,4,FALSE))</f>
        <v>Laval</v>
      </c>
      <c r="T3862" s="2" t="s">
        <v>16623</v>
      </c>
      <c r="U3862" s="2" t="s">
        <v>39</v>
      </c>
      <c r="V3862" s="2" t="s">
        <v>40</v>
      </c>
      <c r="W3862" s="2" t="s">
        <v>16624</v>
      </c>
      <c r="X3862" s="2" t="str">
        <f>"4385024367"</f>
        <v>4385024367</v>
      </c>
      <c r="Y3862" s="2" t="str">
        <f>"8193236221"</f>
        <v>8193236221</v>
      </c>
      <c r="Z3862" s="2"/>
      <c r="AA3862" s="2" t="s">
        <v>708</v>
      </c>
      <c r="AB3862" s="2" t="s">
        <v>16576</v>
      </c>
      <c r="AC3862" s="4" t="s">
        <v>44</v>
      </c>
    </row>
    <row r="3863" spans="1:29" x14ac:dyDescent="0.25">
      <c r="A3863" s="1">
        <v>1495</v>
      </c>
      <c r="B3863" s="17" t="s">
        <v>16625</v>
      </c>
      <c r="C3863" s="2" t="s">
        <v>16626</v>
      </c>
      <c r="D3863" s="15" t="s">
        <v>2427</v>
      </c>
      <c r="E3863" s="9" t="s">
        <v>1447</v>
      </c>
      <c r="F3863" s="9" t="s">
        <v>417</v>
      </c>
      <c r="G3863" s="9" t="s">
        <v>704</v>
      </c>
      <c r="H3863" s="2" t="s">
        <v>60</v>
      </c>
      <c r="I3863" s="3">
        <v>37277</v>
      </c>
      <c r="J3863" s="9" t="str">
        <f t="shared" ca="1" si="63"/>
        <v>21 ans</v>
      </c>
      <c r="K3863" s="2" t="s">
        <v>262</v>
      </c>
      <c r="L3863" s="2" t="str">
        <f>"2385"</f>
        <v>2385</v>
      </c>
      <c r="M3863" s="2"/>
      <c r="N3863" s="2" t="str">
        <f>"RUE LUCIEN"</f>
        <v>RUE LUCIEN</v>
      </c>
      <c r="O3863" s="2" t="s">
        <v>16565</v>
      </c>
      <c r="P3863" s="9" t="str">
        <f>VLOOKUP($O3863,'Liste des Villes'!$B$2:$B$1128,1,FALSE)</f>
        <v>Laval</v>
      </c>
      <c r="Q3863" s="9" t="str">
        <f>IFERROR($P3863,PROPER(VLOOKUP($O3863,'Villes en erreur'!$A$2:$B$72,2,FALSE)))</f>
        <v>Laval</v>
      </c>
      <c r="R3863" s="9" t="s">
        <v>16566</v>
      </c>
      <c r="S3863" s="9" t="str">
        <f>IF(ISBLANK($R3863),"",VLOOKUP($R3863,'Liste des Villes'!$B$2:$H$1128,4,FALSE))</f>
        <v>Laval</v>
      </c>
      <c r="T3863" s="2" t="s">
        <v>16627</v>
      </c>
      <c r="U3863" s="2" t="s">
        <v>39</v>
      </c>
      <c r="V3863" s="2" t="s">
        <v>40</v>
      </c>
      <c r="W3863" s="2" t="s">
        <v>16628</v>
      </c>
      <c r="X3863" s="2"/>
      <c r="Y3863" s="2"/>
      <c r="Z3863" s="2"/>
      <c r="AA3863" s="2" t="s">
        <v>708</v>
      </c>
      <c r="AB3863" s="2" t="s">
        <v>709</v>
      </c>
      <c r="AC3863" s="4" t="s">
        <v>44</v>
      </c>
    </row>
    <row r="3864" spans="1:29" x14ac:dyDescent="0.25">
      <c r="A3864" s="1">
        <v>202</v>
      </c>
      <c r="B3864" s="17" t="s">
        <v>16629</v>
      </c>
      <c r="C3864" s="2" t="s">
        <v>16630</v>
      </c>
      <c r="D3864" s="15" t="s">
        <v>6476</v>
      </c>
      <c r="E3864" s="9" t="s">
        <v>698</v>
      </c>
      <c r="F3864" s="9" t="s">
        <v>3042</v>
      </c>
      <c r="G3864" s="9" t="s">
        <v>5845</v>
      </c>
      <c r="H3864" s="2" t="s">
        <v>35</v>
      </c>
      <c r="I3864" s="3">
        <v>37313</v>
      </c>
      <c r="J3864" s="9" t="str">
        <f t="shared" ca="1" si="63"/>
        <v>21 ans</v>
      </c>
      <c r="K3864" s="2" t="s">
        <v>262</v>
      </c>
      <c r="L3864" s="2" t="str">
        <f>"3160"</f>
        <v>3160</v>
      </c>
      <c r="M3864" s="2"/>
      <c r="N3864" s="2" t="str">
        <f>"RUE MATTE"</f>
        <v>RUE MATTE</v>
      </c>
      <c r="O3864" s="2" t="s">
        <v>16565</v>
      </c>
      <c r="P3864" s="9" t="str">
        <f>VLOOKUP($O3864,'Liste des Villes'!$B$2:$B$1128,1,FALSE)</f>
        <v>Laval</v>
      </c>
      <c r="Q3864" s="9" t="str">
        <f>IFERROR($P3864,PROPER(VLOOKUP($O3864,'Villes en erreur'!$A$2:$B$72,2,FALSE)))</f>
        <v>Laval</v>
      </c>
      <c r="R3864" s="9" t="s">
        <v>16566</v>
      </c>
      <c r="S3864" s="9" t="str">
        <f>IF(ISBLANK($R3864),"",VLOOKUP($R3864,'Liste des Villes'!$B$2:$H$1128,4,FALSE))</f>
        <v>Laval</v>
      </c>
      <c r="T3864" s="2" t="s">
        <v>16631</v>
      </c>
      <c r="U3864" s="2" t="s">
        <v>39</v>
      </c>
      <c r="V3864" s="2" t="s">
        <v>40</v>
      </c>
      <c r="W3864" s="2" t="s">
        <v>16632</v>
      </c>
      <c r="X3864" s="2" t="str">
        <f>"4385588165"</f>
        <v>4385588165</v>
      </c>
      <c r="Y3864" s="2" t="str">
        <f>"8192190438"</f>
        <v>8192190438</v>
      </c>
      <c r="Z3864" s="2"/>
      <c r="AA3864" s="2" t="s">
        <v>708</v>
      </c>
      <c r="AB3864" s="2" t="s">
        <v>16576</v>
      </c>
      <c r="AC3864" s="4" t="s">
        <v>44</v>
      </c>
    </row>
    <row r="3865" spans="1:29" x14ac:dyDescent="0.25">
      <c r="A3865" s="1">
        <v>2557</v>
      </c>
      <c r="B3865" s="17" t="s">
        <v>16633</v>
      </c>
      <c r="C3865" s="2" t="s">
        <v>16634</v>
      </c>
      <c r="D3865" s="15" t="s">
        <v>8880</v>
      </c>
      <c r="E3865" s="9" t="s">
        <v>5585</v>
      </c>
      <c r="F3865" s="9" t="s">
        <v>164</v>
      </c>
      <c r="G3865" s="9" t="s">
        <v>8289</v>
      </c>
      <c r="H3865" s="2" t="s">
        <v>60</v>
      </c>
      <c r="I3865" s="3">
        <v>37310</v>
      </c>
      <c r="J3865" s="9" t="str">
        <f t="shared" ca="1" si="63"/>
        <v>21 ans</v>
      </c>
      <c r="K3865" s="2" t="s">
        <v>262</v>
      </c>
      <c r="L3865" s="2" t="str">
        <f>"3056"</f>
        <v>3056</v>
      </c>
      <c r="M3865" s="2"/>
      <c r="N3865" s="2" t="str">
        <f>"RUE MATHIEU"</f>
        <v>RUE MATHIEU</v>
      </c>
      <c r="O3865" s="2" t="s">
        <v>16565</v>
      </c>
      <c r="P3865" s="9" t="str">
        <f>VLOOKUP($O3865,'Liste des Villes'!$B$2:$B$1128,1,FALSE)</f>
        <v>Laval</v>
      </c>
      <c r="Q3865" s="9" t="str">
        <f>IFERROR($P3865,PROPER(VLOOKUP($O3865,'Villes en erreur'!$A$2:$B$72,2,FALSE)))</f>
        <v>Laval</v>
      </c>
      <c r="R3865" s="9" t="s">
        <v>16566</v>
      </c>
      <c r="S3865" s="9" t="str">
        <f>IF(ISBLANK($R3865),"",VLOOKUP($R3865,'Liste des Villes'!$B$2:$H$1128,4,FALSE))</f>
        <v>Laval</v>
      </c>
      <c r="T3865" s="2" t="s">
        <v>16635</v>
      </c>
      <c r="U3865" s="2" t="s">
        <v>39</v>
      </c>
      <c r="V3865" s="2" t="s">
        <v>40</v>
      </c>
      <c r="W3865" s="2" t="s">
        <v>16636</v>
      </c>
      <c r="X3865" s="2" t="str">
        <f>"4385218069"</f>
        <v>4385218069</v>
      </c>
      <c r="Y3865" s="2" t="str">
        <f>"8193211975"</f>
        <v>8193211975</v>
      </c>
      <c r="Z3865" s="2"/>
      <c r="AA3865" s="2" t="s">
        <v>708</v>
      </c>
      <c r="AB3865" s="2" t="s">
        <v>16576</v>
      </c>
      <c r="AC3865" s="4" t="s">
        <v>44</v>
      </c>
    </row>
    <row r="3866" spans="1:29" x14ac:dyDescent="0.25">
      <c r="A3866" s="1">
        <v>2972</v>
      </c>
      <c r="B3866" s="17" t="s">
        <v>16637</v>
      </c>
      <c r="C3866" s="2" t="s">
        <v>16638</v>
      </c>
      <c r="D3866" s="15" t="s">
        <v>10113</v>
      </c>
      <c r="E3866" s="9" t="s">
        <v>4185</v>
      </c>
      <c r="F3866" s="9" t="s">
        <v>2765</v>
      </c>
      <c r="G3866" s="9" t="s">
        <v>1341</v>
      </c>
      <c r="H3866" s="2" t="s">
        <v>60</v>
      </c>
      <c r="I3866" s="3">
        <v>37281</v>
      </c>
      <c r="J3866" s="9" t="str">
        <f t="shared" ca="1" si="63"/>
        <v>21 ans</v>
      </c>
      <c r="K3866" s="2" t="s">
        <v>262</v>
      </c>
      <c r="L3866" s="2" t="str">
        <f>"2450"</f>
        <v>2450</v>
      </c>
      <c r="M3866" s="2"/>
      <c r="N3866" s="2" t="str">
        <f>"RUE MAGLOIRE LAVALLÉE"</f>
        <v>RUE MAGLOIRE LAVALLÉE</v>
      </c>
      <c r="O3866" s="2" t="s">
        <v>16565</v>
      </c>
      <c r="P3866" s="9" t="str">
        <f>VLOOKUP($O3866,'Liste des Villes'!$B$2:$B$1128,1,FALSE)</f>
        <v>Laval</v>
      </c>
      <c r="Q3866" s="9" t="str">
        <f>IFERROR($P3866,PROPER(VLOOKUP($O3866,'Villes en erreur'!$A$2:$B$72,2,FALSE)))</f>
        <v>Laval</v>
      </c>
      <c r="R3866" s="9" t="s">
        <v>16566</v>
      </c>
      <c r="S3866" s="9" t="str">
        <f>IF(ISBLANK($R3866),"",VLOOKUP($R3866,'Liste des Villes'!$B$2:$H$1128,4,FALSE))</f>
        <v>Laval</v>
      </c>
      <c r="T3866" s="2" t="s">
        <v>16639</v>
      </c>
      <c r="U3866" s="2" t="s">
        <v>39</v>
      </c>
      <c r="V3866" s="2" t="s">
        <v>40</v>
      </c>
      <c r="W3866" s="2" t="s">
        <v>16640</v>
      </c>
      <c r="X3866" s="2"/>
      <c r="Y3866" s="2"/>
      <c r="Z3866" s="2"/>
      <c r="AA3866" s="2" t="s">
        <v>708</v>
      </c>
      <c r="AB3866" s="2" t="s">
        <v>709</v>
      </c>
      <c r="AC3866" s="4" t="s">
        <v>44</v>
      </c>
    </row>
    <row r="3867" spans="1:29" x14ac:dyDescent="0.25">
      <c r="A3867" s="1">
        <v>3194</v>
      </c>
      <c r="B3867" s="17" t="s">
        <v>16641</v>
      </c>
      <c r="C3867" s="2" t="s">
        <v>16642</v>
      </c>
      <c r="D3867" s="15" t="s">
        <v>1301</v>
      </c>
      <c r="E3867" s="9" t="s">
        <v>15755</v>
      </c>
      <c r="F3867" s="9" t="s">
        <v>16531</v>
      </c>
      <c r="G3867" s="9" t="s">
        <v>3897</v>
      </c>
      <c r="H3867" s="2" t="s">
        <v>60</v>
      </c>
      <c r="I3867" s="3">
        <v>37285</v>
      </c>
      <c r="J3867" s="9" t="str">
        <f t="shared" ca="1" si="63"/>
        <v>21 ans</v>
      </c>
      <c r="K3867" s="2" t="s">
        <v>262</v>
      </c>
      <c r="L3867" s="2" t="str">
        <f>"2495"</f>
        <v>2495</v>
      </c>
      <c r="M3867" s="2"/>
      <c r="N3867" s="2" t="str">
        <f>"RUE MAINVILLE"</f>
        <v>RUE MAINVILLE</v>
      </c>
      <c r="O3867" s="2" t="s">
        <v>16565</v>
      </c>
      <c r="P3867" s="9" t="str">
        <f>VLOOKUP($O3867,'Liste des Villes'!$B$2:$B$1128,1,FALSE)</f>
        <v>Laval</v>
      </c>
      <c r="Q3867" s="9" t="str">
        <f>IFERROR($P3867,PROPER(VLOOKUP($O3867,'Villes en erreur'!$A$2:$B$72,2,FALSE)))</f>
        <v>Laval</v>
      </c>
      <c r="R3867" s="9" t="s">
        <v>16566</v>
      </c>
      <c r="S3867" s="9" t="str">
        <f>IF(ISBLANK($R3867),"",VLOOKUP($R3867,'Liste des Villes'!$B$2:$H$1128,4,FALSE))</f>
        <v>Laval</v>
      </c>
      <c r="T3867" s="2" t="s">
        <v>16643</v>
      </c>
      <c r="U3867" s="2" t="s">
        <v>39</v>
      </c>
      <c r="V3867" s="2" t="s">
        <v>40</v>
      </c>
      <c r="W3867" s="2" t="s">
        <v>16644</v>
      </c>
      <c r="X3867" s="2"/>
      <c r="Y3867" s="2"/>
      <c r="Z3867" s="2"/>
      <c r="AA3867" s="2" t="s">
        <v>708</v>
      </c>
      <c r="AB3867" s="2" t="s">
        <v>709</v>
      </c>
      <c r="AC3867" s="4" t="s">
        <v>44</v>
      </c>
    </row>
    <row r="3868" spans="1:29" x14ac:dyDescent="0.25">
      <c r="A3868" s="1">
        <v>2302</v>
      </c>
      <c r="B3868" s="17" t="s">
        <v>16645</v>
      </c>
      <c r="C3868" s="2" t="s">
        <v>16646</v>
      </c>
      <c r="D3868" s="15" t="s">
        <v>1979</v>
      </c>
      <c r="E3868" s="9" t="s">
        <v>11195</v>
      </c>
      <c r="F3868" s="9" t="s">
        <v>1977</v>
      </c>
      <c r="G3868" s="9" t="s">
        <v>3013</v>
      </c>
      <c r="H3868" s="2" t="s">
        <v>60</v>
      </c>
      <c r="I3868" s="3">
        <v>37322</v>
      </c>
      <c r="J3868" s="9" t="str">
        <f t="shared" ca="1" si="63"/>
        <v>21 ans</v>
      </c>
      <c r="K3868" s="2" t="s">
        <v>262</v>
      </c>
      <c r="L3868" s="2" t="str">
        <f>"3380"</f>
        <v>3380</v>
      </c>
      <c r="M3868" s="2"/>
      <c r="N3868" s="2" t="str">
        <f>"RUE MELANÇON"</f>
        <v>RUE MELANÇON</v>
      </c>
      <c r="O3868" s="2" t="s">
        <v>16565</v>
      </c>
      <c r="P3868" s="9" t="str">
        <f>VLOOKUP($O3868,'Liste des Villes'!$B$2:$B$1128,1,FALSE)</f>
        <v>Laval</v>
      </c>
      <c r="Q3868" s="9" t="str">
        <f>IFERROR($P3868,PROPER(VLOOKUP($O3868,'Villes en erreur'!$A$2:$B$72,2,FALSE)))</f>
        <v>Laval</v>
      </c>
      <c r="R3868" s="9" t="s">
        <v>16566</v>
      </c>
      <c r="S3868" s="9" t="str">
        <f>IF(ISBLANK($R3868),"",VLOOKUP($R3868,'Liste des Villes'!$B$2:$H$1128,4,FALSE))</f>
        <v>Laval</v>
      </c>
      <c r="T3868" s="2" t="s">
        <v>16647</v>
      </c>
      <c r="U3868" s="2" t="s">
        <v>39</v>
      </c>
      <c r="V3868" s="2" t="s">
        <v>40</v>
      </c>
      <c r="W3868" s="2" t="s">
        <v>16648</v>
      </c>
      <c r="X3868" s="2" t="str">
        <f>"4388680320"</f>
        <v>4388680320</v>
      </c>
      <c r="Y3868" s="2" t="str">
        <f>"5149929136"</f>
        <v>5149929136</v>
      </c>
      <c r="Z3868" s="2"/>
      <c r="AA3868" s="2" t="s">
        <v>708</v>
      </c>
      <c r="AB3868" s="2" t="s">
        <v>16576</v>
      </c>
      <c r="AC3868" s="4" t="s">
        <v>44</v>
      </c>
    </row>
    <row r="3869" spans="1:29" x14ac:dyDescent="0.25">
      <c r="A3869" s="1">
        <v>3345</v>
      </c>
      <c r="B3869" s="17" t="s">
        <v>16649</v>
      </c>
      <c r="C3869" s="2" t="s">
        <v>3848</v>
      </c>
      <c r="D3869" s="15" t="s">
        <v>839</v>
      </c>
      <c r="E3869" s="9" t="s">
        <v>3849</v>
      </c>
      <c r="F3869" s="9" t="s">
        <v>1076</v>
      </c>
      <c r="G3869" s="9" t="s">
        <v>6337</v>
      </c>
      <c r="H3869" s="2" t="s">
        <v>60</v>
      </c>
      <c r="I3869" s="3">
        <v>37287</v>
      </c>
      <c r="J3869" s="9" t="str">
        <f t="shared" ca="1" si="63"/>
        <v>21 ans</v>
      </c>
      <c r="K3869" s="2" t="s">
        <v>262</v>
      </c>
      <c r="L3869" s="2" t="str">
        <f>"2530"</f>
        <v>2530</v>
      </c>
      <c r="M3869" s="2"/>
      <c r="N3869" s="2" t="str">
        <f>"RUE MAPLE"</f>
        <v>RUE MAPLE</v>
      </c>
      <c r="O3869" s="2" t="s">
        <v>16565</v>
      </c>
      <c r="P3869" s="9" t="str">
        <f>VLOOKUP($O3869,'Liste des Villes'!$B$2:$B$1128,1,FALSE)</f>
        <v>Laval</v>
      </c>
      <c r="Q3869" s="9" t="str">
        <f>IFERROR($P3869,PROPER(VLOOKUP($O3869,'Villes en erreur'!$A$2:$B$72,2,FALSE)))</f>
        <v>Laval</v>
      </c>
      <c r="R3869" s="9" t="s">
        <v>16566</v>
      </c>
      <c r="S3869" s="9" t="str">
        <f>IF(ISBLANK($R3869),"",VLOOKUP($R3869,'Liste des Villes'!$B$2:$H$1128,4,FALSE))</f>
        <v>Laval</v>
      </c>
      <c r="T3869" s="2" t="s">
        <v>16650</v>
      </c>
      <c r="U3869" s="2" t="s">
        <v>39</v>
      </c>
      <c r="V3869" s="2" t="s">
        <v>40</v>
      </c>
      <c r="W3869" s="2" t="s">
        <v>16651</v>
      </c>
      <c r="X3869" s="2" t="str">
        <f>"4183699220"</f>
        <v>4183699220</v>
      </c>
      <c r="Y3869" s="2"/>
      <c r="Z3869" s="2"/>
      <c r="AA3869" s="2" t="s">
        <v>708</v>
      </c>
      <c r="AB3869" s="2" t="s">
        <v>709</v>
      </c>
      <c r="AC3869" s="4" t="s">
        <v>44</v>
      </c>
    </row>
    <row r="3870" spans="1:29" x14ac:dyDescent="0.25">
      <c r="A3870" s="1">
        <v>1621</v>
      </c>
      <c r="B3870" s="17" t="s">
        <v>16652</v>
      </c>
      <c r="C3870" s="2" t="s">
        <v>10929</v>
      </c>
      <c r="D3870" s="15" t="s">
        <v>6023</v>
      </c>
      <c r="E3870" s="9" t="s">
        <v>635</v>
      </c>
      <c r="F3870" s="9" t="s">
        <v>6022</v>
      </c>
      <c r="G3870" s="9" t="s">
        <v>3432</v>
      </c>
      <c r="H3870" s="2" t="s">
        <v>35</v>
      </c>
      <c r="I3870" s="3">
        <v>37308</v>
      </c>
      <c r="J3870" s="9" t="str">
        <f t="shared" ca="1" si="63"/>
        <v>21 ans</v>
      </c>
      <c r="K3870" s="2" t="s">
        <v>262</v>
      </c>
      <c r="L3870" s="2" t="str">
        <f>"2979"</f>
        <v>2979</v>
      </c>
      <c r="M3870" s="2"/>
      <c r="N3870" s="2" t="str">
        <f>"RUE MARTEL"</f>
        <v>RUE MARTEL</v>
      </c>
      <c r="O3870" s="2" t="s">
        <v>16565</v>
      </c>
      <c r="P3870" s="9" t="str">
        <f>VLOOKUP($O3870,'Liste des Villes'!$B$2:$B$1128,1,FALSE)</f>
        <v>Laval</v>
      </c>
      <c r="Q3870" s="9" t="str">
        <f>IFERROR($P3870,PROPER(VLOOKUP($O3870,'Villes en erreur'!$A$2:$B$72,2,FALSE)))</f>
        <v>Laval</v>
      </c>
      <c r="R3870" s="9" t="s">
        <v>16566</v>
      </c>
      <c r="S3870" s="9" t="str">
        <f>IF(ISBLANK($R3870),"",VLOOKUP($R3870,'Liste des Villes'!$B$2:$H$1128,4,FALSE))</f>
        <v>Laval</v>
      </c>
      <c r="T3870" s="2" t="s">
        <v>16653</v>
      </c>
      <c r="U3870" s="2" t="s">
        <v>39</v>
      </c>
      <c r="V3870" s="2" t="s">
        <v>40</v>
      </c>
      <c r="W3870" s="2" t="s">
        <v>16654</v>
      </c>
      <c r="X3870" s="2" t="str">
        <f>"4385023312"</f>
        <v>4385023312</v>
      </c>
      <c r="Y3870" s="2" t="str">
        <f>"8193238516"</f>
        <v>8193238516</v>
      </c>
      <c r="Z3870" s="2"/>
      <c r="AA3870" s="2" t="s">
        <v>708</v>
      </c>
      <c r="AB3870" s="2" t="s">
        <v>16576</v>
      </c>
      <c r="AC3870" s="4" t="s">
        <v>44</v>
      </c>
    </row>
    <row r="3871" spans="1:29" x14ac:dyDescent="0.25">
      <c r="A3871" s="1">
        <v>2076</v>
      </c>
      <c r="B3871" s="17" t="s">
        <v>16655</v>
      </c>
      <c r="C3871" s="2" t="s">
        <v>16656</v>
      </c>
      <c r="D3871" s="15" t="s">
        <v>6577</v>
      </c>
      <c r="E3871" s="9" t="s">
        <v>783</v>
      </c>
      <c r="F3871" s="9" t="s">
        <v>1360</v>
      </c>
      <c r="G3871" s="9" t="s">
        <v>277</v>
      </c>
      <c r="H3871" s="2" t="s">
        <v>60</v>
      </c>
      <c r="I3871" s="3">
        <v>37302</v>
      </c>
      <c r="J3871" s="9" t="str">
        <f t="shared" ca="1" si="63"/>
        <v>21 ans</v>
      </c>
      <c r="K3871" s="2" t="s">
        <v>262</v>
      </c>
      <c r="L3871" s="2" t="str">
        <f>"2841"</f>
        <v>2841</v>
      </c>
      <c r="M3871" s="2"/>
      <c r="N3871" s="2" t="str">
        <f>"RUE MARIE-C.-DAVELUY"</f>
        <v>RUE MARIE-C.-DAVELUY</v>
      </c>
      <c r="O3871" s="2" t="s">
        <v>16565</v>
      </c>
      <c r="P3871" s="9" t="str">
        <f>VLOOKUP($O3871,'Liste des Villes'!$B$2:$B$1128,1,FALSE)</f>
        <v>Laval</v>
      </c>
      <c r="Q3871" s="9" t="str">
        <f>IFERROR($P3871,PROPER(VLOOKUP($O3871,'Villes en erreur'!$A$2:$B$72,2,FALSE)))</f>
        <v>Laval</v>
      </c>
      <c r="R3871" s="9" t="s">
        <v>16566</v>
      </c>
      <c r="S3871" s="9" t="str">
        <f>IF(ISBLANK($R3871),"",VLOOKUP($R3871,'Liste des Villes'!$B$2:$H$1128,4,FALSE))</f>
        <v>Laval</v>
      </c>
      <c r="T3871" s="2" t="s">
        <v>16616</v>
      </c>
      <c r="U3871" s="2" t="s">
        <v>39</v>
      </c>
      <c r="V3871" s="2" t="s">
        <v>40</v>
      </c>
      <c r="W3871" s="2" t="s">
        <v>16657</v>
      </c>
      <c r="X3871" s="2" t="str">
        <f>"4384929439"</f>
        <v>4384929439</v>
      </c>
      <c r="Y3871" s="2" t="str">
        <f>"8194251526"</f>
        <v>8194251526</v>
      </c>
      <c r="Z3871" s="2"/>
      <c r="AA3871" s="2" t="s">
        <v>708</v>
      </c>
      <c r="AB3871" s="2" t="s">
        <v>709</v>
      </c>
      <c r="AC3871" s="4" t="s">
        <v>44</v>
      </c>
    </row>
    <row r="3872" spans="1:29" x14ac:dyDescent="0.25">
      <c r="A3872" s="1">
        <v>677</v>
      </c>
      <c r="B3872" s="17" t="s">
        <v>16658</v>
      </c>
      <c r="C3872" s="2" t="s">
        <v>16659</v>
      </c>
      <c r="D3872" s="15" t="s">
        <v>9446</v>
      </c>
      <c r="E3872" s="9" t="s">
        <v>10933</v>
      </c>
      <c r="F3872" s="9" t="s">
        <v>11977</v>
      </c>
      <c r="G3872" s="9" t="s">
        <v>277</v>
      </c>
      <c r="H3872" s="2" t="s">
        <v>60</v>
      </c>
      <c r="I3872" s="3">
        <v>37298</v>
      </c>
      <c r="J3872" s="9" t="str">
        <f t="shared" ca="1" si="63"/>
        <v>21 ans</v>
      </c>
      <c r="K3872" s="2" t="s">
        <v>262</v>
      </c>
      <c r="L3872" s="2" t="str">
        <f>"2768"</f>
        <v>2768</v>
      </c>
      <c r="M3872" s="2"/>
      <c r="N3872" s="2" t="str">
        <f>"RUE MARCEL-GIGUÈRE"</f>
        <v>RUE MARCEL-GIGUÈRE</v>
      </c>
      <c r="O3872" s="2" t="s">
        <v>16565</v>
      </c>
      <c r="P3872" s="9" t="str">
        <f>VLOOKUP($O3872,'Liste des Villes'!$B$2:$B$1128,1,FALSE)</f>
        <v>Laval</v>
      </c>
      <c r="Q3872" s="9" t="str">
        <f>IFERROR($P3872,PROPER(VLOOKUP($O3872,'Villes en erreur'!$A$2:$B$72,2,FALSE)))</f>
        <v>Laval</v>
      </c>
      <c r="R3872" s="9" t="s">
        <v>16566</v>
      </c>
      <c r="S3872" s="9" t="str">
        <f>IF(ISBLANK($R3872),"",VLOOKUP($R3872,'Liste des Villes'!$B$2:$H$1128,4,FALSE))</f>
        <v>Laval</v>
      </c>
      <c r="T3872" s="2" t="s">
        <v>16660</v>
      </c>
      <c r="U3872" s="2" t="s">
        <v>39</v>
      </c>
      <c r="V3872" s="2" t="s">
        <v>40</v>
      </c>
      <c r="W3872" s="2" t="s">
        <v>16661</v>
      </c>
      <c r="X3872" s="2" t="str">
        <f>"4384047636"</f>
        <v>4384047636</v>
      </c>
      <c r="Y3872" s="2" t="str">
        <f>"8196817371"</f>
        <v>8196817371</v>
      </c>
      <c r="Z3872" s="2"/>
      <c r="AA3872" s="2" t="s">
        <v>708</v>
      </c>
      <c r="AB3872" s="2" t="s">
        <v>709</v>
      </c>
      <c r="AC3872" s="4" t="s">
        <v>44</v>
      </c>
    </row>
    <row r="3873" spans="1:29" x14ac:dyDescent="0.25">
      <c r="A3873" s="1">
        <v>2313</v>
      </c>
      <c r="B3873" s="17" t="s">
        <v>16662</v>
      </c>
      <c r="C3873" s="2" t="s">
        <v>16663</v>
      </c>
      <c r="D3873" s="15" t="s">
        <v>4423</v>
      </c>
      <c r="E3873" s="9" t="s">
        <v>1410</v>
      </c>
      <c r="F3873" s="9" t="s">
        <v>4421</v>
      </c>
      <c r="G3873" s="9" t="s">
        <v>704</v>
      </c>
      <c r="H3873" s="2" t="s">
        <v>60</v>
      </c>
      <c r="I3873" s="3">
        <v>37277</v>
      </c>
      <c r="J3873" s="9" t="str">
        <f t="shared" ca="1" si="63"/>
        <v>21 ans</v>
      </c>
      <c r="K3873" s="2" t="s">
        <v>262</v>
      </c>
      <c r="L3873" s="2" t="str">
        <f>"2380"</f>
        <v>2380</v>
      </c>
      <c r="M3873" s="2"/>
      <c r="N3873" s="2" t="str">
        <f>"RUE LUCIE"</f>
        <v>RUE LUCIE</v>
      </c>
      <c r="O3873" s="2" t="s">
        <v>16565</v>
      </c>
      <c r="P3873" s="9" t="str">
        <f>VLOOKUP($O3873,'Liste des Villes'!$B$2:$B$1128,1,FALSE)</f>
        <v>Laval</v>
      </c>
      <c r="Q3873" s="9" t="str">
        <f>IFERROR($P3873,PROPER(VLOOKUP($O3873,'Villes en erreur'!$A$2:$B$72,2,FALSE)))</f>
        <v>Laval</v>
      </c>
      <c r="R3873" s="9" t="s">
        <v>16566</v>
      </c>
      <c r="S3873" s="9" t="str">
        <f>IF(ISBLANK($R3873),"",VLOOKUP($R3873,'Liste des Villes'!$B$2:$H$1128,4,FALSE))</f>
        <v>Laval</v>
      </c>
      <c r="T3873" s="2" t="s">
        <v>16664</v>
      </c>
      <c r="U3873" s="2" t="s">
        <v>39</v>
      </c>
      <c r="V3873" s="2" t="s">
        <v>40</v>
      </c>
      <c r="W3873" s="2" t="s">
        <v>16665</v>
      </c>
      <c r="X3873" s="2"/>
      <c r="Y3873" s="2"/>
      <c r="Z3873" s="2"/>
      <c r="AA3873" s="2" t="s">
        <v>708</v>
      </c>
      <c r="AB3873" s="2" t="s">
        <v>709</v>
      </c>
      <c r="AC3873" s="4" t="s">
        <v>44</v>
      </c>
    </row>
    <row r="3874" spans="1:29" x14ac:dyDescent="0.25">
      <c r="A3874" s="1">
        <v>378</v>
      </c>
      <c r="B3874" s="17" t="s">
        <v>16666</v>
      </c>
      <c r="C3874" s="2" t="s">
        <v>16667</v>
      </c>
      <c r="D3874" s="15" t="s">
        <v>13501</v>
      </c>
      <c r="E3874" s="9" t="s">
        <v>929</v>
      </c>
      <c r="F3874" s="9" t="s">
        <v>13500</v>
      </c>
      <c r="G3874" s="9" t="s">
        <v>277</v>
      </c>
      <c r="H3874" s="2" t="s">
        <v>60</v>
      </c>
      <c r="I3874" s="3">
        <v>37294</v>
      </c>
      <c r="J3874" s="9" t="str">
        <f t="shared" ca="1" si="63"/>
        <v>21 ans</v>
      </c>
      <c r="K3874" s="2" t="s">
        <v>262</v>
      </c>
      <c r="L3874" s="2" t="str">
        <f>"2669"</f>
        <v>2669</v>
      </c>
      <c r="M3874" s="2"/>
      <c r="N3874" s="2" t="str">
        <f>"RUE MARCEL"</f>
        <v>RUE MARCEL</v>
      </c>
      <c r="O3874" s="2" t="s">
        <v>16565</v>
      </c>
      <c r="P3874" s="9" t="str">
        <f>VLOOKUP($O3874,'Liste des Villes'!$B$2:$B$1128,1,FALSE)</f>
        <v>Laval</v>
      </c>
      <c r="Q3874" s="9" t="str">
        <f>IFERROR($P3874,PROPER(VLOOKUP($O3874,'Villes en erreur'!$A$2:$B$72,2,FALSE)))</f>
        <v>Laval</v>
      </c>
      <c r="R3874" s="9" t="s">
        <v>16566</v>
      </c>
      <c r="S3874" s="9" t="str">
        <f>IF(ISBLANK($R3874),"",VLOOKUP($R3874,'Liste des Villes'!$B$2:$H$1128,4,FALSE))</f>
        <v>Laval</v>
      </c>
      <c r="T3874" s="2" t="s">
        <v>16668</v>
      </c>
      <c r="U3874" s="2" t="s">
        <v>39</v>
      </c>
      <c r="V3874" s="2" t="s">
        <v>40</v>
      </c>
      <c r="W3874" s="2" t="s">
        <v>16669</v>
      </c>
      <c r="X3874" s="2" t="str">
        <f>"4383956897"</f>
        <v>4383956897</v>
      </c>
      <c r="Y3874" s="2" t="str">
        <f>"450.694"</f>
        <v>450.694</v>
      </c>
      <c r="Z3874" s="2"/>
      <c r="AA3874" s="2" t="s">
        <v>708</v>
      </c>
      <c r="AB3874" s="2" t="s">
        <v>709</v>
      </c>
      <c r="AC3874" s="4" t="s">
        <v>44</v>
      </c>
    </row>
    <row r="3875" spans="1:29" x14ac:dyDescent="0.25">
      <c r="A3875" s="1">
        <v>91</v>
      </c>
      <c r="B3875" s="17" t="s">
        <v>16670</v>
      </c>
      <c r="C3875" s="2" t="s">
        <v>16671</v>
      </c>
      <c r="D3875" s="15" t="s">
        <v>4512</v>
      </c>
      <c r="E3875" s="9" t="s">
        <v>4153</v>
      </c>
      <c r="F3875" s="9" t="s">
        <v>9371</v>
      </c>
      <c r="G3875" s="9" t="s">
        <v>10016</v>
      </c>
      <c r="H3875" s="2" t="s">
        <v>60</v>
      </c>
      <c r="I3875" s="3">
        <v>37278</v>
      </c>
      <c r="J3875" s="9" t="str">
        <f t="shared" ca="1" si="63"/>
        <v>21 ans</v>
      </c>
      <c r="K3875" s="2" t="s">
        <v>262</v>
      </c>
      <c r="L3875" s="2" t="str">
        <f>"2399"</f>
        <v>2399</v>
      </c>
      <c r="M3875" s="2"/>
      <c r="N3875" s="2" t="str">
        <f>"RUE LUCILLE"</f>
        <v>RUE LUCILLE</v>
      </c>
      <c r="O3875" s="2" t="s">
        <v>16565</v>
      </c>
      <c r="P3875" s="9" t="str">
        <f>VLOOKUP($O3875,'Liste des Villes'!$B$2:$B$1128,1,FALSE)</f>
        <v>Laval</v>
      </c>
      <c r="Q3875" s="9" t="str">
        <f>IFERROR($P3875,PROPER(VLOOKUP($O3875,'Villes en erreur'!$A$2:$B$72,2,FALSE)))</f>
        <v>Laval</v>
      </c>
      <c r="R3875" s="9" t="s">
        <v>16566</v>
      </c>
      <c r="S3875" s="9" t="str">
        <f>IF(ISBLANK($R3875),"",VLOOKUP($R3875,'Liste des Villes'!$B$2:$H$1128,4,FALSE))</f>
        <v>Laval</v>
      </c>
      <c r="T3875" s="2" t="s">
        <v>16601</v>
      </c>
      <c r="U3875" s="2" t="s">
        <v>39</v>
      </c>
      <c r="V3875" s="2" t="s">
        <v>40</v>
      </c>
      <c r="W3875" s="2" t="s">
        <v>16672</v>
      </c>
      <c r="X3875" s="2"/>
      <c r="Y3875" s="2"/>
      <c r="Z3875" s="2"/>
      <c r="AA3875" s="2" t="s">
        <v>708</v>
      </c>
      <c r="AB3875" s="2" t="s">
        <v>709</v>
      </c>
      <c r="AC3875" s="4" t="s">
        <v>44</v>
      </c>
    </row>
    <row r="3876" spans="1:29" x14ac:dyDescent="0.25">
      <c r="A3876" s="1">
        <v>3879</v>
      </c>
      <c r="B3876" s="17" t="s">
        <v>16673</v>
      </c>
      <c r="C3876" s="2" t="s">
        <v>6144</v>
      </c>
      <c r="D3876" s="15" t="s">
        <v>1050</v>
      </c>
      <c r="E3876" s="9" t="s">
        <v>3404</v>
      </c>
      <c r="F3876" s="9" t="s">
        <v>1048</v>
      </c>
      <c r="G3876" s="9" t="s">
        <v>318</v>
      </c>
      <c r="H3876" s="2" t="s">
        <v>35</v>
      </c>
      <c r="I3876" s="3">
        <v>37311</v>
      </c>
      <c r="J3876" s="9" t="str">
        <f t="shared" ca="1" si="63"/>
        <v>21 ans</v>
      </c>
      <c r="K3876" s="2" t="s">
        <v>262</v>
      </c>
      <c r="L3876" s="2" t="str">
        <f>"3095"</f>
        <v>3095</v>
      </c>
      <c r="M3876" s="2"/>
      <c r="N3876" s="2" t="str">
        <f>"RUE MATHIEU"</f>
        <v>RUE MATHIEU</v>
      </c>
      <c r="O3876" s="2" t="s">
        <v>16565</v>
      </c>
      <c r="P3876" s="9" t="str">
        <f>VLOOKUP($O3876,'Liste des Villes'!$B$2:$B$1128,1,FALSE)</f>
        <v>Laval</v>
      </c>
      <c r="Q3876" s="9" t="str">
        <f>IFERROR($P3876,PROPER(VLOOKUP($O3876,'Villes en erreur'!$A$2:$B$72,2,FALSE)))</f>
        <v>Laval</v>
      </c>
      <c r="R3876" s="9" t="s">
        <v>16566</v>
      </c>
      <c r="S3876" s="9" t="str">
        <f>IF(ISBLANK($R3876),"",VLOOKUP($R3876,'Liste des Villes'!$B$2:$H$1128,4,FALSE))</f>
        <v>Laval</v>
      </c>
      <c r="T3876" s="2" t="s">
        <v>16674</v>
      </c>
      <c r="U3876" s="2" t="s">
        <v>39</v>
      </c>
      <c r="V3876" s="2" t="s">
        <v>40</v>
      </c>
      <c r="W3876" s="2" t="s">
        <v>16675</v>
      </c>
      <c r="X3876" s="2" t="str">
        <f>"4385234571"</f>
        <v>4385234571</v>
      </c>
      <c r="Y3876" s="2" t="str">
        <f>"8192755421"</f>
        <v>8192755421</v>
      </c>
      <c r="Z3876" s="2"/>
      <c r="AA3876" s="2" t="s">
        <v>708</v>
      </c>
      <c r="AB3876" s="2" t="s">
        <v>16576</v>
      </c>
      <c r="AC3876" s="4" t="s">
        <v>44</v>
      </c>
    </row>
    <row r="3877" spans="1:29" x14ac:dyDescent="0.25">
      <c r="A3877" s="1">
        <v>1551</v>
      </c>
      <c r="B3877" s="17" t="s">
        <v>16676</v>
      </c>
      <c r="C3877" s="2" t="s">
        <v>5115</v>
      </c>
      <c r="D3877" s="15" t="s">
        <v>1617</v>
      </c>
      <c r="E3877" s="9" t="s">
        <v>5116</v>
      </c>
      <c r="F3877" s="9" t="s">
        <v>246</v>
      </c>
      <c r="G3877" s="9" t="s">
        <v>704</v>
      </c>
      <c r="H3877" s="2" t="s">
        <v>60</v>
      </c>
      <c r="I3877" s="3">
        <v>37276</v>
      </c>
      <c r="J3877" s="9" t="str">
        <f t="shared" ca="1" si="63"/>
        <v>21 ans</v>
      </c>
      <c r="K3877" s="2" t="s">
        <v>262</v>
      </c>
      <c r="L3877" s="2" t="str">
        <f>"2369"</f>
        <v>2369</v>
      </c>
      <c r="M3877" s="2"/>
      <c r="N3877" s="2" t="str">
        <f>"RUE LUCIE"</f>
        <v>RUE LUCIE</v>
      </c>
      <c r="O3877" s="2" t="s">
        <v>16565</v>
      </c>
      <c r="P3877" s="9" t="str">
        <f>VLOOKUP($O3877,'Liste des Villes'!$B$2:$B$1128,1,FALSE)</f>
        <v>Laval</v>
      </c>
      <c r="Q3877" s="9" t="str">
        <f>IFERROR($P3877,PROPER(VLOOKUP($O3877,'Villes en erreur'!$A$2:$B$72,2,FALSE)))</f>
        <v>Laval</v>
      </c>
      <c r="R3877" s="9" t="s">
        <v>16566</v>
      </c>
      <c r="S3877" s="9" t="str">
        <f>IF(ISBLANK($R3877),"",VLOOKUP($R3877,'Liste des Villes'!$B$2:$H$1128,4,FALSE))</f>
        <v>Laval</v>
      </c>
      <c r="T3877" s="2" t="s">
        <v>16677</v>
      </c>
      <c r="U3877" s="2" t="s">
        <v>39</v>
      </c>
      <c r="V3877" s="2" t="s">
        <v>40</v>
      </c>
      <c r="W3877" s="2" t="s">
        <v>16678</v>
      </c>
      <c r="X3877" s="2"/>
      <c r="Y3877" s="2"/>
      <c r="Z3877" s="2"/>
      <c r="AA3877" s="2" t="s">
        <v>708</v>
      </c>
      <c r="AB3877" s="2" t="s">
        <v>709</v>
      </c>
      <c r="AC3877" s="4" t="s">
        <v>44</v>
      </c>
    </row>
    <row r="3878" spans="1:29" x14ac:dyDescent="0.25">
      <c r="A3878" s="1">
        <v>1853</v>
      </c>
      <c r="B3878" s="17" t="s">
        <v>16679</v>
      </c>
      <c r="C3878" s="2" t="s">
        <v>5552</v>
      </c>
      <c r="D3878" s="15" t="s">
        <v>2898</v>
      </c>
      <c r="E3878" s="9" t="s">
        <v>704</v>
      </c>
      <c r="F3878" s="9" t="s">
        <v>4821</v>
      </c>
      <c r="G3878" s="9" t="s">
        <v>6899</v>
      </c>
      <c r="H3878" s="2" t="s">
        <v>60</v>
      </c>
      <c r="I3878" s="3">
        <v>37282</v>
      </c>
      <c r="J3878" s="9" t="str">
        <f t="shared" ca="1" si="63"/>
        <v>21 ans</v>
      </c>
      <c r="K3878" s="2" t="s">
        <v>262</v>
      </c>
      <c r="L3878" s="2" t="str">
        <f>"2480"</f>
        <v>2480</v>
      </c>
      <c r="M3878" s="2"/>
      <c r="N3878" s="2" t="str">
        <f>"RUE MAGLOIRE-LAVALLÉE"</f>
        <v>RUE MAGLOIRE-LAVALLÉE</v>
      </c>
      <c r="O3878" s="2" t="s">
        <v>16565</v>
      </c>
      <c r="P3878" s="9" t="str">
        <f>VLOOKUP($O3878,'Liste des Villes'!$B$2:$B$1128,1,FALSE)</f>
        <v>Laval</v>
      </c>
      <c r="Q3878" s="9" t="str">
        <f>IFERROR($P3878,PROPER(VLOOKUP($O3878,'Villes en erreur'!$A$2:$B$72,2,FALSE)))</f>
        <v>Laval</v>
      </c>
      <c r="R3878" s="9" t="s">
        <v>16566</v>
      </c>
      <c r="S3878" s="9" t="str">
        <f>IF(ISBLANK($R3878),"",VLOOKUP($R3878,'Liste des Villes'!$B$2:$H$1128,4,FALSE))</f>
        <v>Laval</v>
      </c>
      <c r="T3878" s="2" t="s">
        <v>16680</v>
      </c>
      <c r="U3878" s="2" t="s">
        <v>39</v>
      </c>
      <c r="V3878" s="2" t="s">
        <v>40</v>
      </c>
      <c r="W3878" s="2" t="s">
        <v>16681</v>
      </c>
      <c r="X3878" s="2"/>
      <c r="Y3878" s="2"/>
      <c r="Z3878" s="2"/>
      <c r="AA3878" s="2" t="s">
        <v>708</v>
      </c>
      <c r="AB3878" s="2" t="s">
        <v>709</v>
      </c>
      <c r="AC3878" s="4" t="s">
        <v>44</v>
      </c>
    </row>
    <row r="3879" spans="1:29" x14ac:dyDescent="0.25">
      <c r="A3879" s="1">
        <v>4021</v>
      </c>
      <c r="B3879" s="17" t="s">
        <v>16682</v>
      </c>
      <c r="C3879" s="2" t="s">
        <v>16683</v>
      </c>
      <c r="D3879" s="15" t="s">
        <v>8737</v>
      </c>
      <c r="E3879" s="9" t="s">
        <v>179</v>
      </c>
      <c r="F3879" s="9" t="s">
        <v>3625</v>
      </c>
      <c r="G3879" s="9" t="s">
        <v>277</v>
      </c>
      <c r="H3879" s="2" t="s">
        <v>60</v>
      </c>
      <c r="I3879" s="3">
        <v>37305</v>
      </c>
      <c r="J3879" s="9" t="str">
        <f t="shared" ca="1" si="63"/>
        <v>21 ans</v>
      </c>
      <c r="K3879" s="2" t="s">
        <v>262</v>
      </c>
      <c r="L3879" s="2" t="str">
        <f>"2894"</f>
        <v>2894</v>
      </c>
      <c r="M3879" s="2"/>
      <c r="N3879" s="2" t="str">
        <f>"RUE MARIE-JUSTINE"</f>
        <v>RUE MARIE-JUSTINE</v>
      </c>
      <c r="O3879" s="2" t="s">
        <v>16565</v>
      </c>
      <c r="P3879" s="9" t="str">
        <f>VLOOKUP($O3879,'Liste des Villes'!$B$2:$B$1128,1,FALSE)</f>
        <v>Laval</v>
      </c>
      <c r="Q3879" s="9" t="str">
        <f>IFERROR($P3879,PROPER(VLOOKUP($O3879,'Villes en erreur'!$A$2:$B$72,2,FALSE)))</f>
        <v>Laval</v>
      </c>
      <c r="R3879" s="9" t="s">
        <v>16566</v>
      </c>
      <c r="S3879" s="9" t="str">
        <f>IF(ISBLANK($R3879),"",VLOOKUP($R3879,'Liste des Villes'!$B$2:$H$1128,4,FALSE))</f>
        <v>Laval</v>
      </c>
      <c r="T3879" s="2" t="s">
        <v>16684</v>
      </c>
      <c r="U3879" s="2" t="s">
        <v>39</v>
      </c>
      <c r="V3879" s="2" t="s">
        <v>40</v>
      </c>
      <c r="W3879" s="2" t="s">
        <v>16685</v>
      </c>
      <c r="X3879" s="2" t="str">
        <f>"4384980744"</f>
        <v>4384980744</v>
      </c>
      <c r="Y3879" s="2" t="str">
        <f>"8193343926"</f>
        <v>8193343926</v>
      </c>
      <c r="Z3879" s="2"/>
      <c r="AA3879" s="2" t="s">
        <v>708</v>
      </c>
      <c r="AB3879" s="2" t="s">
        <v>709</v>
      </c>
      <c r="AC3879" s="4" t="s">
        <v>44</v>
      </c>
    </row>
    <row r="3880" spans="1:29" x14ac:dyDescent="0.25">
      <c r="A3880" s="1">
        <v>1565</v>
      </c>
      <c r="B3880" s="17" t="s">
        <v>16686</v>
      </c>
      <c r="C3880" s="2" t="s">
        <v>16687</v>
      </c>
      <c r="D3880" s="15" t="s">
        <v>144</v>
      </c>
      <c r="E3880" s="9" t="s">
        <v>3092</v>
      </c>
      <c r="F3880" s="9" t="s">
        <v>142</v>
      </c>
      <c r="G3880" s="9" t="s">
        <v>3897</v>
      </c>
      <c r="H3880" s="2" t="s">
        <v>60</v>
      </c>
      <c r="I3880" s="3">
        <v>37286</v>
      </c>
      <c r="J3880" s="9" t="str">
        <f t="shared" ca="1" si="63"/>
        <v>21 ans</v>
      </c>
      <c r="K3880" s="2" t="s">
        <v>262</v>
      </c>
      <c r="L3880" s="2" t="str">
        <f>"2497"</f>
        <v>2497</v>
      </c>
      <c r="M3880" s="2"/>
      <c r="N3880" s="2" t="str">
        <f>"RUE MAINVILLE"</f>
        <v>RUE MAINVILLE</v>
      </c>
      <c r="O3880" s="2" t="s">
        <v>16565</v>
      </c>
      <c r="P3880" s="9" t="str">
        <f>VLOOKUP($O3880,'Liste des Villes'!$B$2:$B$1128,1,FALSE)</f>
        <v>Laval</v>
      </c>
      <c r="Q3880" s="9" t="str">
        <f>IFERROR($P3880,PROPER(VLOOKUP($O3880,'Villes en erreur'!$A$2:$B$72,2,FALSE)))</f>
        <v>Laval</v>
      </c>
      <c r="R3880" s="9" t="s">
        <v>16566</v>
      </c>
      <c r="S3880" s="9" t="str">
        <f>IF(ISBLANK($R3880),"",VLOOKUP($R3880,'Liste des Villes'!$B$2:$H$1128,4,FALSE))</f>
        <v>Laval</v>
      </c>
      <c r="T3880" s="2" t="s">
        <v>16688</v>
      </c>
      <c r="U3880" s="2" t="s">
        <v>39</v>
      </c>
      <c r="V3880" s="2" t="s">
        <v>40</v>
      </c>
      <c r="W3880" s="2" t="s">
        <v>16689</v>
      </c>
      <c r="X3880" s="2"/>
      <c r="Y3880" s="2"/>
      <c r="Z3880" s="2"/>
      <c r="AA3880" s="2" t="s">
        <v>708</v>
      </c>
      <c r="AB3880" s="2" t="s">
        <v>709</v>
      </c>
      <c r="AC3880" s="4" t="s">
        <v>44</v>
      </c>
    </row>
    <row r="3881" spans="1:29" x14ac:dyDescent="0.25">
      <c r="A3881" s="1">
        <v>799</v>
      </c>
      <c r="B3881" s="17" t="s">
        <v>16690</v>
      </c>
      <c r="C3881" s="2" t="s">
        <v>2286</v>
      </c>
      <c r="D3881" s="15" t="s">
        <v>1951</v>
      </c>
      <c r="E3881" s="9" t="s">
        <v>186</v>
      </c>
      <c r="F3881" s="9" t="s">
        <v>13494</v>
      </c>
      <c r="G3881" s="9" t="s">
        <v>196</v>
      </c>
      <c r="H3881" s="2" t="s">
        <v>35</v>
      </c>
      <c r="I3881" s="3">
        <v>37327</v>
      </c>
      <c r="J3881" s="9" t="str">
        <f t="shared" ca="1" si="63"/>
        <v>21 ans</v>
      </c>
      <c r="K3881" s="2" t="s">
        <v>262</v>
      </c>
      <c r="L3881" s="2" t="str">
        <f>"3505"</f>
        <v>3505</v>
      </c>
      <c r="M3881" s="2"/>
      <c r="N3881" s="2" t="str">
        <f>"RUE MÉLANIE"</f>
        <v>RUE MÉLANIE</v>
      </c>
      <c r="O3881" s="2" t="s">
        <v>16565</v>
      </c>
      <c r="P3881" s="9" t="str">
        <f>VLOOKUP($O3881,'Liste des Villes'!$B$2:$B$1128,1,FALSE)</f>
        <v>Laval</v>
      </c>
      <c r="Q3881" s="9" t="str">
        <f>IFERROR($P3881,PROPER(VLOOKUP($O3881,'Villes en erreur'!$A$2:$B$72,2,FALSE)))</f>
        <v>Laval</v>
      </c>
      <c r="R3881" s="9" t="s">
        <v>16566</v>
      </c>
      <c r="S3881" s="9" t="str">
        <f>IF(ISBLANK($R3881),"",VLOOKUP($R3881,'Liste des Villes'!$B$2:$H$1128,4,FALSE))</f>
        <v>Laval</v>
      </c>
      <c r="T3881" s="2" t="s">
        <v>16691</v>
      </c>
      <c r="U3881" s="2" t="s">
        <v>39</v>
      </c>
      <c r="V3881" s="2" t="s">
        <v>40</v>
      </c>
      <c r="W3881" s="2" t="s">
        <v>16692</v>
      </c>
      <c r="X3881" s="2" t="str">
        <f>"4389928503"</f>
        <v>4389928503</v>
      </c>
      <c r="Y3881" s="2" t="str">
        <f>"5149528172"</f>
        <v>5149528172</v>
      </c>
      <c r="Z3881" s="2"/>
      <c r="AA3881" s="2" t="s">
        <v>708</v>
      </c>
      <c r="AB3881" s="2" t="s">
        <v>16576</v>
      </c>
      <c r="AC3881" s="4" t="s">
        <v>44</v>
      </c>
    </row>
    <row r="3882" spans="1:29" x14ac:dyDescent="0.25">
      <c r="A3882" s="1">
        <v>2594</v>
      </c>
      <c r="B3882" s="17" t="s">
        <v>16693</v>
      </c>
      <c r="C3882" s="2" t="s">
        <v>16694</v>
      </c>
      <c r="D3882" s="15" t="s">
        <v>3705</v>
      </c>
      <c r="E3882" s="9" t="s">
        <v>10629</v>
      </c>
      <c r="F3882" s="9" t="s">
        <v>16695</v>
      </c>
      <c r="G3882" s="9" t="s">
        <v>2654</v>
      </c>
      <c r="H3882" s="2" t="s">
        <v>60</v>
      </c>
      <c r="I3882" s="3">
        <v>37323</v>
      </c>
      <c r="J3882" s="9" t="str">
        <f t="shared" ca="1" si="63"/>
        <v>21 ans</v>
      </c>
      <c r="K3882" s="2" t="s">
        <v>262</v>
      </c>
      <c r="L3882" s="2" t="str">
        <f>"3404"</f>
        <v>3404</v>
      </c>
      <c r="M3882" s="2"/>
      <c r="N3882" s="2" t="str">
        <f>"RUE MELANÇON"</f>
        <v>RUE MELANÇON</v>
      </c>
      <c r="O3882" s="2" t="s">
        <v>16565</v>
      </c>
      <c r="P3882" s="9" t="str">
        <f>VLOOKUP($O3882,'Liste des Villes'!$B$2:$B$1128,1,FALSE)</f>
        <v>Laval</v>
      </c>
      <c r="Q3882" s="9" t="str">
        <f>IFERROR($P3882,PROPER(VLOOKUP($O3882,'Villes en erreur'!$A$2:$B$72,2,FALSE)))</f>
        <v>Laval</v>
      </c>
      <c r="R3882" s="9" t="s">
        <v>16566</v>
      </c>
      <c r="S3882" s="9" t="str">
        <f>IF(ISBLANK($R3882),"",VLOOKUP($R3882,'Liste des Villes'!$B$2:$H$1128,4,FALSE))</f>
        <v>Laval</v>
      </c>
      <c r="T3882" s="2" t="s">
        <v>16696</v>
      </c>
      <c r="U3882" s="2" t="s">
        <v>39</v>
      </c>
      <c r="V3882" s="2" t="s">
        <v>40</v>
      </c>
      <c r="W3882" s="2" t="s">
        <v>16697</v>
      </c>
      <c r="X3882" s="2" t="str">
        <f>"4388804547"</f>
        <v>4388804547</v>
      </c>
      <c r="Y3882" s="2" t="str">
        <f>"5149788225"</f>
        <v>5149788225</v>
      </c>
      <c r="Z3882" s="2"/>
      <c r="AA3882" s="2" t="s">
        <v>708</v>
      </c>
      <c r="AB3882" s="2" t="s">
        <v>16576</v>
      </c>
      <c r="AC3882" s="4" t="s">
        <v>44</v>
      </c>
    </row>
    <row r="3883" spans="1:29" x14ac:dyDescent="0.25">
      <c r="A3883" s="1">
        <v>1955</v>
      </c>
      <c r="B3883" s="17" t="s">
        <v>16698</v>
      </c>
      <c r="C3883" s="2" t="s">
        <v>5241</v>
      </c>
      <c r="D3883" s="15" t="s">
        <v>4944</v>
      </c>
      <c r="E3883" s="9" t="s">
        <v>956</v>
      </c>
      <c r="F3883" s="9" t="s">
        <v>957</v>
      </c>
      <c r="G3883" s="9" t="s">
        <v>277</v>
      </c>
      <c r="H3883" s="2" t="s">
        <v>60</v>
      </c>
      <c r="I3883" s="3">
        <v>37296</v>
      </c>
      <c r="J3883" s="9" t="str">
        <f t="shared" ca="1" si="63"/>
        <v>21 ans</v>
      </c>
      <c r="K3883" s="2" t="s">
        <v>262</v>
      </c>
      <c r="L3883" s="2" t="str">
        <f>"2715"</f>
        <v>2715</v>
      </c>
      <c r="M3883" s="2"/>
      <c r="N3883" s="2" t="str">
        <f>"RUE MARCEL"</f>
        <v>RUE MARCEL</v>
      </c>
      <c r="O3883" s="2" t="s">
        <v>16565</v>
      </c>
      <c r="P3883" s="9" t="str">
        <f>VLOOKUP($O3883,'Liste des Villes'!$B$2:$B$1128,1,FALSE)</f>
        <v>Laval</v>
      </c>
      <c r="Q3883" s="9" t="str">
        <f>IFERROR($P3883,PROPER(VLOOKUP($O3883,'Villes en erreur'!$A$2:$B$72,2,FALSE)))</f>
        <v>Laval</v>
      </c>
      <c r="R3883" s="9" t="s">
        <v>16566</v>
      </c>
      <c r="S3883" s="9" t="str">
        <f>IF(ISBLANK($R3883),"",VLOOKUP($R3883,'Liste des Villes'!$B$2:$H$1128,4,FALSE))</f>
        <v>Laval</v>
      </c>
      <c r="T3883" s="2" t="s">
        <v>16699</v>
      </c>
      <c r="U3883" s="2" t="s">
        <v>39</v>
      </c>
      <c r="V3883" s="2" t="s">
        <v>40</v>
      </c>
      <c r="W3883" s="2" t="s">
        <v>16700</v>
      </c>
      <c r="X3883" s="2" t="str">
        <f>"4383986974"</f>
        <v>4383986974</v>
      </c>
      <c r="Y3883" s="2" t="str">
        <f>"8198087502"</f>
        <v>8198087502</v>
      </c>
      <c r="Z3883" s="2"/>
      <c r="AA3883" s="2" t="s">
        <v>708</v>
      </c>
      <c r="AB3883" s="2" t="s">
        <v>709</v>
      </c>
      <c r="AC3883" s="4" t="s">
        <v>44</v>
      </c>
    </row>
    <row r="3884" spans="1:29" x14ac:dyDescent="0.25">
      <c r="A3884" s="1">
        <v>323</v>
      </c>
      <c r="B3884" s="17" t="s">
        <v>16701</v>
      </c>
      <c r="C3884" s="2" t="s">
        <v>8375</v>
      </c>
      <c r="D3884" s="15" t="s">
        <v>6983</v>
      </c>
      <c r="E3884" s="9" t="s">
        <v>3265</v>
      </c>
      <c r="F3884" s="9" t="s">
        <v>2280</v>
      </c>
      <c r="G3884" s="9" t="s">
        <v>277</v>
      </c>
      <c r="H3884" s="2" t="s">
        <v>60</v>
      </c>
      <c r="I3884" s="3">
        <v>37298</v>
      </c>
      <c r="J3884" s="9" t="str">
        <f t="shared" ca="1" si="63"/>
        <v>21 ans</v>
      </c>
      <c r="K3884" s="2" t="s">
        <v>262</v>
      </c>
      <c r="L3884" s="2" t="str">
        <f>"2735"</f>
        <v>2735</v>
      </c>
      <c r="M3884" s="2"/>
      <c r="N3884" s="2" t="str">
        <f>"Rue Marcel-Dubé"</f>
        <v>Rue Marcel-Dubé</v>
      </c>
      <c r="O3884" s="2" t="s">
        <v>16565</v>
      </c>
      <c r="P3884" s="9" t="str">
        <f>VLOOKUP($O3884,'Liste des Villes'!$B$2:$B$1128,1,FALSE)</f>
        <v>Laval</v>
      </c>
      <c r="Q3884" s="9" t="str">
        <f>IFERROR($P3884,PROPER(VLOOKUP($O3884,'Villes en erreur'!$A$2:$B$72,2,FALSE)))</f>
        <v>Laval</v>
      </c>
      <c r="R3884" s="9" t="s">
        <v>16566</v>
      </c>
      <c r="S3884" s="9" t="str">
        <f>IF(ISBLANK($R3884),"",VLOOKUP($R3884,'Liste des Villes'!$B$2:$H$1128,4,FALSE))</f>
        <v>Laval</v>
      </c>
      <c r="T3884" s="2" t="s">
        <v>16702</v>
      </c>
      <c r="U3884" s="2" t="s">
        <v>39</v>
      </c>
      <c r="V3884" s="2" t="s">
        <v>40</v>
      </c>
      <c r="W3884" s="2" t="s">
        <v>16703</v>
      </c>
      <c r="X3884" s="2" t="str">
        <f>"4384042608"</f>
        <v>4384042608</v>
      </c>
      <c r="Y3884" s="2" t="str">
        <f>"8196869051"</f>
        <v>8196869051</v>
      </c>
      <c r="Z3884" s="2"/>
      <c r="AA3884" s="2" t="s">
        <v>708</v>
      </c>
      <c r="AB3884" s="2" t="s">
        <v>709</v>
      </c>
      <c r="AC3884" s="4" t="s">
        <v>44</v>
      </c>
    </row>
    <row r="3885" spans="1:29" x14ac:dyDescent="0.25">
      <c r="A3885" s="1">
        <v>4524</v>
      </c>
      <c r="B3885" s="17" t="s">
        <v>16704</v>
      </c>
      <c r="C3885" s="2" t="s">
        <v>16705</v>
      </c>
      <c r="D3885" s="15" t="s">
        <v>164</v>
      </c>
      <c r="E3885" s="9" t="s">
        <v>12864</v>
      </c>
      <c r="F3885" s="9" t="s">
        <v>16706</v>
      </c>
      <c r="G3885" s="9" t="s">
        <v>1341</v>
      </c>
      <c r="H3885" s="2" t="s">
        <v>60</v>
      </c>
      <c r="I3885" s="3">
        <v>37280</v>
      </c>
      <c r="J3885" s="9" t="str">
        <f t="shared" ca="1" si="63"/>
        <v>21 ans</v>
      </c>
      <c r="K3885" s="2" t="s">
        <v>262</v>
      </c>
      <c r="L3885" s="2" t="str">
        <f>"2430"</f>
        <v>2430</v>
      </c>
      <c r="M3885" s="2"/>
      <c r="N3885" s="2" t="str">
        <f>"RUE MADELEINE"</f>
        <v>RUE MADELEINE</v>
      </c>
      <c r="O3885" s="2" t="s">
        <v>16565</v>
      </c>
      <c r="P3885" s="9" t="str">
        <f>VLOOKUP($O3885,'Liste des Villes'!$B$2:$B$1128,1,FALSE)</f>
        <v>Laval</v>
      </c>
      <c r="Q3885" s="9" t="str">
        <f>IFERROR($P3885,PROPER(VLOOKUP($O3885,'Villes en erreur'!$A$2:$B$72,2,FALSE)))</f>
        <v>Laval</v>
      </c>
      <c r="R3885" s="9" t="s">
        <v>16566</v>
      </c>
      <c r="S3885" s="9" t="str">
        <f>IF(ISBLANK($R3885),"",VLOOKUP($R3885,'Liste des Villes'!$B$2:$H$1128,4,FALSE))</f>
        <v>Laval</v>
      </c>
      <c r="T3885" s="2" t="s">
        <v>16707</v>
      </c>
      <c r="U3885" s="2" t="s">
        <v>39</v>
      </c>
      <c r="V3885" s="2" t="s">
        <v>40</v>
      </c>
      <c r="W3885" s="2" t="s">
        <v>16708</v>
      </c>
      <c r="X3885" s="2"/>
      <c r="Y3885" s="2"/>
      <c r="Z3885" s="2"/>
      <c r="AA3885" s="2" t="s">
        <v>708</v>
      </c>
      <c r="AB3885" s="2" t="s">
        <v>709</v>
      </c>
      <c r="AC3885" s="4" t="s">
        <v>44</v>
      </c>
    </row>
    <row r="3886" spans="1:29" x14ac:dyDescent="0.25">
      <c r="A3886" s="1">
        <v>2350</v>
      </c>
      <c r="B3886" s="17" t="s">
        <v>16709</v>
      </c>
      <c r="C3886" s="2" t="s">
        <v>16710</v>
      </c>
      <c r="D3886" s="15" t="s">
        <v>16711</v>
      </c>
      <c r="E3886" s="9" t="s">
        <v>5798</v>
      </c>
      <c r="F3886" s="9" t="s">
        <v>16712</v>
      </c>
      <c r="G3886" s="9" t="s">
        <v>439</v>
      </c>
      <c r="H3886" s="2" t="s">
        <v>35</v>
      </c>
      <c r="I3886" s="3">
        <v>37317</v>
      </c>
      <c r="J3886" s="9" t="str">
        <f t="shared" ca="1" si="63"/>
        <v>21 ans</v>
      </c>
      <c r="K3886" s="2" t="s">
        <v>262</v>
      </c>
      <c r="L3886" s="2" t="str">
        <f>"3281"</f>
        <v>3281</v>
      </c>
      <c r="M3886" s="2"/>
      <c r="N3886" s="2" t="str">
        <f>"RUE MCGIBBON"</f>
        <v>RUE MCGIBBON</v>
      </c>
      <c r="O3886" s="2" t="s">
        <v>16565</v>
      </c>
      <c r="P3886" s="9" t="str">
        <f>VLOOKUP($O3886,'Liste des Villes'!$B$2:$B$1128,1,FALSE)</f>
        <v>Laval</v>
      </c>
      <c r="Q3886" s="9" t="str">
        <f>IFERROR($P3886,PROPER(VLOOKUP($O3886,'Villes en erreur'!$A$2:$B$72,2,FALSE)))</f>
        <v>Laval</v>
      </c>
      <c r="R3886" s="9" t="s">
        <v>16566</v>
      </c>
      <c r="S3886" s="9" t="str">
        <f>IF(ISBLANK($R3886),"",VLOOKUP($R3886,'Liste des Villes'!$B$2:$H$1128,4,FALSE))</f>
        <v>Laval</v>
      </c>
      <c r="T3886" s="2" t="s">
        <v>16713</v>
      </c>
      <c r="U3886" s="2" t="s">
        <v>39</v>
      </c>
      <c r="V3886" s="2" t="s">
        <v>40</v>
      </c>
      <c r="W3886" s="2" t="s">
        <v>16714</v>
      </c>
      <c r="X3886" s="2" t="str">
        <f>"4388271915"</f>
        <v>4388271915</v>
      </c>
      <c r="Y3886" s="2" t="str">
        <f>"5798880484"</f>
        <v>5798880484</v>
      </c>
      <c r="Z3886" s="2"/>
      <c r="AA3886" s="2" t="s">
        <v>708</v>
      </c>
      <c r="AB3886" s="2" t="s">
        <v>16576</v>
      </c>
      <c r="AC3886" s="4" t="s">
        <v>44</v>
      </c>
    </row>
    <row r="3887" spans="1:29" x14ac:dyDescent="0.25">
      <c r="A3887" s="1">
        <v>4334</v>
      </c>
      <c r="B3887" s="17" t="s">
        <v>16715</v>
      </c>
      <c r="C3887" s="2" t="s">
        <v>9740</v>
      </c>
      <c r="D3887" s="15" t="s">
        <v>4058</v>
      </c>
      <c r="E3887" s="9" t="s">
        <v>495</v>
      </c>
      <c r="F3887" s="9" t="s">
        <v>4057</v>
      </c>
      <c r="G3887" s="9" t="s">
        <v>277</v>
      </c>
      <c r="H3887" s="2" t="s">
        <v>60</v>
      </c>
      <c r="I3887" s="3">
        <v>37296</v>
      </c>
      <c r="J3887" s="9" t="str">
        <f t="shared" ca="1" si="63"/>
        <v>21 ans</v>
      </c>
      <c r="K3887" s="2" t="s">
        <v>262</v>
      </c>
      <c r="L3887" s="2" t="str">
        <f>"2718"</f>
        <v>2718</v>
      </c>
      <c r="M3887" s="2"/>
      <c r="N3887" s="2" t="str">
        <f>"RUE MARCEL"</f>
        <v>RUE MARCEL</v>
      </c>
      <c r="O3887" s="2" t="s">
        <v>16565</v>
      </c>
      <c r="P3887" s="9" t="str">
        <f>VLOOKUP($O3887,'Liste des Villes'!$B$2:$B$1128,1,FALSE)</f>
        <v>Laval</v>
      </c>
      <c r="Q3887" s="9" t="str">
        <f>IFERROR($P3887,PROPER(VLOOKUP($O3887,'Villes en erreur'!$A$2:$B$72,2,FALSE)))</f>
        <v>Laval</v>
      </c>
      <c r="R3887" s="9" t="s">
        <v>16566</v>
      </c>
      <c r="S3887" s="9" t="str">
        <f>IF(ISBLANK($R3887),"",VLOOKUP($R3887,'Liste des Villes'!$B$2:$H$1128,4,FALSE))</f>
        <v>Laval</v>
      </c>
      <c r="T3887" s="2" t="s">
        <v>16716</v>
      </c>
      <c r="U3887" s="2" t="s">
        <v>39</v>
      </c>
      <c r="V3887" s="2" t="s">
        <v>40</v>
      </c>
      <c r="W3887" s="2" t="s">
        <v>16717</v>
      </c>
      <c r="X3887" s="2" t="str">
        <f>"4384030635"</f>
        <v>4384030635</v>
      </c>
      <c r="Y3887" s="2" t="str">
        <f>"8197743374"</f>
        <v>8197743374</v>
      </c>
      <c r="Z3887" s="2"/>
      <c r="AA3887" s="2" t="s">
        <v>708</v>
      </c>
      <c r="AB3887" s="2" t="s">
        <v>709</v>
      </c>
      <c r="AC3887" s="4" t="s">
        <v>44</v>
      </c>
    </row>
    <row r="3888" spans="1:29" x14ac:dyDescent="0.25">
      <c r="A3888" s="1">
        <v>39</v>
      </c>
      <c r="B3888" s="17" t="s">
        <v>16718</v>
      </c>
      <c r="C3888" s="2" t="s">
        <v>16719</v>
      </c>
      <c r="D3888" s="15" t="s">
        <v>4730</v>
      </c>
      <c r="E3888" s="9" t="s">
        <v>7169</v>
      </c>
      <c r="F3888" s="9" t="s">
        <v>1649</v>
      </c>
      <c r="G3888" s="9" t="s">
        <v>16720</v>
      </c>
      <c r="H3888" s="2" t="s">
        <v>60</v>
      </c>
      <c r="I3888" s="3">
        <v>37312</v>
      </c>
      <c r="J3888" s="9" t="str">
        <f t="shared" ca="1" si="63"/>
        <v>21 ans</v>
      </c>
      <c r="K3888" s="2" t="s">
        <v>262</v>
      </c>
      <c r="L3888" s="2" t="str">
        <f>"3137"</f>
        <v>3137</v>
      </c>
      <c r="M3888" s="2"/>
      <c r="N3888" s="2" t="str">
        <f>"RUE MATHIEU"</f>
        <v>RUE MATHIEU</v>
      </c>
      <c r="O3888" s="2" t="s">
        <v>16565</v>
      </c>
      <c r="P3888" s="9" t="str">
        <f>VLOOKUP($O3888,'Liste des Villes'!$B$2:$B$1128,1,FALSE)</f>
        <v>Laval</v>
      </c>
      <c r="Q3888" s="9" t="str">
        <f>IFERROR($P3888,PROPER(VLOOKUP($O3888,'Villes en erreur'!$A$2:$B$72,2,FALSE)))</f>
        <v>Laval</v>
      </c>
      <c r="R3888" s="9" t="s">
        <v>16566</v>
      </c>
      <c r="S3888" s="9" t="str">
        <f>IF(ISBLANK($R3888),"",VLOOKUP($R3888,'Liste des Villes'!$B$2:$H$1128,4,FALSE))</f>
        <v>Laval</v>
      </c>
      <c r="T3888" s="2" t="s">
        <v>16721</v>
      </c>
      <c r="U3888" s="2" t="s">
        <v>39</v>
      </c>
      <c r="V3888" s="2" t="s">
        <v>40</v>
      </c>
      <c r="W3888" s="2" t="s">
        <v>16722</v>
      </c>
      <c r="X3888" s="2" t="str">
        <f>"4385238885"</f>
        <v>4385238885</v>
      </c>
      <c r="Y3888" s="2" t="str">
        <f>"8192741275"</f>
        <v>8192741275</v>
      </c>
      <c r="Z3888" s="2"/>
      <c r="AA3888" s="2" t="s">
        <v>708</v>
      </c>
      <c r="AB3888" s="2" t="s">
        <v>16576</v>
      </c>
      <c r="AC3888" s="4" t="s">
        <v>44</v>
      </c>
    </row>
    <row r="3889" spans="1:29" x14ac:dyDescent="0.25">
      <c r="A3889" s="1">
        <v>3575</v>
      </c>
      <c r="B3889" s="17" t="s">
        <v>16723</v>
      </c>
      <c r="C3889" s="2" t="s">
        <v>16724</v>
      </c>
      <c r="D3889" s="15" t="s">
        <v>3569</v>
      </c>
      <c r="E3889" s="9" t="s">
        <v>404</v>
      </c>
      <c r="F3889" s="9" t="s">
        <v>3567</v>
      </c>
      <c r="G3889" s="9" t="s">
        <v>13599</v>
      </c>
      <c r="H3889" s="2" t="s">
        <v>60</v>
      </c>
      <c r="I3889" s="3">
        <v>37291</v>
      </c>
      <c r="J3889" s="9" t="str">
        <f t="shared" ca="1" si="63"/>
        <v>21 ans</v>
      </c>
      <c r="K3889" s="2" t="s">
        <v>262</v>
      </c>
      <c r="L3889" s="2" t="str">
        <f>"2600"</f>
        <v>2600</v>
      </c>
      <c r="M3889" s="2"/>
      <c r="N3889" s="2" t="str">
        <f>"RUE MARC-AURÈLE-FORTIN"</f>
        <v>RUE MARC-AURÈLE-FORTIN</v>
      </c>
      <c r="O3889" s="2" t="s">
        <v>16565</v>
      </c>
      <c r="P3889" s="9" t="str">
        <f>VLOOKUP($O3889,'Liste des Villes'!$B$2:$B$1128,1,FALSE)</f>
        <v>Laval</v>
      </c>
      <c r="Q3889" s="9" t="str">
        <f>IFERROR($P3889,PROPER(VLOOKUP($O3889,'Villes en erreur'!$A$2:$B$72,2,FALSE)))</f>
        <v>Laval</v>
      </c>
      <c r="R3889" s="9" t="s">
        <v>16566</v>
      </c>
      <c r="S3889" s="9" t="str">
        <f>IF(ISBLANK($R3889),"",VLOOKUP($R3889,'Liste des Villes'!$B$2:$H$1128,4,FALSE))</f>
        <v>Laval</v>
      </c>
      <c r="T3889" s="2" t="s">
        <v>16725</v>
      </c>
      <c r="U3889" s="2" t="s">
        <v>39</v>
      </c>
      <c r="V3889" s="2" t="s">
        <v>40</v>
      </c>
      <c r="W3889" s="2" t="s">
        <v>16726</v>
      </c>
      <c r="X3889" s="2" t="str">
        <f>"4383908547"</f>
        <v>4383908547</v>
      </c>
      <c r="Y3889" s="2"/>
      <c r="Z3889" s="2"/>
      <c r="AA3889" s="2" t="s">
        <v>708</v>
      </c>
      <c r="AB3889" s="2" t="s">
        <v>709</v>
      </c>
      <c r="AC3889" s="4" t="s">
        <v>44</v>
      </c>
    </row>
    <row r="3890" spans="1:29" x14ac:dyDescent="0.25">
      <c r="A3890" s="1">
        <v>3562</v>
      </c>
      <c r="B3890" s="17" t="s">
        <v>16727</v>
      </c>
      <c r="C3890" s="2" t="s">
        <v>16728</v>
      </c>
      <c r="D3890" s="15" t="s">
        <v>1773</v>
      </c>
      <c r="E3890" s="9" t="s">
        <v>4428</v>
      </c>
      <c r="F3890" s="9" t="s">
        <v>2539</v>
      </c>
      <c r="G3890" s="9" t="s">
        <v>277</v>
      </c>
      <c r="H3890" s="2" t="s">
        <v>60</v>
      </c>
      <c r="I3890" s="3">
        <v>37300</v>
      </c>
      <c r="J3890" s="9" t="str">
        <f t="shared" ca="1" si="63"/>
        <v>21 ans</v>
      </c>
      <c r="K3890" s="2" t="s">
        <v>262</v>
      </c>
      <c r="L3890" s="2" t="str">
        <f>"2811"</f>
        <v>2811</v>
      </c>
      <c r="M3890" s="2"/>
      <c r="N3890" s="2" t="str">
        <f>"RUE MARIA"</f>
        <v>RUE MARIA</v>
      </c>
      <c r="O3890" s="2" t="s">
        <v>16565</v>
      </c>
      <c r="P3890" s="9" t="str">
        <f>VLOOKUP($O3890,'Liste des Villes'!$B$2:$B$1128,1,FALSE)</f>
        <v>Laval</v>
      </c>
      <c r="Q3890" s="9" t="str">
        <f>IFERROR($P3890,PROPER(VLOOKUP($O3890,'Villes en erreur'!$A$2:$B$72,2,FALSE)))</f>
        <v>Laval</v>
      </c>
      <c r="R3890" s="9" t="s">
        <v>16566</v>
      </c>
      <c r="S3890" s="9" t="str">
        <f>IF(ISBLANK($R3890),"",VLOOKUP($R3890,'Liste des Villes'!$B$2:$H$1128,4,FALSE))</f>
        <v>Laval</v>
      </c>
      <c r="T3890" s="2" t="s">
        <v>16729</v>
      </c>
      <c r="U3890" s="2" t="s">
        <v>39</v>
      </c>
      <c r="V3890" s="2" t="s">
        <v>40</v>
      </c>
      <c r="W3890" s="2" t="s">
        <v>16730</v>
      </c>
      <c r="X3890" s="2" t="str">
        <f>"4384912146"</f>
        <v>4384912146</v>
      </c>
      <c r="Y3890" s="2" t="str">
        <f>"8195131004"</f>
        <v>8195131004</v>
      </c>
      <c r="Z3890" s="2"/>
      <c r="AA3890" s="2" t="s">
        <v>708</v>
      </c>
      <c r="AB3890" s="2" t="s">
        <v>709</v>
      </c>
      <c r="AC3890" s="4" t="s">
        <v>44</v>
      </c>
    </row>
    <row r="3891" spans="1:29" x14ac:dyDescent="0.25">
      <c r="A3891" s="1">
        <v>3422</v>
      </c>
      <c r="B3891" s="17" t="s">
        <v>16731</v>
      </c>
      <c r="C3891" s="2" t="s">
        <v>9722</v>
      </c>
      <c r="D3891" s="15" t="s">
        <v>1466</v>
      </c>
      <c r="E3891" s="9" t="s">
        <v>751</v>
      </c>
      <c r="F3891" s="9" t="s">
        <v>788</v>
      </c>
      <c r="G3891" s="9" t="s">
        <v>3013</v>
      </c>
      <c r="H3891" s="2" t="s">
        <v>60</v>
      </c>
      <c r="I3891" s="3">
        <v>37320</v>
      </c>
      <c r="J3891" s="9" t="str">
        <f t="shared" ca="1" si="63"/>
        <v>21 ans</v>
      </c>
      <c r="K3891" s="2" t="s">
        <v>262</v>
      </c>
      <c r="L3891" s="2" t="str">
        <f>"3337"</f>
        <v>3337</v>
      </c>
      <c r="M3891" s="2"/>
      <c r="N3891" s="2" t="str">
        <f>"RUE MELANÇON"</f>
        <v>RUE MELANÇON</v>
      </c>
      <c r="O3891" s="2" t="s">
        <v>16565</v>
      </c>
      <c r="P3891" s="9" t="str">
        <f>VLOOKUP($O3891,'Liste des Villes'!$B$2:$B$1128,1,FALSE)</f>
        <v>Laval</v>
      </c>
      <c r="Q3891" s="9" t="str">
        <f>IFERROR($P3891,PROPER(VLOOKUP($O3891,'Villes en erreur'!$A$2:$B$72,2,FALSE)))</f>
        <v>Laval</v>
      </c>
      <c r="R3891" s="9" t="s">
        <v>16566</v>
      </c>
      <c r="S3891" s="9" t="str">
        <f>IF(ISBLANK($R3891),"",VLOOKUP($R3891,'Liste des Villes'!$B$2:$H$1128,4,FALSE))</f>
        <v>Laval</v>
      </c>
      <c r="T3891" s="2" t="s">
        <v>16732</v>
      </c>
      <c r="U3891" s="2" t="s">
        <v>39</v>
      </c>
      <c r="V3891" s="2" t="s">
        <v>40</v>
      </c>
      <c r="W3891" s="2" t="s">
        <v>16733</v>
      </c>
      <c r="X3891" s="2" t="str">
        <f>"4388319985"</f>
        <v>4388319985</v>
      </c>
      <c r="Y3891" s="2" t="str">
        <f>"5149966976"</f>
        <v>5149966976</v>
      </c>
      <c r="Z3891" s="2"/>
      <c r="AA3891" s="2" t="s">
        <v>708</v>
      </c>
      <c r="AB3891" s="2" t="s">
        <v>16576</v>
      </c>
      <c r="AC3891" s="4" t="s">
        <v>44</v>
      </c>
    </row>
    <row r="3892" spans="1:29" x14ac:dyDescent="0.25">
      <c r="A3892" s="1">
        <v>2165</v>
      </c>
      <c r="B3892" s="17" t="s">
        <v>16734</v>
      </c>
      <c r="C3892" s="2" t="s">
        <v>10701</v>
      </c>
      <c r="D3892" s="15" t="s">
        <v>2580</v>
      </c>
      <c r="E3892" s="9" t="s">
        <v>396</v>
      </c>
      <c r="F3892" s="9" t="s">
        <v>34</v>
      </c>
      <c r="G3892" s="9" t="s">
        <v>277</v>
      </c>
      <c r="H3892" s="2" t="s">
        <v>60</v>
      </c>
      <c r="I3892" s="3">
        <v>37306</v>
      </c>
      <c r="J3892" s="9" t="str">
        <f t="shared" ca="1" si="63"/>
        <v>21 ans</v>
      </c>
      <c r="K3892" s="2" t="s">
        <v>262</v>
      </c>
      <c r="L3892" s="2" t="str">
        <f>"2911"</f>
        <v>2911</v>
      </c>
      <c r="M3892" s="2"/>
      <c r="N3892" s="2" t="str">
        <f>"RUE MARIN"</f>
        <v>RUE MARIN</v>
      </c>
      <c r="O3892" s="2" t="s">
        <v>16565</v>
      </c>
      <c r="P3892" s="9" t="str">
        <f>VLOOKUP($O3892,'Liste des Villes'!$B$2:$B$1128,1,FALSE)</f>
        <v>Laval</v>
      </c>
      <c r="Q3892" s="9" t="str">
        <f>IFERROR($P3892,PROPER(VLOOKUP($O3892,'Villes en erreur'!$A$2:$B$72,2,FALSE)))</f>
        <v>Laval</v>
      </c>
      <c r="R3892" s="9" t="s">
        <v>16566</v>
      </c>
      <c r="S3892" s="9" t="str">
        <f>IF(ISBLANK($R3892),"",VLOOKUP($R3892,'Liste des Villes'!$B$2:$H$1128,4,FALSE))</f>
        <v>Laval</v>
      </c>
      <c r="T3892" s="2" t="s">
        <v>16684</v>
      </c>
      <c r="U3892" s="2" t="s">
        <v>39</v>
      </c>
      <c r="V3892" s="2" t="s">
        <v>40</v>
      </c>
      <c r="W3892" s="2" t="s">
        <v>16735</v>
      </c>
      <c r="X3892" s="2" t="str">
        <f>"4384991128"</f>
        <v>4384991128</v>
      </c>
      <c r="Y3892" s="2" t="str">
        <f>"8193254321"</f>
        <v>8193254321</v>
      </c>
      <c r="Z3892" s="2"/>
      <c r="AA3892" s="2" t="s">
        <v>708</v>
      </c>
      <c r="AB3892" s="2" t="s">
        <v>16576</v>
      </c>
      <c r="AC3892" s="4" t="s">
        <v>44</v>
      </c>
    </row>
    <row r="3893" spans="1:29" x14ac:dyDescent="0.25">
      <c r="A3893" s="1">
        <v>3639</v>
      </c>
      <c r="B3893" s="17" t="s">
        <v>16736</v>
      </c>
      <c r="C3893" s="2" t="s">
        <v>5527</v>
      </c>
      <c r="D3893" s="15" t="s">
        <v>562</v>
      </c>
      <c r="E3893" s="9" t="s">
        <v>5528</v>
      </c>
      <c r="F3893" s="9" t="s">
        <v>16737</v>
      </c>
      <c r="G3893" s="9" t="s">
        <v>277</v>
      </c>
      <c r="H3893" s="2" t="s">
        <v>60</v>
      </c>
      <c r="I3893" s="3">
        <v>37298</v>
      </c>
      <c r="J3893" s="9" t="str">
        <f t="shared" ca="1" si="63"/>
        <v>21 ans</v>
      </c>
      <c r="K3893" s="2" t="s">
        <v>262</v>
      </c>
      <c r="L3893" s="2" t="str">
        <f>"2732"</f>
        <v>2732</v>
      </c>
      <c r="M3893" s="2"/>
      <c r="N3893" s="2" t="str">
        <f>"RUE MARCEL-DE LA SABLONNIÈRE"</f>
        <v>RUE MARCEL-DE LA SABLONNIÈRE</v>
      </c>
      <c r="O3893" s="2" t="s">
        <v>16565</v>
      </c>
      <c r="P3893" s="9" t="str">
        <f>VLOOKUP($O3893,'Liste des Villes'!$B$2:$B$1128,1,FALSE)</f>
        <v>Laval</v>
      </c>
      <c r="Q3893" s="9" t="str">
        <f>IFERROR($P3893,PROPER(VLOOKUP($O3893,'Villes en erreur'!$A$2:$B$72,2,FALSE)))</f>
        <v>Laval</v>
      </c>
      <c r="R3893" s="9" t="s">
        <v>16566</v>
      </c>
      <c r="S3893" s="9" t="str">
        <f>IF(ISBLANK($R3893),"",VLOOKUP($R3893,'Liste des Villes'!$B$2:$H$1128,4,FALSE))</f>
        <v>Laval</v>
      </c>
      <c r="T3893" s="2" t="s">
        <v>16738</v>
      </c>
      <c r="U3893" s="2" t="s">
        <v>39</v>
      </c>
      <c r="V3893" s="2" t="s">
        <v>40</v>
      </c>
      <c r="W3893" s="2" t="s">
        <v>16739</v>
      </c>
      <c r="X3893" s="2" t="str">
        <f>"4384040519"</f>
        <v>4384040519</v>
      </c>
      <c r="Y3893" s="2" t="str">
        <f>"8197398860"</f>
        <v>8197398860</v>
      </c>
      <c r="Z3893" s="2"/>
      <c r="AA3893" s="2" t="s">
        <v>708</v>
      </c>
      <c r="AB3893" s="2" t="s">
        <v>709</v>
      </c>
      <c r="AC3893" s="4" t="s">
        <v>44</v>
      </c>
    </row>
    <row r="3894" spans="1:29" x14ac:dyDescent="0.25">
      <c r="A3894" s="1">
        <v>1810</v>
      </c>
      <c r="B3894" s="17" t="s">
        <v>16740</v>
      </c>
      <c r="C3894" s="2" t="s">
        <v>16741</v>
      </c>
      <c r="D3894" s="15" t="s">
        <v>1362</v>
      </c>
      <c r="E3894" s="9" t="s">
        <v>94</v>
      </c>
      <c r="F3894" s="9" t="s">
        <v>1360</v>
      </c>
      <c r="G3894" s="9" t="s">
        <v>2114</v>
      </c>
      <c r="H3894" s="2" t="s">
        <v>60</v>
      </c>
      <c r="I3894" s="3">
        <v>37287</v>
      </c>
      <c r="J3894" s="9" t="str">
        <f t="shared" ca="1" si="63"/>
        <v>21 ans</v>
      </c>
      <c r="K3894" s="2" t="s">
        <v>262</v>
      </c>
      <c r="L3894" s="2" t="str">
        <f>"2547"</f>
        <v>2547</v>
      </c>
      <c r="M3894" s="2"/>
      <c r="N3894" s="2" t="str">
        <f>"RUE MAPLE"</f>
        <v>RUE MAPLE</v>
      </c>
      <c r="O3894" s="2" t="s">
        <v>16565</v>
      </c>
      <c r="P3894" s="9" t="str">
        <f>VLOOKUP($O3894,'Liste des Villes'!$B$2:$B$1128,1,FALSE)</f>
        <v>Laval</v>
      </c>
      <c r="Q3894" s="9" t="str">
        <f>IFERROR($P3894,PROPER(VLOOKUP($O3894,'Villes en erreur'!$A$2:$B$72,2,FALSE)))</f>
        <v>Laval</v>
      </c>
      <c r="R3894" s="9" t="s">
        <v>16566</v>
      </c>
      <c r="S3894" s="9" t="str">
        <f>IF(ISBLANK($R3894),"",VLOOKUP($R3894,'Liste des Villes'!$B$2:$H$1128,4,FALSE))</f>
        <v>Laval</v>
      </c>
      <c r="T3894" s="2" t="s">
        <v>16742</v>
      </c>
      <c r="U3894" s="2" t="s">
        <v>39</v>
      </c>
      <c r="V3894" s="2" t="s">
        <v>40</v>
      </c>
      <c r="W3894" s="2" t="s">
        <v>16743</v>
      </c>
      <c r="X3894" s="2" t="str">
        <f>"4185170404"</f>
        <v>4185170404</v>
      </c>
      <c r="Y3894" s="2"/>
      <c r="Z3894" s="2"/>
      <c r="AA3894" s="2" t="s">
        <v>708</v>
      </c>
      <c r="AB3894" s="2" t="s">
        <v>709</v>
      </c>
      <c r="AC3894" s="4" t="s">
        <v>44</v>
      </c>
    </row>
    <row r="3895" spans="1:29" x14ac:dyDescent="0.25">
      <c r="A3895" s="1">
        <v>3995</v>
      </c>
      <c r="B3895" s="17" t="s">
        <v>16744</v>
      </c>
      <c r="C3895" s="2" t="s">
        <v>16745</v>
      </c>
      <c r="D3895" s="15" t="s">
        <v>12532</v>
      </c>
      <c r="E3895" s="9" t="s">
        <v>1673</v>
      </c>
      <c r="F3895" s="9" t="s">
        <v>2690</v>
      </c>
      <c r="G3895" s="9" t="s">
        <v>12986</v>
      </c>
      <c r="H3895" s="2" t="s">
        <v>60</v>
      </c>
      <c r="I3895" s="3">
        <v>37317</v>
      </c>
      <c r="J3895" s="9" t="str">
        <f t="shared" ca="1" si="63"/>
        <v>21 ans</v>
      </c>
      <c r="K3895" s="2" t="s">
        <v>262</v>
      </c>
      <c r="L3895" s="2" t="str">
        <f>"3267"</f>
        <v>3267</v>
      </c>
      <c r="M3895" s="2"/>
      <c r="N3895" s="2" t="str">
        <f>"RUE MAXIME"</f>
        <v>RUE MAXIME</v>
      </c>
      <c r="O3895" s="2" t="s">
        <v>16565</v>
      </c>
      <c r="P3895" s="9" t="str">
        <f>VLOOKUP($O3895,'Liste des Villes'!$B$2:$B$1128,1,FALSE)</f>
        <v>Laval</v>
      </c>
      <c r="Q3895" s="9" t="str">
        <f>IFERROR($P3895,PROPER(VLOOKUP($O3895,'Villes en erreur'!$A$2:$B$72,2,FALSE)))</f>
        <v>Laval</v>
      </c>
      <c r="R3895" s="9" t="s">
        <v>16566</v>
      </c>
      <c r="S3895" s="9" t="str">
        <f>IF(ISBLANK($R3895),"",VLOOKUP($R3895,'Liste des Villes'!$B$2:$H$1128,4,FALSE))</f>
        <v>Laval</v>
      </c>
      <c r="T3895" s="2" t="s">
        <v>16746</v>
      </c>
      <c r="U3895" s="2" t="s">
        <v>39</v>
      </c>
      <c r="V3895" s="2" t="s">
        <v>40</v>
      </c>
      <c r="W3895" s="2" t="s">
        <v>16747</v>
      </c>
      <c r="X3895" s="2" t="str">
        <f>"4388258004"</f>
        <v>4388258004</v>
      </c>
      <c r="Y3895" s="2" t="str">
        <f>"5798881611"</f>
        <v>5798881611</v>
      </c>
      <c r="Z3895" s="2"/>
      <c r="AA3895" s="2" t="s">
        <v>708</v>
      </c>
      <c r="AB3895" s="2" t="s">
        <v>16576</v>
      </c>
      <c r="AC3895" s="4" t="s">
        <v>44</v>
      </c>
    </row>
    <row r="3896" spans="1:29" x14ac:dyDescent="0.25">
      <c r="A3896" s="1">
        <v>3320</v>
      </c>
      <c r="B3896" s="17" t="s">
        <v>16748</v>
      </c>
      <c r="C3896" s="2" t="s">
        <v>16749</v>
      </c>
      <c r="D3896" s="15" t="s">
        <v>2698</v>
      </c>
      <c r="E3896" s="9" t="s">
        <v>9075</v>
      </c>
      <c r="F3896" s="9" t="s">
        <v>2837</v>
      </c>
      <c r="G3896" s="9" t="s">
        <v>277</v>
      </c>
      <c r="H3896" s="2" t="s">
        <v>60</v>
      </c>
      <c r="I3896" s="3">
        <v>37305</v>
      </c>
      <c r="J3896" s="9" t="str">
        <f t="shared" ca="1" si="63"/>
        <v>21 ans</v>
      </c>
      <c r="K3896" s="2" t="s">
        <v>262</v>
      </c>
      <c r="L3896" s="2" t="str">
        <f>"2890"</f>
        <v>2890</v>
      </c>
      <c r="M3896" s="2"/>
      <c r="N3896" s="2" t="str">
        <f>"RUE MARIE-JUSTINE"</f>
        <v>RUE MARIE-JUSTINE</v>
      </c>
      <c r="O3896" s="2" t="s">
        <v>16565</v>
      </c>
      <c r="P3896" s="9" t="str">
        <f>VLOOKUP($O3896,'Liste des Villes'!$B$2:$B$1128,1,FALSE)</f>
        <v>Laval</v>
      </c>
      <c r="Q3896" s="9" t="str">
        <f>IFERROR($P3896,PROPER(VLOOKUP($O3896,'Villes en erreur'!$A$2:$B$72,2,FALSE)))</f>
        <v>Laval</v>
      </c>
      <c r="R3896" s="9" t="s">
        <v>16566</v>
      </c>
      <c r="S3896" s="9" t="str">
        <f>IF(ISBLANK($R3896),"",VLOOKUP($R3896,'Liste des Villes'!$B$2:$H$1128,4,FALSE))</f>
        <v>Laval</v>
      </c>
      <c r="T3896" s="2" t="s">
        <v>16684</v>
      </c>
      <c r="U3896" s="2" t="s">
        <v>39</v>
      </c>
      <c r="V3896" s="2" t="s">
        <v>40</v>
      </c>
      <c r="W3896" s="2" t="s">
        <v>16750</v>
      </c>
      <c r="X3896" s="2" t="str">
        <f>"4384970719"</f>
        <v>4384970719</v>
      </c>
      <c r="Y3896" s="2" t="str">
        <f>"8194211066"</f>
        <v>8194211066</v>
      </c>
      <c r="Z3896" s="2"/>
      <c r="AA3896" s="2" t="s">
        <v>708</v>
      </c>
      <c r="AB3896" s="2" t="s">
        <v>709</v>
      </c>
      <c r="AC3896" s="4" t="s">
        <v>44</v>
      </c>
    </row>
    <row r="3897" spans="1:29" x14ac:dyDescent="0.25">
      <c r="A3897" s="1">
        <v>570</v>
      </c>
      <c r="B3897" s="17" t="s">
        <v>16751</v>
      </c>
      <c r="C3897" s="2" t="s">
        <v>16752</v>
      </c>
      <c r="D3897" s="15" t="s">
        <v>6333</v>
      </c>
      <c r="E3897" s="9" t="s">
        <v>131</v>
      </c>
      <c r="F3897" s="9" t="s">
        <v>6332</v>
      </c>
      <c r="G3897" s="9" t="s">
        <v>277</v>
      </c>
      <c r="H3897" s="2" t="s">
        <v>60</v>
      </c>
      <c r="I3897" s="3">
        <v>37307</v>
      </c>
      <c r="J3897" s="9" t="str">
        <f t="shared" ca="1" si="63"/>
        <v>21 ans</v>
      </c>
      <c r="K3897" s="2" t="s">
        <v>262</v>
      </c>
      <c r="L3897" s="2" t="str">
        <f>"2935"</f>
        <v>2935</v>
      </c>
      <c r="M3897" s="2"/>
      <c r="N3897" s="2" t="str">
        <f>"RUE MARIUS-BARBEAU"</f>
        <v>RUE MARIUS-BARBEAU</v>
      </c>
      <c r="O3897" s="2" t="s">
        <v>16565</v>
      </c>
      <c r="P3897" s="9" t="str">
        <f>VLOOKUP($O3897,'Liste des Villes'!$B$2:$B$1128,1,FALSE)</f>
        <v>Laval</v>
      </c>
      <c r="Q3897" s="9" t="str">
        <f>IFERROR($P3897,PROPER(VLOOKUP($O3897,'Villes en erreur'!$A$2:$B$72,2,FALSE)))</f>
        <v>Laval</v>
      </c>
      <c r="R3897" s="9" t="s">
        <v>16566</v>
      </c>
      <c r="S3897" s="9" t="str">
        <f>IF(ISBLANK($R3897),"",VLOOKUP($R3897,'Liste des Villes'!$B$2:$H$1128,4,FALSE))</f>
        <v>Laval</v>
      </c>
      <c r="T3897" s="2" t="s">
        <v>16753</v>
      </c>
      <c r="U3897" s="2" t="s">
        <v>39</v>
      </c>
      <c r="V3897" s="2" t="s">
        <v>40</v>
      </c>
      <c r="W3897" s="2" t="s">
        <v>16754</v>
      </c>
      <c r="X3897" s="2" t="str">
        <f>"4385017178"</f>
        <v>4385017178</v>
      </c>
      <c r="Y3897" s="2" t="str">
        <f>"8193248272"</f>
        <v>8193248272</v>
      </c>
      <c r="Z3897" s="2"/>
      <c r="AA3897" s="2" t="s">
        <v>708</v>
      </c>
      <c r="AB3897" s="2" t="s">
        <v>16576</v>
      </c>
      <c r="AC3897" s="4" t="s">
        <v>44</v>
      </c>
    </row>
    <row r="3898" spans="1:29" x14ac:dyDescent="0.25">
      <c r="A3898" s="1">
        <v>2646</v>
      </c>
      <c r="B3898" s="17" t="s">
        <v>16755</v>
      </c>
      <c r="C3898" s="2" t="s">
        <v>346</v>
      </c>
      <c r="D3898" s="15" t="s">
        <v>347</v>
      </c>
      <c r="E3898" s="9" t="s">
        <v>348</v>
      </c>
      <c r="F3898" s="9" t="s">
        <v>11493</v>
      </c>
      <c r="G3898" s="9" t="s">
        <v>2114</v>
      </c>
      <c r="H3898" s="2" t="s">
        <v>60</v>
      </c>
      <c r="I3898" s="3">
        <v>37289</v>
      </c>
      <c r="J3898" s="9" t="str">
        <f t="shared" ca="1" si="63"/>
        <v>21 ans</v>
      </c>
      <c r="K3898" s="2" t="s">
        <v>262</v>
      </c>
      <c r="L3898" s="2" t="str">
        <f>"2568"</f>
        <v>2568</v>
      </c>
      <c r="M3898" s="2"/>
      <c r="N3898" s="2" t="str">
        <f>"RUE MARC-ANDRÉ"</f>
        <v>RUE MARC-ANDRÉ</v>
      </c>
      <c r="O3898" s="2" t="s">
        <v>16565</v>
      </c>
      <c r="P3898" s="9" t="str">
        <f>VLOOKUP($O3898,'Liste des Villes'!$B$2:$B$1128,1,FALSE)</f>
        <v>Laval</v>
      </c>
      <c r="Q3898" s="9" t="str">
        <f>IFERROR($P3898,PROPER(VLOOKUP($O3898,'Villes en erreur'!$A$2:$B$72,2,FALSE)))</f>
        <v>Laval</v>
      </c>
      <c r="R3898" s="9" t="s">
        <v>16566</v>
      </c>
      <c r="S3898" s="9" t="str">
        <f>IF(ISBLANK($R3898),"",VLOOKUP($R3898,'Liste des Villes'!$B$2:$H$1128,4,FALSE))</f>
        <v>Laval</v>
      </c>
      <c r="T3898" s="2" t="s">
        <v>16756</v>
      </c>
      <c r="U3898" s="2" t="s">
        <v>39</v>
      </c>
      <c r="V3898" s="2" t="s">
        <v>40</v>
      </c>
      <c r="W3898" s="2" t="s">
        <v>16757</v>
      </c>
      <c r="X3898" s="2" t="str">
        <f>"4383465630"</f>
        <v>4383465630</v>
      </c>
      <c r="Y3898" s="2"/>
      <c r="Z3898" s="2"/>
      <c r="AA3898" s="2" t="s">
        <v>708</v>
      </c>
      <c r="AB3898" s="2" t="s">
        <v>709</v>
      </c>
      <c r="AC3898" s="4" t="s">
        <v>44</v>
      </c>
    </row>
    <row r="3899" spans="1:29" x14ac:dyDescent="0.25">
      <c r="A3899" s="1">
        <v>3845</v>
      </c>
      <c r="B3899" s="17" t="s">
        <v>16758</v>
      </c>
      <c r="C3899" s="2" t="s">
        <v>16759</v>
      </c>
      <c r="D3899" s="15" t="s">
        <v>15445</v>
      </c>
      <c r="E3899" s="9" t="s">
        <v>3849</v>
      </c>
      <c r="F3899" s="9" t="s">
        <v>15444</v>
      </c>
      <c r="G3899" s="9" t="s">
        <v>277</v>
      </c>
      <c r="H3899" s="2" t="s">
        <v>60</v>
      </c>
      <c r="I3899" s="3">
        <v>37305</v>
      </c>
      <c r="J3899" s="9" t="str">
        <f t="shared" ca="1" si="63"/>
        <v>21 ans</v>
      </c>
      <c r="K3899" s="2" t="s">
        <v>262</v>
      </c>
      <c r="L3899" s="2" t="str">
        <f>"2903"</f>
        <v>2903</v>
      </c>
      <c r="M3899" s="2"/>
      <c r="N3899" s="2" t="str">
        <f>"RUE MARIE-VICTORIN"</f>
        <v>RUE MARIE-VICTORIN</v>
      </c>
      <c r="O3899" s="2" t="s">
        <v>16565</v>
      </c>
      <c r="P3899" s="9" t="str">
        <f>VLOOKUP($O3899,'Liste des Villes'!$B$2:$B$1128,1,FALSE)</f>
        <v>Laval</v>
      </c>
      <c r="Q3899" s="9" t="str">
        <f>IFERROR($P3899,PROPER(VLOOKUP($O3899,'Villes en erreur'!$A$2:$B$72,2,FALSE)))</f>
        <v>Laval</v>
      </c>
      <c r="R3899" s="9" t="s">
        <v>16566</v>
      </c>
      <c r="S3899" s="9" t="str">
        <f>IF(ISBLANK($R3899),"",VLOOKUP($R3899,'Liste des Villes'!$B$2:$H$1128,4,FALSE))</f>
        <v>Laval</v>
      </c>
      <c r="T3899" s="2" t="s">
        <v>16684</v>
      </c>
      <c r="U3899" s="2" t="s">
        <v>39</v>
      </c>
      <c r="V3899" s="2" t="s">
        <v>40</v>
      </c>
      <c r="W3899" s="2" t="s">
        <v>16760</v>
      </c>
      <c r="X3899" s="2" t="str">
        <f>"4384989105"</f>
        <v>4384989105</v>
      </c>
      <c r="Y3899" s="2" t="str">
        <f>"8193273859"</f>
        <v>8193273859</v>
      </c>
      <c r="Z3899" s="2"/>
      <c r="AA3899" s="2" t="s">
        <v>708</v>
      </c>
      <c r="AB3899" s="2" t="s">
        <v>709</v>
      </c>
      <c r="AC3899" s="4" t="s">
        <v>44</v>
      </c>
    </row>
    <row r="3900" spans="1:29" x14ac:dyDescent="0.25">
      <c r="A3900" s="1">
        <v>1632</v>
      </c>
      <c r="B3900" s="17" t="s">
        <v>16761</v>
      </c>
      <c r="C3900" s="2" t="s">
        <v>16762</v>
      </c>
      <c r="D3900" s="15" t="s">
        <v>8578</v>
      </c>
      <c r="E3900" s="9" t="s">
        <v>137</v>
      </c>
      <c r="F3900" s="9" t="s">
        <v>8577</v>
      </c>
      <c r="G3900" s="9" t="s">
        <v>277</v>
      </c>
      <c r="H3900" s="2" t="s">
        <v>60</v>
      </c>
      <c r="I3900" s="3">
        <v>37300</v>
      </c>
      <c r="J3900" s="9" t="str">
        <f t="shared" ca="1" si="63"/>
        <v>21 ans</v>
      </c>
      <c r="K3900" s="2" t="s">
        <v>262</v>
      </c>
      <c r="L3900" s="2" t="str">
        <f>"2825"</f>
        <v>2825</v>
      </c>
      <c r="M3900" s="2"/>
      <c r="N3900" s="2" t="str">
        <f>"RUE MARIE HYPOLITE"</f>
        <v>RUE MARIE HYPOLITE</v>
      </c>
      <c r="O3900" s="2" t="s">
        <v>16565</v>
      </c>
      <c r="P3900" s="9" t="str">
        <f>VLOOKUP($O3900,'Liste des Villes'!$B$2:$B$1128,1,FALSE)</f>
        <v>Laval</v>
      </c>
      <c r="Q3900" s="9" t="str">
        <f>IFERROR($P3900,PROPER(VLOOKUP($O3900,'Villes en erreur'!$A$2:$B$72,2,FALSE)))</f>
        <v>Laval</v>
      </c>
      <c r="R3900" s="9" t="s">
        <v>16566</v>
      </c>
      <c r="S3900" s="9" t="str">
        <f>IF(ISBLANK($R3900),"",VLOOKUP($R3900,'Liste des Villes'!$B$2:$H$1128,4,FALSE))</f>
        <v>Laval</v>
      </c>
      <c r="T3900" s="2" t="s">
        <v>16763</v>
      </c>
      <c r="U3900" s="2" t="s">
        <v>39</v>
      </c>
      <c r="V3900" s="2" t="s">
        <v>40</v>
      </c>
      <c r="W3900" s="2" t="s">
        <v>16764</v>
      </c>
      <c r="X3900" s="2" t="str">
        <f>"4384918420"</f>
        <v>4384918420</v>
      </c>
      <c r="Y3900" s="2" t="str">
        <f>"8194302499"</f>
        <v>8194302499</v>
      </c>
      <c r="Z3900" s="2"/>
      <c r="AA3900" s="2" t="s">
        <v>708</v>
      </c>
      <c r="AB3900" s="2" t="s">
        <v>709</v>
      </c>
      <c r="AC3900" s="4" t="s">
        <v>44</v>
      </c>
    </row>
    <row r="3901" spans="1:29" x14ac:dyDescent="0.25">
      <c r="A3901" s="1">
        <v>824</v>
      </c>
      <c r="B3901" s="17" t="s">
        <v>16765</v>
      </c>
      <c r="C3901" s="2" t="s">
        <v>4834</v>
      </c>
      <c r="D3901" s="15" t="s">
        <v>3596</v>
      </c>
      <c r="E3901" s="9" t="s">
        <v>3668</v>
      </c>
      <c r="F3901" s="9" t="s">
        <v>16766</v>
      </c>
      <c r="G3901" s="9" t="s">
        <v>277</v>
      </c>
      <c r="H3901" s="2" t="s">
        <v>60</v>
      </c>
      <c r="I3901" s="3">
        <v>37299</v>
      </c>
      <c r="J3901" s="9" t="str">
        <f t="shared" ca="1" si="63"/>
        <v>21 ans</v>
      </c>
      <c r="K3901" s="2" t="s">
        <v>262</v>
      </c>
      <c r="L3901" s="2" t="str">
        <f>"2790"</f>
        <v>2790</v>
      </c>
      <c r="M3901" s="2"/>
      <c r="N3901" s="2" t="str">
        <f>"RUE MARCHAND"</f>
        <v>RUE MARCHAND</v>
      </c>
      <c r="O3901" s="2" t="s">
        <v>16565</v>
      </c>
      <c r="P3901" s="9" t="str">
        <f>VLOOKUP($O3901,'Liste des Villes'!$B$2:$B$1128,1,FALSE)</f>
        <v>Laval</v>
      </c>
      <c r="Q3901" s="9" t="str">
        <f>IFERROR($P3901,PROPER(VLOOKUP($O3901,'Villes en erreur'!$A$2:$B$72,2,FALSE)))</f>
        <v>Laval</v>
      </c>
      <c r="R3901" s="9" t="s">
        <v>16566</v>
      </c>
      <c r="S3901" s="9" t="str">
        <f>IF(ISBLANK($R3901),"",VLOOKUP($R3901,'Liste des Villes'!$B$2:$H$1128,4,FALSE))</f>
        <v>Laval</v>
      </c>
      <c r="T3901" s="2" t="s">
        <v>16767</v>
      </c>
      <c r="U3901" s="2" t="s">
        <v>39</v>
      </c>
      <c r="V3901" s="2" t="s">
        <v>40</v>
      </c>
      <c r="W3901" s="2" t="s">
        <v>16768</v>
      </c>
      <c r="X3901" s="2" t="str">
        <f>"4384062052"</f>
        <v>4384062052</v>
      </c>
      <c r="Y3901" s="2" t="str">
        <f>"8196239106"</f>
        <v>8196239106</v>
      </c>
      <c r="Z3901" s="2"/>
      <c r="AA3901" s="2" t="s">
        <v>708</v>
      </c>
      <c r="AB3901" s="2" t="s">
        <v>709</v>
      </c>
      <c r="AC3901" s="4" t="s">
        <v>44</v>
      </c>
    </row>
    <row r="3902" spans="1:29" x14ac:dyDescent="0.25">
      <c r="A3902" s="1">
        <v>2816</v>
      </c>
      <c r="B3902" s="17" t="s">
        <v>16769</v>
      </c>
      <c r="C3902" s="2" t="s">
        <v>16770</v>
      </c>
      <c r="D3902" s="15" t="s">
        <v>56</v>
      </c>
      <c r="E3902" s="9" t="s">
        <v>5732</v>
      </c>
      <c r="F3902" s="9" t="s">
        <v>3084</v>
      </c>
      <c r="G3902" s="9" t="s">
        <v>277</v>
      </c>
      <c r="H3902" s="2" t="s">
        <v>60</v>
      </c>
      <c r="I3902" s="3">
        <v>37306</v>
      </c>
      <c r="J3902" s="9" t="str">
        <f t="shared" ca="1" si="63"/>
        <v>21 ans</v>
      </c>
      <c r="K3902" s="2" t="s">
        <v>262</v>
      </c>
      <c r="L3902" s="2" t="str">
        <f>"2915"</f>
        <v>2915</v>
      </c>
      <c r="M3902" s="2"/>
      <c r="N3902" s="2" t="str">
        <f>"RUE MARINEAU"</f>
        <v>RUE MARINEAU</v>
      </c>
      <c r="O3902" s="2" t="s">
        <v>16565</v>
      </c>
      <c r="P3902" s="9" t="str">
        <f>VLOOKUP($O3902,'Liste des Villes'!$B$2:$B$1128,1,FALSE)</f>
        <v>Laval</v>
      </c>
      <c r="Q3902" s="9" t="str">
        <f>IFERROR($P3902,PROPER(VLOOKUP($O3902,'Villes en erreur'!$A$2:$B$72,2,FALSE)))</f>
        <v>Laval</v>
      </c>
      <c r="R3902" s="9" t="s">
        <v>16566</v>
      </c>
      <c r="S3902" s="9" t="str">
        <f>IF(ISBLANK($R3902),"",VLOOKUP($R3902,'Liste des Villes'!$B$2:$H$1128,4,FALSE))</f>
        <v>Laval</v>
      </c>
      <c r="T3902" s="2" t="s">
        <v>16684</v>
      </c>
      <c r="U3902" s="2" t="s">
        <v>39</v>
      </c>
      <c r="V3902" s="2" t="s">
        <v>40</v>
      </c>
      <c r="W3902" s="2" t="s">
        <v>16735</v>
      </c>
      <c r="X3902" s="2" t="str">
        <f>"4384993945"</f>
        <v>4384993945</v>
      </c>
      <c r="Y3902" s="2" t="str">
        <f>"8193252256"</f>
        <v>8193252256</v>
      </c>
      <c r="Z3902" s="2"/>
      <c r="AA3902" s="2" t="s">
        <v>708</v>
      </c>
      <c r="AB3902" s="2" t="s">
        <v>16576</v>
      </c>
      <c r="AC3902" s="4" t="s">
        <v>44</v>
      </c>
    </row>
    <row r="3903" spans="1:29" x14ac:dyDescent="0.25">
      <c r="A3903" s="1">
        <v>3378</v>
      </c>
      <c r="B3903" s="17" t="s">
        <v>16771</v>
      </c>
      <c r="C3903" s="2" t="s">
        <v>16772</v>
      </c>
      <c r="D3903" s="15" t="s">
        <v>703</v>
      </c>
      <c r="E3903" s="9" t="s">
        <v>2002</v>
      </c>
      <c r="F3903" s="9" t="s">
        <v>14</v>
      </c>
      <c r="G3903" s="9" t="s">
        <v>3013</v>
      </c>
      <c r="H3903" s="2" t="s">
        <v>60</v>
      </c>
      <c r="I3903" s="3">
        <v>37320</v>
      </c>
      <c r="J3903" s="9" t="str">
        <f t="shared" ca="1" si="63"/>
        <v>21 ans</v>
      </c>
      <c r="K3903" s="2" t="s">
        <v>262</v>
      </c>
      <c r="L3903" s="2" t="str">
        <f>"3325"</f>
        <v>3325</v>
      </c>
      <c r="M3903" s="2"/>
      <c r="N3903" s="2" t="str">
        <f>"RUE MÉDARD-HÉBERT"</f>
        <v>RUE MÉDARD-HÉBERT</v>
      </c>
      <c r="O3903" s="2" t="s">
        <v>16565</v>
      </c>
      <c r="P3903" s="9" t="str">
        <f>VLOOKUP($O3903,'Liste des Villes'!$B$2:$B$1128,1,FALSE)</f>
        <v>Laval</v>
      </c>
      <c r="Q3903" s="9" t="str">
        <f>IFERROR($P3903,PROPER(VLOOKUP($O3903,'Villes en erreur'!$A$2:$B$72,2,FALSE)))</f>
        <v>Laval</v>
      </c>
      <c r="R3903" s="9" t="s">
        <v>16566</v>
      </c>
      <c r="S3903" s="9" t="str">
        <f>IF(ISBLANK($R3903),"",VLOOKUP($R3903,'Liste des Villes'!$B$2:$H$1128,4,FALSE))</f>
        <v>Laval</v>
      </c>
      <c r="T3903" s="2" t="s">
        <v>16773</v>
      </c>
      <c r="U3903" s="2" t="s">
        <v>39</v>
      </c>
      <c r="V3903" s="2" t="s">
        <v>40</v>
      </c>
      <c r="W3903" s="2" t="s">
        <v>16774</v>
      </c>
      <c r="X3903" s="2" t="str">
        <f>"4388308860"</f>
        <v>4388308860</v>
      </c>
      <c r="Y3903" s="2" t="str">
        <f>"5797650123"</f>
        <v>5797650123</v>
      </c>
      <c r="Z3903" s="2"/>
      <c r="AA3903" s="2" t="s">
        <v>708</v>
      </c>
      <c r="AB3903" s="2" t="s">
        <v>16576</v>
      </c>
      <c r="AC3903" s="4" t="s">
        <v>44</v>
      </c>
    </row>
    <row r="3904" spans="1:29" x14ac:dyDescent="0.25">
      <c r="A3904" s="1">
        <v>2757</v>
      </c>
      <c r="B3904" s="17" t="s">
        <v>16775</v>
      </c>
      <c r="C3904" s="2" t="s">
        <v>16776</v>
      </c>
      <c r="D3904" s="15" t="s">
        <v>5022</v>
      </c>
      <c r="E3904" s="9" t="s">
        <v>495</v>
      </c>
      <c r="F3904" s="9" t="s">
        <v>5021</v>
      </c>
      <c r="G3904" s="9" t="s">
        <v>7028</v>
      </c>
      <c r="H3904" s="2" t="s">
        <v>35</v>
      </c>
      <c r="I3904" s="3">
        <v>37289</v>
      </c>
      <c r="J3904" s="9" t="str">
        <f t="shared" ca="1" si="63"/>
        <v>21 ans</v>
      </c>
      <c r="K3904" s="2" t="s">
        <v>262</v>
      </c>
      <c r="L3904" s="2" t="str">
        <f>"2568"</f>
        <v>2568</v>
      </c>
      <c r="M3904" s="2"/>
      <c r="N3904" s="2" t="str">
        <f>"RUE MARC-ANDRÉ"</f>
        <v>RUE MARC-ANDRÉ</v>
      </c>
      <c r="O3904" s="2" t="s">
        <v>16565</v>
      </c>
      <c r="P3904" s="9" t="str">
        <f>VLOOKUP($O3904,'Liste des Villes'!$B$2:$B$1128,1,FALSE)</f>
        <v>Laval</v>
      </c>
      <c r="Q3904" s="9" t="str">
        <f>IFERROR($P3904,PROPER(VLOOKUP($O3904,'Villes en erreur'!$A$2:$B$72,2,FALSE)))</f>
        <v>Laval</v>
      </c>
      <c r="R3904" s="9" t="s">
        <v>16566</v>
      </c>
      <c r="S3904" s="9" t="str">
        <f>IF(ISBLANK($R3904),"",VLOOKUP($R3904,'Liste des Villes'!$B$2:$H$1128,4,FALSE))</f>
        <v>Laval</v>
      </c>
      <c r="T3904" s="2" t="s">
        <v>16756</v>
      </c>
      <c r="U3904" s="2" t="s">
        <v>39</v>
      </c>
      <c r="V3904" s="2" t="s">
        <v>40</v>
      </c>
      <c r="W3904" s="2" t="s">
        <v>16777</v>
      </c>
      <c r="X3904" s="2" t="str">
        <f>"4383901461"</f>
        <v>4383901461</v>
      </c>
      <c r="Y3904" s="2"/>
      <c r="Z3904" s="2"/>
      <c r="AA3904" s="2" t="s">
        <v>708</v>
      </c>
      <c r="AB3904" s="2" t="s">
        <v>709</v>
      </c>
      <c r="AC3904" s="4" t="s">
        <v>44</v>
      </c>
    </row>
    <row r="3905" spans="1:29" x14ac:dyDescent="0.25">
      <c r="A3905" s="1">
        <v>1655</v>
      </c>
      <c r="B3905" s="17" t="s">
        <v>16778</v>
      </c>
      <c r="C3905" s="2" t="s">
        <v>16779</v>
      </c>
      <c r="D3905" s="15" t="s">
        <v>3469</v>
      </c>
      <c r="E3905" s="9" t="s">
        <v>9676</v>
      </c>
      <c r="F3905" s="9" t="s">
        <v>3468</v>
      </c>
      <c r="G3905" s="9" t="s">
        <v>704</v>
      </c>
      <c r="H3905" s="2" t="s">
        <v>60</v>
      </c>
      <c r="I3905" s="3">
        <v>37274</v>
      </c>
      <c r="J3905" s="9" t="str">
        <f t="shared" ca="1" si="63"/>
        <v>21 ans</v>
      </c>
      <c r="K3905" s="2" t="s">
        <v>262</v>
      </c>
      <c r="L3905" s="2" t="str">
        <f>"2344"</f>
        <v>2344</v>
      </c>
      <c r="M3905" s="2"/>
      <c r="N3905" s="2" t="str">
        <f>"RUE LOUIS-ROCH"</f>
        <v>RUE LOUIS-ROCH</v>
      </c>
      <c r="O3905" s="2" t="s">
        <v>16565</v>
      </c>
      <c r="P3905" s="9" t="str">
        <f>VLOOKUP($O3905,'Liste des Villes'!$B$2:$B$1128,1,FALSE)</f>
        <v>Laval</v>
      </c>
      <c r="Q3905" s="9" t="str">
        <f>IFERROR($P3905,PROPER(VLOOKUP($O3905,'Villes en erreur'!$A$2:$B$72,2,FALSE)))</f>
        <v>Laval</v>
      </c>
      <c r="R3905" s="9" t="s">
        <v>16566</v>
      </c>
      <c r="S3905" s="9" t="str">
        <f>IF(ISBLANK($R3905),"",VLOOKUP($R3905,'Liste des Villes'!$B$2:$H$1128,4,FALSE))</f>
        <v>Laval</v>
      </c>
      <c r="T3905" s="2" t="s">
        <v>16780</v>
      </c>
      <c r="U3905" s="2" t="s">
        <v>39</v>
      </c>
      <c r="V3905" s="2" t="s">
        <v>40</v>
      </c>
      <c r="W3905" s="2" t="s">
        <v>16781</v>
      </c>
      <c r="X3905" s="2"/>
      <c r="Y3905" s="2"/>
      <c r="Z3905" s="2"/>
      <c r="AA3905" s="2" t="s">
        <v>708</v>
      </c>
      <c r="AB3905" s="2" t="s">
        <v>709</v>
      </c>
      <c r="AC3905" s="4" t="s">
        <v>44</v>
      </c>
    </row>
    <row r="3906" spans="1:29" x14ac:dyDescent="0.25">
      <c r="A3906" s="1">
        <v>3673</v>
      </c>
      <c r="B3906" s="17" t="s">
        <v>16782</v>
      </c>
      <c r="C3906" s="2" t="s">
        <v>16783</v>
      </c>
      <c r="D3906" s="15" t="s">
        <v>4148</v>
      </c>
      <c r="E3906" s="9" t="s">
        <v>253</v>
      </c>
      <c r="F3906" s="9" t="s">
        <v>8380</v>
      </c>
      <c r="G3906" s="9" t="s">
        <v>277</v>
      </c>
      <c r="H3906" s="2" t="s">
        <v>35</v>
      </c>
      <c r="I3906" s="3">
        <v>37300</v>
      </c>
      <c r="J3906" s="9" t="str">
        <f t="shared" ref="J3906:J3969" ca="1" si="64">_xlfn.CONCAT(INT((TODAY()-$I3906)/365.25)," ans")</f>
        <v>21 ans</v>
      </c>
      <c r="K3906" s="2" t="s">
        <v>262</v>
      </c>
      <c r="L3906" s="2" t="str">
        <f>"2815"</f>
        <v>2815</v>
      </c>
      <c r="M3906" s="2"/>
      <c r="N3906" s="2" t="str">
        <f>"RUE MARIAN"</f>
        <v>RUE MARIAN</v>
      </c>
      <c r="O3906" s="2" t="s">
        <v>16565</v>
      </c>
      <c r="P3906" s="9" t="str">
        <f>VLOOKUP($O3906,'Liste des Villes'!$B$2:$B$1128,1,FALSE)</f>
        <v>Laval</v>
      </c>
      <c r="Q3906" s="9" t="str">
        <f>IFERROR($P3906,PROPER(VLOOKUP($O3906,'Villes en erreur'!$A$2:$B$72,2,FALSE)))</f>
        <v>Laval</v>
      </c>
      <c r="R3906" s="9" t="s">
        <v>16566</v>
      </c>
      <c r="S3906" s="9" t="str">
        <f>IF(ISBLANK($R3906),"",VLOOKUP($R3906,'Liste des Villes'!$B$2:$H$1128,4,FALSE))</f>
        <v>Laval</v>
      </c>
      <c r="T3906" s="2" t="s">
        <v>16729</v>
      </c>
      <c r="U3906" s="2" t="s">
        <v>39</v>
      </c>
      <c r="V3906" s="2" t="s">
        <v>40</v>
      </c>
      <c r="W3906" s="2" t="s">
        <v>16784</v>
      </c>
      <c r="X3906" s="2" t="str">
        <f>"4384912505"</f>
        <v>4384912505</v>
      </c>
      <c r="Y3906" s="2" t="str">
        <f>"8194423009"</f>
        <v>8194423009</v>
      </c>
      <c r="Z3906" s="2"/>
      <c r="AA3906" s="2" t="s">
        <v>708</v>
      </c>
      <c r="AB3906" s="2" t="s">
        <v>709</v>
      </c>
      <c r="AC3906" s="4" t="s">
        <v>44</v>
      </c>
    </row>
    <row r="3907" spans="1:29" x14ac:dyDescent="0.25">
      <c r="A3907" s="1">
        <v>4278</v>
      </c>
      <c r="B3907" s="17" t="s">
        <v>16785</v>
      </c>
      <c r="C3907" s="2" t="s">
        <v>105</v>
      </c>
      <c r="D3907" s="15" t="s">
        <v>106</v>
      </c>
      <c r="E3907" s="9" t="s">
        <v>107</v>
      </c>
      <c r="F3907" s="9" t="s">
        <v>3122</v>
      </c>
      <c r="G3907" s="9" t="s">
        <v>2422</v>
      </c>
      <c r="H3907" s="2" t="s">
        <v>35</v>
      </c>
      <c r="I3907" s="3">
        <v>37325</v>
      </c>
      <c r="J3907" s="9" t="str">
        <f t="shared" ca="1" si="64"/>
        <v>21 ans</v>
      </c>
      <c r="K3907" s="2" t="s">
        <v>262</v>
      </c>
      <c r="L3907" s="2" t="str">
        <f>"3421"</f>
        <v>3421</v>
      </c>
      <c r="M3907" s="2"/>
      <c r="N3907" s="2" t="str">
        <f>"RUE MELANÇON"</f>
        <v>RUE MELANÇON</v>
      </c>
      <c r="O3907" s="2" t="s">
        <v>16565</v>
      </c>
      <c r="P3907" s="9" t="str">
        <f>VLOOKUP($O3907,'Liste des Villes'!$B$2:$B$1128,1,FALSE)</f>
        <v>Laval</v>
      </c>
      <c r="Q3907" s="9" t="str">
        <f>IFERROR($P3907,PROPER(VLOOKUP($O3907,'Villes en erreur'!$A$2:$B$72,2,FALSE)))</f>
        <v>Laval</v>
      </c>
      <c r="R3907" s="9" t="s">
        <v>16566</v>
      </c>
      <c r="S3907" s="9" t="str">
        <f>IF(ISBLANK($R3907),"",VLOOKUP($R3907,'Liste des Villes'!$B$2:$H$1128,4,FALSE))</f>
        <v>Laval</v>
      </c>
      <c r="T3907" s="2" t="s">
        <v>16696</v>
      </c>
      <c r="U3907" s="2" t="s">
        <v>39</v>
      </c>
      <c r="V3907" s="2" t="s">
        <v>40</v>
      </c>
      <c r="W3907" s="2" t="s">
        <v>16786</v>
      </c>
      <c r="X3907" s="2" t="str">
        <f>"4388846938"</f>
        <v>4388846938</v>
      </c>
      <c r="Y3907" s="2" t="str">
        <f>"5149733602"</f>
        <v>5149733602</v>
      </c>
      <c r="Z3907" s="2"/>
      <c r="AA3907" s="2" t="s">
        <v>708</v>
      </c>
      <c r="AB3907" s="2" t="s">
        <v>16576</v>
      </c>
      <c r="AC3907" s="4" t="s">
        <v>44</v>
      </c>
    </row>
    <row r="3908" spans="1:29" x14ac:dyDescent="0.25">
      <c r="A3908" s="1">
        <v>1856</v>
      </c>
      <c r="B3908" s="17" t="s">
        <v>16787</v>
      </c>
      <c r="C3908" s="2" t="s">
        <v>16788</v>
      </c>
      <c r="D3908" s="15" t="s">
        <v>10827</v>
      </c>
      <c r="E3908" s="9" t="s">
        <v>3265</v>
      </c>
      <c r="F3908" s="9" t="s">
        <v>10826</v>
      </c>
      <c r="G3908" s="9" t="s">
        <v>9735</v>
      </c>
      <c r="H3908" s="2" t="s">
        <v>60</v>
      </c>
      <c r="I3908" s="3">
        <v>37322</v>
      </c>
      <c r="J3908" s="9" t="str">
        <f t="shared" ca="1" si="64"/>
        <v>21 ans</v>
      </c>
      <c r="K3908" s="2" t="s">
        <v>262</v>
      </c>
      <c r="L3908" s="2" t="str">
        <f>"3389"</f>
        <v>3389</v>
      </c>
      <c r="M3908" s="2"/>
      <c r="N3908" s="2" t="str">
        <f>"RUE MELANÇON"</f>
        <v>RUE MELANÇON</v>
      </c>
      <c r="O3908" s="2" t="s">
        <v>16565</v>
      </c>
      <c r="P3908" s="9" t="str">
        <f>VLOOKUP($O3908,'Liste des Villes'!$B$2:$B$1128,1,FALSE)</f>
        <v>Laval</v>
      </c>
      <c r="Q3908" s="9" t="str">
        <f>IFERROR($P3908,PROPER(VLOOKUP($O3908,'Villes en erreur'!$A$2:$B$72,2,FALSE)))</f>
        <v>Laval</v>
      </c>
      <c r="R3908" s="9" t="s">
        <v>16566</v>
      </c>
      <c r="S3908" s="9" t="str">
        <f>IF(ISBLANK($R3908),"",VLOOKUP($R3908,'Liste des Villes'!$B$2:$H$1128,4,FALSE))</f>
        <v>Laval</v>
      </c>
      <c r="T3908" s="2" t="s">
        <v>16789</v>
      </c>
      <c r="U3908" s="2" t="s">
        <v>39</v>
      </c>
      <c r="V3908" s="2" t="s">
        <v>40</v>
      </c>
      <c r="W3908" s="2" t="s">
        <v>16648</v>
      </c>
      <c r="X3908" s="2" t="str">
        <f>"4388690305"</f>
        <v>4388690305</v>
      </c>
      <c r="Y3908" s="2" t="str">
        <f>"5149916336"</f>
        <v>5149916336</v>
      </c>
      <c r="Z3908" s="2"/>
      <c r="AA3908" s="2" t="s">
        <v>708</v>
      </c>
      <c r="AB3908" s="2" t="s">
        <v>16576</v>
      </c>
      <c r="AC3908" s="4" t="s">
        <v>44</v>
      </c>
    </row>
    <row r="3909" spans="1:29" x14ac:dyDescent="0.25">
      <c r="A3909" s="1">
        <v>3241</v>
      </c>
      <c r="B3909" s="17" t="s">
        <v>16790</v>
      </c>
      <c r="C3909" s="2" t="s">
        <v>16791</v>
      </c>
      <c r="D3909" s="15" t="s">
        <v>9675</v>
      </c>
      <c r="E3909" s="9" t="s">
        <v>4576</v>
      </c>
      <c r="F3909" s="9" t="s">
        <v>1024</v>
      </c>
      <c r="G3909" s="9" t="s">
        <v>8289</v>
      </c>
      <c r="H3909" s="2" t="s">
        <v>60</v>
      </c>
      <c r="I3909" s="3">
        <v>37311</v>
      </c>
      <c r="J3909" s="9" t="str">
        <f t="shared" ca="1" si="64"/>
        <v>21 ans</v>
      </c>
      <c r="K3909" s="2" t="s">
        <v>262</v>
      </c>
      <c r="L3909" s="2" t="str">
        <f>"3064"</f>
        <v>3064</v>
      </c>
      <c r="M3909" s="2"/>
      <c r="N3909" s="2" t="str">
        <f>"RUE MATHIEU"</f>
        <v>RUE MATHIEU</v>
      </c>
      <c r="O3909" s="2" t="s">
        <v>16565</v>
      </c>
      <c r="P3909" s="9" t="str">
        <f>VLOOKUP($O3909,'Liste des Villes'!$B$2:$B$1128,1,FALSE)</f>
        <v>Laval</v>
      </c>
      <c r="Q3909" s="9" t="str">
        <f>IFERROR($P3909,PROPER(VLOOKUP($O3909,'Villes en erreur'!$A$2:$B$72,2,FALSE)))</f>
        <v>Laval</v>
      </c>
      <c r="R3909" s="9" t="s">
        <v>16566</v>
      </c>
      <c r="S3909" s="9" t="str">
        <f>IF(ISBLANK($R3909),"",VLOOKUP($R3909,'Liste des Villes'!$B$2:$H$1128,4,FALSE))</f>
        <v>Laval</v>
      </c>
      <c r="T3909" s="2" t="s">
        <v>16635</v>
      </c>
      <c r="U3909" s="2" t="s">
        <v>39</v>
      </c>
      <c r="V3909" s="2" t="s">
        <v>40</v>
      </c>
      <c r="W3909" s="2" t="s">
        <v>16792</v>
      </c>
      <c r="X3909" s="2" t="str">
        <f>"4385225427"</f>
        <v>4385225427</v>
      </c>
      <c r="Y3909" s="2" t="str">
        <f>"8192785278"</f>
        <v>8192785278</v>
      </c>
      <c r="Z3909" s="2"/>
      <c r="AA3909" s="2" t="s">
        <v>708</v>
      </c>
      <c r="AB3909" s="2" t="s">
        <v>16576</v>
      </c>
      <c r="AC3909" s="4" t="s">
        <v>44</v>
      </c>
    </row>
    <row r="3910" spans="1:29" x14ac:dyDescent="0.25">
      <c r="A3910" s="1">
        <v>2</v>
      </c>
      <c r="B3910" s="17" t="s">
        <v>16793</v>
      </c>
      <c r="C3910" s="2" t="s">
        <v>3422</v>
      </c>
      <c r="D3910" s="15" t="s">
        <v>1098</v>
      </c>
      <c r="E3910" s="9" t="s">
        <v>3423</v>
      </c>
      <c r="F3910" s="9" t="s">
        <v>3424</v>
      </c>
      <c r="G3910" s="9" t="s">
        <v>1341</v>
      </c>
      <c r="H3910" s="2" t="s">
        <v>60</v>
      </c>
      <c r="I3910" s="3">
        <v>37279</v>
      </c>
      <c r="J3910" s="9" t="str">
        <f t="shared" ca="1" si="64"/>
        <v>21 ans</v>
      </c>
      <c r="K3910" s="2" t="s">
        <v>262</v>
      </c>
      <c r="L3910" s="2" t="str">
        <f>"2400"</f>
        <v>2400</v>
      </c>
      <c r="M3910" s="2"/>
      <c r="N3910" s="2" t="str">
        <f>"RUE LYNE"</f>
        <v>RUE LYNE</v>
      </c>
      <c r="O3910" s="2" t="s">
        <v>16565</v>
      </c>
      <c r="P3910" s="9" t="str">
        <f>VLOOKUP($O3910,'Liste des Villes'!$B$2:$B$1128,1,FALSE)</f>
        <v>Laval</v>
      </c>
      <c r="Q3910" s="9" t="str">
        <f>IFERROR($P3910,PROPER(VLOOKUP($O3910,'Villes en erreur'!$A$2:$B$72,2,FALSE)))</f>
        <v>Laval</v>
      </c>
      <c r="R3910" s="9" t="s">
        <v>16566</v>
      </c>
      <c r="S3910" s="9" t="str">
        <f>IF(ISBLANK($R3910),"",VLOOKUP($R3910,'Liste des Villes'!$B$2:$H$1128,4,FALSE))</f>
        <v>Laval</v>
      </c>
      <c r="T3910" s="2" t="s">
        <v>16794</v>
      </c>
      <c r="U3910" s="2" t="s">
        <v>39</v>
      </c>
      <c r="V3910" s="2" t="s">
        <v>40</v>
      </c>
      <c r="W3910" s="2" t="s">
        <v>16795</v>
      </c>
      <c r="X3910" s="2"/>
      <c r="Y3910" s="2"/>
      <c r="Z3910" s="2"/>
      <c r="AA3910" s="2" t="s">
        <v>708</v>
      </c>
      <c r="AB3910" s="2" t="s">
        <v>709</v>
      </c>
      <c r="AC3910" s="4" t="s">
        <v>44</v>
      </c>
    </row>
    <row r="3911" spans="1:29" x14ac:dyDescent="0.25">
      <c r="A3911" s="1">
        <v>4082</v>
      </c>
      <c r="B3911" s="17" t="s">
        <v>16796</v>
      </c>
      <c r="C3911" s="2" t="s">
        <v>4744</v>
      </c>
      <c r="D3911" s="15" t="s">
        <v>4745</v>
      </c>
      <c r="E3911" s="9" t="s">
        <v>929</v>
      </c>
      <c r="F3911" s="9" t="s">
        <v>677</v>
      </c>
      <c r="G3911" s="9" t="s">
        <v>2951</v>
      </c>
      <c r="H3911" s="2" t="s">
        <v>60</v>
      </c>
      <c r="I3911" s="3">
        <v>37312</v>
      </c>
      <c r="J3911" s="9" t="str">
        <f t="shared" ca="1" si="64"/>
        <v>21 ans</v>
      </c>
      <c r="K3911" s="2" t="s">
        <v>262</v>
      </c>
      <c r="L3911" s="2" t="str">
        <f>"3140"</f>
        <v>3140</v>
      </c>
      <c r="M3911" s="2"/>
      <c r="N3911" s="2" t="str">
        <f>"RUE MATHIEU"</f>
        <v>RUE MATHIEU</v>
      </c>
      <c r="O3911" s="2" t="s">
        <v>16565</v>
      </c>
      <c r="P3911" s="9" t="str">
        <f>VLOOKUP($O3911,'Liste des Villes'!$B$2:$B$1128,1,FALSE)</f>
        <v>Laval</v>
      </c>
      <c r="Q3911" s="9" t="str">
        <f>IFERROR($P3911,PROPER(VLOOKUP($O3911,'Villes en erreur'!$A$2:$B$72,2,FALSE)))</f>
        <v>Laval</v>
      </c>
      <c r="R3911" s="9" t="s">
        <v>16566</v>
      </c>
      <c r="S3911" s="9" t="str">
        <f>IF(ISBLANK($R3911),"",VLOOKUP($R3911,'Liste des Villes'!$B$2:$H$1128,4,FALSE))</f>
        <v>Laval</v>
      </c>
      <c r="T3911" s="2" t="s">
        <v>16797</v>
      </c>
      <c r="U3911" s="2" t="s">
        <v>39</v>
      </c>
      <c r="V3911" s="2" t="s">
        <v>40</v>
      </c>
      <c r="W3911" s="2" t="s">
        <v>16798</v>
      </c>
      <c r="X3911" s="2" t="str">
        <f>"4385433331"</f>
        <v>4385433331</v>
      </c>
      <c r="Y3911" s="2" t="str">
        <f>"8192190992"</f>
        <v>8192190992</v>
      </c>
      <c r="Z3911" s="2"/>
      <c r="AA3911" s="2" t="s">
        <v>708</v>
      </c>
      <c r="AB3911" s="2" t="s">
        <v>16576</v>
      </c>
      <c r="AC3911" s="4" t="s">
        <v>44</v>
      </c>
    </row>
    <row r="3912" spans="1:29" x14ac:dyDescent="0.25">
      <c r="A3912" s="1">
        <v>4547</v>
      </c>
      <c r="B3912" s="17" t="s">
        <v>16799</v>
      </c>
      <c r="C3912" s="2" t="s">
        <v>16800</v>
      </c>
      <c r="D3912" s="15" t="s">
        <v>2921</v>
      </c>
      <c r="E3912" s="9" t="s">
        <v>3265</v>
      </c>
      <c r="F3912" s="9" t="s">
        <v>6014</v>
      </c>
      <c r="G3912" s="9" t="s">
        <v>277</v>
      </c>
      <c r="H3912" s="2" t="s">
        <v>60</v>
      </c>
      <c r="I3912" s="3">
        <v>37300</v>
      </c>
      <c r="J3912" s="9" t="str">
        <f t="shared" ca="1" si="64"/>
        <v>21 ans</v>
      </c>
      <c r="K3912" s="2" t="s">
        <v>262</v>
      </c>
      <c r="L3912" s="2" t="str">
        <f>"2824"</f>
        <v>2824</v>
      </c>
      <c r="M3912" s="2"/>
      <c r="N3912" s="2" t="str">
        <f>"RUE MARIE CLAIRE"</f>
        <v>RUE MARIE CLAIRE</v>
      </c>
      <c r="O3912" s="2" t="s">
        <v>16565</v>
      </c>
      <c r="P3912" s="9" t="str">
        <f>VLOOKUP($O3912,'Liste des Villes'!$B$2:$B$1128,1,FALSE)</f>
        <v>Laval</v>
      </c>
      <c r="Q3912" s="9" t="str">
        <f>IFERROR($P3912,PROPER(VLOOKUP($O3912,'Villes en erreur'!$A$2:$B$72,2,FALSE)))</f>
        <v>Laval</v>
      </c>
      <c r="R3912" s="9" t="s">
        <v>16566</v>
      </c>
      <c r="S3912" s="9" t="str">
        <f>IF(ISBLANK($R3912),"",VLOOKUP($R3912,'Liste des Villes'!$B$2:$H$1128,4,FALSE))</f>
        <v>Laval</v>
      </c>
      <c r="T3912" s="2" t="s">
        <v>16801</v>
      </c>
      <c r="U3912" s="2" t="s">
        <v>39</v>
      </c>
      <c r="V3912" s="2" t="s">
        <v>40</v>
      </c>
      <c r="W3912" s="2" t="s">
        <v>16802</v>
      </c>
      <c r="X3912" s="2" t="str">
        <f>"4384916242"</f>
        <v>4384916242</v>
      </c>
      <c r="Y3912" s="2" t="str">
        <f>"8194306701"</f>
        <v>8194306701</v>
      </c>
      <c r="Z3912" s="2"/>
      <c r="AA3912" s="2" t="s">
        <v>708</v>
      </c>
      <c r="AB3912" s="2" t="s">
        <v>709</v>
      </c>
      <c r="AC3912" s="4" t="s">
        <v>44</v>
      </c>
    </row>
    <row r="3913" spans="1:29" x14ac:dyDescent="0.25">
      <c r="A3913" s="1">
        <v>1984</v>
      </c>
      <c r="B3913" s="17" t="s">
        <v>16803</v>
      </c>
      <c r="C3913" s="2" t="s">
        <v>16804</v>
      </c>
      <c r="D3913" s="15" t="s">
        <v>11134</v>
      </c>
      <c r="E3913" s="9" t="s">
        <v>12207</v>
      </c>
      <c r="F3913" s="9" t="s">
        <v>76</v>
      </c>
      <c r="G3913" s="9" t="s">
        <v>1341</v>
      </c>
      <c r="H3913" s="2" t="s">
        <v>60</v>
      </c>
      <c r="I3913" s="3">
        <v>37280</v>
      </c>
      <c r="J3913" s="9" t="str">
        <f t="shared" ca="1" si="64"/>
        <v>21 ans</v>
      </c>
      <c r="K3913" s="2" t="s">
        <v>262</v>
      </c>
      <c r="L3913" s="2" t="str">
        <f>"2403"</f>
        <v>2403</v>
      </c>
      <c r="M3913" s="2"/>
      <c r="N3913" s="2" t="str">
        <f>"RUE MACKENZIE"</f>
        <v>RUE MACKENZIE</v>
      </c>
      <c r="O3913" s="2" t="s">
        <v>16565</v>
      </c>
      <c r="P3913" s="9" t="str">
        <f>VLOOKUP($O3913,'Liste des Villes'!$B$2:$B$1128,1,FALSE)</f>
        <v>Laval</v>
      </c>
      <c r="Q3913" s="9" t="str">
        <f>IFERROR($P3913,PROPER(VLOOKUP($O3913,'Villes en erreur'!$A$2:$B$72,2,FALSE)))</f>
        <v>Laval</v>
      </c>
      <c r="R3913" s="9" t="s">
        <v>16566</v>
      </c>
      <c r="S3913" s="9" t="str">
        <f>IF(ISBLANK($R3913),"",VLOOKUP($R3913,'Liste des Villes'!$B$2:$H$1128,4,FALSE))</f>
        <v>Laval</v>
      </c>
      <c r="T3913" s="2" t="s">
        <v>16805</v>
      </c>
      <c r="U3913" s="2" t="s">
        <v>39</v>
      </c>
      <c r="V3913" s="2" t="s">
        <v>40</v>
      </c>
      <c r="W3913" s="2" t="s">
        <v>16806</v>
      </c>
      <c r="X3913" s="2"/>
      <c r="Y3913" s="2"/>
      <c r="Z3913" s="2"/>
      <c r="AA3913" s="2" t="s">
        <v>708</v>
      </c>
      <c r="AB3913" s="2" t="s">
        <v>709</v>
      </c>
      <c r="AC3913" s="4" t="s">
        <v>44</v>
      </c>
    </row>
    <row r="3914" spans="1:29" x14ac:dyDescent="0.25">
      <c r="A3914" s="1">
        <v>3628</v>
      </c>
      <c r="B3914" s="17" t="s">
        <v>16807</v>
      </c>
      <c r="C3914" s="2" t="s">
        <v>3102</v>
      </c>
      <c r="D3914" s="15" t="s">
        <v>657</v>
      </c>
      <c r="E3914" s="9" t="s">
        <v>452</v>
      </c>
      <c r="F3914" s="9" t="s">
        <v>3035</v>
      </c>
      <c r="G3914" s="9" t="s">
        <v>277</v>
      </c>
      <c r="H3914" s="2" t="s">
        <v>60</v>
      </c>
      <c r="I3914" s="3">
        <v>37305</v>
      </c>
      <c r="J3914" s="9" t="str">
        <f t="shared" ca="1" si="64"/>
        <v>21 ans</v>
      </c>
      <c r="K3914" s="2" t="s">
        <v>262</v>
      </c>
      <c r="L3914" s="2" t="str">
        <f>"2880"</f>
        <v>2880</v>
      </c>
      <c r="M3914" s="2"/>
      <c r="N3914" s="2" t="str">
        <f>"RUE MARIE-GÉRIN-LAJOIE"</f>
        <v>RUE MARIE-GÉRIN-LAJOIE</v>
      </c>
      <c r="O3914" s="2" t="s">
        <v>16565</v>
      </c>
      <c r="P3914" s="9" t="str">
        <f>VLOOKUP($O3914,'Liste des Villes'!$B$2:$B$1128,1,FALSE)</f>
        <v>Laval</v>
      </c>
      <c r="Q3914" s="9" t="str">
        <f>IFERROR($P3914,PROPER(VLOOKUP($O3914,'Villes en erreur'!$A$2:$B$72,2,FALSE)))</f>
        <v>Laval</v>
      </c>
      <c r="R3914" s="9" t="s">
        <v>16566</v>
      </c>
      <c r="S3914" s="9" t="str">
        <f>IF(ISBLANK($R3914),"",VLOOKUP($R3914,'Liste des Villes'!$B$2:$H$1128,4,FALSE))</f>
        <v>Laval</v>
      </c>
      <c r="T3914" s="2" t="s">
        <v>16684</v>
      </c>
      <c r="U3914" s="2" t="s">
        <v>39</v>
      </c>
      <c r="V3914" s="2" t="s">
        <v>40</v>
      </c>
      <c r="W3914" s="2" t="s">
        <v>16808</v>
      </c>
      <c r="X3914" s="2" t="str">
        <f>"4384966318"</f>
        <v>4384966318</v>
      </c>
      <c r="Y3914" s="2" t="str">
        <f>"8194213490"</f>
        <v>8194213490</v>
      </c>
      <c r="Z3914" s="2"/>
      <c r="AA3914" s="2" t="s">
        <v>708</v>
      </c>
      <c r="AB3914" s="2" t="s">
        <v>709</v>
      </c>
      <c r="AC3914" s="4" t="s">
        <v>44</v>
      </c>
    </row>
    <row r="3915" spans="1:29" x14ac:dyDescent="0.25">
      <c r="A3915" s="1">
        <v>2071</v>
      </c>
      <c r="B3915" s="17" t="s">
        <v>16809</v>
      </c>
      <c r="C3915" s="2" t="s">
        <v>15693</v>
      </c>
      <c r="D3915" s="15" t="s">
        <v>2316</v>
      </c>
      <c r="E3915" s="9" t="s">
        <v>1846</v>
      </c>
      <c r="F3915" s="9" t="s">
        <v>9784</v>
      </c>
      <c r="G3915" s="9" t="s">
        <v>12905</v>
      </c>
      <c r="H3915" s="2" t="s">
        <v>60</v>
      </c>
      <c r="I3915" s="3">
        <v>37278</v>
      </c>
      <c r="J3915" s="9" t="str">
        <f t="shared" ca="1" si="64"/>
        <v>21 ans</v>
      </c>
      <c r="K3915" s="2" t="s">
        <v>262</v>
      </c>
      <c r="L3915" s="2" t="str">
        <f>"2390"</f>
        <v>2390</v>
      </c>
      <c r="M3915" s="2"/>
      <c r="N3915" s="2" t="str">
        <f>"RUE LUCILLE"</f>
        <v>RUE LUCILLE</v>
      </c>
      <c r="O3915" s="2" t="s">
        <v>16565</v>
      </c>
      <c r="P3915" s="9" t="str">
        <f>VLOOKUP($O3915,'Liste des Villes'!$B$2:$B$1128,1,FALSE)</f>
        <v>Laval</v>
      </c>
      <c r="Q3915" s="9" t="str">
        <f>IFERROR($P3915,PROPER(VLOOKUP($O3915,'Villes en erreur'!$A$2:$B$72,2,FALSE)))</f>
        <v>Laval</v>
      </c>
      <c r="R3915" s="9" t="s">
        <v>16566</v>
      </c>
      <c r="S3915" s="9" t="str">
        <f>IF(ISBLANK($R3915),"",VLOOKUP($R3915,'Liste des Villes'!$B$2:$H$1128,4,FALSE))</f>
        <v>Laval</v>
      </c>
      <c r="T3915" s="2" t="s">
        <v>16810</v>
      </c>
      <c r="U3915" s="2" t="s">
        <v>39</v>
      </c>
      <c r="V3915" s="2" t="s">
        <v>40</v>
      </c>
      <c r="W3915" s="2" t="s">
        <v>16811</v>
      </c>
      <c r="X3915" s="2"/>
      <c r="Y3915" s="2"/>
      <c r="Z3915" s="2"/>
      <c r="AA3915" s="2" t="s">
        <v>708</v>
      </c>
      <c r="AB3915" s="2" t="s">
        <v>709</v>
      </c>
      <c r="AC3915" s="4" t="s">
        <v>44</v>
      </c>
    </row>
    <row r="3916" spans="1:29" x14ac:dyDescent="0.25">
      <c r="A3916" s="1">
        <v>763</v>
      </c>
      <c r="B3916" s="17" t="s">
        <v>16812</v>
      </c>
      <c r="C3916" s="2" t="s">
        <v>16813</v>
      </c>
      <c r="D3916" s="15" t="s">
        <v>2671</v>
      </c>
      <c r="E3916" s="9" t="s">
        <v>233</v>
      </c>
      <c r="F3916" s="9" t="s">
        <v>2670</v>
      </c>
      <c r="G3916" s="9" t="s">
        <v>6899</v>
      </c>
      <c r="H3916" s="2" t="s">
        <v>60</v>
      </c>
      <c r="I3916" s="3">
        <v>37282</v>
      </c>
      <c r="J3916" s="9" t="str">
        <f t="shared" ca="1" si="64"/>
        <v>21 ans</v>
      </c>
      <c r="K3916" s="2" t="s">
        <v>262</v>
      </c>
      <c r="L3916" s="2" t="str">
        <f>"2472"</f>
        <v>2472</v>
      </c>
      <c r="M3916" s="2"/>
      <c r="N3916" s="2" t="str">
        <f>"RUE MAGLOIRE-LAVALLÉE"</f>
        <v>RUE MAGLOIRE-LAVALLÉE</v>
      </c>
      <c r="O3916" s="2" t="s">
        <v>16565</v>
      </c>
      <c r="P3916" s="9" t="str">
        <f>VLOOKUP($O3916,'Liste des Villes'!$B$2:$B$1128,1,FALSE)</f>
        <v>Laval</v>
      </c>
      <c r="Q3916" s="9" t="str">
        <f>IFERROR($P3916,PROPER(VLOOKUP($O3916,'Villes en erreur'!$A$2:$B$72,2,FALSE)))</f>
        <v>Laval</v>
      </c>
      <c r="R3916" s="9" t="s">
        <v>16566</v>
      </c>
      <c r="S3916" s="9" t="str">
        <f>IF(ISBLANK($R3916),"",VLOOKUP($R3916,'Liste des Villes'!$B$2:$H$1128,4,FALSE))</f>
        <v>Laval</v>
      </c>
      <c r="T3916" s="2" t="s">
        <v>16814</v>
      </c>
      <c r="U3916" s="2" t="s">
        <v>39</v>
      </c>
      <c r="V3916" s="2" t="s">
        <v>40</v>
      </c>
      <c r="W3916" s="2" t="s">
        <v>16815</v>
      </c>
      <c r="X3916" s="2"/>
      <c r="Y3916" s="2"/>
      <c r="Z3916" s="2"/>
      <c r="AA3916" s="2" t="s">
        <v>708</v>
      </c>
      <c r="AB3916" s="2" t="s">
        <v>709</v>
      </c>
      <c r="AC3916" s="4" t="s">
        <v>44</v>
      </c>
    </row>
    <row r="3917" spans="1:29" x14ac:dyDescent="0.25">
      <c r="A3917" s="1">
        <v>3098</v>
      </c>
      <c r="B3917" s="17" t="s">
        <v>16816</v>
      </c>
      <c r="C3917" s="2" t="s">
        <v>16817</v>
      </c>
      <c r="D3917" s="15" t="s">
        <v>1127</v>
      </c>
      <c r="E3917" s="9" t="s">
        <v>1246</v>
      </c>
      <c r="F3917" s="9" t="s">
        <v>1125</v>
      </c>
      <c r="G3917" s="9" t="s">
        <v>196</v>
      </c>
      <c r="H3917" s="2" t="s">
        <v>35</v>
      </c>
      <c r="I3917" s="3">
        <v>37327</v>
      </c>
      <c r="J3917" s="9" t="str">
        <f t="shared" ca="1" si="64"/>
        <v>21 ans</v>
      </c>
      <c r="K3917" s="2" t="s">
        <v>262</v>
      </c>
      <c r="L3917" s="2" t="str">
        <f>"3520"</f>
        <v>3520</v>
      </c>
      <c r="M3917" s="2"/>
      <c r="N3917" s="2" t="str">
        <f>"RUE MÉNARD"</f>
        <v>RUE MÉNARD</v>
      </c>
      <c r="O3917" s="2" t="s">
        <v>16565</v>
      </c>
      <c r="P3917" s="9" t="str">
        <f>VLOOKUP($O3917,'Liste des Villes'!$B$2:$B$1128,1,FALSE)</f>
        <v>Laval</v>
      </c>
      <c r="Q3917" s="9" t="str">
        <f>IFERROR($P3917,PROPER(VLOOKUP($O3917,'Villes en erreur'!$A$2:$B$72,2,FALSE)))</f>
        <v>Laval</v>
      </c>
      <c r="R3917" s="9" t="s">
        <v>16566</v>
      </c>
      <c r="S3917" s="9" t="str">
        <f>IF(ISBLANK($R3917),"",VLOOKUP($R3917,'Liste des Villes'!$B$2:$H$1128,4,FALSE))</f>
        <v>Laval</v>
      </c>
      <c r="T3917" s="2" t="s">
        <v>16691</v>
      </c>
      <c r="U3917" s="2" t="s">
        <v>39</v>
      </c>
      <c r="V3917" s="2" t="s">
        <v>40</v>
      </c>
      <c r="W3917" s="2" t="s">
        <v>16818</v>
      </c>
      <c r="X3917" s="2" t="str">
        <f>"4502220855"</f>
        <v>4502220855</v>
      </c>
      <c r="Y3917" s="2" t="str">
        <f>"5149423703"</f>
        <v>5149423703</v>
      </c>
      <c r="Z3917" s="2"/>
      <c r="AA3917" s="2" t="s">
        <v>708</v>
      </c>
      <c r="AB3917" s="2" t="s">
        <v>16576</v>
      </c>
      <c r="AC3917" s="4" t="s">
        <v>44</v>
      </c>
    </row>
    <row r="3918" spans="1:29" x14ac:dyDescent="0.25">
      <c r="A3918" s="1">
        <v>4014</v>
      </c>
      <c r="B3918" s="17" t="s">
        <v>16819</v>
      </c>
      <c r="C3918" s="2" t="s">
        <v>16820</v>
      </c>
      <c r="D3918" s="15" t="s">
        <v>900</v>
      </c>
      <c r="E3918" s="9" t="s">
        <v>1037</v>
      </c>
      <c r="F3918" s="9" t="s">
        <v>898</v>
      </c>
      <c r="G3918" s="9" t="s">
        <v>7863</v>
      </c>
      <c r="H3918" s="2" t="s">
        <v>60</v>
      </c>
      <c r="I3918" s="3">
        <v>37309</v>
      </c>
      <c r="J3918" s="9" t="str">
        <f t="shared" ca="1" si="64"/>
        <v>21 ans</v>
      </c>
      <c r="K3918" s="2" t="s">
        <v>262</v>
      </c>
      <c r="L3918" s="2" t="str">
        <f>"3031"</f>
        <v>3031</v>
      </c>
      <c r="M3918" s="2"/>
      <c r="N3918" s="2" t="str">
        <f>"RUE MASSE"</f>
        <v>RUE MASSE</v>
      </c>
      <c r="O3918" s="2" t="s">
        <v>16565</v>
      </c>
      <c r="P3918" s="9" t="str">
        <f>VLOOKUP($O3918,'Liste des Villes'!$B$2:$B$1128,1,FALSE)</f>
        <v>Laval</v>
      </c>
      <c r="Q3918" s="9" t="str">
        <f>IFERROR($P3918,PROPER(VLOOKUP($O3918,'Villes en erreur'!$A$2:$B$72,2,FALSE)))</f>
        <v>Laval</v>
      </c>
      <c r="R3918" s="9" t="s">
        <v>16566</v>
      </c>
      <c r="S3918" s="9" t="str">
        <f>IF(ISBLANK($R3918),"",VLOOKUP($R3918,'Liste des Villes'!$B$2:$H$1128,4,FALSE))</f>
        <v>Laval</v>
      </c>
      <c r="T3918" s="2" t="s">
        <v>16821</v>
      </c>
      <c r="U3918" s="2" t="s">
        <v>39</v>
      </c>
      <c r="V3918" s="2" t="s">
        <v>40</v>
      </c>
      <c r="W3918" s="2" t="s">
        <v>16822</v>
      </c>
      <c r="X3918" s="2" t="str">
        <f>"4385056582"</f>
        <v>4385056582</v>
      </c>
      <c r="Y3918" s="2" t="str">
        <f>"8193212196"</f>
        <v>8193212196</v>
      </c>
      <c r="Z3918" s="2"/>
      <c r="AA3918" s="2" t="s">
        <v>708</v>
      </c>
      <c r="AB3918" s="2" t="s">
        <v>16576</v>
      </c>
      <c r="AC3918" s="4" t="s">
        <v>44</v>
      </c>
    </row>
    <row r="3919" spans="1:29" x14ac:dyDescent="0.25">
      <c r="A3919" s="1">
        <v>3702</v>
      </c>
      <c r="B3919" s="17" t="s">
        <v>16823</v>
      </c>
      <c r="C3919" s="2" t="s">
        <v>2606</v>
      </c>
      <c r="D3919" s="15" t="s">
        <v>2128</v>
      </c>
      <c r="E3919" s="9" t="s">
        <v>179</v>
      </c>
      <c r="F3919" s="9" t="s">
        <v>1024</v>
      </c>
      <c r="G3919" s="9" t="s">
        <v>532</v>
      </c>
      <c r="H3919" s="2" t="s">
        <v>35</v>
      </c>
      <c r="I3919" s="3">
        <v>37315</v>
      </c>
      <c r="J3919" s="9" t="str">
        <f t="shared" ca="1" si="64"/>
        <v>21 ans</v>
      </c>
      <c r="K3919" s="2" t="s">
        <v>262</v>
      </c>
      <c r="L3919" s="2" t="str">
        <f>"3235"</f>
        <v>3235</v>
      </c>
      <c r="M3919" s="2"/>
      <c r="N3919" s="2" t="str">
        <f>"RUE MAURICE-CULLEN"</f>
        <v>RUE MAURICE-CULLEN</v>
      </c>
      <c r="O3919" s="2" t="s">
        <v>16565</v>
      </c>
      <c r="P3919" s="9" t="str">
        <f>VLOOKUP($O3919,'Liste des Villes'!$B$2:$B$1128,1,FALSE)</f>
        <v>Laval</v>
      </c>
      <c r="Q3919" s="9" t="str">
        <f>IFERROR($P3919,PROPER(VLOOKUP($O3919,'Villes en erreur'!$A$2:$B$72,2,FALSE)))</f>
        <v>Laval</v>
      </c>
      <c r="R3919" s="9" t="s">
        <v>16566</v>
      </c>
      <c r="S3919" s="9" t="str">
        <f>IF(ISBLANK($R3919),"",VLOOKUP($R3919,'Liste des Villes'!$B$2:$H$1128,4,FALSE))</f>
        <v>Laval</v>
      </c>
      <c r="T3919" s="2" t="s">
        <v>16574</v>
      </c>
      <c r="U3919" s="2" t="s">
        <v>39</v>
      </c>
      <c r="V3919" s="2" t="s">
        <v>40</v>
      </c>
      <c r="W3919" s="2" t="s">
        <v>16824</v>
      </c>
      <c r="X3919" s="2" t="str">
        <f>"4387936927"</f>
        <v>4387936927</v>
      </c>
      <c r="Y3919" s="2" t="str">
        <f>"6479381306"</f>
        <v>6479381306</v>
      </c>
      <c r="Z3919" s="2"/>
      <c r="AA3919" s="2" t="s">
        <v>708</v>
      </c>
      <c r="AB3919" s="2" t="s">
        <v>16576</v>
      </c>
      <c r="AC3919" s="4" t="s">
        <v>44</v>
      </c>
    </row>
    <row r="3920" spans="1:29" x14ac:dyDescent="0.25">
      <c r="A3920" s="1">
        <v>3363</v>
      </c>
      <c r="B3920" s="17" t="s">
        <v>16825</v>
      </c>
      <c r="C3920" s="2" t="s">
        <v>2000</v>
      </c>
      <c r="D3920" s="15" t="s">
        <v>2001</v>
      </c>
      <c r="E3920" s="9" t="s">
        <v>219</v>
      </c>
      <c r="F3920" s="9" t="s">
        <v>582</v>
      </c>
      <c r="G3920" s="9" t="s">
        <v>277</v>
      </c>
      <c r="H3920" s="2" t="s">
        <v>60</v>
      </c>
      <c r="I3920" s="3">
        <v>37300</v>
      </c>
      <c r="J3920" s="9" t="str">
        <f t="shared" ca="1" si="64"/>
        <v>21 ans</v>
      </c>
      <c r="K3920" s="2" t="s">
        <v>262</v>
      </c>
      <c r="L3920" s="2" t="str">
        <f>"2805"</f>
        <v>2805</v>
      </c>
      <c r="M3920" s="2"/>
      <c r="N3920" s="2" t="str">
        <f>"RUE MARGUERITE"</f>
        <v>RUE MARGUERITE</v>
      </c>
      <c r="O3920" s="2" t="s">
        <v>16565</v>
      </c>
      <c r="P3920" s="9" t="str">
        <f>VLOOKUP($O3920,'Liste des Villes'!$B$2:$B$1128,1,FALSE)</f>
        <v>Laval</v>
      </c>
      <c r="Q3920" s="9" t="str">
        <f>IFERROR($P3920,PROPER(VLOOKUP($O3920,'Villes en erreur'!$A$2:$B$72,2,FALSE)))</f>
        <v>Laval</v>
      </c>
      <c r="R3920" s="9" t="s">
        <v>16566</v>
      </c>
      <c r="S3920" s="9" t="str">
        <f>IF(ISBLANK($R3920),"",VLOOKUP($R3920,'Liste des Villes'!$B$2:$H$1128,4,FALSE))</f>
        <v>Laval</v>
      </c>
      <c r="T3920" s="2" t="s">
        <v>16826</v>
      </c>
      <c r="U3920" s="2" t="s">
        <v>39</v>
      </c>
      <c r="V3920" s="2" t="s">
        <v>40</v>
      </c>
      <c r="W3920" s="2" t="s">
        <v>16827</v>
      </c>
      <c r="X3920" s="2" t="str">
        <f>"4384910362"</f>
        <v>4384910362</v>
      </c>
      <c r="Y3920" s="2" t="str">
        <f>"8195523927"</f>
        <v>8195523927</v>
      </c>
      <c r="Z3920" s="2"/>
      <c r="AA3920" s="2" t="s">
        <v>708</v>
      </c>
      <c r="AB3920" s="2" t="s">
        <v>709</v>
      </c>
      <c r="AC3920" s="4" t="s">
        <v>44</v>
      </c>
    </row>
    <row r="3921" spans="1:29" x14ac:dyDescent="0.25">
      <c r="A3921" s="1">
        <v>1496</v>
      </c>
      <c r="B3921" s="17" t="s">
        <v>16828</v>
      </c>
      <c r="C3921" s="2" t="s">
        <v>13855</v>
      </c>
      <c r="D3921" s="15" t="s">
        <v>2322</v>
      </c>
      <c r="E3921" s="9" t="s">
        <v>622</v>
      </c>
      <c r="F3921" s="9" t="s">
        <v>2321</v>
      </c>
      <c r="G3921" s="9" t="s">
        <v>277</v>
      </c>
      <c r="H3921" s="2" t="s">
        <v>60</v>
      </c>
      <c r="I3921" s="3">
        <v>37294</v>
      </c>
      <c r="J3921" s="9" t="str">
        <f t="shared" ca="1" si="64"/>
        <v>21 ans</v>
      </c>
      <c r="K3921" s="2" t="s">
        <v>262</v>
      </c>
      <c r="L3921" s="2" t="str">
        <f>"2612"</f>
        <v>2612</v>
      </c>
      <c r="M3921" s="2"/>
      <c r="N3921" s="2" t="str">
        <f>"RUE MARC-AURÈLE-FORTIN"</f>
        <v>RUE MARC-AURÈLE-FORTIN</v>
      </c>
      <c r="O3921" s="2" t="s">
        <v>16565</v>
      </c>
      <c r="P3921" s="9" t="str">
        <f>VLOOKUP($O3921,'Liste des Villes'!$B$2:$B$1128,1,FALSE)</f>
        <v>Laval</v>
      </c>
      <c r="Q3921" s="9" t="str">
        <f>IFERROR($P3921,PROPER(VLOOKUP($O3921,'Villes en erreur'!$A$2:$B$72,2,FALSE)))</f>
        <v>Laval</v>
      </c>
      <c r="R3921" s="9" t="s">
        <v>16566</v>
      </c>
      <c r="S3921" s="9" t="str">
        <f>IF(ISBLANK($R3921),"",VLOOKUP($R3921,'Liste des Villes'!$B$2:$H$1128,4,FALSE))</f>
        <v>Laval</v>
      </c>
      <c r="T3921" s="2" t="s">
        <v>16829</v>
      </c>
      <c r="U3921" s="2" t="s">
        <v>39</v>
      </c>
      <c r="V3921" s="2" t="s">
        <v>40</v>
      </c>
      <c r="W3921" s="2" t="s">
        <v>16830</v>
      </c>
      <c r="X3921" s="2" t="str">
        <f>"4383932306"</f>
        <v>4383932306</v>
      </c>
      <c r="Y3921" s="2" t="str">
        <f>"4504365888 x201"</f>
        <v>4504365888 x201</v>
      </c>
      <c r="Z3921" s="2"/>
      <c r="AA3921" s="2" t="s">
        <v>708</v>
      </c>
      <c r="AB3921" s="2" t="s">
        <v>709</v>
      </c>
      <c r="AC3921" s="4" t="s">
        <v>44</v>
      </c>
    </row>
    <row r="3922" spans="1:29" x14ac:dyDescent="0.25">
      <c r="A3922" s="1">
        <v>2364</v>
      </c>
      <c r="B3922" s="17" t="s">
        <v>16831</v>
      </c>
      <c r="C3922" s="2" t="s">
        <v>3848</v>
      </c>
      <c r="D3922" s="15" t="s">
        <v>839</v>
      </c>
      <c r="E3922" s="9" t="s">
        <v>3849</v>
      </c>
      <c r="F3922" s="9" t="s">
        <v>1076</v>
      </c>
      <c r="G3922" s="9" t="s">
        <v>7397</v>
      </c>
      <c r="H3922" s="2" t="s">
        <v>35</v>
      </c>
      <c r="I3922" s="3">
        <v>37291</v>
      </c>
      <c r="J3922" s="9" t="str">
        <f t="shared" ca="1" si="64"/>
        <v>21 ans</v>
      </c>
      <c r="K3922" s="2" t="s">
        <v>262</v>
      </c>
      <c r="L3922" s="2" t="str">
        <f>"2580"</f>
        <v>2580</v>
      </c>
      <c r="M3922" s="2"/>
      <c r="N3922" s="2" t="str">
        <f>"RUE MARC-ANDRÉ"</f>
        <v>RUE MARC-ANDRÉ</v>
      </c>
      <c r="O3922" s="2" t="s">
        <v>16565</v>
      </c>
      <c r="P3922" s="9" t="str">
        <f>VLOOKUP($O3922,'Liste des Villes'!$B$2:$B$1128,1,FALSE)</f>
        <v>Laval</v>
      </c>
      <c r="Q3922" s="9" t="str">
        <f>IFERROR($P3922,PROPER(VLOOKUP($O3922,'Villes en erreur'!$A$2:$B$72,2,FALSE)))</f>
        <v>Laval</v>
      </c>
      <c r="R3922" s="9" t="s">
        <v>16566</v>
      </c>
      <c r="S3922" s="9" t="str">
        <f>IF(ISBLANK($R3922),"",VLOOKUP($R3922,'Liste des Villes'!$B$2:$H$1128,4,FALSE))</f>
        <v>Laval</v>
      </c>
      <c r="T3922" s="2" t="s">
        <v>16832</v>
      </c>
      <c r="U3922" s="2" t="s">
        <v>39</v>
      </c>
      <c r="V3922" s="2" t="s">
        <v>40</v>
      </c>
      <c r="W3922" s="2" t="s">
        <v>16833</v>
      </c>
      <c r="X3922" s="2" t="str">
        <f>"4383906126"</f>
        <v>4383906126</v>
      </c>
      <c r="Y3922" s="2"/>
      <c r="Z3922" s="2"/>
      <c r="AA3922" s="2" t="s">
        <v>708</v>
      </c>
      <c r="AB3922" s="2" t="s">
        <v>709</v>
      </c>
      <c r="AC3922" s="4" t="s">
        <v>44</v>
      </c>
    </row>
    <row r="3923" spans="1:29" x14ac:dyDescent="0.25">
      <c r="A3923" s="1">
        <v>3717</v>
      </c>
      <c r="B3923" s="17" t="s">
        <v>16834</v>
      </c>
      <c r="C3923" s="2" t="s">
        <v>16835</v>
      </c>
      <c r="D3923" s="15" t="s">
        <v>10786</v>
      </c>
      <c r="E3923" s="9" t="s">
        <v>16836</v>
      </c>
      <c r="F3923" s="9" t="s">
        <v>6160</v>
      </c>
      <c r="G3923" s="9" t="s">
        <v>7163</v>
      </c>
      <c r="H3923" s="2" t="s">
        <v>60</v>
      </c>
      <c r="I3923" s="3">
        <v>37308</v>
      </c>
      <c r="J3923" s="9" t="str">
        <f t="shared" ca="1" si="64"/>
        <v>21 ans</v>
      </c>
      <c r="K3923" s="2" t="s">
        <v>262</v>
      </c>
      <c r="L3923" s="2" t="str">
        <f>"3020"</f>
        <v>3020</v>
      </c>
      <c r="M3923" s="2"/>
      <c r="N3923" s="2" t="str">
        <f>"RUE MARTINE"</f>
        <v>RUE MARTINE</v>
      </c>
      <c r="O3923" s="2" t="s">
        <v>16565</v>
      </c>
      <c r="P3923" s="9" t="str">
        <f>VLOOKUP($O3923,'Liste des Villes'!$B$2:$B$1128,1,FALSE)</f>
        <v>Laval</v>
      </c>
      <c r="Q3923" s="9" t="str">
        <f>IFERROR($P3923,PROPER(VLOOKUP($O3923,'Villes en erreur'!$A$2:$B$72,2,FALSE)))</f>
        <v>Laval</v>
      </c>
      <c r="R3923" s="9" t="s">
        <v>16566</v>
      </c>
      <c r="S3923" s="9" t="str">
        <f>IF(ISBLANK($R3923),"",VLOOKUP($R3923,'Liste des Villes'!$B$2:$H$1128,4,FALSE))</f>
        <v>Laval</v>
      </c>
      <c r="T3923" s="2" t="s">
        <v>16837</v>
      </c>
      <c r="U3923" s="2" t="s">
        <v>39</v>
      </c>
      <c r="V3923" s="2" t="s">
        <v>40</v>
      </c>
      <c r="W3923" s="2" t="s">
        <v>16838</v>
      </c>
      <c r="X3923" s="2" t="str">
        <f>"4385032819"</f>
        <v>4385032819</v>
      </c>
      <c r="Y3923" s="2" t="str">
        <f>"8193227539"</f>
        <v>8193227539</v>
      </c>
      <c r="Z3923" s="2"/>
      <c r="AA3923" s="2" t="s">
        <v>708</v>
      </c>
      <c r="AB3923" s="2" t="s">
        <v>16576</v>
      </c>
      <c r="AC3923" s="4" t="s">
        <v>44</v>
      </c>
    </row>
    <row r="3924" spans="1:29" x14ac:dyDescent="0.25">
      <c r="A3924" s="1">
        <v>2590</v>
      </c>
      <c r="B3924" s="17" t="s">
        <v>16839</v>
      </c>
      <c r="C3924" s="2" t="s">
        <v>16840</v>
      </c>
      <c r="D3924" s="15" t="s">
        <v>13940</v>
      </c>
      <c r="E3924" s="9" t="s">
        <v>6244</v>
      </c>
      <c r="F3924" s="9" t="s">
        <v>1076</v>
      </c>
      <c r="G3924" s="9" t="s">
        <v>16086</v>
      </c>
      <c r="H3924" s="2" t="s">
        <v>60</v>
      </c>
      <c r="I3924" s="3">
        <v>37322</v>
      </c>
      <c r="J3924" s="9" t="str">
        <f t="shared" ca="1" si="64"/>
        <v>21 ans</v>
      </c>
      <c r="K3924" s="2" t="s">
        <v>262</v>
      </c>
      <c r="L3924" s="2" t="str">
        <f>"3391"</f>
        <v>3391</v>
      </c>
      <c r="M3924" s="2"/>
      <c r="N3924" s="2" t="str">
        <f>"RUE MELANÇON"</f>
        <v>RUE MELANÇON</v>
      </c>
      <c r="O3924" s="2" t="s">
        <v>16565</v>
      </c>
      <c r="P3924" s="9" t="str">
        <f>VLOOKUP($O3924,'Liste des Villes'!$B$2:$B$1128,1,FALSE)</f>
        <v>Laval</v>
      </c>
      <c r="Q3924" s="9" t="str">
        <f>IFERROR($P3924,PROPER(VLOOKUP($O3924,'Villes en erreur'!$A$2:$B$72,2,FALSE)))</f>
        <v>Laval</v>
      </c>
      <c r="R3924" s="9" t="s">
        <v>16566</v>
      </c>
      <c r="S3924" s="9" t="str">
        <f>IF(ISBLANK($R3924),"",VLOOKUP($R3924,'Liste des Villes'!$B$2:$H$1128,4,FALSE))</f>
        <v>Laval</v>
      </c>
      <c r="T3924" s="2" t="s">
        <v>16841</v>
      </c>
      <c r="U3924" s="2" t="s">
        <v>39</v>
      </c>
      <c r="V3924" s="2" t="s">
        <v>40</v>
      </c>
      <c r="W3924" s="2" t="s">
        <v>16842</v>
      </c>
      <c r="X3924" s="2" t="str">
        <f>"4388735914"</f>
        <v>4388735914</v>
      </c>
      <c r="Y3924" s="2" t="str">
        <f>"5149913506"</f>
        <v>5149913506</v>
      </c>
      <c r="Z3924" s="2"/>
      <c r="AA3924" s="2" t="s">
        <v>708</v>
      </c>
      <c r="AB3924" s="2" t="s">
        <v>16576</v>
      </c>
      <c r="AC3924" s="4" t="s">
        <v>44</v>
      </c>
    </row>
    <row r="3925" spans="1:29" x14ac:dyDescent="0.25">
      <c r="A3925" s="1">
        <v>2713</v>
      </c>
      <c r="B3925" s="17" t="s">
        <v>16843</v>
      </c>
      <c r="C3925" s="2" t="s">
        <v>960</v>
      </c>
      <c r="D3925" s="15" t="s">
        <v>961</v>
      </c>
      <c r="E3925" s="9" t="s">
        <v>219</v>
      </c>
      <c r="F3925" s="9" t="s">
        <v>962</v>
      </c>
      <c r="G3925" s="9" t="s">
        <v>196</v>
      </c>
      <c r="H3925" s="2" t="s">
        <v>35</v>
      </c>
      <c r="I3925" s="3">
        <v>37326</v>
      </c>
      <c r="J3925" s="9" t="str">
        <f t="shared" ca="1" si="64"/>
        <v>21 ans</v>
      </c>
      <c r="K3925" s="2" t="s">
        <v>262</v>
      </c>
      <c r="L3925" s="2" t="str">
        <f>"3488"</f>
        <v>3488</v>
      </c>
      <c r="M3925" s="2"/>
      <c r="N3925" s="2" t="str">
        <f>"RUE MÉLANIE"</f>
        <v>RUE MÉLANIE</v>
      </c>
      <c r="O3925" s="2" t="s">
        <v>16565</v>
      </c>
      <c r="P3925" s="9" t="str">
        <f>VLOOKUP($O3925,'Liste des Villes'!$B$2:$B$1128,1,FALSE)</f>
        <v>Laval</v>
      </c>
      <c r="Q3925" s="9" t="str">
        <f>IFERROR($P3925,PROPER(VLOOKUP($O3925,'Villes en erreur'!$A$2:$B$72,2,FALSE)))</f>
        <v>Laval</v>
      </c>
      <c r="R3925" s="9" t="s">
        <v>16566</v>
      </c>
      <c r="S3925" s="9" t="str">
        <f>IF(ISBLANK($R3925),"",VLOOKUP($R3925,'Liste des Villes'!$B$2:$H$1128,4,FALSE))</f>
        <v>Laval</v>
      </c>
      <c r="T3925" s="2" t="s">
        <v>16691</v>
      </c>
      <c r="U3925" s="2" t="s">
        <v>39</v>
      </c>
      <c r="V3925" s="2" t="s">
        <v>40</v>
      </c>
      <c r="W3925" s="2" t="s">
        <v>16844</v>
      </c>
      <c r="X3925" s="2" t="str">
        <f>"4389242000"</f>
        <v>4389242000</v>
      </c>
      <c r="Y3925" s="2" t="str">
        <f>"5149628497"</f>
        <v>5149628497</v>
      </c>
      <c r="Z3925" s="2"/>
      <c r="AA3925" s="2" t="s">
        <v>708</v>
      </c>
      <c r="AB3925" s="2" t="s">
        <v>16576</v>
      </c>
      <c r="AC3925" s="4" t="s">
        <v>44</v>
      </c>
    </row>
    <row r="3926" spans="1:29" x14ac:dyDescent="0.25">
      <c r="A3926" s="1">
        <v>80</v>
      </c>
      <c r="B3926" s="17" t="s">
        <v>16845</v>
      </c>
      <c r="C3926" s="2" t="s">
        <v>16846</v>
      </c>
      <c r="D3926" s="15" t="s">
        <v>13074</v>
      </c>
      <c r="E3926" s="9" t="s">
        <v>16847</v>
      </c>
      <c r="F3926" s="9" t="s">
        <v>584</v>
      </c>
      <c r="G3926" s="9" t="s">
        <v>1341</v>
      </c>
      <c r="H3926" s="2" t="s">
        <v>60</v>
      </c>
      <c r="I3926" s="3">
        <v>37280</v>
      </c>
      <c r="J3926" s="9" t="str">
        <f t="shared" ca="1" si="64"/>
        <v>21 ans</v>
      </c>
      <c r="K3926" s="2" t="s">
        <v>262</v>
      </c>
      <c r="L3926" s="2" t="str">
        <f>"2414"</f>
        <v>2414</v>
      </c>
      <c r="M3926" s="2"/>
      <c r="N3926" s="2" t="str">
        <f>"RUE MADELEINE"</f>
        <v>RUE MADELEINE</v>
      </c>
      <c r="O3926" s="2" t="s">
        <v>16565</v>
      </c>
      <c r="P3926" s="9" t="str">
        <f>VLOOKUP($O3926,'Liste des Villes'!$B$2:$B$1128,1,FALSE)</f>
        <v>Laval</v>
      </c>
      <c r="Q3926" s="9" t="str">
        <f>IFERROR($P3926,PROPER(VLOOKUP($O3926,'Villes en erreur'!$A$2:$B$72,2,FALSE)))</f>
        <v>Laval</v>
      </c>
      <c r="R3926" s="9" t="s">
        <v>16566</v>
      </c>
      <c r="S3926" s="9" t="str">
        <f>IF(ISBLANK($R3926),"",VLOOKUP($R3926,'Liste des Villes'!$B$2:$H$1128,4,FALSE))</f>
        <v>Laval</v>
      </c>
      <c r="T3926" s="2" t="s">
        <v>16805</v>
      </c>
      <c r="U3926" s="2" t="s">
        <v>39</v>
      </c>
      <c r="V3926" s="2" t="s">
        <v>40</v>
      </c>
      <c r="W3926" s="2" t="s">
        <v>16848</v>
      </c>
      <c r="X3926" s="2"/>
      <c r="Y3926" s="2"/>
      <c r="Z3926" s="2"/>
      <c r="AA3926" s="2" t="s">
        <v>708</v>
      </c>
      <c r="AB3926" s="2" t="s">
        <v>709</v>
      </c>
      <c r="AC3926" s="4" t="s">
        <v>44</v>
      </c>
    </row>
    <row r="3927" spans="1:29" x14ac:dyDescent="0.25">
      <c r="A3927" s="1">
        <v>1782</v>
      </c>
      <c r="B3927" s="17" t="s">
        <v>16849</v>
      </c>
      <c r="C3927" s="2" t="s">
        <v>2891</v>
      </c>
      <c r="D3927" s="15" t="s">
        <v>718</v>
      </c>
      <c r="E3927" s="9" t="s">
        <v>381</v>
      </c>
      <c r="F3927" s="9" t="s">
        <v>2442</v>
      </c>
      <c r="G3927" s="9" t="s">
        <v>277</v>
      </c>
      <c r="H3927" s="2" t="s">
        <v>60</v>
      </c>
      <c r="I3927" s="3">
        <v>37296</v>
      </c>
      <c r="J3927" s="9" t="str">
        <f t="shared" ca="1" si="64"/>
        <v>21 ans</v>
      </c>
      <c r="K3927" s="2" t="s">
        <v>262</v>
      </c>
      <c r="L3927" s="2" t="str">
        <f>"2690"</f>
        <v>2690</v>
      </c>
      <c r="M3927" s="2"/>
      <c r="N3927" s="2" t="str">
        <f>"RUE MARCEL"</f>
        <v>RUE MARCEL</v>
      </c>
      <c r="O3927" s="2" t="s">
        <v>16565</v>
      </c>
      <c r="P3927" s="9" t="str">
        <f>VLOOKUP($O3927,'Liste des Villes'!$B$2:$B$1128,1,FALSE)</f>
        <v>Laval</v>
      </c>
      <c r="Q3927" s="9" t="str">
        <f>IFERROR($P3927,PROPER(VLOOKUP($O3927,'Villes en erreur'!$A$2:$B$72,2,FALSE)))</f>
        <v>Laval</v>
      </c>
      <c r="R3927" s="9" t="s">
        <v>16566</v>
      </c>
      <c r="S3927" s="9" t="str">
        <f>IF(ISBLANK($R3927),"",VLOOKUP($R3927,'Liste des Villes'!$B$2:$H$1128,4,FALSE))</f>
        <v>Laval</v>
      </c>
      <c r="T3927" s="2" t="s">
        <v>16850</v>
      </c>
      <c r="U3927" s="2" t="s">
        <v>39</v>
      </c>
      <c r="V3927" s="2" t="s">
        <v>40</v>
      </c>
      <c r="W3927" s="2" t="s">
        <v>16851</v>
      </c>
      <c r="X3927" s="2" t="str">
        <f>"4383968686"</f>
        <v>4383968686</v>
      </c>
      <c r="Y3927" s="2" t="str">
        <f>"8198259427"</f>
        <v>8198259427</v>
      </c>
      <c r="Z3927" s="2"/>
      <c r="AA3927" s="2" t="s">
        <v>708</v>
      </c>
      <c r="AB3927" s="2" t="s">
        <v>709</v>
      </c>
      <c r="AC3927" s="4" t="s">
        <v>44</v>
      </c>
    </row>
    <row r="3928" spans="1:29" x14ac:dyDescent="0.25">
      <c r="A3928" s="1">
        <v>4470</v>
      </c>
      <c r="B3928" s="17" t="s">
        <v>16852</v>
      </c>
      <c r="C3928" s="2" t="s">
        <v>16853</v>
      </c>
      <c r="D3928" s="15" t="s">
        <v>2950</v>
      </c>
      <c r="E3928" s="9" t="s">
        <v>16720</v>
      </c>
      <c r="F3928" s="9" t="s">
        <v>1145</v>
      </c>
      <c r="G3928" s="9" t="s">
        <v>3013</v>
      </c>
      <c r="H3928" s="2" t="s">
        <v>60</v>
      </c>
      <c r="I3928" s="3">
        <v>37320</v>
      </c>
      <c r="J3928" s="9" t="str">
        <f t="shared" ca="1" si="64"/>
        <v>21 ans</v>
      </c>
      <c r="K3928" s="2" t="s">
        <v>262</v>
      </c>
      <c r="L3928" s="2" t="str">
        <f>"3305"</f>
        <v>3305</v>
      </c>
      <c r="M3928" s="2"/>
      <c r="N3928" s="2" t="str">
        <f>"RUE MCMASTER"</f>
        <v>RUE MCMASTER</v>
      </c>
      <c r="O3928" s="2" t="s">
        <v>16565</v>
      </c>
      <c r="P3928" s="9" t="str">
        <f>VLOOKUP($O3928,'Liste des Villes'!$B$2:$B$1128,1,FALSE)</f>
        <v>Laval</v>
      </c>
      <c r="Q3928" s="9" t="str">
        <f>IFERROR($P3928,PROPER(VLOOKUP($O3928,'Villes en erreur'!$A$2:$B$72,2,FALSE)))</f>
        <v>Laval</v>
      </c>
      <c r="R3928" s="9" t="s">
        <v>16566</v>
      </c>
      <c r="S3928" s="9" t="str">
        <f>IF(ISBLANK($R3928),"",VLOOKUP($R3928,'Liste des Villes'!$B$2:$H$1128,4,FALSE))</f>
        <v>Laval</v>
      </c>
      <c r="T3928" s="2" t="s">
        <v>16854</v>
      </c>
      <c r="U3928" s="2" t="s">
        <v>39</v>
      </c>
      <c r="V3928" s="2" t="s">
        <v>40</v>
      </c>
      <c r="W3928" s="2" t="s">
        <v>16855</v>
      </c>
      <c r="X3928" s="2" t="str">
        <f>"4388284170"</f>
        <v>4388284170</v>
      </c>
      <c r="Y3928" s="2" t="str">
        <f>"5797652376"</f>
        <v>5797652376</v>
      </c>
      <c r="Z3928" s="2"/>
      <c r="AA3928" s="2" t="s">
        <v>708</v>
      </c>
      <c r="AB3928" s="2" t="s">
        <v>16576</v>
      </c>
      <c r="AC3928" s="4" t="s">
        <v>44</v>
      </c>
    </row>
    <row r="3929" spans="1:29" x14ac:dyDescent="0.25">
      <c r="A3929" s="1">
        <v>1549</v>
      </c>
      <c r="B3929" s="17" t="s">
        <v>16856</v>
      </c>
      <c r="C3929" s="2" t="s">
        <v>1370</v>
      </c>
      <c r="D3929" s="15" t="s">
        <v>1092</v>
      </c>
      <c r="E3929" s="9" t="s">
        <v>92</v>
      </c>
      <c r="F3929" s="9" t="s">
        <v>1090</v>
      </c>
      <c r="G3929" s="9" t="s">
        <v>8289</v>
      </c>
      <c r="H3929" s="2" t="s">
        <v>60</v>
      </c>
      <c r="I3929" s="3">
        <v>37310</v>
      </c>
      <c r="J3929" s="9" t="str">
        <f t="shared" ca="1" si="64"/>
        <v>21 ans</v>
      </c>
      <c r="K3929" s="2" t="s">
        <v>262</v>
      </c>
      <c r="L3929" s="2" t="str">
        <f>"3051"</f>
        <v>3051</v>
      </c>
      <c r="M3929" s="2"/>
      <c r="N3929" s="2" t="str">
        <f>"RUE MASSIE"</f>
        <v>RUE MASSIE</v>
      </c>
      <c r="O3929" s="2" t="s">
        <v>16565</v>
      </c>
      <c r="P3929" s="9" t="str">
        <f>VLOOKUP($O3929,'Liste des Villes'!$B$2:$B$1128,1,FALSE)</f>
        <v>Laval</v>
      </c>
      <c r="Q3929" s="9" t="str">
        <f>IFERROR($P3929,PROPER(VLOOKUP($O3929,'Villes en erreur'!$A$2:$B$72,2,FALSE)))</f>
        <v>Laval</v>
      </c>
      <c r="R3929" s="9" t="s">
        <v>16566</v>
      </c>
      <c r="S3929" s="9" t="str">
        <f>IF(ISBLANK($R3929),"",VLOOKUP($R3929,'Liste des Villes'!$B$2:$H$1128,4,FALSE))</f>
        <v>Laval</v>
      </c>
      <c r="T3929" s="2" t="s">
        <v>16857</v>
      </c>
      <c r="U3929" s="2" t="s">
        <v>39</v>
      </c>
      <c r="V3929" s="2" t="s">
        <v>40</v>
      </c>
      <c r="W3929" s="2" t="s">
        <v>16858</v>
      </c>
      <c r="X3929" s="2" t="str">
        <f>"4385058529"</f>
        <v>4385058529</v>
      </c>
      <c r="Y3929" s="2" t="str">
        <f>"8193212020"</f>
        <v>8193212020</v>
      </c>
      <c r="Z3929" s="2"/>
      <c r="AA3929" s="2" t="s">
        <v>708</v>
      </c>
      <c r="AB3929" s="2" t="s">
        <v>16576</v>
      </c>
      <c r="AC3929" s="4" t="s">
        <v>44</v>
      </c>
    </row>
    <row r="3930" spans="1:29" x14ac:dyDescent="0.25">
      <c r="A3930" s="1">
        <v>4544</v>
      </c>
      <c r="B3930" s="17" t="s">
        <v>16859</v>
      </c>
      <c r="C3930" s="2" t="s">
        <v>1752</v>
      </c>
      <c r="D3930" s="15" t="s">
        <v>1753</v>
      </c>
      <c r="E3930" s="9" t="s">
        <v>1754</v>
      </c>
      <c r="F3930" s="9" t="s">
        <v>101</v>
      </c>
      <c r="G3930" s="9" t="s">
        <v>1341</v>
      </c>
      <c r="H3930" s="2" t="s">
        <v>60</v>
      </c>
      <c r="I3930" s="3">
        <v>37280</v>
      </c>
      <c r="J3930" s="9" t="str">
        <f t="shared" ca="1" si="64"/>
        <v>21 ans</v>
      </c>
      <c r="K3930" s="2" t="s">
        <v>262</v>
      </c>
      <c r="L3930" s="2" t="str">
        <f>"2437"</f>
        <v>2437</v>
      </c>
      <c r="M3930" s="2"/>
      <c r="N3930" s="2" t="str">
        <f>"RUE MADELEINE"</f>
        <v>RUE MADELEINE</v>
      </c>
      <c r="O3930" s="2" t="s">
        <v>16565</v>
      </c>
      <c r="P3930" s="9" t="str">
        <f>VLOOKUP($O3930,'Liste des Villes'!$B$2:$B$1128,1,FALSE)</f>
        <v>Laval</v>
      </c>
      <c r="Q3930" s="9" t="str">
        <f>IFERROR($P3930,PROPER(VLOOKUP($O3930,'Villes en erreur'!$A$2:$B$72,2,FALSE)))</f>
        <v>Laval</v>
      </c>
      <c r="R3930" s="9" t="s">
        <v>16566</v>
      </c>
      <c r="S3930" s="9" t="str">
        <f>IF(ISBLANK($R3930),"",VLOOKUP($R3930,'Liste des Villes'!$B$2:$H$1128,4,FALSE))</f>
        <v>Laval</v>
      </c>
      <c r="T3930" s="2" t="s">
        <v>16707</v>
      </c>
      <c r="U3930" s="2" t="s">
        <v>39</v>
      </c>
      <c r="V3930" s="2" t="s">
        <v>40</v>
      </c>
      <c r="W3930" s="2" t="s">
        <v>16860</v>
      </c>
      <c r="X3930" s="2"/>
      <c r="Y3930" s="2"/>
      <c r="Z3930" s="2"/>
      <c r="AA3930" s="2" t="s">
        <v>708</v>
      </c>
      <c r="AB3930" s="2" t="s">
        <v>709</v>
      </c>
      <c r="AC3930" s="4" t="s">
        <v>44</v>
      </c>
    </row>
    <row r="3931" spans="1:29" x14ac:dyDescent="0.25">
      <c r="A3931" s="1">
        <v>1044</v>
      </c>
      <c r="B3931" s="17" t="s">
        <v>16861</v>
      </c>
      <c r="C3931" s="2" t="s">
        <v>16862</v>
      </c>
      <c r="D3931" s="15" t="s">
        <v>16070</v>
      </c>
      <c r="E3931" s="9" t="s">
        <v>3595</v>
      </c>
      <c r="F3931" s="9" t="s">
        <v>16069</v>
      </c>
      <c r="G3931" s="9" t="s">
        <v>6337</v>
      </c>
      <c r="H3931" s="2" t="s">
        <v>60</v>
      </c>
      <c r="I3931" s="3">
        <v>37287</v>
      </c>
      <c r="J3931" s="9" t="str">
        <f t="shared" ca="1" si="64"/>
        <v>21 ans</v>
      </c>
      <c r="K3931" s="2" t="s">
        <v>262</v>
      </c>
      <c r="L3931" s="2" t="str">
        <f>"2526"</f>
        <v>2526</v>
      </c>
      <c r="M3931" s="2"/>
      <c r="N3931" s="2" t="str">
        <f>"RUE MALO"</f>
        <v>RUE MALO</v>
      </c>
      <c r="O3931" s="2" t="s">
        <v>16565</v>
      </c>
      <c r="P3931" s="9" t="str">
        <f>VLOOKUP($O3931,'Liste des Villes'!$B$2:$B$1128,1,FALSE)</f>
        <v>Laval</v>
      </c>
      <c r="Q3931" s="9" t="str">
        <f>IFERROR($P3931,PROPER(VLOOKUP($O3931,'Villes en erreur'!$A$2:$B$72,2,FALSE)))</f>
        <v>Laval</v>
      </c>
      <c r="R3931" s="9" t="s">
        <v>16566</v>
      </c>
      <c r="S3931" s="9" t="str">
        <f>IF(ISBLANK($R3931),"",VLOOKUP($R3931,'Liste des Villes'!$B$2:$H$1128,4,FALSE))</f>
        <v>Laval</v>
      </c>
      <c r="T3931" s="2" t="s">
        <v>16863</v>
      </c>
      <c r="U3931" s="2" t="s">
        <v>39</v>
      </c>
      <c r="V3931" s="2" t="s">
        <v>40</v>
      </c>
      <c r="W3931" s="2" t="s">
        <v>16864</v>
      </c>
      <c r="X3931" s="2" t="str">
        <f>"0241395182"</f>
        <v>0241395182</v>
      </c>
      <c r="Y3931" s="2"/>
      <c r="Z3931" s="2"/>
      <c r="AA3931" s="2" t="s">
        <v>708</v>
      </c>
      <c r="AB3931" s="2" t="s">
        <v>709</v>
      </c>
      <c r="AC3931" s="4" t="s">
        <v>44</v>
      </c>
    </row>
    <row r="3932" spans="1:29" x14ac:dyDescent="0.25">
      <c r="A3932" s="1">
        <v>2386</v>
      </c>
      <c r="B3932" s="17" t="s">
        <v>16865</v>
      </c>
      <c r="C3932" s="2" t="s">
        <v>16866</v>
      </c>
      <c r="D3932" s="15" t="s">
        <v>16273</v>
      </c>
      <c r="E3932" s="9" t="s">
        <v>4484</v>
      </c>
      <c r="F3932" s="9" t="s">
        <v>4471</v>
      </c>
      <c r="G3932" s="9" t="s">
        <v>704</v>
      </c>
      <c r="H3932" s="2" t="s">
        <v>60</v>
      </c>
      <c r="I3932" s="3">
        <v>37274</v>
      </c>
      <c r="J3932" s="9" t="str">
        <f t="shared" ca="1" si="64"/>
        <v>21 ans</v>
      </c>
      <c r="K3932" s="2" t="s">
        <v>262</v>
      </c>
      <c r="L3932" s="2" t="str">
        <f>"2354"</f>
        <v>2354</v>
      </c>
      <c r="M3932" s="2"/>
      <c r="N3932" s="2" t="str">
        <f>"RUE LUC"</f>
        <v>RUE LUC</v>
      </c>
      <c r="O3932" s="2" t="s">
        <v>16565</v>
      </c>
      <c r="P3932" s="9" t="str">
        <f>VLOOKUP($O3932,'Liste des Villes'!$B$2:$B$1128,1,FALSE)</f>
        <v>Laval</v>
      </c>
      <c r="Q3932" s="9" t="str">
        <f>IFERROR($P3932,PROPER(VLOOKUP($O3932,'Villes en erreur'!$A$2:$B$72,2,FALSE)))</f>
        <v>Laval</v>
      </c>
      <c r="R3932" s="9" t="s">
        <v>16566</v>
      </c>
      <c r="S3932" s="9" t="str">
        <f>IF(ISBLANK($R3932),"",VLOOKUP($R3932,'Liste des Villes'!$B$2:$H$1128,4,FALSE))</f>
        <v>Laval</v>
      </c>
      <c r="T3932" s="2" t="s">
        <v>16867</v>
      </c>
      <c r="U3932" s="2" t="s">
        <v>39</v>
      </c>
      <c r="V3932" s="2" t="s">
        <v>40</v>
      </c>
      <c r="W3932" s="2" t="s">
        <v>16868</v>
      </c>
      <c r="X3932" s="2"/>
      <c r="Y3932" s="2"/>
      <c r="Z3932" s="2"/>
      <c r="AA3932" s="2" t="s">
        <v>708</v>
      </c>
      <c r="AB3932" s="2" t="s">
        <v>709</v>
      </c>
      <c r="AC3932" s="4" t="s">
        <v>44</v>
      </c>
    </row>
    <row r="3933" spans="1:29" x14ac:dyDescent="0.25">
      <c r="A3933" s="1">
        <v>1301</v>
      </c>
      <c r="B3933" s="17" t="s">
        <v>16869</v>
      </c>
      <c r="C3933" s="2" t="s">
        <v>16870</v>
      </c>
      <c r="D3933" s="15" t="s">
        <v>12201</v>
      </c>
      <c r="E3933" s="9" t="s">
        <v>3668</v>
      </c>
      <c r="F3933" s="9" t="s">
        <v>12199</v>
      </c>
      <c r="G3933" s="9" t="s">
        <v>10281</v>
      </c>
      <c r="H3933" s="2" t="s">
        <v>60</v>
      </c>
      <c r="I3933" s="3">
        <v>37311</v>
      </c>
      <c r="J3933" s="9" t="str">
        <f t="shared" ca="1" si="64"/>
        <v>21 ans</v>
      </c>
      <c r="K3933" s="2" t="s">
        <v>262</v>
      </c>
      <c r="L3933" s="2" t="str">
        <f>"3078"</f>
        <v>3078</v>
      </c>
      <c r="M3933" s="2"/>
      <c r="N3933" s="2" t="str">
        <f>"RUE MATHIEU"</f>
        <v>RUE MATHIEU</v>
      </c>
      <c r="O3933" s="2" t="s">
        <v>16565</v>
      </c>
      <c r="P3933" s="9" t="str">
        <f>VLOOKUP($O3933,'Liste des Villes'!$B$2:$B$1128,1,FALSE)</f>
        <v>Laval</v>
      </c>
      <c r="Q3933" s="9" t="str">
        <f>IFERROR($P3933,PROPER(VLOOKUP($O3933,'Villes en erreur'!$A$2:$B$72,2,FALSE)))</f>
        <v>Laval</v>
      </c>
      <c r="R3933" s="9" t="s">
        <v>16566</v>
      </c>
      <c r="S3933" s="9" t="str">
        <f>IF(ISBLANK($R3933),"",VLOOKUP($R3933,'Liste des Villes'!$B$2:$H$1128,4,FALSE))</f>
        <v>Laval</v>
      </c>
      <c r="T3933" s="2" t="s">
        <v>16635</v>
      </c>
      <c r="U3933" s="2" t="s">
        <v>39</v>
      </c>
      <c r="V3933" s="2" t="s">
        <v>40</v>
      </c>
      <c r="W3933" s="2" t="s">
        <v>16871</v>
      </c>
      <c r="X3933" s="2" t="str">
        <f>"4385225601"</f>
        <v>4385225601</v>
      </c>
      <c r="Y3933" s="2" t="str">
        <f>"8192780458"</f>
        <v>8192780458</v>
      </c>
      <c r="Z3933" s="2"/>
      <c r="AA3933" s="2" t="s">
        <v>708</v>
      </c>
      <c r="AB3933" s="2" t="s">
        <v>16576</v>
      </c>
      <c r="AC3933" s="4" t="s">
        <v>44</v>
      </c>
    </row>
    <row r="3934" spans="1:29" x14ac:dyDescent="0.25">
      <c r="A3934" s="1">
        <v>1749</v>
      </c>
      <c r="B3934" s="17" t="s">
        <v>16872</v>
      </c>
      <c r="C3934" s="2" t="s">
        <v>1813</v>
      </c>
      <c r="D3934" s="15" t="s">
        <v>1814</v>
      </c>
      <c r="E3934" s="9" t="s">
        <v>549</v>
      </c>
      <c r="F3934" s="9" t="s">
        <v>16519</v>
      </c>
      <c r="G3934" s="9" t="s">
        <v>4755</v>
      </c>
      <c r="H3934" s="2" t="s">
        <v>35</v>
      </c>
      <c r="I3934" s="3">
        <v>37311</v>
      </c>
      <c r="J3934" s="9" t="str">
        <f t="shared" ca="1" si="64"/>
        <v>21 ans</v>
      </c>
      <c r="K3934" s="2" t="s">
        <v>262</v>
      </c>
      <c r="L3934" s="2" t="str">
        <f>"3133"</f>
        <v>3133</v>
      </c>
      <c r="M3934" s="2"/>
      <c r="N3934" s="2" t="str">
        <f>"RUE MATHIEU"</f>
        <v>RUE MATHIEU</v>
      </c>
      <c r="O3934" s="2" t="s">
        <v>16565</v>
      </c>
      <c r="P3934" s="9" t="str">
        <f>VLOOKUP($O3934,'Liste des Villes'!$B$2:$B$1128,1,FALSE)</f>
        <v>Laval</v>
      </c>
      <c r="Q3934" s="9" t="str">
        <f>IFERROR($P3934,PROPER(VLOOKUP($O3934,'Villes en erreur'!$A$2:$B$72,2,FALSE)))</f>
        <v>Laval</v>
      </c>
      <c r="R3934" s="9" t="s">
        <v>16566</v>
      </c>
      <c r="S3934" s="9" t="str">
        <f>IF(ISBLANK($R3934),"",VLOOKUP($R3934,'Liste des Villes'!$B$2:$H$1128,4,FALSE))</f>
        <v>Laval</v>
      </c>
      <c r="T3934" s="2" t="s">
        <v>16721</v>
      </c>
      <c r="U3934" s="2" t="s">
        <v>39</v>
      </c>
      <c r="V3934" s="2" t="s">
        <v>40</v>
      </c>
      <c r="W3934" s="2" t="s">
        <v>16873</v>
      </c>
      <c r="X3934" s="2" t="str">
        <f>"4385238311"</f>
        <v>4385238311</v>
      </c>
      <c r="Y3934" s="2" t="str">
        <f>"8192741375"</f>
        <v>8192741375</v>
      </c>
      <c r="Z3934" s="2"/>
      <c r="AA3934" s="2" t="s">
        <v>708</v>
      </c>
      <c r="AB3934" s="2" t="s">
        <v>16576</v>
      </c>
      <c r="AC3934" s="4" t="s">
        <v>44</v>
      </c>
    </row>
    <row r="3935" spans="1:29" x14ac:dyDescent="0.25">
      <c r="A3935" s="1">
        <v>3047</v>
      </c>
      <c r="B3935" s="17" t="s">
        <v>16874</v>
      </c>
      <c r="C3935" s="2" t="s">
        <v>14436</v>
      </c>
      <c r="D3935" s="15" t="s">
        <v>1452</v>
      </c>
      <c r="E3935" s="9" t="s">
        <v>2049</v>
      </c>
      <c r="F3935" s="9" t="s">
        <v>7681</v>
      </c>
      <c r="G3935" s="9" t="s">
        <v>7163</v>
      </c>
      <c r="H3935" s="2" t="s">
        <v>60</v>
      </c>
      <c r="I3935" s="3">
        <v>37308</v>
      </c>
      <c r="J3935" s="9" t="str">
        <f t="shared" ca="1" si="64"/>
        <v>21 ans</v>
      </c>
      <c r="K3935" s="2" t="s">
        <v>262</v>
      </c>
      <c r="L3935" s="2" t="str">
        <f>"3030"</f>
        <v>3030</v>
      </c>
      <c r="M3935" s="2"/>
      <c r="N3935" s="2" t="str">
        <f>"RUE MARTINE"</f>
        <v>RUE MARTINE</v>
      </c>
      <c r="O3935" s="2" t="s">
        <v>16565</v>
      </c>
      <c r="P3935" s="9" t="str">
        <f>VLOOKUP($O3935,'Liste des Villes'!$B$2:$B$1128,1,FALSE)</f>
        <v>Laval</v>
      </c>
      <c r="Q3935" s="9" t="str">
        <f>IFERROR($P3935,PROPER(VLOOKUP($O3935,'Villes en erreur'!$A$2:$B$72,2,FALSE)))</f>
        <v>Laval</v>
      </c>
      <c r="R3935" s="9" t="s">
        <v>16566</v>
      </c>
      <c r="S3935" s="9" t="str">
        <f>IF(ISBLANK($R3935),"",VLOOKUP($R3935,'Liste des Villes'!$B$2:$H$1128,4,FALSE))</f>
        <v>Laval</v>
      </c>
      <c r="T3935" s="2" t="s">
        <v>16875</v>
      </c>
      <c r="U3935" s="2" t="s">
        <v>39</v>
      </c>
      <c r="V3935" s="2" t="s">
        <v>40</v>
      </c>
      <c r="W3935" s="2" t="s">
        <v>16876</v>
      </c>
      <c r="X3935" s="2" t="str">
        <f>"4385048968"</f>
        <v>4385048968</v>
      </c>
      <c r="Y3935" s="2" t="str">
        <f>"8193226791"</f>
        <v>8193226791</v>
      </c>
      <c r="Z3935" s="2"/>
      <c r="AA3935" s="2" t="s">
        <v>708</v>
      </c>
      <c r="AB3935" s="2" t="s">
        <v>16576</v>
      </c>
      <c r="AC3935" s="4" t="s">
        <v>44</v>
      </c>
    </row>
    <row r="3936" spans="1:29" x14ac:dyDescent="0.25">
      <c r="A3936" s="1">
        <v>2457</v>
      </c>
      <c r="B3936" s="17" t="s">
        <v>16877</v>
      </c>
      <c r="C3936" s="2" t="s">
        <v>16878</v>
      </c>
      <c r="D3936" s="15" t="s">
        <v>5131</v>
      </c>
      <c r="E3936" s="9" t="s">
        <v>3196</v>
      </c>
      <c r="F3936" s="9" t="s">
        <v>1371</v>
      </c>
      <c r="G3936" s="9" t="s">
        <v>277</v>
      </c>
      <c r="H3936" s="2" t="s">
        <v>60</v>
      </c>
      <c r="I3936" s="3">
        <v>37303</v>
      </c>
      <c r="J3936" s="9" t="str">
        <f t="shared" ca="1" si="64"/>
        <v>21 ans</v>
      </c>
      <c r="K3936" s="2" t="s">
        <v>262</v>
      </c>
      <c r="L3936" s="2" t="str">
        <f>"2866"</f>
        <v>2866</v>
      </c>
      <c r="M3936" s="2"/>
      <c r="N3936" s="2" t="str">
        <f>"RUE MARIE-GÉRIN-LAJOIE"</f>
        <v>RUE MARIE-GÉRIN-LAJOIE</v>
      </c>
      <c r="O3936" s="2" t="s">
        <v>16565</v>
      </c>
      <c r="P3936" s="9" t="str">
        <f>VLOOKUP($O3936,'Liste des Villes'!$B$2:$B$1128,1,FALSE)</f>
        <v>Laval</v>
      </c>
      <c r="Q3936" s="9" t="str">
        <f>IFERROR($P3936,PROPER(VLOOKUP($O3936,'Villes en erreur'!$A$2:$B$72,2,FALSE)))</f>
        <v>Laval</v>
      </c>
      <c r="R3936" s="9" t="s">
        <v>16566</v>
      </c>
      <c r="S3936" s="9" t="str">
        <f>IF(ISBLANK($R3936),"",VLOOKUP($R3936,'Liste des Villes'!$B$2:$H$1128,4,FALSE))</f>
        <v>Laval</v>
      </c>
      <c r="T3936" s="2" t="s">
        <v>16684</v>
      </c>
      <c r="U3936" s="2" t="s">
        <v>39</v>
      </c>
      <c r="V3936" s="2" t="s">
        <v>40</v>
      </c>
      <c r="W3936" s="2" t="s">
        <v>16879</v>
      </c>
      <c r="X3936" s="2" t="str">
        <f>"4384953522"</f>
        <v>4384953522</v>
      </c>
      <c r="Y3936" s="2" t="str">
        <f>"8194213507"</f>
        <v>8194213507</v>
      </c>
      <c r="Z3936" s="2"/>
      <c r="AA3936" s="2" t="s">
        <v>708</v>
      </c>
      <c r="AB3936" s="2" t="s">
        <v>709</v>
      </c>
      <c r="AC3936" s="4" t="s">
        <v>44</v>
      </c>
    </row>
    <row r="3937" spans="1:29" x14ac:dyDescent="0.25">
      <c r="A3937" s="1">
        <v>468</v>
      </c>
      <c r="B3937" s="17" t="s">
        <v>16880</v>
      </c>
      <c r="C3937" s="2" t="s">
        <v>16881</v>
      </c>
      <c r="D3937" s="15" t="s">
        <v>78</v>
      </c>
      <c r="E3937" s="9" t="s">
        <v>12022</v>
      </c>
      <c r="F3937" s="9" t="s">
        <v>76</v>
      </c>
      <c r="G3937" s="9" t="s">
        <v>7397</v>
      </c>
      <c r="H3937" s="2" t="s">
        <v>35</v>
      </c>
      <c r="I3937" s="3">
        <v>37290</v>
      </c>
      <c r="J3937" s="9" t="str">
        <f t="shared" ca="1" si="64"/>
        <v>21 ans</v>
      </c>
      <c r="K3937" s="2" t="s">
        <v>262</v>
      </c>
      <c r="L3937" s="2" t="str">
        <f>"2568"</f>
        <v>2568</v>
      </c>
      <c r="M3937" s="2"/>
      <c r="N3937" s="2" t="str">
        <f>"RUE MARC-ANDRÉ"</f>
        <v>RUE MARC-ANDRÉ</v>
      </c>
      <c r="O3937" s="2" t="s">
        <v>16565</v>
      </c>
      <c r="P3937" s="9" t="str">
        <f>VLOOKUP($O3937,'Liste des Villes'!$B$2:$B$1128,1,FALSE)</f>
        <v>Laval</v>
      </c>
      <c r="Q3937" s="9" t="str">
        <f>IFERROR($P3937,PROPER(VLOOKUP($O3937,'Villes en erreur'!$A$2:$B$72,2,FALSE)))</f>
        <v>Laval</v>
      </c>
      <c r="R3937" s="9" t="s">
        <v>16566</v>
      </c>
      <c r="S3937" s="9" t="str">
        <f>IF(ISBLANK($R3937),"",VLOOKUP($R3937,'Liste des Villes'!$B$2:$H$1128,4,FALSE))</f>
        <v>Laval</v>
      </c>
      <c r="T3937" s="2" t="s">
        <v>16882</v>
      </c>
      <c r="U3937" s="2" t="s">
        <v>39</v>
      </c>
      <c r="V3937" s="2" t="s">
        <v>40</v>
      </c>
      <c r="W3937" s="2" t="s">
        <v>16883</v>
      </c>
      <c r="X3937" s="2" t="str">
        <f>"4383902612"</f>
        <v>4383902612</v>
      </c>
      <c r="Y3937" s="2"/>
      <c r="Z3937" s="2"/>
      <c r="AA3937" s="2" t="s">
        <v>708</v>
      </c>
      <c r="AB3937" s="2" t="s">
        <v>709</v>
      </c>
      <c r="AC3937" s="4" t="s">
        <v>44</v>
      </c>
    </row>
    <row r="3938" spans="1:29" x14ac:dyDescent="0.25">
      <c r="A3938" s="1">
        <v>2258</v>
      </c>
      <c r="B3938" s="17" t="s">
        <v>16884</v>
      </c>
      <c r="C3938" s="2" t="s">
        <v>16885</v>
      </c>
      <c r="D3938" s="15" t="s">
        <v>488</v>
      </c>
      <c r="E3938" s="9" t="s">
        <v>16886</v>
      </c>
      <c r="F3938" s="9" t="s">
        <v>16887</v>
      </c>
      <c r="G3938" s="9" t="s">
        <v>277</v>
      </c>
      <c r="H3938" s="2" t="s">
        <v>60</v>
      </c>
      <c r="I3938" s="3">
        <v>37306</v>
      </c>
      <c r="J3938" s="9" t="str">
        <f t="shared" ca="1" si="64"/>
        <v>21 ans</v>
      </c>
      <c r="K3938" s="2" t="s">
        <v>262</v>
      </c>
      <c r="L3938" s="2" t="str">
        <f>"2916"</f>
        <v>2916</v>
      </c>
      <c r="M3938" s="2"/>
      <c r="N3938" s="2" t="str">
        <f>"RUE MARIO"</f>
        <v>RUE MARIO</v>
      </c>
      <c r="O3938" s="2" t="s">
        <v>16565</v>
      </c>
      <c r="P3938" s="9" t="str">
        <f>VLOOKUP($O3938,'Liste des Villes'!$B$2:$B$1128,1,FALSE)</f>
        <v>Laval</v>
      </c>
      <c r="Q3938" s="9" t="str">
        <f>IFERROR($P3938,PROPER(VLOOKUP($O3938,'Villes en erreur'!$A$2:$B$72,2,FALSE)))</f>
        <v>Laval</v>
      </c>
      <c r="R3938" s="9" t="s">
        <v>16566</v>
      </c>
      <c r="S3938" s="9" t="str">
        <f>IF(ISBLANK($R3938),"",VLOOKUP($R3938,'Liste des Villes'!$B$2:$H$1128,4,FALSE))</f>
        <v>Laval</v>
      </c>
      <c r="T3938" s="2" t="s">
        <v>16684</v>
      </c>
      <c r="U3938" s="2" t="s">
        <v>39</v>
      </c>
      <c r="V3938" s="2" t="s">
        <v>40</v>
      </c>
      <c r="W3938" s="2" t="s">
        <v>16888</v>
      </c>
      <c r="X3938" s="2" t="str">
        <f>"4384998893"</f>
        <v>4384998893</v>
      </c>
      <c r="Y3938" s="2" t="str">
        <f>"8193252220"</f>
        <v>8193252220</v>
      </c>
      <c r="Z3938" s="2"/>
      <c r="AA3938" s="2" t="s">
        <v>708</v>
      </c>
      <c r="AB3938" s="2" t="s">
        <v>16576</v>
      </c>
      <c r="AC3938" s="4" t="s">
        <v>44</v>
      </c>
    </row>
    <row r="3939" spans="1:29" x14ac:dyDescent="0.25">
      <c r="A3939" s="1">
        <v>770</v>
      </c>
      <c r="B3939" s="17" t="s">
        <v>16889</v>
      </c>
      <c r="C3939" s="2" t="s">
        <v>16890</v>
      </c>
      <c r="D3939" s="15" t="s">
        <v>3445</v>
      </c>
      <c r="E3939" s="9" t="s">
        <v>10726</v>
      </c>
      <c r="F3939" s="9" t="s">
        <v>47</v>
      </c>
      <c r="G3939" s="9" t="s">
        <v>196</v>
      </c>
      <c r="H3939" s="2" t="s">
        <v>35</v>
      </c>
      <c r="I3939" s="3">
        <v>37326</v>
      </c>
      <c r="J3939" s="9" t="str">
        <f t="shared" ca="1" si="64"/>
        <v>21 ans</v>
      </c>
      <c r="K3939" s="2" t="s">
        <v>262</v>
      </c>
      <c r="L3939" s="2" t="str">
        <f>"3488"</f>
        <v>3488</v>
      </c>
      <c r="M3939" s="2"/>
      <c r="N3939" s="2" t="str">
        <f>"RUE MÉLANIE"</f>
        <v>RUE MÉLANIE</v>
      </c>
      <c r="O3939" s="2" t="s">
        <v>16565</v>
      </c>
      <c r="P3939" s="9" t="str">
        <f>VLOOKUP($O3939,'Liste des Villes'!$B$2:$B$1128,1,FALSE)</f>
        <v>Laval</v>
      </c>
      <c r="Q3939" s="9" t="str">
        <f>IFERROR($P3939,PROPER(VLOOKUP($O3939,'Villes en erreur'!$A$2:$B$72,2,FALSE)))</f>
        <v>Laval</v>
      </c>
      <c r="R3939" s="9" t="s">
        <v>16566</v>
      </c>
      <c r="S3939" s="9" t="str">
        <f>IF(ISBLANK($R3939),"",VLOOKUP($R3939,'Liste des Villes'!$B$2:$H$1128,4,FALSE))</f>
        <v>Laval</v>
      </c>
      <c r="T3939" s="2" t="s">
        <v>16691</v>
      </c>
      <c r="U3939" s="2" t="s">
        <v>39</v>
      </c>
      <c r="V3939" s="2" t="s">
        <v>40</v>
      </c>
      <c r="W3939" s="2" t="s">
        <v>16891</v>
      </c>
      <c r="X3939" s="2" t="str">
        <f>"4388893183"</f>
        <v>4388893183</v>
      </c>
      <c r="Y3939" s="2" t="str">
        <f>"5149669811"</f>
        <v>5149669811</v>
      </c>
      <c r="Z3939" s="2"/>
      <c r="AA3939" s="2" t="s">
        <v>708</v>
      </c>
      <c r="AB3939" s="2" t="s">
        <v>16576</v>
      </c>
      <c r="AC3939" s="4" t="s">
        <v>44</v>
      </c>
    </row>
    <row r="3940" spans="1:29" x14ac:dyDescent="0.25">
      <c r="A3940" s="1">
        <v>2728</v>
      </c>
      <c r="B3940" s="17" t="s">
        <v>16892</v>
      </c>
      <c r="C3940" s="2" t="s">
        <v>2795</v>
      </c>
      <c r="D3940" s="15" t="s">
        <v>1592</v>
      </c>
      <c r="E3940" s="9" t="s">
        <v>2796</v>
      </c>
      <c r="F3940" s="9" t="s">
        <v>14298</v>
      </c>
      <c r="G3940" s="9" t="s">
        <v>704</v>
      </c>
      <c r="H3940" s="2" t="s">
        <v>60</v>
      </c>
      <c r="I3940" s="3">
        <v>37278</v>
      </c>
      <c r="J3940" s="9" t="str">
        <f t="shared" ca="1" si="64"/>
        <v>21 ans</v>
      </c>
      <c r="K3940" s="2" t="s">
        <v>262</v>
      </c>
      <c r="L3940" s="2" t="str">
        <f>"2389"</f>
        <v>2389</v>
      </c>
      <c r="M3940" s="2"/>
      <c r="N3940" s="2" t="str">
        <f>"RUE LUCILLE"</f>
        <v>RUE LUCILLE</v>
      </c>
      <c r="O3940" s="2" t="s">
        <v>16565</v>
      </c>
      <c r="P3940" s="9" t="str">
        <f>VLOOKUP($O3940,'Liste des Villes'!$B$2:$B$1128,1,FALSE)</f>
        <v>Laval</v>
      </c>
      <c r="Q3940" s="9" t="str">
        <f>IFERROR($P3940,PROPER(VLOOKUP($O3940,'Villes en erreur'!$A$2:$B$72,2,FALSE)))</f>
        <v>Laval</v>
      </c>
      <c r="R3940" s="9" t="s">
        <v>16566</v>
      </c>
      <c r="S3940" s="9" t="str">
        <f>IF(ISBLANK($R3940),"",VLOOKUP($R3940,'Liste des Villes'!$B$2:$H$1128,4,FALSE))</f>
        <v>Laval</v>
      </c>
      <c r="T3940" s="2" t="s">
        <v>16810</v>
      </c>
      <c r="U3940" s="2" t="s">
        <v>39</v>
      </c>
      <c r="V3940" s="2" t="s">
        <v>40</v>
      </c>
      <c r="W3940" s="2" t="s">
        <v>16893</v>
      </c>
      <c r="X3940" s="2"/>
      <c r="Y3940" s="2"/>
      <c r="Z3940" s="2"/>
      <c r="AA3940" s="2" t="s">
        <v>708</v>
      </c>
      <c r="AB3940" s="2" t="s">
        <v>709</v>
      </c>
      <c r="AC3940" s="4" t="s">
        <v>44</v>
      </c>
    </row>
    <row r="3941" spans="1:29" x14ac:dyDescent="0.25">
      <c r="A3941" s="1">
        <v>1712</v>
      </c>
      <c r="B3941" s="17" t="s">
        <v>16894</v>
      </c>
      <c r="C3941" s="2" t="s">
        <v>16895</v>
      </c>
      <c r="D3941" s="15" t="s">
        <v>8189</v>
      </c>
      <c r="E3941" s="9" t="s">
        <v>15737</v>
      </c>
      <c r="F3941" s="9" t="s">
        <v>8191</v>
      </c>
      <c r="G3941" s="9" t="s">
        <v>277</v>
      </c>
      <c r="H3941" s="2" t="s">
        <v>60</v>
      </c>
      <c r="I3941" s="3">
        <v>37305</v>
      </c>
      <c r="J3941" s="9" t="str">
        <f t="shared" ca="1" si="64"/>
        <v>21 ans</v>
      </c>
      <c r="K3941" s="2" t="s">
        <v>262</v>
      </c>
      <c r="L3941" s="2" t="str">
        <f>"2900"</f>
        <v>2900</v>
      </c>
      <c r="M3941" s="2"/>
      <c r="N3941" s="2" t="str">
        <f>"RUE MARIE-UGUAY"</f>
        <v>RUE MARIE-UGUAY</v>
      </c>
      <c r="O3941" s="2" t="s">
        <v>16565</v>
      </c>
      <c r="P3941" s="9" t="str">
        <f>VLOOKUP($O3941,'Liste des Villes'!$B$2:$B$1128,1,FALSE)</f>
        <v>Laval</v>
      </c>
      <c r="Q3941" s="9" t="str">
        <f>IFERROR($P3941,PROPER(VLOOKUP($O3941,'Villes en erreur'!$A$2:$B$72,2,FALSE)))</f>
        <v>Laval</v>
      </c>
      <c r="R3941" s="9" t="s">
        <v>16566</v>
      </c>
      <c r="S3941" s="9" t="str">
        <f>IF(ISBLANK($R3941),"",VLOOKUP($R3941,'Liste des Villes'!$B$2:$H$1128,4,FALSE))</f>
        <v>Laval</v>
      </c>
      <c r="T3941" s="2" t="s">
        <v>16684</v>
      </c>
      <c r="U3941" s="2" t="s">
        <v>39</v>
      </c>
      <c r="V3941" s="2" t="s">
        <v>40</v>
      </c>
      <c r="W3941" s="2" t="s">
        <v>16896</v>
      </c>
      <c r="X3941" s="2" t="str">
        <f>"4384987286"</f>
        <v>4384987286</v>
      </c>
      <c r="Y3941" s="2" t="str">
        <f>"8193288634"</f>
        <v>8193288634</v>
      </c>
      <c r="Z3941" s="2"/>
      <c r="AA3941" s="2" t="s">
        <v>708</v>
      </c>
      <c r="AB3941" s="2" t="s">
        <v>709</v>
      </c>
      <c r="AC3941" s="4" t="s">
        <v>44</v>
      </c>
    </row>
    <row r="3942" spans="1:29" x14ac:dyDescent="0.25">
      <c r="A3942" s="1">
        <v>2955</v>
      </c>
      <c r="B3942" s="17" t="s">
        <v>16897</v>
      </c>
      <c r="C3942" s="2" t="s">
        <v>3012</v>
      </c>
      <c r="D3942" s="15" t="s">
        <v>438</v>
      </c>
      <c r="E3942" s="9" t="s">
        <v>3013</v>
      </c>
      <c r="F3942" s="9" t="s">
        <v>7466</v>
      </c>
      <c r="G3942" s="9" t="s">
        <v>2114</v>
      </c>
      <c r="H3942" s="2" t="s">
        <v>60</v>
      </c>
      <c r="I3942" s="3">
        <v>37289</v>
      </c>
      <c r="J3942" s="9" t="str">
        <f t="shared" ca="1" si="64"/>
        <v>21 ans</v>
      </c>
      <c r="K3942" s="2" t="s">
        <v>262</v>
      </c>
      <c r="L3942" s="2" t="str">
        <f>"2562"</f>
        <v>2562</v>
      </c>
      <c r="M3942" s="2"/>
      <c r="N3942" s="2" t="str">
        <f>"RUE MARC-ANDRÉ"</f>
        <v>RUE MARC-ANDRÉ</v>
      </c>
      <c r="O3942" s="2" t="s">
        <v>16565</v>
      </c>
      <c r="P3942" s="9" t="str">
        <f>VLOOKUP($O3942,'Liste des Villes'!$B$2:$B$1128,1,FALSE)</f>
        <v>Laval</v>
      </c>
      <c r="Q3942" s="9" t="str">
        <f>IFERROR($P3942,PROPER(VLOOKUP($O3942,'Villes en erreur'!$A$2:$B$72,2,FALSE)))</f>
        <v>Laval</v>
      </c>
      <c r="R3942" s="9" t="s">
        <v>16566</v>
      </c>
      <c r="S3942" s="9" t="str">
        <f>IF(ISBLANK($R3942),"",VLOOKUP($R3942,'Liste des Villes'!$B$2:$H$1128,4,FALSE))</f>
        <v>Laval</v>
      </c>
      <c r="T3942" s="2" t="s">
        <v>16898</v>
      </c>
      <c r="U3942" s="2" t="s">
        <v>39</v>
      </c>
      <c r="V3942" s="2" t="s">
        <v>40</v>
      </c>
      <c r="W3942" s="2" t="s">
        <v>16899</v>
      </c>
      <c r="X3942" s="2" t="str">
        <f>"4383452965"</f>
        <v>4383452965</v>
      </c>
      <c r="Y3942" s="2"/>
      <c r="Z3942" s="2"/>
      <c r="AA3942" s="2" t="s">
        <v>708</v>
      </c>
      <c r="AB3942" s="2" t="s">
        <v>709</v>
      </c>
      <c r="AC3942" s="4" t="s">
        <v>44</v>
      </c>
    </row>
    <row r="3943" spans="1:29" x14ac:dyDescent="0.25">
      <c r="A3943" s="1">
        <v>1323</v>
      </c>
      <c r="B3943" s="17" t="s">
        <v>16900</v>
      </c>
      <c r="C3943" s="2" t="s">
        <v>16901</v>
      </c>
      <c r="D3943" s="15" t="s">
        <v>100</v>
      </c>
      <c r="E3943" s="9" t="s">
        <v>9047</v>
      </c>
      <c r="F3943" s="9" t="s">
        <v>1436</v>
      </c>
      <c r="G3943" s="9" t="s">
        <v>15716</v>
      </c>
      <c r="H3943" s="2" t="s">
        <v>35</v>
      </c>
      <c r="I3943" s="3">
        <v>37307</v>
      </c>
      <c r="J3943" s="9" t="str">
        <f t="shared" ca="1" si="64"/>
        <v>21 ans</v>
      </c>
      <c r="K3943" s="2" t="s">
        <v>262</v>
      </c>
      <c r="L3943" s="2" t="str">
        <f>"2956"</f>
        <v>2956</v>
      </c>
      <c r="M3943" s="2"/>
      <c r="N3943" s="2" t="str">
        <f>"RUE MARTEL"</f>
        <v>RUE MARTEL</v>
      </c>
      <c r="O3943" s="2" t="s">
        <v>16565</v>
      </c>
      <c r="P3943" s="9" t="str">
        <f>VLOOKUP($O3943,'Liste des Villes'!$B$2:$B$1128,1,FALSE)</f>
        <v>Laval</v>
      </c>
      <c r="Q3943" s="9" t="str">
        <f>IFERROR($P3943,PROPER(VLOOKUP($O3943,'Villes en erreur'!$A$2:$B$72,2,FALSE)))</f>
        <v>Laval</v>
      </c>
      <c r="R3943" s="9" t="s">
        <v>16566</v>
      </c>
      <c r="S3943" s="9" t="str">
        <f>IF(ISBLANK($R3943),"",VLOOKUP($R3943,'Liste des Villes'!$B$2:$H$1128,4,FALSE))</f>
        <v>Laval</v>
      </c>
      <c r="T3943" s="2" t="s">
        <v>16653</v>
      </c>
      <c r="U3943" s="2" t="s">
        <v>39</v>
      </c>
      <c r="V3943" s="2" t="s">
        <v>40</v>
      </c>
      <c r="W3943" s="2" t="s">
        <v>16902</v>
      </c>
      <c r="X3943" s="2" t="str">
        <f>"4385018954"</f>
        <v>4385018954</v>
      </c>
      <c r="Y3943" s="2" t="str">
        <f>"8193246005"</f>
        <v>8193246005</v>
      </c>
      <c r="Z3943" s="2"/>
      <c r="AA3943" s="2" t="s">
        <v>708</v>
      </c>
      <c r="AB3943" s="2" t="s">
        <v>16576</v>
      </c>
      <c r="AC3943" s="4" t="s">
        <v>44</v>
      </c>
    </row>
    <row r="3944" spans="1:29" x14ac:dyDescent="0.25">
      <c r="A3944" s="1">
        <v>4431</v>
      </c>
      <c r="B3944" s="17" t="s">
        <v>16903</v>
      </c>
      <c r="C3944" s="2" t="s">
        <v>16904</v>
      </c>
      <c r="D3944" s="15" t="s">
        <v>13042</v>
      </c>
      <c r="E3944" s="9" t="s">
        <v>685</v>
      </c>
      <c r="F3944" s="9" t="s">
        <v>1016</v>
      </c>
      <c r="G3944" s="9" t="s">
        <v>2422</v>
      </c>
      <c r="H3944" s="2" t="s">
        <v>35</v>
      </c>
      <c r="I3944" s="3">
        <v>37325</v>
      </c>
      <c r="J3944" s="9" t="str">
        <f t="shared" ca="1" si="64"/>
        <v>21 ans</v>
      </c>
      <c r="K3944" s="2" t="s">
        <v>262</v>
      </c>
      <c r="L3944" s="2" t="str">
        <f>"3421"</f>
        <v>3421</v>
      </c>
      <c r="M3944" s="2"/>
      <c r="N3944" s="2" t="str">
        <f>"RUE MELANÇON"</f>
        <v>RUE MELANÇON</v>
      </c>
      <c r="O3944" s="2" t="s">
        <v>16565</v>
      </c>
      <c r="P3944" s="9" t="str">
        <f>VLOOKUP($O3944,'Liste des Villes'!$B$2:$B$1128,1,FALSE)</f>
        <v>Laval</v>
      </c>
      <c r="Q3944" s="9" t="str">
        <f>IFERROR($P3944,PROPER(VLOOKUP($O3944,'Villes en erreur'!$A$2:$B$72,2,FALSE)))</f>
        <v>Laval</v>
      </c>
      <c r="R3944" s="9" t="s">
        <v>16566</v>
      </c>
      <c r="S3944" s="9" t="str">
        <f>IF(ISBLANK($R3944),"",VLOOKUP($R3944,'Liste des Villes'!$B$2:$H$1128,4,FALSE))</f>
        <v>Laval</v>
      </c>
      <c r="T3944" s="2" t="s">
        <v>16696</v>
      </c>
      <c r="U3944" s="2" t="s">
        <v>39</v>
      </c>
      <c r="V3944" s="2" t="s">
        <v>40</v>
      </c>
      <c r="W3944" s="2" t="s">
        <v>16905</v>
      </c>
      <c r="X3944" s="2" t="str">
        <f>"4388853709"</f>
        <v>4388853709</v>
      </c>
      <c r="Y3944" s="2" t="str">
        <f>"5149717078"</f>
        <v>5149717078</v>
      </c>
      <c r="Z3944" s="2"/>
      <c r="AA3944" s="2" t="s">
        <v>708</v>
      </c>
      <c r="AB3944" s="2" t="s">
        <v>16576</v>
      </c>
      <c r="AC3944" s="4" t="s">
        <v>44</v>
      </c>
    </row>
    <row r="3945" spans="1:29" x14ac:dyDescent="0.25">
      <c r="A3945" s="1">
        <v>4385</v>
      </c>
      <c r="B3945" s="17" t="s">
        <v>16906</v>
      </c>
      <c r="C3945" s="2" t="s">
        <v>16907</v>
      </c>
      <c r="D3945" s="15" t="s">
        <v>8801</v>
      </c>
      <c r="E3945" s="9" t="s">
        <v>396</v>
      </c>
      <c r="F3945" s="9" t="s">
        <v>6853</v>
      </c>
      <c r="G3945" s="9" t="s">
        <v>704</v>
      </c>
      <c r="H3945" s="2" t="s">
        <v>60</v>
      </c>
      <c r="I3945" s="3">
        <v>37278</v>
      </c>
      <c r="J3945" s="9" t="str">
        <f t="shared" ca="1" si="64"/>
        <v>21 ans</v>
      </c>
      <c r="K3945" s="2" t="s">
        <v>262</v>
      </c>
      <c r="L3945" s="2" t="str">
        <f>"2389"</f>
        <v>2389</v>
      </c>
      <c r="M3945" s="2"/>
      <c r="N3945" s="2" t="str">
        <f>"RUE LUCIEN"</f>
        <v>RUE LUCIEN</v>
      </c>
      <c r="O3945" s="2" t="s">
        <v>16565</v>
      </c>
      <c r="P3945" s="9" t="str">
        <f>VLOOKUP($O3945,'Liste des Villes'!$B$2:$B$1128,1,FALSE)</f>
        <v>Laval</v>
      </c>
      <c r="Q3945" s="9" t="str">
        <f>IFERROR($P3945,PROPER(VLOOKUP($O3945,'Villes en erreur'!$A$2:$B$72,2,FALSE)))</f>
        <v>Laval</v>
      </c>
      <c r="R3945" s="9" t="s">
        <v>16566</v>
      </c>
      <c r="S3945" s="9" t="str">
        <f>IF(ISBLANK($R3945),"",VLOOKUP($R3945,'Liste des Villes'!$B$2:$H$1128,4,FALSE))</f>
        <v>Laval</v>
      </c>
      <c r="T3945" s="2" t="s">
        <v>16627</v>
      </c>
      <c r="U3945" s="2" t="s">
        <v>39</v>
      </c>
      <c r="V3945" s="2" t="s">
        <v>40</v>
      </c>
      <c r="W3945" s="2" t="s">
        <v>16908</v>
      </c>
      <c r="X3945" s="2"/>
      <c r="Y3945" s="2"/>
      <c r="Z3945" s="2"/>
      <c r="AA3945" s="2" t="s">
        <v>708</v>
      </c>
      <c r="AB3945" s="2" t="s">
        <v>709</v>
      </c>
      <c r="AC3945" s="4" t="s">
        <v>44</v>
      </c>
    </row>
    <row r="3946" spans="1:29" x14ac:dyDescent="0.25">
      <c r="A3946" s="1">
        <v>686</v>
      </c>
      <c r="B3946" s="17" t="s">
        <v>16909</v>
      </c>
      <c r="C3946" s="2" t="s">
        <v>8915</v>
      </c>
      <c r="D3946" s="15" t="s">
        <v>2434</v>
      </c>
      <c r="E3946" s="9" t="s">
        <v>8916</v>
      </c>
      <c r="F3946" s="9" t="s">
        <v>14331</v>
      </c>
      <c r="G3946" s="9" t="s">
        <v>704</v>
      </c>
      <c r="H3946" s="2" t="s">
        <v>60</v>
      </c>
      <c r="I3946" s="3">
        <v>37274</v>
      </c>
      <c r="J3946" s="9" t="str">
        <f t="shared" ca="1" si="64"/>
        <v>21 ans</v>
      </c>
      <c r="K3946" s="2" t="s">
        <v>262</v>
      </c>
      <c r="L3946" s="2" t="str">
        <f>"2350"</f>
        <v>2350</v>
      </c>
      <c r="M3946" s="2"/>
      <c r="N3946" s="2" t="str">
        <f>"RUE LOUIS-SEIZE"</f>
        <v>RUE LOUIS-SEIZE</v>
      </c>
      <c r="O3946" s="2" t="s">
        <v>16565</v>
      </c>
      <c r="P3946" s="9" t="str">
        <f>VLOOKUP($O3946,'Liste des Villes'!$B$2:$B$1128,1,FALSE)</f>
        <v>Laval</v>
      </c>
      <c r="Q3946" s="9" t="str">
        <f>IFERROR($P3946,PROPER(VLOOKUP($O3946,'Villes en erreur'!$A$2:$B$72,2,FALSE)))</f>
        <v>Laval</v>
      </c>
      <c r="R3946" s="9" t="s">
        <v>16566</v>
      </c>
      <c r="S3946" s="9" t="str">
        <f>IF(ISBLANK($R3946),"",VLOOKUP($R3946,'Liste des Villes'!$B$2:$H$1128,4,FALSE))</f>
        <v>Laval</v>
      </c>
      <c r="T3946" s="2" t="s">
        <v>16780</v>
      </c>
      <c r="U3946" s="2" t="s">
        <v>39</v>
      </c>
      <c r="V3946" s="2" t="s">
        <v>40</v>
      </c>
      <c r="W3946" s="2" t="s">
        <v>16781</v>
      </c>
      <c r="X3946" s="2"/>
      <c r="Y3946" s="2"/>
      <c r="Z3946" s="2"/>
      <c r="AA3946" s="2" t="s">
        <v>708</v>
      </c>
      <c r="AB3946" s="2" t="s">
        <v>709</v>
      </c>
      <c r="AC3946" s="4" t="s">
        <v>44</v>
      </c>
    </row>
    <row r="3947" spans="1:29" x14ac:dyDescent="0.25">
      <c r="A3947" s="1">
        <v>1925</v>
      </c>
      <c r="B3947" s="17" t="s">
        <v>16910</v>
      </c>
      <c r="C3947" s="2" t="s">
        <v>3160</v>
      </c>
      <c r="D3947" s="15" t="s">
        <v>3161</v>
      </c>
      <c r="E3947" s="9" t="s">
        <v>3162</v>
      </c>
      <c r="F3947" s="9" t="s">
        <v>2474</v>
      </c>
      <c r="G3947" s="9" t="s">
        <v>10970</v>
      </c>
      <c r="H3947" s="2" t="s">
        <v>60</v>
      </c>
      <c r="I3947" s="3">
        <v>37286</v>
      </c>
      <c r="J3947" s="9" t="str">
        <f t="shared" ca="1" si="64"/>
        <v>21 ans</v>
      </c>
      <c r="K3947" s="2" t="s">
        <v>262</v>
      </c>
      <c r="L3947" s="2" t="str">
        <f>"2506"</f>
        <v>2506</v>
      </c>
      <c r="M3947" s="2"/>
      <c r="N3947" s="2" t="str">
        <f>"RUE MAISONNEUVE"</f>
        <v>RUE MAISONNEUVE</v>
      </c>
      <c r="O3947" s="2" t="s">
        <v>16565</v>
      </c>
      <c r="P3947" s="9" t="str">
        <f>VLOOKUP($O3947,'Liste des Villes'!$B$2:$B$1128,1,FALSE)</f>
        <v>Laval</v>
      </c>
      <c r="Q3947" s="9" t="str">
        <f>IFERROR($P3947,PROPER(VLOOKUP($O3947,'Villes en erreur'!$A$2:$B$72,2,FALSE)))</f>
        <v>Laval</v>
      </c>
      <c r="R3947" s="9" t="s">
        <v>16566</v>
      </c>
      <c r="S3947" s="9" t="str">
        <f>IF(ISBLANK($R3947),"",VLOOKUP($R3947,'Liste des Villes'!$B$2:$H$1128,4,FALSE))</f>
        <v>Laval</v>
      </c>
      <c r="T3947" s="2" t="s">
        <v>16911</v>
      </c>
      <c r="U3947" s="2" t="s">
        <v>39</v>
      </c>
      <c r="V3947" s="2" t="s">
        <v>40</v>
      </c>
      <c r="W3947" s="2" t="s">
        <v>16912</v>
      </c>
      <c r="X3947" s="2"/>
      <c r="Y3947" s="2"/>
      <c r="Z3947" s="2"/>
      <c r="AA3947" s="2" t="s">
        <v>708</v>
      </c>
      <c r="AB3947" s="2" t="s">
        <v>709</v>
      </c>
      <c r="AC3947" s="4" t="s">
        <v>44</v>
      </c>
    </row>
    <row r="3948" spans="1:29" x14ac:dyDescent="0.25">
      <c r="A3948" s="1">
        <v>1740</v>
      </c>
      <c r="B3948" s="17" t="s">
        <v>16913</v>
      </c>
      <c r="C3948" s="2" t="s">
        <v>4091</v>
      </c>
      <c r="D3948" s="15" t="s">
        <v>4050</v>
      </c>
      <c r="E3948" s="9" t="s">
        <v>4092</v>
      </c>
      <c r="F3948" s="9" t="s">
        <v>5026</v>
      </c>
      <c r="G3948" s="9" t="s">
        <v>277</v>
      </c>
      <c r="H3948" s="2" t="s">
        <v>60</v>
      </c>
      <c r="I3948" s="3">
        <v>37306</v>
      </c>
      <c r="J3948" s="9" t="str">
        <f t="shared" ca="1" si="64"/>
        <v>21 ans</v>
      </c>
      <c r="K3948" s="2" t="s">
        <v>262</v>
      </c>
      <c r="L3948" s="2" t="str">
        <f>"2925"</f>
        <v>2925</v>
      </c>
      <c r="M3948" s="2"/>
      <c r="N3948" s="2" t="str">
        <f>"RUE MARIO"</f>
        <v>RUE MARIO</v>
      </c>
      <c r="O3948" s="2" t="s">
        <v>16565</v>
      </c>
      <c r="P3948" s="9" t="str">
        <f>VLOOKUP($O3948,'Liste des Villes'!$B$2:$B$1128,1,FALSE)</f>
        <v>Laval</v>
      </c>
      <c r="Q3948" s="9" t="str">
        <f>IFERROR($P3948,PROPER(VLOOKUP($O3948,'Villes en erreur'!$A$2:$B$72,2,FALSE)))</f>
        <v>Laval</v>
      </c>
      <c r="R3948" s="9" t="s">
        <v>16566</v>
      </c>
      <c r="S3948" s="9" t="str">
        <f>IF(ISBLANK($R3948),"",VLOOKUP($R3948,'Liste des Villes'!$B$2:$H$1128,4,FALSE))</f>
        <v>Laval</v>
      </c>
      <c r="T3948" s="2" t="s">
        <v>16684</v>
      </c>
      <c r="U3948" s="2" t="s">
        <v>39</v>
      </c>
      <c r="V3948" s="2" t="s">
        <v>40</v>
      </c>
      <c r="W3948" s="2" t="s">
        <v>16914</v>
      </c>
      <c r="X3948" s="2" t="str">
        <f>"4385013243"</f>
        <v>4385013243</v>
      </c>
      <c r="Y3948" s="2" t="str">
        <f>"8193249059"</f>
        <v>8193249059</v>
      </c>
      <c r="Z3948" s="2"/>
      <c r="AA3948" s="2" t="s">
        <v>708</v>
      </c>
      <c r="AB3948" s="2" t="s">
        <v>16576</v>
      </c>
      <c r="AC3948" s="4" t="s">
        <v>44</v>
      </c>
    </row>
    <row r="3949" spans="1:29" x14ac:dyDescent="0.25">
      <c r="A3949" s="1">
        <v>3757</v>
      </c>
      <c r="B3949" s="17" t="s">
        <v>16915</v>
      </c>
      <c r="C3949" s="2" t="s">
        <v>16916</v>
      </c>
      <c r="D3949" s="15" t="s">
        <v>325</v>
      </c>
      <c r="E3949" s="9" t="s">
        <v>3870</v>
      </c>
      <c r="F3949" s="9" t="s">
        <v>1169</v>
      </c>
      <c r="G3949" s="9" t="s">
        <v>10970</v>
      </c>
      <c r="H3949" s="2" t="s">
        <v>60</v>
      </c>
      <c r="I3949" s="3">
        <v>37286</v>
      </c>
      <c r="J3949" s="9" t="str">
        <f t="shared" ca="1" si="64"/>
        <v>21 ans</v>
      </c>
      <c r="K3949" s="2" t="s">
        <v>262</v>
      </c>
      <c r="L3949" s="2" t="str">
        <f>"2506"</f>
        <v>2506</v>
      </c>
      <c r="M3949" s="2"/>
      <c r="N3949" s="2" t="str">
        <f>"RUE MAJOR"</f>
        <v>RUE MAJOR</v>
      </c>
      <c r="O3949" s="2" t="s">
        <v>16565</v>
      </c>
      <c r="P3949" s="9" t="str">
        <f>VLOOKUP($O3949,'Liste des Villes'!$B$2:$B$1128,1,FALSE)</f>
        <v>Laval</v>
      </c>
      <c r="Q3949" s="9" t="str">
        <f>IFERROR($P3949,PROPER(VLOOKUP($O3949,'Villes en erreur'!$A$2:$B$72,2,FALSE)))</f>
        <v>Laval</v>
      </c>
      <c r="R3949" s="9" t="s">
        <v>16566</v>
      </c>
      <c r="S3949" s="9" t="str">
        <f>IF(ISBLANK($R3949),"",VLOOKUP($R3949,'Liste des Villes'!$B$2:$H$1128,4,FALSE))</f>
        <v>Laval</v>
      </c>
      <c r="T3949" s="2" t="s">
        <v>16917</v>
      </c>
      <c r="U3949" s="2" t="s">
        <v>39</v>
      </c>
      <c r="V3949" s="2" t="s">
        <v>40</v>
      </c>
      <c r="W3949" s="2" t="s">
        <v>16918</v>
      </c>
      <c r="X3949" s="2"/>
      <c r="Y3949" s="2"/>
      <c r="Z3949" s="2"/>
      <c r="AA3949" s="2" t="s">
        <v>708</v>
      </c>
      <c r="AB3949" s="2" t="s">
        <v>709</v>
      </c>
      <c r="AC3949" s="4" t="s">
        <v>44</v>
      </c>
    </row>
    <row r="3950" spans="1:29" x14ac:dyDescent="0.25">
      <c r="A3950" s="1">
        <v>379</v>
      </c>
      <c r="B3950" s="17" t="s">
        <v>16919</v>
      </c>
      <c r="C3950" s="2" t="s">
        <v>13293</v>
      </c>
      <c r="D3950" s="15" t="s">
        <v>982</v>
      </c>
      <c r="E3950" s="9" t="s">
        <v>13294</v>
      </c>
      <c r="F3950" s="9" t="s">
        <v>2305</v>
      </c>
      <c r="G3950" s="9" t="s">
        <v>277</v>
      </c>
      <c r="H3950" s="2" t="s">
        <v>60</v>
      </c>
      <c r="I3950" s="3">
        <v>37294</v>
      </c>
      <c r="J3950" s="9" t="str">
        <f t="shared" ca="1" si="64"/>
        <v>21 ans</v>
      </c>
      <c r="K3950" s="2" t="s">
        <v>262</v>
      </c>
      <c r="L3950" s="2" t="str">
        <f>"2620"</f>
        <v>2620</v>
      </c>
      <c r="M3950" s="2"/>
      <c r="N3950" s="2" t="str">
        <f>"RUE MARC-AURÈLE-FORTIN"</f>
        <v>RUE MARC-AURÈLE-FORTIN</v>
      </c>
      <c r="O3950" s="2" t="s">
        <v>16565</v>
      </c>
      <c r="P3950" s="9" t="str">
        <f>VLOOKUP($O3950,'Liste des Villes'!$B$2:$B$1128,1,FALSE)</f>
        <v>Laval</v>
      </c>
      <c r="Q3950" s="9" t="str">
        <f>IFERROR($P3950,PROPER(VLOOKUP($O3950,'Villes en erreur'!$A$2:$B$72,2,FALSE)))</f>
        <v>Laval</v>
      </c>
      <c r="R3950" s="9" t="s">
        <v>16566</v>
      </c>
      <c r="S3950" s="9" t="str">
        <f>IF(ISBLANK($R3950),"",VLOOKUP($R3950,'Liste des Villes'!$B$2:$H$1128,4,FALSE))</f>
        <v>Laval</v>
      </c>
      <c r="T3950" s="2" t="s">
        <v>16920</v>
      </c>
      <c r="U3950" s="2" t="s">
        <v>39</v>
      </c>
      <c r="V3950" s="2" t="s">
        <v>40</v>
      </c>
      <c r="W3950" s="2" t="s">
        <v>16921</v>
      </c>
      <c r="X3950" s="2" t="str">
        <f>"4383951620"</f>
        <v>4383951620</v>
      </c>
      <c r="Y3950" s="2" t="str">
        <f>"4504361580 x6513"</f>
        <v>4504361580 x6513</v>
      </c>
      <c r="Z3950" s="2"/>
      <c r="AA3950" s="2" t="s">
        <v>708</v>
      </c>
      <c r="AB3950" s="2" t="s">
        <v>709</v>
      </c>
      <c r="AC3950" s="4" t="s">
        <v>44</v>
      </c>
    </row>
    <row r="3951" spans="1:29" x14ac:dyDescent="0.25">
      <c r="A3951" s="1">
        <v>4411</v>
      </c>
      <c r="B3951" s="17" t="s">
        <v>16922</v>
      </c>
      <c r="C3951" s="2" t="s">
        <v>16923</v>
      </c>
      <c r="D3951" s="15" t="s">
        <v>16887</v>
      </c>
      <c r="E3951" s="9" t="s">
        <v>2743</v>
      </c>
      <c r="F3951" s="9" t="s">
        <v>488</v>
      </c>
      <c r="G3951" s="9" t="s">
        <v>532</v>
      </c>
      <c r="H3951" s="2" t="s">
        <v>35</v>
      </c>
      <c r="I3951" s="3">
        <v>37314</v>
      </c>
      <c r="J3951" s="9" t="str">
        <f t="shared" ca="1" si="64"/>
        <v>21 ans</v>
      </c>
      <c r="K3951" s="2" t="s">
        <v>262</v>
      </c>
      <c r="L3951" s="2" t="str">
        <f>"3202"</f>
        <v>3202</v>
      </c>
      <c r="M3951" s="2"/>
      <c r="N3951" s="2" t="str">
        <f>"RUE MAURICE CULLEN"</f>
        <v>RUE MAURICE CULLEN</v>
      </c>
      <c r="O3951" s="2" t="s">
        <v>16565</v>
      </c>
      <c r="P3951" s="9" t="str">
        <f>VLOOKUP($O3951,'Liste des Villes'!$B$2:$B$1128,1,FALSE)</f>
        <v>Laval</v>
      </c>
      <c r="Q3951" s="9" t="str">
        <f>IFERROR($P3951,PROPER(VLOOKUP($O3951,'Villes en erreur'!$A$2:$B$72,2,FALSE)))</f>
        <v>Laval</v>
      </c>
      <c r="R3951" s="9" t="s">
        <v>16566</v>
      </c>
      <c r="S3951" s="9" t="str">
        <f>IF(ISBLANK($R3951),"",VLOOKUP($R3951,'Liste des Villes'!$B$2:$H$1128,4,FALSE))</f>
        <v>Laval</v>
      </c>
      <c r="T3951" s="2" t="s">
        <v>16924</v>
      </c>
      <c r="U3951" s="2" t="s">
        <v>39</v>
      </c>
      <c r="V3951" s="2" t="s">
        <v>40</v>
      </c>
      <c r="W3951" s="2" t="s">
        <v>16925</v>
      </c>
      <c r="X3951" s="2" t="str">
        <f>"4387636757"</f>
        <v>4387636757</v>
      </c>
      <c r="Y3951" s="2" t="str">
        <f>"8192160730"</f>
        <v>8192160730</v>
      </c>
      <c r="Z3951" s="2"/>
      <c r="AA3951" s="2" t="s">
        <v>708</v>
      </c>
      <c r="AB3951" s="2" t="s">
        <v>16576</v>
      </c>
      <c r="AC3951" s="4" t="s">
        <v>44</v>
      </c>
    </row>
    <row r="3952" spans="1:29" x14ac:dyDescent="0.25">
      <c r="A3952" s="1">
        <v>3797</v>
      </c>
      <c r="B3952" s="17" t="s">
        <v>16926</v>
      </c>
      <c r="C3952" s="2" t="s">
        <v>16927</v>
      </c>
      <c r="D3952" s="15" t="s">
        <v>950</v>
      </c>
      <c r="E3952" s="9" t="s">
        <v>179</v>
      </c>
      <c r="F3952" s="9" t="s">
        <v>948</v>
      </c>
      <c r="G3952" s="9" t="s">
        <v>6186</v>
      </c>
      <c r="H3952" s="2" t="s">
        <v>35</v>
      </c>
      <c r="I3952" s="3">
        <v>37323</v>
      </c>
      <c r="J3952" s="9" t="str">
        <f t="shared" ca="1" si="64"/>
        <v>21 ans</v>
      </c>
      <c r="K3952" s="2" t="s">
        <v>262</v>
      </c>
      <c r="L3952" s="2" t="str">
        <f>"3403"</f>
        <v>3403</v>
      </c>
      <c r="M3952" s="2"/>
      <c r="N3952" s="2" t="str">
        <f>"RUE MELANÇON"</f>
        <v>RUE MELANÇON</v>
      </c>
      <c r="O3952" s="2" t="s">
        <v>16565</v>
      </c>
      <c r="P3952" s="9" t="str">
        <f>VLOOKUP($O3952,'Liste des Villes'!$B$2:$B$1128,1,FALSE)</f>
        <v>Laval</v>
      </c>
      <c r="Q3952" s="9" t="str">
        <f>IFERROR($P3952,PROPER(VLOOKUP($O3952,'Villes en erreur'!$A$2:$B$72,2,FALSE)))</f>
        <v>Laval</v>
      </c>
      <c r="R3952" s="9" t="s">
        <v>16566</v>
      </c>
      <c r="S3952" s="9" t="str">
        <f>IF(ISBLANK($R3952),"",VLOOKUP($R3952,'Liste des Villes'!$B$2:$H$1128,4,FALSE))</f>
        <v>Laval</v>
      </c>
      <c r="T3952" s="2" t="s">
        <v>16928</v>
      </c>
      <c r="U3952" s="2" t="s">
        <v>39</v>
      </c>
      <c r="V3952" s="2" t="s">
        <v>40</v>
      </c>
      <c r="W3952" s="2" t="s">
        <v>16929</v>
      </c>
      <c r="X3952" s="2" t="str">
        <f>"4388804197"</f>
        <v>4388804197</v>
      </c>
      <c r="Y3952" s="2" t="str">
        <f>"5149800384"</f>
        <v>5149800384</v>
      </c>
      <c r="Z3952" s="2"/>
      <c r="AA3952" s="2" t="s">
        <v>708</v>
      </c>
      <c r="AB3952" s="2" t="s">
        <v>16576</v>
      </c>
      <c r="AC3952" s="4" t="s">
        <v>44</v>
      </c>
    </row>
    <row r="3953" spans="1:29" x14ac:dyDescent="0.25">
      <c r="A3953" s="1">
        <v>2517</v>
      </c>
      <c r="B3953" s="17" t="s">
        <v>16930</v>
      </c>
      <c r="C3953" s="2" t="s">
        <v>16931</v>
      </c>
      <c r="D3953" s="15" t="s">
        <v>1024</v>
      </c>
      <c r="E3953" s="9" t="s">
        <v>14102</v>
      </c>
      <c r="F3953" s="9" t="s">
        <v>2128</v>
      </c>
      <c r="G3953" s="9" t="s">
        <v>277</v>
      </c>
      <c r="H3953" s="2" t="s">
        <v>60</v>
      </c>
      <c r="I3953" s="3">
        <v>37305</v>
      </c>
      <c r="J3953" s="9" t="str">
        <f t="shared" ca="1" si="64"/>
        <v>21 ans</v>
      </c>
      <c r="K3953" s="2" t="s">
        <v>262</v>
      </c>
      <c r="L3953" s="2" t="str">
        <f>"2909"</f>
        <v>2909</v>
      </c>
      <c r="M3953" s="2"/>
      <c r="N3953" s="2" t="str">
        <f>"RUE MARILOU"</f>
        <v>RUE MARILOU</v>
      </c>
      <c r="O3953" s="2" t="s">
        <v>16565</v>
      </c>
      <c r="P3953" s="9" t="str">
        <f>VLOOKUP($O3953,'Liste des Villes'!$B$2:$B$1128,1,FALSE)</f>
        <v>Laval</v>
      </c>
      <c r="Q3953" s="9" t="str">
        <f>IFERROR($P3953,PROPER(VLOOKUP($O3953,'Villes en erreur'!$A$2:$B$72,2,FALSE)))</f>
        <v>Laval</v>
      </c>
      <c r="R3953" s="9" t="s">
        <v>16566</v>
      </c>
      <c r="S3953" s="9" t="str">
        <f>IF(ISBLANK($R3953),"",VLOOKUP($R3953,'Liste des Villes'!$B$2:$H$1128,4,FALSE))</f>
        <v>Laval</v>
      </c>
      <c r="T3953" s="2" t="s">
        <v>16684</v>
      </c>
      <c r="U3953" s="2" t="s">
        <v>39</v>
      </c>
      <c r="V3953" s="2" t="s">
        <v>40</v>
      </c>
      <c r="W3953" s="2" t="s">
        <v>16932</v>
      </c>
      <c r="X3953" s="2" t="str">
        <f>"4384990463"</f>
        <v>4384990463</v>
      </c>
      <c r="Y3953" s="2" t="str">
        <f>"8193261704"</f>
        <v>8193261704</v>
      </c>
      <c r="Z3953" s="2"/>
      <c r="AA3953" s="2" t="s">
        <v>708</v>
      </c>
      <c r="AB3953" s="2" t="s">
        <v>709</v>
      </c>
      <c r="AC3953" s="4" t="s">
        <v>44</v>
      </c>
    </row>
    <row r="3954" spans="1:29" x14ac:dyDescent="0.25">
      <c r="A3954" s="1">
        <v>3433</v>
      </c>
      <c r="B3954" s="17" t="s">
        <v>16933</v>
      </c>
      <c r="C3954" s="2" t="s">
        <v>7379</v>
      </c>
      <c r="D3954" s="15" t="s">
        <v>6322</v>
      </c>
      <c r="E3954" s="9" t="s">
        <v>7380</v>
      </c>
      <c r="F3954" s="9" t="s">
        <v>7526</v>
      </c>
      <c r="G3954" s="9" t="s">
        <v>704</v>
      </c>
      <c r="H3954" s="2" t="s">
        <v>60</v>
      </c>
      <c r="I3954" s="3">
        <v>37277</v>
      </c>
      <c r="J3954" s="9" t="str">
        <f t="shared" ca="1" si="64"/>
        <v>21 ans</v>
      </c>
      <c r="K3954" s="2" t="s">
        <v>262</v>
      </c>
      <c r="L3954" s="2" t="str">
        <f>"2382"</f>
        <v>2382</v>
      </c>
      <c r="M3954" s="2"/>
      <c r="N3954" s="2" t="str">
        <f>"RUE LUCIEN"</f>
        <v>RUE LUCIEN</v>
      </c>
      <c r="O3954" s="2" t="s">
        <v>16565</v>
      </c>
      <c r="P3954" s="9" t="str">
        <f>VLOOKUP($O3954,'Liste des Villes'!$B$2:$B$1128,1,FALSE)</f>
        <v>Laval</v>
      </c>
      <c r="Q3954" s="9" t="str">
        <f>IFERROR($P3954,PROPER(VLOOKUP($O3954,'Villes en erreur'!$A$2:$B$72,2,FALSE)))</f>
        <v>Laval</v>
      </c>
      <c r="R3954" s="9" t="s">
        <v>16566</v>
      </c>
      <c r="S3954" s="9" t="str">
        <f>IF(ISBLANK($R3954),"",VLOOKUP($R3954,'Liste des Villes'!$B$2:$H$1128,4,FALSE))</f>
        <v>Laval</v>
      </c>
      <c r="T3954" s="2" t="s">
        <v>16934</v>
      </c>
      <c r="U3954" s="2" t="s">
        <v>39</v>
      </c>
      <c r="V3954" s="2" t="s">
        <v>40</v>
      </c>
      <c r="W3954" s="2" t="s">
        <v>16935</v>
      </c>
      <c r="X3954" s="2"/>
      <c r="Y3954" s="2"/>
      <c r="Z3954" s="2"/>
      <c r="AA3954" s="2" t="s">
        <v>708</v>
      </c>
      <c r="AB3954" s="2" t="s">
        <v>709</v>
      </c>
      <c r="AC3954" s="4" t="s">
        <v>44</v>
      </c>
    </row>
    <row r="3955" spans="1:29" x14ac:dyDescent="0.25">
      <c r="A3955" s="1">
        <v>1598</v>
      </c>
      <c r="B3955" s="17" t="s">
        <v>16936</v>
      </c>
      <c r="C3955" s="2" t="s">
        <v>16937</v>
      </c>
      <c r="D3955" s="15" t="s">
        <v>1109</v>
      </c>
      <c r="E3955" s="9" t="s">
        <v>14267</v>
      </c>
      <c r="F3955" s="9" t="s">
        <v>178</v>
      </c>
      <c r="G3955" s="9" t="s">
        <v>1341</v>
      </c>
      <c r="H3955" s="2" t="s">
        <v>60</v>
      </c>
      <c r="I3955" s="3">
        <v>37279</v>
      </c>
      <c r="J3955" s="9" t="str">
        <f t="shared" ca="1" si="64"/>
        <v>21 ans</v>
      </c>
      <c r="K3955" s="2" t="s">
        <v>262</v>
      </c>
      <c r="L3955" s="2" t="str">
        <f>"2402"</f>
        <v>2402</v>
      </c>
      <c r="M3955" s="2"/>
      <c r="N3955" s="2" t="str">
        <f>"RUE MACKENZIE"</f>
        <v>RUE MACKENZIE</v>
      </c>
      <c r="O3955" s="2" t="s">
        <v>16565</v>
      </c>
      <c r="P3955" s="9" t="str">
        <f>VLOOKUP($O3955,'Liste des Villes'!$B$2:$B$1128,1,FALSE)</f>
        <v>Laval</v>
      </c>
      <c r="Q3955" s="9" t="str">
        <f>IFERROR($P3955,PROPER(VLOOKUP($O3955,'Villes en erreur'!$A$2:$B$72,2,FALSE)))</f>
        <v>Laval</v>
      </c>
      <c r="R3955" s="9" t="s">
        <v>16566</v>
      </c>
      <c r="S3955" s="9" t="str">
        <f>IF(ISBLANK($R3955),"",VLOOKUP($R3955,'Liste des Villes'!$B$2:$H$1128,4,FALSE))</f>
        <v>Laval</v>
      </c>
      <c r="T3955" s="2" t="s">
        <v>16938</v>
      </c>
      <c r="U3955" s="2" t="s">
        <v>39</v>
      </c>
      <c r="V3955" s="2" t="s">
        <v>40</v>
      </c>
      <c r="W3955" s="2" t="s">
        <v>16939</v>
      </c>
      <c r="X3955" s="2"/>
      <c r="Y3955" s="2"/>
      <c r="Z3955" s="2"/>
      <c r="AA3955" s="2" t="s">
        <v>708</v>
      </c>
      <c r="AB3955" s="2" t="s">
        <v>709</v>
      </c>
      <c r="AC3955" s="4" t="s">
        <v>44</v>
      </c>
    </row>
    <row r="3956" spans="1:29" x14ac:dyDescent="0.25">
      <c r="A3956" s="1">
        <v>3457</v>
      </c>
      <c r="B3956" s="17" t="s">
        <v>16940</v>
      </c>
      <c r="C3956" s="2" t="s">
        <v>16941</v>
      </c>
      <c r="D3956" s="15" t="s">
        <v>4562</v>
      </c>
      <c r="E3956" s="9" t="s">
        <v>737</v>
      </c>
      <c r="F3956" s="9" t="s">
        <v>1219</v>
      </c>
      <c r="G3956" s="9" t="s">
        <v>196</v>
      </c>
      <c r="H3956" s="2" t="s">
        <v>35</v>
      </c>
      <c r="I3956" s="3">
        <v>37327</v>
      </c>
      <c r="J3956" s="9" t="str">
        <f t="shared" ca="1" si="64"/>
        <v>21 ans</v>
      </c>
      <c r="K3956" s="2" t="s">
        <v>262</v>
      </c>
      <c r="L3956" s="2" t="str">
        <f>"3511"</f>
        <v>3511</v>
      </c>
      <c r="M3956" s="2"/>
      <c r="N3956" s="2" t="str">
        <f>"RUE MÉLANIE"</f>
        <v>RUE MÉLANIE</v>
      </c>
      <c r="O3956" s="2" t="s">
        <v>16565</v>
      </c>
      <c r="P3956" s="9" t="str">
        <f>VLOOKUP($O3956,'Liste des Villes'!$B$2:$B$1128,1,FALSE)</f>
        <v>Laval</v>
      </c>
      <c r="Q3956" s="9" t="str">
        <f>IFERROR($P3956,PROPER(VLOOKUP($O3956,'Villes en erreur'!$A$2:$B$72,2,FALSE)))</f>
        <v>Laval</v>
      </c>
      <c r="R3956" s="9" t="s">
        <v>16566</v>
      </c>
      <c r="S3956" s="9" t="str">
        <f>IF(ISBLANK($R3956),"",VLOOKUP($R3956,'Liste des Villes'!$B$2:$H$1128,4,FALSE))</f>
        <v>Laval</v>
      </c>
      <c r="T3956" s="2" t="s">
        <v>16691</v>
      </c>
      <c r="U3956" s="2" t="s">
        <v>39</v>
      </c>
      <c r="V3956" s="2" t="s">
        <v>40</v>
      </c>
      <c r="W3956" s="2" t="s">
        <v>16942</v>
      </c>
      <c r="X3956" s="2" t="str">
        <f>"4389946633"</f>
        <v>4389946633</v>
      </c>
      <c r="Y3956" s="2" t="str">
        <f>"5149432921"</f>
        <v>5149432921</v>
      </c>
      <c r="Z3956" s="2"/>
      <c r="AA3956" s="2" t="s">
        <v>708</v>
      </c>
      <c r="AB3956" s="2" t="s">
        <v>16576</v>
      </c>
      <c r="AC3956" s="4" t="s">
        <v>44</v>
      </c>
    </row>
    <row r="3957" spans="1:29" x14ac:dyDescent="0.25">
      <c r="A3957" s="1">
        <v>1267</v>
      </c>
      <c r="B3957" s="17" t="s">
        <v>16943</v>
      </c>
      <c r="C3957" s="2" t="s">
        <v>4701</v>
      </c>
      <c r="D3957" s="15" t="s">
        <v>363</v>
      </c>
      <c r="E3957" s="9" t="s">
        <v>3695</v>
      </c>
      <c r="F3957" s="9" t="s">
        <v>3617</v>
      </c>
      <c r="G3957" s="9" t="s">
        <v>277</v>
      </c>
      <c r="H3957" s="2" t="s">
        <v>60</v>
      </c>
      <c r="I3957" s="3">
        <v>37303</v>
      </c>
      <c r="J3957" s="9" t="str">
        <f t="shared" ca="1" si="64"/>
        <v>21 ans</v>
      </c>
      <c r="K3957" s="2" t="s">
        <v>262</v>
      </c>
      <c r="L3957" s="2" t="str">
        <f>"2846"</f>
        <v>2846</v>
      </c>
      <c r="M3957" s="2"/>
      <c r="N3957" s="2" t="str">
        <f>"RUE MARIE-FOURNIER"</f>
        <v>RUE MARIE-FOURNIER</v>
      </c>
      <c r="O3957" s="2" t="s">
        <v>16565</v>
      </c>
      <c r="P3957" s="9" t="str">
        <f>VLOOKUP($O3957,'Liste des Villes'!$B$2:$B$1128,1,FALSE)</f>
        <v>Laval</v>
      </c>
      <c r="Q3957" s="9" t="str">
        <f>IFERROR($P3957,PROPER(VLOOKUP($O3957,'Villes en erreur'!$A$2:$B$72,2,FALSE)))</f>
        <v>Laval</v>
      </c>
      <c r="R3957" s="9" t="s">
        <v>16566</v>
      </c>
      <c r="S3957" s="9" t="str">
        <f>IF(ISBLANK($R3957),"",VLOOKUP($R3957,'Liste des Villes'!$B$2:$H$1128,4,FALSE))</f>
        <v>Laval</v>
      </c>
      <c r="T3957" s="2" t="s">
        <v>16616</v>
      </c>
      <c r="U3957" s="2" t="s">
        <v>39</v>
      </c>
      <c r="V3957" s="2" t="s">
        <v>40</v>
      </c>
      <c r="W3957" s="2" t="s">
        <v>16944</v>
      </c>
      <c r="X3957" s="2" t="str">
        <f>"4384945062"</f>
        <v>4384945062</v>
      </c>
      <c r="Y3957" s="2" t="str">
        <f>"8194245393"</f>
        <v>8194245393</v>
      </c>
      <c r="Z3957" s="2"/>
      <c r="AA3957" s="2" t="s">
        <v>708</v>
      </c>
      <c r="AB3957" s="2" t="s">
        <v>709</v>
      </c>
      <c r="AC3957" s="4" t="s">
        <v>44</v>
      </c>
    </row>
    <row r="3958" spans="1:29" x14ac:dyDescent="0.25">
      <c r="A3958" s="1">
        <v>1572</v>
      </c>
      <c r="B3958" s="17" t="s">
        <v>16945</v>
      </c>
      <c r="C3958" s="2" t="s">
        <v>16946</v>
      </c>
      <c r="D3958" s="15" t="s">
        <v>10029</v>
      </c>
      <c r="E3958" s="9" t="s">
        <v>5569</v>
      </c>
      <c r="F3958" s="9" t="s">
        <v>10028</v>
      </c>
      <c r="G3958" s="9" t="s">
        <v>3013</v>
      </c>
      <c r="H3958" s="2" t="s">
        <v>60</v>
      </c>
      <c r="I3958" s="3">
        <v>37320</v>
      </c>
      <c r="J3958" s="9" t="str">
        <f t="shared" ca="1" si="64"/>
        <v>21 ans</v>
      </c>
      <c r="K3958" s="2" t="s">
        <v>262</v>
      </c>
      <c r="L3958" s="2" t="str">
        <f>"3336"</f>
        <v>3336</v>
      </c>
      <c r="M3958" s="2"/>
      <c r="N3958" s="2" t="str">
        <f>"RUE MELANÇON"</f>
        <v>RUE MELANÇON</v>
      </c>
      <c r="O3958" s="2" t="s">
        <v>16565</v>
      </c>
      <c r="P3958" s="9" t="str">
        <f>VLOOKUP($O3958,'Liste des Villes'!$B$2:$B$1128,1,FALSE)</f>
        <v>Laval</v>
      </c>
      <c r="Q3958" s="9" t="str">
        <f>IFERROR($P3958,PROPER(VLOOKUP($O3958,'Villes en erreur'!$A$2:$B$72,2,FALSE)))</f>
        <v>Laval</v>
      </c>
      <c r="R3958" s="9" t="s">
        <v>16566</v>
      </c>
      <c r="S3958" s="9" t="str">
        <f>IF(ISBLANK($R3958),"",VLOOKUP($R3958,'Liste des Villes'!$B$2:$H$1128,4,FALSE))</f>
        <v>Laval</v>
      </c>
      <c r="T3958" s="2" t="s">
        <v>16947</v>
      </c>
      <c r="U3958" s="2" t="s">
        <v>39</v>
      </c>
      <c r="V3958" s="2" t="s">
        <v>40</v>
      </c>
      <c r="W3958" s="2" t="s">
        <v>16948</v>
      </c>
      <c r="X3958" s="2" t="str">
        <f>"4388309061"</f>
        <v>4388309061</v>
      </c>
      <c r="Y3958" s="2" t="str">
        <f>"5793681072"</f>
        <v>5793681072</v>
      </c>
      <c r="Z3958" s="2"/>
      <c r="AA3958" s="2" t="s">
        <v>708</v>
      </c>
      <c r="AB3958" s="2" t="s">
        <v>16576</v>
      </c>
      <c r="AC3958" s="4" t="s">
        <v>44</v>
      </c>
    </row>
    <row r="3959" spans="1:29" x14ac:dyDescent="0.25">
      <c r="A3959" s="1">
        <v>227</v>
      </c>
      <c r="B3959" s="17" t="s">
        <v>16949</v>
      </c>
      <c r="C3959" s="2" t="s">
        <v>16950</v>
      </c>
      <c r="D3959" s="15" t="s">
        <v>1925</v>
      </c>
      <c r="E3959" s="9" t="s">
        <v>7305</v>
      </c>
      <c r="F3959" s="9" t="s">
        <v>1923</v>
      </c>
      <c r="G3959" s="9" t="s">
        <v>277</v>
      </c>
      <c r="H3959" s="2" t="s">
        <v>60</v>
      </c>
      <c r="I3959" s="3">
        <v>37293</v>
      </c>
      <c r="J3959" s="9" t="str">
        <f t="shared" ca="1" si="64"/>
        <v>21 ans</v>
      </c>
      <c r="K3959" s="2" t="s">
        <v>262</v>
      </c>
      <c r="L3959" s="2" t="str">
        <f>"2607"</f>
        <v>2607</v>
      </c>
      <c r="M3959" s="2"/>
      <c r="N3959" s="2" t="str">
        <f>"RUE MARC-AURÈLE-FORTIN"</f>
        <v>RUE MARC-AURÈLE-FORTIN</v>
      </c>
      <c r="O3959" s="2" t="s">
        <v>16565</v>
      </c>
      <c r="P3959" s="9" t="str">
        <f>VLOOKUP($O3959,'Liste des Villes'!$B$2:$B$1128,1,FALSE)</f>
        <v>Laval</v>
      </c>
      <c r="Q3959" s="9" t="str">
        <f>IFERROR($P3959,PROPER(VLOOKUP($O3959,'Villes en erreur'!$A$2:$B$72,2,FALSE)))</f>
        <v>Laval</v>
      </c>
      <c r="R3959" s="9" t="s">
        <v>16566</v>
      </c>
      <c r="S3959" s="9" t="str">
        <f>IF(ISBLANK($R3959),"",VLOOKUP($R3959,'Liste des Villes'!$B$2:$H$1128,4,FALSE))</f>
        <v>Laval</v>
      </c>
      <c r="T3959" s="2" t="s">
        <v>16951</v>
      </c>
      <c r="U3959" s="2" t="s">
        <v>39</v>
      </c>
      <c r="V3959" s="2" t="s">
        <v>40</v>
      </c>
      <c r="W3959" s="2" t="s">
        <v>16952</v>
      </c>
      <c r="X3959" s="2" t="str">
        <f>"4383920389"</f>
        <v>4383920389</v>
      </c>
      <c r="Y3959" s="2" t="str">
        <f>"4506285800 x252"</f>
        <v>4506285800 x252</v>
      </c>
      <c r="Z3959" s="2"/>
      <c r="AA3959" s="2" t="s">
        <v>708</v>
      </c>
      <c r="AB3959" s="2" t="s">
        <v>709</v>
      </c>
      <c r="AC3959" s="4" t="s">
        <v>44</v>
      </c>
    </row>
    <row r="3960" spans="1:29" x14ac:dyDescent="0.25">
      <c r="A3960" s="1">
        <v>2874</v>
      </c>
      <c r="B3960" s="17" t="s">
        <v>16953</v>
      </c>
      <c r="C3960" s="2" t="s">
        <v>16954</v>
      </c>
      <c r="D3960" s="15" t="s">
        <v>4012</v>
      </c>
      <c r="E3960" s="9" t="s">
        <v>826</v>
      </c>
      <c r="F3960" s="9" t="s">
        <v>4010</v>
      </c>
      <c r="G3960" s="9" t="s">
        <v>532</v>
      </c>
      <c r="H3960" s="2" t="s">
        <v>35</v>
      </c>
      <c r="I3960" s="3">
        <v>37315</v>
      </c>
      <c r="J3960" s="9" t="str">
        <f t="shared" ca="1" si="64"/>
        <v>21 ans</v>
      </c>
      <c r="K3960" s="2" t="s">
        <v>262</v>
      </c>
      <c r="L3960" s="2" t="str">
        <f>"3230"</f>
        <v>3230</v>
      </c>
      <c r="M3960" s="2"/>
      <c r="N3960" s="2" t="str">
        <f>"RUE MAURICE CULLEN"</f>
        <v>RUE MAURICE CULLEN</v>
      </c>
      <c r="O3960" s="2" t="s">
        <v>16565</v>
      </c>
      <c r="P3960" s="9" t="str">
        <f>VLOOKUP($O3960,'Liste des Villes'!$B$2:$B$1128,1,FALSE)</f>
        <v>Laval</v>
      </c>
      <c r="Q3960" s="9" t="str">
        <f>IFERROR($P3960,PROPER(VLOOKUP($O3960,'Villes en erreur'!$A$2:$B$72,2,FALSE)))</f>
        <v>Laval</v>
      </c>
      <c r="R3960" s="9" t="s">
        <v>16566</v>
      </c>
      <c r="S3960" s="9" t="str">
        <f>IF(ISBLANK($R3960),"",VLOOKUP($R3960,'Liste des Villes'!$B$2:$H$1128,4,FALSE))</f>
        <v>Laval</v>
      </c>
      <c r="T3960" s="2" t="s">
        <v>16955</v>
      </c>
      <c r="U3960" s="2" t="s">
        <v>39</v>
      </c>
      <c r="V3960" s="2" t="s">
        <v>40</v>
      </c>
      <c r="W3960" s="2" t="s">
        <v>16956</v>
      </c>
      <c r="X3960" s="2" t="str">
        <f>"4387775581"</f>
        <v>4387775581</v>
      </c>
      <c r="Y3960" s="2" t="str">
        <f>"8192031010"</f>
        <v>8192031010</v>
      </c>
      <c r="Z3960" s="2"/>
      <c r="AA3960" s="2" t="s">
        <v>708</v>
      </c>
      <c r="AB3960" s="2" t="s">
        <v>16576</v>
      </c>
      <c r="AC3960" s="4" t="s">
        <v>44</v>
      </c>
    </row>
    <row r="3961" spans="1:29" x14ac:dyDescent="0.25">
      <c r="A3961" s="1">
        <v>3024</v>
      </c>
      <c r="B3961" s="17" t="s">
        <v>16957</v>
      </c>
      <c r="C3961" s="2" t="s">
        <v>16958</v>
      </c>
      <c r="D3961" s="15" t="s">
        <v>5911</v>
      </c>
      <c r="E3961" s="9" t="s">
        <v>616</v>
      </c>
      <c r="F3961" s="9" t="s">
        <v>5910</v>
      </c>
      <c r="G3961" s="9" t="s">
        <v>277</v>
      </c>
      <c r="H3961" s="2" t="s">
        <v>60</v>
      </c>
      <c r="I3961" s="3">
        <v>37300</v>
      </c>
      <c r="J3961" s="9" t="str">
        <f t="shared" ca="1" si="64"/>
        <v>21 ans</v>
      </c>
      <c r="K3961" s="2" t="s">
        <v>262</v>
      </c>
      <c r="L3961" s="2" t="str">
        <f>"2804"</f>
        <v>2804</v>
      </c>
      <c r="M3961" s="2"/>
      <c r="N3961" s="2" t="str">
        <f>"RUE MARGUERITE"</f>
        <v>RUE MARGUERITE</v>
      </c>
      <c r="O3961" s="2" t="s">
        <v>16565</v>
      </c>
      <c r="P3961" s="9" t="str">
        <f>VLOOKUP($O3961,'Liste des Villes'!$B$2:$B$1128,1,FALSE)</f>
        <v>Laval</v>
      </c>
      <c r="Q3961" s="9" t="str">
        <f>IFERROR($P3961,PROPER(VLOOKUP($O3961,'Villes en erreur'!$A$2:$B$72,2,FALSE)))</f>
        <v>Laval</v>
      </c>
      <c r="R3961" s="9" t="s">
        <v>16566</v>
      </c>
      <c r="S3961" s="9" t="str">
        <f>IF(ISBLANK($R3961),"",VLOOKUP($R3961,'Liste des Villes'!$B$2:$H$1128,4,FALSE))</f>
        <v>Laval</v>
      </c>
      <c r="T3961" s="2" t="s">
        <v>16959</v>
      </c>
      <c r="U3961" s="2" t="s">
        <v>39</v>
      </c>
      <c r="V3961" s="2" t="s">
        <v>40</v>
      </c>
      <c r="W3961" s="2" t="s">
        <v>16960</v>
      </c>
      <c r="X3961" s="2" t="str">
        <f>"4384076671"</f>
        <v>4384076671</v>
      </c>
      <c r="Y3961" s="2" t="str">
        <f>"8196160420"</f>
        <v>8196160420</v>
      </c>
      <c r="Z3961" s="2"/>
      <c r="AA3961" s="2" t="s">
        <v>708</v>
      </c>
      <c r="AB3961" s="2" t="s">
        <v>709</v>
      </c>
      <c r="AC3961" s="4" t="s">
        <v>44</v>
      </c>
    </row>
    <row r="3962" spans="1:29" x14ac:dyDescent="0.25">
      <c r="A3962" s="1">
        <v>3600</v>
      </c>
      <c r="B3962" s="17" t="s">
        <v>16961</v>
      </c>
      <c r="C3962" s="2" t="s">
        <v>16962</v>
      </c>
      <c r="D3962" s="15" t="s">
        <v>1117</v>
      </c>
      <c r="E3962" s="9" t="s">
        <v>2397</v>
      </c>
      <c r="F3962" s="9" t="s">
        <v>12375</v>
      </c>
      <c r="G3962" s="9" t="s">
        <v>3897</v>
      </c>
      <c r="H3962" s="2" t="s">
        <v>60</v>
      </c>
      <c r="I3962" s="3">
        <v>37284</v>
      </c>
      <c r="J3962" s="9" t="str">
        <f t="shared" ca="1" si="64"/>
        <v>21 ans</v>
      </c>
      <c r="K3962" s="2" t="s">
        <v>262</v>
      </c>
      <c r="L3962" s="2" t="str">
        <f>"2494"</f>
        <v>2494</v>
      </c>
      <c r="M3962" s="2"/>
      <c r="N3962" s="2" t="str">
        <f>"RUE MAINVILLE"</f>
        <v>RUE MAINVILLE</v>
      </c>
      <c r="O3962" s="2" t="s">
        <v>16565</v>
      </c>
      <c r="P3962" s="9" t="str">
        <f>VLOOKUP($O3962,'Liste des Villes'!$B$2:$B$1128,1,FALSE)</f>
        <v>Laval</v>
      </c>
      <c r="Q3962" s="9" t="str">
        <f>IFERROR($P3962,PROPER(VLOOKUP($O3962,'Villes en erreur'!$A$2:$B$72,2,FALSE)))</f>
        <v>Laval</v>
      </c>
      <c r="R3962" s="9" t="s">
        <v>16566</v>
      </c>
      <c r="S3962" s="9" t="str">
        <f>IF(ISBLANK($R3962),"",VLOOKUP($R3962,'Liste des Villes'!$B$2:$H$1128,4,FALSE))</f>
        <v>Laval</v>
      </c>
      <c r="T3962" s="2" t="s">
        <v>16963</v>
      </c>
      <c r="U3962" s="2" t="s">
        <v>39</v>
      </c>
      <c r="V3962" s="2" t="s">
        <v>40</v>
      </c>
      <c r="W3962" s="2" t="s">
        <v>16964</v>
      </c>
      <c r="X3962" s="2"/>
      <c r="Y3962" s="2"/>
      <c r="Z3962" s="2"/>
      <c r="AA3962" s="2" t="s">
        <v>708</v>
      </c>
      <c r="AB3962" s="2" t="s">
        <v>709</v>
      </c>
      <c r="AC3962" s="4" t="s">
        <v>44</v>
      </c>
    </row>
    <row r="3963" spans="1:29" x14ac:dyDescent="0.25">
      <c r="A3963" s="1">
        <v>964</v>
      </c>
      <c r="B3963" s="17" t="s">
        <v>16965</v>
      </c>
      <c r="C3963" s="2" t="s">
        <v>16966</v>
      </c>
      <c r="D3963" s="15" t="s">
        <v>1716</v>
      </c>
      <c r="E3963" s="9" t="s">
        <v>15918</v>
      </c>
      <c r="F3963" s="9" t="s">
        <v>363</v>
      </c>
      <c r="G3963" s="9" t="s">
        <v>11291</v>
      </c>
      <c r="H3963" s="2" t="s">
        <v>35</v>
      </c>
      <c r="I3963" s="3">
        <v>37324</v>
      </c>
      <c r="J3963" s="9" t="str">
        <f t="shared" ca="1" si="64"/>
        <v>21 ans</v>
      </c>
      <c r="K3963" s="2" t="s">
        <v>262</v>
      </c>
      <c r="L3963" s="2" t="str">
        <f>"3419"</f>
        <v>3419</v>
      </c>
      <c r="M3963" s="2"/>
      <c r="N3963" s="2" t="str">
        <f>"RUE MELANÇON"</f>
        <v>RUE MELANÇON</v>
      </c>
      <c r="O3963" s="2" t="s">
        <v>16565</v>
      </c>
      <c r="P3963" s="9" t="str">
        <f>VLOOKUP($O3963,'Liste des Villes'!$B$2:$B$1128,1,FALSE)</f>
        <v>Laval</v>
      </c>
      <c r="Q3963" s="9" t="str">
        <f>IFERROR($P3963,PROPER(VLOOKUP($O3963,'Villes en erreur'!$A$2:$B$72,2,FALSE)))</f>
        <v>Laval</v>
      </c>
      <c r="R3963" s="9" t="s">
        <v>16566</v>
      </c>
      <c r="S3963" s="9" t="str">
        <f>IF(ISBLANK($R3963),"",VLOOKUP($R3963,'Liste des Villes'!$B$2:$H$1128,4,FALSE))</f>
        <v>Laval</v>
      </c>
      <c r="T3963" s="2" t="s">
        <v>16696</v>
      </c>
      <c r="U3963" s="2" t="s">
        <v>39</v>
      </c>
      <c r="V3963" s="2" t="s">
        <v>40</v>
      </c>
      <c r="W3963" s="2" t="s">
        <v>16967</v>
      </c>
      <c r="X3963" s="2" t="str">
        <f>"4388843000"</f>
        <v>4388843000</v>
      </c>
      <c r="Y3963" s="2" t="str">
        <f>"5149739969"</f>
        <v>5149739969</v>
      </c>
      <c r="Z3963" s="2"/>
      <c r="AA3963" s="2" t="s">
        <v>708</v>
      </c>
      <c r="AB3963" s="2" t="s">
        <v>16576</v>
      </c>
      <c r="AC3963" s="4" t="s">
        <v>44</v>
      </c>
    </row>
    <row r="3964" spans="1:29" x14ac:dyDescent="0.25">
      <c r="A3964" s="1">
        <v>2466</v>
      </c>
      <c r="B3964" s="17" t="s">
        <v>16968</v>
      </c>
      <c r="C3964" s="2" t="s">
        <v>13595</v>
      </c>
      <c r="D3964" s="15" t="s">
        <v>6583</v>
      </c>
      <c r="E3964" s="9" t="s">
        <v>3451</v>
      </c>
      <c r="F3964" s="9" t="s">
        <v>6682</v>
      </c>
      <c r="G3964" s="9" t="s">
        <v>277</v>
      </c>
      <c r="H3964" s="2" t="s">
        <v>60</v>
      </c>
      <c r="I3964" s="3">
        <v>37305</v>
      </c>
      <c r="J3964" s="9" t="str">
        <f t="shared" ca="1" si="64"/>
        <v>21 ans</v>
      </c>
      <c r="K3964" s="2" t="s">
        <v>262</v>
      </c>
      <c r="L3964" s="2" t="str">
        <f>"2909"</f>
        <v>2909</v>
      </c>
      <c r="M3964" s="2"/>
      <c r="N3964" s="2" t="str">
        <f>"RUE MARIE-VICTORIN"</f>
        <v>RUE MARIE-VICTORIN</v>
      </c>
      <c r="O3964" s="2" t="s">
        <v>16565</v>
      </c>
      <c r="P3964" s="9" t="str">
        <f>VLOOKUP($O3964,'Liste des Villes'!$B$2:$B$1128,1,FALSE)</f>
        <v>Laval</v>
      </c>
      <c r="Q3964" s="9" t="str">
        <f>IFERROR($P3964,PROPER(VLOOKUP($O3964,'Villes en erreur'!$A$2:$B$72,2,FALSE)))</f>
        <v>Laval</v>
      </c>
      <c r="R3964" s="9" t="s">
        <v>16566</v>
      </c>
      <c r="S3964" s="9" t="str">
        <f>IF(ISBLANK($R3964),"",VLOOKUP($R3964,'Liste des Villes'!$B$2:$H$1128,4,FALSE))</f>
        <v>Laval</v>
      </c>
      <c r="T3964" s="2" t="s">
        <v>16684</v>
      </c>
      <c r="U3964" s="2" t="s">
        <v>39</v>
      </c>
      <c r="V3964" s="2" t="s">
        <v>40</v>
      </c>
      <c r="W3964" s="2" t="s">
        <v>16969</v>
      </c>
      <c r="X3964" s="2" t="str">
        <f>"4384990166"</f>
        <v>4384990166</v>
      </c>
      <c r="Y3964" s="2" t="str">
        <f>"8193268456"</f>
        <v>8193268456</v>
      </c>
      <c r="Z3964" s="2"/>
      <c r="AA3964" s="2" t="s">
        <v>708</v>
      </c>
      <c r="AB3964" s="2" t="s">
        <v>709</v>
      </c>
      <c r="AC3964" s="4" t="s">
        <v>44</v>
      </c>
    </row>
    <row r="3965" spans="1:29" x14ac:dyDescent="0.25">
      <c r="A3965" s="1">
        <v>4464</v>
      </c>
      <c r="B3965" s="17" t="s">
        <v>16970</v>
      </c>
      <c r="C3965" s="2" t="s">
        <v>129</v>
      </c>
      <c r="D3965" s="15" t="s">
        <v>130</v>
      </c>
      <c r="E3965" s="9" t="s">
        <v>131</v>
      </c>
      <c r="F3965" s="9" t="s">
        <v>12324</v>
      </c>
      <c r="G3965" s="9" t="s">
        <v>1341</v>
      </c>
      <c r="H3965" s="2" t="s">
        <v>60</v>
      </c>
      <c r="I3965" s="3">
        <v>37281</v>
      </c>
      <c r="J3965" s="9" t="str">
        <f t="shared" ca="1" si="64"/>
        <v>21 ans</v>
      </c>
      <c r="K3965" s="2" t="s">
        <v>262</v>
      </c>
      <c r="L3965" s="2" t="str">
        <f>"2465"</f>
        <v>2465</v>
      </c>
      <c r="M3965" s="2"/>
      <c r="N3965" s="2" t="str">
        <f>"RUE MAGLOIRE-LAVALLÉE"</f>
        <v>RUE MAGLOIRE-LAVALLÉE</v>
      </c>
      <c r="O3965" s="2" t="s">
        <v>16565</v>
      </c>
      <c r="P3965" s="9" t="str">
        <f>VLOOKUP($O3965,'Liste des Villes'!$B$2:$B$1128,1,FALSE)</f>
        <v>Laval</v>
      </c>
      <c r="Q3965" s="9" t="str">
        <f>IFERROR($P3965,PROPER(VLOOKUP($O3965,'Villes en erreur'!$A$2:$B$72,2,FALSE)))</f>
        <v>Laval</v>
      </c>
      <c r="R3965" s="9" t="s">
        <v>16566</v>
      </c>
      <c r="S3965" s="9" t="str">
        <f>IF(ISBLANK($R3965),"",VLOOKUP($R3965,'Liste des Villes'!$B$2:$H$1128,4,FALSE))</f>
        <v>Laval</v>
      </c>
      <c r="T3965" s="2" t="s">
        <v>16971</v>
      </c>
      <c r="U3965" s="2" t="s">
        <v>39</v>
      </c>
      <c r="V3965" s="2" t="s">
        <v>40</v>
      </c>
      <c r="W3965" s="2" t="s">
        <v>16972</v>
      </c>
      <c r="X3965" s="2"/>
      <c r="Y3965" s="2"/>
      <c r="Z3965" s="2"/>
      <c r="AA3965" s="2" t="s">
        <v>708</v>
      </c>
      <c r="AB3965" s="2" t="s">
        <v>709</v>
      </c>
      <c r="AC3965" s="4" t="s">
        <v>44</v>
      </c>
    </row>
    <row r="3966" spans="1:29" x14ac:dyDescent="0.25">
      <c r="A3966" s="1">
        <v>380</v>
      </c>
      <c r="B3966" s="17" t="s">
        <v>16973</v>
      </c>
      <c r="C3966" s="2" t="s">
        <v>16974</v>
      </c>
      <c r="D3966" s="15" t="s">
        <v>6597</v>
      </c>
      <c r="E3966" s="9" t="s">
        <v>1236</v>
      </c>
      <c r="F3966" s="9" t="s">
        <v>2698</v>
      </c>
      <c r="G3966" s="9" t="s">
        <v>3013</v>
      </c>
      <c r="H3966" s="2" t="s">
        <v>60</v>
      </c>
      <c r="I3966" s="3">
        <v>37320</v>
      </c>
      <c r="J3966" s="9" t="str">
        <f t="shared" ca="1" si="64"/>
        <v>21 ans</v>
      </c>
      <c r="K3966" s="2" t="s">
        <v>262</v>
      </c>
      <c r="L3966" s="2" t="str">
        <f>"3340"</f>
        <v>3340</v>
      </c>
      <c r="M3966" s="2"/>
      <c r="N3966" s="2" t="str">
        <f>"RUE MELANÇON"</f>
        <v>RUE MELANÇON</v>
      </c>
      <c r="O3966" s="2" t="s">
        <v>16565</v>
      </c>
      <c r="P3966" s="9" t="str">
        <f>VLOOKUP($O3966,'Liste des Villes'!$B$2:$B$1128,1,FALSE)</f>
        <v>Laval</v>
      </c>
      <c r="Q3966" s="9" t="str">
        <f>IFERROR($P3966,PROPER(VLOOKUP($O3966,'Villes en erreur'!$A$2:$B$72,2,FALSE)))</f>
        <v>Laval</v>
      </c>
      <c r="R3966" s="9" t="s">
        <v>16566</v>
      </c>
      <c r="S3966" s="9" t="str">
        <f>IF(ISBLANK($R3966),"",VLOOKUP($R3966,'Liste des Villes'!$B$2:$H$1128,4,FALSE))</f>
        <v>Laval</v>
      </c>
      <c r="T3966" s="2" t="s">
        <v>16732</v>
      </c>
      <c r="U3966" s="2" t="s">
        <v>39</v>
      </c>
      <c r="V3966" s="2" t="s">
        <v>40</v>
      </c>
      <c r="W3966" s="2" t="s">
        <v>16975</v>
      </c>
      <c r="X3966" s="2" t="str">
        <f>"4388365640"</f>
        <v>4388365640</v>
      </c>
      <c r="Y3966" s="2" t="str">
        <f>"5149965362"</f>
        <v>5149965362</v>
      </c>
      <c r="Z3966" s="2"/>
      <c r="AA3966" s="2" t="s">
        <v>708</v>
      </c>
      <c r="AB3966" s="2" t="s">
        <v>16576</v>
      </c>
      <c r="AC3966" s="4" t="s">
        <v>44</v>
      </c>
    </row>
    <row r="3967" spans="1:29" x14ac:dyDescent="0.25">
      <c r="A3967" s="1">
        <v>3156</v>
      </c>
      <c r="B3967" s="17" t="s">
        <v>16976</v>
      </c>
      <c r="C3967" s="2" t="s">
        <v>2290</v>
      </c>
      <c r="D3967" s="15" t="s">
        <v>2291</v>
      </c>
      <c r="E3967" s="9" t="s">
        <v>635</v>
      </c>
      <c r="F3967" s="9" t="s">
        <v>411</v>
      </c>
      <c r="G3967" s="9" t="s">
        <v>5737</v>
      </c>
      <c r="H3967" s="2" t="s">
        <v>60</v>
      </c>
      <c r="I3967" s="3">
        <v>37319</v>
      </c>
      <c r="J3967" s="9" t="str">
        <f t="shared" ca="1" si="64"/>
        <v>21 ans</v>
      </c>
      <c r="K3967" s="2" t="s">
        <v>262</v>
      </c>
      <c r="L3967" s="2" t="str">
        <f>"3285"</f>
        <v>3285</v>
      </c>
      <c r="M3967" s="2"/>
      <c r="N3967" s="2" t="str">
        <f>"RUE MCGUIRE"</f>
        <v>RUE MCGUIRE</v>
      </c>
      <c r="O3967" s="2" t="s">
        <v>16565</v>
      </c>
      <c r="P3967" s="9" t="str">
        <f>VLOOKUP($O3967,'Liste des Villes'!$B$2:$B$1128,1,FALSE)</f>
        <v>Laval</v>
      </c>
      <c r="Q3967" s="9" t="str">
        <f>IFERROR($P3967,PROPER(VLOOKUP($O3967,'Villes en erreur'!$A$2:$B$72,2,FALSE)))</f>
        <v>Laval</v>
      </c>
      <c r="R3967" s="9" t="s">
        <v>16566</v>
      </c>
      <c r="S3967" s="9" t="str">
        <f>IF(ISBLANK($R3967),"",VLOOKUP($R3967,'Liste des Villes'!$B$2:$H$1128,4,FALSE))</f>
        <v>Laval</v>
      </c>
      <c r="T3967" s="2" t="s">
        <v>16977</v>
      </c>
      <c r="U3967" s="2" t="s">
        <v>39</v>
      </c>
      <c r="V3967" s="2" t="s">
        <v>40</v>
      </c>
      <c r="W3967" s="2" t="s">
        <v>16978</v>
      </c>
      <c r="X3967" s="2" t="str">
        <f>"4388280206"</f>
        <v>4388280206</v>
      </c>
      <c r="Y3967" s="2" t="str">
        <f>"5798880032"</f>
        <v>5798880032</v>
      </c>
      <c r="Z3967" s="2"/>
      <c r="AA3967" s="2" t="s">
        <v>708</v>
      </c>
      <c r="AB3967" s="2" t="s">
        <v>16576</v>
      </c>
      <c r="AC3967" s="4" t="s">
        <v>44</v>
      </c>
    </row>
    <row r="3968" spans="1:29" x14ac:dyDescent="0.25">
      <c r="A3968" s="1">
        <v>3914</v>
      </c>
      <c r="B3968" s="17" t="s">
        <v>16979</v>
      </c>
      <c r="C3968" s="2" t="s">
        <v>16980</v>
      </c>
      <c r="D3968" s="15" t="s">
        <v>1117</v>
      </c>
      <c r="E3968" s="9" t="s">
        <v>3258</v>
      </c>
      <c r="F3968" s="9" t="s">
        <v>6234</v>
      </c>
      <c r="G3968" s="9" t="s">
        <v>277</v>
      </c>
      <c r="H3968" s="2" t="s">
        <v>60</v>
      </c>
      <c r="I3968" s="3">
        <v>37300</v>
      </c>
      <c r="J3968" s="9" t="str">
        <f t="shared" ca="1" si="64"/>
        <v>21 ans</v>
      </c>
      <c r="K3968" s="2" t="s">
        <v>262</v>
      </c>
      <c r="L3968" s="2" t="str">
        <f>"2800"</f>
        <v>2800</v>
      </c>
      <c r="M3968" s="2"/>
      <c r="N3968" s="2" t="str">
        <f>"RUE MARCOTTE"</f>
        <v>RUE MARCOTTE</v>
      </c>
      <c r="O3968" s="2" t="s">
        <v>16565</v>
      </c>
      <c r="P3968" s="9" t="str">
        <f>VLOOKUP($O3968,'Liste des Villes'!$B$2:$B$1128,1,FALSE)</f>
        <v>Laval</v>
      </c>
      <c r="Q3968" s="9" t="str">
        <f>IFERROR($P3968,PROPER(VLOOKUP($O3968,'Villes en erreur'!$A$2:$B$72,2,FALSE)))</f>
        <v>Laval</v>
      </c>
      <c r="R3968" s="9" t="s">
        <v>16566</v>
      </c>
      <c r="S3968" s="9" t="str">
        <f>IF(ISBLANK($R3968),"",VLOOKUP($R3968,'Liste des Villes'!$B$2:$H$1128,4,FALSE))</f>
        <v>Laval</v>
      </c>
      <c r="T3968" s="2" t="s">
        <v>16981</v>
      </c>
      <c r="U3968" s="2" t="s">
        <v>39</v>
      </c>
      <c r="V3968" s="2" t="s">
        <v>40</v>
      </c>
      <c r="W3968" s="2" t="s">
        <v>16982</v>
      </c>
      <c r="X3968" s="2" t="str">
        <f>"4384076482"</f>
        <v>4384076482</v>
      </c>
      <c r="Y3968" s="2" t="str">
        <f>"8196160659"</f>
        <v>8196160659</v>
      </c>
      <c r="Z3968" s="2"/>
      <c r="AA3968" s="2" t="s">
        <v>708</v>
      </c>
      <c r="AB3968" s="2" t="s">
        <v>709</v>
      </c>
      <c r="AC3968" s="4" t="s">
        <v>44</v>
      </c>
    </row>
    <row r="3969" spans="1:29" x14ac:dyDescent="0.25">
      <c r="A3969" s="1">
        <v>4437</v>
      </c>
      <c r="B3969" s="17" t="s">
        <v>16983</v>
      </c>
      <c r="C3969" s="2" t="s">
        <v>16984</v>
      </c>
      <c r="D3969" s="15" t="s">
        <v>8309</v>
      </c>
      <c r="E3969" s="9" t="s">
        <v>380</v>
      </c>
      <c r="F3969" s="9" t="s">
        <v>304</v>
      </c>
      <c r="G3969" s="9" t="s">
        <v>9295</v>
      </c>
      <c r="H3969" s="2" t="s">
        <v>35</v>
      </c>
      <c r="I3969" s="3">
        <v>37313</v>
      </c>
      <c r="J3969" s="9" t="str">
        <f t="shared" ca="1" si="64"/>
        <v>21 ans</v>
      </c>
      <c r="K3969" s="2" t="s">
        <v>262</v>
      </c>
      <c r="L3969" s="2" t="str">
        <f>"3162"</f>
        <v>3162</v>
      </c>
      <c r="M3969" s="2"/>
      <c r="N3969" s="2" t="str">
        <f>"RUE MATTE"</f>
        <v>RUE MATTE</v>
      </c>
      <c r="O3969" s="2" t="s">
        <v>16565</v>
      </c>
      <c r="P3969" s="9" t="str">
        <f>VLOOKUP($O3969,'Liste des Villes'!$B$2:$B$1128,1,FALSE)</f>
        <v>Laval</v>
      </c>
      <c r="Q3969" s="9" t="str">
        <f>IFERROR($P3969,PROPER(VLOOKUP($O3969,'Villes en erreur'!$A$2:$B$72,2,FALSE)))</f>
        <v>Laval</v>
      </c>
      <c r="R3969" s="9" t="s">
        <v>16566</v>
      </c>
      <c r="S3969" s="9" t="str">
        <f>IF(ISBLANK($R3969),"",VLOOKUP($R3969,'Liste des Villes'!$B$2:$H$1128,4,FALSE))</f>
        <v>Laval</v>
      </c>
      <c r="T3969" s="2" t="s">
        <v>16985</v>
      </c>
      <c r="U3969" s="2" t="s">
        <v>39</v>
      </c>
      <c r="V3969" s="2" t="s">
        <v>40</v>
      </c>
      <c r="W3969" s="2" t="s">
        <v>16986</v>
      </c>
      <c r="X3969" s="2" t="str">
        <f>"4386229750"</f>
        <v>4386229750</v>
      </c>
      <c r="Y3969" s="2" t="str">
        <f>"8192183842"</f>
        <v>8192183842</v>
      </c>
      <c r="Z3969" s="2"/>
      <c r="AA3969" s="2" t="s">
        <v>708</v>
      </c>
      <c r="AB3969" s="2" t="s">
        <v>16576</v>
      </c>
      <c r="AC3969" s="4" t="s">
        <v>44</v>
      </c>
    </row>
    <row r="3970" spans="1:29" x14ac:dyDescent="0.25">
      <c r="A3970" s="1">
        <v>2660</v>
      </c>
      <c r="B3970" s="17" t="s">
        <v>16987</v>
      </c>
      <c r="C3970" s="2" t="s">
        <v>3102</v>
      </c>
      <c r="D3970" s="15" t="s">
        <v>657</v>
      </c>
      <c r="E3970" s="9" t="s">
        <v>452</v>
      </c>
      <c r="F3970" s="9" t="s">
        <v>10815</v>
      </c>
      <c r="G3970" s="9" t="s">
        <v>277</v>
      </c>
      <c r="H3970" s="2" t="s">
        <v>60</v>
      </c>
      <c r="I3970" s="3">
        <v>37293</v>
      </c>
      <c r="J3970" s="9" t="str">
        <f t="shared" ref="J3970:J4033" ca="1" si="65">_xlfn.CONCAT(INT((TODAY()-$I3970)/365.25)," ans")</f>
        <v>21 ans</v>
      </c>
      <c r="K3970" s="2" t="s">
        <v>262</v>
      </c>
      <c r="L3970" s="2" t="str">
        <f>"2606"</f>
        <v>2606</v>
      </c>
      <c r="M3970" s="2"/>
      <c r="N3970" s="2" t="str">
        <f>"RUE MARC-AURÈLE-FORTIN"</f>
        <v>RUE MARC-AURÈLE-FORTIN</v>
      </c>
      <c r="O3970" s="2" t="s">
        <v>16565</v>
      </c>
      <c r="P3970" s="9" t="str">
        <f>VLOOKUP($O3970,'Liste des Villes'!$B$2:$B$1128,1,FALSE)</f>
        <v>Laval</v>
      </c>
      <c r="Q3970" s="9" t="str">
        <f>IFERROR($P3970,PROPER(VLOOKUP($O3970,'Villes en erreur'!$A$2:$B$72,2,FALSE)))</f>
        <v>Laval</v>
      </c>
      <c r="R3970" s="9" t="s">
        <v>16566</v>
      </c>
      <c r="S3970" s="9" t="str">
        <f>IF(ISBLANK($R3970),"",VLOOKUP($R3970,'Liste des Villes'!$B$2:$H$1128,4,FALSE))</f>
        <v>Laval</v>
      </c>
      <c r="T3970" s="2" t="s">
        <v>16988</v>
      </c>
      <c r="U3970" s="2" t="s">
        <v>39</v>
      </c>
      <c r="V3970" s="2" t="s">
        <v>40</v>
      </c>
      <c r="W3970" s="2" t="s">
        <v>16989</v>
      </c>
      <c r="X3970" s="2" t="str">
        <f>"4383914592"</f>
        <v>4383914592</v>
      </c>
      <c r="Y3970" s="2" t="str">
        <f>"5148491357 x2077"</f>
        <v>5148491357 x2077</v>
      </c>
      <c r="Z3970" s="2"/>
      <c r="AA3970" s="2" t="s">
        <v>708</v>
      </c>
      <c r="AB3970" s="2" t="s">
        <v>709</v>
      </c>
      <c r="AC3970" s="4" t="s">
        <v>44</v>
      </c>
    </row>
    <row r="3971" spans="1:29" x14ac:dyDescent="0.25">
      <c r="A3971" s="1">
        <v>2776</v>
      </c>
      <c r="B3971" s="17" t="s">
        <v>16990</v>
      </c>
      <c r="C3971" s="2" t="s">
        <v>6230</v>
      </c>
      <c r="D3971" s="15" t="s">
        <v>1913</v>
      </c>
      <c r="E3971" s="9" t="s">
        <v>622</v>
      </c>
      <c r="F3971" s="9" t="s">
        <v>4432</v>
      </c>
      <c r="G3971" s="9" t="s">
        <v>16991</v>
      </c>
      <c r="H3971" s="2" t="s">
        <v>60</v>
      </c>
      <c r="I3971" s="3">
        <v>37319</v>
      </c>
      <c r="J3971" s="9" t="str">
        <f t="shared" ca="1" si="65"/>
        <v>21 ans</v>
      </c>
      <c r="K3971" s="2" t="s">
        <v>262</v>
      </c>
      <c r="L3971" s="2" t="str">
        <f>"3288"</f>
        <v>3288</v>
      </c>
      <c r="M3971" s="2"/>
      <c r="N3971" s="2" t="str">
        <f>"RUE MCGUIRE"</f>
        <v>RUE MCGUIRE</v>
      </c>
      <c r="O3971" s="2" t="s">
        <v>16565</v>
      </c>
      <c r="P3971" s="9" t="str">
        <f>VLOOKUP($O3971,'Liste des Villes'!$B$2:$B$1128,1,FALSE)</f>
        <v>Laval</v>
      </c>
      <c r="Q3971" s="9" t="str">
        <f>IFERROR($P3971,PROPER(VLOOKUP($O3971,'Villes en erreur'!$A$2:$B$72,2,FALSE)))</f>
        <v>Laval</v>
      </c>
      <c r="R3971" s="9" t="s">
        <v>16566</v>
      </c>
      <c r="S3971" s="9" t="str">
        <f>IF(ISBLANK($R3971),"",VLOOKUP($R3971,'Liste des Villes'!$B$2:$H$1128,4,FALSE))</f>
        <v>Laval</v>
      </c>
      <c r="T3971" s="2" t="s">
        <v>16992</v>
      </c>
      <c r="U3971" s="2" t="s">
        <v>39</v>
      </c>
      <c r="V3971" s="2" t="s">
        <v>40</v>
      </c>
      <c r="W3971" s="2" t="s">
        <v>16993</v>
      </c>
      <c r="X3971" s="2" t="str">
        <f>"4388284040"</f>
        <v>4388284040</v>
      </c>
      <c r="Y3971" s="2" t="str">
        <f>"5797655757"</f>
        <v>5797655757</v>
      </c>
      <c r="Z3971" s="2"/>
      <c r="AA3971" s="2" t="s">
        <v>708</v>
      </c>
      <c r="AB3971" s="2" t="s">
        <v>16576</v>
      </c>
      <c r="AC3971" s="4" t="s">
        <v>44</v>
      </c>
    </row>
    <row r="3972" spans="1:29" x14ac:dyDescent="0.25">
      <c r="A3972" s="1">
        <v>1049</v>
      </c>
      <c r="B3972" s="17" t="s">
        <v>16994</v>
      </c>
      <c r="C3972" s="2" t="s">
        <v>1229</v>
      </c>
      <c r="D3972" s="15" t="s">
        <v>1230</v>
      </c>
      <c r="E3972" s="9" t="s">
        <v>348</v>
      </c>
      <c r="F3972" s="9" t="s">
        <v>762</v>
      </c>
      <c r="G3972" s="9" t="s">
        <v>277</v>
      </c>
      <c r="H3972" s="2" t="s">
        <v>60</v>
      </c>
      <c r="I3972" s="3">
        <v>37295</v>
      </c>
      <c r="J3972" s="9" t="str">
        <f t="shared" ca="1" si="65"/>
        <v>21 ans</v>
      </c>
      <c r="K3972" s="2" t="s">
        <v>262</v>
      </c>
      <c r="L3972" s="2" t="str">
        <f>"2690"</f>
        <v>2690</v>
      </c>
      <c r="M3972" s="2"/>
      <c r="N3972" s="2" t="str">
        <f>"RUE MARCEL"</f>
        <v>RUE MARCEL</v>
      </c>
      <c r="O3972" s="2" t="s">
        <v>16565</v>
      </c>
      <c r="P3972" s="9" t="str">
        <f>VLOOKUP($O3972,'Liste des Villes'!$B$2:$B$1128,1,FALSE)</f>
        <v>Laval</v>
      </c>
      <c r="Q3972" s="9" t="str">
        <f>IFERROR($P3972,PROPER(VLOOKUP($O3972,'Villes en erreur'!$A$2:$B$72,2,FALSE)))</f>
        <v>Laval</v>
      </c>
      <c r="R3972" s="9" t="s">
        <v>16566</v>
      </c>
      <c r="S3972" s="9" t="str">
        <f>IF(ISBLANK($R3972),"",VLOOKUP($R3972,'Liste des Villes'!$B$2:$H$1128,4,FALSE))</f>
        <v>Laval</v>
      </c>
      <c r="T3972" s="2" t="s">
        <v>16850</v>
      </c>
      <c r="U3972" s="2" t="s">
        <v>39</v>
      </c>
      <c r="V3972" s="2" t="s">
        <v>40</v>
      </c>
      <c r="W3972" s="2" t="s">
        <v>16995</v>
      </c>
      <c r="X3972" s="2" t="str">
        <f>"4383963431"</f>
        <v>4383963431</v>
      </c>
      <c r="Y3972" s="2" t="str">
        <f>"8198564053"</f>
        <v>8198564053</v>
      </c>
      <c r="Z3972" s="2"/>
      <c r="AA3972" s="2" t="s">
        <v>708</v>
      </c>
      <c r="AB3972" s="2" t="s">
        <v>709</v>
      </c>
      <c r="AC3972" s="4" t="s">
        <v>44</v>
      </c>
    </row>
    <row r="3973" spans="1:29" x14ac:dyDescent="0.25">
      <c r="A3973" s="1">
        <v>2846</v>
      </c>
      <c r="B3973" s="17" t="s">
        <v>16996</v>
      </c>
      <c r="C3973" s="2" t="s">
        <v>530</v>
      </c>
      <c r="D3973" s="15" t="s">
        <v>531</v>
      </c>
      <c r="E3973" s="9" t="s">
        <v>532</v>
      </c>
      <c r="F3973" s="9" t="s">
        <v>10659</v>
      </c>
      <c r="G3973" s="9" t="s">
        <v>2561</v>
      </c>
      <c r="H3973" s="2" t="s">
        <v>60</v>
      </c>
      <c r="I3973" s="3">
        <v>37314</v>
      </c>
      <c r="J3973" s="9" t="str">
        <f t="shared" ca="1" si="65"/>
        <v>21 ans</v>
      </c>
      <c r="K3973" s="2" t="s">
        <v>262</v>
      </c>
      <c r="L3973" s="2" t="str">
        <f>"3195"</f>
        <v>3195</v>
      </c>
      <c r="M3973" s="2"/>
      <c r="N3973" s="2" t="str">
        <f>"RUE MAUDE"</f>
        <v>RUE MAUDE</v>
      </c>
      <c r="O3973" s="2" t="s">
        <v>16565</v>
      </c>
      <c r="P3973" s="9" t="str">
        <f>VLOOKUP($O3973,'Liste des Villes'!$B$2:$B$1128,1,FALSE)</f>
        <v>Laval</v>
      </c>
      <c r="Q3973" s="9" t="str">
        <f>IFERROR($P3973,PROPER(VLOOKUP($O3973,'Villes en erreur'!$A$2:$B$72,2,FALSE)))</f>
        <v>Laval</v>
      </c>
      <c r="R3973" s="9" t="s">
        <v>16566</v>
      </c>
      <c r="S3973" s="9" t="str">
        <f>IF(ISBLANK($R3973),"",VLOOKUP($R3973,'Liste des Villes'!$B$2:$H$1128,4,FALSE))</f>
        <v>Laval</v>
      </c>
      <c r="T3973" s="2" t="s">
        <v>16997</v>
      </c>
      <c r="U3973" s="2" t="s">
        <v>39</v>
      </c>
      <c r="V3973" s="2" t="s">
        <v>40</v>
      </c>
      <c r="W3973" s="2" t="s">
        <v>16998</v>
      </c>
      <c r="X3973" s="2" t="str">
        <f>"4386302377"</f>
        <v>4386302377</v>
      </c>
      <c r="Y3973" s="2" t="str">
        <f>"8192168675"</f>
        <v>8192168675</v>
      </c>
      <c r="Z3973" s="2"/>
      <c r="AA3973" s="2" t="s">
        <v>708</v>
      </c>
      <c r="AB3973" s="2" t="s">
        <v>16576</v>
      </c>
      <c r="AC3973" s="4" t="s">
        <v>44</v>
      </c>
    </row>
    <row r="3974" spans="1:29" x14ac:dyDescent="0.25">
      <c r="A3974" s="1">
        <v>2804</v>
      </c>
      <c r="B3974" s="17" t="s">
        <v>16999</v>
      </c>
      <c r="C3974" s="2" t="s">
        <v>5952</v>
      </c>
      <c r="D3974" s="15" t="s">
        <v>5727</v>
      </c>
      <c r="E3974" s="9" t="s">
        <v>1024</v>
      </c>
      <c r="F3974" s="9" t="s">
        <v>10949</v>
      </c>
      <c r="G3974" s="9" t="s">
        <v>532</v>
      </c>
      <c r="H3974" s="2" t="s">
        <v>35</v>
      </c>
      <c r="I3974" s="3">
        <v>37316</v>
      </c>
      <c r="J3974" s="9" t="str">
        <f t="shared" ca="1" si="65"/>
        <v>21 ans</v>
      </c>
      <c r="K3974" s="2" t="s">
        <v>262</v>
      </c>
      <c r="L3974" s="2" t="str">
        <f>"3240"</f>
        <v>3240</v>
      </c>
      <c r="M3974" s="2"/>
      <c r="N3974" s="2" t="str">
        <f>"RUE MAURICE-CULLEN"</f>
        <v>RUE MAURICE-CULLEN</v>
      </c>
      <c r="O3974" s="2" t="s">
        <v>16565</v>
      </c>
      <c r="P3974" s="9" t="str">
        <f>VLOOKUP($O3974,'Liste des Villes'!$B$2:$B$1128,1,FALSE)</f>
        <v>Laval</v>
      </c>
      <c r="Q3974" s="9" t="str">
        <f>IFERROR($P3974,PROPER(VLOOKUP($O3974,'Villes en erreur'!$A$2:$B$72,2,FALSE)))</f>
        <v>Laval</v>
      </c>
      <c r="R3974" s="9" t="s">
        <v>16566</v>
      </c>
      <c r="S3974" s="9" t="str">
        <f>IF(ISBLANK($R3974),"",VLOOKUP($R3974,'Liste des Villes'!$B$2:$H$1128,4,FALSE))</f>
        <v>Laval</v>
      </c>
      <c r="T3974" s="2" t="s">
        <v>16574</v>
      </c>
      <c r="U3974" s="2" t="s">
        <v>39</v>
      </c>
      <c r="V3974" s="2" t="s">
        <v>40</v>
      </c>
      <c r="W3974" s="2" t="s">
        <v>17000</v>
      </c>
      <c r="X3974" s="2" t="str">
        <f>"4388214002"</f>
        <v>4388214002</v>
      </c>
      <c r="Y3974" s="2" t="str">
        <f>"5798888183"</f>
        <v>5798888183</v>
      </c>
      <c r="Z3974" s="2"/>
      <c r="AA3974" s="2" t="s">
        <v>708</v>
      </c>
      <c r="AB3974" s="2" t="s">
        <v>16576</v>
      </c>
      <c r="AC3974" s="4" t="s">
        <v>44</v>
      </c>
    </row>
    <row r="3975" spans="1:29" x14ac:dyDescent="0.25">
      <c r="A3975" s="1">
        <v>554</v>
      </c>
      <c r="B3975" s="17" t="s">
        <v>17001</v>
      </c>
      <c r="C3975" s="2" t="s">
        <v>17002</v>
      </c>
      <c r="D3975" s="15" t="s">
        <v>14459</v>
      </c>
      <c r="E3975" s="9" t="s">
        <v>3668</v>
      </c>
      <c r="F3975" s="9" t="s">
        <v>6384</v>
      </c>
      <c r="G3975" s="9" t="s">
        <v>2114</v>
      </c>
      <c r="H3975" s="2" t="s">
        <v>60</v>
      </c>
      <c r="I3975" s="3">
        <v>37288</v>
      </c>
      <c r="J3975" s="9" t="str">
        <f t="shared" ca="1" si="65"/>
        <v>21 ans</v>
      </c>
      <c r="K3975" s="2" t="s">
        <v>262</v>
      </c>
      <c r="L3975" s="2" t="str">
        <f>"2557"</f>
        <v>2557</v>
      </c>
      <c r="M3975" s="2"/>
      <c r="N3975" s="2" t="str">
        <f>"RUE MARC ANDRÉ"</f>
        <v>RUE MARC ANDRÉ</v>
      </c>
      <c r="O3975" s="2" t="s">
        <v>16565</v>
      </c>
      <c r="P3975" s="9" t="str">
        <f>VLOOKUP($O3975,'Liste des Villes'!$B$2:$B$1128,1,FALSE)</f>
        <v>Laval</v>
      </c>
      <c r="Q3975" s="9" t="str">
        <f>IFERROR($P3975,PROPER(VLOOKUP($O3975,'Villes en erreur'!$A$2:$B$72,2,FALSE)))</f>
        <v>Laval</v>
      </c>
      <c r="R3975" s="9" t="s">
        <v>16566</v>
      </c>
      <c r="S3975" s="9" t="str">
        <f>IF(ISBLANK($R3975),"",VLOOKUP($R3975,'Liste des Villes'!$B$2:$H$1128,4,FALSE))</f>
        <v>Laval</v>
      </c>
      <c r="T3975" s="2" t="s">
        <v>17003</v>
      </c>
      <c r="U3975" s="2" t="s">
        <v>39</v>
      </c>
      <c r="V3975" s="2" t="s">
        <v>40</v>
      </c>
      <c r="W3975" s="2" t="s">
        <v>17004</v>
      </c>
      <c r="X3975" s="2" t="str">
        <f>"4383255416"</f>
        <v>4383255416</v>
      </c>
      <c r="Y3975" s="2"/>
      <c r="Z3975" s="2"/>
      <c r="AA3975" s="2" t="s">
        <v>708</v>
      </c>
      <c r="AB3975" s="2" t="s">
        <v>709</v>
      </c>
      <c r="AC3975" s="4" t="s">
        <v>44</v>
      </c>
    </row>
    <row r="3976" spans="1:29" x14ac:dyDescent="0.25">
      <c r="A3976" s="1">
        <v>29</v>
      </c>
      <c r="B3976" s="17" t="s">
        <v>17005</v>
      </c>
      <c r="C3976" s="2" t="s">
        <v>17006</v>
      </c>
      <c r="D3976" s="15" t="s">
        <v>1632</v>
      </c>
      <c r="E3976" s="9" t="s">
        <v>7925</v>
      </c>
      <c r="F3976" s="9" t="s">
        <v>1631</v>
      </c>
      <c r="G3976" s="9" t="s">
        <v>704</v>
      </c>
      <c r="H3976" s="2" t="s">
        <v>60</v>
      </c>
      <c r="I3976" s="3">
        <v>37276</v>
      </c>
      <c r="J3976" s="9" t="str">
        <f t="shared" ca="1" si="65"/>
        <v>21 ans</v>
      </c>
      <c r="K3976" s="2" t="s">
        <v>262</v>
      </c>
      <c r="L3976" s="2" t="str">
        <f>"2360"</f>
        <v>2360</v>
      </c>
      <c r="M3976" s="2"/>
      <c r="N3976" s="2" t="str">
        <f>"RUE LUC"</f>
        <v>RUE LUC</v>
      </c>
      <c r="O3976" s="2" t="s">
        <v>16565</v>
      </c>
      <c r="P3976" s="9" t="str">
        <f>VLOOKUP($O3976,'Liste des Villes'!$B$2:$B$1128,1,FALSE)</f>
        <v>Laval</v>
      </c>
      <c r="Q3976" s="9" t="str">
        <f>IFERROR($P3976,PROPER(VLOOKUP($O3976,'Villes en erreur'!$A$2:$B$72,2,FALSE)))</f>
        <v>Laval</v>
      </c>
      <c r="R3976" s="9" t="s">
        <v>16566</v>
      </c>
      <c r="S3976" s="9" t="str">
        <f>IF(ISBLANK($R3976),"",VLOOKUP($R3976,'Liste des Villes'!$B$2:$H$1128,4,FALSE))</f>
        <v>Laval</v>
      </c>
      <c r="T3976" s="2" t="s">
        <v>16677</v>
      </c>
      <c r="U3976" s="2" t="s">
        <v>39</v>
      </c>
      <c r="V3976" s="2" t="s">
        <v>40</v>
      </c>
      <c r="W3976" s="2" t="s">
        <v>17007</v>
      </c>
      <c r="X3976" s="2"/>
      <c r="Y3976" s="2"/>
      <c r="Z3976" s="2"/>
      <c r="AA3976" s="2" t="s">
        <v>708</v>
      </c>
      <c r="AB3976" s="2" t="s">
        <v>709</v>
      </c>
      <c r="AC3976" s="4" t="s">
        <v>44</v>
      </c>
    </row>
    <row r="3977" spans="1:29" x14ac:dyDescent="0.25">
      <c r="A3977" s="1">
        <v>1107</v>
      </c>
      <c r="B3977" s="17" t="s">
        <v>17008</v>
      </c>
      <c r="C3977" s="2" t="s">
        <v>1793</v>
      </c>
      <c r="D3977" s="15" t="s">
        <v>349</v>
      </c>
      <c r="E3977" s="9" t="s">
        <v>622</v>
      </c>
      <c r="F3977" s="9" t="s">
        <v>3546</v>
      </c>
      <c r="G3977" s="9" t="s">
        <v>3013</v>
      </c>
      <c r="H3977" s="2" t="s">
        <v>60</v>
      </c>
      <c r="I3977" s="3">
        <v>37321</v>
      </c>
      <c r="J3977" s="9" t="str">
        <f t="shared" ca="1" si="65"/>
        <v>21 ans</v>
      </c>
      <c r="K3977" s="2" t="s">
        <v>262</v>
      </c>
      <c r="L3977" s="2" t="str">
        <f>"3365"</f>
        <v>3365</v>
      </c>
      <c r="M3977" s="2"/>
      <c r="N3977" s="2" t="str">
        <f>"RUE MELANÇON"</f>
        <v>RUE MELANÇON</v>
      </c>
      <c r="O3977" s="2" t="s">
        <v>16565</v>
      </c>
      <c r="P3977" s="9" t="str">
        <f>VLOOKUP($O3977,'Liste des Villes'!$B$2:$B$1128,1,FALSE)</f>
        <v>Laval</v>
      </c>
      <c r="Q3977" s="9" t="str">
        <f>IFERROR($P3977,PROPER(VLOOKUP($O3977,'Villes en erreur'!$A$2:$B$72,2,FALSE)))</f>
        <v>Laval</v>
      </c>
      <c r="R3977" s="9" t="s">
        <v>16566</v>
      </c>
      <c r="S3977" s="9" t="str">
        <f>IF(ISBLANK($R3977),"",VLOOKUP($R3977,'Liste des Villes'!$B$2:$H$1128,4,FALSE))</f>
        <v>Laval</v>
      </c>
      <c r="T3977" s="2" t="s">
        <v>17009</v>
      </c>
      <c r="U3977" s="2" t="s">
        <v>39</v>
      </c>
      <c r="V3977" s="2" t="s">
        <v>40</v>
      </c>
      <c r="W3977" s="2" t="s">
        <v>17010</v>
      </c>
      <c r="X3977" s="2" t="str">
        <f>"4388372674"</f>
        <v>4388372674</v>
      </c>
      <c r="Y3977" s="2" t="str">
        <f>"5149964105"</f>
        <v>5149964105</v>
      </c>
      <c r="Z3977" s="2"/>
      <c r="AA3977" s="2" t="s">
        <v>708</v>
      </c>
      <c r="AB3977" s="2" t="s">
        <v>16576</v>
      </c>
      <c r="AC3977" s="4" t="s">
        <v>44</v>
      </c>
    </row>
    <row r="3978" spans="1:29" x14ac:dyDescent="0.25">
      <c r="A3978" s="1">
        <v>2878</v>
      </c>
      <c r="B3978" s="17" t="s">
        <v>17011</v>
      </c>
      <c r="C3978" s="2" t="s">
        <v>7346</v>
      </c>
      <c r="D3978" s="15" t="s">
        <v>7347</v>
      </c>
      <c r="E3978" s="9" t="s">
        <v>2334</v>
      </c>
      <c r="F3978" s="9" t="s">
        <v>17012</v>
      </c>
      <c r="G3978" s="9" t="s">
        <v>1341</v>
      </c>
      <c r="H3978" s="2" t="s">
        <v>60</v>
      </c>
      <c r="I3978" s="3">
        <v>37281</v>
      </c>
      <c r="J3978" s="9" t="str">
        <f t="shared" ca="1" si="65"/>
        <v>21 ans</v>
      </c>
      <c r="K3978" s="2" t="s">
        <v>262</v>
      </c>
      <c r="L3978" s="2" t="str">
        <f>"2447"</f>
        <v>2447</v>
      </c>
      <c r="M3978" s="2"/>
      <c r="N3978" s="2" t="str">
        <f>"RUE MADELEINE"</f>
        <v>RUE MADELEINE</v>
      </c>
      <c r="O3978" s="2" t="s">
        <v>16565</v>
      </c>
      <c r="P3978" s="9" t="str">
        <f>VLOOKUP($O3978,'Liste des Villes'!$B$2:$B$1128,1,FALSE)</f>
        <v>Laval</v>
      </c>
      <c r="Q3978" s="9" t="str">
        <f>IFERROR($P3978,PROPER(VLOOKUP($O3978,'Villes en erreur'!$A$2:$B$72,2,FALSE)))</f>
        <v>Laval</v>
      </c>
      <c r="R3978" s="9" t="s">
        <v>16566</v>
      </c>
      <c r="S3978" s="9" t="str">
        <f>IF(ISBLANK($R3978),"",VLOOKUP($R3978,'Liste des Villes'!$B$2:$H$1128,4,FALSE))</f>
        <v>Laval</v>
      </c>
      <c r="T3978" s="2" t="s">
        <v>16639</v>
      </c>
      <c r="U3978" s="2" t="s">
        <v>39</v>
      </c>
      <c r="V3978" s="2" t="s">
        <v>40</v>
      </c>
      <c r="W3978" s="2" t="s">
        <v>17013</v>
      </c>
      <c r="X3978" s="2"/>
      <c r="Y3978" s="2"/>
      <c r="Z3978" s="2"/>
      <c r="AA3978" s="2" t="s">
        <v>708</v>
      </c>
      <c r="AB3978" s="2" t="s">
        <v>709</v>
      </c>
      <c r="AC3978" s="4" t="s">
        <v>44</v>
      </c>
    </row>
    <row r="3979" spans="1:29" x14ac:dyDescent="0.25">
      <c r="A3979" s="1">
        <v>1394</v>
      </c>
      <c r="B3979" s="17" t="s">
        <v>17014</v>
      </c>
      <c r="C3979" s="2" t="s">
        <v>3842</v>
      </c>
      <c r="D3979" s="15" t="s">
        <v>31</v>
      </c>
      <c r="E3979" s="9" t="s">
        <v>2635</v>
      </c>
      <c r="F3979" s="9" t="s">
        <v>1716</v>
      </c>
      <c r="G3979" s="9" t="s">
        <v>532</v>
      </c>
      <c r="H3979" s="2" t="s">
        <v>35</v>
      </c>
      <c r="I3979" s="3">
        <v>37315</v>
      </c>
      <c r="J3979" s="9" t="str">
        <f t="shared" ca="1" si="65"/>
        <v>21 ans</v>
      </c>
      <c r="K3979" s="2" t="s">
        <v>262</v>
      </c>
      <c r="L3979" s="2" t="str">
        <f>"3216"</f>
        <v>3216</v>
      </c>
      <c r="M3979" s="2"/>
      <c r="N3979" s="2" t="str">
        <f>"RUE MAURICE CULLEN"</f>
        <v>RUE MAURICE CULLEN</v>
      </c>
      <c r="O3979" s="2" t="s">
        <v>16565</v>
      </c>
      <c r="P3979" s="9" t="str">
        <f>VLOOKUP($O3979,'Liste des Villes'!$B$2:$B$1128,1,FALSE)</f>
        <v>Laval</v>
      </c>
      <c r="Q3979" s="9" t="str">
        <f>IFERROR($P3979,PROPER(VLOOKUP($O3979,'Villes en erreur'!$A$2:$B$72,2,FALSE)))</f>
        <v>Laval</v>
      </c>
      <c r="R3979" s="9" t="s">
        <v>16566</v>
      </c>
      <c r="S3979" s="9" t="str">
        <f>IF(ISBLANK($R3979),"",VLOOKUP($R3979,'Liste des Villes'!$B$2:$H$1128,4,FALSE))</f>
        <v>Laval</v>
      </c>
      <c r="T3979" s="2" t="s">
        <v>16924</v>
      </c>
      <c r="U3979" s="2" t="s">
        <v>39</v>
      </c>
      <c r="V3979" s="2" t="s">
        <v>40</v>
      </c>
      <c r="W3979" s="2" t="s">
        <v>17015</v>
      </c>
      <c r="X3979" s="2" t="str">
        <f>"4387771599"</f>
        <v>4387771599</v>
      </c>
      <c r="Y3979" s="2" t="str">
        <f>"8192104592"</f>
        <v>8192104592</v>
      </c>
      <c r="Z3979" s="2"/>
      <c r="AA3979" s="2" t="s">
        <v>708</v>
      </c>
      <c r="AB3979" s="2" t="s">
        <v>16576</v>
      </c>
      <c r="AC3979" s="4" t="s">
        <v>44</v>
      </c>
    </row>
    <row r="3980" spans="1:29" x14ac:dyDescent="0.25">
      <c r="A3980" s="1">
        <v>2079</v>
      </c>
      <c r="B3980" s="17" t="s">
        <v>17016</v>
      </c>
      <c r="C3980" s="2" t="s">
        <v>17017</v>
      </c>
      <c r="D3980" s="15" t="s">
        <v>8543</v>
      </c>
      <c r="E3980" s="9" t="s">
        <v>3844</v>
      </c>
      <c r="F3980" s="9" t="s">
        <v>8541</v>
      </c>
      <c r="G3980" s="9" t="s">
        <v>2422</v>
      </c>
      <c r="H3980" s="2" t="s">
        <v>35</v>
      </c>
      <c r="I3980" s="3">
        <v>37325</v>
      </c>
      <c r="J3980" s="9" t="str">
        <f t="shared" ca="1" si="65"/>
        <v>21 ans</v>
      </c>
      <c r="K3980" s="2" t="s">
        <v>262</v>
      </c>
      <c r="L3980" s="2" t="str">
        <f>"3466"</f>
        <v>3466</v>
      </c>
      <c r="M3980" s="2"/>
      <c r="N3980" s="2" t="str">
        <f>"RUE MELANÇON"</f>
        <v>RUE MELANÇON</v>
      </c>
      <c r="O3980" s="2" t="s">
        <v>16565</v>
      </c>
      <c r="P3980" s="9" t="str">
        <f>VLOOKUP($O3980,'Liste des Villes'!$B$2:$B$1128,1,FALSE)</f>
        <v>Laval</v>
      </c>
      <c r="Q3980" s="9" t="str">
        <f>IFERROR($P3980,PROPER(VLOOKUP($O3980,'Villes en erreur'!$A$2:$B$72,2,FALSE)))</f>
        <v>Laval</v>
      </c>
      <c r="R3980" s="9" t="s">
        <v>16566</v>
      </c>
      <c r="S3980" s="9" t="str">
        <f>IF(ISBLANK($R3980),"",VLOOKUP($R3980,'Liste des Villes'!$B$2:$H$1128,4,FALSE))</f>
        <v>Laval</v>
      </c>
      <c r="T3980" s="2" t="s">
        <v>16696</v>
      </c>
      <c r="U3980" s="2" t="s">
        <v>39</v>
      </c>
      <c r="V3980" s="2" t="s">
        <v>40</v>
      </c>
      <c r="W3980" s="2" t="s">
        <v>17018</v>
      </c>
      <c r="X3980" s="2" t="str">
        <f>"4388884764"</f>
        <v>4388884764</v>
      </c>
      <c r="Y3980" s="2" t="str">
        <f>"5149709075"</f>
        <v>5149709075</v>
      </c>
      <c r="Z3980" s="2"/>
      <c r="AA3980" s="2" t="s">
        <v>708</v>
      </c>
      <c r="AB3980" s="2" t="s">
        <v>16576</v>
      </c>
      <c r="AC3980" s="4" t="s">
        <v>44</v>
      </c>
    </row>
    <row r="3981" spans="1:29" x14ac:dyDescent="0.25">
      <c r="A3981" s="1">
        <v>1769</v>
      </c>
      <c r="B3981" s="17" t="s">
        <v>17019</v>
      </c>
      <c r="C3981" s="2" t="s">
        <v>5020</v>
      </c>
      <c r="D3981" s="15" t="s">
        <v>5021</v>
      </c>
      <c r="E3981" s="9" t="s">
        <v>196</v>
      </c>
      <c r="F3981" s="9" t="s">
        <v>12816</v>
      </c>
      <c r="G3981" s="9" t="s">
        <v>2114</v>
      </c>
      <c r="H3981" s="2" t="s">
        <v>60</v>
      </c>
      <c r="I3981" s="3">
        <v>37288</v>
      </c>
      <c r="J3981" s="9" t="str">
        <f t="shared" ca="1" si="65"/>
        <v>21 ans</v>
      </c>
      <c r="K3981" s="2" t="s">
        <v>262</v>
      </c>
      <c r="L3981" s="2" t="str">
        <f>"2551"</f>
        <v>2551</v>
      </c>
      <c r="M3981" s="2"/>
      <c r="N3981" s="2" t="str">
        <f>"RUE MARC ANDRÉ"</f>
        <v>RUE MARC ANDRÉ</v>
      </c>
      <c r="O3981" s="2" t="s">
        <v>16565</v>
      </c>
      <c r="P3981" s="9" t="str">
        <f>VLOOKUP($O3981,'Liste des Villes'!$B$2:$B$1128,1,FALSE)</f>
        <v>Laval</v>
      </c>
      <c r="Q3981" s="9" t="str">
        <f>IFERROR($P3981,PROPER(VLOOKUP($O3981,'Villes en erreur'!$A$2:$B$72,2,FALSE)))</f>
        <v>Laval</v>
      </c>
      <c r="R3981" s="9" t="s">
        <v>16566</v>
      </c>
      <c r="S3981" s="9" t="str">
        <f>IF(ISBLANK($R3981),"",VLOOKUP($R3981,'Liste des Villes'!$B$2:$H$1128,4,FALSE))</f>
        <v>Laval</v>
      </c>
      <c r="T3981" s="2" t="s">
        <v>17003</v>
      </c>
      <c r="U3981" s="2" t="s">
        <v>39</v>
      </c>
      <c r="V3981" s="2" t="s">
        <v>40</v>
      </c>
      <c r="W3981" s="2" t="s">
        <v>17020</v>
      </c>
      <c r="X3981" s="2" t="str">
        <f>"4383223547"</f>
        <v>4383223547</v>
      </c>
      <c r="Y3981" s="2"/>
      <c r="Z3981" s="2"/>
      <c r="AA3981" s="2" t="s">
        <v>708</v>
      </c>
      <c r="AB3981" s="2" t="s">
        <v>709</v>
      </c>
      <c r="AC3981" s="4" t="s">
        <v>44</v>
      </c>
    </row>
    <row r="3982" spans="1:29" x14ac:dyDescent="0.25">
      <c r="A3982" s="1">
        <v>568</v>
      </c>
      <c r="B3982" s="17" t="s">
        <v>17021</v>
      </c>
      <c r="C3982" s="2" t="s">
        <v>17022</v>
      </c>
      <c r="D3982" s="15" t="s">
        <v>1098</v>
      </c>
      <c r="E3982" s="9" t="s">
        <v>11525</v>
      </c>
      <c r="F3982" s="9" t="s">
        <v>1800</v>
      </c>
      <c r="G3982" s="9" t="s">
        <v>196</v>
      </c>
      <c r="H3982" s="2" t="s">
        <v>35</v>
      </c>
      <c r="I3982" s="3">
        <v>37326</v>
      </c>
      <c r="J3982" s="9" t="str">
        <f t="shared" ca="1" si="65"/>
        <v>21 ans</v>
      </c>
      <c r="K3982" s="2" t="s">
        <v>262</v>
      </c>
      <c r="L3982" s="2" t="str">
        <f>"3495"</f>
        <v>3495</v>
      </c>
      <c r="M3982" s="2"/>
      <c r="N3982" s="2" t="str">
        <f>"rue Mélanie"</f>
        <v>rue Mélanie</v>
      </c>
      <c r="O3982" s="2" t="s">
        <v>16565</v>
      </c>
      <c r="P3982" s="9" t="str">
        <f>VLOOKUP($O3982,'Liste des Villes'!$B$2:$B$1128,1,FALSE)</f>
        <v>Laval</v>
      </c>
      <c r="Q3982" s="9" t="str">
        <f>IFERROR($P3982,PROPER(VLOOKUP($O3982,'Villes en erreur'!$A$2:$B$72,2,FALSE)))</f>
        <v>Laval</v>
      </c>
      <c r="R3982" s="9" t="s">
        <v>16566</v>
      </c>
      <c r="S3982" s="9" t="str">
        <f>IF(ISBLANK($R3982),"",VLOOKUP($R3982,'Liste des Villes'!$B$2:$H$1128,4,FALSE))</f>
        <v>Laval</v>
      </c>
      <c r="T3982" s="2" t="s">
        <v>16691</v>
      </c>
      <c r="U3982" s="2" t="s">
        <v>39</v>
      </c>
      <c r="V3982" s="2" t="s">
        <v>40</v>
      </c>
      <c r="W3982" s="2" t="s">
        <v>17023</v>
      </c>
      <c r="X3982" s="2" t="str">
        <f>"4389389570"</f>
        <v>4389389570</v>
      </c>
      <c r="Y3982" s="2" t="str">
        <f>"5149535435"</f>
        <v>5149535435</v>
      </c>
      <c r="Z3982" s="2"/>
      <c r="AA3982" s="2" t="s">
        <v>708</v>
      </c>
      <c r="AB3982" s="2" t="s">
        <v>16576</v>
      </c>
      <c r="AC3982" s="4" t="s">
        <v>44</v>
      </c>
    </row>
    <row r="3983" spans="1:29" x14ac:dyDescent="0.25">
      <c r="A3983" s="1">
        <v>4614</v>
      </c>
      <c r="B3983" s="17" t="s">
        <v>17024</v>
      </c>
      <c r="C3983" s="2" t="s">
        <v>17025</v>
      </c>
      <c r="D3983" s="15" t="s">
        <v>13428</v>
      </c>
      <c r="E3983" s="9" t="s">
        <v>11195</v>
      </c>
      <c r="F3983" s="9" t="s">
        <v>1977</v>
      </c>
      <c r="G3983" s="9" t="s">
        <v>277</v>
      </c>
      <c r="H3983" s="2" t="s">
        <v>60</v>
      </c>
      <c r="I3983" s="3">
        <v>37299</v>
      </c>
      <c r="J3983" s="9" t="str">
        <f t="shared" ca="1" si="65"/>
        <v>21 ans</v>
      </c>
      <c r="K3983" s="2" t="s">
        <v>262</v>
      </c>
      <c r="L3983" s="2" t="str">
        <f>"2770"</f>
        <v>2770</v>
      </c>
      <c r="M3983" s="2"/>
      <c r="N3983" s="2" t="str">
        <f>"RUE MARCELLE-FERRON"</f>
        <v>RUE MARCELLE-FERRON</v>
      </c>
      <c r="O3983" s="2" t="s">
        <v>16565</v>
      </c>
      <c r="P3983" s="9" t="str">
        <f>VLOOKUP($O3983,'Liste des Villes'!$B$2:$B$1128,1,FALSE)</f>
        <v>Laval</v>
      </c>
      <c r="Q3983" s="9" t="str">
        <f>IFERROR($P3983,PROPER(VLOOKUP($O3983,'Villes en erreur'!$A$2:$B$72,2,FALSE)))</f>
        <v>Laval</v>
      </c>
      <c r="R3983" s="9" t="s">
        <v>16566</v>
      </c>
      <c r="S3983" s="9" t="str">
        <f>IF(ISBLANK($R3983),"",VLOOKUP($R3983,'Liste des Villes'!$B$2:$H$1128,4,FALSE))</f>
        <v>Laval</v>
      </c>
      <c r="T3983" s="2" t="s">
        <v>16660</v>
      </c>
      <c r="U3983" s="2" t="s">
        <v>39</v>
      </c>
      <c r="V3983" s="2" t="s">
        <v>40</v>
      </c>
      <c r="W3983" s="2" t="s">
        <v>17026</v>
      </c>
      <c r="X3983" s="2" t="str">
        <f>"4384052779"</f>
        <v>4384052779</v>
      </c>
      <c r="Y3983" s="2" t="str">
        <f>"8196600940"</f>
        <v>8196600940</v>
      </c>
      <c r="Z3983" s="2"/>
      <c r="AA3983" s="2" t="s">
        <v>708</v>
      </c>
      <c r="AB3983" s="2" t="s">
        <v>709</v>
      </c>
      <c r="AC3983" s="4" t="s">
        <v>44</v>
      </c>
    </row>
    <row r="3984" spans="1:29" x14ac:dyDescent="0.25">
      <c r="A3984" s="1">
        <v>3664</v>
      </c>
      <c r="B3984" s="17" t="s">
        <v>17027</v>
      </c>
      <c r="C3984" s="2" t="s">
        <v>17028</v>
      </c>
      <c r="D3984" s="15" t="s">
        <v>4522</v>
      </c>
      <c r="E3984" s="9" t="s">
        <v>8941</v>
      </c>
      <c r="F3984" s="9" t="s">
        <v>11122</v>
      </c>
      <c r="G3984" s="9" t="s">
        <v>10970</v>
      </c>
      <c r="H3984" s="2" t="s">
        <v>60</v>
      </c>
      <c r="I3984" s="3">
        <v>37287</v>
      </c>
      <c r="J3984" s="9" t="str">
        <f t="shared" ca="1" si="65"/>
        <v>21 ans</v>
      </c>
      <c r="K3984" s="2" t="s">
        <v>262</v>
      </c>
      <c r="L3984" s="2" t="str">
        <f>"2515"</f>
        <v>2515</v>
      </c>
      <c r="M3984" s="2"/>
      <c r="N3984" s="2" t="str">
        <f>"RUE MAJOR"</f>
        <v>RUE MAJOR</v>
      </c>
      <c r="O3984" s="2" t="s">
        <v>16565</v>
      </c>
      <c r="P3984" s="9" t="str">
        <f>VLOOKUP($O3984,'Liste des Villes'!$B$2:$B$1128,1,FALSE)</f>
        <v>Laval</v>
      </c>
      <c r="Q3984" s="9" t="str">
        <f>IFERROR($P3984,PROPER(VLOOKUP($O3984,'Villes en erreur'!$A$2:$B$72,2,FALSE)))</f>
        <v>Laval</v>
      </c>
      <c r="R3984" s="9" t="s">
        <v>16566</v>
      </c>
      <c r="S3984" s="9" t="str">
        <f>IF(ISBLANK($R3984),"",VLOOKUP($R3984,'Liste des Villes'!$B$2:$H$1128,4,FALSE))</f>
        <v>Laval</v>
      </c>
      <c r="T3984" s="2" t="s">
        <v>17029</v>
      </c>
      <c r="U3984" s="2" t="s">
        <v>39</v>
      </c>
      <c r="V3984" s="2" t="s">
        <v>40</v>
      </c>
      <c r="W3984" s="2" t="s">
        <v>17030</v>
      </c>
      <c r="X3984" s="2"/>
      <c r="Y3984" s="2"/>
      <c r="Z3984" s="2"/>
      <c r="AA3984" s="2" t="s">
        <v>708</v>
      </c>
      <c r="AB3984" s="2" t="s">
        <v>709</v>
      </c>
      <c r="AC3984" s="4" t="s">
        <v>44</v>
      </c>
    </row>
    <row r="3985" spans="1:29" x14ac:dyDescent="0.25">
      <c r="A3985" s="1">
        <v>843</v>
      </c>
      <c r="B3985" s="17" t="s">
        <v>17031</v>
      </c>
      <c r="C3985" s="2" t="s">
        <v>17032</v>
      </c>
      <c r="D3985" s="15" t="s">
        <v>977</v>
      </c>
      <c r="E3985" s="9" t="s">
        <v>3886</v>
      </c>
      <c r="F3985" s="9" t="s">
        <v>13945</v>
      </c>
      <c r="G3985" s="9" t="s">
        <v>226</v>
      </c>
      <c r="H3985" s="2" t="s">
        <v>60</v>
      </c>
      <c r="I3985" s="3">
        <v>37309</v>
      </c>
      <c r="J3985" s="9" t="str">
        <f t="shared" ca="1" si="65"/>
        <v>21 ans</v>
      </c>
      <c r="K3985" s="2" t="s">
        <v>262</v>
      </c>
      <c r="L3985" s="2" t="str">
        <f>"3031"</f>
        <v>3031</v>
      </c>
      <c r="M3985" s="2"/>
      <c r="N3985" s="2" t="str">
        <f>"RUE MARY"</f>
        <v>RUE MARY</v>
      </c>
      <c r="O3985" s="2" t="s">
        <v>16565</v>
      </c>
      <c r="P3985" s="9" t="str">
        <f>VLOOKUP($O3985,'Liste des Villes'!$B$2:$B$1128,1,FALSE)</f>
        <v>Laval</v>
      </c>
      <c r="Q3985" s="9" t="str">
        <f>IFERROR($P3985,PROPER(VLOOKUP($O3985,'Villes en erreur'!$A$2:$B$72,2,FALSE)))</f>
        <v>Laval</v>
      </c>
      <c r="R3985" s="9" t="s">
        <v>16566</v>
      </c>
      <c r="S3985" s="9" t="str">
        <f>IF(ISBLANK($R3985),"",VLOOKUP($R3985,'Liste des Villes'!$B$2:$H$1128,4,FALSE))</f>
        <v>Laval</v>
      </c>
      <c r="T3985" s="2" t="s">
        <v>17033</v>
      </c>
      <c r="U3985" s="2" t="s">
        <v>39</v>
      </c>
      <c r="V3985" s="2" t="s">
        <v>40</v>
      </c>
      <c r="W3985" s="2" t="s">
        <v>17034</v>
      </c>
      <c r="X3985" s="2" t="str">
        <f>"4385054058"</f>
        <v>4385054058</v>
      </c>
      <c r="Y3985" s="2" t="str">
        <f>"8193223691"</f>
        <v>8193223691</v>
      </c>
      <c r="Z3985" s="2"/>
      <c r="AA3985" s="2" t="s">
        <v>708</v>
      </c>
      <c r="AB3985" s="2" t="s">
        <v>16576</v>
      </c>
      <c r="AC3985" s="4" t="s">
        <v>44</v>
      </c>
    </row>
    <row r="3986" spans="1:29" x14ac:dyDescent="0.25">
      <c r="A3986" s="1">
        <v>1073</v>
      </c>
      <c r="B3986" s="17" t="s">
        <v>17035</v>
      </c>
      <c r="C3986" s="2" t="s">
        <v>17036</v>
      </c>
      <c r="D3986" s="15" t="s">
        <v>1966</v>
      </c>
      <c r="E3986" s="9" t="s">
        <v>15003</v>
      </c>
      <c r="F3986" s="9" t="s">
        <v>1964</v>
      </c>
      <c r="G3986" s="9" t="s">
        <v>15406</v>
      </c>
      <c r="H3986" s="2" t="s">
        <v>60</v>
      </c>
      <c r="I3986" s="3">
        <v>37307</v>
      </c>
      <c r="J3986" s="9" t="str">
        <f t="shared" ca="1" si="65"/>
        <v>21 ans</v>
      </c>
      <c r="K3986" s="2" t="s">
        <v>262</v>
      </c>
      <c r="L3986" s="2" t="str">
        <f>"2956"</f>
        <v>2956</v>
      </c>
      <c r="M3986" s="2"/>
      <c r="N3986" s="2" t="str">
        <f>"RUE MARIUS-BARBEAU"</f>
        <v>RUE MARIUS-BARBEAU</v>
      </c>
      <c r="O3986" s="2" t="s">
        <v>16565</v>
      </c>
      <c r="P3986" s="9" t="str">
        <f>VLOOKUP($O3986,'Liste des Villes'!$B$2:$B$1128,1,FALSE)</f>
        <v>Laval</v>
      </c>
      <c r="Q3986" s="9" t="str">
        <f>IFERROR($P3986,PROPER(VLOOKUP($O3986,'Villes en erreur'!$A$2:$B$72,2,FALSE)))</f>
        <v>Laval</v>
      </c>
      <c r="R3986" s="9" t="s">
        <v>16566</v>
      </c>
      <c r="S3986" s="9" t="str">
        <f>IF(ISBLANK($R3986),"",VLOOKUP($R3986,'Liste des Villes'!$B$2:$H$1128,4,FALSE))</f>
        <v>Laval</v>
      </c>
      <c r="T3986" s="2" t="s">
        <v>16753</v>
      </c>
      <c r="U3986" s="2" t="s">
        <v>39</v>
      </c>
      <c r="V3986" s="2" t="s">
        <v>40</v>
      </c>
      <c r="W3986" s="2" t="s">
        <v>17037</v>
      </c>
      <c r="X3986" s="2" t="str">
        <f>"4385018338"</f>
        <v>4385018338</v>
      </c>
      <c r="Y3986" s="2" t="str">
        <f>"8193246517"</f>
        <v>8193246517</v>
      </c>
      <c r="Z3986" s="2"/>
      <c r="AA3986" s="2" t="s">
        <v>708</v>
      </c>
      <c r="AB3986" s="2" t="s">
        <v>16576</v>
      </c>
      <c r="AC3986" s="4" t="s">
        <v>44</v>
      </c>
    </row>
    <row r="3987" spans="1:29" x14ac:dyDescent="0.25">
      <c r="A3987" s="1">
        <v>233</v>
      </c>
      <c r="B3987" s="17" t="s">
        <v>17038</v>
      </c>
      <c r="C3987" s="2" t="s">
        <v>568</v>
      </c>
      <c r="D3987" s="15" t="s">
        <v>569</v>
      </c>
      <c r="E3987" s="9" t="s">
        <v>570</v>
      </c>
      <c r="F3987" s="9" t="s">
        <v>4967</v>
      </c>
      <c r="G3987" s="9" t="s">
        <v>7397</v>
      </c>
      <c r="H3987" s="2" t="s">
        <v>35</v>
      </c>
      <c r="I3987" s="3">
        <v>37291</v>
      </c>
      <c r="J3987" s="9" t="str">
        <f t="shared" ca="1" si="65"/>
        <v>21 ans</v>
      </c>
      <c r="K3987" s="2" t="s">
        <v>262</v>
      </c>
      <c r="L3987" s="2" t="str">
        <f>"2591"</f>
        <v>2591</v>
      </c>
      <c r="M3987" s="2"/>
      <c r="N3987" s="2" t="str">
        <f>"RUE MARC-ANDRÉ"</f>
        <v>RUE MARC-ANDRÉ</v>
      </c>
      <c r="O3987" s="2" t="s">
        <v>16565</v>
      </c>
      <c r="P3987" s="9" t="str">
        <f>VLOOKUP($O3987,'Liste des Villes'!$B$2:$B$1128,1,FALSE)</f>
        <v>Laval</v>
      </c>
      <c r="Q3987" s="9" t="str">
        <f>IFERROR($P3987,PROPER(VLOOKUP($O3987,'Villes en erreur'!$A$2:$B$72,2,FALSE)))</f>
        <v>Laval</v>
      </c>
      <c r="R3987" s="9" t="s">
        <v>16566</v>
      </c>
      <c r="S3987" s="9" t="str">
        <f>IF(ISBLANK($R3987),"",VLOOKUP($R3987,'Liste des Villes'!$B$2:$H$1128,4,FALSE))</f>
        <v>Laval</v>
      </c>
      <c r="T3987" s="2" t="s">
        <v>16832</v>
      </c>
      <c r="U3987" s="2" t="s">
        <v>39</v>
      </c>
      <c r="V3987" s="2" t="s">
        <v>40</v>
      </c>
      <c r="W3987" s="2" t="s">
        <v>17039</v>
      </c>
      <c r="X3987" s="2" t="str">
        <f>"4383906790"</f>
        <v>4383906790</v>
      </c>
      <c r="Y3987" s="2"/>
      <c r="Z3987" s="2"/>
      <c r="AA3987" s="2" t="s">
        <v>708</v>
      </c>
      <c r="AB3987" s="2" t="s">
        <v>709</v>
      </c>
      <c r="AC3987" s="4" t="s">
        <v>44</v>
      </c>
    </row>
    <row r="3988" spans="1:29" x14ac:dyDescent="0.25">
      <c r="A3988" s="1">
        <v>2225</v>
      </c>
      <c r="B3988" s="17" t="s">
        <v>17040</v>
      </c>
      <c r="C3988" s="2" t="s">
        <v>2901</v>
      </c>
      <c r="D3988" s="15" t="s">
        <v>2181</v>
      </c>
      <c r="E3988" s="9" t="s">
        <v>380</v>
      </c>
      <c r="F3988" s="9" t="s">
        <v>304</v>
      </c>
      <c r="G3988" s="9" t="s">
        <v>277</v>
      </c>
      <c r="H3988" s="2" t="s">
        <v>60</v>
      </c>
      <c r="I3988" s="3">
        <v>37294</v>
      </c>
      <c r="J3988" s="9" t="str">
        <f t="shared" ca="1" si="65"/>
        <v>21 ans</v>
      </c>
      <c r="K3988" s="2" t="s">
        <v>262</v>
      </c>
      <c r="L3988" s="2" t="str">
        <f>"2620"</f>
        <v>2620</v>
      </c>
      <c r="M3988" s="2"/>
      <c r="N3988" s="2" t="str">
        <f>"RUE MARCEL"</f>
        <v>RUE MARCEL</v>
      </c>
      <c r="O3988" s="2" t="s">
        <v>16565</v>
      </c>
      <c r="P3988" s="9" t="str">
        <f>VLOOKUP($O3988,'Liste des Villes'!$B$2:$B$1128,1,FALSE)</f>
        <v>Laval</v>
      </c>
      <c r="Q3988" s="9" t="str">
        <f>IFERROR($P3988,PROPER(VLOOKUP($O3988,'Villes en erreur'!$A$2:$B$72,2,FALSE)))</f>
        <v>Laval</v>
      </c>
      <c r="R3988" s="9" t="s">
        <v>16566</v>
      </c>
      <c r="S3988" s="9" t="str">
        <f>IF(ISBLANK($R3988),"",VLOOKUP($R3988,'Liste des Villes'!$B$2:$H$1128,4,FALSE))</f>
        <v>Laval</v>
      </c>
      <c r="T3988" s="2" t="s">
        <v>17041</v>
      </c>
      <c r="U3988" s="2" t="s">
        <v>39</v>
      </c>
      <c r="V3988" s="2" t="s">
        <v>40</v>
      </c>
      <c r="W3988" s="2" t="s">
        <v>17042</v>
      </c>
      <c r="X3988" s="2" t="str">
        <f>"4383955535"</f>
        <v>4383955535</v>
      </c>
      <c r="Y3988" s="2" t="str">
        <f>"4504318200 x22487"</f>
        <v>4504318200 x22487</v>
      </c>
      <c r="Z3988" s="2"/>
      <c r="AA3988" s="2" t="s">
        <v>708</v>
      </c>
      <c r="AB3988" s="2" t="s">
        <v>709</v>
      </c>
      <c r="AC3988" s="4" t="s">
        <v>44</v>
      </c>
    </row>
    <row r="3989" spans="1:29" x14ac:dyDescent="0.25">
      <c r="A3989" s="1">
        <v>2117</v>
      </c>
      <c r="B3989" s="17" t="s">
        <v>17043</v>
      </c>
      <c r="C3989" s="2" t="s">
        <v>3417</v>
      </c>
      <c r="D3989" s="15" t="s">
        <v>3418</v>
      </c>
      <c r="E3989" s="9" t="s">
        <v>3274</v>
      </c>
      <c r="F3989" s="9" t="s">
        <v>3419</v>
      </c>
      <c r="G3989" s="9" t="s">
        <v>277</v>
      </c>
      <c r="H3989" s="2" t="s">
        <v>60</v>
      </c>
      <c r="I3989" s="3">
        <v>37295</v>
      </c>
      <c r="J3989" s="9" t="str">
        <f t="shared" ca="1" si="65"/>
        <v>21 ans</v>
      </c>
      <c r="K3989" s="2" t="s">
        <v>262</v>
      </c>
      <c r="L3989" s="2" t="str">
        <f>"2675"</f>
        <v>2675</v>
      </c>
      <c r="M3989" s="2"/>
      <c r="N3989" s="2" t="str">
        <f>"RUE MARCEL"</f>
        <v>RUE MARCEL</v>
      </c>
      <c r="O3989" s="2" t="s">
        <v>16565</v>
      </c>
      <c r="P3989" s="9" t="str">
        <f>VLOOKUP($O3989,'Liste des Villes'!$B$2:$B$1128,1,FALSE)</f>
        <v>Laval</v>
      </c>
      <c r="Q3989" s="9" t="str">
        <f>IFERROR($P3989,PROPER(VLOOKUP($O3989,'Villes en erreur'!$A$2:$B$72,2,FALSE)))</f>
        <v>Laval</v>
      </c>
      <c r="R3989" s="9" t="s">
        <v>16566</v>
      </c>
      <c r="S3989" s="9" t="str">
        <f>IF(ISBLANK($R3989),"",VLOOKUP($R3989,'Liste des Villes'!$B$2:$H$1128,4,FALSE))</f>
        <v>Laval</v>
      </c>
      <c r="T3989" s="2" t="s">
        <v>16850</v>
      </c>
      <c r="U3989" s="2" t="s">
        <v>39</v>
      </c>
      <c r="V3989" s="2" t="s">
        <v>40</v>
      </c>
      <c r="W3989" s="2" t="s">
        <v>17044</v>
      </c>
      <c r="X3989" s="2" t="str">
        <f>"4383957846"</f>
        <v>4383957846</v>
      </c>
      <c r="Y3989" s="2" t="str">
        <f>"10021629471234"</f>
        <v>10021629471234</v>
      </c>
      <c r="Z3989" s="2"/>
      <c r="AA3989" s="2" t="s">
        <v>708</v>
      </c>
      <c r="AB3989" s="2" t="s">
        <v>709</v>
      </c>
      <c r="AC3989" s="4" t="s">
        <v>44</v>
      </c>
    </row>
    <row r="3990" spans="1:29" x14ac:dyDescent="0.25">
      <c r="A3990" s="1">
        <v>3581</v>
      </c>
      <c r="B3990" s="17" t="s">
        <v>17045</v>
      </c>
      <c r="C3990" s="2" t="s">
        <v>954</v>
      </c>
      <c r="D3990" s="15" t="s">
        <v>955</v>
      </c>
      <c r="E3990" s="9" t="s">
        <v>956</v>
      </c>
      <c r="F3990" s="9" t="s">
        <v>957</v>
      </c>
      <c r="G3990" s="9" t="s">
        <v>12161</v>
      </c>
      <c r="H3990" s="2" t="s">
        <v>35</v>
      </c>
      <c r="I3990" s="3">
        <v>37308</v>
      </c>
      <c r="J3990" s="9" t="str">
        <f t="shared" ca="1" si="65"/>
        <v>21 ans</v>
      </c>
      <c r="K3990" s="2" t="s">
        <v>262</v>
      </c>
      <c r="L3990" s="2" t="str">
        <f>"3020"</f>
        <v>3020</v>
      </c>
      <c r="M3990" s="2"/>
      <c r="N3990" s="2" t="str">
        <f>"RUE MARTINE"</f>
        <v>RUE MARTINE</v>
      </c>
      <c r="O3990" s="2" t="s">
        <v>16565</v>
      </c>
      <c r="P3990" s="9" t="str">
        <f>VLOOKUP($O3990,'Liste des Villes'!$B$2:$B$1128,1,FALSE)</f>
        <v>Laval</v>
      </c>
      <c r="Q3990" s="9" t="str">
        <f>IFERROR($P3990,PROPER(VLOOKUP($O3990,'Villes en erreur'!$A$2:$B$72,2,FALSE)))</f>
        <v>Laval</v>
      </c>
      <c r="R3990" s="9" t="s">
        <v>16566</v>
      </c>
      <c r="S3990" s="9" t="str">
        <f>IF(ISBLANK($R3990),"",VLOOKUP($R3990,'Liste des Villes'!$B$2:$H$1128,4,FALSE))</f>
        <v>Laval</v>
      </c>
      <c r="T3990" s="2" t="s">
        <v>17046</v>
      </c>
      <c r="U3990" s="2" t="s">
        <v>39</v>
      </c>
      <c r="V3990" s="2" t="s">
        <v>40</v>
      </c>
      <c r="W3990" s="2" t="s">
        <v>17047</v>
      </c>
      <c r="X3990" s="2" t="str">
        <f>"4385029606"</f>
        <v>4385029606</v>
      </c>
      <c r="Y3990" s="2" t="str">
        <f>"8193231791"</f>
        <v>8193231791</v>
      </c>
      <c r="Z3990" s="2"/>
      <c r="AA3990" s="2" t="s">
        <v>708</v>
      </c>
      <c r="AB3990" s="2" t="s">
        <v>16576</v>
      </c>
      <c r="AC3990" s="4" t="s">
        <v>44</v>
      </c>
    </row>
    <row r="3991" spans="1:29" x14ac:dyDescent="0.25">
      <c r="A3991" s="1">
        <v>412</v>
      </c>
      <c r="B3991" s="17" t="s">
        <v>17048</v>
      </c>
      <c r="C3991" s="2" t="s">
        <v>17049</v>
      </c>
      <c r="D3991" s="15" t="s">
        <v>166</v>
      </c>
      <c r="E3991" s="9" t="s">
        <v>8989</v>
      </c>
      <c r="F3991" s="9" t="s">
        <v>164</v>
      </c>
      <c r="G3991" s="9" t="s">
        <v>1341</v>
      </c>
      <c r="H3991" s="2" t="s">
        <v>60</v>
      </c>
      <c r="I3991" s="3">
        <v>37280</v>
      </c>
      <c r="J3991" s="9" t="str">
        <f t="shared" ca="1" si="65"/>
        <v>21 ans</v>
      </c>
      <c r="K3991" s="2" t="s">
        <v>262</v>
      </c>
      <c r="L3991" s="2" t="str">
        <f>"2440"</f>
        <v>2440</v>
      </c>
      <c r="M3991" s="2"/>
      <c r="N3991" s="2" t="str">
        <f>"RUE MADELEINE"</f>
        <v>RUE MADELEINE</v>
      </c>
      <c r="O3991" s="2" t="s">
        <v>16565</v>
      </c>
      <c r="P3991" s="9" t="str">
        <f>VLOOKUP($O3991,'Liste des Villes'!$B$2:$B$1128,1,FALSE)</f>
        <v>Laval</v>
      </c>
      <c r="Q3991" s="9" t="str">
        <f>IFERROR($P3991,PROPER(VLOOKUP($O3991,'Villes en erreur'!$A$2:$B$72,2,FALSE)))</f>
        <v>Laval</v>
      </c>
      <c r="R3991" s="9" t="s">
        <v>16566</v>
      </c>
      <c r="S3991" s="9" t="str">
        <f>IF(ISBLANK($R3991),"",VLOOKUP($R3991,'Liste des Villes'!$B$2:$H$1128,4,FALSE))</f>
        <v>Laval</v>
      </c>
      <c r="T3991" s="2" t="s">
        <v>16707</v>
      </c>
      <c r="U3991" s="2" t="s">
        <v>39</v>
      </c>
      <c r="V3991" s="2" t="s">
        <v>40</v>
      </c>
      <c r="W3991" s="2" t="s">
        <v>17050</v>
      </c>
      <c r="X3991" s="2"/>
      <c r="Y3991" s="2"/>
      <c r="Z3991" s="2"/>
      <c r="AA3991" s="2" t="s">
        <v>708</v>
      </c>
      <c r="AB3991" s="2" t="s">
        <v>709</v>
      </c>
      <c r="AC3991" s="4" t="s">
        <v>44</v>
      </c>
    </row>
    <row r="3992" spans="1:29" x14ac:dyDescent="0.25">
      <c r="A3992" s="1">
        <v>1317</v>
      </c>
      <c r="B3992" s="17" t="s">
        <v>17051</v>
      </c>
      <c r="C3992" s="2" t="s">
        <v>3579</v>
      </c>
      <c r="D3992" s="15" t="s">
        <v>2698</v>
      </c>
      <c r="E3992" s="9" t="s">
        <v>3580</v>
      </c>
      <c r="F3992" s="9" t="s">
        <v>5394</v>
      </c>
      <c r="G3992" s="9" t="s">
        <v>277</v>
      </c>
      <c r="H3992" s="2" t="s">
        <v>60</v>
      </c>
      <c r="I3992" s="3">
        <v>37299</v>
      </c>
      <c r="J3992" s="9" t="str">
        <f t="shared" ca="1" si="65"/>
        <v>21 ans</v>
      </c>
      <c r="K3992" s="2" t="s">
        <v>262</v>
      </c>
      <c r="L3992" s="2" t="str">
        <f>"2778"</f>
        <v>2778</v>
      </c>
      <c r="M3992" s="2"/>
      <c r="N3992" s="2" t="str">
        <f>"RUE MARCHAND"</f>
        <v>RUE MARCHAND</v>
      </c>
      <c r="O3992" s="2" t="s">
        <v>16565</v>
      </c>
      <c r="P3992" s="9" t="str">
        <f>VLOOKUP($O3992,'Liste des Villes'!$B$2:$B$1128,1,FALSE)</f>
        <v>Laval</v>
      </c>
      <c r="Q3992" s="9" t="str">
        <f>IFERROR($P3992,PROPER(VLOOKUP($O3992,'Villes en erreur'!$A$2:$B$72,2,FALSE)))</f>
        <v>Laval</v>
      </c>
      <c r="R3992" s="9" t="s">
        <v>16566</v>
      </c>
      <c r="S3992" s="9" t="str">
        <f>IF(ISBLANK($R3992),"",VLOOKUP($R3992,'Liste des Villes'!$B$2:$H$1128,4,FALSE))</f>
        <v>Laval</v>
      </c>
      <c r="T3992" s="2" t="s">
        <v>17052</v>
      </c>
      <c r="U3992" s="2" t="s">
        <v>39</v>
      </c>
      <c r="V3992" s="2" t="s">
        <v>40</v>
      </c>
      <c r="W3992" s="2" t="s">
        <v>17053</v>
      </c>
      <c r="X3992" s="2" t="str">
        <f>"4384057550"</f>
        <v>4384057550</v>
      </c>
      <c r="Y3992" s="2" t="str">
        <f>"8196311234"</f>
        <v>8196311234</v>
      </c>
      <c r="Z3992" s="2"/>
      <c r="AA3992" s="2" t="s">
        <v>708</v>
      </c>
      <c r="AB3992" s="2" t="s">
        <v>709</v>
      </c>
      <c r="AC3992" s="4" t="s">
        <v>44</v>
      </c>
    </row>
    <row r="3993" spans="1:29" x14ac:dyDescent="0.25">
      <c r="A3993" s="1">
        <v>2413</v>
      </c>
      <c r="B3993" s="17" t="s">
        <v>17054</v>
      </c>
      <c r="C3993" s="2" t="s">
        <v>17055</v>
      </c>
      <c r="D3993" s="15" t="s">
        <v>3172</v>
      </c>
      <c r="E3993" s="9" t="s">
        <v>1410</v>
      </c>
      <c r="F3993" s="9" t="s">
        <v>10790</v>
      </c>
      <c r="G3993" s="9" t="s">
        <v>1269</v>
      </c>
      <c r="H3993" s="2" t="s">
        <v>60</v>
      </c>
      <c r="I3993" s="3">
        <v>37283</v>
      </c>
      <c r="J3993" s="9" t="str">
        <f t="shared" ca="1" si="65"/>
        <v>21 ans</v>
      </c>
      <c r="K3993" s="2" t="s">
        <v>262</v>
      </c>
      <c r="L3993" s="2" t="str">
        <f>"2491"</f>
        <v>2491</v>
      </c>
      <c r="M3993" s="2"/>
      <c r="N3993" s="2" t="str">
        <f>"RUE MAINVILLE"</f>
        <v>RUE MAINVILLE</v>
      </c>
      <c r="O3993" s="2" t="s">
        <v>16565</v>
      </c>
      <c r="P3993" s="9" t="str">
        <f>VLOOKUP($O3993,'Liste des Villes'!$B$2:$B$1128,1,FALSE)</f>
        <v>Laval</v>
      </c>
      <c r="Q3993" s="9" t="str">
        <f>IFERROR($P3993,PROPER(VLOOKUP($O3993,'Villes en erreur'!$A$2:$B$72,2,FALSE)))</f>
        <v>Laval</v>
      </c>
      <c r="R3993" s="9" t="s">
        <v>16566</v>
      </c>
      <c r="S3993" s="9" t="str">
        <f>IF(ISBLANK($R3993),"",VLOOKUP($R3993,'Liste des Villes'!$B$2:$H$1128,4,FALSE))</f>
        <v>Laval</v>
      </c>
      <c r="T3993" s="2" t="s">
        <v>17056</v>
      </c>
      <c r="U3993" s="2" t="s">
        <v>39</v>
      </c>
      <c r="V3993" s="2" t="s">
        <v>40</v>
      </c>
      <c r="W3993" s="2" t="s">
        <v>17057</v>
      </c>
      <c r="X3993" s="2"/>
      <c r="Y3993" s="2"/>
      <c r="Z3993" s="2"/>
      <c r="AA3993" s="2" t="s">
        <v>708</v>
      </c>
      <c r="AB3993" s="2" t="s">
        <v>709</v>
      </c>
      <c r="AC3993" s="4" t="s">
        <v>44</v>
      </c>
    </row>
    <row r="3994" spans="1:29" x14ac:dyDescent="0.25">
      <c r="A3994" s="1">
        <v>2404</v>
      </c>
      <c r="B3994" s="17" t="s">
        <v>17058</v>
      </c>
      <c r="C3994" s="2" t="s">
        <v>17059</v>
      </c>
      <c r="D3994" s="15" t="s">
        <v>417</v>
      </c>
      <c r="E3994" s="9" t="s">
        <v>1924</v>
      </c>
      <c r="F3994" s="9" t="s">
        <v>419</v>
      </c>
      <c r="G3994" s="9" t="s">
        <v>3897</v>
      </c>
      <c r="H3994" s="2" t="s">
        <v>60</v>
      </c>
      <c r="I3994" s="3">
        <v>37284</v>
      </c>
      <c r="J3994" s="9" t="str">
        <f t="shared" ca="1" si="65"/>
        <v>21 ans</v>
      </c>
      <c r="K3994" s="2" t="s">
        <v>262</v>
      </c>
      <c r="L3994" s="2" t="str">
        <f>"2491"</f>
        <v>2491</v>
      </c>
      <c r="M3994" s="2"/>
      <c r="N3994" s="2" t="str">
        <f>"RUE MAINVILLE"</f>
        <v>RUE MAINVILLE</v>
      </c>
      <c r="O3994" s="2" t="s">
        <v>16565</v>
      </c>
      <c r="P3994" s="9" t="str">
        <f>VLOOKUP($O3994,'Liste des Villes'!$B$2:$B$1128,1,FALSE)</f>
        <v>Laval</v>
      </c>
      <c r="Q3994" s="9" t="str">
        <f>IFERROR($P3994,PROPER(VLOOKUP($O3994,'Villes en erreur'!$A$2:$B$72,2,FALSE)))</f>
        <v>Laval</v>
      </c>
      <c r="R3994" s="9" t="s">
        <v>16566</v>
      </c>
      <c r="S3994" s="9" t="str">
        <f>IF(ISBLANK($R3994),"",VLOOKUP($R3994,'Liste des Villes'!$B$2:$H$1128,4,FALSE))</f>
        <v>Laval</v>
      </c>
      <c r="T3994" s="2" t="s">
        <v>16963</v>
      </c>
      <c r="U3994" s="2" t="s">
        <v>39</v>
      </c>
      <c r="V3994" s="2" t="s">
        <v>40</v>
      </c>
      <c r="W3994" s="2" t="s">
        <v>17060</v>
      </c>
      <c r="X3994" s="2"/>
      <c r="Y3994" s="2"/>
      <c r="Z3994" s="2"/>
      <c r="AA3994" s="2" t="s">
        <v>708</v>
      </c>
      <c r="AB3994" s="2" t="s">
        <v>709</v>
      </c>
      <c r="AC3994" s="4" t="s">
        <v>44</v>
      </c>
    </row>
    <row r="3995" spans="1:29" x14ac:dyDescent="0.25">
      <c r="A3995" s="1">
        <v>1206</v>
      </c>
      <c r="B3995" s="17" t="s">
        <v>17061</v>
      </c>
      <c r="C3995" s="2" t="s">
        <v>17062</v>
      </c>
      <c r="D3995" s="15" t="s">
        <v>17063</v>
      </c>
      <c r="E3995" s="9" t="s">
        <v>2160</v>
      </c>
      <c r="F3995" s="9" t="s">
        <v>2161</v>
      </c>
      <c r="G3995" s="9" t="s">
        <v>3108</v>
      </c>
      <c r="H3995" s="2" t="s">
        <v>35</v>
      </c>
      <c r="I3995" s="3">
        <v>37325</v>
      </c>
      <c r="J3995" s="9" t="str">
        <f t="shared" ca="1" si="65"/>
        <v>21 ans</v>
      </c>
      <c r="K3995" s="2" t="s">
        <v>262</v>
      </c>
      <c r="L3995" s="2" t="str">
        <f>"3475"</f>
        <v>3475</v>
      </c>
      <c r="M3995" s="2"/>
      <c r="N3995" s="2" t="str">
        <f>"RUE MÉLANIE"</f>
        <v>RUE MÉLANIE</v>
      </c>
      <c r="O3995" s="2" t="s">
        <v>16565</v>
      </c>
      <c r="P3995" s="9" t="str">
        <f>VLOOKUP($O3995,'Liste des Villes'!$B$2:$B$1128,1,FALSE)</f>
        <v>Laval</v>
      </c>
      <c r="Q3995" s="9" t="str">
        <f>IFERROR($P3995,PROPER(VLOOKUP($O3995,'Villes en erreur'!$A$2:$B$72,2,FALSE)))</f>
        <v>Laval</v>
      </c>
      <c r="R3995" s="9" t="s">
        <v>16566</v>
      </c>
      <c r="S3995" s="9" t="str">
        <f>IF(ISBLANK($R3995),"",VLOOKUP($R3995,'Liste des Villes'!$B$2:$H$1128,4,FALSE))</f>
        <v>Laval</v>
      </c>
      <c r="T3995" s="2" t="s">
        <v>17064</v>
      </c>
      <c r="U3995" s="2" t="s">
        <v>39</v>
      </c>
      <c r="V3995" s="2" t="s">
        <v>40</v>
      </c>
      <c r="W3995" s="2" t="s">
        <v>17065</v>
      </c>
      <c r="X3995" s="2" t="str">
        <f>"4388886607"</f>
        <v>4388886607</v>
      </c>
      <c r="Y3995" s="2" t="str">
        <f>"5149707298"</f>
        <v>5149707298</v>
      </c>
      <c r="Z3995" s="2"/>
      <c r="AA3995" s="2" t="s">
        <v>708</v>
      </c>
      <c r="AB3995" s="2" t="s">
        <v>16576</v>
      </c>
      <c r="AC3995" s="4" t="s">
        <v>44</v>
      </c>
    </row>
    <row r="3996" spans="1:29" x14ac:dyDescent="0.25">
      <c r="A3996" s="1">
        <v>1089</v>
      </c>
      <c r="B3996" s="17" t="s">
        <v>17066</v>
      </c>
      <c r="C3996" s="2" t="s">
        <v>17067</v>
      </c>
      <c r="D3996" s="15" t="s">
        <v>3078</v>
      </c>
      <c r="E3996" s="9" t="s">
        <v>10134</v>
      </c>
      <c r="F3996" s="9" t="s">
        <v>3080</v>
      </c>
      <c r="G3996" s="9" t="s">
        <v>12986</v>
      </c>
      <c r="H3996" s="2" t="s">
        <v>60</v>
      </c>
      <c r="I3996" s="3">
        <v>37317</v>
      </c>
      <c r="J3996" s="9" t="str">
        <f t="shared" ca="1" si="65"/>
        <v>21 ans</v>
      </c>
      <c r="K3996" s="2" t="s">
        <v>262</v>
      </c>
      <c r="L3996" s="2" t="str">
        <f>"3271"</f>
        <v>3271</v>
      </c>
      <c r="M3996" s="2"/>
      <c r="N3996" s="2" t="str">
        <f>"RUE MCANDREW"</f>
        <v>RUE MCANDREW</v>
      </c>
      <c r="O3996" s="2" t="s">
        <v>16565</v>
      </c>
      <c r="P3996" s="9" t="str">
        <f>VLOOKUP($O3996,'Liste des Villes'!$B$2:$B$1128,1,FALSE)</f>
        <v>Laval</v>
      </c>
      <c r="Q3996" s="9" t="str">
        <f>IFERROR($P3996,PROPER(VLOOKUP($O3996,'Villes en erreur'!$A$2:$B$72,2,FALSE)))</f>
        <v>Laval</v>
      </c>
      <c r="R3996" s="9" t="s">
        <v>16566</v>
      </c>
      <c r="S3996" s="9" t="str">
        <f>IF(ISBLANK($R3996),"",VLOOKUP($R3996,'Liste des Villes'!$B$2:$H$1128,4,FALSE))</f>
        <v>Laval</v>
      </c>
      <c r="T3996" s="2" t="s">
        <v>16713</v>
      </c>
      <c r="U3996" s="2" t="s">
        <v>39</v>
      </c>
      <c r="V3996" s="2" t="s">
        <v>40</v>
      </c>
      <c r="W3996" s="2" t="s">
        <v>17068</v>
      </c>
      <c r="X3996" s="2" t="str">
        <f>"4388266840"</f>
        <v>4388266840</v>
      </c>
      <c r="Y3996" s="2" t="str">
        <f>"5798881446"</f>
        <v>5798881446</v>
      </c>
      <c r="Z3996" s="2"/>
      <c r="AA3996" s="2" t="s">
        <v>708</v>
      </c>
      <c r="AB3996" s="2" t="s">
        <v>16576</v>
      </c>
      <c r="AC3996" s="4" t="s">
        <v>44</v>
      </c>
    </row>
    <row r="3997" spans="1:29" x14ac:dyDescent="0.25">
      <c r="A3997" s="1">
        <v>3274</v>
      </c>
      <c r="B3997" s="17" t="s">
        <v>17069</v>
      </c>
      <c r="C3997" s="2" t="s">
        <v>430</v>
      </c>
      <c r="D3997" s="15" t="s">
        <v>203</v>
      </c>
      <c r="E3997" s="9" t="s">
        <v>431</v>
      </c>
      <c r="F3997" s="9" t="s">
        <v>12588</v>
      </c>
      <c r="G3997" s="9" t="s">
        <v>2561</v>
      </c>
      <c r="H3997" s="2" t="s">
        <v>60</v>
      </c>
      <c r="I3997" s="3">
        <v>37314</v>
      </c>
      <c r="J3997" s="9" t="str">
        <f t="shared" ca="1" si="65"/>
        <v>21 ans</v>
      </c>
      <c r="K3997" s="2" t="s">
        <v>262</v>
      </c>
      <c r="L3997" s="2" t="str">
        <f>"3195"</f>
        <v>3195</v>
      </c>
      <c r="M3997" s="2"/>
      <c r="N3997" s="2" t="str">
        <f>"RUE MAURICE"</f>
        <v>RUE MAURICE</v>
      </c>
      <c r="O3997" s="2" t="s">
        <v>16565</v>
      </c>
      <c r="P3997" s="9" t="str">
        <f>VLOOKUP($O3997,'Liste des Villes'!$B$2:$B$1128,1,FALSE)</f>
        <v>Laval</v>
      </c>
      <c r="Q3997" s="9" t="str">
        <f>IFERROR($P3997,PROPER(VLOOKUP($O3997,'Villes en erreur'!$A$2:$B$72,2,FALSE)))</f>
        <v>Laval</v>
      </c>
      <c r="R3997" s="9" t="s">
        <v>16566</v>
      </c>
      <c r="S3997" s="9" t="str">
        <f>IF(ISBLANK($R3997),"",VLOOKUP($R3997,'Liste des Villes'!$B$2:$H$1128,4,FALSE))</f>
        <v>Laval</v>
      </c>
      <c r="T3997" s="2" t="s">
        <v>17070</v>
      </c>
      <c r="U3997" s="2" t="s">
        <v>39</v>
      </c>
      <c r="V3997" s="2" t="s">
        <v>40</v>
      </c>
      <c r="W3997" s="2" t="s">
        <v>17071</v>
      </c>
      <c r="X3997" s="2" t="str">
        <f>"4386867652"</f>
        <v>4386867652</v>
      </c>
      <c r="Y3997" s="2" t="str">
        <f>"8192165525"</f>
        <v>8192165525</v>
      </c>
      <c r="Z3997" s="2"/>
      <c r="AA3997" s="2" t="s">
        <v>708</v>
      </c>
      <c r="AB3997" s="2" t="s">
        <v>16576</v>
      </c>
      <c r="AC3997" s="4" t="s">
        <v>44</v>
      </c>
    </row>
    <row r="3998" spans="1:29" x14ac:dyDescent="0.25">
      <c r="A3998" s="1">
        <v>1096</v>
      </c>
      <c r="B3998" s="17" t="s">
        <v>17072</v>
      </c>
      <c r="C3998" s="2" t="s">
        <v>17073</v>
      </c>
      <c r="D3998" s="15" t="s">
        <v>4782</v>
      </c>
      <c r="E3998" s="9" t="s">
        <v>4799</v>
      </c>
      <c r="F3998" s="9" t="s">
        <v>1104</v>
      </c>
      <c r="G3998" s="9" t="s">
        <v>277</v>
      </c>
      <c r="H3998" s="2" t="s">
        <v>60</v>
      </c>
      <c r="I3998" s="3">
        <v>37301</v>
      </c>
      <c r="J3998" s="9" t="str">
        <f t="shared" ca="1" si="65"/>
        <v>21 ans</v>
      </c>
      <c r="K3998" s="2" t="s">
        <v>262</v>
      </c>
      <c r="L3998" s="2" t="str">
        <f>"2840"</f>
        <v>2840</v>
      </c>
      <c r="M3998" s="2"/>
      <c r="N3998" s="2" t="str">
        <f>"RUE MARIE-ANNE-PICHÉ"</f>
        <v>RUE MARIE-ANNE-PICHÉ</v>
      </c>
      <c r="O3998" s="2" t="s">
        <v>16565</v>
      </c>
      <c r="P3998" s="9" t="str">
        <f>VLOOKUP($O3998,'Liste des Villes'!$B$2:$B$1128,1,FALSE)</f>
        <v>Laval</v>
      </c>
      <c r="Q3998" s="9" t="str">
        <f>IFERROR($P3998,PROPER(VLOOKUP($O3998,'Villes en erreur'!$A$2:$B$72,2,FALSE)))</f>
        <v>Laval</v>
      </c>
      <c r="R3998" s="9" t="s">
        <v>16566</v>
      </c>
      <c r="S3998" s="9" t="str">
        <f>IF(ISBLANK($R3998),"",VLOOKUP($R3998,'Liste des Villes'!$B$2:$H$1128,4,FALSE))</f>
        <v>Laval</v>
      </c>
      <c r="T3998" s="2" t="s">
        <v>17074</v>
      </c>
      <c r="U3998" s="2" t="s">
        <v>39</v>
      </c>
      <c r="V3998" s="2" t="s">
        <v>40</v>
      </c>
      <c r="W3998" s="2" t="s">
        <v>17075</v>
      </c>
      <c r="X3998" s="2" t="str">
        <f>"4384920615"</f>
        <v>4384920615</v>
      </c>
      <c r="Y3998" s="2" t="str">
        <f>"8194254217"</f>
        <v>8194254217</v>
      </c>
      <c r="Z3998" s="2"/>
      <c r="AA3998" s="2" t="s">
        <v>708</v>
      </c>
      <c r="AB3998" s="2" t="s">
        <v>709</v>
      </c>
      <c r="AC3998" s="4" t="s">
        <v>44</v>
      </c>
    </row>
    <row r="3999" spans="1:29" x14ac:dyDescent="0.25">
      <c r="A3999" s="1">
        <v>3648</v>
      </c>
      <c r="B3999" s="17" t="s">
        <v>17076</v>
      </c>
      <c r="C3999" s="2" t="s">
        <v>17077</v>
      </c>
      <c r="D3999" s="15" t="s">
        <v>1262</v>
      </c>
      <c r="E3999" s="9" t="s">
        <v>11380</v>
      </c>
      <c r="F3999" s="9" t="s">
        <v>1264</v>
      </c>
      <c r="G3999" s="9" t="s">
        <v>3013</v>
      </c>
      <c r="H3999" s="2" t="s">
        <v>60</v>
      </c>
      <c r="I3999" s="3">
        <v>37321</v>
      </c>
      <c r="J3999" s="9" t="str">
        <f t="shared" ca="1" si="65"/>
        <v>21 ans</v>
      </c>
      <c r="K3999" s="2" t="s">
        <v>262</v>
      </c>
      <c r="L3999" s="2" t="str">
        <f>"3377"</f>
        <v>3377</v>
      </c>
      <c r="M3999" s="2"/>
      <c r="N3999" s="2" t="str">
        <f>"RUE MELANÇON"</f>
        <v>RUE MELANÇON</v>
      </c>
      <c r="O3999" s="2" t="s">
        <v>16565</v>
      </c>
      <c r="P3999" s="9" t="str">
        <f>VLOOKUP($O3999,'Liste des Villes'!$B$2:$B$1128,1,FALSE)</f>
        <v>Laval</v>
      </c>
      <c r="Q3999" s="9" t="str">
        <f>IFERROR($P3999,PROPER(VLOOKUP($O3999,'Villes en erreur'!$A$2:$B$72,2,FALSE)))</f>
        <v>Laval</v>
      </c>
      <c r="R3999" s="9" t="s">
        <v>16566</v>
      </c>
      <c r="S3999" s="9" t="str">
        <f>IF(ISBLANK($R3999),"",VLOOKUP($R3999,'Liste des Villes'!$B$2:$H$1128,4,FALSE))</f>
        <v>Laval</v>
      </c>
      <c r="T3999" s="2" t="s">
        <v>17009</v>
      </c>
      <c r="U3999" s="2" t="s">
        <v>39</v>
      </c>
      <c r="V3999" s="2" t="s">
        <v>40</v>
      </c>
      <c r="W3999" s="2" t="s">
        <v>17078</v>
      </c>
      <c r="X3999" s="2" t="str">
        <f>"4388634727"</f>
        <v>4388634727</v>
      </c>
      <c r="Y3999" s="2" t="str">
        <f>"5149930191"</f>
        <v>5149930191</v>
      </c>
      <c r="Z3999" s="2"/>
      <c r="AA3999" s="2" t="s">
        <v>708</v>
      </c>
      <c r="AB3999" s="2" t="s">
        <v>16576</v>
      </c>
      <c r="AC3999" s="4" t="s">
        <v>44</v>
      </c>
    </row>
    <row r="4000" spans="1:29" x14ac:dyDescent="0.25">
      <c r="A4000" s="1">
        <v>2978</v>
      </c>
      <c r="B4000" s="17" t="s">
        <v>17079</v>
      </c>
      <c r="C4000" s="2" t="s">
        <v>576</v>
      </c>
      <c r="D4000" s="15" t="s">
        <v>203</v>
      </c>
      <c r="E4000" s="9" t="s">
        <v>577</v>
      </c>
      <c r="F4000" s="9" t="s">
        <v>11652</v>
      </c>
      <c r="G4000" s="9" t="s">
        <v>196</v>
      </c>
      <c r="H4000" s="2" t="s">
        <v>35</v>
      </c>
      <c r="I4000" s="3">
        <v>37326</v>
      </c>
      <c r="J4000" s="9" t="str">
        <f t="shared" ca="1" si="65"/>
        <v>21 ans</v>
      </c>
      <c r="K4000" s="2" t="s">
        <v>262</v>
      </c>
      <c r="L4000" s="2" t="str">
        <f>"3489"</f>
        <v>3489</v>
      </c>
      <c r="M4000" s="2"/>
      <c r="N4000" s="2" t="str">
        <f>"RUE MÉLANIE"</f>
        <v>RUE MÉLANIE</v>
      </c>
      <c r="O4000" s="2" t="s">
        <v>16565</v>
      </c>
      <c r="P4000" s="9" t="str">
        <f>VLOOKUP($O4000,'Liste des Villes'!$B$2:$B$1128,1,FALSE)</f>
        <v>Laval</v>
      </c>
      <c r="Q4000" s="9" t="str">
        <f>IFERROR($P4000,PROPER(VLOOKUP($O4000,'Villes en erreur'!$A$2:$B$72,2,FALSE)))</f>
        <v>Laval</v>
      </c>
      <c r="R4000" s="9" t="s">
        <v>16566</v>
      </c>
      <c r="S4000" s="9" t="str">
        <f>IF(ISBLANK($R4000),"",VLOOKUP($R4000,'Liste des Villes'!$B$2:$H$1128,4,FALSE))</f>
        <v>Laval</v>
      </c>
      <c r="T4000" s="2" t="s">
        <v>16691</v>
      </c>
      <c r="U4000" s="2" t="s">
        <v>39</v>
      </c>
      <c r="V4000" s="2" t="s">
        <v>40</v>
      </c>
      <c r="W4000" s="2" t="s">
        <v>17080</v>
      </c>
      <c r="X4000" s="2" t="str">
        <f>"4389282872"</f>
        <v>4389282872</v>
      </c>
      <c r="Y4000" s="2" t="str">
        <f>"5149536244"</f>
        <v>5149536244</v>
      </c>
      <c r="Z4000" s="2"/>
      <c r="AA4000" s="2" t="s">
        <v>708</v>
      </c>
      <c r="AB4000" s="2" t="s">
        <v>16576</v>
      </c>
      <c r="AC4000" s="4" t="s">
        <v>44</v>
      </c>
    </row>
    <row r="4001" spans="1:29" x14ac:dyDescent="0.25">
      <c r="A4001" s="1">
        <v>2375</v>
      </c>
      <c r="B4001" s="17" t="s">
        <v>17081</v>
      </c>
      <c r="C4001" s="2" t="s">
        <v>9460</v>
      </c>
      <c r="D4001" s="15" t="s">
        <v>2474</v>
      </c>
      <c r="E4001" s="9" t="s">
        <v>9461</v>
      </c>
      <c r="F4001" s="9" t="s">
        <v>17082</v>
      </c>
      <c r="G4001" s="9" t="s">
        <v>532</v>
      </c>
      <c r="H4001" s="2" t="s">
        <v>35</v>
      </c>
      <c r="I4001" s="3">
        <v>37316</v>
      </c>
      <c r="J4001" s="9" t="str">
        <f t="shared" ca="1" si="65"/>
        <v>21 ans</v>
      </c>
      <c r="K4001" s="2" t="s">
        <v>262</v>
      </c>
      <c r="L4001" s="2" t="str">
        <f>"3260"</f>
        <v>3260</v>
      </c>
      <c r="M4001" s="2"/>
      <c r="N4001" s="2" t="str">
        <f>"RUE MAURICE-MAYER"</f>
        <v>RUE MAURICE-MAYER</v>
      </c>
      <c r="O4001" s="2" t="s">
        <v>16565</v>
      </c>
      <c r="P4001" s="9" t="str">
        <f>VLOOKUP($O4001,'Liste des Villes'!$B$2:$B$1128,1,FALSE)</f>
        <v>Laval</v>
      </c>
      <c r="Q4001" s="9" t="str">
        <f>IFERROR($P4001,PROPER(VLOOKUP($O4001,'Villes en erreur'!$A$2:$B$72,2,FALSE)))</f>
        <v>Laval</v>
      </c>
      <c r="R4001" s="9" t="s">
        <v>16566</v>
      </c>
      <c r="S4001" s="9" t="str">
        <f>IF(ISBLANK($R4001),"",VLOOKUP($R4001,'Liste des Villes'!$B$2:$H$1128,4,FALSE))</f>
        <v>Laval</v>
      </c>
      <c r="T4001" s="2" t="s">
        <v>16574</v>
      </c>
      <c r="U4001" s="2" t="s">
        <v>39</v>
      </c>
      <c r="V4001" s="2" t="s">
        <v>40</v>
      </c>
      <c r="W4001" s="2" t="s">
        <v>17083</v>
      </c>
      <c r="X4001" s="2" t="str">
        <f>"4388234213"</f>
        <v>4388234213</v>
      </c>
      <c r="Y4001" s="2" t="str">
        <f>"5798886396"</f>
        <v>5798886396</v>
      </c>
      <c r="Z4001" s="2"/>
      <c r="AA4001" s="2" t="s">
        <v>708</v>
      </c>
      <c r="AB4001" s="2" t="s">
        <v>16576</v>
      </c>
      <c r="AC4001" s="4" t="s">
        <v>44</v>
      </c>
    </row>
    <row r="4002" spans="1:29" x14ac:dyDescent="0.25">
      <c r="A4002" s="1">
        <v>2073</v>
      </c>
      <c r="B4002" s="17" t="s">
        <v>17084</v>
      </c>
      <c r="C4002" s="2" t="s">
        <v>6327</v>
      </c>
      <c r="D4002" s="15" t="s">
        <v>1523</v>
      </c>
      <c r="E4002" s="9" t="s">
        <v>6328</v>
      </c>
      <c r="F4002" s="9" t="s">
        <v>6548</v>
      </c>
      <c r="G4002" s="9" t="s">
        <v>196</v>
      </c>
      <c r="H4002" s="2" t="s">
        <v>35</v>
      </c>
      <c r="I4002" s="3">
        <v>37327</v>
      </c>
      <c r="J4002" s="9" t="str">
        <f t="shared" ca="1" si="65"/>
        <v>21 ans</v>
      </c>
      <c r="K4002" s="2" t="s">
        <v>262</v>
      </c>
      <c r="L4002" s="2" t="str">
        <f>"3535"</f>
        <v>3535</v>
      </c>
      <c r="M4002" s="2"/>
      <c r="N4002" s="2" t="str">
        <f>"RUE MICHEL"</f>
        <v>RUE MICHEL</v>
      </c>
      <c r="O4002" s="2" t="s">
        <v>17085</v>
      </c>
      <c r="P4002" s="9" t="str">
        <f>VLOOKUP($O4002,'Liste des Villes'!$B$2:$B$1128,1,FALSE)</f>
        <v>L'Assomption</v>
      </c>
      <c r="Q4002" s="9" t="str">
        <f>IFERROR($P4002,PROPER(VLOOKUP($O4002,'Villes en erreur'!$A$2:$B$72,2,FALSE)))</f>
        <v>L'Assomption</v>
      </c>
      <c r="R4002" s="9" t="s">
        <v>17086</v>
      </c>
      <c r="S4002" s="9" t="str">
        <f>IF(ISBLANK($R4002),"",VLOOKUP($R4002,'Liste des Villes'!$B$2:$H$1128,4,FALSE))</f>
        <v>Lanaudière</v>
      </c>
      <c r="T4002" s="2" t="s">
        <v>17087</v>
      </c>
      <c r="U4002" s="2" t="s">
        <v>39</v>
      </c>
      <c r="V4002" s="2" t="s">
        <v>40</v>
      </c>
      <c r="W4002" s="2" t="s">
        <v>17088</v>
      </c>
      <c r="X4002" s="2" t="str">
        <f>"4502247846"</f>
        <v>4502247846</v>
      </c>
      <c r="Y4002" s="2" t="str">
        <f>"5149269484"</f>
        <v>5149269484</v>
      </c>
      <c r="Z4002" s="2"/>
      <c r="AA4002" s="2" t="s">
        <v>708</v>
      </c>
      <c r="AB4002" s="2" t="s">
        <v>16576</v>
      </c>
      <c r="AC4002" s="4" t="s">
        <v>44</v>
      </c>
    </row>
    <row r="4003" spans="1:29" x14ac:dyDescent="0.25">
      <c r="A4003" s="1">
        <v>609</v>
      </c>
      <c r="B4003" s="17" t="s">
        <v>17089</v>
      </c>
      <c r="C4003" s="2" t="s">
        <v>9541</v>
      </c>
      <c r="D4003" s="15" t="s">
        <v>2910</v>
      </c>
      <c r="E4003" s="9" t="s">
        <v>929</v>
      </c>
      <c r="F4003" s="9" t="s">
        <v>2909</v>
      </c>
      <c r="G4003" s="9" t="s">
        <v>196</v>
      </c>
      <c r="H4003" s="2" t="s">
        <v>35</v>
      </c>
      <c r="I4003" s="3">
        <v>37327</v>
      </c>
      <c r="J4003" s="9" t="str">
        <f t="shared" ca="1" si="65"/>
        <v>21 ans</v>
      </c>
      <c r="K4003" s="2" t="s">
        <v>262</v>
      </c>
      <c r="L4003" s="2" t="str">
        <f>"3524"</f>
        <v>3524</v>
      </c>
      <c r="M4003" s="2"/>
      <c r="N4003" s="2" t="str">
        <f>"RUE MEUNIER"</f>
        <v>RUE MEUNIER</v>
      </c>
      <c r="O4003" s="2" t="s">
        <v>17085</v>
      </c>
      <c r="P4003" s="9" t="str">
        <f>VLOOKUP($O4003,'Liste des Villes'!$B$2:$B$1128,1,FALSE)</f>
        <v>L'Assomption</v>
      </c>
      <c r="Q4003" s="9" t="str">
        <f>IFERROR($P4003,PROPER(VLOOKUP($O4003,'Villes en erreur'!$A$2:$B$72,2,FALSE)))</f>
        <v>L'Assomption</v>
      </c>
      <c r="R4003" s="9" t="s">
        <v>17086</v>
      </c>
      <c r="S4003" s="9" t="str">
        <f>IF(ISBLANK($R4003),"",VLOOKUP($R4003,'Liste des Villes'!$B$2:$H$1128,4,FALSE))</f>
        <v>Lanaudière</v>
      </c>
      <c r="T4003" s="2" t="s">
        <v>17090</v>
      </c>
      <c r="U4003" s="2" t="s">
        <v>39</v>
      </c>
      <c r="V4003" s="2" t="s">
        <v>40</v>
      </c>
      <c r="W4003" s="2" t="s">
        <v>17091</v>
      </c>
      <c r="X4003" s="2" t="str">
        <f>"4502245882"</f>
        <v>4502245882</v>
      </c>
      <c r="Y4003" s="2" t="str">
        <f>"5149287433"</f>
        <v>5149287433</v>
      </c>
      <c r="Z4003" s="2"/>
      <c r="AA4003" s="2" t="s">
        <v>708</v>
      </c>
      <c r="AB4003" s="2" t="s">
        <v>16576</v>
      </c>
      <c r="AC4003" s="4" t="s">
        <v>44</v>
      </c>
    </row>
    <row r="4004" spans="1:29" x14ac:dyDescent="0.25">
      <c r="A4004" s="1">
        <v>35</v>
      </c>
      <c r="B4004" s="17" t="s">
        <v>17092</v>
      </c>
      <c r="C4004" s="2" t="s">
        <v>8827</v>
      </c>
      <c r="D4004" s="15" t="s">
        <v>527</v>
      </c>
      <c r="E4004" s="9" t="s">
        <v>2069</v>
      </c>
      <c r="F4004" s="9" t="s">
        <v>8828</v>
      </c>
      <c r="G4004" s="9" t="s">
        <v>196</v>
      </c>
      <c r="H4004" s="2" t="s">
        <v>35</v>
      </c>
      <c r="I4004" s="3">
        <v>37327</v>
      </c>
      <c r="J4004" s="9" t="str">
        <f t="shared" ca="1" si="65"/>
        <v>21 ans</v>
      </c>
      <c r="K4004" s="2" t="s">
        <v>262</v>
      </c>
      <c r="L4004" s="2" t="str">
        <f>"3520"</f>
        <v>3520</v>
      </c>
      <c r="M4004" s="2"/>
      <c r="N4004" s="2" t="str">
        <f>"RUE MÉNARD"</f>
        <v>RUE MÉNARD</v>
      </c>
      <c r="O4004" s="2" t="s">
        <v>17085</v>
      </c>
      <c r="P4004" s="9" t="str">
        <f>VLOOKUP($O4004,'Liste des Villes'!$B$2:$B$1128,1,FALSE)</f>
        <v>L'Assomption</v>
      </c>
      <c r="Q4004" s="9" t="str">
        <f>IFERROR($P4004,PROPER(VLOOKUP($O4004,'Villes en erreur'!$A$2:$B$72,2,FALSE)))</f>
        <v>L'Assomption</v>
      </c>
      <c r="R4004" s="9" t="s">
        <v>17086</v>
      </c>
      <c r="S4004" s="9" t="str">
        <f>IF(ISBLANK($R4004),"",VLOOKUP($R4004,'Liste des Villes'!$B$2:$H$1128,4,FALSE))</f>
        <v>Lanaudière</v>
      </c>
      <c r="T4004" s="2" t="s">
        <v>17093</v>
      </c>
      <c r="U4004" s="2" t="s">
        <v>39</v>
      </c>
      <c r="V4004" s="2" t="s">
        <v>40</v>
      </c>
      <c r="W4004" s="2" t="s">
        <v>16818</v>
      </c>
      <c r="X4004" s="2" t="str">
        <f>"4502243283"</f>
        <v>4502243283</v>
      </c>
      <c r="Y4004" s="2" t="str">
        <f>"5149422746"</f>
        <v>5149422746</v>
      </c>
      <c r="Z4004" s="2"/>
      <c r="AA4004" s="2" t="s">
        <v>708</v>
      </c>
      <c r="AB4004" s="2" t="s">
        <v>16576</v>
      </c>
      <c r="AC4004" s="4" t="s">
        <v>44</v>
      </c>
    </row>
    <row r="4005" spans="1:29" x14ac:dyDescent="0.25">
      <c r="A4005" s="1">
        <v>332</v>
      </c>
      <c r="B4005" s="17" t="s">
        <v>17094</v>
      </c>
      <c r="C4005" s="2" t="s">
        <v>960</v>
      </c>
      <c r="D4005" s="15" t="s">
        <v>961</v>
      </c>
      <c r="E4005" s="9" t="s">
        <v>219</v>
      </c>
      <c r="F4005" s="9" t="s">
        <v>3450</v>
      </c>
      <c r="G4005" s="9" t="s">
        <v>196</v>
      </c>
      <c r="H4005" s="2" t="s">
        <v>35</v>
      </c>
      <c r="I4005" s="3">
        <v>37327</v>
      </c>
      <c r="J4005" s="9" t="str">
        <f t="shared" ca="1" si="65"/>
        <v>21 ans</v>
      </c>
      <c r="K4005" s="2" t="s">
        <v>262</v>
      </c>
      <c r="L4005" s="2" t="str">
        <f>"3540"</f>
        <v>3540</v>
      </c>
      <c r="M4005" s="2"/>
      <c r="N4005" s="2" t="str">
        <f>"RUE MICHEL"</f>
        <v>RUE MICHEL</v>
      </c>
      <c r="O4005" s="2" t="s">
        <v>17085</v>
      </c>
      <c r="P4005" s="9" t="str">
        <f>VLOOKUP($O4005,'Liste des Villes'!$B$2:$B$1128,1,FALSE)</f>
        <v>L'Assomption</v>
      </c>
      <c r="Q4005" s="9" t="str">
        <f>IFERROR($P4005,PROPER(VLOOKUP($O4005,'Villes en erreur'!$A$2:$B$72,2,FALSE)))</f>
        <v>L'Assomption</v>
      </c>
      <c r="R4005" s="9" t="s">
        <v>17086</v>
      </c>
      <c r="S4005" s="9" t="str">
        <f>IF(ISBLANK($R4005),"",VLOOKUP($R4005,'Liste des Villes'!$B$2:$H$1128,4,FALSE))</f>
        <v>Lanaudière</v>
      </c>
      <c r="T4005" s="2" t="s">
        <v>17087</v>
      </c>
      <c r="U4005" s="2" t="s">
        <v>39</v>
      </c>
      <c r="V4005" s="2" t="s">
        <v>40</v>
      </c>
      <c r="W4005" s="2" t="s">
        <v>17095</v>
      </c>
      <c r="X4005" s="2" t="str">
        <f>"4502583960"</f>
        <v>4502583960</v>
      </c>
      <c r="Y4005" s="2" t="str">
        <f>"5149268425"</f>
        <v>5149268425</v>
      </c>
      <c r="Z4005" s="2"/>
      <c r="AA4005" s="2" t="s">
        <v>708</v>
      </c>
      <c r="AB4005" s="2" t="s">
        <v>16576</v>
      </c>
      <c r="AC4005" s="4" t="s">
        <v>44</v>
      </c>
    </row>
    <row r="4006" spans="1:29" x14ac:dyDescent="0.25">
      <c r="A4006" s="1">
        <v>972</v>
      </c>
      <c r="B4006" s="17" t="s">
        <v>17096</v>
      </c>
      <c r="C4006" s="2" t="s">
        <v>17097</v>
      </c>
      <c r="D4006" s="15" t="s">
        <v>14758</v>
      </c>
      <c r="E4006" s="9" t="s">
        <v>6467</v>
      </c>
      <c r="F4006" s="9" t="s">
        <v>14757</v>
      </c>
      <c r="G4006" s="9" t="s">
        <v>196</v>
      </c>
      <c r="H4006" s="2" t="s">
        <v>60</v>
      </c>
      <c r="I4006" s="3">
        <v>37328</v>
      </c>
      <c r="J4006" s="9" t="str">
        <f t="shared" ca="1" si="65"/>
        <v>21 ans</v>
      </c>
      <c r="K4006" s="2" t="s">
        <v>262</v>
      </c>
      <c r="L4006" s="2" t="str">
        <f>"3566"</f>
        <v>3566</v>
      </c>
      <c r="M4006" s="2"/>
      <c r="N4006" s="2" t="str">
        <f>"RUE MIRELLE"</f>
        <v>RUE MIRELLE</v>
      </c>
      <c r="O4006" s="2" t="s">
        <v>17098</v>
      </c>
      <c r="P4006" s="9" t="str">
        <f>VLOOKUP($O4006,'Liste des Villes'!$B$2:$B$1128,1,FALSE)</f>
        <v>L'Ascension</v>
      </c>
      <c r="Q4006" s="9" t="str">
        <f>IFERROR($P4006,PROPER(VLOOKUP($O4006,'Villes en erreur'!$A$2:$B$72,2,FALSE)))</f>
        <v>L'Ascension</v>
      </c>
      <c r="R4006" s="9" t="s">
        <v>17099</v>
      </c>
      <c r="S4006" s="9" t="str">
        <f>IF(ISBLANK($R4006),"",VLOOKUP($R4006,'Liste des Villes'!$B$2:$H$1128,4,FALSE))</f>
        <v>Laurentides</v>
      </c>
      <c r="T4006" s="2" t="s">
        <v>17100</v>
      </c>
      <c r="U4006" s="2" t="s">
        <v>39</v>
      </c>
      <c r="V4006" s="2" t="s">
        <v>40</v>
      </c>
      <c r="W4006" s="2" t="s">
        <v>17101</v>
      </c>
      <c r="X4006" s="2" t="str">
        <f>"4502752816"</f>
        <v>4502752816</v>
      </c>
      <c r="Y4006" s="2" t="str">
        <f>"5149179644"</f>
        <v>5149179644</v>
      </c>
      <c r="Z4006" s="2"/>
      <c r="AA4006" s="2" t="s">
        <v>708</v>
      </c>
      <c r="AB4006" s="2" t="s">
        <v>16576</v>
      </c>
      <c r="AC4006" s="4" t="s">
        <v>44</v>
      </c>
    </row>
    <row r="4007" spans="1:29" x14ac:dyDescent="0.25">
      <c r="A4007" s="1">
        <v>3565</v>
      </c>
      <c r="B4007" s="17" t="s">
        <v>17102</v>
      </c>
      <c r="C4007" s="2" t="s">
        <v>17103</v>
      </c>
      <c r="D4007" s="15" t="s">
        <v>10871</v>
      </c>
      <c r="E4007" s="9" t="s">
        <v>1091</v>
      </c>
      <c r="F4007" s="9" t="s">
        <v>1092</v>
      </c>
      <c r="G4007" s="9" t="s">
        <v>196</v>
      </c>
      <c r="H4007" s="2" t="s">
        <v>35</v>
      </c>
      <c r="I4007" s="3">
        <v>37329</v>
      </c>
      <c r="J4007" s="9" t="str">
        <f t="shared" ca="1" si="65"/>
        <v>21 ans</v>
      </c>
      <c r="K4007" s="2" t="s">
        <v>262</v>
      </c>
      <c r="L4007" s="2" t="str">
        <f>"3600"</f>
        <v>3600</v>
      </c>
      <c r="M4007" s="2"/>
      <c r="N4007" s="2" t="str">
        <f>"RUE MONETTE"</f>
        <v>RUE MONETTE</v>
      </c>
      <c r="O4007" s="2" t="s">
        <v>17098</v>
      </c>
      <c r="P4007" s="9" t="str">
        <f>VLOOKUP($O4007,'Liste des Villes'!$B$2:$B$1128,1,FALSE)</f>
        <v>L'Ascension</v>
      </c>
      <c r="Q4007" s="9" t="str">
        <f>IFERROR($P4007,PROPER(VLOOKUP($O4007,'Villes en erreur'!$A$2:$B$72,2,FALSE)))</f>
        <v>L'Ascension</v>
      </c>
      <c r="R4007" s="9" t="s">
        <v>17099</v>
      </c>
      <c r="S4007" s="9" t="str">
        <f>IF(ISBLANK($R4007),"",VLOOKUP($R4007,'Liste des Villes'!$B$2:$H$1128,4,FALSE))</f>
        <v>Laurentides</v>
      </c>
      <c r="T4007" s="2" t="s">
        <v>17100</v>
      </c>
      <c r="U4007" s="2" t="s">
        <v>39</v>
      </c>
      <c r="V4007" s="2" t="s">
        <v>40</v>
      </c>
      <c r="W4007" s="2" t="s">
        <v>17104</v>
      </c>
      <c r="X4007" s="2" t="str">
        <f>"4502752919"</f>
        <v>4502752919</v>
      </c>
      <c r="Y4007" s="2" t="str">
        <f>"5149167031"</f>
        <v>5149167031</v>
      </c>
      <c r="Z4007" s="2"/>
      <c r="AA4007" s="2" t="s">
        <v>708</v>
      </c>
      <c r="AB4007" s="2" t="s">
        <v>16576</v>
      </c>
      <c r="AC4007" s="4" t="s">
        <v>44</v>
      </c>
    </row>
    <row r="4008" spans="1:29" x14ac:dyDescent="0.25">
      <c r="A4008" s="1">
        <v>1733</v>
      </c>
      <c r="B4008" s="17" t="s">
        <v>17105</v>
      </c>
      <c r="C4008" s="2" t="s">
        <v>17106</v>
      </c>
      <c r="D4008" s="15" t="s">
        <v>17107</v>
      </c>
      <c r="E4008" s="9" t="s">
        <v>4243</v>
      </c>
      <c r="F4008" s="9" t="s">
        <v>17108</v>
      </c>
      <c r="G4008" s="9" t="s">
        <v>196</v>
      </c>
      <c r="H4008" s="2" t="s">
        <v>35</v>
      </c>
      <c r="I4008" s="3">
        <v>37327</v>
      </c>
      <c r="J4008" s="9" t="str">
        <f t="shared" ca="1" si="65"/>
        <v>21 ans</v>
      </c>
      <c r="K4008" s="2" t="s">
        <v>262</v>
      </c>
      <c r="L4008" s="2" t="str">
        <f>"3541"</f>
        <v>3541</v>
      </c>
      <c r="M4008" s="2"/>
      <c r="N4008" s="2" t="str">
        <f>"RUE MICHEL BLONDIN"</f>
        <v>RUE MICHEL BLONDIN</v>
      </c>
      <c r="O4008" s="2" t="s">
        <v>17098</v>
      </c>
      <c r="P4008" s="9" t="str">
        <f>VLOOKUP($O4008,'Liste des Villes'!$B$2:$B$1128,1,FALSE)</f>
        <v>L'Ascension</v>
      </c>
      <c r="Q4008" s="9" t="str">
        <f>IFERROR($P4008,PROPER(VLOOKUP($O4008,'Villes en erreur'!$A$2:$B$72,2,FALSE)))</f>
        <v>L'Ascension</v>
      </c>
      <c r="R4008" s="9" t="s">
        <v>17099</v>
      </c>
      <c r="S4008" s="9" t="str">
        <f>IF(ISBLANK($R4008),"",VLOOKUP($R4008,'Liste des Villes'!$B$2:$H$1128,4,FALSE))</f>
        <v>Laurentides</v>
      </c>
      <c r="T4008" s="2" t="s">
        <v>17109</v>
      </c>
      <c r="U4008" s="2" t="s">
        <v>39</v>
      </c>
      <c r="V4008" s="2" t="s">
        <v>40</v>
      </c>
      <c r="W4008" s="2" t="s">
        <v>17110</v>
      </c>
      <c r="X4008" s="2" t="str">
        <f>"4502751427"</f>
        <v>4502751427</v>
      </c>
      <c r="Y4008" s="2" t="str">
        <f>"5149247150"</f>
        <v>5149247150</v>
      </c>
      <c r="Z4008" s="2"/>
      <c r="AA4008" s="2" t="s">
        <v>708</v>
      </c>
      <c r="AB4008" s="2" t="s">
        <v>16576</v>
      </c>
      <c r="AC4008" s="4" t="s">
        <v>44</v>
      </c>
    </row>
    <row r="4009" spans="1:29" x14ac:dyDescent="0.25">
      <c r="A4009" s="1">
        <v>24</v>
      </c>
      <c r="B4009" s="17" t="s">
        <v>17111</v>
      </c>
      <c r="C4009" s="2" t="s">
        <v>7803</v>
      </c>
      <c r="D4009" s="15" t="s">
        <v>2474</v>
      </c>
      <c r="E4009" s="9" t="s">
        <v>7804</v>
      </c>
      <c r="F4009" s="9" t="s">
        <v>3553</v>
      </c>
      <c r="G4009" s="9" t="s">
        <v>196</v>
      </c>
      <c r="H4009" s="2" t="s">
        <v>35</v>
      </c>
      <c r="I4009" s="3">
        <v>37328</v>
      </c>
      <c r="J4009" s="9" t="str">
        <f t="shared" ca="1" si="65"/>
        <v>21 ans</v>
      </c>
      <c r="K4009" s="2" t="s">
        <v>262</v>
      </c>
      <c r="L4009" s="2" t="str">
        <f>"3557"</f>
        <v>3557</v>
      </c>
      <c r="M4009" s="2"/>
      <c r="N4009" s="2" t="str">
        <f>"RUE MICHEL-CHAREST"</f>
        <v>RUE MICHEL-CHAREST</v>
      </c>
      <c r="O4009" s="2" t="s">
        <v>17098</v>
      </c>
      <c r="P4009" s="9" t="str">
        <f>VLOOKUP($O4009,'Liste des Villes'!$B$2:$B$1128,1,FALSE)</f>
        <v>L'Ascension</v>
      </c>
      <c r="Q4009" s="9" t="str">
        <f>IFERROR($P4009,PROPER(VLOOKUP($O4009,'Villes en erreur'!$A$2:$B$72,2,FALSE)))</f>
        <v>L'Ascension</v>
      </c>
      <c r="R4009" s="9" t="s">
        <v>17099</v>
      </c>
      <c r="S4009" s="9" t="str">
        <f>IF(ISBLANK($R4009),"",VLOOKUP($R4009,'Liste des Villes'!$B$2:$H$1128,4,FALSE))</f>
        <v>Laurentides</v>
      </c>
      <c r="T4009" s="2" t="s">
        <v>17109</v>
      </c>
      <c r="U4009" s="2" t="s">
        <v>39</v>
      </c>
      <c r="V4009" s="2" t="s">
        <v>40</v>
      </c>
      <c r="W4009" s="2" t="s">
        <v>17112</v>
      </c>
      <c r="X4009" s="2" t="str">
        <f>"4502751748"</f>
        <v>4502751748</v>
      </c>
      <c r="Y4009" s="2" t="str">
        <f>"5149245429"</f>
        <v>5149245429</v>
      </c>
      <c r="Z4009" s="2"/>
      <c r="AA4009" s="2" t="s">
        <v>708</v>
      </c>
      <c r="AB4009" s="2" t="s">
        <v>16576</v>
      </c>
      <c r="AC4009" s="4" t="s">
        <v>44</v>
      </c>
    </row>
    <row r="4010" spans="1:29" x14ac:dyDescent="0.25">
      <c r="A4010" s="1">
        <v>521</v>
      </c>
      <c r="B4010" s="17" t="s">
        <v>17113</v>
      </c>
      <c r="C4010" s="2" t="s">
        <v>17114</v>
      </c>
      <c r="D4010" s="15" t="s">
        <v>12353</v>
      </c>
      <c r="E4010" s="9" t="s">
        <v>2397</v>
      </c>
      <c r="F4010" s="9" t="s">
        <v>12351</v>
      </c>
      <c r="G4010" s="9" t="s">
        <v>196</v>
      </c>
      <c r="H4010" s="2" t="s">
        <v>35</v>
      </c>
      <c r="I4010" s="3">
        <v>37329</v>
      </c>
      <c r="J4010" s="9" t="str">
        <f t="shared" ca="1" si="65"/>
        <v>21 ans</v>
      </c>
      <c r="K4010" s="2" t="s">
        <v>262</v>
      </c>
      <c r="L4010" s="2" t="str">
        <f>"3600"</f>
        <v>3600</v>
      </c>
      <c r="M4010" s="2"/>
      <c r="N4010" s="2" t="str">
        <f>"RUE MONETTE"</f>
        <v>RUE MONETTE</v>
      </c>
      <c r="O4010" s="2" t="s">
        <v>17098</v>
      </c>
      <c r="P4010" s="9" t="str">
        <f>VLOOKUP($O4010,'Liste des Villes'!$B$2:$B$1128,1,FALSE)</f>
        <v>L'Ascension</v>
      </c>
      <c r="Q4010" s="9" t="str">
        <f>IFERROR($P4010,PROPER(VLOOKUP($O4010,'Villes en erreur'!$A$2:$B$72,2,FALSE)))</f>
        <v>L'Ascension</v>
      </c>
      <c r="R4010" s="9" t="s">
        <v>17099</v>
      </c>
      <c r="S4010" s="9" t="str">
        <f>IF(ISBLANK($R4010),"",VLOOKUP($R4010,'Liste des Villes'!$B$2:$H$1128,4,FALSE))</f>
        <v>Laurentides</v>
      </c>
      <c r="T4010" s="2" t="s">
        <v>17115</v>
      </c>
      <c r="U4010" s="2" t="s">
        <v>39</v>
      </c>
      <c r="V4010" s="2" t="s">
        <v>40</v>
      </c>
      <c r="W4010" s="2" t="s">
        <v>17116</v>
      </c>
      <c r="X4010" s="2" t="str">
        <f>"4502753859"</f>
        <v>4502753859</v>
      </c>
      <c r="Y4010" s="2" t="str">
        <f>"5149153181"</f>
        <v>5149153181</v>
      </c>
      <c r="Z4010" s="2"/>
      <c r="AA4010" s="2" t="s">
        <v>708</v>
      </c>
      <c r="AB4010" s="2" t="s">
        <v>16576</v>
      </c>
      <c r="AC4010" s="4" t="s">
        <v>44</v>
      </c>
    </row>
    <row r="4011" spans="1:29" x14ac:dyDescent="0.25">
      <c r="A4011" s="1">
        <v>4241</v>
      </c>
      <c r="B4011" s="17" t="s">
        <v>17117</v>
      </c>
      <c r="C4011" s="2" t="s">
        <v>17118</v>
      </c>
      <c r="D4011" s="15" t="s">
        <v>3445</v>
      </c>
      <c r="E4011" s="9" t="s">
        <v>10713</v>
      </c>
      <c r="F4011" s="9" t="s">
        <v>47</v>
      </c>
      <c r="G4011" s="9" t="s">
        <v>196</v>
      </c>
      <c r="H4011" s="2" t="s">
        <v>35</v>
      </c>
      <c r="I4011" s="3">
        <v>37328</v>
      </c>
      <c r="J4011" s="9" t="str">
        <f t="shared" ca="1" si="65"/>
        <v>21 ans</v>
      </c>
      <c r="K4011" s="2" t="s">
        <v>262</v>
      </c>
      <c r="L4011" s="2" t="str">
        <f>"3561"</f>
        <v>3561</v>
      </c>
      <c r="M4011" s="2"/>
      <c r="N4011" s="2" t="str">
        <f>"RUE MICHEL-DUCLOS"</f>
        <v>RUE MICHEL-DUCLOS</v>
      </c>
      <c r="O4011" s="2" t="s">
        <v>17098</v>
      </c>
      <c r="P4011" s="9" t="str">
        <f>VLOOKUP($O4011,'Liste des Villes'!$B$2:$B$1128,1,FALSE)</f>
        <v>L'Ascension</v>
      </c>
      <c r="Q4011" s="9" t="str">
        <f>IFERROR($P4011,PROPER(VLOOKUP($O4011,'Villes en erreur'!$A$2:$B$72,2,FALSE)))</f>
        <v>L'Ascension</v>
      </c>
      <c r="R4011" s="9" t="s">
        <v>17099</v>
      </c>
      <c r="S4011" s="9" t="str">
        <f>IF(ISBLANK($R4011),"",VLOOKUP($R4011,'Liste des Villes'!$B$2:$H$1128,4,FALSE))</f>
        <v>Laurentides</v>
      </c>
      <c r="T4011" s="2" t="s">
        <v>17100</v>
      </c>
      <c r="U4011" s="2" t="s">
        <v>39</v>
      </c>
      <c r="V4011" s="2" t="s">
        <v>40</v>
      </c>
      <c r="W4011" s="2" t="s">
        <v>17119</v>
      </c>
      <c r="X4011" s="2" t="str">
        <f>"4502752322"</f>
        <v>4502752322</v>
      </c>
      <c r="Y4011" s="2" t="str">
        <f>"5149232981"</f>
        <v>5149232981</v>
      </c>
      <c r="Z4011" s="2"/>
      <c r="AA4011" s="2" t="s">
        <v>708</v>
      </c>
      <c r="AB4011" s="2" t="s">
        <v>16576</v>
      </c>
      <c r="AC4011" s="4" t="s">
        <v>44</v>
      </c>
    </row>
    <row r="4012" spans="1:29" x14ac:dyDescent="0.25">
      <c r="A4012" s="1">
        <v>4417</v>
      </c>
      <c r="B4012" s="17" t="s">
        <v>17120</v>
      </c>
      <c r="C4012" s="2" t="s">
        <v>17121</v>
      </c>
      <c r="D4012" s="15" t="s">
        <v>2852</v>
      </c>
      <c r="E4012" s="9" t="s">
        <v>5652</v>
      </c>
      <c r="F4012" s="9" t="s">
        <v>825</v>
      </c>
      <c r="G4012" s="9" t="s">
        <v>6693</v>
      </c>
      <c r="H4012" s="2" t="s">
        <v>60</v>
      </c>
      <c r="I4012" s="3">
        <v>37330</v>
      </c>
      <c r="J4012" s="9" t="str">
        <f t="shared" ca="1" si="65"/>
        <v>21 ans</v>
      </c>
      <c r="K4012" s="2" t="s">
        <v>262</v>
      </c>
      <c r="L4012" s="2" t="str">
        <f>"3621"</f>
        <v>3621</v>
      </c>
      <c r="M4012" s="2"/>
      <c r="N4012" s="2" t="str">
        <f>"RUE MONIQUE"</f>
        <v>RUE MONIQUE</v>
      </c>
      <c r="O4012" s="2" t="s">
        <v>17122</v>
      </c>
      <c r="P4012" s="9" t="str">
        <f>VLOOKUP($O4012,'Liste des Villes'!$B$2:$B$1128,1,FALSE)</f>
        <v>Lantier</v>
      </c>
      <c r="Q4012" s="9" t="str">
        <f>IFERROR($P4012,PROPER(VLOOKUP($O4012,'Villes en erreur'!$A$2:$B$72,2,FALSE)))</f>
        <v>Lantier</v>
      </c>
      <c r="R4012" s="9" t="s">
        <v>17123</v>
      </c>
      <c r="S4012" s="9" t="str">
        <f>IF(ISBLANK($R4012),"",VLOOKUP($R4012,'Liste des Villes'!$B$2:$H$1128,4,FALSE))</f>
        <v>Laurentides</v>
      </c>
      <c r="T4012" s="2" t="s">
        <v>17124</v>
      </c>
      <c r="U4012" s="2" t="s">
        <v>39</v>
      </c>
      <c r="V4012" s="2" t="s">
        <v>40</v>
      </c>
      <c r="W4012" s="2" t="s">
        <v>17125</v>
      </c>
      <c r="X4012" s="2" t="str">
        <f>"4502754523"</f>
        <v>4502754523</v>
      </c>
      <c r="Y4012" s="2" t="str">
        <f>"5149141742"</f>
        <v>5149141742</v>
      </c>
      <c r="Z4012" s="2"/>
      <c r="AA4012" s="2" t="s">
        <v>708</v>
      </c>
      <c r="AB4012" s="2" t="s">
        <v>16576</v>
      </c>
      <c r="AC4012" s="4" t="s">
        <v>44</v>
      </c>
    </row>
    <row r="4013" spans="1:29" x14ac:dyDescent="0.25">
      <c r="A4013" s="1">
        <v>258</v>
      </c>
      <c r="B4013" s="17" t="s">
        <v>17126</v>
      </c>
      <c r="C4013" s="2" t="s">
        <v>17127</v>
      </c>
      <c r="D4013" s="15" t="s">
        <v>7669</v>
      </c>
      <c r="E4013" s="9" t="s">
        <v>851</v>
      </c>
      <c r="F4013" s="9" t="s">
        <v>2061</v>
      </c>
      <c r="G4013" s="9" t="s">
        <v>1689</v>
      </c>
      <c r="H4013" s="2" t="s">
        <v>60</v>
      </c>
      <c r="I4013" s="3">
        <v>37331</v>
      </c>
      <c r="J4013" s="9" t="str">
        <f t="shared" ca="1" si="65"/>
        <v>21 ans</v>
      </c>
      <c r="K4013" s="2" t="s">
        <v>262</v>
      </c>
      <c r="L4013" s="2" t="str">
        <f>"3652"</f>
        <v>3652</v>
      </c>
      <c r="M4013" s="2"/>
      <c r="N4013" s="2" t="str">
        <f>"RUE MONIQUE"</f>
        <v>RUE MONIQUE</v>
      </c>
      <c r="O4013" s="2" t="s">
        <v>17122</v>
      </c>
      <c r="P4013" s="9" t="str">
        <f>VLOOKUP($O4013,'Liste des Villes'!$B$2:$B$1128,1,FALSE)</f>
        <v>Lantier</v>
      </c>
      <c r="Q4013" s="9" t="str">
        <f>IFERROR($P4013,PROPER(VLOOKUP($O4013,'Villes en erreur'!$A$2:$B$72,2,FALSE)))</f>
        <v>Lantier</v>
      </c>
      <c r="R4013" s="9" t="s">
        <v>17123</v>
      </c>
      <c r="S4013" s="9" t="str">
        <f>IF(ISBLANK($R4013),"",VLOOKUP($R4013,'Liste des Villes'!$B$2:$H$1128,4,FALSE))</f>
        <v>Laurentides</v>
      </c>
      <c r="T4013" s="2" t="s">
        <v>17124</v>
      </c>
      <c r="U4013" s="2" t="s">
        <v>39</v>
      </c>
      <c r="V4013" s="2" t="s">
        <v>40</v>
      </c>
      <c r="W4013" s="2" t="s">
        <v>17128</v>
      </c>
      <c r="X4013" s="2" t="str">
        <f>"4502754825"</f>
        <v>4502754825</v>
      </c>
      <c r="Y4013" s="2" t="str">
        <f>"5149132477"</f>
        <v>5149132477</v>
      </c>
      <c r="Z4013" s="2"/>
      <c r="AA4013" s="2" t="s">
        <v>708</v>
      </c>
      <c r="AB4013" s="2" t="s">
        <v>16576</v>
      </c>
      <c r="AC4013" s="4" t="s">
        <v>44</v>
      </c>
    </row>
    <row r="4014" spans="1:29" x14ac:dyDescent="0.25">
      <c r="A4014" s="1">
        <v>2261</v>
      </c>
      <c r="B4014" s="17" t="s">
        <v>17129</v>
      </c>
      <c r="C4014" s="2" t="s">
        <v>17130</v>
      </c>
      <c r="D4014" s="15" t="s">
        <v>6939</v>
      </c>
      <c r="E4014" s="9" t="s">
        <v>1004</v>
      </c>
      <c r="F4014" s="9" t="s">
        <v>203</v>
      </c>
      <c r="G4014" s="9" t="s">
        <v>10988</v>
      </c>
      <c r="H4014" s="2" t="s">
        <v>60</v>
      </c>
      <c r="I4014" s="3">
        <v>37329</v>
      </c>
      <c r="J4014" s="9" t="str">
        <f t="shared" ca="1" si="65"/>
        <v>21 ans</v>
      </c>
      <c r="K4014" s="2" t="s">
        <v>262</v>
      </c>
      <c r="L4014" s="2" t="str">
        <f>"3614"</f>
        <v>3614</v>
      </c>
      <c r="M4014" s="2"/>
      <c r="N4014" s="2" t="str">
        <f>"RUE MONIQUE"</f>
        <v>RUE MONIQUE</v>
      </c>
      <c r="O4014" s="2" t="s">
        <v>17122</v>
      </c>
      <c r="P4014" s="9" t="str">
        <f>VLOOKUP($O4014,'Liste des Villes'!$B$2:$B$1128,1,FALSE)</f>
        <v>Lantier</v>
      </c>
      <c r="Q4014" s="9" t="str">
        <f>IFERROR($P4014,PROPER(VLOOKUP($O4014,'Villes en erreur'!$A$2:$B$72,2,FALSE)))</f>
        <v>Lantier</v>
      </c>
      <c r="R4014" s="9" t="s">
        <v>17123</v>
      </c>
      <c r="S4014" s="9" t="str">
        <f>IF(ISBLANK($R4014),"",VLOOKUP($R4014,'Liste des Villes'!$B$2:$H$1128,4,FALSE))</f>
        <v>Laurentides</v>
      </c>
      <c r="T4014" s="2" t="s">
        <v>17115</v>
      </c>
      <c r="U4014" s="2" t="s">
        <v>39</v>
      </c>
      <c r="V4014" s="2" t="s">
        <v>40</v>
      </c>
      <c r="W4014" s="2" t="s">
        <v>17131</v>
      </c>
      <c r="X4014" s="2" t="str">
        <f>"4502753954"</f>
        <v>4502753954</v>
      </c>
      <c r="Y4014" s="2" t="str">
        <f>"5149152591"</f>
        <v>5149152591</v>
      </c>
      <c r="Z4014" s="2"/>
      <c r="AA4014" s="2" t="s">
        <v>708</v>
      </c>
      <c r="AB4014" s="2" t="s">
        <v>16576</v>
      </c>
      <c r="AC4014" s="4" t="s">
        <v>44</v>
      </c>
    </row>
    <row r="4015" spans="1:29" x14ac:dyDescent="0.25">
      <c r="A4015" s="1">
        <v>1264</v>
      </c>
      <c r="B4015" s="17" t="s">
        <v>17132</v>
      </c>
      <c r="C4015" s="2" t="s">
        <v>17133</v>
      </c>
      <c r="D4015" s="15" t="s">
        <v>17134</v>
      </c>
      <c r="E4015" s="9" t="s">
        <v>1965</v>
      </c>
      <c r="F4015" s="9" t="s">
        <v>17135</v>
      </c>
      <c r="G4015" s="9" t="s">
        <v>1689</v>
      </c>
      <c r="H4015" s="2" t="s">
        <v>60</v>
      </c>
      <c r="I4015" s="3">
        <v>37331</v>
      </c>
      <c r="J4015" s="9" t="str">
        <f t="shared" ca="1" si="65"/>
        <v>21 ans</v>
      </c>
      <c r="K4015" s="2" t="s">
        <v>262</v>
      </c>
      <c r="L4015" s="2" t="str">
        <f>"3656"</f>
        <v>3656</v>
      </c>
      <c r="M4015" s="2"/>
      <c r="N4015" s="2" t="str">
        <f>"RUE MONIQUE"</f>
        <v>RUE MONIQUE</v>
      </c>
      <c r="O4015" s="2" t="s">
        <v>17136</v>
      </c>
      <c r="P4015" s="9" t="str">
        <f>VLOOKUP($O4015,'Liste des Villes'!$B$2:$B$1128,1,FALSE)</f>
        <v>Lac-Supérieur</v>
      </c>
      <c r="Q4015" s="9" t="str">
        <f>IFERROR($P4015,PROPER(VLOOKUP($O4015,'Villes en erreur'!$A$2:$B$72,2,FALSE)))</f>
        <v>Lac-Supérieur</v>
      </c>
      <c r="R4015" s="9" t="s">
        <v>17137</v>
      </c>
      <c r="S4015" s="9" t="str">
        <f>IF(ISBLANK($R4015),"",VLOOKUP($R4015,'Liste des Villes'!$B$2:$H$1128,4,FALSE))</f>
        <v>Laurentides</v>
      </c>
      <c r="T4015" s="2" t="s">
        <v>17124</v>
      </c>
      <c r="U4015" s="2" t="s">
        <v>39</v>
      </c>
      <c r="V4015" s="2" t="s">
        <v>40</v>
      </c>
      <c r="W4015" s="2" t="s">
        <v>17138</v>
      </c>
      <c r="X4015" s="2" t="str">
        <f>"4502755006"</f>
        <v>4502755006</v>
      </c>
      <c r="Y4015" s="2" t="str">
        <f>"5149120567"</f>
        <v>5149120567</v>
      </c>
      <c r="Z4015" s="2"/>
      <c r="AA4015" s="2" t="s">
        <v>708</v>
      </c>
      <c r="AB4015" s="2" t="s">
        <v>16576</v>
      </c>
      <c r="AC4015" s="4" t="s">
        <v>44</v>
      </c>
    </row>
    <row r="4016" spans="1:29" x14ac:dyDescent="0.25">
      <c r="A4016" s="1">
        <v>3179</v>
      </c>
      <c r="B4016" s="17" t="s">
        <v>17139</v>
      </c>
      <c r="C4016" s="2" t="s">
        <v>8300</v>
      </c>
      <c r="D4016" s="15" t="s">
        <v>6402</v>
      </c>
      <c r="E4016" s="9" t="s">
        <v>5511</v>
      </c>
      <c r="F4016" s="9" t="s">
        <v>718</v>
      </c>
      <c r="G4016" s="9" t="s">
        <v>8083</v>
      </c>
      <c r="H4016" s="2" t="s">
        <v>60</v>
      </c>
      <c r="I4016" s="3">
        <v>37344</v>
      </c>
      <c r="J4016" s="9" t="str">
        <f t="shared" ca="1" si="65"/>
        <v>21 ans</v>
      </c>
      <c r="K4016" s="2" t="s">
        <v>262</v>
      </c>
      <c r="L4016" s="2" t="str">
        <f>"4531"</f>
        <v>4531</v>
      </c>
      <c r="M4016" s="2"/>
      <c r="N4016" s="2" t="str">
        <f>"RUE NANCY"</f>
        <v>RUE NANCY</v>
      </c>
      <c r="O4016" s="2" t="s">
        <v>17140</v>
      </c>
      <c r="P4016" s="9" t="str">
        <f>VLOOKUP($O4016,'Liste des Villes'!$B$2:$B$1128,1,FALSE)</f>
        <v>Lachute</v>
      </c>
      <c r="Q4016" s="9" t="str">
        <f>IFERROR($P4016,PROPER(VLOOKUP($O4016,'Villes en erreur'!$A$2:$B$72,2,FALSE)))</f>
        <v>Lachute</v>
      </c>
      <c r="R4016" s="9" t="s">
        <v>17141</v>
      </c>
      <c r="S4016" s="9" t="str">
        <f>IF(ISBLANK($R4016),"",VLOOKUP($R4016,'Liste des Villes'!$B$2:$H$1128,4,FALSE))</f>
        <v>Laurentides</v>
      </c>
      <c r="T4016" s="2" t="s">
        <v>17142</v>
      </c>
      <c r="U4016" s="2" t="s">
        <v>39</v>
      </c>
      <c r="V4016" s="2" t="s">
        <v>40</v>
      </c>
      <c r="W4016" s="2" t="s">
        <v>17143</v>
      </c>
      <c r="X4016" s="2" t="str">
        <f>"4504701321"</f>
        <v>4504701321</v>
      </c>
      <c r="Y4016" s="2" t="str">
        <f>"5147710890"</f>
        <v>5147710890</v>
      </c>
      <c r="Z4016" s="2"/>
      <c r="AA4016" s="2" t="s">
        <v>708</v>
      </c>
      <c r="AB4016" s="2" t="s">
        <v>16576</v>
      </c>
      <c r="AC4016" s="4" t="s">
        <v>44</v>
      </c>
    </row>
    <row r="4017" spans="1:29" x14ac:dyDescent="0.25">
      <c r="A4017" s="1">
        <v>3522</v>
      </c>
      <c r="B4017" s="17" t="s">
        <v>17144</v>
      </c>
      <c r="C4017" s="2" t="s">
        <v>17145</v>
      </c>
      <c r="D4017" s="15" t="s">
        <v>16611</v>
      </c>
      <c r="E4017" s="9" t="s">
        <v>13431</v>
      </c>
      <c r="F4017" s="9" t="s">
        <v>3252</v>
      </c>
      <c r="G4017" s="9" t="s">
        <v>1766</v>
      </c>
      <c r="H4017" s="2" t="s">
        <v>60</v>
      </c>
      <c r="I4017" s="3">
        <v>37335</v>
      </c>
      <c r="J4017" s="9" t="str">
        <f t="shared" ca="1" si="65"/>
        <v>21 ans</v>
      </c>
      <c r="K4017" s="2" t="s">
        <v>262</v>
      </c>
      <c r="L4017" s="2" t="str">
        <f>"3856"</f>
        <v>3856</v>
      </c>
      <c r="M4017" s="2"/>
      <c r="N4017" s="2" t="str">
        <f>"RUE MOREAU"</f>
        <v>RUE MOREAU</v>
      </c>
      <c r="O4017" s="2" t="s">
        <v>17140</v>
      </c>
      <c r="P4017" s="9" t="str">
        <f>VLOOKUP($O4017,'Liste des Villes'!$B$2:$B$1128,1,FALSE)</f>
        <v>Lachute</v>
      </c>
      <c r="Q4017" s="9" t="str">
        <f>IFERROR($P4017,PROPER(VLOOKUP($O4017,'Villes en erreur'!$A$2:$B$72,2,FALSE)))</f>
        <v>Lachute</v>
      </c>
      <c r="R4017" s="9" t="s">
        <v>17141</v>
      </c>
      <c r="S4017" s="9" t="str">
        <f>IF(ISBLANK($R4017),"",VLOOKUP($R4017,'Liste des Villes'!$B$2:$H$1128,4,FALSE))</f>
        <v>Laurentides</v>
      </c>
      <c r="T4017" s="2" t="s">
        <v>17146</v>
      </c>
      <c r="U4017" s="2" t="s">
        <v>39</v>
      </c>
      <c r="V4017" s="2" t="s">
        <v>40</v>
      </c>
      <c r="W4017" s="2" t="s">
        <v>17147</v>
      </c>
      <c r="X4017" s="2" t="str">
        <f>"4503030539"</f>
        <v>4503030539</v>
      </c>
      <c r="Y4017" s="2" t="str">
        <f>"5148824288"</f>
        <v>5148824288</v>
      </c>
      <c r="Z4017" s="2"/>
      <c r="AA4017" s="2" t="s">
        <v>708</v>
      </c>
      <c r="AB4017" s="2" t="s">
        <v>16576</v>
      </c>
      <c r="AC4017" s="4" t="s">
        <v>44</v>
      </c>
    </row>
    <row r="4018" spans="1:29" x14ac:dyDescent="0.25">
      <c r="A4018" s="1">
        <v>4418</v>
      </c>
      <c r="B4018" s="17" t="s">
        <v>17148</v>
      </c>
      <c r="C4018" s="2" t="s">
        <v>13199</v>
      </c>
      <c r="D4018" s="15" t="s">
        <v>5953</v>
      </c>
      <c r="E4018" s="9" t="s">
        <v>2049</v>
      </c>
      <c r="F4018" s="9" t="s">
        <v>5727</v>
      </c>
      <c r="G4018" s="9" t="s">
        <v>610</v>
      </c>
      <c r="H4018" s="2" t="s">
        <v>60</v>
      </c>
      <c r="I4018" s="3">
        <v>37351</v>
      </c>
      <c r="J4018" s="9" t="str">
        <f t="shared" ca="1" si="65"/>
        <v>21 ans</v>
      </c>
      <c r="K4018" s="2" t="s">
        <v>262</v>
      </c>
      <c r="L4018" s="2" t="str">
        <f>"5451"</f>
        <v>5451</v>
      </c>
      <c r="M4018" s="2"/>
      <c r="N4018" s="2" t="str">
        <f>"RUE OMER-PAQUETTE"</f>
        <v>RUE OMER-PAQUETTE</v>
      </c>
      <c r="O4018" s="2" t="s">
        <v>17141</v>
      </c>
      <c r="P4018" s="9" t="str">
        <f>VLOOKUP($O4018,'Liste des Villes'!$B$2:$B$1128,1,FALSE)</f>
        <v>Lachute</v>
      </c>
      <c r="Q4018" s="9" t="str">
        <f>IFERROR($P4018,PROPER(VLOOKUP($O4018,'Villes en erreur'!$A$2:$B$72,2,FALSE)))</f>
        <v>Lachute</v>
      </c>
      <c r="R4018" s="9" t="s">
        <v>17141</v>
      </c>
      <c r="S4018" s="9" t="str">
        <f>IF(ISBLANK($R4018),"",VLOOKUP($R4018,'Liste des Villes'!$B$2:$H$1128,4,FALSE))</f>
        <v>Laurentides</v>
      </c>
      <c r="T4018" s="2" t="s">
        <v>17149</v>
      </c>
      <c r="U4018" s="2" t="s">
        <v>39</v>
      </c>
      <c r="V4018" s="2" t="s">
        <v>40</v>
      </c>
      <c r="W4018" s="2" t="s">
        <v>17150</v>
      </c>
      <c r="X4018" s="2" t="str">
        <f>"4505161484"</f>
        <v>4505161484</v>
      </c>
      <c r="Y4018" s="2" t="str">
        <f>"5146634801"</f>
        <v>5146634801</v>
      </c>
      <c r="Z4018" s="2"/>
      <c r="AA4018" s="2" t="s">
        <v>266</v>
      </c>
      <c r="AB4018" s="2" t="s">
        <v>267</v>
      </c>
      <c r="AC4018" s="4" t="s">
        <v>44</v>
      </c>
    </row>
    <row r="4019" spans="1:29" x14ac:dyDescent="0.25">
      <c r="A4019" s="1">
        <v>3536</v>
      </c>
      <c r="B4019" s="17" t="s">
        <v>17151</v>
      </c>
      <c r="C4019" s="2" t="s">
        <v>11508</v>
      </c>
      <c r="D4019" s="15" t="s">
        <v>8020</v>
      </c>
      <c r="E4019" s="9" t="s">
        <v>219</v>
      </c>
      <c r="F4019" s="9" t="s">
        <v>9592</v>
      </c>
      <c r="G4019" s="9" t="s">
        <v>610</v>
      </c>
      <c r="H4019" s="2" t="s">
        <v>60</v>
      </c>
      <c r="I4019" s="3">
        <v>37353</v>
      </c>
      <c r="J4019" s="9" t="str">
        <f t="shared" ca="1" si="65"/>
        <v>21 ans</v>
      </c>
      <c r="K4019" s="2" t="s">
        <v>262</v>
      </c>
      <c r="L4019" s="2" t="str">
        <f>"5849"</f>
        <v>5849</v>
      </c>
      <c r="M4019" s="2"/>
      <c r="N4019" s="2" t="str">
        <f>"RUE OUELLETTE"</f>
        <v>RUE OUELLETTE</v>
      </c>
      <c r="O4019" s="2" t="s">
        <v>17140</v>
      </c>
      <c r="P4019" s="9" t="str">
        <f>VLOOKUP($O4019,'Liste des Villes'!$B$2:$B$1128,1,FALSE)</f>
        <v>Lachute</v>
      </c>
      <c r="Q4019" s="9" t="str">
        <f>IFERROR($P4019,PROPER(VLOOKUP($O4019,'Villes en erreur'!$A$2:$B$72,2,FALSE)))</f>
        <v>Lachute</v>
      </c>
      <c r="R4019" s="9" t="s">
        <v>17141</v>
      </c>
      <c r="S4019" s="9" t="str">
        <f>IF(ISBLANK($R4019),"",VLOOKUP($R4019,'Liste des Villes'!$B$2:$H$1128,4,FALSE))</f>
        <v>Laurentides</v>
      </c>
      <c r="T4019" s="2" t="s">
        <v>17152</v>
      </c>
      <c r="U4019" s="2" t="s">
        <v>39</v>
      </c>
      <c r="V4019" s="2" t="s">
        <v>40</v>
      </c>
      <c r="W4019" s="2" t="s">
        <v>17153</v>
      </c>
      <c r="X4019" s="2" t="str">
        <f>"4505163497"</f>
        <v>4505163497</v>
      </c>
      <c r="Y4019" s="2" t="str">
        <f>"5146553445"</f>
        <v>5146553445</v>
      </c>
      <c r="Z4019" s="2"/>
      <c r="AA4019" s="2" t="s">
        <v>266</v>
      </c>
      <c r="AB4019" s="2" t="s">
        <v>267</v>
      </c>
      <c r="AC4019" s="4" t="s">
        <v>44</v>
      </c>
    </row>
    <row r="4020" spans="1:29" x14ac:dyDescent="0.25">
      <c r="A4020" s="1">
        <v>778</v>
      </c>
      <c r="B4020" s="17" t="s">
        <v>17154</v>
      </c>
      <c r="C4020" s="2" t="s">
        <v>17155</v>
      </c>
      <c r="D4020" s="15" t="s">
        <v>14031</v>
      </c>
      <c r="E4020" s="9" t="s">
        <v>1246</v>
      </c>
      <c r="F4020" s="9" t="s">
        <v>7582</v>
      </c>
      <c r="G4020" s="9" t="s">
        <v>5601</v>
      </c>
      <c r="H4020" s="2" t="s">
        <v>35</v>
      </c>
      <c r="I4020" s="3">
        <v>37337</v>
      </c>
      <c r="J4020" s="9" t="str">
        <f t="shared" ca="1" si="65"/>
        <v>21 ans</v>
      </c>
      <c r="K4020" s="2" t="s">
        <v>262</v>
      </c>
      <c r="L4020" s="2" t="str">
        <f>"3872"</f>
        <v>3872</v>
      </c>
      <c r="M4020" s="2"/>
      <c r="N4020" s="2" t="str">
        <f>"RUE MOREAU"</f>
        <v>RUE MOREAU</v>
      </c>
      <c r="O4020" s="2" t="s">
        <v>17140</v>
      </c>
      <c r="P4020" s="9" t="str">
        <f>VLOOKUP($O4020,'Liste des Villes'!$B$2:$B$1128,1,FALSE)</f>
        <v>Lachute</v>
      </c>
      <c r="Q4020" s="9" t="str">
        <f>IFERROR($P4020,PROPER(VLOOKUP($O4020,'Villes en erreur'!$A$2:$B$72,2,FALSE)))</f>
        <v>Lachute</v>
      </c>
      <c r="R4020" s="9" t="s">
        <v>17141</v>
      </c>
      <c r="S4020" s="9" t="str">
        <f>IF(ISBLANK($R4020),"",VLOOKUP($R4020,'Liste des Villes'!$B$2:$H$1128,4,FALSE))</f>
        <v>Laurentides</v>
      </c>
      <c r="T4020" s="2" t="s">
        <v>17156</v>
      </c>
      <c r="U4020" s="2" t="s">
        <v>39</v>
      </c>
      <c r="V4020" s="2" t="s">
        <v>40</v>
      </c>
      <c r="W4020" s="2" t="s">
        <v>17157</v>
      </c>
      <c r="X4020" s="2" t="str">
        <f>"4503311294"</f>
        <v>4503311294</v>
      </c>
      <c r="Y4020" s="2" t="str">
        <f>"5148393162"</f>
        <v>5148393162</v>
      </c>
      <c r="Z4020" s="2"/>
      <c r="AA4020" s="2" t="s">
        <v>708</v>
      </c>
      <c r="AB4020" s="2" t="s">
        <v>16576</v>
      </c>
      <c r="AC4020" s="4" t="s">
        <v>44</v>
      </c>
    </row>
    <row r="4021" spans="1:29" x14ac:dyDescent="0.25">
      <c r="A4021" s="1">
        <v>513</v>
      </c>
      <c r="B4021" s="17" t="s">
        <v>17158</v>
      </c>
      <c r="C4021" s="2" t="s">
        <v>17159</v>
      </c>
      <c r="D4021" s="15" t="s">
        <v>7302</v>
      </c>
      <c r="E4021" s="9" t="s">
        <v>2305</v>
      </c>
      <c r="F4021" s="9" t="s">
        <v>961</v>
      </c>
      <c r="G4021" s="9" t="s">
        <v>1689</v>
      </c>
      <c r="H4021" s="2" t="s">
        <v>60</v>
      </c>
      <c r="I4021" s="3">
        <v>37332</v>
      </c>
      <c r="J4021" s="9" t="str">
        <f t="shared" ca="1" si="65"/>
        <v>21 ans</v>
      </c>
      <c r="K4021" s="2" t="s">
        <v>262</v>
      </c>
      <c r="L4021" s="2" t="str">
        <f>"3730"</f>
        <v>3730</v>
      </c>
      <c r="M4021" s="2"/>
      <c r="N4021" s="2" t="str">
        <f>"RUE MONTCALM"</f>
        <v>RUE MONTCALM</v>
      </c>
      <c r="O4021" s="2" t="s">
        <v>17140</v>
      </c>
      <c r="P4021" s="9" t="str">
        <f>VLOOKUP($O4021,'Liste des Villes'!$B$2:$B$1128,1,FALSE)</f>
        <v>Lachute</v>
      </c>
      <c r="Q4021" s="9" t="str">
        <f>IFERROR($P4021,PROPER(VLOOKUP($O4021,'Villes en erreur'!$A$2:$B$72,2,FALSE)))</f>
        <v>Lachute</v>
      </c>
      <c r="R4021" s="9" t="s">
        <v>17141</v>
      </c>
      <c r="S4021" s="9" t="str">
        <f>IF(ISBLANK($R4021),"",VLOOKUP($R4021,'Liste des Villes'!$B$2:$H$1128,4,FALSE))</f>
        <v>Laurentides</v>
      </c>
      <c r="T4021" s="2" t="s">
        <v>17160</v>
      </c>
      <c r="U4021" s="2" t="s">
        <v>39</v>
      </c>
      <c r="V4021" s="2" t="s">
        <v>40</v>
      </c>
      <c r="W4021" s="2" t="s">
        <v>17161</v>
      </c>
      <c r="X4021" s="2" t="str">
        <f>"4502755549"</f>
        <v>4502755549</v>
      </c>
      <c r="Y4021" s="2" t="str">
        <f>"5148944681"</f>
        <v>5148944681</v>
      </c>
      <c r="Z4021" s="2"/>
      <c r="AA4021" s="2" t="s">
        <v>708</v>
      </c>
      <c r="AB4021" s="2" t="s">
        <v>16576</v>
      </c>
      <c r="AC4021" s="4" t="s">
        <v>44</v>
      </c>
    </row>
    <row r="4022" spans="1:29" x14ac:dyDescent="0.25">
      <c r="A4022" s="1">
        <v>352</v>
      </c>
      <c r="B4022" s="17" t="s">
        <v>17162</v>
      </c>
      <c r="C4022" s="2" t="s">
        <v>17163</v>
      </c>
      <c r="D4022" s="15" t="s">
        <v>9136</v>
      </c>
      <c r="E4022" s="9" t="s">
        <v>7879</v>
      </c>
      <c r="F4022" s="9" t="s">
        <v>1301</v>
      </c>
      <c r="G4022" s="9" t="s">
        <v>1689</v>
      </c>
      <c r="H4022" s="2" t="s">
        <v>60</v>
      </c>
      <c r="I4022" s="3">
        <v>37333</v>
      </c>
      <c r="J4022" s="9" t="str">
        <f t="shared" ca="1" si="65"/>
        <v>21 ans</v>
      </c>
      <c r="K4022" s="2" t="s">
        <v>262</v>
      </c>
      <c r="L4022" s="2" t="str">
        <f>"3796"</f>
        <v>3796</v>
      </c>
      <c r="M4022" s="2"/>
      <c r="N4022" s="2" t="str">
        <f>"RUE MONTCLAIR"</f>
        <v>RUE MONTCLAIR</v>
      </c>
      <c r="O4022" s="2" t="s">
        <v>17140</v>
      </c>
      <c r="P4022" s="9" t="str">
        <f>VLOOKUP($O4022,'Liste des Villes'!$B$2:$B$1128,1,FALSE)</f>
        <v>Lachute</v>
      </c>
      <c r="Q4022" s="9" t="str">
        <f>IFERROR($P4022,PROPER(VLOOKUP($O4022,'Villes en erreur'!$A$2:$B$72,2,FALSE)))</f>
        <v>Lachute</v>
      </c>
      <c r="R4022" s="9" t="s">
        <v>17141</v>
      </c>
      <c r="S4022" s="9" t="str">
        <f>IF(ISBLANK($R4022),"",VLOOKUP($R4022,'Liste des Villes'!$B$2:$H$1128,4,FALSE))</f>
        <v>Laurentides</v>
      </c>
      <c r="T4022" s="2" t="s">
        <v>17164</v>
      </c>
      <c r="U4022" s="2" t="s">
        <v>39</v>
      </c>
      <c r="V4022" s="2" t="s">
        <v>40</v>
      </c>
      <c r="W4022" s="2" t="s">
        <v>17165</v>
      </c>
      <c r="X4022" s="2" t="str">
        <f>"4502760147"</f>
        <v>4502760147</v>
      </c>
      <c r="Y4022" s="2" t="str">
        <f>"5148872454"</f>
        <v>5148872454</v>
      </c>
      <c r="Z4022" s="2"/>
      <c r="AA4022" s="2" t="s">
        <v>708</v>
      </c>
      <c r="AB4022" s="2" t="s">
        <v>16576</v>
      </c>
      <c r="AC4022" s="4" t="s">
        <v>44</v>
      </c>
    </row>
    <row r="4023" spans="1:29" x14ac:dyDescent="0.25">
      <c r="A4023" s="1">
        <v>3712</v>
      </c>
      <c r="B4023" s="17" t="s">
        <v>17166</v>
      </c>
      <c r="C4023" s="2" t="s">
        <v>7883</v>
      </c>
      <c r="D4023" s="15" t="s">
        <v>7381</v>
      </c>
      <c r="E4023" s="9" t="s">
        <v>94</v>
      </c>
      <c r="F4023" s="9" t="s">
        <v>6322</v>
      </c>
      <c r="G4023" s="9" t="s">
        <v>610</v>
      </c>
      <c r="H4023" s="2" t="s">
        <v>60</v>
      </c>
      <c r="I4023" s="3">
        <v>37350</v>
      </c>
      <c r="J4023" s="9" t="str">
        <f t="shared" ca="1" si="65"/>
        <v>21 ans</v>
      </c>
      <c r="K4023" s="2" t="s">
        <v>262</v>
      </c>
      <c r="L4023" s="2" t="str">
        <f>"5420"</f>
        <v>5420</v>
      </c>
      <c r="M4023" s="2"/>
      <c r="N4023" s="2" t="str">
        <f>"RUE OLIVIA"</f>
        <v>RUE OLIVIA</v>
      </c>
      <c r="O4023" s="2" t="s">
        <v>17140</v>
      </c>
      <c r="P4023" s="9" t="str">
        <f>VLOOKUP($O4023,'Liste des Villes'!$B$2:$B$1128,1,FALSE)</f>
        <v>Lachute</v>
      </c>
      <c r="Q4023" s="9" t="str">
        <f>IFERROR($P4023,PROPER(VLOOKUP($O4023,'Villes en erreur'!$A$2:$B$72,2,FALSE)))</f>
        <v>Lachute</v>
      </c>
      <c r="R4023" s="9" t="s">
        <v>17141</v>
      </c>
      <c r="S4023" s="9" t="str">
        <f>IF(ISBLANK($R4023),"",VLOOKUP($R4023,'Liste des Villes'!$B$2:$H$1128,4,FALSE))</f>
        <v>Laurentides</v>
      </c>
      <c r="T4023" s="2" t="s">
        <v>17167</v>
      </c>
      <c r="U4023" s="2" t="s">
        <v>39</v>
      </c>
      <c r="V4023" s="2" t="s">
        <v>40</v>
      </c>
      <c r="W4023" s="2" t="s">
        <v>17168</v>
      </c>
      <c r="X4023" s="2" t="str">
        <f>"4505128498"</f>
        <v>4505128498</v>
      </c>
      <c r="Y4023" s="2" t="str">
        <f>"5146684739"</f>
        <v>5146684739</v>
      </c>
      <c r="Z4023" s="2"/>
      <c r="AA4023" s="2" t="s">
        <v>266</v>
      </c>
      <c r="AB4023" s="2" t="s">
        <v>267</v>
      </c>
      <c r="AC4023" s="4" t="s">
        <v>44</v>
      </c>
    </row>
    <row r="4024" spans="1:29" x14ac:dyDescent="0.25">
      <c r="A4024" s="1">
        <v>1587</v>
      </c>
      <c r="B4024" s="17" t="s">
        <v>17169</v>
      </c>
      <c r="C4024" s="2" t="s">
        <v>12093</v>
      </c>
      <c r="D4024" s="15" t="s">
        <v>8828</v>
      </c>
      <c r="E4024" s="9" t="s">
        <v>137</v>
      </c>
      <c r="F4024" s="9" t="s">
        <v>527</v>
      </c>
      <c r="G4024" s="9" t="s">
        <v>610</v>
      </c>
      <c r="H4024" s="2" t="s">
        <v>60</v>
      </c>
      <c r="I4024" s="3">
        <v>37352</v>
      </c>
      <c r="J4024" s="9" t="str">
        <f t="shared" ca="1" si="65"/>
        <v>21 ans</v>
      </c>
      <c r="K4024" s="2" t="s">
        <v>262</v>
      </c>
      <c r="L4024" s="2" t="str">
        <f>"5700"</f>
        <v>5700</v>
      </c>
      <c r="M4024" s="2"/>
      <c r="N4024" s="2" t="str">
        <f>"RUE OMER-PAQUETTE"</f>
        <v>RUE OMER-PAQUETTE</v>
      </c>
      <c r="O4024" s="2" t="s">
        <v>17140</v>
      </c>
      <c r="P4024" s="9" t="str">
        <f>VLOOKUP($O4024,'Liste des Villes'!$B$2:$B$1128,1,FALSE)</f>
        <v>Lachute</v>
      </c>
      <c r="Q4024" s="9" t="str">
        <f>IFERROR($P4024,PROPER(VLOOKUP($O4024,'Villes en erreur'!$A$2:$B$72,2,FALSE)))</f>
        <v>Lachute</v>
      </c>
      <c r="R4024" s="9" t="s">
        <v>17141</v>
      </c>
      <c r="S4024" s="9" t="str">
        <f>IF(ISBLANK($R4024),"",VLOOKUP($R4024,'Liste des Villes'!$B$2:$H$1128,4,FALSE))</f>
        <v>Laurentides</v>
      </c>
      <c r="T4024" s="2" t="s">
        <v>17170</v>
      </c>
      <c r="U4024" s="2" t="s">
        <v>39</v>
      </c>
      <c r="V4024" s="2" t="s">
        <v>40</v>
      </c>
      <c r="W4024" s="2" t="s">
        <v>17171</v>
      </c>
      <c r="X4024" s="2" t="str">
        <f>"4505161888"</f>
        <v>4505161888</v>
      </c>
      <c r="Y4024" s="2" t="str">
        <f>"5146624001"</f>
        <v>5146624001</v>
      </c>
      <c r="Z4024" s="2"/>
      <c r="AA4024" s="2" t="s">
        <v>266</v>
      </c>
      <c r="AB4024" s="2" t="s">
        <v>267</v>
      </c>
      <c r="AC4024" s="4" t="s">
        <v>44</v>
      </c>
    </row>
    <row r="4025" spans="1:29" x14ac:dyDescent="0.25">
      <c r="A4025" s="1">
        <v>3267</v>
      </c>
      <c r="B4025" s="17" t="s">
        <v>17172</v>
      </c>
      <c r="C4025" s="2" t="s">
        <v>17173</v>
      </c>
      <c r="D4025" s="15" t="s">
        <v>6704</v>
      </c>
      <c r="E4025" s="9" t="s">
        <v>391</v>
      </c>
      <c r="F4025" s="9" t="s">
        <v>6702</v>
      </c>
      <c r="G4025" s="9" t="s">
        <v>3682</v>
      </c>
      <c r="H4025" s="2" t="s">
        <v>60</v>
      </c>
      <c r="I4025" s="3">
        <v>37343</v>
      </c>
      <c r="J4025" s="9" t="str">
        <f t="shared" ca="1" si="65"/>
        <v>21 ans</v>
      </c>
      <c r="K4025" s="2" t="s">
        <v>262</v>
      </c>
      <c r="L4025" s="2" t="str">
        <f>"4295"</f>
        <v>4295</v>
      </c>
      <c r="M4025" s="2"/>
      <c r="N4025" s="2" t="str">
        <f>"RUE NADON"</f>
        <v>RUE NADON</v>
      </c>
      <c r="O4025" s="2" t="s">
        <v>17140</v>
      </c>
      <c r="P4025" s="9" t="str">
        <f>VLOOKUP($O4025,'Liste des Villes'!$B$2:$B$1128,1,FALSE)</f>
        <v>Lachute</v>
      </c>
      <c r="Q4025" s="9" t="str">
        <f>IFERROR($P4025,PROPER(VLOOKUP($O4025,'Villes en erreur'!$A$2:$B$72,2,FALSE)))</f>
        <v>Lachute</v>
      </c>
      <c r="R4025" s="9" t="s">
        <v>17141</v>
      </c>
      <c r="S4025" s="9" t="str">
        <f>IF(ISBLANK($R4025),"",VLOOKUP($R4025,'Liste des Villes'!$B$2:$H$1128,4,FALSE))</f>
        <v>Laurentides</v>
      </c>
      <c r="T4025" s="2" t="s">
        <v>17174</v>
      </c>
      <c r="U4025" s="2" t="s">
        <v>39</v>
      </c>
      <c r="V4025" s="2" t="s">
        <v>40</v>
      </c>
      <c r="W4025" s="2" t="s">
        <v>17175</v>
      </c>
      <c r="X4025" s="2" t="str">
        <f>"4504368151"</f>
        <v>4504368151</v>
      </c>
      <c r="Y4025" s="2" t="str">
        <f>"5147756653"</f>
        <v>5147756653</v>
      </c>
      <c r="Z4025" s="2"/>
      <c r="AA4025" s="2" t="s">
        <v>708</v>
      </c>
      <c r="AB4025" s="2" t="s">
        <v>16576</v>
      </c>
      <c r="AC4025" s="4" t="s">
        <v>44</v>
      </c>
    </row>
    <row r="4026" spans="1:29" x14ac:dyDescent="0.25">
      <c r="A4026" s="1">
        <v>687</v>
      </c>
      <c r="B4026" s="17" t="s">
        <v>17176</v>
      </c>
      <c r="C4026" s="2" t="s">
        <v>17177</v>
      </c>
      <c r="D4026" s="15" t="s">
        <v>5743</v>
      </c>
      <c r="E4026" s="9" t="s">
        <v>15589</v>
      </c>
      <c r="F4026" s="9" t="s">
        <v>5742</v>
      </c>
      <c r="G4026" s="9" t="s">
        <v>610</v>
      </c>
      <c r="H4026" s="2" t="s">
        <v>60</v>
      </c>
      <c r="I4026" s="3">
        <v>37350</v>
      </c>
      <c r="J4026" s="9" t="str">
        <f t="shared" ca="1" si="65"/>
        <v>21 ans</v>
      </c>
      <c r="K4026" s="2" t="s">
        <v>262</v>
      </c>
      <c r="L4026" s="2" t="str">
        <f>"5195"</f>
        <v>5195</v>
      </c>
      <c r="M4026" s="2"/>
      <c r="N4026" s="2" t="str">
        <f>"RUE NOTRE-DAME"</f>
        <v>RUE NOTRE-DAME</v>
      </c>
      <c r="O4026" s="2" t="s">
        <v>17140</v>
      </c>
      <c r="P4026" s="9" t="str">
        <f>VLOOKUP($O4026,'Liste des Villes'!$B$2:$B$1128,1,FALSE)</f>
        <v>Lachute</v>
      </c>
      <c r="Q4026" s="9" t="str">
        <f>IFERROR($P4026,PROPER(VLOOKUP($O4026,'Villes en erreur'!$A$2:$B$72,2,FALSE)))</f>
        <v>Lachute</v>
      </c>
      <c r="R4026" s="9" t="s">
        <v>17141</v>
      </c>
      <c r="S4026" s="9" t="str">
        <f>IF(ISBLANK($R4026),"",VLOOKUP($R4026,'Liste des Villes'!$B$2:$H$1128,4,FALSE))</f>
        <v>Laurentides</v>
      </c>
      <c r="T4026" s="2" t="s">
        <v>17178</v>
      </c>
      <c r="U4026" s="2" t="s">
        <v>39</v>
      </c>
      <c r="V4026" s="2" t="s">
        <v>40</v>
      </c>
      <c r="W4026" s="2" t="s">
        <v>17179</v>
      </c>
      <c r="X4026" s="2" t="str">
        <f>"4505126164"</f>
        <v>4505126164</v>
      </c>
      <c r="Y4026" s="2" t="str">
        <f>"5146775981"</f>
        <v>5146775981</v>
      </c>
      <c r="Z4026" s="2"/>
      <c r="AA4026" s="2" t="s">
        <v>708</v>
      </c>
      <c r="AB4026" s="2" t="s">
        <v>16576</v>
      </c>
      <c r="AC4026" s="4" t="s">
        <v>44</v>
      </c>
    </row>
    <row r="4027" spans="1:29" x14ac:dyDescent="0.25">
      <c r="A4027" s="1">
        <v>356</v>
      </c>
      <c r="B4027" s="17" t="s">
        <v>17180</v>
      </c>
      <c r="C4027" s="2" t="s">
        <v>2231</v>
      </c>
      <c r="D4027" s="15" t="s">
        <v>2232</v>
      </c>
      <c r="E4027" s="9" t="s">
        <v>348</v>
      </c>
      <c r="F4027" s="9" t="s">
        <v>2233</v>
      </c>
      <c r="G4027" s="9" t="s">
        <v>2512</v>
      </c>
      <c r="H4027" s="2" t="s">
        <v>60</v>
      </c>
      <c r="I4027" s="3">
        <v>37339</v>
      </c>
      <c r="J4027" s="9" t="str">
        <f t="shared" ca="1" si="65"/>
        <v>21 ans</v>
      </c>
      <c r="K4027" s="2" t="s">
        <v>262</v>
      </c>
      <c r="L4027" s="2" t="str">
        <f>"3917"</f>
        <v>3917</v>
      </c>
      <c r="M4027" s="2"/>
      <c r="N4027" s="2" t="str">
        <f>"RUE MORIN"</f>
        <v>RUE MORIN</v>
      </c>
      <c r="O4027" s="2" t="s">
        <v>17140</v>
      </c>
      <c r="P4027" s="9" t="str">
        <f>VLOOKUP($O4027,'Liste des Villes'!$B$2:$B$1128,1,FALSE)</f>
        <v>Lachute</v>
      </c>
      <c r="Q4027" s="9" t="str">
        <f>IFERROR($P4027,PROPER(VLOOKUP($O4027,'Villes en erreur'!$A$2:$B$72,2,FALSE)))</f>
        <v>Lachute</v>
      </c>
      <c r="R4027" s="9" t="s">
        <v>17141</v>
      </c>
      <c r="S4027" s="9" t="str">
        <f>IF(ISBLANK($R4027),"",VLOOKUP($R4027,'Liste des Villes'!$B$2:$H$1128,4,FALSE))</f>
        <v>Laurentides</v>
      </c>
      <c r="T4027" s="2" t="s">
        <v>17181</v>
      </c>
      <c r="U4027" s="2" t="s">
        <v>39</v>
      </c>
      <c r="V4027" s="2" t="s">
        <v>40</v>
      </c>
      <c r="W4027" s="2" t="s">
        <v>17182</v>
      </c>
      <c r="X4027" s="2" t="str">
        <f>"4504140787"</f>
        <v>4504140787</v>
      </c>
      <c r="Y4027" s="2" t="str">
        <f>"5148335846"</f>
        <v>5148335846</v>
      </c>
      <c r="Z4027" s="2"/>
      <c r="AA4027" s="2" t="s">
        <v>708</v>
      </c>
      <c r="AB4027" s="2" t="s">
        <v>16576</v>
      </c>
      <c r="AC4027" s="4" t="s">
        <v>44</v>
      </c>
    </row>
    <row r="4028" spans="1:29" x14ac:dyDescent="0.25">
      <c r="A4028" s="1">
        <v>421</v>
      </c>
      <c r="B4028" s="17" t="s">
        <v>17183</v>
      </c>
      <c r="C4028" s="2" t="s">
        <v>6707</v>
      </c>
      <c r="D4028" s="15" t="s">
        <v>4653</v>
      </c>
      <c r="E4028" s="9" t="s">
        <v>956</v>
      </c>
      <c r="F4028" s="9" t="s">
        <v>11865</v>
      </c>
      <c r="G4028" s="9" t="s">
        <v>610</v>
      </c>
      <c r="H4028" s="2" t="s">
        <v>60</v>
      </c>
      <c r="I4028" s="3">
        <v>37346</v>
      </c>
      <c r="J4028" s="9" t="str">
        <f t="shared" ca="1" si="65"/>
        <v>21 ans</v>
      </c>
      <c r="K4028" s="2" t="s">
        <v>262</v>
      </c>
      <c r="L4028" s="2" t="str">
        <f>"4745"</f>
        <v>4745</v>
      </c>
      <c r="M4028" s="2"/>
      <c r="N4028" s="2" t="str">
        <f>"RUE NANCY"</f>
        <v>RUE NANCY</v>
      </c>
      <c r="O4028" s="2" t="s">
        <v>17140</v>
      </c>
      <c r="P4028" s="9" t="str">
        <f>VLOOKUP($O4028,'Liste des Villes'!$B$2:$B$1128,1,FALSE)</f>
        <v>Lachute</v>
      </c>
      <c r="Q4028" s="9" t="str">
        <f>IFERROR($P4028,PROPER(VLOOKUP($O4028,'Villes en erreur'!$A$2:$B$72,2,FALSE)))</f>
        <v>Lachute</v>
      </c>
      <c r="R4028" s="9" t="s">
        <v>17141</v>
      </c>
      <c r="S4028" s="9" t="str">
        <f>IF(ISBLANK($R4028),"",VLOOKUP($R4028,'Liste des Villes'!$B$2:$H$1128,4,FALSE))</f>
        <v>Laurentides</v>
      </c>
      <c r="T4028" s="2" t="s">
        <v>17184</v>
      </c>
      <c r="U4028" s="2" t="s">
        <v>39</v>
      </c>
      <c r="V4028" s="2" t="s">
        <v>40</v>
      </c>
      <c r="W4028" s="2" t="s">
        <v>17185</v>
      </c>
      <c r="X4028" s="2" t="str">
        <f>"4504959399"</f>
        <v>4504959399</v>
      </c>
      <c r="Y4028" s="2" t="str">
        <f>"5147161647"</f>
        <v>5147161647</v>
      </c>
      <c r="Z4028" s="2"/>
      <c r="AA4028" s="2" t="s">
        <v>708</v>
      </c>
      <c r="AB4028" s="2" t="s">
        <v>16576</v>
      </c>
      <c r="AC4028" s="4" t="s">
        <v>44</v>
      </c>
    </row>
    <row r="4029" spans="1:29" x14ac:dyDescent="0.25">
      <c r="A4029" s="1">
        <v>4008</v>
      </c>
      <c r="B4029" s="17" t="s">
        <v>17186</v>
      </c>
      <c r="C4029" s="2" t="s">
        <v>17187</v>
      </c>
      <c r="D4029" s="15" t="s">
        <v>1294</v>
      </c>
      <c r="E4029" s="9" t="s">
        <v>1377</v>
      </c>
      <c r="F4029" s="9" t="s">
        <v>1293</v>
      </c>
      <c r="G4029" s="9" t="s">
        <v>1689</v>
      </c>
      <c r="H4029" s="2" t="s">
        <v>60</v>
      </c>
      <c r="I4029" s="3">
        <v>37332</v>
      </c>
      <c r="J4029" s="9" t="str">
        <f t="shared" ca="1" si="65"/>
        <v>21 ans</v>
      </c>
      <c r="K4029" s="2" t="s">
        <v>262</v>
      </c>
      <c r="L4029" s="2" t="str">
        <f>"3748"</f>
        <v>3748</v>
      </c>
      <c r="M4029" s="2"/>
      <c r="N4029" s="2" t="str">
        <f>"RUE MONTCALM"</f>
        <v>RUE MONTCALM</v>
      </c>
      <c r="O4029" s="2" t="s">
        <v>17140</v>
      </c>
      <c r="P4029" s="9" t="str">
        <f>VLOOKUP($O4029,'Liste des Villes'!$B$2:$B$1128,1,FALSE)</f>
        <v>Lachute</v>
      </c>
      <c r="Q4029" s="9" t="str">
        <f>IFERROR($P4029,PROPER(VLOOKUP($O4029,'Villes en erreur'!$A$2:$B$72,2,FALSE)))</f>
        <v>Lachute</v>
      </c>
      <c r="R4029" s="9" t="s">
        <v>17141</v>
      </c>
      <c r="S4029" s="9" t="str">
        <f>IF(ISBLANK($R4029),"",VLOOKUP($R4029,'Liste des Villes'!$B$2:$H$1128,4,FALSE))</f>
        <v>Laurentides</v>
      </c>
      <c r="T4029" s="2" t="s">
        <v>17188</v>
      </c>
      <c r="U4029" s="2" t="s">
        <v>39</v>
      </c>
      <c r="V4029" s="2" t="s">
        <v>40</v>
      </c>
      <c r="W4029" s="2" t="s">
        <v>17189</v>
      </c>
      <c r="X4029" s="2" t="str">
        <f>"4502757183"</f>
        <v>4502757183</v>
      </c>
      <c r="Y4029" s="2" t="str">
        <f>"5148943463"</f>
        <v>5148943463</v>
      </c>
      <c r="Z4029" s="2"/>
      <c r="AA4029" s="2" t="s">
        <v>708</v>
      </c>
      <c r="AB4029" s="2" t="s">
        <v>16576</v>
      </c>
      <c r="AC4029" s="4" t="s">
        <v>44</v>
      </c>
    </row>
    <row r="4030" spans="1:29" x14ac:dyDescent="0.25">
      <c r="A4030" s="1">
        <v>861</v>
      </c>
      <c r="B4030" s="17" t="s">
        <v>17190</v>
      </c>
      <c r="C4030" s="2" t="s">
        <v>8635</v>
      </c>
      <c r="D4030" s="15" t="s">
        <v>3810</v>
      </c>
      <c r="E4030" s="9" t="s">
        <v>2198</v>
      </c>
      <c r="F4030" s="9" t="s">
        <v>5177</v>
      </c>
      <c r="G4030" s="9" t="s">
        <v>610</v>
      </c>
      <c r="H4030" s="2" t="s">
        <v>60</v>
      </c>
      <c r="I4030" s="3">
        <v>37354</v>
      </c>
      <c r="J4030" s="9" t="str">
        <f t="shared" ca="1" si="65"/>
        <v>21 ans</v>
      </c>
      <c r="K4030" s="2" t="s">
        <v>262</v>
      </c>
      <c r="L4030" s="2" t="str">
        <f>"6011"</f>
        <v>6011</v>
      </c>
      <c r="M4030" s="2"/>
      <c r="N4030" s="2" t="str">
        <f>"RUE OUELLETTE"</f>
        <v>RUE OUELLETTE</v>
      </c>
      <c r="O4030" s="2" t="s">
        <v>17140</v>
      </c>
      <c r="P4030" s="9" t="str">
        <f>VLOOKUP($O4030,'Liste des Villes'!$B$2:$B$1128,1,FALSE)</f>
        <v>Lachute</v>
      </c>
      <c r="Q4030" s="9" t="str">
        <f>IFERROR($P4030,PROPER(VLOOKUP($O4030,'Villes en erreur'!$A$2:$B$72,2,FALSE)))</f>
        <v>Lachute</v>
      </c>
      <c r="R4030" s="9" t="s">
        <v>17141</v>
      </c>
      <c r="S4030" s="9" t="str">
        <f>IF(ISBLANK($R4030),"",VLOOKUP($R4030,'Liste des Villes'!$B$2:$H$1128,4,FALSE))</f>
        <v>Laurentides</v>
      </c>
      <c r="T4030" s="2" t="s">
        <v>17191</v>
      </c>
      <c r="U4030" s="2" t="s">
        <v>39</v>
      </c>
      <c r="V4030" s="2" t="s">
        <v>40</v>
      </c>
      <c r="W4030" s="2" t="s">
        <v>17192</v>
      </c>
      <c r="X4030" s="2" t="str">
        <f>"4505164995"</f>
        <v>4505164995</v>
      </c>
      <c r="Y4030" s="2" t="str">
        <f>"5146495096"</f>
        <v>5146495096</v>
      </c>
      <c r="Z4030" s="2"/>
      <c r="AA4030" s="2" t="s">
        <v>266</v>
      </c>
      <c r="AB4030" s="2" t="s">
        <v>267</v>
      </c>
      <c r="AC4030" s="4" t="s">
        <v>44</v>
      </c>
    </row>
    <row r="4031" spans="1:29" x14ac:dyDescent="0.25">
      <c r="A4031" s="1">
        <v>3426</v>
      </c>
      <c r="B4031" s="17" t="s">
        <v>17193</v>
      </c>
      <c r="C4031" s="2" t="s">
        <v>17194</v>
      </c>
      <c r="D4031" s="15" t="s">
        <v>11114</v>
      </c>
      <c r="E4031" s="9" t="s">
        <v>616</v>
      </c>
      <c r="F4031" s="9" t="s">
        <v>11113</v>
      </c>
      <c r="G4031" s="9" t="s">
        <v>2755</v>
      </c>
      <c r="H4031" s="2" t="s">
        <v>35</v>
      </c>
      <c r="I4031" s="3">
        <v>37334</v>
      </c>
      <c r="J4031" s="9" t="str">
        <f t="shared" ca="1" si="65"/>
        <v>21 ans</v>
      </c>
      <c r="K4031" s="2" t="s">
        <v>262</v>
      </c>
      <c r="L4031" s="2" t="str">
        <f>"3833"</f>
        <v>3833</v>
      </c>
      <c r="M4031" s="2"/>
      <c r="N4031" s="2" t="str">
        <f>"RUE MONTY"</f>
        <v>RUE MONTY</v>
      </c>
      <c r="O4031" s="2" t="s">
        <v>17140</v>
      </c>
      <c r="P4031" s="9" t="str">
        <f>VLOOKUP($O4031,'Liste des Villes'!$B$2:$B$1128,1,FALSE)</f>
        <v>Lachute</v>
      </c>
      <c r="Q4031" s="9" t="str">
        <f>IFERROR($P4031,PROPER(VLOOKUP($O4031,'Villes en erreur'!$A$2:$B$72,2,FALSE)))</f>
        <v>Lachute</v>
      </c>
      <c r="R4031" s="9" t="s">
        <v>17141</v>
      </c>
      <c r="S4031" s="9" t="str">
        <f>IF(ISBLANK($R4031),"",VLOOKUP($R4031,'Liste des Villes'!$B$2:$H$1128,4,FALSE))</f>
        <v>Laurentides</v>
      </c>
      <c r="T4031" s="2" t="s">
        <v>17146</v>
      </c>
      <c r="U4031" s="2" t="s">
        <v>39</v>
      </c>
      <c r="V4031" s="2" t="s">
        <v>40</v>
      </c>
      <c r="W4031" s="2" t="s">
        <v>17195</v>
      </c>
      <c r="X4031" s="2" t="str">
        <f>"4502800691"</f>
        <v>4502800691</v>
      </c>
      <c r="Y4031" s="2" t="str">
        <f>"5148863441"</f>
        <v>5148863441</v>
      </c>
      <c r="Z4031" s="2"/>
      <c r="AA4031" s="2" t="s">
        <v>708</v>
      </c>
      <c r="AB4031" s="2" t="s">
        <v>16576</v>
      </c>
      <c r="AC4031" s="4" t="s">
        <v>44</v>
      </c>
    </row>
    <row r="4032" spans="1:29" x14ac:dyDescent="0.25">
      <c r="A4032" s="1">
        <v>3225</v>
      </c>
      <c r="B4032" s="17" t="s">
        <v>17196</v>
      </c>
      <c r="C4032" s="2" t="s">
        <v>17197</v>
      </c>
      <c r="D4032" s="15" t="s">
        <v>3177</v>
      </c>
      <c r="E4032" s="9" t="s">
        <v>11715</v>
      </c>
      <c r="F4032" s="9" t="s">
        <v>3176</v>
      </c>
      <c r="G4032" s="9" t="s">
        <v>16559</v>
      </c>
      <c r="H4032" s="2" t="s">
        <v>60</v>
      </c>
      <c r="I4032" s="3">
        <v>37335</v>
      </c>
      <c r="J4032" s="9" t="str">
        <f t="shared" ca="1" si="65"/>
        <v>21 ans</v>
      </c>
      <c r="K4032" s="2" t="s">
        <v>262</v>
      </c>
      <c r="L4032" s="2" t="str">
        <f>"3857"</f>
        <v>3857</v>
      </c>
      <c r="M4032" s="2"/>
      <c r="N4032" s="2" t="str">
        <f>"RUE MOREAU"</f>
        <v>RUE MOREAU</v>
      </c>
      <c r="O4032" s="2" t="s">
        <v>17140</v>
      </c>
      <c r="P4032" s="9" t="str">
        <f>VLOOKUP($O4032,'Liste des Villes'!$B$2:$B$1128,1,FALSE)</f>
        <v>Lachute</v>
      </c>
      <c r="Q4032" s="9" t="str">
        <f>IFERROR($P4032,PROPER(VLOOKUP($O4032,'Villes en erreur'!$A$2:$B$72,2,FALSE)))</f>
        <v>Lachute</v>
      </c>
      <c r="R4032" s="9" t="s">
        <v>17141</v>
      </c>
      <c r="S4032" s="9" t="str">
        <f>IF(ISBLANK($R4032),"",VLOOKUP($R4032,'Liste des Villes'!$B$2:$H$1128,4,FALSE))</f>
        <v>Laurentides</v>
      </c>
      <c r="T4032" s="2" t="s">
        <v>17146</v>
      </c>
      <c r="U4032" s="2" t="s">
        <v>39</v>
      </c>
      <c r="V4032" s="2" t="s">
        <v>40</v>
      </c>
      <c r="W4032" s="2" t="s">
        <v>17198</v>
      </c>
      <c r="X4032" s="2" t="str">
        <f>"4503042550"</f>
        <v>4503042550</v>
      </c>
      <c r="Y4032" s="2" t="str">
        <f>"5148658575"</f>
        <v>5148658575</v>
      </c>
      <c r="Z4032" s="2"/>
      <c r="AA4032" s="2" t="s">
        <v>708</v>
      </c>
      <c r="AB4032" s="2" t="s">
        <v>16576</v>
      </c>
      <c r="AC4032" s="4" t="s">
        <v>44</v>
      </c>
    </row>
    <row r="4033" spans="1:29" x14ac:dyDescent="0.25">
      <c r="A4033" s="1">
        <v>3640</v>
      </c>
      <c r="B4033" s="17" t="s">
        <v>17199</v>
      </c>
      <c r="C4033" s="2" t="s">
        <v>17200</v>
      </c>
      <c r="D4033" s="15" t="s">
        <v>14639</v>
      </c>
      <c r="E4033" s="9" t="s">
        <v>10791</v>
      </c>
      <c r="F4033" s="9" t="s">
        <v>2780</v>
      </c>
      <c r="G4033" s="9" t="s">
        <v>15449</v>
      </c>
      <c r="H4033" s="2" t="s">
        <v>60</v>
      </c>
      <c r="I4033" s="3">
        <v>37339</v>
      </c>
      <c r="J4033" s="9" t="str">
        <f t="shared" ca="1" si="65"/>
        <v>21 ans</v>
      </c>
      <c r="K4033" s="2" t="s">
        <v>262</v>
      </c>
      <c r="L4033" s="2" t="str">
        <f>"3959"</f>
        <v>3959</v>
      </c>
      <c r="M4033" s="2"/>
      <c r="N4033" s="2" t="str">
        <f>"RUE MOUNTAIN VIEW"</f>
        <v>RUE MOUNTAIN VIEW</v>
      </c>
      <c r="O4033" s="2" t="s">
        <v>17140</v>
      </c>
      <c r="P4033" s="9" t="str">
        <f>VLOOKUP($O4033,'Liste des Villes'!$B$2:$B$1128,1,FALSE)</f>
        <v>Lachute</v>
      </c>
      <c r="Q4033" s="9" t="str">
        <f>IFERROR($P4033,PROPER(VLOOKUP($O4033,'Villes en erreur'!$A$2:$B$72,2,FALSE)))</f>
        <v>Lachute</v>
      </c>
      <c r="R4033" s="9" t="s">
        <v>17141</v>
      </c>
      <c r="S4033" s="9" t="str">
        <f>IF(ISBLANK($R4033),"",VLOOKUP($R4033,'Liste des Villes'!$B$2:$H$1128,4,FALSE))</f>
        <v>Laurentides</v>
      </c>
      <c r="T4033" s="2" t="s">
        <v>17201</v>
      </c>
      <c r="U4033" s="2" t="s">
        <v>39</v>
      </c>
      <c r="V4033" s="2" t="s">
        <v>40</v>
      </c>
      <c r="W4033" s="2" t="s">
        <v>17202</v>
      </c>
      <c r="X4033" s="2" t="str">
        <f>"4504315577"</f>
        <v>4504315577</v>
      </c>
      <c r="Y4033" s="2" t="str">
        <f>"5148192062"</f>
        <v>5148192062</v>
      </c>
      <c r="Z4033" s="2"/>
      <c r="AA4033" s="2" t="s">
        <v>708</v>
      </c>
      <c r="AB4033" s="2" t="s">
        <v>16576</v>
      </c>
      <c r="AC4033" s="4" t="s">
        <v>44</v>
      </c>
    </row>
    <row r="4034" spans="1:29" x14ac:dyDescent="0.25">
      <c r="A4034" s="1">
        <v>4137</v>
      </c>
      <c r="B4034" s="17" t="s">
        <v>17203</v>
      </c>
      <c r="C4034" s="2" t="s">
        <v>12424</v>
      </c>
      <c r="D4034" s="15" t="s">
        <v>1303</v>
      </c>
      <c r="E4034" s="9" t="s">
        <v>3404</v>
      </c>
      <c r="F4034" s="9" t="s">
        <v>1301</v>
      </c>
      <c r="G4034" s="9" t="s">
        <v>610</v>
      </c>
      <c r="H4034" s="2" t="s">
        <v>60</v>
      </c>
      <c r="I4034" s="3">
        <v>37354</v>
      </c>
      <c r="J4034" s="9" t="str">
        <f t="shared" ref="J4034:J4097" ca="1" si="66">_xlfn.CONCAT(INT((TODAY()-$I4034)/365.25)," ans")</f>
        <v>21 ans</v>
      </c>
      <c r="K4034" s="2" t="s">
        <v>262</v>
      </c>
      <c r="L4034" s="2" t="str">
        <f>"5930"</f>
        <v>5930</v>
      </c>
      <c r="M4034" s="2"/>
      <c r="N4034" s="2" t="str">
        <f>"RUE OUELLETTE"</f>
        <v>RUE OUELLETTE</v>
      </c>
      <c r="O4034" s="2" t="s">
        <v>17140</v>
      </c>
      <c r="P4034" s="9" t="str">
        <f>VLOOKUP($O4034,'Liste des Villes'!$B$2:$B$1128,1,FALSE)</f>
        <v>Lachute</v>
      </c>
      <c r="Q4034" s="9" t="str">
        <f>IFERROR($P4034,PROPER(VLOOKUP($O4034,'Villes en erreur'!$A$2:$B$72,2,FALSE)))</f>
        <v>Lachute</v>
      </c>
      <c r="R4034" s="9" t="s">
        <v>17141</v>
      </c>
      <c r="S4034" s="9" t="str">
        <f>IF(ISBLANK($R4034),"",VLOOKUP($R4034,'Liste des Villes'!$B$2:$H$1128,4,FALSE))</f>
        <v>Laurentides</v>
      </c>
      <c r="T4034" s="2" t="s">
        <v>17204</v>
      </c>
      <c r="U4034" s="2" t="s">
        <v>39</v>
      </c>
      <c r="V4034" s="2" t="s">
        <v>40</v>
      </c>
      <c r="W4034" s="2" t="s">
        <v>17205</v>
      </c>
      <c r="X4034" s="2" t="str">
        <f>"4505163711"</f>
        <v>4505163711</v>
      </c>
      <c r="Y4034" s="2" t="str">
        <f>"5146528341"</f>
        <v>5146528341</v>
      </c>
      <c r="Z4034" s="2"/>
      <c r="AA4034" s="2" t="s">
        <v>266</v>
      </c>
      <c r="AB4034" s="2" t="s">
        <v>267</v>
      </c>
      <c r="AC4034" s="4" t="s">
        <v>44</v>
      </c>
    </row>
    <row r="4035" spans="1:29" x14ac:dyDescent="0.25">
      <c r="A4035" s="1">
        <v>3970</v>
      </c>
      <c r="B4035" s="17" t="s">
        <v>17206</v>
      </c>
      <c r="C4035" s="2" t="s">
        <v>16394</v>
      </c>
      <c r="D4035" s="15" t="s">
        <v>1932</v>
      </c>
      <c r="E4035" s="9" t="s">
        <v>610</v>
      </c>
      <c r="F4035" s="9" t="s">
        <v>208</v>
      </c>
      <c r="G4035" s="9" t="s">
        <v>796</v>
      </c>
      <c r="H4035" s="2" t="s">
        <v>60</v>
      </c>
      <c r="I4035" s="3">
        <v>37342</v>
      </c>
      <c r="J4035" s="9" t="str">
        <f t="shared" ca="1" si="66"/>
        <v>21 ans</v>
      </c>
      <c r="K4035" s="2" t="s">
        <v>262</v>
      </c>
      <c r="L4035" s="2" t="str">
        <f>"4135"</f>
        <v>4135</v>
      </c>
      <c r="M4035" s="2"/>
      <c r="N4035" s="2" t="str">
        <f>"RUE NADEAU"</f>
        <v>RUE NADEAU</v>
      </c>
      <c r="O4035" s="2" t="s">
        <v>17140</v>
      </c>
      <c r="P4035" s="9" t="str">
        <f>VLOOKUP($O4035,'Liste des Villes'!$B$2:$B$1128,1,FALSE)</f>
        <v>Lachute</v>
      </c>
      <c r="Q4035" s="9" t="str">
        <f>IFERROR($P4035,PROPER(VLOOKUP($O4035,'Villes en erreur'!$A$2:$B$72,2,FALSE)))</f>
        <v>Lachute</v>
      </c>
      <c r="R4035" s="9" t="s">
        <v>17141</v>
      </c>
      <c r="S4035" s="9" t="str">
        <f>IF(ISBLANK($R4035),"",VLOOKUP($R4035,'Liste des Villes'!$B$2:$H$1128,4,FALSE))</f>
        <v>Laurentides</v>
      </c>
      <c r="T4035" s="2" t="s">
        <v>17207</v>
      </c>
      <c r="U4035" s="2" t="s">
        <v>39</v>
      </c>
      <c r="V4035" s="2" t="s">
        <v>40</v>
      </c>
      <c r="W4035" s="2" t="s">
        <v>17208</v>
      </c>
      <c r="X4035" s="2" t="str">
        <f>"4504345102"</f>
        <v>4504345102</v>
      </c>
      <c r="Y4035" s="2" t="str">
        <f>"5147942038"</f>
        <v>5147942038</v>
      </c>
      <c r="Z4035" s="2"/>
      <c r="AA4035" s="2" t="s">
        <v>708</v>
      </c>
      <c r="AB4035" s="2" t="s">
        <v>16576</v>
      </c>
      <c r="AC4035" s="4" t="s">
        <v>44</v>
      </c>
    </row>
    <row r="4036" spans="1:29" x14ac:dyDescent="0.25">
      <c r="A4036" s="1">
        <v>124</v>
      </c>
      <c r="B4036" s="17" t="s">
        <v>17209</v>
      </c>
      <c r="C4036" s="2" t="s">
        <v>4230</v>
      </c>
      <c r="D4036" s="15" t="s">
        <v>957</v>
      </c>
      <c r="E4036" s="9" t="s">
        <v>4231</v>
      </c>
      <c r="F4036" s="9" t="s">
        <v>14266</v>
      </c>
      <c r="G4036" s="9" t="s">
        <v>11992</v>
      </c>
      <c r="H4036" s="2" t="s">
        <v>35</v>
      </c>
      <c r="I4036" s="3">
        <v>37339</v>
      </c>
      <c r="J4036" s="9" t="str">
        <f t="shared" ca="1" si="66"/>
        <v>21 ans</v>
      </c>
      <c r="K4036" s="2" t="s">
        <v>262</v>
      </c>
      <c r="L4036" s="2" t="str">
        <f>"3940"</f>
        <v>3940</v>
      </c>
      <c r="M4036" s="2"/>
      <c r="N4036" s="2" t="str">
        <f>"RUE MORISSET"</f>
        <v>RUE MORISSET</v>
      </c>
      <c r="O4036" s="2" t="s">
        <v>17140</v>
      </c>
      <c r="P4036" s="9" t="str">
        <f>VLOOKUP($O4036,'Liste des Villes'!$B$2:$B$1128,1,FALSE)</f>
        <v>Lachute</v>
      </c>
      <c r="Q4036" s="9" t="str">
        <f>IFERROR($P4036,PROPER(VLOOKUP($O4036,'Villes en erreur'!$A$2:$B$72,2,FALSE)))</f>
        <v>Lachute</v>
      </c>
      <c r="R4036" s="9" t="s">
        <v>17141</v>
      </c>
      <c r="S4036" s="9" t="str">
        <f>IF(ISBLANK($R4036),"",VLOOKUP($R4036,'Liste des Villes'!$B$2:$H$1128,4,FALSE))</f>
        <v>Laurentides</v>
      </c>
      <c r="T4036" s="2" t="s">
        <v>17210</v>
      </c>
      <c r="U4036" s="2" t="s">
        <v>39</v>
      </c>
      <c r="V4036" s="2" t="s">
        <v>40</v>
      </c>
      <c r="W4036" s="2" t="s">
        <v>17211</v>
      </c>
      <c r="X4036" s="2" t="str">
        <f>"4504313952"</f>
        <v>4504313952</v>
      </c>
      <c r="Y4036" s="2" t="str">
        <f>"5148237586"</f>
        <v>5148237586</v>
      </c>
      <c r="Z4036" s="2"/>
      <c r="AA4036" s="2" t="s">
        <v>708</v>
      </c>
      <c r="AB4036" s="2" t="s">
        <v>16576</v>
      </c>
      <c r="AC4036" s="4" t="s">
        <v>44</v>
      </c>
    </row>
    <row r="4037" spans="1:29" x14ac:dyDescent="0.25">
      <c r="A4037" s="1">
        <v>2921</v>
      </c>
      <c r="B4037" s="17" t="s">
        <v>17212</v>
      </c>
      <c r="C4037" s="2" t="s">
        <v>1370</v>
      </c>
      <c r="D4037" s="15" t="s">
        <v>1092</v>
      </c>
      <c r="E4037" s="9" t="s">
        <v>92</v>
      </c>
      <c r="F4037" s="9" t="s">
        <v>15843</v>
      </c>
      <c r="G4037" s="9" t="s">
        <v>610</v>
      </c>
      <c r="H4037" s="2" t="s">
        <v>60</v>
      </c>
      <c r="I4037" s="3">
        <v>37348</v>
      </c>
      <c r="J4037" s="9" t="str">
        <f t="shared" ca="1" si="66"/>
        <v>21 ans</v>
      </c>
      <c r="K4037" s="2" t="s">
        <v>262</v>
      </c>
      <c r="L4037" s="2" t="str">
        <f>"4884"</f>
        <v>4884</v>
      </c>
      <c r="M4037" s="2"/>
      <c r="N4037" s="2" t="str">
        <f>"RUE NARCISSE-POIRIER"</f>
        <v>RUE NARCISSE-POIRIER</v>
      </c>
      <c r="O4037" s="2" t="s">
        <v>17140</v>
      </c>
      <c r="P4037" s="9" t="str">
        <f>VLOOKUP($O4037,'Liste des Villes'!$B$2:$B$1128,1,FALSE)</f>
        <v>Lachute</v>
      </c>
      <c r="Q4037" s="9" t="str">
        <f>IFERROR($P4037,PROPER(VLOOKUP($O4037,'Villes en erreur'!$A$2:$B$72,2,FALSE)))</f>
        <v>Lachute</v>
      </c>
      <c r="R4037" s="9" t="s">
        <v>17141</v>
      </c>
      <c r="S4037" s="9" t="str">
        <f>IF(ISBLANK($R4037),"",VLOOKUP($R4037,'Liste des Villes'!$B$2:$H$1128,4,FALSE))</f>
        <v>Laurentides</v>
      </c>
      <c r="T4037" s="2" t="s">
        <v>17213</v>
      </c>
      <c r="U4037" s="2" t="s">
        <v>39</v>
      </c>
      <c r="V4037" s="2" t="s">
        <v>40</v>
      </c>
      <c r="W4037" s="2" t="s">
        <v>17214</v>
      </c>
      <c r="X4037" s="2" t="str">
        <f>"4505084223"</f>
        <v>4505084223</v>
      </c>
      <c r="Y4037" s="2" t="str">
        <f>"5147065341"</f>
        <v>5147065341</v>
      </c>
      <c r="Z4037" s="2"/>
      <c r="AA4037" s="2" t="s">
        <v>708</v>
      </c>
      <c r="AB4037" s="2" t="s">
        <v>16576</v>
      </c>
      <c r="AC4037" s="4" t="s">
        <v>44</v>
      </c>
    </row>
    <row r="4038" spans="1:29" x14ac:dyDescent="0.25">
      <c r="A4038" s="1">
        <v>2735</v>
      </c>
      <c r="B4038" s="17" t="s">
        <v>17215</v>
      </c>
      <c r="C4038" s="2" t="s">
        <v>12260</v>
      </c>
      <c r="D4038" s="15" t="s">
        <v>2434</v>
      </c>
      <c r="E4038" s="9" t="s">
        <v>12261</v>
      </c>
      <c r="F4038" s="9" t="s">
        <v>1219</v>
      </c>
      <c r="G4038" s="9" t="s">
        <v>796</v>
      </c>
      <c r="H4038" s="2" t="s">
        <v>60</v>
      </c>
      <c r="I4038" s="3">
        <v>37341</v>
      </c>
      <c r="J4038" s="9" t="str">
        <f t="shared" ca="1" si="66"/>
        <v>21 ans</v>
      </c>
      <c r="K4038" s="2" t="s">
        <v>262</v>
      </c>
      <c r="L4038" s="2" t="str">
        <f>"4045"</f>
        <v>4045</v>
      </c>
      <c r="M4038" s="2"/>
      <c r="N4038" s="2" t="str">
        <f>"RUE MUGUET"</f>
        <v>RUE MUGUET</v>
      </c>
      <c r="O4038" s="2" t="s">
        <v>17140</v>
      </c>
      <c r="P4038" s="9" t="str">
        <f>VLOOKUP($O4038,'Liste des Villes'!$B$2:$B$1128,1,FALSE)</f>
        <v>Lachute</v>
      </c>
      <c r="Q4038" s="9" t="str">
        <f>IFERROR($P4038,PROPER(VLOOKUP($O4038,'Villes en erreur'!$A$2:$B$72,2,FALSE)))</f>
        <v>Lachute</v>
      </c>
      <c r="R4038" s="9" t="s">
        <v>17141</v>
      </c>
      <c r="S4038" s="9" t="str">
        <f>IF(ISBLANK($R4038),"",VLOOKUP($R4038,'Liste des Villes'!$B$2:$H$1128,4,FALSE))</f>
        <v>Laurentides</v>
      </c>
      <c r="T4038" s="2" t="s">
        <v>17216</v>
      </c>
      <c r="U4038" s="2" t="s">
        <v>39</v>
      </c>
      <c r="V4038" s="2" t="s">
        <v>40</v>
      </c>
      <c r="W4038" s="2" t="s">
        <v>17217</v>
      </c>
      <c r="X4038" s="2" t="str">
        <f>"4504327630"</f>
        <v>4504327630</v>
      </c>
      <c r="Y4038" s="2" t="str">
        <f>"5147969322"</f>
        <v>5147969322</v>
      </c>
      <c r="Z4038" s="2"/>
      <c r="AA4038" s="2" t="s">
        <v>708</v>
      </c>
      <c r="AB4038" s="2" t="s">
        <v>16576</v>
      </c>
      <c r="AC4038" s="4" t="s">
        <v>44</v>
      </c>
    </row>
    <row r="4039" spans="1:29" x14ac:dyDescent="0.25">
      <c r="A4039" s="1">
        <v>4155</v>
      </c>
      <c r="B4039" s="17" t="s">
        <v>17218</v>
      </c>
      <c r="C4039" s="2" t="s">
        <v>17219</v>
      </c>
      <c r="D4039" s="15" t="s">
        <v>6881</v>
      </c>
      <c r="E4039" s="9" t="s">
        <v>1377</v>
      </c>
      <c r="F4039" s="9" t="s">
        <v>5272</v>
      </c>
      <c r="G4039" s="9" t="s">
        <v>2512</v>
      </c>
      <c r="H4039" s="2" t="s">
        <v>60</v>
      </c>
      <c r="I4039" s="3">
        <v>37337</v>
      </c>
      <c r="J4039" s="9" t="str">
        <f t="shared" ca="1" si="66"/>
        <v>21 ans</v>
      </c>
      <c r="K4039" s="2" t="s">
        <v>262</v>
      </c>
      <c r="L4039" s="2" t="str">
        <f>"3878"</f>
        <v>3878</v>
      </c>
      <c r="M4039" s="2"/>
      <c r="N4039" s="2" t="str">
        <f>"RUE MORIN"</f>
        <v>RUE MORIN</v>
      </c>
      <c r="O4039" s="2" t="s">
        <v>17140</v>
      </c>
      <c r="P4039" s="9" t="str">
        <f>VLOOKUP($O4039,'Liste des Villes'!$B$2:$B$1128,1,FALSE)</f>
        <v>Lachute</v>
      </c>
      <c r="Q4039" s="9" t="str">
        <f>IFERROR($P4039,PROPER(VLOOKUP($O4039,'Villes en erreur'!$A$2:$B$72,2,FALSE)))</f>
        <v>Lachute</v>
      </c>
      <c r="R4039" s="9" t="s">
        <v>17141</v>
      </c>
      <c r="S4039" s="9" t="str">
        <f>IF(ISBLANK($R4039),"",VLOOKUP($R4039,'Liste des Villes'!$B$2:$H$1128,4,FALSE))</f>
        <v>Laurentides</v>
      </c>
      <c r="T4039" s="2" t="s">
        <v>17220</v>
      </c>
      <c r="U4039" s="2" t="s">
        <v>39</v>
      </c>
      <c r="V4039" s="2" t="s">
        <v>40</v>
      </c>
      <c r="W4039" s="2" t="s">
        <v>17221</v>
      </c>
      <c r="X4039" s="2" t="str">
        <f>"4503400733"</f>
        <v>4503400733</v>
      </c>
      <c r="Y4039" s="2" t="str">
        <f>"5148391097"</f>
        <v>5148391097</v>
      </c>
      <c r="Z4039" s="2"/>
      <c r="AA4039" s="2" t="s">
        <v>708</v>
      </c>
      <c r="AB4039" s="2" t="s">
        <v>16576</v>
      </c>
      <c r="AC4039" s="4" t="s">
        <v>44</v>
      </c>
    </row>
    <row r="4040" spans="1:29" x14ac:dyDescent="0.25">
      <c r="A4040" s="1">
        <v>467</v>
      </c>
      <c r="B4040" s="17" t="s">
        <v>17222</v>
      </c>
      <c r="C4040" s="2" t="s">
        <v>17223</v>
      </c>
      <c r="D4040" s="15" t="s">
        <v>1150</v>
      </c>
      <c r="E4040" s="9" t="s">
        <v>1017</v>
      </c>
      <c r="F4040" s="9" t="s">
        <v>6467</v>
      </c>
      <c r="G4040" s="9" t="s">
        <v>610</v>
      </c>
      <c r="H4040" s="2" t="s">
        <v>60</v>
      </c>
      <c r="I4040" s="3">
        <v>37349</v>
      </c>
      <c r="J4040" s="9" t="str">
        <f t="shared" ca="1" si="66"/>
        <v>21 ans</v>
      </c>
      <c r="K4040" s="2" t="s">
        <v>262</v>
      </c>
      <c r="L4040" s="2" t="str">
        <f>"5100"</f>
        <v>5100</v>
      </c>
      <c r="M4040" s="2"/>
      <c r="N4040" s="2" t="str">
        <f>"RUE NORMAN"</f>
        <v>RUE NORMAN</v>
      </c>
      <c r="O4040" s="2" t="s">
        <v>17140</v>
      </c>
      <c r="P4040" s="9" t="str">
        <f>VLOOKUP($O4040,'Liste des Villes'!$B$2:$B$1128,1,FALSE)</f>
        <v>Lachute</v>
      </c>
      <c r="Q4040" s="9" t="str">
        <f>IFERROR($P4040,PROPER(VLOOKUP($O4040,'Villes en erreur'!$A$2:$B$72,2,FALSE)))</f>
        <v>Lachute</v>
      </c>
      <c r="R4040" s="9" t="s">
        <v>17141</v>
      </c>
      <c r="S4040" s="9" t="str">
        <f>IF(ISBLANK($R4040),"",VLOOKUP($R4040,'Liste des Villes'!$B$2:$H$1128,4,FALSE))</f>
        <v>Laurentides</v>
      </c>
      <c r="T4040" s="2" t="s">
        <v>17224</v>
      </c>
      <c r="U4040" s="2" t="s">
        <v>39</v>
      </c>
      <c r="V4040" s="2" t="s">
        <v>40</v>
      </c>
      <c r="W4040" s="2" t="s">
        <v>17225</v>
      </c>
      <c r="X4040" s="2" t="str">
        <f>"4505124083"</f>
        <v>4505124083</v>
      </c>
      <c r="Y4040" s="2" t="str">
        <f>"5146994625"</f>
        <v>5146994625</v>
      </c>
      <c r="Z4040" s="2"/>
      <c r="AA4040" s="2" t="s">
        <v>708</v>
      </c>
      <c r="AB4040" s="2" t="s">
        <v>16576</v>
      </c>
      <c r="AC4040" s="4" t="s">
        <v>44</v>
      </c>
    </row>
    <row r="4041" spans="1:29" x14ac:dyDescent="0.25">
      <c r="A4041" s="1">
        <v>3825</v>
      </c>
      <c r="B4041" s="17" t="s">
        <v>17226</v>
      </c>
      <c r="C4041" s="2" t="s">
        <v>17227</v>
      </c>
      <c r="D4041" s="15" t="s">
        <v>17228</v>
      </c>
      <c r="E4041" s="9" t="s">
        <v>137</v>
      </c>
      <c r="F4041" s="9" t="s">
        <v>1632</v>
      </c>
      <c r="G4041" s="9" t="s">
        <v>610</v>
      </c>
      <c r="H4041" s="2" t="s">
        <v>60</v>
      </c>
      <c r="I4041" s="3">
        <v>37354</v>
      </c>
      <c r="J4041" s="9" t="str">
        <f t="shared" ca="1" si="66"/>
        <v>21 ans</v>
      </c>
      <c r="K4041" s="2" t="s">
        <v>262</v>
      </c>
      <c r="L4041" s="2" t="str">
        <f>"6275"</f>
        <v>6275</v>
      </c>
      <c r="M4041" s="2"/>
      <c r="N4041" s="2" t="str">
        <f>"RUE OUIMET"</f>
        <v>RUE OUIMET</v>
      </c>
      <c r="O4041" s="2" t="s">
        <v>17140</v>
      </c>
      <c r="P4041" s="9" t="str">
        <f>VLOOKUP($O4041,'Liste des Villes'!$B$2:$B$1128,1,FALSE)</f>
        <v>Lachute</v>
      </c>
      <c r="Q4041" s="9" t="str">
        <f>IFERROR($P4041,PROPER(VLOOKUP($O4041,'Villes en erreur'!$A$2:$B$72,2,FALSE)))</f>
        <v>Lachute</v>
      </c>
      <c r="R4041" s="9" t="s">
        <v>17141</v>
      </c>
      <c r="S4041" s="9" t="str">
        <f>IF(ISBLANK($R4041),"",VLOOKUP($R4041,'Liste des Villes'!$B$2:$H$1128,4,FALSE))</f>
        <v>Laurentides</v>
      </c>
      <c r="T4041" s="2" t="s">
        <v>17229</v>
      </c>
      <c r="U4041" s="2" t="s">
        <v>39</v>
      </c>
      <c r="V4041" s="2" t="s">
        <v>40</v>
      </c>
      <c r="W4041" s="2" t="s">
        <v>17230</v>
      </c>
      <c r="X4041" s="2" t="str">
        <f>"4505168664"</f>
        <v>4505168664</v>
      </c>
      <c r="Y4041" s="2" t="str">
        <f>"5146474147"</f>
        <v>5146474147</v>
      </c>
      <c r="Z4041" s="2"/>
      <c r="AA4041" s="2" t="s">
        <v>266</v>
      </c>
      <c r="AB4041" s="2" t="s">
        <v>267</v>
      </c>
      <c r="AC4041" s="4" t="s">
        <v>44</v>
      </c>
    </row>
    <row r="4042" spans="1:29" x14ac:dyDescent="0.25">
      <c r="A4042" s="1">
        <v>466</v>
      </c>
      <c r="B4042" s="17" t="s">
        <v>17231</v>
      </c>
      <c r="C4042" s="2" t="s">
        <v>960</v>
      </c>
      <c r="D4042" s="15" t="s">
        <v>961</v>
      </c>
      <c r="E4042" s="9" t="s">
        <v>219</v>
      </c>
      <c r="F4042" s="9" t="s">
        <v>3450</v>
      </c>
      <c r="G4042" s="9" t="s">
        <v>796</v>
      </c>
      <c r="H4042" s="2" t="s">
        <v>60</v>
      </c>
      <c r="I4042" s="3">
        <v>37342</v>
      </c>
      <c r="J4042" s="9" t="str">
        <f t="shared" ca="1" si="66"/>
        <v>21 ans</v>
      </c>
      <c r="K4042" s="2" t="s">
        <v>262</v>
      </c>
      <c r="L4042" s="2" t="str">
        <f>"4115"</f>
        <v>4115</v>
      </c>
      <c r="M4042" s="2"/>
      <c r="N4042" s="2" t="str">
        <f>"RUE NADEAU"</f>
        <v>RUE NADEAU</v>
      </c>
      <c r="O4042" s="2" t="s">
        <v>17140</v>
      </c>
      <c r="P4042" s="9" t="str">
        <f>VLOOKUP($O4042,'Liste des Villes'!$B$2:$B$1128,1,FALSE)</f>
        <v>Lachute</v>
      </c>
      <c r="Q4042" s="9" t="str">
        <f>IFERROR($P4042,PROPER(VLOOKUP($O4042,'Villes en erreur'!$A$2:$B$72,2,FALSE)))</f>
        <v>Lachute</v>
      </c>
      <c r="R4042" s="9" t="s">
        <v>17141</v>
      </c>
      <c r="S4042" s="9" t="str">
        <f>IF(ISBLANK($R4042),"",VLOOKUP($R4042,'Liste des Villes'!$B$2:$H$1128,4,FALSE))</f>
        <v>Laurentides</v>
      </c>
      <c r="T4042" s="2" t="s">
        <v>17207</v>
      </c>
      <c r="U4042" s="2" t="s">
        <v>39</v>
      </c>
      <c r="V4042" s="2" t="s">
        <v>40</v>
      </c>
      <c r="W4042" s="2" t="s">
        <v>17232</v>
      </c>
      <c r="X4042" s="2" t="str">
        <f>"4504330352"</f>
        <v>4504330352</v>
      </c>
      <c r="Y4042" s="2" t="str">
        <f>"5147960256"</f>
        <v>5147960256</v>
      </c>
      <c r="Z4042" s="2"/>
      <c r="AA4042" s="2" t="s">
        <v>708</v>
      </c>
      <c r="AB4042" s="2" t="s">
        <v>16576</v>
      </c>
      <c r="AC4042" s="4" t="s">
        <v>44</v>
      </c>
    </row>
    <row r="4043" spans="1:29" x14ac:dyDescent="0.25">
      <c r="A4043" s="1">
        <v>1796</v>
      </c>
      <c r="B4043" s="17" t="s">
        <v>17233</v>
      </c>
      <c r="C4043" s="2" t="s">
        <v>17234</v>
      </c>
      <c r="D4043" s="15" t="s">
        <v>4494</v>
      </c>
      <c r="E4043" s="9" t="s">
        <v>929</v>
      </c>
      <c r="F4043" s="9" t="s">
        <v>4493</v>
      </c>
      <c r="G4043" s="9" t="s">
        <v>610</v>
      </c>
      <c r="H4043" s="2" t="s">
        <v>60</v>
      </c>
      <c r="I4043" s="3">
        <v>37353</v>
      </c>
      <c r="J4043" s="9" t="str">
        <f t="shared" ca="1" si="66"/>
        <v>21 ans</v>
      </c>
      <c r="K4043" s="2" t="s">
        <v>262</v>
      </c>
      <c r="L4043" s="2" t="str">
        <f>"5832"</f>
        <v>5832</v>
      </c>
      <c r="M4043" s="2"/>
      <c r="N4043" s="2" t="str">
        <f>"RUE ORLY"</f>
        <v>RUE ORLY</v>
      </c>
      <c r="O4043" s="2" t="s">
        <v>17140</v>
      </c>
      <c r="P4043" s="9" t="str">
        <f>VLOOKUP($O4043,'Liste des Villes'!$B$2:$B$1128,1,FALSE)</f>
        <v>Lachute</v>
      </c>
      <c r="Q4043" s="9" t="str">
        <f>IFERROR($P4043,PROPER(VLOOKUP($O4043,'Villes en erreur'!$A$2:$B$72,2,FALSE)))</f>
        <v>Lachute</v>
      </c>
      <c r="R4043" s="9" t="s">
        <v>17141</v>
      </c>
      <c r="S4043" s="9" t="str">
        <f>IF(ISBLANK($R4043),"",VLOOKUP($R4043,'Liste des Villes'!$B$2:$H$1128,4,FALSE))</f>
        <v>Laurentides</v>
      </c>
      <c r="T4043" s="2" t="s">
        <v>17235</v>
      </c>
      <c r="U4043" s="2" t="s">
        <v>39</v>
      </c>
      <c r="V4043" s="2" t="s">
        <v>40</v>
      </c>
      <c r="W4043" s="2" t="s">
        <v>17236</v>
      </c>
      <c r="X4043" s="2" t="str">
        <f>"4505162834"</f>
        <v>4505162834</v>
      </c>
      <c r="Y4043" s="2" t="str">
        <f>"5146603802"</f>
        <v>5146603802</v>
      </c>
      <c r="Z4043" s="2"/>
      <c r="AA4043" s="2" t="s">
        <v>266</v>
      </c>
      <c r="AB4043" s="2" t="s">
        <v>267</v>
      </c>
      <c r="AC4043" s="4" t="s">
        <v>44</v>
      </c>
    </row>
    <row r="4044" spans="1:29" x14ac:dyDescent="0.25">
      <c r="A4044" s="1">
        <v>3929</v>
      </c>
      <c r="B4044" s="17" t="s">
        <v>17237</v>
      </c>
      <c r="C4044" s="2" t="s">
        <v>7437</v>
      </c>
      <c r="D4044" s="15" t="s">
        <v>7033</v>
      </c>
      <c r="E4044" s="9" t="s">
        <v>5676</v>
      </c>
      <c r="F4044" s="9" t="s">
        <v>14845</v>
      </c>
      <c r="G4044" s="9" t="s">
        <v>610</v>
      </c>
      <c r="H4044" s="2" t="s">
        <v>60</v>
      </c>
      <c r="I4044" s="3">
        <v>37347</v>
      </c>
      <c r="J4044" s="9" t="str">
        <f t="shared" ca="1" si="66"/>
        <v>21 ans</v>
      </c>
      <c r="K4044" s="2" t="s">
        <v>262</v>
      </c>
      <c r="L4044" s="2" t="str">
        <f>"4821"</f>
        <v>4821</v>
      </c>
      <c r="M4044" s="2"/>
      <c r="N4044" s="2" t="str">
        <f>"RUE NANCY"</f>
        <v>RUE NANCY</v>
      </c>
      <c r="O4044" s="2" t="s">
        <v>17140</v>
      </c>
      <c r="P4044" s="9" t="str">
        <f>VLOOKUP($O4044,'Liste des Villes'!$B$2:$B$1128,1,FALSE)</f>
        <v>Lachute</v>
      </c>
      <c r="Q4044" s="9" t="str">
        <f>IFERROR($P4044,PROPER(VLOOKUP($O4044,'Villes en erreur'!$A$2:$B$72,2,FALSE)))</f>
        <v>Lachute</v>
      </c>
      <c r="R4044" s="9" t="s">
        <v>17141</v>
      </c>
      <c r="S4044" s="9" t="str">
        <f>IF(ISBLANK($R4044),"",VLOOKUP($R4044,'Liste des Villes'!$B$2:$H$1128,4,FALSE))</f>
        <v>Laurentides</v>
      </c>
      <c r="T4044" s="2" t="s">
        <v>17238</v>
      </c>
      <c r="U4044" s="2" t="s">
        <v>39</v>
      </c>
      <c r="V4044" s="2" t="s">
        <v>40</v>
      </c>
      <c r="W4044" s="2" t="s">
        <v>17239</v>
      </c>
      <c r="X4044" s="2" t="str">
        <f>"4505041754"</f>
        <v>4505041754</v>
      </c>
      <c r="Y4044" s="2" t="str">
        <f>"5147134942"</f>
        <v>5147134942</v>
      </c>
      <c r="Z4044" s="2"/>
      <c r="AA4044" s="2" t="s">
        <v>708</v>
      </c>
      <c r="AB4044" s="2" t="s">
        <v>16576</v>
      </c>
      <c r="AC4044" s="4" t="s">
        <v>44</v>
      </c>
    </row>
    <row r="4045" spans="1:29" x14ac:dyDescent="0.25">
      <c r="A4045" s="1">
        <v>3956</v>
      </c>
      <c r="B4045" s="17" t="s">
        <v>17240</v>
      </c>
      <c r="C4045" s="2" t="s">
        <v>988</v>
      </c>
      <c r="D4045" s="15" t="s">
        <v>121</v>
      </c>
      <c r="E4045" s="9" t="s">
        <v>989</v>
      </c>
      <c r="F4045" s="9" t="s">
        <v>750</v>
      </c>
      <c r="G4045" s="9" t="s">
        <v>610</v>
      </c>
      <c r="H4045" s="2" t="s">
        <v>60</v>
      </c>
      <c r="I4045" s="3">
        <v>37349</v>
      </c>
      <c r="J4045" s="9" t="str">
        <f t="shared" ca="1" si="66"/>
        <v>21 ans</v>
      </c>
      <c r="K4045" s="2" t="s">
        <v>262</v>
      </c>
      <c r="L4045" s="2" t="str">
        <f>"5027"</f>
        <v>5027</v>
      </c>
      <c r="M4045" s="2"/>
      <c r="N4045" s="2" t="str">
        <f>"RUE NICOLE"</f>
        <v>RUE NICOLE</v>
      </c>
      <c r="O4045" s="2" t="s">
        <v>17140</v>
      </c>
      <c r="P4045" s="9" t="str">
        <f>VLOOKUP($O4045,'Liste des Villes'!$B$2:$B$1128,1,FALSE)</f>
        <v>Lachute</v>
      </c>
      <c r="Q4045" s="9" t="str">
        <f>IFERROR($P4045,PROPER(VLOOKUP($O4045,'Villes en erreur'!$A$2:$B$72,2,FALSE)))</f>
        <v>Lachute</v>
      </c>
      <c r="R4045" s="9" t="s">
        <v>17141</v>
      </c>
      <c r="S4045" s="9" t="str">
        <f>IF(ISBLANK($R4045),"",VLOOKUP($R4045,'Liste des Villes'!$B$2:$H$1128,4,FALSE))</f>
        <v>Laurentides</v>
      </c>
      <c r="T4045" s="2" t="s">
        <v>17224</v>
      </c>
      <c r="U4045" s="2" t="s">
        <v>39</v>
      </c>
      <c r="V4045" s="2" t="s">
        <v>40</v>
      </c>
      <c r="W4045" s="2" t="s">
        <v>17241</v>
      </c>
      <c r="X4045" s="2" t="str">
        <f>"4505123702"</f>
        <v>4505123702</v>
      </c>
      <c r="Y4045" s="2" t="str">
        <f>"5147021852"</f>
        <v>5147021852</v>
      </c>
      <c r="Z4045" s="2"/>
      <c r="AA4045" s="2" t="s">
        <v>708</v>
      </c>
      <c r="AB4045" s="2" t="s">
        <v>16576</v>
      </c>
      <c r="AC4045" s="4" t="s">
        <v>44</v>
      </c>
    </row>
    <row r="4046" spans="1:29" x14ac:dyDescent="0.25">
      <c r="A4046" s="1">
        <v>100</v>
      </c>
      <c r="B4046" s="17" t="s">
        <v>17242</v>
      </c>
      <c r="C4046" s="2" t="s">
        <v>1831</v>
      </c>
      <c r="D4046" s="15" t="s">
        <v>1832</v>
      </c>
      <c r="E4046" s="9" t="s">
        <v>698</v>
      </c>
      <c r="F4046" s="9" t="s">
        <v>460</v>
      </c>
      <c r="G4046" s="9" t="s">
        <v>610</v>
      </c>
      <c r="H4046" s="2" t="s">
        <v>60</v>
      </c>
      <c r="I4046" s="3">
        <v>37347</v>
      </c>
      <c r="J4046" s="9" t="str">
        <f t="shared" ca="1" si="66"/>
        <v>21 ans</v>
      </c>
      <c r="K4046" s="2" t="s">
        <v>262</v>
      </c>
      <c r="L4046" s="2" t="str">
        <f>"4821"</f>
        <v>4821</v>
      </c>
      <c r="M4046" s="2"/>
      <c r="N4046" s="2" t="str">
        <f>"RUE NARCISSE-POIRIER"</f>
        <v>RUE NARCISSE-POIRIER</v>
      </c>
      <c r="O4046" s="2" t="s">
        <v>17140</v>
      </c>
      <c r="P4046" s="9" t="str">
        <f>VLOOKUP($O4046,'Liste des Villes'!$B$2:$B$1128,1,FALSE)</f>
        <v>Lachute</v>
      </c>
      <c r="Q4046" s="9" t="str">
        <f>IFERROR($P4046,PROPER(VLOOKUP($O4046,'Villes en erreur'!$A$2:$B$72,2,FALSE)))</f>
        <v>Lachute</v>
      </c>
      <c r="R4046" s="9" t="s">
        <v>17141</v>
      </c>
      <c r="S4046" s="9" t="str">
        <f>IF(ISBLANK($R4046),"",VLOOKUP($R4046,'Liste des Villes'!$B$2:$H$1128,4,FALSE))</f>
        <v>Laurentides</v>
      </c>
      <c r="T4046" s="2" t="s">
        <v>17243</v>
      </c>
      <c r="U4046" s="2" t="s">
        <v>39</v>
      </c>
      <c r="V4046" s="2" t="s">
        <v>40</v>
      </c>
      <c r="W4046" s="2" t="s">
        <v>17244</v>
      </c>
      <c r="X4046" s="2" t="str">
        <f>"4505043888"</f>
        <v>4505043888</v>
      </c>
      <c r="Y4046" s="2" t="str">
        <f>"5147123777"</f>
        <v>5147123777</v>
      </c>
      <c r="Z4046" s="2"/>
      <c r="AA4046" s="2" t="s">
        <v>708</v>
      </c>
      <c r="AB4046" s="2" t="s">
        <v>16576</v>
      </c>
      <c r="AC4046" s="4" t="s">
        <v>44</v>
      </c>
    </row>
    <row r="4047" spans="1:29" x14ac:dyDescent="0.25">
      <c r="A4047" s="1">
        <v>705</v>
      </c>
      <c r="B4047" s="17" t="s">
        <v>17245</v>
      </c>
      <c r="C4047" s="2" t="s">
        <v>17246</v>
      </c>
      <c r="D4047" s="15" t="s">
        <v>17247</v>
      </c>
      <c r="E4047" s="9" t="s">
        <v>7154</v>
      </c>
      <c r="F4047" s="9" t="s">
        <v>225</v>
      </c>
      <c r="G4047" s="9" t="s">
        <v>610</v>
      </c>
      <c r="H4047" s="2" t="s">
        <v>60</v>
      </c>
      <c r="I4047" s="3">
        <v>37353</v>
      </c>
      <c r="J4047" s="9" t="str">
        <f t="shared" ca="1" si="66"/>
        <v>21 ans</v>
      </c>
      <c r="K4047" s="2" t="s">
        <v>262</v>
      </c>
      <c r="L4047" s="2" t="str">
        <f>"5832"</f>
        <v>5832</v>
      </c>
      <c r="M4047" s="2"/>
      <c r="N4047" s="2" t="str">
        <f>"RUE O'SHEA"</f>
        <v>RUE O'SHEA</v>
      </c>
      <c r="O4047" s="2" t="s">
        <v>17140</v>
      </c>
      <c r="P4047" s="9" t="str">
        <f>VLOOKUP($O4047,'Liste des Villes'!$B$2:$B$1128,1,FALSE)</f>
        <v>Lachute</v>
      </c>
      <c r="Q4047" s="9" t="str">
        <f>IFERROR($P4047,PROPER(VLOOKUP($O4047,'Villes en erreur'!$A$2:$B$72,2,FALSE)))</f>
        <v>Lachute</v>
      </c>
      <c r="R4047" s="9" t="s">
        <v>17141</v>
      </c>
      <c r="S4047" s="9" t="str">
        <f>IF(ISBLANK($R4047),"",VLOOKUP($R4047,'Liste des Villes'!$B$2:$H$1128,4,FALSE))</f>
        <v>Laurentides</v>
      </c>
      <c r="T4047" s="2" t="s">
        <v>17152</v>
      </c>
      <c r="U4047" s="2" t="s">
        <v>39</v>
      </c>
      <c r="V4047" s="2" t="s">
        <v>40</v>
      </c>
      <c r="W4047" s="2" t="s">
        <v>17248</v>
      </c>
      <c r="X4047" s="2" t="str">
        <f>"4505163027"</f>
        <v>4505163027</v>
      </c>
      <c r="Y4047" s="2" t="str">
        <f>"5146593459"</f>
        <v>5146593459</v>
      </c>
      <c r="Z4047" s="2"/>
      <c r="AA4047" s="2" t="s">
        <v>266</v>
      </c>
      <c r="AB4047" s="2" t="s">
        <v>267</v>
      </c>
      <c r="AC4047" s="4" t="s">
        <v>44</v>
      </c>
    </row>
    <row r="4048" spans="1:29" x14ac:dyDescent="0.25">
      <c r="A4048" s="1">
        <v>96</v>
      </c>
      <c r="B4048" s="17" t="s">
        <v>17249</v>
      </c>
      <c r="C4048" s="2" t="s">
        <v>112</v>
      </c>
      <c r="D4048" s="15" t="s">
        <v>113</v>
      </c>
      <c r="E4048" s="9" t="s">
        <v>114</v>
      </c>
      <c r="F4048" s="9" t="s">
        <v>17250</v>
      </c>
      <c r="G4048" s="9" t="s">
        <v>610</v>
      </c>
      <c r="H4048" s="2" t="s">
        <v>60</v>
      </c>
      <c r="I4048" s="3">
        <v>37350</v>
      </c>
      <c r="J4048" s="9" t="str">
        <f t="shared" ca="1" si="66"/>
        <v>21 ans</v>
      </c>
      <c r="K4048" s="2" t="s">
        <v>262</v>
      </c>
      <c r="L4048" s="2" t="str">
        <f>"5120"</f>
        <v>5120</v>
      </c>
      <c r="M4048" s="2"/>
      <c r="N4048" s="2" t="str">
        <f>"RUE NORMAND"</f>
        <v>RUE NORMAND</v>
      </c>
      <c r="O4048" s="2" t="s">
        <v>17140</v>
      </c>
      <c r="P4048" s="9" t="str">
        <f>VLOOKUP($O4048,'Liste des Villes'!$B$2:$B$1128,1,FALSE)</f>
        <v>Lachute</v>
      </c>
      <c r="Q4048" s="9" t="str">
        <f>IFERROR($P4048,PROPER(VLOOKUP($O4048,'Villes en erreur'!$A$2:$B$72,2,FALSE)))</f>
        <v>Lachute</v>
      </c>
      <c r="R4048" s="9" t="s">
        <v>17141</v>
      </c>
      <c r="S4048" s="9" t="str">
        <f>IF(ISBLANK($R4048),"",VLOOKUP($R4048,'Liste des Villes'!$B$2:$H$1128,4,FALSE))</f>
        <v>Laurentides</v>
      </c>
      <c r="T4048" s="2" t="s">
        <v>17178</v>
      </c>
      <c r="U4048" s="2" t="s">
        <v>39</v>
      </c>
      <c r="V4048" s="2" t="s">
        <v>40</v>
      </c>
      <c r="W4048" s="2" t="s">
        <v>17251</v>
      </c>
      <c r="X4048" s="2" t="str">
        <f>"4505125912"</f>
        <v>4505125912</v>
      </c>
      <c r="Y4048" s="2" t="str">
        <f>"5146795882"</f>
        <v>5146795882</v>
      </c>
      <c r="Z4048" s="2"/>
      <c r="AA4048" s="2" t="s">
        <v>708</v>
      </c>
      <c r="AB4048" s="2" t="s">
        <v>16576</v>
      </c>
      <c r="AC4048" s="4" t="s">
        <v>44</v>
      </c>
    </row>
    <row r="4049" spans="1:29" x14ac:dyDescent="0.25">
      <c r="A4049" s="1">
        <v>2920</v>
      </c>
      <c r="B4049" s="17" t="s">
        <v>17252</v>
      </c>
      <c r="C4049" s="2" t="s">
        <v>17253</v>
      </c>
      <c r="D4049" s="15" t="s">
        <v>10133</v>
      </c>
      <c r="E4049" s="9" t="s">
        <v>179</v>
      </c>
      <c r="F4049" s="9" t="s">
        <v>1422</v>
      </c>
      <c r="G4049" s="9" t="s">
        <v>796</v>
      </c>
      <c r="H4049" s="2" t="s">
        <v>60</v>
      </c>
      <c r="I4049" s="3">
        <v>37341</v>
      </c>
      <c r="J4049" s="9" t="str">
        <f t="shared" ca="1" si="66"/>
        <v>21 ans</v>
      </c>
      <c r="K4049" s="2" t="s">
        <v>262</v>
      </c>
      <c r="L4049" s="2" t="str">
        <f>"4045"</f>
        <v>4045</v>
      </c>
      <c r="M4049" s="2"/>
      <c r="N4049" s="2" t="str">
        <f>"RUE MOZART"</f>
        <v>RUE MOZART</v>
      </c>
      <c r="O4049" s="2" t="s">
        <v>17140</v>
      </c>
      <c r="P4049" s="9" t="str">
        <f>VLOOKUP($O4049,'Liste des Villes'!$B$2:$B$1128,1,FALSE)</f>
        <v>Lachute</v>
      </c>
      <c r="Q4049" s="9" t="str">
        <f>IFERROR($P4049,PROPER(VLOOKUP($O4049,'Villes en erreur'!$A$2:$B$72,2,FALSE)))</f>
        <v>Lachute</v>
      </c>
      <c r="R4049" s="9" t="s">
        <v>17141</v>
      </c>
      <c r="S4049" s="9" t="str">
        <f>IF(ISBLANK($R4049),"",VLOOKUP($R4049,'Liste des Villes'!$B$2:$H$1128,4,FALSE))</f>
        <v>Laurentides</v>
      </c>
      <c r="T4049" s="2" t="s">
        <v>17216</v>
      </c>
      <c r="U4049" s="2" t="s">
        <v>39</v>
      </c>
      <c r="V4049" s="2" t="s">
        <v>40</v>
      </c>
      <c r="W4049" s="2" t="s">
        <v>17254</v>
      </c>
      <c r="X4049" s="2" t="str">
        <f>"4504326923"</f>
        <v>4504326923</v>
      </c>
      <c r="Y4049" s="2" t="str">
        <f>"5147993337"</f>
        <v>5147993337</v>
      </c>
      <c r="Z4049" s="2"/>
      <c r="AA4049" s="2" t="s">
        <v>708</v>
      </c>
      <c r="AB4049" s="2" t="s">
        <v>16576</v>
      </c>
      <c r="AC4049" s="4" t="s">
        <v>44</v>
      </c>
    </row>
    <row r="4050" spans="1:29" x14ac:dyDescent="0.25">
      <c r="A4050" s="1">
        <v>470</v>
      </c>
      <c r="B4050" s="17" t="s">
        <v>17255</v>
      </c>
      <c r="C4050" s="2" t="s">
        <v>17256</v>
      </c>
      <c r="D4050" s="15" t="s">
        <v>15144</v>
      </c>
      <c r="E4050" s="9" t="s">
        <v>5006</v>
      </c>
      <c r="F4050" s="9" t="s">
        <v>15143</v>
      </c>
      <c r="G4050" s="9" t="s">
        <v>15833</v>
      </c>
      <c r="H4050" s="2" t="s">
        <v>35</v>
      </c>
      <c r="I4050" s="3">
        <v>37335</v>
      </c>
      <c r="J4050" s="9" t="str">
        <f t="shared" ca="1" si="66"/>
        <v>21 ans</v>
      </c>
      <c r="K4050" s="2" t="s">
        <v>262</v>
      </c>
      <c r="L4050" s="2" t="str">
        <f>"3862"</f>
        <v>3862</v>
      </c>
      <c r="M4050" s="2"/>
      <c r="N4050" s="2" t="str">
        <f>"RUE MOREAU"</f>
        <v>RUE MOREAU</v>
      </c>
      <c r="O4050" s="2" t="s">
        <v>17140</v>
      </c>
      <c r="P4050" s="9" t="str">
        <f>VLOOKUP($O4050,'Liste des Villes'!$B$2:$B$1128,1,FALSE)</f>
        <v>Lachute</v>
      </c>
      <c r="Q4050" s="9" t="str">
        <f>IFERROR($P4050,PROPER(VLOOKUP($O4050,'Villes en erreur'!$A$2:$B$72,2,FALSE)))</f>
        <v>Lachute</v>
      </c>
      <c r="R4050" s="9" t="s">
        <v>17141</v>
      </c>
      <c r="S4050" s="9" t="str">
        <f>IF(ISBLANK($R4050),"",VLOOKUP($R4050,'Liste des Villes'!$B$2:$H$1128,4,FALSE))</f>
        <v>Laurentides</v>
      </c>
      <c r="T4050" s="2" t="s">
        <v>17146</v>
      </c>
      <c r="U4050" s="2" t="s">
        <v>39</v>
      </c>
      <c r="V4050" s="2" t="s">
        <v>40</v>
      </c>
      <c r="W4050" s="2" t="s">
        <v>17257</v>
      </c>
      <c r="X4050" s="2" t="str">
        <f>"4503311038"</f>
        <v>4503311038</v>
      </c>
      <c r="Y4050" s="2" t="str">
        <f>"5148393833"</f>
        <v>5148393833</v>
      </c>
      <c r="Z4050" s="2"/>
      <c r="AA4050" s="2" t="s">
        <v>708</v>
      </c>
      <c r="AB4050" s="2" t="s">
        <v>16576</v>
      </c>
      <c r="AC4050" s="4" t="s">
        <v>44</v>
      </c>
    </row>
    <row r="4051" spans="1:29" x14ac:dyDescent="0.25">
      <c r="A4051" s="1">
        <v>1090</v>
      </c>
      <c r="B4051" s="17" t="s">
        <v>17258</v>
      </c>
      <c r="C4051" s="2" t="s">
        <v>17259</v>
      </c>
      <c r="D4051" s="15" t="s">
        <v>1378</v>
      </c>
      <c r="E4051" s="9" t="s">
        <v>6880</v>
      </c>
      <c r="F4051" s="9" t="s">
        <v>6727</v>
      </c>
      <c r="G4051" s="9" t="s">
        <v>2512</v>
      </c>
      <c r="H4051" s="2" t="s">
        <v>60</v>
      </c>
      <c r="I4051" s="3">
        <v>37338</v>
      </c>
      <c r="J4051" s="9" t="str">
        <f t="shared" ca="1" si="66"/>
        <v>21 ans</v>
      </c>
      <c r="K4051" s="2" t="s">
        <v>262</v>
      </c>
      <c r="L4051" s="2" t="str">
        <f>"3905"</f>
        <v>3905</v>
      </c>
      <c r="M4051" s="2"/>
      <c r="N4051" s="2" t="str">
        <f>"RUE MORIN"</f>
        <v>RUE MORIN</v>
      </c>
      <c r="O4051" s="2" t="s">
        <v>17140</v>
      </c>
      <c r="P4051" s="9" t="str">
        <f>VLOOKUP($O4051,'Liste des Villes'!$B$2:$B$1128,1,FALSE)</f>
        <v>Lachute</v>
      </c>
      <c r="Q4051" s="9" t="str">
        <f>IFERROR($P4051,PROPER(VLOOKUP($O4051,'Villes en erreur'!$A$2:$B$72,2,FALSE)))</f>
        <v>Lachute</v>
      </c>
      <c r="R4051" s="9" t="s">
        <v>17141</v>
      </c>
      <c r="S4051" s="9" t="str">
        <f>IF(ISBLANK($R4051),"",VLOOKUP($R4051,'Liste des Villes'!$B$2:$H$1128,4,FALSE))</f>
        <v>Laurentides</v>
      </c>
      <c r="T4051" s="2" t="s">
        <v>17181</v>
      </c>
      <c r="U4051" s="2" t="s">
        <v>39</v>
      </c>
      <c r="V4051" s="2" t="s">
        <v>40</v>
      </c>
      <c r="W4051" s="2" t="s">
        <v>17260</v>
      </c>
      <c r="X4051" s="2" t="str">
        <f>"4504091741"</f>
        <v>4504091741</v>
      </c>
      <c r="Y4051" s="2" t="str">
        <f>"5148342577"</f>
        <v>5148342577</v>
      </c>
      <c r="Z4051" s="2"/>
      <c r="AA4051" s="2" t="s">
        <v>708</v>
      </c>
      <c r="AB4051" s="2" t="s">
        <v>16576</v>
      </c>
      <c r="AC4051" s="4" t="s">
        <v>44</v>
      </c>
    </row>
    <row r="4052" spans="1:29" x14ac:dyDescent="0.25">
      <c r="A4052" s="1">
        <v>4398</v>
      </c>
      <c r="B4052" s="17" t="s">
        <v>17261</v>
      </c>
      <c r="C4052" s="2" t="s">
        <v>1793</v>
      </c>
      <c r="D4052" s="15" t="s">
        <v>349</v>
      </c>
      <c r="E4052" s="9" t="s">
        <v>622</v>
      </c>
      <c r="F4052" s="9" t="s">
        <v>3546</v>
      </c>
      <c r="G4052" s="9" t="s">
        <v>3682</v>
      </c>
      <c r="H4052" s="2" t="s">
        <v>60</v>
      </c>
      <c r="I4052" s="3">
        <v>37342</v>
      </c>
      <c r="J4052" s="9" t="str">
        <f t="shared" ca="1" si="66"/>
        <v>21 ans</v>
      </c>
      <c r="K4052" s="2" t="s">
        <v>262</v>
      </c>
      <c r="L4052" s="2" t="str">
        <f>"4250"</f>
        <v>4250</v>
      </c>
      <c r="M4052" s="2"/>
      <c r="N4052" s="2" t="str">
        <f>"RUE NADON"</f>
        <v>RUE NADON</v>
      </c>
      <c r="O4052" s="2" t="s">
        <v>17140</v>
      </c>
      <c r="P4052" s="9" t="str">
        <f>VLOOKUP($O4052,'Liste des Villes'!$B$2:$B$1128,1,FALSE)</f>
        <v>Lachute</v>
      </c>
      <c r="Q4052" s="9" t="str">
        <f>IFERROR($P4052,PROPER(VLOOKUP($O4052,'Villes en erreur'!$A$2:$B$72,2,FALSE)))</f>
        <v>Lachute</v>
      </c>
      <c r="R4052" s="9" t="s">
        <v>17141</v>
      </c>
      <c r="S4052" s="9" t="str">
        <f>IF(ISBLANK($R4052),"",VLOOKUP($R4052,'Liste des Villes'!$B$2:$H$1128,4,FALSE))</f>
        <v>Laurentides</v>
      </c>
      <c r="T4052" s="2" t="s">
        <v>17262</v>
      </c>
      <c r="U4052" s="2" t="s">
        <v>39</v>
      </c>
      <c r="V4052" s="2" t="s">
        <v>40</v>
      </c>
      <c r="W4052" s="2" t="s">
        <v>17263</v>
      </c>
      <c r="X4052" s="2" t="str">
        <f>"4504363252"</f>
        <v>4504363252</v>
      </c>
      <c r="Y4052" s="2" t="str">
        <f>"5147784743"</f>
        <v>5147784743</v>
      </c>
      <c r="Z4052" s="2"/>
      <c r="AA4052" s="2" t="s">
        <v>708</v>
      </c>
      <c r="AB4052" s="2" t="s">
        <v>16576</v>
      </c>
      <c r="AC4052" s="4" t="s">
        <v>44</v>
      </c>
    </row>
    <row r="4053" spans="1:29" x14ac:dyDescent="0.25">
      <c r="A4053" s="1">
        <v>4498</v>
      </c>
      <c r="B4053" s="17" t="s">
        <v>17264</v>
      </c>
      <c r="C4053" s="2" t="s">
        <v>8827</v>
      </c>
      <c r="D4053" s="15" t="s">
        <v>527</v>
      </c>
      <c r="E4053" s="9" t="s">
        <v>2069</v>
      </c>
      <c r="F4053" s="9" t="s">
        <v>9379</v>
      </c>
      <c r="G4053" s="9" t="s">
        <v>3682</v>
      </c>
      <c r="H4053" s="2" t="s">
        <v>60</v>
      </c>
      <c r="I4053" s="3">
        <v>37342</v>
      </c>
      <c r="J4053" s="9" t="str">
        <f t="shared" ca="1" si="66"/>
        <v>21 ans</v>
      </c>
      <c r="K4053" s="2" t="s">
        <v>262</v>
      </c>
      <c r="L4053" s="2" t="str">
        <f>"4205"</f>
        <v>4205</v>
      </c>
      <c r="M4053" s="2"/>
      <c r="N4053" s="2" t="str">
        <f>"RUE NADINE"</f>
        <v>RUE NADINE</v>
      </c>
      <c r="O4053" s="2" t="s">
        <v>17140</v>
      </c>
      <c r="P4053" s="9" t="str">
        <f>VLOOKUP($O4053,'Liste des Villes'!$B$2:$B$1128,1,FALSE)</f>
        <v>Lachute</v>
      </c>
      <c r="Q4053" s="9" t="str">
        <f>IFERROR($P4053,PROPER(VLOOKUP($O4053,'Villes en erreur'!$A$2:$B$72,2,FALSE)))</f>
        <v>Lachute</v>
      </c>
      <c r="R4053" s="9" t="s">
        <v>17141</v>
      </c>
      <c r="S4053" s="9" t="str">
        <f>IF(ISBLANK($R4053),"",VLOOKUP($R4053,'Liste des Villes'!$B$2:$H$1128,4,FALSE))</f>
        <v>Laurentides</v>
      </c>
      <c r="T4053" s="2" t="s">
        <v>17207</v>
      </c>
      <c r="U4053" s="2" t="s">
        <v>39</v>
      </c>
      <c r="V4053" s="2" t="s">
        <v>40</v>
      </c>
      <c r="W4053" s="2" t="s">
        <v>17265</v>
      </c>
      <c r="X4053" s="2" t="str">
        <f>"4504361953"</f>
        <v>4504361953</v>
      </c>
      <c r="Y4053" s="2" t="str">
        <f>"5147785541"</f>
        <v>5147785541</v>
      </c>
      <c r="Z4053" s="2"/>
      <c r="AA4053" s="2" t="s">
        <v>708</v>
      </c>
      <c r="AB4053" s="2" t="s">
        <v>16576</v>
      </c>
      <c r="AC4053" s="4" t="s">
        <v>44</v>
      </c>
    </row>
    <row r="4054" spans="1:29" x14ac:dyDescent="0.25">
      <c r="A4054" s="1">
        <v>4072</v>
      </c>
      <c r="B4054" s="17" t="s">
        <v>17266</v>
      </c>
      <c r="C4054" s="2" t="s">
        <v>17267</v>
      </c>
      <c r="D4054" s="15" t="s">
        <v>3424</v>
      </c>
      <c r="E4054" s="9" t="s">
        <v>9753</v>
      </c>
      <c r="F4054" s="9" t="s">
        <v>1098</v>
      </c>
      <c r="G4054" s="9" t="s">
        <v>796</v>
      </c>
      <c r="H4054" s="2" t="s">
        <v>60</v>
      </c>
      <c r="I4054" s="3">
        <v>37340</v>
      </c>
      <c r="J4054" s="9" t="str">
        <f t="shared" ca="1" si="66"/>
        <v>21 ans</v>
      </c>
      <c r="K4054" s="2" t="s">
        <v>262</v>
      </c>
      <c r="L4054" s="2" t="str">
        <f>"4020"</f>
        <v>4020</v>
      </c>
      <c r="M4054" s="2"/>
      <c r="N4054" s="2" t="str">
        <f>"RUE MOZART"</f>
        <v>RUE MOZART</v>
      </c>
      <c r="O4054" s="2" t="s">
        <v>17140</v>
      </c>
      <c r="P4054" s="9" t="str">
        <f>VLOOKUP($O4054,'Liste des Villes'!$B$2:$B$1128,1,FALSE)</f>
        <v>Lachute</v>
      </c>
      <c r="Q4054" s="9" t="str">
        <f>IFERROR($P4054,PROPER(VLOOKUP($O4054,'Villes en erreur'!$A$2:$B$72,2,FALSE)))</f>
        <v>Lachute</v>
      </c>
      <c r="R4054" s="9" t="s">
        <v>17141</v>
      </c>
      <c r="S4054" s="9" t="str">
        <f>IF(ISBLANK($R4054),"",VLOOKUP($R4054,'Liste des Villes'!$B$2:$H$1128,4,FALSE))</f>
        <v>Laurentides</v>
      </c>
      <c r="T4054" s="2" t="s">
        <v>17216</v>
      </c>
      <c r="U4054" s="2" t="s">
        <v>39</v>
      </c>
      <c r="V4054" s="2" t="s">
        <v>40</v>
      </c>
      <c r="W4054" s="2" t="s">
        <v>17268</v>
      </c>
      <c r="X4054" s="2" t="str">
        <f>"4504326275"</f>
        <v>4504326275</v>
      </c>
      <c r="Y4054" s="2" t="str">
        <f>"5148027400"</f>
        <v>5148027400</v>
      </c>
      <c r="Z4054" s="2"/>
      <c r="AA4054" s="2" t="s">
        <v>708</v>
      </c>
      <c r="AB4054" s="2" t="s">
        <v>16576</v>
      </c>
      <c r="AC4054" s="4" t="s">
        <v>44</v>
      </c>
    </row>
    <row r="4055" spans="1:29" x14ac:dyDescent="0.25">
      <c r="A4055" s="1">
        <v>134</v>
      </c>
      <c r="B4055" s="17" t="s">
        <v>17269</v>
      </c>
      <c r="C4055" s="2" t="s">
        <v>2606</v>
      </c>
      <c r="D4055" s="15" t="s">
        <v>2128</v>
      </c>
      <c r="E4055" s="9" t="s">
        <v>179</v>
      </c>
      <c r="F4055" s="9" t="s">
        <v>1024</v>
      </c>
      <c r="G4055" s="9" t="s">
        <v>610</v>
      </c>
      <c r="H4055" s="2" t="s">
        <v>60</v>
      </c>
      <c r="I4055" s="3">
        <v>37353</v>
      </c>
      <c r="J4055" s="9" t="str">
        <f t="shared" ca="1" si="66"/>
        <v>21 ans</v>
      </c>
      <c r="K4055" s="2" t="s">
        <v>262</v>
      </c>
      <c r="L4055" s="2" t="str">
        <f>"5881"</f>
        <v>5881</v>
      </c>
      <c r="M4055" s="2"/>
      <c r="N4055" s="2" t="str">
        <f>"RUE OUELLETTE"</f>
        <v>RUE OUELLETTE</v>
      </c>
      <c r="O4055" s="2" t="s">
        <v>17140</v>
      </c>
      <c r="P4055" s="9" t="str">
        <f>VLOOKUP($O4055,'Liste des Villes'!$B$2:$B$1128,1,FALSE)</f>
        <v>Lachute</v>
      </c>
      <c r="Q4055" s="9" t="str">
        <f>IFERROR($P4055,PROPER(VLOOKUP($O4055,'Villes en erreur'!$A$2:$B$72,2,FALSE)))</f>
        <v>Lachute</v>
      </c>
      <c r="R4055" s="9" t="s">
        <v>17141</v>
      </c>
      <c r="S4055" s="9" t="str">
        <f>IF(ISBLANK($R4055),"",VLOOKUP($R4055,'Liste des Villes'!$B$2:$H$1128,4,FALSE))</f>
        <v>Laurentides</v>
      </c>
      <c r="T4055" s="2" t="s">
        <v>17152</v>
      </c>
      <c r="U4055" s="2" t="s">
        <v>39</v>
      </c>
      <c r="V4055" s="2" t="s">
        <v>40</v>
      </c>
      <c r="W4055" s="2" t="s">
        <v>17205</v>
      </c>
      <c r="X4055" s="2" t="str">
        <f>"4505163632"</f>
        <v>4505163632</v>
      </c>
      <c r="Y4055" s="2" t="str">
        <f>"5146550712"</f>
        <v>5146550712</v>
      </c>
      <c r="Z4055" s="2"/>
      <c r="AA4055" s="2" t="s">
        <v>266</v>
      </c>
      <c r="AB4055" s="2" t="s">
        <v>267</v>
      </c>
      <c r="AC4055" s="4" t="s">
        <v>44</v>
      </c>
    </row>
    <row r="4056" spans="1:29" x14ac:dyDescent="0.25">
      <c r="A4056" s="1">
        <v>418</v>
      </c>
      <c r="B4056" s="17" t="s">
        <v>17270</v>
      </c>
      <c r="C4056" s="2" t="s">
        <v>1251</v>
      </c>
      <c r="D4056" s="15" t="s">
        <v>584</v>
      </c>
      <c r="E4056" s="9" t="s">
        <v>145</v>
      </c>
      <c r="F4056" s="9" t="s">
        <v>13074</v>
      </c>
      <c r="G4056" s="9" t="s">
        <v>610</v>
      </c>
      <c r="H4056" s="2" t="s">
        <v>60</v>
      </c>
      <c r="I4056" s="3">
        <v>37354</v>
      </c>
      <c r="J4056" s="9" t="str">
        <f t="shared" ca="1" si="66"/>
        <v>21 ans</v>
      </c>
      <c r="K4056" s="2" t="s">
        <v>262</v>
      </c>
      <c r="L4056" s="2" t="str">
        <f>"6201"</f>
        <v>6201</v>
      </c>
      <c r="M4056" s="2"/>
      <c r="N4056" s="2" t="str">
        <f>"RUE OUELLETTE"</f>
        <v>RUE OUELLETTE</v>
      </c>
      <c r="O4056" s="2" t="s">
        <v>17140</v>
      </c>
      <c r="P4056" s="9" t="str">
        <f>VLOOKUP($O4056,'Liste des Villes'!$B$2:$B$1128,1,FALSE)</f>
        <v>Lachute</v>
      </c>
      <c r="Q4056" s="9" t="str">
        <f>IFERROR($P4056,PROPER(VLOOKUP($O4056,'Villes en erreur'!$A$2:$B$72,2,FALSE)))</f>
        <v>Lachute</v>
      </c>
      <c r="R4056" s="9" t="s">
        <v>17141</v>
      </c>
      <c r="S4056" s="9" t="str">
        <f>IF(ISBLANK($R4056),"",VLOOKUP($R4056,'Liste des Villes'!$B$2:$H$1128,4,FALSE))</f>
        <v>Laurentides</v>
      </c>
      <c r="T4056" s="2" t="s">
        <v>17191</v>
      </c>
      <c r="U4056" s="2" t="s">
        <v>39</v>
      </c>
      <c r="V4056" s="2" t="s">
        <v>40</v>
      </c>
      <c r="W4056" s="2" t="s">
        <v>17271</v>
      </c>
      <c r="X4056" s="2" t="str">
        <f>"4505165133"</f>
        <v>4505165133</v>
      </c>
      <c r="Y4056" s="2" t="str">
        <f>"5146494216"</f>
        <v>5146494216</v>
      </c>
      <c r="Z4056" s="2"/>
      <c r="AA4056" s="2" t="s">
        <v>266</v>
      </c>
      <c r="AB4056" s="2" t="s">
        <v>267</v>
      </c>
      <c r="AC4056" s="4" t="s">
        <v>44</v>
      </c>
    </row>
    <row r="4057" spans="1:29" x14ac:dyDescent="0.25">
      <c r="A4057" s="1">
        <v>3187</v>
      </c>
      <c r="B4057" s="17" t="s">
        <v>17272</v>
      </c>
      <c r="C4057" s="2" t="s">
        <v>17273</v>
      </c>
      <c r="D4057" s="15" t="s">
        <v>15488</v>
      </c>
      <c r="E4057" s="9" t="s">
        <v>6703</v>
      </c>
      <c r="F4057" s="9" t="s">
        <v>15487</v>
      </c>
      <c r="G4057" s="9" t="s">
        <v>14862</v>
      </c>
      <c r="H4057" s="2" t="s">
        <v>35</v>
      </c>
      <c r="I4057" s="3">
        <v>37335</v>
      </c>
      <c r="J4057" s="9" t="str">
        <f t="shared" ca="1" si="66"/>
        <v>21 ans</v>
      </c>
      <c r="K4057" s="2" t="s">
        <v>262</v>
      </c>
      <c r="L4057" s="2" t="str">
        <f>"3857"</f>
        <v>3857</v>
      </c>
      <c r="M4057" s="2"/>
      <c r="N4057" s="2" t="str">
        <f>"RUE MOREAU"</f>
        <v>RUE MOREAU</v>
      </c>
      <c r="O4057" s="2" t="s">
        <v>17140</v>
      </c>
      <c r="P4057" s="9" t="str">
        <f>VLOOKUP($O4057,'Liste des Villes'!$B$2:$B$1128,1,FALSE)</f>
        <v>Lachute</v>
      </c>
      <c r="Q4057" s="9" t="str">
        <f>IFERROR($P4057,PROPER(VLOOKUP($O4057,'Villes en erreur'!$A$2:$B$72,2,FALSE)))</f>
        <v>Lachute</v>
      </c>
      <c r="R4057" s="9" t="s">
        <v>17141</v>
      </c>
      <c r="S4057" s="9" t="str">
        <f>IF(ISBLANK($R4057),"",VLOOKUP($R4057,'Liste des Villes'!$B$2:$H$1128,4,FALSE))</f>
        <v>Laurentides</v>
      </c>
      <c r="T4057" s="2" t="s">
        <v>17146</v>
      </c>
      <c r="U4057" s="2" t="s">
        <v>39</v>
      </c>
      <c r="V4057" s="2" t="s">
        <v>40</v>
      </c>
      <c r="W4057" s="2" t="s">
        <v>17274</v>
      </c>
      <c r="X4057" s="2" t="str">
        <f>"4503043410"</f>
        <v>4503043410</v>
      </c>
      <c r="Y4057" s="2" t="str">
        <f>"5148395651"</f>
        <v>5148395651</v>
      </c>
      <c r="Z4057" s="2"/>
      <c r="AA4057" s="2" t="s">
        <v>708</v>
      </c>
      <c r="AB4057" s="2" t="s">
        <v>16576</v>
      </c>
      <c r="AC4057" s="4" t="s">
        <v>44</v>
      </c>
    </row>
    <row r="4058" spans="1:29" x14ac:dyDescent="0.25">
      <c r="A4058" s="1">
        <v>844</v>
      </c>
      <c r="B4058" s="17" t="s">
        <v>17275</v>
      </c>
      <c r="C4058" s="2" t="s">
        <v>11558</v>
      </c>
      <c r="D4058" s="15" t="s">
        <v>1169</v>
      </c>
      <c r="E4058" s="9" t="s">
        <v>11559</v>
      </c>
      <c r="F4058" s="9" t="s">
        <v>1167</v>
      </c>
      <c r="G4058" s="9" t="s">
        <v>610</v>
      </c>
      <c r="H4058" s="2" t="s">
        <v>60</v>
      </c>
      <c r="I4058" s="3">
        <v>37348</v>
      </c>
      <c r="J4058" s="9" t="str">
        <f t="shared" ca="1" si="66"/>
        <v>21 ans</v>
      </c>
      <c r="K4058" s="2" t="s">
        <v>262</v>
      </c>
      <c r="L4058" s="2" t="str">
        <f>"4915"</f>
        <v>4915</v>
      </c>
      <c r="M4058" s="2"/>
      <c r="N4058" s="2" t="str">
        <f>"RUE NARCISSE-POIRIER"</f>
        <v>RUE NARCISSE-POIRIER</v>
      </c>
      <c r="O4058" s="2" t="s">
        <v>17140</v>
      </c>
      <c r="P4058" s="9" t="str">
        <f>VLOOKUP($O4058,'Liste des Villes'!$B$2:$B$1128,1,FALSE)</f>
        <v>Lachute</v>
      </c>
      <c r="Q4058" s="9" t="str">
        <f>IFERROR($P4058,PROPER(VLOOKUP($O4058,'Villes en erreur'!$A$2:$B$72,2,FALSE)))</f>
        <v>Lachute</v>
      </c>
      <c r="R4058" s="9" t="s">
        <v>17141</v>
      </c>
      <c r="S4058" s="9" t="str">
        <f>IF(ISBLANK($R4058),"",VLOOKUP($R4058,'Liste des Villes'!$B$2:$H$1128,4,FALSE))</f>
        <v>Laurentides</v>
      </c>
      <c r="T4058" s="2" t="s">
        <v>17276</v>
      </c>
      <c r="U4058" s="2" t="s">
        <v>39</v>
      </c>
      <c r="V4058" s="2" t="s">
        <v>40</v>
      </c>
      <c r="W4058" s="2" t="s">
        <v>17277</v>
      </c>
      <c r="X4058" s="2" t="str">
        <f>"4505121309"</f>
        <v>4505121309</v>
      </c>
      <c r="Y4058" s="2" t="str">
        <f>"5147064038"</f>
        <v>5147064038</v>
      </c>
      <c r="Z4058" s="2"/>
      <c r="AA4058" s="2" t="s">
        <v>708</v>
      </c>
      <c r="AB4058" s="2" t="s">
        <v>16576</v>
      </c>
      <c r="AC4058" s="4" t="s">
        <v>44</v>
      </c>
    </row>
    <row r="4059" spans="1:29" x14ac:dyDescent="0.25">
      <c r="A4059" s="1">
        <v>1061</v>
      </c>
      <c r="B4059" s="17" t="s">
        <v>17278</v>
      </c>
      <c r="C4059" s="2" t="s">
        <v>4025</v>
      </c>
      <c r="D4059" s="15" t="s">
        <v>4026</v>
      </c>
      <c r="E4059" s="9" t="s">
        <v>698</v>
      </c>
      <c r="F4059" s="9" t="s">
        <v>13716</v>
      </c>
      <c r="G4059" s="9" t="s">
        <v>2512</v>
      </c>
      <c r="H4059" s="2" t="s">
        <v>60</v>
      </c>
      <c r="I4059" s="3">
        <v>37339</v>
      </c>
      <c r="J4059" s="9" t="str">
        <f t="shared" ca="1" si="66"/>
        <v>21 ans</v>
      </c>
      <c r="K4059" s="2" t="s">
        <v>262</v>
      </c>
      <c r="L4059" s="2" t="str">
        <f>"3925"</f>
        <v>3925</v>
      </c>
      <c r="M4059" s="2"/>
      <c r="N4059" s="2" t="str">
        <f>"RUE MORIN"</f>
        <v>RUE MORIN</v>
      </c>
      <c r="O4059" s="2" t="s">
        <v>17140</v>
      </c>
      <c r="P4059" s="9" t="str">
        <f>VLOOKUP($O4059,'Liste des Villes'!$B$2:$B$1128,1,FALSE)</f>
        <v>Lachute</v>
      </c>
      <c r="Q4059" s="9" t="str">
        <f>IFERROR($P4059,PROPER(VLOOKUP($O4059,'Villes en erreur'!$A$2:$B$72,2,FALSE)))</f>
        <v>Lachute</v>
      </c>
      <c r="R4059" s="9" t="s">
        <v>17141</v>
      </c>
      <c r="S4059" s="9" t="str">
        <f>IF(ISBLANK($R4059),"",VLOOKUP($R4059,'Liste des Villes'!$B$2:$H$1128,4,FALSE))</f>
        <v>Laurentides</v>
      </c>
      <c r="T4059" s="2" t="s">
        <v>17279</v>
      </c>
      <c r="U4059" s="2" t="s">
        <v>39</v>
      </c>
      <c r="V4059" s="2" t="s">
        <v>40</v>
      </c>
      <c r="W4059" s="2" t="s">
        <v>17280</v>
      </c>
      <c r="X4059" s="2" t="str">
        <f>"4504190705"</f>
        <v>4504190705</v>
      </c>
      <c r="Y4059" s="2" t="str">
        <f>"5148310789"</f>
        <v>5148310789</v>
      </c>
      <c r="Z4059" s="2"/>
      <c r="AA4059" s="2" t="s">
        <v>708</v>
      </c>
      <c r="AB4059" s="2" t="s">
        <v>16576</v>
      </c>
      <c r="AC4059" s="4" t="s">
        <v>44</v>
      </c>
    </row>
    <row r="4060" spans="1:29" x14ac:dyDescent="0.25">
      <c r="A4060" s="1">
        <v>3766</v>
      </c>
      <c r="B4060" s="17" t="s">
        <v>17281</v>
      </c>
      <c r="C4060" s="2" t="s">
        <v>11564</v>
      </c>
      <c r="D4060" s="15" t="s">
        <v>541</v>
      </c>
      <c r="E4060" s="9" t="s">
        <v>3503</v>
      </c>
      <c r="F4060" s="9" t="s">
        <v>13195</v>
      </c>
      <c r="G4060" s="9" t="s">
        <v>3682</v>
      </c>
      <c r="H4060" s="2" t="s">
        <v>60</v>
      </c>
      <c r="I4060" s="3">
        <v>37342</v>
      </c>
      <c r="J4060" s="9" t="str">
        <f t="shared" ca="1" si="66"/>
        <v>21 ans</v>
      </c>
      <c r="K4060" s="2" t="s">
        <v>262</v>
      </c>
      <c r="L4060" s="2" t="str">
        <f>"4185"</f>
        <v>4185</v>
      </c>
      <c r="M4060" s="2"/>
      <c r="N4060" s="2" t="str">
        <f>"RUE NADIA"</f>
        <v>RUE NADIA</v>
      </c>
      <c r="O4060" s="2" t="s">
        <v>17140</v>
      </c>
      <c r="P4060" s="9" t="str">
        <f>VLOOKUP($O4060,'Liste des Villes'!$B$2:$B$1128,1,FALSE)</f>
        <v>Lachute</v>
      </c>
      <c r="Q4060" s="9" t="str">
        <f>IFERROR($P4060,PROPER(VLOOKUP($O4060,'Villes en erreur'!$A$2:$B$72,2,FALSE)))</f>
        <v>Lachute</v>
      </c>
      <c r="R4060" s="9" t="s">
        <v>17141</v>
      </c>
      <c r="S4060" s="9" t="str">
        <f>IF(ISBLANK($R4060),"",VLOOKUP($R4060,'Liste des Villes'!$B$2:$H$1128,4,FALSE))</f>
        <v>Laurentides</v>
      </c>
      <c r="T4060" s="2" t="s">
        <v>17207</v>
      </c>
      <c r="U4060" s="2" t="s">
        <v>39</v>
      </c>
      <c r="V4060" s="2" t="s">
        <v>40</v>
      </c>
      <c r="W4060" s="2" t="s">
        <v>17282</v>
      </c>
      <c r="X4060" s="2" t="str">
        <f>"4504360884"</f>
        <v>4504360884</v>
      </c>
      <c r="Y4060" s="2" t="str">
        <f>"5147921880"</f>
        <v>5147921880</v>
      </c>
      <c r="Z4060" s="2"/>
      <c r="AA4060" s="2" t="s">
        <v>708</v>
      </c>
      <c r="AB4060" s="2" t="s">
        <v>16576</v>
      </c>
      <c r="AC4060" s="4" t="s">
        <v>44</v>
      </c>
    </row>
    <row r="4061" spans="1:29" x14ac:dyDescent="0.25">
      <c r="A4061" s="1">
        <v>166</v>
      </c>
      <c r="B4061" s="17" t="s">
        <v>17283</v>
      </c>
      <c r="C4061" s="2" t="s">
        <v>17284</v>
      </c>
      <c r="D4061" s="15" t="s">
        <v>562</v>
      </c>
      <c r="E4061" s="9" t="s">
        <v>15966</v>
      </c>
      <c r="F4061" s="9" t="s">
        <v>599</v>
      </c>
      <c r="G4061" s="9" t="s">
        <v>1689</v>
      </c>
      <c r="H4061" s="2" t="s">
        <v>60</v>
      </c>
      <c r="I4061" s="3">
        <v>37333</v>
      </c>
      <c r="J4061" s="9" t="str">
        <f t="shared" ca="1" si="66"/>
        <v>21 ans</v>
      </c>
      <c r="K4061" s="2" t="s">
        <v>262</v>
      </c>
      <c r="L4061" s="2" t="str">
        <f>"3755"</f>
        <v>3755</v>
      </c>
      <c r="M4061" s="2"/>
      <c r="N4061" s="2" t="str">
        <f>"RUE MONTCALM"</f>
        <v>RUE MONTCALM</v>
      </c>
      <c r="O4061" s="2" t="s">
        <v>17140</v>
      </c>
      <c r="P4061" s="9" t="str">
        <f>VLOOKUP($O4061,'Liste des Villes'!$B$2:$B$1128,1,FALSE)</f>
        <v>Lachute</v>
      </c>
      <c r="Q4061" s="9" t="str">
        <f>IFERROR($P4061,PROPER(VLOOKUP($O4061,'Villes en erreur'!$A$2:$B$72,2,FALSE)))</f>
        <v>Lachute</v>
      </c>
      <c r="R4061" s="9" t="s">
        <v>17141</v>
      </c>
      <c r="S4061" s="9" t="str">
        <f>IF(ISBLANK($R4061),"",VLOOKUP($R4061,'Liste des Villes'!$B$2:$H$1128,4,FALSE))</f>
        <v>Laurentides</v>
      </c>
      <c r="T4061" s="2" t="s">
        <v>17285</v>
      </c>
      <c r="U4061" s="2" t="s">
        <v>39</v>
      </c>
      <c r="V4061" s="2" t="s">
        <v>40</v>
      </c>
      <c r="W4061" s="2" t="s">
        <v>17286</v>
      </c>
      <c r="X4061" s="2" t="str">
        <f>"4502757807"</f>
        <v>4502757807</v>
      </c>
      <c r="Y4061" s="2" t="str">
        <f>"5148919738"</f>
        <v>5148919738</v>
      </c>
      <c r="Z4061" s="2"/>
      <c r="AA4061" s="2" t="s">
        <v>708</v>
      </c>
      <c r="AB4061" s="2" t="s">
        <v>16576</v>
      </c>
      <c r="AC4061" s="4" t="s">
        <v>44</v>
      </c>
    </row>
    <row r="4062" spans="1:29" x14ac:dyDescent="0.25">
      <c r="A4062" s="1">
        <v>3643</v>
      </c>
      <c r="B4062" s="17" t="s">
        <v>17287</v>
      </c>
      <c r="C4062" s="2" t="s">
        <v>17288</v>
      </c>
      <c r="D4062" s="15" t="s">
        <v>17289</v>
      </c>
      <c r="E4062" s="9" t="s">
        <v>59</v>
      </c>
      <c r="F4062" s="9" t="s">
        <v>13743</v>
      </c>
      <c r="G4062" s="9" t="s">
        <v>1689</v>
      </c>
      <c r="H4062" s="2" t="s">
        <v>60</v>
      </c>
      <c r="I4062" s="3">
        <v>37331</v>
      </c>
      <c r="J4062" s="9" t="str">
        <f t="shared" ca="1" si="66"/>
        <v>21 ans</v>
      </c>
      <c r="K4062" s="2" t="s">
        <v>262</v>
      </c>
      <c r="L4062" s="2" t="str">
        <f>"3656"</f>
        <v>3656</v>
      </c>
      <c r="M4062" s="2"/>
      <c r="N4062" s="2" t="str">
        <f>"RUE MONTAIGNE"</f>
        <v>RUE MONTAIGNE</v>
      </c>
      <c r="O4062" s="2" t="s">
        <v>17140</v>
      </c>
      <c r="P4062" s="9" t="str">
        <f>VLOOKUP($O4062,'Liste des Villes'!$B$2:$B$1128,1,FALSE)</f>
        <v>Lachute</v>
      </c>
      <c r="Q4062" s="9" t="str">
        <f>IFERROR($P4062,PROPER(VLOOKUP($O4062,'Villes en erreur'!$A$2:$B$72,2,FALSE)))</f>
        <v>Lachute</v>
      </c>
      <c r="R4062" s="9" t="s">
        <v>17141</v>
      </c>
      <c r="S4062" s="9" t="str">
        <f>IF(ISBLANK($R4062),"",VLOOKUP($R4062,'Liste des Villes'!$B$2:$H$1128,4,FALSE))</f>
        <v>Laurentides</v>
      </c>
      <c r="T4062" s="2" t="s">
        <v>17124</v>
      </c>
      <c r="U4062" s="2" t="s">
        <v>39</v>
      </c>
      <c r="V4062" s="2" t="s">
        <v>40</v>
      </c>
      <c r="W4062" s="2" t="s">
        <v>17290</v>
      </c>
      <c r="X4062" s="2" t="str">
        <f>"4502755466"</f>
        <v>4502755466</v>
      </c>
      <c r="Y4062" s="2" t="str">
        <f>"5149090146"</f>
        <v>5149090146</v>
      </c>
      <c r="Z4062" s="2"/>
      <c r="AA4062" s="2" t="s">
        <v>708</v>
      </c>
      <c r="AB4062" s="2" t="s">
        <v>16576</v>
      </c>
      <c r="AC4062" s="4" t="s">
        <v>44</v>
      </c>
    </row>
    <row r="4063" spans="1:29" x14ac:dyDescent="0.25">
      <c r="A4063" s="1">
        <v>806</v>
      </c>
      <c r="B4063" s="17" t="s">
        <v>17291</v>
      </c>
      <c r="C4063" s="2" t="s">
        <v>9573</v>
      </c>
      <c r="D4063" s="15" t="s">
        <v>2718</v>
      </c>
      <c r="E4063" s="9" t="s">
        <v>9574</v>
      </c>
      <c r="F4063" s="9" t="s">
        <v>76</v>
      </c>
      <c r="G4063" s="9" t="s">
        <v>3682</v>
      </c>
      <c r="H4063" s="2" t="s">
        <v>60</v>
      </c>
      <c r="I4063" s="3">
        <v>37343</v>
      </c>
      <c r="J4063" s="9" t="str">
        <f t="shared" ca="1" si="66"/>
        <v>21 ans</v>
      </c>
      <c r="K4063" s="2" t="s">
        <v>262</v>
      </c>
      <c r="L4063" s="2" t="str">
        <f>"4500"</f>
        <v>4500</v>
      </c>
      <c r="M4063" s="2"/>
      <c r="N4063" s="2" t="str">
        <f>"rue Nancy"</f>
        <v>rue Nancy</v>
      </c>
      <c r="O4063" s="2" t="s">
        <v>17140</v>
      </c>
      <c r="P4063" s="9" t="str">
        <f>VLOOKUP($O4063,'Liste des Villes'!$B$2:$B$1128,1,FALSE)</f>
        <v>Lachute</v>
      </c>
      <c r="Q4063" s="9" t="str">
        <f>IFERROR($P4063,PROPER(VLOOKUP($O4063,'Villes en erreur'!$A$2:$B$72,2,FALSE)))</f>
        <v>Lachute</v>
      </c>
      <c r="R4063" s="9" t="s">
        <v>17141</v>
      </c>
      <c r="S4063" s="9" t="str">
        <f>IF(ISBLANK($R4063),"",VLOOKUP($R4063,'Liste des Villes'!$B$2:$H$1128,4,FALSE))</f>
        <v>Laurentides</v>
      </c>
      <c r="T4063" s="2" t="s">
        <v>17292</v>
      </c>
      <c r="U4063" s="2" t="s">
        <v>39</v>
      </c>
      <c r="V4063" s="2" t="s">
        <v>40</v>
      </c>
      <c r="W4063" s="2" t="s">
        <v>17293</v>
      </c>
      <c r="X4063" s="2" t="str">
        <f>"4504384885"</f>
        <v>4504384885</v>
      </c>
      <c r="Y4063" s="2" t="str">
        <f>"5147740423"</f>
        <v>5147740423</v>
      </c>
      <c r="Z4063" s="2"/>
      <c r="AA4063" s="2" t="s">
        <v>708</v>
      </c>
      <c r="AB4063" s="2" t="s">
        <v>16576</v>
      </c>
      <c r="AC4063" s="4" t="s">
        <v>44</v>
      </c>
    </row>
    <row r="4064" spans="1:29" x14ac:dyDescent="0.25">
      <c r="A4064" s="1">
        <v>1345</v>
      </c>
      <c r="B4064" s="17" t="s">
        <v>17294</v>
      </c>
      <c r="C4064" s="2" t="s">
        <v>16228</v>
      </c>
      <c r="D4064" s="15" t="s">
        <v>1061</v>
      </c>
      <c r="E4064" s="9" t="s">
        <v>6687</v>
      </c>
      <c r="F4064" s="9" t="s">
        <v>9030</v>
      </c>
      <c r="G4064" s="9" t="s">
        <v>3682</v>
      </c>
      <c r="H4064" s="2" t="s">
        <v>60</v>
      </c>
      <c r="I4064" s="3">
        <v>37343</v>
      </c>
      <c r="J4064" s="9" t="str">
        <f t="shared" ca="1" si="66"/>
        <v>21 ans</v>
      </c>
      <c r="K4064" s="2" t="s">
        <v>262</v>
      </c>
      <c r="L4064" s="2" t="str">
        <f>"4412"</f>
        <v>4412</v>
      </c>
      <c r="M4064" s="2"/>
      <c r="N4064" s="2" t="str">
        <f>"RUE NANCY"</f>
        <v>RUE NANCY</v>
      </c>
      <c r="O4064" s="2" t="s">
        <v>17140</v>
      </c>
      <c r="P4064" s="9" t="str">
        <f>VLOOKUP($O4064,'Liste des Villes'!$B$2:$B$1128,1,FALSE)</f>
        <v>Lachute</v>
      </c>
      <c r="Q4064" s="9" t="str">
        <f>IFERROR($P4064,PROPER(VLOOKUP($O4064,'Villes en erreur'!$A$2:$B$72,2,FALSE)))</f>
        <v>Lachute</v>
      </c>
      <c r="R4064" s="9" t="s">
        <v>17141</v>
      </c>
      <c r="S4064" s="9" t="str">
        <f>IF(ISBLANK($R4064),"",VLOOKUP($R4064,'Liste des Villes'!$B$2:$H$1128,4,FALSE))</f>
        <v>Laurentides</v>
      </c>
      <c r="T4064" s="2" t="s">
        <v>17295</v>
      </c>
      <c r="U4064" s="2" t="s">
        <v>39</v>
      </c>
      <c r="V4064" s="2" t="s">
        <v>40</v>
      </c>
      <c r="W4064" s="2" t="s">
        <v>17296</v>
      </c>
      <c r="X4064" s="2" t="str">
        <f>"4504383104"</f>
        <v>4504383104</v>
      </c>
      <c r="Y4064" s="2" t="str">
        <f>"5147750461"</f>
        <v>5147750461</v>
      </c>
      <c r="Z4064" s="2"/>
      <c r="AA4064" s="2" t="s">
        <v>708</v>
      </c>
      <c r="AB4064" s="2" t="s">
        <v>16576</v>
      </c>
      <c r="AC4064" s="4" t="s">
        <v>44</v>
      </c>
    </row>
    <row r="4065" spans="1:29" x14ac:dyDescent="0.25">
      <c r="A4065" s="1">
        <v>4318</v>
      </c>
      <c r="B4065" s="17" t="s">
        <v>17297</v>
      </c>
      <c r="C4065" s="2" t="s">
        <v>17298</v>
      </c>
      <c r="D4065" s="15" t="s">
        <v>12420</v>
      </c>
      <c r="E4065" s="9" t="s">
        <v>664</v>
      </c>
      <c r="F4065" s="9" t="s">
        <v>3203</v>
      </c>
      <c r="G4065" s="9" t="s">
        <v>2512</v>
      </c>
      <c r="H4065" s="2" t="s">
        <v>60</v>
      </c>
      <c r="I4065" s="3">
        <v>37338</v>
      </c>
      <c r="J4065" s="9" t="str">
        <f t="shared" ca="1" si="66"/>
        <v>21 ans</v>
      </c>
      <c r="K4065" s="2" t="s">
        <v>262</v>
      </c>
      <c r="L4065" s="2" t="str">
        <f>"3889"</f>
        <v>3889</v>
      </c>
      <c r="M4065" s="2"/>
      <c r="N4065" s="2" t="str">
        <f>"RUE MORIN"</f>
        <v>RUE MORIN</v>
      </c>
      <c r="O4065" s="2" t="s">
        <v>17140</v>
      </c>
      <c r="P4065" s="9" t="str">
        <f>VLOOKUP($O4065,'Liste des Villes'!$B$2:$B$1128,1,FALSE)</f>
        <v>Lachute</v>
      </c>
      <c r="Q4065" s="9" t="str">
        <f>IFERROR($P4065,PROPER(VLOOKUP($O4065,'Villes en erreur'!$A$2:$B$72,2,FALSE)))</f>
        <v>Lachute</v>
      </c>
      <c r="R4065" s="9" t="s">
        <v>17141</v>
      </c>
      <c r="S4065" s="9" t="str">
        <f>IF(ISBLANK($R4065),"",VLOOKUP($R4065,'Liste des Villes'!$B$2:$H$1128,4,FALSE))</f>
        <v>Laurentides</v>
      </c>
      <c r="T4065" s="2" t="s">
        <v>17299</v>
      </c>
      <c r="U4065" s="2" t="s">
        <v>39</v>
      </c>
      <c r="V4065" s="2" t="s">
        <v>40</v>
      </c>
      <c r="W4065" s="2" t="s">
        <v>17300</v>
      </c>
      <c r="X4065" s="2" t="str">
        <f>"4503650669"</f>
        <v>4503650669</v>
      </c>
      <c r="Y4065" s="2" t="str">
        <f>"5148357932"</f>
        <v>5148357932</v>
      </c>
      <c r="Z4065" s="2"/>
      <c r="AA4065" s="2" t="s">
        <v>708</v>
      </c>
      <c r="AB4065" s="2" t="s">
        <v>16576</v>
      </c>
      <c r="AC4065" s="4" t="s">
        <v>44</v>
      </c>
    </row>
    <row r="4066" spans="1:29" x14ac:dyDescent="0.25">
      <c r="A4066" s="1">
        <v>2113</v>
      </c>
      <c r="B4066" s="17" t="s">
        <v>17301</v>
      </c>
      <c r="C4066" s="2" t="s">
        <v>17302</v>
      </c>
      <c r="D4066" s="15" t="s">
        <v>17082</v>
      </c>
      <c r="E4066" s="9" t="s">
        <v>3162</v>
      </c>
      <c r="F4066" s="9" t="s">
        <v>2474</v>
      </c>
      <c r="G4066" s="9" t="s">
        <v>610</v>
      </c>
      <c r="H4066" s="2" t="s">
        <v>60</v>
      </c>
      <c r="I4066" s="3">
        <v>37344</v>
      </c>
      <c r="J4066" s="9" t="str">
        <f t="shared" ca="1" si="66"/>
        <v>21 ans</v>
      </c>
      <c r="K4066" s="2" t="s">
        <v>262</v>
      </c>
      <c r="L4066" s="2" t="str">
        <f>"4695"</f>
        <v>4695</v>
      </c>
      <c r="M4066" s="2"/>
      <c r="N4066" s="2" t="str">
        <f>"RUE NANCY"</f>
        <v>RUE NANCY</v>
      </c>
      <c r="O4066" s="2" t="s">
        <v>17140</v>
      </c>
      <c r="P4066" s="9" t="str">
        <f>VLOOKUP($O4066,'Liste des Villes'!$B$2:$B$1128,1,FALSE)</f>
        <v>Lachute</v>
      </c>
      <c r="Q4066" s="9" t="str">
        <f>IFERROR($P4066,PROPER(VLOOKUP($O4066,'Villes en erreur'!$A$2:$B$72,2,FALSE)))</f>
        <v>Lachute</v>
      </c>
      <c r="R4066" s="9" t="s">
        <v>17141</v>
      </c>
      <c r="S4066" s="9" t="str">
        <f>IF(ISBLANK($R4066),"",VLOOKUP($R4066,'Liste des Villes'!$B$2:$H$1128,4,FALSE))</f>
        <v>Laurentides</v>
      </c>
      <c r="T4066" s="2" t="s">
        <v>17184</v>
      </c>
      <c r="U4066" s="2" t="s">
        <v>39</v>
      </c>
      <c r="V4066" s="2" t="s">
        <v>40</v>
      </c>
      <c r="W4066" s="2" t="s">
        <v>17303</v>
      </c>
      <c r="X4066" s="2" t="str">
        <f>"4504950219"</f>
        <v>4504950219</v>
      </c>
      <c r="Y4066" s="2" t="str">
        <f>"5147183026"</f>
        <v>5147183026</v>
      </c>
      <c r="Z4066" s="2"/>
      <c r="AA4066" s="2" t="s">
        <v>708</v>
      </c>
      <c r="AB4066" s="2" t="s">
        <v>16576</v>
      </c>
      <c r="AC4066" s="4" t="s">
        <v>44</v>
      </c>
    </row>
    <row r="4067" spans="1:29" x14ac:dyDescent="0.25">
      <c r="A4067" s="1">
        <v>3940</v>
      </c>
      <c r="B4067" s="17" t="s">
        <v>17304</v>
      </c>
      <c r="C4067" s="2" t="s">
        <v>17305</v>
      </c>
      <c r="D4067" s="15" t="s">
        <v>4389</v>
      </c>
      <c r="E4067" s="9" t="s">
        <v>8482</v>
      </c>
      <c r="F4067" s="9" t="s">
        <v>782</v>
      </c>
      <c r="G4067" s="9" t="s">
        <v>610</v>
      </c>
      <c r="H4067" s="2" t="s">
        <v>60</v>
      </c>
      <c r="I4067" s="3">
        <v>37349</v>
      </c>
      <c r="J4067" s="9" t="str">
        <f t="shared" ca="1" si="66"/>
        <v>21 ans</v>
      </c>
      <c r="K4067" s="2" t="s">
        <v>262</v>
      </c>
      <c r="L4067" s="2" t="str">
        <f>"5100"</f>
        <v>5100</v>
      </c>
      <c r="M4067" s="2"/>
      <c r="N4067" s="2" t="str">
        <f>"RUE NORMAND"</f>
        <v>RUE NORMAND</v>
      </c>
      <c r="O4067" s="2" t="s">
        <v>17140</v>
      </c>
      <c r="P4067" s="9" t="str">
        <f>VLOOKUP($O4067,'Liste des Villes'!$B$2:$B$1128,1,FALSE)</f>
        <v>Lachute</v>
      </c>
      <c r="Q4067" s="9" t="str">
        <f>IFERROR($P4067,PROPER(VLOOKUP($O4067,'Villes en erreur'!$A$2:$B$72,2,FALSE)))</f>
        <v>Lachute</v>
      </c>
      <c r="R4067" s="9" t="s">
        <v>17141</v>
      </c>
      <c r="S4067" s="9" t="str">
        <f>IF(ISBLANK($R4067),"",VLOOKUP($R4067,'Liste des Villes'!$B$2:$H$1128,4,FALSE))</f>
        <v>Laurentides</v>
      </c>
      <c r="T4067" s="2" t="s">
        <v>17224</v>
      </c>
      <c r="U4067" s="2" t="s">
        <v>39</v>
      </c>
      <c r="V4067" s="2" t="s">
        <v>40</v>
      </c>
      <c r="W4067" s="2" t="s">
        <v>17306</v>
      </c>
      <c r="X4067" s="2" t="str">
        <f>"4505124402"</f>
        <v>4505124402</v>
      </c>
      <c r="Y4067" s="2" t="str">
        <f>"5146900576"</f>
        <v>5146900576</v>
      </c>
      <c r="Z4067" s="2"/>
      <c r="AA4067" s="2" t="s">
        <v>708</v>
      </c>
      <c r="AB4067" s="2" t="s">
        <v>16576</v>
      </c>
      <c r="AC4067" s="4" t="s">
        <v>44</v>
      </c>
    </row>
    <row r="4068" spans="1:29" x14ac:dyDescent="0.25">
      <c r="A4068" s="1">
        <v>4343</v>
      </c>
      <c r="B4068" s="17" t="s">
        <v>17307</v>
      </c>
      <c r="C4068" s="2" t="s">
        <v>11571</v>
      </c>
      <c r="D4068" s="15" t="s">
        <v>1141</v>
      </c>
      <c r="E4068" s="9" t="s">
        <v>9853</v>
      </c>
      <c r="F4068" s="9" t="s">
        <v>750</v>
      </c>
      <c r="G4068" s="9" t="s">
        <v>15984</v>
      </c>
      <c r="H4068" s="2" t="s">
        <v>60</v>
      </c>
      <c r="I4068" s="3">
        <v>37340</v>
      </c>
      <c r="J4068" s="9" t="str">
        <f t="shared" ca="1" si="66"/>
        <v>21 ans</v>
      </c>
      <c r="K4068" s="2" t="s">
        <v>262</v>
      </c>
      <c r="L4068" s="2" t="str">
        <f>"3995"</f>
        <v>3995</v>
      </c>
      <c r="M4068" s="2"/>
      <c r="N4068" s="2" t="str">
        <f>"RUE MOZART"</f>
        <v>RUE MOZART</v>
      </c>
      <c r="O4068" s="2" t="s">
        <v>17140</v>
      </c>
      <c r="P4068" s="9" t="str">
        <f>VLOOKUP($O4068,'Liste des Villes'!$B$2:$B$1128,1,FALSE)</f>
        <v>Lachute</v>
      </c>
      <c r="Q4068" s="9" t="str">
        <f>IFERROR($P4068,PROPER(VLOOKUP($O4068,'Villes en erreur'!$A$2:$B$72,2,FALSE)))</f>
        <v>Lachute</v>
      </c>
      <c r="R4068" s="9" t="s">
        <v>17141</v>
      </c>
      <c r="S4068" s="9" t="str">
        <f>IF(ISBLANK($R4068),"",VLOOKUP($R4068,'Liste des Villes'!$B$2:$H$1128,4,FALSE))</f>
        <v>Laurentides</v>
      </c>
      <c r="T4068" s="2" t="s">
        <v>17308</v>
      </c>
      <c r="U4068" s="2" t="s">
        <v>39</v>
      </c>
      <c r="V4068" s="2" t="s">
        <v>40</v>
      </c>
      <c r="W4068" s="2" t="s">
        <v>17309</v>
      </c>
      <c r="X4068" s="2" t="str">
        <f>"4504323047"</f>
        <v>4504323047</v>
      </c>
      <c r="Y4068" s="2" t="str">
        <f>"5148086581"</f>
        <v>5148086581</v>
      </c>
      <c r="Z4068" s="2"/>
      <c r="AA4068" s="2" t="s">
        <v>708</v>
      </c>
      <c r="AB4068" s="2" t="s">
        <v>16576</v>
      </c>
      <c r="AC4068" s="4" t="s">
        <v>44</v>
      </c>
    </row>
    <row r="4069" spans="1:29" x14ac:dyDescent="0.25">
      <c r="A4069" s="1">
        <v>4523</v>
      </c>
      <c r="B4069" s="17" t="s">
        <v>17310</v>
      </c>
      <c r="C4069" s="2" t="s">
        <v>8097</v>
      </c>
      <c r="D4069" s="15" t="s">
        <v>6459</v>
      </c>
      <c r="E4069" s="9" t="s">
        <v>1673</v>
      </c>
      <c r="F4069" s="9" t="s">
        <v>17311</v>
      </c>
      <c r="G4069" s="9" t="s">
        <v>2512</v>
      </c>
      <c r="H4069" s="2" t="s">
        <v>60</v>
      </c>
      <c r="I4069" s="3">
        <v>37337</v>
      </c>
      <c r="J4069" s="9" t="str">
        <f t="shared" ca="1" si="66"/>
        <v>21 ans</v>
      </c>
      <c r="K4069" s="2" t="s">
        <v>262</v>
      </c>
      <c r="L4069" s="2" t="str">
        <f>"3886"</f>
        <v>3886</v>
      </c>
      <c r="M4069" s="2"/>
      <c r="N4069" s="2" t="str">
        <f>"RUE MORIN"</f>
        <v>RUE MORIN</v>
      </c>
      <c r="O4069" s="2" t="s">
        <v>17140</v>
      </c>
      <c r="P4069" s="9" t="str">
        <f>VLOOKUP($O4069,'Liste des Villes'!$B$2:$B$1128,1,FALSE)</f>
        <v>Lachute</v>
      </c>
      <c r="Q4069" s="9" t="str">
        <f>IFERROR($P4069,PROPER(VLOOKUP($O4069,'Villes en erreur'!$A$2:$B$72,2,FALSE)))</f>
        <v>Lachute</v>
      </c>
      <c r="R4069" s="9" t="s">
        <v>17141</v>
      </c>
      <c r="S4069" s="9" t="str">
        <f>IF(ISBLANK($R4069),"",VLOOKUP($R4069,'Liste des Villes'!$B$2:$H$1128,4,FALSE))</f>
        <v>Laurentides</v>
      </c>
      <c r="T4069" s="2" t="s">
        <v>17312</v>
      </c>
      <c r="U4069" s="2" t="s">
        <v>39</v>
      </c>
      <c r="V4069" s="2" t="s">
        <v>40</v>
      </c>
      <c r="W4069" s="2" t="s">
        <v>17313</v>
      </c>
      <c r="X4069" s="2" t="str">
        <f>"4503402624"</f>
        <v>4503402624</v>
      </c>
      <c r="Y4069" s="2" t="str">
        <f>"5148390437"</f>
        <v>5148390437</v>
      </c>
      <c r="Z4069" s="2"/>
      <c r="AA4069" s="2" t="s">
        <v>708</v>
      </c>
      <c r="AB4069" s="2" t="s">
        <v>16576</v>
      </c>
      <c r="AC4069" s="4" t="s">
        <v>44</v>
      </c>
    </row>
    <row r="4070" spans="1:29" x14ac:dyDescent="0.25">
      <c r="A4070" s="1">
        <v>3032</v>
      </c>
      <c r="B4070" s="17" t="s">
        <v>17314</v>
      </c>
      <c r="C4070" s="2" t="s">
        <v>11873</v>
      </c>
      <c r="D4070" s="15" t="s">
        <v>11874</v>
      </c>
      <c r="E4070" s="9" t="s">
        <v>915</v>
      </c>
      <c r="F4070" s="9" t="s">
        <v>9779</v>
      </c>
      <c r="G4070" s="9" t="s">
        <v>610</v>
      </c>
      <c r="H4070" s="2" t="s">
        <v>60</v>
      </c>
      <c r="I4070" s="3">
        <v>37354</v>
      </c>
      <c r="J4070" s="9" t="str">
        <f t="shared" ca="1" si="66"/>
        <v>21 ans</v>
      </c>
      <c r="K4070" s="2" t="s">
        <v>262</v>
      </c>
      <c r="L4070" s="2" t="str">
        <f>"6300"</f>
        <v>6300</v>
      </c>
      <c r="M4070" s="2"/>
      <c r="N4070" s="2" t="str">
        <f>"RUE OUIMET"</f>
        <v>RUE OUIMET</v>
      </c>
      <c r="O4070" s="2" t="s">
        <v>17140</v>
      </c>
      <c r="P4070" s="9" t="str">
        <f>VLOOKUP($O4070,'Liste des Villes'!$B$2:$B$1128,1,FALSE)</f>
        <v>Lachute</v>
      </c>
      <c r="Q4070" s="9" t="str">
        <f>IFERROR($P4070,PROPER(VLOOKUP($O4070,'Villes en erreur'!$A$2:$B$72,2,FALSE)))</f>
        <v>Lachute</v>
      </c>
      <c r="R4070" s="9" t="s">
        <v>17141</v>
      </c>
      <c r="S4070" s="9" t="str">
        <f>IF(ISBLANK($R4070),"",VLOOKUP($R4070,'Liste des Villes'!$B$2:$H$1128,4,FALSE))</f>
        <v>Laurentides</v>
      </c>
      <c r="T4070" s="2" t="s">
        <v>17315</v>
      </c>
      <c r="U4070" s="2" t="s">
        <v>39</v>
      </c>
      <c r="V4070" s="2" t="s">
        <v>40</v>
      </c>
      <c r="W4070" s="2" t="s">
        <v>17316</v>
      </c>
      <c r="X4070" s="2" t="str">
        <f>"4505169979"</f>
        <v>4505169979</v>
      </c>
      <c r="Y4070" s="2" t="str">
        <f>"5146416800"</f>
        <v>5146416800</v>
      </c>
      <c r="Z4070" s="2"/>
      <c r="AA4070" s="2" t="s">
        <v>266</v>
      </c>
      <c r="AB4070" s="2" t="s">
        <v>267</v>
      </c>
      <c r="AC4070" s="4" t="s">
        <v>44</v>
      </c>
    </row>
    <row r="4071" spans="1:29" x14ac:dyDescent="0.25">
      <c r="A4071" s="1">
        <v>2479</v>
      </c>
      <c r="B4071" s="17" t="s">
        <v>17317</v>
      </c>
      <c r="C4071" s="2" t="s">
        <v>2795</v>
      </c>
      <c r="D4071" s="15" t="s">
        <v>1592</v>
      </c>
      <c r="E4071" s="9" t="s">
        <v>2796</v>
      </c>
      <c r="F4071" s="9" t="s">
        <v>1590</v>
      </c>
      <c r="G4071" s="9" t="s">
        <v>610</v>
      </c>
      <c r="H4071" s="2" t="s">
        <v>60</v>
      </c>
      <c r="I4071" s="3">
        <v>37351</v>
      </c>
      <c r="J4071" s="9" t="str">
        <f t="shared" ca="1" si="66"/>
        <v>21 ans</v>
      </c>
      <c r="K4071" s="2" t="s">
        <v>262</v>
      </c>
      <c r="L4071" s="2" t="str">
        <f>"5421"</f>
        <v>5421</v>
      </c>
      <c r="M4071" s="2"/>
      <c r="N4071" s="2" t="str">
        <f>"RUE OLIVIER"</f>
        <v>RUE OLIVIER</v>
      </c>
      <c r="O4071" s="2" t="s">
        <v>17140</v>
      </c>
      <c r="P4071" s="9" t="str">
        <f>VLOOKUP($O4071,'Liste des Villes'!$B$2:$B$1128,1,FALSE)</f>
        <v>Lachute</v>
      </c>
      <c r="Q4071" s="9" t="str">
        <f>IFERROR($P4071,PROPER(VLOOKUP($O4071,'Villes en erreur'!$A$2:$B$72,2,FALSE)))</f>
        <v>Lachute</v>
      </c>
      <c r="R4071" s="9" t="s">
        <v>17141</v>
      </c>
      <c r="S4071" s="9" t="str">
        <f>IF(ISBLANK($R4071),"",VLOOKUP($R4071,'Liste des Villes'!$B$2:$H$1128,4,FALSE))</f>
        <v>Laurentides</v>
      </c>
      <c r="T4071" s="2" t="s">
        <v>17318</v>
      </c>
      <c r="U4071" s="2" t="s">
        <v>39</v>
      </c>
      <c r="V4071" s="2" t="s">
        <v>40</v>
      </c>
      <c r="W4071" s="2" t="s">
        <v>17319</v>
      </c>
      <c r="X4071" s="2" t="str">
        <f>"4505128737"</f>
        <v>4505128737</v>
      </c>
      <c r="Y4071" s="2" t="str">
        <f>"5146641216"</f>
        <v>5146641216</v>
      </c>
      <c r="Z4071" s="2"/>
      <c r="AA4071" s="2" t="s">
        <v>266</v>
      </c>
      <c r="AB4071" s="2" t="s">
        <v>267</v>
      </c>
      <c r="AC4071" s="4" t="s">
        <v>44</v>
      </c>
    </row>
    <row r="4072" spans="1:29" x14ac:dyDescent="0.25">
      <c r="A4072" s="1">
        <v>1329</v>
      </c>
      <c r="B4072" s="17" t="s">
        <v>17320</v>
      </c>
      <c r="C4072" s="2" t="s">
        <v>9757</v>
      </c>
      <c r="D4072" s="15" t="s">
        <v>4932</v>
      </c>
      <c r="E4072" s="9" t="s">
        <v>3218</v>
      </c>
      <c r="F4072" s="9" t="s">
        <v>495</v>
      </c>
      <c r="G4072" s="9" t="s">
        <v>796</v>
      </c>
      <c r="H4072" s="2" t="s">
        <v>60</v>
      </c>
      <c r="I4072" s="3">
        <v>37340</v>
      </c>
      <c r="J4072" s="9" t="str">
        <f t="shared" ca="1" si="66"/>
        <v>21 ans</v>
      </c>
      <c r="K4072" s="2" t="s">
        <v>262</v>
      </c>
      <c r="L4072" s="2" t="str">
        <f>"4004"</f>
        <v>4004</v>
      </c>
      <c r="M4072" s="2"/>
      <c r="N4072" s="2" t="str">
        <f>"RUE MOZART"</f>
        <v>RUE MOZART</v>
      </c>
      <c r="O4072" s="2" t="s">
        <v>17140</v>
      </c>
      <c r="P4072" s="9" t="str">
        <f>VLOOKUP($O4072,'Liste des Villes'!$B$2:$B$1128,1,FALSE)</f>
        <v>Lachute</v>
      </c>
      <c r="Q4072" s="9" t="str">
        <f>IFERROR($P4072,PROPER(VLOOKUP($O4072,'Villes en erreur'!$A$2:$B$72,2,FALSE)))</f>
        <v>Lachute</v>
      </c>
      <c r="R4072" s="9" t="s">
        <v>17141</v>
      </c>
      <c r="S4072" s="9" t="str">
        <f>IF(ISBLANK($R4072),"",VLOOKUP($R4072,'Liste des Villes'!$B$2:$H$1128,4,FALSE))</f>
        <v>Laurentides</v>
      </c>
      <c r="T4072" s="2" t="s">
        <v>17216</v>
      </c>
      <c r="U4072" s="2" t="s">
        <v>39</v>
      </c>
      <c r="V4072" s="2" t="s">
        <v>40</v>
      </c>
      <c r="W4072" s="2" t="s">
        <v>17321</v>
      </c>
      <c r="X4072" s="2" t="str">
        <f>"4504325468"</f>
        <v>4504325468</v>
      </c>
      <c r="Y4072" s="2" t="str">
        <f>"5148085672"</f>
        <v>5148085672</v>
      </c>
      <c r="Z4072" s="2"/>
      <c r="AA4072" s="2" t="s">
        <v>708</v>
      </c>
      <c r="AB4072" s="2" t="s">
        <v>16576</v>
      </c>
      <c r="AC4072" s="4" t="s">
        <v>44</v>
      </c>
    </row>
    <row r="4073" spans="1:29" x14ac:dyDescent="0.25">
      <c r="A4073" s="1">
        <v>4355</v>
      </c>
      <c r="B4073" s="17" t="s">
        <v>17322</v>
      </c>
      <c r="C4073" s="2" t="s">
        <v>17323</v>
      </c>
      <c r="D4073" s="15" t="s">
        <v>17324</v>
      </c>
      <c r="E4073" s="9" t="s">
        <v>610</v>
      </c>
      <c r="F4073" s="9" t="s">
        <v>208</v>
      </c>
      <c r="G4073" s="9" t="s">
        <v>3682</v>
      </c>
      <c r="H4073" s="2" t="s">
        <v>60</v>
      </c>
      <c r="I4073" s="3">
        <v>37343</v>
      </c>
      <c r="J4073" s="9" t="str">
        <f t="shared" ca="1" si="66"/>
        <v>21 ans</v>
      </c>
      <c r="K4073" s="2" t="s">
        <v>262</v>
      </c>
      <c r="L4073" s="2" t="str">
        <f>"4519"</f>
        <v>4519</v>
      </c>
      <c r="M4073" s="2"/>
      <c r="N4073" s="2" t="str">
        <f>"RUE NANCY"</f>
        <v>RUE NANCY</v>
      </c>
      <c r="O4073" s="2" t="s">
        <v>17140</v>
      </c>
      <c r="P4073" s="9" t="str">
        <f>VLOOKUP($O4073,'Liste des Villes'!$B$2:$B$1128,1,FALSE)</f>
        <v>Lachute</v>
      </c>
      <c r="Q4073" s="9" t="str">
        <f>IFERROR($P4073,PROPER(VLOOKUP($O4073,'Villes en erreur'!$A$2:$B$72,2,FALSE)))</f>
        <v>Lachute</v>
      </c>
      <c r="R4073" s="9" t="s">
        <v>17141</v>
      </c>
      <c r="S4073" s="9" t="str">
        <f>IF(ISBLANK($R4073),"",VLOOKUP($R4073,'Liste des Villes'!$B$2:$H$1128,4,FALSE))</f>
        <v>Laurentides</v>
      </c>
      <c r="T4073" s="2" t="s">
        <v>17142</v>
      </c>
      <c r="U4073" s="2" t="s">
        <v>39</v>
      </c>
      <c r="V4073" s="2" t="s">
        <v>40</v>
      </c>
      <c r="W4073" s="2" t="s">
        <v>17325</v>
      </c>
      <c r="X4073" s="2" t="str">
        <f>"4504388712"</f>
        <v>4504388712</v>
      </c>
      <c r="Y4073" s="2" t="str">
        <f>"5147719030"</f>
        <v>5147719030</v>
      </c>
      <c r="Z4073" s="2"/>
      <c r="AA4073" s="2" t="s">
        <v>708</v>
      </c>
      <c r="AB4073" s="2" t="s">
        <v>16576</v>
      </c>
      <c r="AC4073" s="4" t="s">
        <v>44</v>
      </c>
    </row>
    <row r="4074" spans="1:29" x14ac:dyDescent="0.25">
      <c r="A4074" s="1">
        <v>377</v>
      </c>
      <c r="B4074" s="17" t="s">
        <v>17326</v>
      </c>
      <c r="C4074" s="2" t="s">
        <v>7930</v>
      </c>
      <c r="D4074" s="15" t="s">
        <v>7931</v>
      </c>
      <c r="E4074" s="9" t="s">
        <v>179</v>
      </c>
      <c r="F4074" s="9" t="s">
        <v>14619</v>
      </c>
      <c r="G4074" s="9" t="s">
        <v>9587</v>
      </c>
      <c r="H4074" s="2" t="s">
        <v>60</v>
      </c>
      <c r="I4074" s="3">
        <v>37339</v>
      </c>
      <c r="J4074" s="9" t="str">
        <f t="shared" ca="1" si="66"/>
        <v>21 ans</v>
      </c>
      <c r="K4074" s="2" t="s">
        <v>262</v>
      </c>
      <c r="L4074" s="2" t="str">
        <f>"3986"</f>
        <v>3986</v>
      </c>
      <c r="M4074" s="2"/>
      <c r="N4074" s="2" t="str">
        <f>"RUE MOZART"</f>
        <v>RUE MOZART</v>
      </c>
      <c r="O4074" s="2" t="s">
        <v>17140</v>
      </c>
      <c r="P4074" s="9" t="str">
        <f>VLOOKUP($O4074,'Liste des Villes'!$B$2:$B$1128,1,FALSE)</f>
        <v>Lachute</v>
      </c>
      <c r="Q4074" s="9" t="str">
        <f>IFERROR($P4074,PROPER(VLOOKUP($O4074,'Villes en erreur'!$A$2:$B$72,2,FALSE)))</f>
        <v>Lachute</v>
      </c>
      <c r="R4074" s="9" t="s">
        <v>17141</v>
      </c>
      <c r="S4074" s="9" t="str">
        <f>IF(ISBLANK($R4074),"",VLOOKUP($R4074,'Liste des Villes'!$B$2:$H$1128,4,FALSE))</f>
        <v>Laurentides</v>
      </c>
      <c r="T4074" s="2" t="s">
        <v>17308</v>
      </c>
      <c r="U4074" s="2" t="s">
        <v>39</v>
      </c>
      <c r="V4074" s="2" t="s">
        <v>40</v>
      </c>
      <c r="W4074" s="2" t="s">
        <v>17327</v>
      </c>
      <c r="X4074" s="2" t="str">
        <f>"4504320421"</f>
        <v>4504320421</v>
      </c>
      <c r="Y4074" s="2" t="str">
        <f>"5148142646"</f>
        <v>5148142646</v>
      </c>
      <c r="Z4074" s="2"/>
      <c r="AA4074" s="2" t="s">
        <v>708</v>
      </c>
      <c r="AB4074" s="2" t="s">
        <v>16576</v>
      </c>
      <c r="AC4074" s="4" t="s">
        <v>44</v>
      </c>
    </row>
    <row r="4075" spans="1:29" x14ac:dyDescent="0.25">
      <c r="A4075" s="1">
        <v>419</v>
      </c>
      <c r="B4075" s="17" t="s">
        <v>17328</v>
      </c>
      <c r="C4075" s="2" t="s">
        <v>17329</v>
      </c>
      <c r="D4075" s="15" t="s">
        <v>8354</v>
      </c>
      <c r="E4075" s="9" t="s">
        <v>775</v>
      </c>
      <c r="F4075" s="9" t="s">
        <v>6635</v>
      </c>
      <c r="G4075" s="9" t="s">
        <v>610</v>
      </c>
      <c r="H4075" s="2" t="s">
        <v>60</v>
      </c>
      <c r="I4075" s="3">
        <v>37351</v>
      </c>
      <c r="J4075" s="9" t="str">
        <f t="shared" ca="1" si="66"/>
        <v>21 ans</v>
      </c>
      <c r="K4075" s="2" t="s">
        <v>262</v>
      </c>
      <c r="L4075" s="2" t="str">
        <f>"5440"</f>
        <v>5440</v>
      </c>
      <c r="M4075" s="2"/>
      <c r="N4075" s="2" t="str">
        <f>"RUE OMER-PAQUETTE"</f>
        <v>RUE OMER-PAQUETTE</v>
      </c>
      <c r="O4075" s="2" t="s">
        <v>17140</v>
      </c>
      <c r="P4075" s="9" t="str">
        <f>VLOOKUP($O4075,'Liste des Villes'!$B$2:$B$1128,1,FALSE)</f>
        <v>Lachute</v>
      </c>
      <c r="Q4075" s="9" t="str">
        <f>IFERROR($P4075,PROPER(VLOOKUP($O4075,'Villes en erreur'!$A$2:$B$72,2,FALSE)))</f>
        <v>Lachute</v>
      </c>
      <c r="R4075" s="9" t="s">
        <v>17141</v>
      </c>
      <c r="S4075" s="9" t="str">
        <f>IF(ISBLANK($R4075),"",VLOOKUP($R4075,'Liste des Villes'!$B$2:$H$1128,4,FALSE))</f>
        <v>Laurentides</v>
      </c>
      <c r="T4075" s="2" t="s">
        <v>17330</v>
      </c>
      <c r="U4075" s="2" t="s">
        <v>39</v>
      </c>
      <c r="V4075" s="2" t="s">
        <v>40</v>
      </c>
      <c r="W4075" s="2" t="s">
        <v>17331</v>
      </c>
      <c r="X4075" s="2" t="str">
        <f>"4505160157"</f>
        <v>4505160157</v>
      </c>
      <c r="Y4075" s="2" t="str">
        <f>"5146638372"</f>
        <v>5146638372</v>
      </c>
      <c r="Z4075" s="2"/>
      <c r="AA4075" s="2" t="s">
        <v>266</v>
      </c>
      <c r="AB4075" s="2" t="s">
        <v>267</v>
      </c>
      <c r="AC4075" s="4" t="s">
        <v>44</v>
      </c>
    </row>
    <row r="4076" spans="1:29" x14ac:dyDescent="0.25">
      <c r="A4076" s="1">
        <v>1622</v>
      </c>
      <c r="B4076" s="17" t="s">
        <v>17332</v>
      </c>
      <c r="C4076" s="2" t="s">
        <v>3239</v>
      </c>
      <c r="D4076" s="15" t="s">
        <v>1659</v>
      </c>
      <c r="E4076" s="9" t="s">
        <v>3240</v>
      </c>
      <c r="F4076" s="9" t="s">
        <v>1657</v>
      </c>
      <c r="G4076" s="9" t="s">
        <v>610</v>
      </c>
      <c r="H4076" s="2" t="s">
        <v>60</v>
      </c>
      <c r="I4076" s="3">
        <v>37350</v>
      </c>
      <c r="J4076" s="9" t="str">
        <f t="shared" ca="1" si="66"/>
        <v>21 ans</v>
      </c>
      <c r="K4076" s="2" t="s">
        <v>262</v>
      </c>
      <c r="L4076" s="2" t="str">
        <f>"5233"</f>
        <v>5233</v>
      </c>
      <c r="M4076" s="2"/>
      <c r="N4076" s="2" t="str">
        <f>"RUE NOTRE-DAME"</f>
        <v>RUE NOTRE-DAME</v>
      </c>
      <c r="O4076" s="2" t="s">
        <v>17140</v>
      </c>
      <c r="P4076" s="9" t="str">
        <f>VLOOKUP($O4076,'Liste des Villes'!$B$2:$B$1128,1,FALSE)</f>
        <v>Lachute</v>
      </c>
      <c r="Q4076" s="9" t="str">
        <f>IFERROR($P4076,PROPER(VLOOKUP($O4076,'Villes en erreur'!$A$2:$B$72,2,FALSE)))</f>
        <v>Lachute</v>
      </c>
      <c r="R4076" s="9" t="s">
        <v>17141</v>
      </c>
      <c r="S4076" s="9" t="str">
        <f>IF(ISBLANK($R4076),"",VLOOKUP($R4076,'Liste des Villes'!$B$2:$H$1128,4,FALSE))</f>
        <v>Laurentides</v>
      </c>
      <c r="T4076" s="2" t="s">
        <v>17178</v>
      </c>
      <c r="U4076" s="2" t="s">
        <v>39</v>
      </c>
      <c r="V4076" s="2" t="s">
        <v>40</v>
      </c>
      <c r="W4076" s="2" t="s">
        <v>17333</v>
      </c>
      <c r="X4076" s="2" t="str">
        <f>"4505127503"</f>
        <v>4505127503</v>
      </c>
      <c r="Y4076" s="2" t="str">
        <f>"5146689174"</f>
        <v>5146689174</v>
      </c>
      <c r="Z4076" s="2"/>
      <c r="AA4076" s="2" t="s">
        <v>266</v>
      </c>
      <c r="AB4076" s="2" t="s">
        <v>16576</v>
      </c>
      <c r="AC4076" s="4" t="s">
        <v>44</v>
      </c>
    </row>
    <row r="4077" spans="1:29" x14ac:dyDescent="0.25">
      <c r="A4077" s="1">
        <v>3306</v>
      </c>
      <c r="B4077" s="17" t="s">
        <v>17334</v>
      </c>
      <c r="C4077" s="2" t="s">
        <v>17335</v>
      </c>
      <c r="D4077" s="15" t="s">
        <v>16712</v>
      </c>
      <c r="E4077" s="9" t="s">
        <v>4686</v>
      </c>
      <c r="F4077" s="9" t="s">
        <v>16711</v>
      </c>
      <c r="G4077" s="9" t="s">
        <v>1689</v>
      </c>
      <c r="H4077" s="2" t="s">
        <v>60</v>
      </c>
      <c r="I4077" s="3">
        <v>37332</v>
      </c>
      <c r="J4077" s="9" t="str">
        <f t="shared" ca="1" si="66"/>
        <v>21 ans</v>
      </c>
      <c r="K4077" s="2" t="s">
        <v>262</v>
      </c>
      <c r="L4077" s="2" t="str">
        <f>"3665"</f>
        <v>3665</v>
      </c>
      <c r="M4077" s="2"/>
      <c r="N4077" s="2" t="str">
        <f>"RUE MONTCALM"</f>
        <v>RUE MONTCALM</v>
      </c>
      <c r="O4077" s="2" t="s">
        <v>17140</v>
      </c>
      <c r="P4077" s="9" t="str">
        <f>VLOOKUP($O4077,'Liste des Villes'!$B$2:$B$1128,1,FALSE)</f>
        <v>Lachute</v>
      </c>
      <c r="Q4077" s="9" t="str">
        <f>IFERROR($P4077,PROPER(VLOOKUP($O4077,'Villes en erreur'!$A$2:$B$72,2,FALSE)))</f>
        <v>Lachute</v>
      </c>
      <c r="R4077" s="9" t="s">
        <v>17141</v>
      </c>
      <c r="S4077" s="9" t="str">
        <f>IF(ISBLANK($R4077),"",VLOOKUP($R4077,'Liste des Villes'!$B$2:$H$1128,4,FALSE))</f>
        <v>Laurentides</v>
      </c>
      <c r="T4077" s="2" t="s">
        <v>17124</v>
      </c>
      <c r="U4077" s="2" t="s">
        <v>39</v>
      </c>
      <c r="V4077" s="2" t="s">
        <v>40</v>
      </c>
      <c r="W4077" s="2" t="s">
        <v>17336</v>
      </c>
      <c r="X4077" s="2" t="str">
        <f>"4502755548"</f>
        <v>4502755548</v>
      </c>
      <c r="Y4077" s="2" t="str">
        <f>"5148984598"</f>
        <v>5148984598</v>
      </c>
      <c r="Z4077" s="2"/>
      <c r="AA4077" s="2" t="s">
        <v>708</v>
      </c>
      <c r="AB4077" s="2" t="s">
        <v>16576</v>
      </c>
      <c r="AC4077" s="4" t="s">
        <v>44</v>
      </c>
    </row>
    <row r="4078" spans="1:29" x14ac:dyDescent="0.25">
      <c r="A4078" s="1">
        <v>2535</v>
      </c>
      <c r="B4078" s="17" t="s">
        <v>17337</v>
      </c>
      <c r="C4078" s="2" t="s">
        <v>5696</v>
      </c>
      <c r="D4078" s="15" t="s">
        <v>197</v>
      </c>
      <c r="E4078" s="9" t="s">
        <v>495</v>
      </c>
      <c r="F4078" s="9" t="s">
        <v>195</v>
      </c>
      <c r="G4078" s="9" t="s">
        <v>7911</v>
      </c>
      <c r="H4078" s="2" t="s">
        <v>60</v>
      </c>
      <c r="I4078" s="3">
        <v>37335</v>
      </c>
      <c r="J4078" s="9" t="str">
        <f t="shared" ca="1" si="66"/>
        <v>21 ans</v>
      </c>
      <c r="K4078" s="2" t="s">
        <v>262</v>
      </c>
      <c r="L4078" s="2" t="str">
        <f>"3836"</f>
        <v>3836</v>
      </c>
      <c r="M4078" s="2"/>
      <c r="N4078" s="2" t="str">
        <f>"RUE MORAND"</f>
        <v>RUE MORAND</v>
      </c>
      <c r="O4078" s="2" t="s">
        <v>17140</v>
      </c>
      <c r="P4078" s="9" t="str">
        <f>VLOOKUP($O4078,'Liste des Villes'!$B$2:$B$1128,1,FALSE)</f>
        <v>Lachute</v>
      </c>
      <c r="Q4078" s="9" t="str">
        <f>IFERROR($P4078,PROPER(VLOOKUP($O4078,'Villes en erreur'!$A$2:$B$72,2,FALSE)))</f>
        <v>Lachute</v>
      </c>
      <c r="R4078" s="9" t="s">
        <v>17141</v>
      </c>
      <c r="S4078" s="9" t="str">
        <f>IF(ISBLANK($R4078),"",VLOOKUP($R4078,'Liste des Villes'!$B$2:$H$1128,4,FALSE))</f>
        <v>Laurentides</v>
      </c>
      <c r="T4078" s="2" t="s">
        <v>17146</v>
      </c>
      <c r="U4078" s="2" t="s">
        <v>39</v>
      </c>
      <c r="V4078" s="2" t="s">
        <v>40</v>
      </c>
      <c r="W4078" s="2" t="s">
        <v>17147</v>
      </c>
      <c r="X4078" s="2" t="str">
        <f>"4502809499"</f>
        <v>4502809499</v>
      </c>
      <c r="Y4078" s="2" t="str">
        <f>"5148839136"</f>
        <v>5148839136</v>
      </c>
      <c r="Z4078" s="2"/>
      <c r="AA4078" s="2" t="s">
        <v>708</v>
      </c>
      <c r="AB4078" s="2" t="s">
        <v>16576</v>
      </c>
      <c r="AC4078" s="4" t="s">
        <v>44</v>
      </c>
    </row>
    <row r="4079" spans="1:29" x14ac:dyDescent="0.25">
      <c r="A4079" s="1">
        <v>647</v>
      </c>
      <c r="B4079" s="17" t="s">
        <v>17338</v>
      </c>
      <c r="C4079" s="2" t="s">
        <v>17339</v>
      </c>
      <c r="D4079" s="15" t="s">
        <v>875</v>
      </c>
      <c r="E4079" s="9" t="s">
        <v>15338</v>
      </c>
      <c r="F4079" s="9" t="s">
        <v>5476</v>
      </c>
      <c r="G4079" s="9" t="s">
        <v>610</v>
      </c>
      <c r="H4079" s="2" t="s">
        <v>60</v>
      </c>
      <c r="I4079" s="3">
        <v>37349</v>
      </c>
      <c r="J4079" s="9" t="str">
        <f t="shared" ca="1" si="66"/>
        <v>21 ans</v>
      </c>
      <c r="K4079" s="2" t="s">
        <v>262</v>
      </c>
      <c r="L4079" s="2" t="str">
        <f>"4952"</f>
        <v>4952</v>
      </c>
      <c r="M4079" s="2"/>
      <c r="N4079" s="2" t="str">
        <f>"RUE NICOLAS MANTHET"</f>
        <v>RUE NICOLAS MANTHET</v>
      </c>
      <c r="O4079" s="2" t="s">
        <v>17140</v>
      </c>
      <c r="P4079" s="9" t="str">
        <f>VLOOKUP($O4079,'Liste des Villes'!$B$2:$B$1128,1,FALSE)</f>
        <v>Lachute</v>
      </c>
      <c r="Q4079" s="9" t="str">
        <f>IFERROR($P4079,PROPER(VLOOKUP($O4079,'Villes en erreur'!$A$2:$B$72,2,FALSE)))</f>
        <v>Lachute</v>
      </c>
      <c r="R4079" s="9" t="s">
        <v>17141</v>
      </c>
      <c r="S4079" s="9" t="str">
        <f>IF(ISBLANK($R4079),"",VLOOKUP($R4079,'Liste des Villes'!$B$2:$H$1128,4,FALSE))</f>
        <v>Laurentides</v>
      </c>
      <c r="T4079" s="2" t="s">
        <v>17340</v>
      </c>
      <c r="U4079" s="2" t="s">
        <v>39</v>
      </c>
      <c r="V4079" s="2" t="s">
        <v>40</v>
      </c>
      <c r="W4079" s="2" t="s">
        <v>17341</v>
      </c>
      <c r="X4079" s="2" t="str">
        <f>"4505121611"</f>
        <v>4505121611</v>
      </c>
      <c r="Y4079" s="2" t="str">
        <f>"5147061956"</f>
        <v>5147061956</v>
      </c>
      <c r="Z4079" s="2"/>
      <c r="AA4079" s="2" t="s">
        <v>708</v>
      </c>
      <c r="AB4079" s="2" t="s">
        <v>16576</v>
      </c>
      <c r="AC4079" s="4" t="s">
        <v>44</v>
      </c>
    </row>
    <row r="4080" spans="1:29" x14ac:dyDescent="0.25">
      <c r="A4080" s="1">
        <v>2410</v>
      </c>
      <c r="B4080" s="17" t="s">
        <v>17342</v>
      </c>
      <c r="C4080" s="2" t="s">
        <v>5314</v>
      </c>
      <c r="D4080" s="15" t="s">
        <v>957</v>
      </c>
      <c r="E4080" s="9" t="s">
        <v>5315</v>
      </c>
      <c r="F4080" s="9" t="s">
        <v>955</v>
      </c>
      <c r="G4080" s="9" t="s">
        <v>9587</v>
      </c>
      <c r="H4080" s="2" t="s">
        <v>60</v>
      </c>
      <c r="I4080" s="3">
        <v>37339</v>
      </c>
      <c r="J4080" s="9" t="str">
        <f t="shared" ca="1" si="66"/>
        <v>21 ans</v>
      </c>
      <c r="K4080" s="2" t="s">
        <v>262</v>
      </c>
      <c r="L4080" s="2" t="str">
        <f>"3971"</f>
        <v>3971</v>
      </c>
      <c r="M4080" s="2"/>
      <c r="N4080" s="2" t="str">
        <f>"RUE MOUSSEAU"</f>
        <v>RUE MOUSSEAU</v>
      </c>
      <c r="O4080" s="2" t="s">
        <v>17140</v>
      </c>
      <c r="P4080" s="9" t="str">
        <f>VLOOKUP($O4080,'Liste des Villes'!$B$2:$B$1128,1,FALSE)</f>
        <v>Lachute</v>
      </c>
      <c r="Q4080" s="9" t="str">
        <f>IFERROR($P4080,PROPER(VLOOKUP($O4080,'Villes en erreur'!$A$2:$B$72,2,FALSE)))</f>
        <v>Lachute</v>
      </c>
      <c r="R4080" s="9" t="s">
        <v>17141</v>
      </c>
      <c r="S4080" s="9" t="str">
        <f>IF(ISBLANK($R4080),"",VLOOKUP($R4080,'Liste des Villes'!$B$2:$H$1128,4,FALSE))</f>
        <v>Laurentides</v>
      </c>
      <c r="T4080" s="2" t="s">
        <v>17201</v>
      </c>
      <c r="U4080" s="2" t="s">
        <v>39</v>
      </c>
      <c r="V4080" s="2" t="s">
        <v>40</v>
      </c>
      <c r="W4080" s="2" t="s">
        <v>17343</v>
      </c>
      <c r="X4080" s="2" t="str">
        <f>"4504319432"</f>
        <v>4504319432</v>
      </c>
      <c r="Y4080" s="2" t="str">
        <f>"5148152108"</f>
        <v>5148152108</v>
      </c>
      <c r="Z4080" s="2"/>
      <c r="AA4080" s="2" t="s">
        <v>708</v>
      </c>
      <c r="AB4080" s="2" t="s">
        <v>16576</v>
      </c>
      <c r="AC4080" s="4" t="s">
        <v>44</v>
      </c>
    </row>
    <row r="4081" spans="1:29" x14ac:dyDescent="0.25">
      <c r="A4081" s="1">
        <v>893</v>
      </c>
      <c r="B4081" s="17" t="s">
        <v>17344</v>
      </c>
      <c r="C4081" s="2" t="s">
        <v>1445</v>
      </c>
      <c r="D4081" s="15" t="s">
        <v>1446</v>
      </c>
      <c r="E4081" s="9" t="s">
        <v>1447</v>
      </c>
      <c r="F4081" s="9" t="s">
        <v>1923</v>
      </c>
      <c r="G4081" s="9" t="s">
        <v>2512</v>
      </c>
      <c r="H4081" s="2" t="s">
        <v>60</v>
      </c>
      <c r="I4081" s="3">
        <v>37339</v>
      </c>
      <c r="J4081" s="9" t="str">
        <f t="shared" ca="1" si="66"/>
        <v>21 ans</v>
      </c>
      <c r="K4081" s="2" t="s">
        <v>262</v>
      </c>
      <c r="L4081" s="2" t="str">
        <f>"3940"</f>
        <v>3940</v>
      </c>
      <c r="M4081" s="2"/>
      <c r="N4081" s="2" t="str">
        <f>"RUE MORIN"</f>
        <v>RUE MORIN</v>
      </c>
      <c r="O4081" s="2" t="s">
        <v>17141</v>
      </c>
      <c r="P4081" s="9" t="str">
        <f>VLOOKUP($O4081,'Liste des Villes'!$B$2:$B$1128,1,FALSE)</f>
        <v>Lachute</v>
      </c>
      <c r="Q4081" s="9" t="str">
        <f>IFERROR($P4081,PROPER(VLOOKUP($O4081,'Villes en erreur'!$A$2:$B$72,2,FALSE)))</f>
        <v>Lachute</v>
      </c>
      <c r="R4081" s="9" t="s">
        <v>17141</v>
      </c>
      <c r="S4081" s="9" t="str">
        <f>IF(ISBLANK($R4081),"",VLOOKUP($R4081,'Liste des Villes'!$B$2:$H$1128,4,FALSE))</f>
        <v>Laurentides</v>
      </c>
      <c r="T4081" s="2" t="s">
        <v>17345</v>
      </c>
      <c r="U4081" s="2" t="s">
        <v>39</v>
      </c>
      <c r="V4081" s="2" t="s">
        <v>40</v>
      </c>
      <c r="W4081" s="2" t="s">
        <v>17346</v>
      </c>
      <c r="X4081" s="2" t="str">
        <f>"4504313513"</f>
        <v>4504313513</v>
      </c>
      <c r="Y4081" s="2" t="str">
        <f>"5148277308"</f>
        <v>5148277308</v>
      </c>
      <c r="Z4081" s="2"/>
      <c r="AA4081" s="2" t="s">
        <v>708</v>
      </c>
      <c r="AB4081" s="2" t="s">
        <v>16576</v>
      </c>
      <c r="AC4081" s="4" t="s">
        <v>44</v>
      </c>
    </row>
    <row r="4082" spans="1:29" x14ac:dyDescent="0.25">
      <c r="A4082" s="1">
        <v>3597</v>
      </c>
      <c r="B4082" s="17" t="s">
        <v>17347</v>
      </c>
      <c r="C4082" s="2" t="s">
        <v>14692</v>
      </c>
      <c r="D4082" s="15" t="s">
        <v>3683</v>
      </c>
      <c r="E4082" s="9" t="s">
        <v>539</v>
      </c>
      <c r="F4082" s="9" t="s">
        <v>540</v>
      </c>
      <c r="G4082" s="9" t="s">
        <v>2512</v>
      </c>
      <c r="H4082" s="2" t="s">
        <v>60</v>
      </c>
      <c r="I4082" s="3">
        <v>37339</v>
      </c>
      <c r="J4082" s="9" t="str">
        <f t="shared" ca="1" si="66"/>
        <v>21 ans</v>
      </c>
      <c r="K4082" s="2" t="s">
        <v>262</v>
      </c>
      <c r="L4082" s="2" t="str">
        <f>"3925"</f>
        <v>3925</v>
      </c>
      <c r="M4082" s="2"/>
      <c r="N4082" s="2" t="str">
        <f>"RUE MORIN"</f>
        <v>RUE MORIN</v>
      </c>
      <c r="O4082" s="2" t="s">
        <v>17140</v>
      </c>
      <c r="P4082" s="9" t="str">
        <f>VLOOKUP($O4082,'Liste des Villes'!$B$2:$B$1128,1,FALSE)</f>
        <v>Lachute</v>
      </c>
      <c r="Q4082" s="9" t="str">
        <f>IFERROR($P4082,PROPER(VLOOKUP($O4082,'Villes en erreur'!$A$2:$B$72,2,FALSE)))</f>
        <v>Lachute</v>
      </c>
      <c r="R4082" s="9" t="s">
        <v>17141</v>
      </c>
      <c r="S4082" s="9" t="str">
        <f>IF(ISBLANK($R4082),"",VLOOKUP($R4082,'Liste des Villes'!$B$2:$H$1128,4,FALSE))</f>
        <v>Laurentides</v>
      </c>
      <c r="T4082" s="2" t="s">
        <v>17345</v>
      </c>
      <c r="U4082" s="2" t="s">
        <v>39</v>
      </c>
      <c r="V4082" s="2" t="s">
        <v>40</v>
      </c>
      <c r="W4082" s="2" t="s">
        <v>17280</v>
      </c>
      <c r="X4082" s="2" t="str">
        <f>"4504310900"</f>
        <v>4504310900</v>
      </c>
      <c r="Y4082" s="2" t="str">
        <f>"5148303983"</f>
        <v>5148303983</v>
      </c>
      <c r="Z4082" s="2"/>
      <c r="AA4082" s="2" t="s">
        <v>708</v>
      </c>
      <c r="AB4082" s="2" t="s">
        <v>16576</v>
      </c>
      <c r="AC4082" s="4" t="s">
        <v>44</v>
      </c>
    </row>
    <row r="4083" spans="1:29" x14ac:dyDescent="0.25">
      <c r="A4083" s="1">
        <v>2630</v>
      </c>
      <c r="B4083" s="17" t="s">
        <v>17348</v>
      </c>
      <c r="C4083" s="2" t="s">
        <v>3136</v>
      </c>
      <c r="D4083" s="15" t="s">
        <v>944</v>
      </c>
      <c r="E4083" s="9" t="s">
        <v>233</v>
      </c>
      <c r="F4083" s="9" t="s">
        <v>1572</v>
      </c>
      <c r="G4083" s="9" t="s">
        <v>2755</v>
      </c>
      <c r="H4083" s="2" t="s">
        <v>35</v>
      </c>
      <c r="I4083" s="3">
        <v>37335</v>
      </c>
      <c r="J4083" s="9" t="str">
        <f t="shared" ca="1" si="66"/>
        <v>21 ans</v>
      </c>
      <c r="K4083" s="2" t="s">
        <v>262</v>
      </c>
      <c r="L4083" s="2" t="str">
        <f>"3835"</f>
        <v>3835</v>
      </c>
      <c r="M4083" s="2"/>
      <c r="N4083" s="2" t="str">
        <f>"RUE MOORECREST"</f>
        <v>RUE MOORECREST</v>
      </c>
      <c r="O4083" s="2" t="s">
        <v>17140</v>
      </c>
      <c r="P4083" s="9" t="str">
        <f>VLOOKUP($O4083,'Liste des Villes'!$B$2:$B$1128,1,FALSE)</f>
        <v>Lachute</v>
      </c>
      <c r="Q4083" s="9" t="str">
        <f>IFERROR($P4083,PROPER(VLOOKUP($O4083,'Villes en erreur'!$A$2:$B$72,2,FALSE)))</f>
        <v>Lachute</v>
      </c>
      <c r="R4083" s="9" t="s">
        <v>17141</v>
      </c>
      <c r="S4083" s="9" t="str">
        <f>IF(ISBLANK($R4083),"",VLOOKUP($R4083,'Liste des Villes'!$B$2:$H$1128,4,FALSE))</f>
        <v>Laurentides</v>
      </c>
      <c r="T4083" s="2" t="s">
        <v>17146</v>
      </c>
      <c r="U4083" s="2" t="s">
        <v>39</v>
      </c>
      <c r="V4083" s="2" t="s">
        <v>40</v>
      </c>
      <c r="W4083" s="2" t="s">
        <v>17349</v>
      </c>
      <c r="X4083" s="2" t="str">
        <f>"4502803356"</f>
        <v>4502803356</v>
      </c>
      <c r="Y4083" s="2" t="str">
        <f>"5148848804"</f>
        <v>5148848804</v>
      </c>
      <c r="Z4083" s="2"/>
      <c r="AA4083" s="2" t="s">
        <v>708</v>
      </c>
      <c r="AB4083" s="2" t="s">
        <v>16576</v>
      </c>
      <c r="AC4083" s="4" t="s">
        <v>44</v>
      </c>
    </row>
    <row r="4084" spans="1:29" x14ac:dyDescent="0.25">
      <c r="A4084" s="1">
        <v>1892</v>
      </c>
      <c r="B4084" s="17" t="s">
        <v>17350</v>
      </c>
      <c r="C4084" s="2" t="s">
        <v>2795</v>
      </c>
      <c r="D4084" s="15" t="s">
        <v>1592</v>
      </c>
      <c r="E4084" s="9" t="s">
        <v>2796</v>
      </c>
      <c r="F4084" s="9" t="s">
        <v>1590</v>
      </c>
      <c r="G4084" s="9" t="s">
        <v>610</v>
      </c>
      <c r="H4084" s="2" t="s">
        <v>60</v>
      </c>
      <c r="I4084" s="3">
        <v>37344</v>
      </c>
      <c r="J4084" s="9" t="str">
        <f t="shared" ca="1" si="66"/>
        <v>21 ans</v>
      </c>
      <c r="K4084" s="2" t="s">
        <v>262</v>
      </c>
      <c r="L4084" s="2" t="str">
        <f>"4617"</f>
        <v>4617</v>
      </c>
      <c r="M4084" s="2"/>
      <c r="N4084" s="2" t="str">
        <f>"RUE NANCY"</f>
        <v>RUE NANCY</v>
      </c>
      <c r="O4084" s="2" t="s">
        <v>17140</v>
      </c>
      <c r="P4084" s="9" t="str">
        <f>VLOOKUP($O4084,'Liste des Villes'!$B$2:$B$1128,1,FALSE)</f>
        <v>Lachute</v>
      </c>
      <c r="Q4084" s="9" t="str">
        <f>IFERROR($P4084,PROPER(VLOOKUP($O4084,'Villes en erreur'!$A$2:$B$72,2,FALSE)))</f>
        <v>Lachute</v>
      </c>
      <c r="R4084" s="9" t="s">
        <v>17141</v>
      </c>
      <c r="S4084" s="9" t="str">
        <f>IF(ISBLANK($R4084),"",VLOOKUP($R4084,'Liste des Villes'!$B$2:$H$1128,4,FALSE))</f>
        <v>Laurentides</v>
      </c>
      <c r="T4084" s="2" t="s">
        <v>17184</v>
      </c>
      <c r="U4084" s="2" t="s">
        <v>39</v>
      </c>
      <c r="V4084" s="2" t="s">
        <v>40</v>
      </c>
      <c r="W4084" s="2" t="s">
        <v>17303</v>
      </c>
      <c r="X4084" s="2" t="str">
        <f>"4504732021"</f>
        <v>4504732021</v>
      </c>
      <c r="Y4084" s="2" t="str">
        <f>"5147546165"</f>
        <v>5147546165</v>
      </c>
      <c r="Z4084" s="2"/>
      <c r="AA4084" s="2" t="s">
        <v>708</v>
      </c>
      <c r="AB4084" s="2" t="s">
        <v>16576</v>
      </c>
      <c r="AC4084" s="4" t="s">
        <v>44</v>
      </c>
    </row>
    <row r="4085" spans="1:29" x14ac:dyDescent="0.25">
      <c r="A4085" s="1">
        <v>67</v>
      </c>
      <c r="B4085" s="17" t="s">
        <v>17351</v>
      </c>
      <c r="C4085" s="2" t="s">
        <v>17352</v>
      </c>
      <c r="D4085" s="15" t="s">
        <v>10472</v>
      </c>
      <c r="E4085" s="9" t="s">
        <v>1283</v>
      </c>
      <c r="F4085" s="9" t="s">
        <v>1649</v>
      </c>
      <c r="G4085" s="9" t="s">
        <v>1689</v>
      </c>
      <c r="H4085" s="2" t="s">
        <v>60</v>
      </c>
      <c r="I4085" s="3">
        <v>37333</v>
      </c>
      <c r="J4085" s="9" t="str">
        <f t="shared" ca="1" si="66"/>
        <v>21 ans</v>
      </c>
      <c r="K4085" s="2" t="s">
        <v>262</v>
      </c>
      <c r="L4085" s="2" t="str">
        <f>"3755"</f>
        <v>3755</v>
      </c>
      <c r="M4085" s="2"/>
      <c r="N4085" s="2" t="str">
        <f>"RUE MONTCALM"</f>
        <v>RUE MONTCALM</v>
      </c>
      <c r="O4085" s="2" t="s">
        <v>17140</v>
      </c>
      <c r="P4085" s="9" t="str">
        <f>VLOOKUP($O4085,'Liste des Villes'!$B$2:$B$1128,1,FALSE)</f>
        <v>Lachute</v>
      </c>
      <c r="Q4085" s="9" t="str">
        <f>IFERROR($P4085,PROPER(VLOOKUP($O4085,'Villes en erreur'!$A$2:$B$72,2,FALSE)))</f>
        <v>Lachute</v>
      </c>
      <c r="R4085" s="9" t="s">
        <v>17141</v>
      </c>
      <c r="S4085" s="9" t="str">
        <f>IF(ISBLANK($R4085),"",VLOOKUP($R4085,'Liste des Villes'!$B$2:$H$1128,4,FALSE))</f>
        <v>Laurentides</v>
      </c>
      <c r="T4085" s="2" t="s">
        <v>17353</v>
      </c>
      <c r="U4085" s="2" t="s">
        <v>39</v>
      </c>
      <c r="V4085" s="2" t="s">
        <v>40</v>
      </c>
      <c r="W4085" s="2" t="s">
        <v>17354</v>
      </c>
      <c r="X4085" s="2" t="str">
        <f>"4502759623"</f>
        <v>4502759623</v>
      </c>
      <c r="Y4085" s="2" t="str">
        <f>"5148911143"</f>
        <v>5148911143</v>
      </c>
      <c r="Z4085" s="2"/>
      <c r="AA4085" s="2" t="s">
        <v>708</v>
      </c>
      <c r="AB4085" s="2" t="s">
        <v>16576</v>
      </c>
      <c r="AC4085" s="4" t="s">
        <v>44</v>
      </c>
    </row>
    <row r="4086" spans="1:29" x14ac:dyDescent="0.25">
      <c r="A4086" s="1">
        <v>345</v>
      </c>
      <c r="B4086" s="17" t="s">
        <v>17355</v>
      </c>
      <c r="C4086" s="2" t="s">
        <v>17356</v>
      </c>
      <c r="D4086" s="15" t="s">
        <v>7245</v>
      </c>
      <c r="E4086" s="9" t="s">
        <v>2198</v>
      </c>
      <c r="F4086" s="9" t="s">
        <v>4142</v>
      </c>
      <c r="G4086" s="9" t="s">
        <v>610</v>
      </c>
      <c r="H4086" s="2" t="s">
        <v>60</v>
      </c>
      <c r="I4086" s="3">
        <v>37352</v>
      </c>
      <c r="J4086" s="9" t="str">
        <f t="shared" ca="1" si="66"/>
        <v>21 ans</v>
      </c>
      <c r="K4086" s="2" t="s">
        <v>262</v>
      </c>
      <c r="L4086" s="2" t="str">
        <f>"5781"</f>
        <v>5781</v>
      </c>
      <c r="M4086" s="2"/>
      <c r="N4086" s="2" t="str">
        <f>"RUE OMER-PAQUETTE"</f>
        <v>RUE OMER-PAQUETTE</v>
      </c>
      <c r="O4086" s="2" t="s">
        <v>17140</v>
      </c>
      <c r="P4086" s="9" t="str">
        <f>VLOOKUP($O4086,'Liste des Villes'!$B$2:$B$1128,1,FALSE)</f>
        <v>Lachute</v>
      </c>
      <c r="Q4086" s="9" t="str">
        <f>IFERROR($P4086,PROPER(VLOOKUP($O4086,'Villes en erreur'!$A$2:$B$72,2,FALSE)))</f>
        <v>Lachute</v>
      </c>
      <c r="R4086" s="9" t="s">
        <v>17141</v>
      </c>
      <c r="S4086" s="9" t="str">
        <f>IF(ISBLANK($R4086),"",VLOOKUP($R4086,'Liste des Villes'!$B$2:$H$1128,4,FALSE))</f>
        <v>Laurentides</v>
      </c>
      <c r="T4086" s="2" t="s">
        <v>17170</v>
      </c>
      <c r="U4086" s="2" t="s">
        <v>39</v>
      </c>
      <c r="V4086" s="2" t="s">
        <v>40</v>
      </c>
      <c r="W4086" s="2" t="s">
        <v>17357</v>
      </c>
      <c r="X4086" s="2" t="str">
        <f>"4505162268"</f>
        <v>4505162268</v>
      </c>
      <c r="Y4086" s="2" t="str">
        <f>"5146623824"</f>
        <v>5146623824</v>
      </c>
      <c r="Z4086" s="2"/>
      <c r="AA4086" s="2" t="s">
        <v>266</v>
      </c>
      <c r="AB4086" s="2" t="s">
        <v>267</v>
      </c>
      <c r="AC4086" s="4" t="s">
        <v>44</v>
      </c>
    </row>
    <row r="4087" spans="1:29" x14ac:dyDescent="0.25">
      <c r="A4087" s="1">
        <v>280</v>
      </c>
      <c r="B4087" s="17" t="s">
        <v>17358</v>
      </c>
      <c r="C4087" s="2" t="s">
        <v>17359</v>
      </c>
      <c r="D4087" s="15" t="s">
        <v>4004</v>
      </c>
      <c r="E4087" s="9" t="s">
        <v>1106</v>
      </c>
      <c r="F4087" s="9" t="s">
        <v>3883</v>
      </c>
      <c r="G4087" s="9" t="s">
        <v>3682</v>
      </c>
      <c r="H4087" s="2" t="s">
        <v>60</v>
      </c>
      <c r="I4087" s="3">
        <v>37342</v>
      </c>
      <c r="J4087" s="9" t="str">
        <f t="shared" ca="1" si="66"/>
        <v>21 ans</v>
      </c>
      <c r="K4087" s="2" t="s">
        <v>262</v>
      </c>
      <c r="L4087" s="2" t="str">
        <f>"4284"</f>
        <v>4284</v>
      </c>
      <c r="M4087" s="2"/>
      <c r="N4087" s="2" t="str">
        <f>"RUE NADON"</f>
        <v>RUE NADON</v>
      </c>
      <c r="O4087" s="2" t="s">
        <v>17140</v>
      </c>
      <c r="P4087" s="9" t="str">
        <f>VLOOKUP($O4087,'Liste des Villes'!$B$2:$B$1128,1,FALSE)</f>
        <v>Lachute</v>
      </c>
      <c r="Q4087" s="9" t="str">
        <f>IFERROR($P4087,PROPER(VLOOKUP($O4087,'Villes en erreur'!$A$2:$B$72,2,FALSE)))</f>
        <v>Lachute</v>
      </c>
      <c r="R4087" s="9" t="s">
        <v>17141</v>
      </c>
      <c r="S4087" s="9" t="str">
        <f>IF(ISBLANK($R4087),"",VLOOKUP($R4087,'Liste des Villes'!$B$2:$H$1128,4,FALSE))</f>
        <v>Laurentides</v>
      </c>
      <c r="T4087" s="2" t="s">
        <v>17262</v>
      </c>
      <c r="U4087" s="2" t="s">
        <v>39</v>
      </c>
      <c r="V4087" s="2" t="s">
        <v>40</v>
      </c>
      <c r="W4087" s="2" t="s">
        <v>17360</v>
      </c>
      <c r="X4087" s="2" t="str">
        <f>"4504366383"</f>
        <v>4504366383</v>
      </c>
      <c r="Y4087" s="2" t="str">
        <f>"5147758178"</f>
        <v>5147758178</v>
      </c>
      <c r="Z4087" s="2"/>
      <c r="AA4087" s="2" t="s">
        <v>708</v>
      </c>
      <c r="AB4087" s="2" t="s">
        <v>16576</v>
      </c>
      <c r="AC4087" s="4" t="s">
        <v>44</v>
      </c>
    </row>
    <row r="4088" spans="1:29" x14ac:dyDescent="0.25">
      <c r="A4088" s="1">
        <v>1218</v>
      </c>
      <c r="B4088" s="17" t="s">
        <v>17361</v>
      </c>
      <c r="C4088" s="2" t="s">
        <v>3012</v>
      </c>
      <c r="D4088" s="15" t="s">
        <v>438</v>
      </c>
      <c r="E4088" s="9" t="s">
        <v>3013</v>
      </c>
      <c r="F4088" s="9" t="s">
        <v>7466</v>
      </c>
      <c r="G4088" s="9" t="s">
        <v>610</v>
      </c>
      <c r="H4088" s="2" t="s">
        <v>60</v>
      </c>
      <c r="I4088" s="3">
        <v>37347</v>
      </c>
      <c r="J4088" s="9" t="str">
        <f t="shared" ca="1" si="66"/>
        <v>21 ans</v>
      </c>
      <c r="K4088" s="2" t="s">
        <v>262</v>
      </c>
      <c r="L4088" s="2" t="str">
        <f>"4752"</f>
        <v>4752</v>
      </c>
      <c r="M4088" s="2"/>
      <c r="N4088" s="2" t="str">
        <f>"RUE NANCY"</f>
        <v>RUE NANCY</v>
      </c>
      <c r="O4088" s="2" t="s">
        <v>17140</v>
      </c>
      <c r="P4088" s="9" t="str">
        <f>VLOOKUP($O4088,'Liste des Villes'!$B$2:$B$1128,1,FALSE)</f>
        <v>Lachute</v>
      </c>
      <c r="Q4088" s="9" t="str">
        <f>IFERROR($P4088,PROPER(VLOOKUP($O4088,'Villes en erreur'!$A$2:$B$72,2,FALSE)))</f>
        <v>Lachute</v>
      </c>
      <c r="R4088" s="9" t="s">
        <v>17141</v>
      </c>
      <c r="S4088" s="9" t="str">
        <f>IF(ISBLANK($R4088),"",VLOOKUP($R4088,'Liste des Villes'!$B$2:$H$1128,4,FALSE))</f>
        <v>Laurentides</v>
      </c>
      <c r="T4088" s="2" t="s">
        <v>17362</v>
      </c>
      <c r="U4088" s="2" t="s">
        <v>39</v>
      </c>
      <c r="V4088" s="2" t="s">
        <v>40</v>
      </c>
      <c r="W4088" s="2" t="s">
        <v>17363</v>
      </c>
      <c r="X4088" s="2" t="str">
        <f>"4505022847"</f>
        <v>4505022847</v>
      </c>
      <c r="Y4088" s="2" t="str">
        <f>"5147154437"</f>
        <v>5147154437</v>
      </c>
      <c r="Z4088" s="2"/>
      <c r="AA4088" s="2" t="s">
        <v>708</v>
      </c>
      <c r="AB4088" s="2" t="s">
        <v>16576</v>
      </c>
      <c r="AC4088" s="4" t="s">
        <v>44</v>
      </c>
    </row>
    <row r="4089" spans="1:29" x14ac:dyDescent="0.25">
      <c r="A4089" s="1">
        <v>3790</v>
      </c>
      <c r="B4089" s="17" t="s">
        <v>17364</v>
      </c>
      <c r="C4089" s="2" t="s">
        <v>11805</v>
      </c>
      <c r="D4089" s="15" t="s">
        <v>11806</v>
      </c>
      <c r="E4089" s="9" t="s">
        <v>120</v>
      </c>
      <c r="F4089" s="9" t="s">
        <v>14818</v>
      </c>
      <c r="G4089" s="9" t="s">
        <v>610</v>
      </c>
      <c r="H4089" s="2" t="s">
        <v>60</v>
      </c>
      <c r="I4089" s="3">
        <v>37347</v>
      </c>
      <c r="J4089" s="9" t="str">
        <f t="shared" ca="1" si="66"/>
        <v>21 ans</v>
      </c>
      <c r="K4089" s="2" t="s">
        <v>262</v>
      </c>
      <c r="L4089" s="2" t="str">
        <f>"4824"</f>
        <v>4824</v>
      </c>
      <c r="M4089" s="2"/>
      <c r="N4089" s="2" t="str">
        <f>"RUE NARCISSE-POIRIER"</f>
        <v>RUE NARCISSE-POIRIER</v>
      </c>
      <c r="O4089" s="2" t="s">
        <v>17140</v>
      </c>
      <c r="P4089" s="9" t="str">
        <f>VLOOKUP($O4089,'Liste des Villes'!$B$2:$B$1128,1,FALSE)</f>
        <v>Lachute</v>
      </c>
      <c r="Q4089" s="9" t="str">
        <f>IFERROR($P4089,PROPER(VLOOKUP($O4089,'Villes en erreur'!$A$2:$B$72,2,FALSE)))</f>
        <v>Lachute</v>
      </c>
      <c r="R4089" s="9" t="s">
        <v>17141</v>
      </c>
      <c r="S4089" s="9" t="str">
        <f>IF(ISBLANK($R4089),"",VLOOKUP($R4089,'Liste des Villes'!$B$2:$H$1128,4,FALSE))</f>
        <v>Laurentides</v>
      </c>
      <c r="T4089" s="2" t="s">
        <v>17213</v>
      </c>
      <c r="U4089" s="2" t="s">
        <v>39</v>
      </c>
      <c r="V4089" s="2" t="s">
        <v>40</v>
      </c>
      <c r="W4089" s="2" t="s">
        <v>17365</v>
      </c>
      <c r="X4089" s="2" t="str">
        <f>"4505045347"</f>
        <v>4505045347</v>
      </c>
      <c r="Y4089" s="2" t="str">
        <f>"5147104875"</f>
        <v>5147104875</v>
      </c>
      <c r="Z4089" s="2"/>
      <c r="AA4089" s="2" t="s">
        <v>708</v>
      </c>
      <c r="AB4089" s="2" t="s">
        <v>16576</v>
      </c>
      <c r="AC4089" s="4" t="s">
        <v>44</v>
      </c>
    </row>
    <row r="4090" spans="1:29" x14ac:dyDescent="0.25">
      <c r="A4090" s="1">
        <v>3886</v>
      </c>
      <c r="B4090" s="17" t="s">
        <v>17366</v>
      </c>
      <c r="C4090" s="2" t="s">
        <v>17367</v>
      </c>
      <c r="D4090" s="15" t="s">
        <v>14221</v>
      </c>
      <c r="E4090" s="9" t="s">
        <v>354</v>
      </c>
      <c r="F4090" s="9" t="s">
        <v>10327</v>
      </c>
      <c r="G4090" s="9" t="s">
        <v>610</v>
      </c>
      <c r="H4090" s="2" t="s">
        <v>60</v>
      </c>
      <c r="I4090" s="3">
        <v>37351</v>
      </c>
      <c r="J4090" s="9" t="str">
        <f t="shared" ca="1" si="66"/>
        <v>21 ans</v>
      </c>
      <c r="K4090" s="2" t="s">
        <v>262</v>
      </c>
      <c r="L4090" s="2" t="str">
        <f>"5432"</f>
        <v>5432</v>
      </c>
      <c r="M4090" s="2"/>
      <c r="N4090" s="2" t="str">
        <f>"RUE OLYMPIA"</f>
        <v>RUE OLYMPIA</v>
      </c>
      <c r="O4090" s="2" t="s">
        <v>17140</v>
      </c>
      <c r="P4090" s="9" t="str">
        <f>VLOOKUP($O4090,'Liste des Villes'!$B$2:$B$1128,1,FALSE)</f>
        <v>Lachute</v>
      </c>
      <c r="Q4090" s="9" t="str">
        <f>IFERROR($P4090,PROPER(VLOOKUP($O4090,'Villes en erreur'!$A$2:$B$72,2,FALSE)))</f>
        <v>Lachute</v>
      </c>
      <c r="R4090" s="9" t="s">
        <v>17141</v>
      </c>
      <c r="S4090" s="9" t="str">
        <f>IF(ISBLANK($R4090),"",VLOOKUP($R4090,'Liste des Villes'!$B$2:$H$1128,4,FALSE))</f>
        <v>Laurentides</v>
      </c>
      <c r="T4090" s="2" t="s">
        <v>17330</v>
      </c>
      <c r="U4090" s="2" t="s">
        <v>39</v>
      </c>
      <c r="V4090" s="2" t="s">
        <v>40</v>
      </c>
      <c r="W4090" s="2" t="s">
        <v>17368</v>
      </c>
      <c r="X4090" s="2" t="str">
        <f>"4505129244"</f>
        <v>4505129244</v>
      </c>
      <c r="Y4090" s="2" t="str">
        <f>"5146638432"</f>
        <v>5146638432</v>
      </c>
      <c r="Z4090" s="2"/>
      <c r="AA4090" s="2" t="s">
        <v>266</v>
      </c>
      <c r="AB4090" s="2" t="s">
        <v>267</v>
      </c>
      <c r="AC4090" s="4" t="s">
        <v>44</v>
      </c>
    </row>
    <row r="4091" spans="1:29" x14ac:dyDescent="0.25">
      <c r="A4091" s="1">
        <v>2031</v>
      </c>
      <c r="B4091" s="17" t="s">
        <v>17369</v>
      </c>
      <c r="C4091" s="2" t="s">
        <v>17370</v>
      </c>
      <c r="D4091" s="15" t="s">
        <v>12690</v>
      </c>
      <c r="E4091" s="9" t="s">
        <v>685</v>
      </c>
      <c r="F4091" s="9" t="s">
        <v>7142</v>
      </c>
      <c r="G4091" s="9" t="s">
        <v>1689</v>
      </c>
      <c r="H4091" s="2" t="s">
        <v>60</v>
      </c>
      <c r="I4091" s="3">
        <v>37333</v>
      </c>
      <c r="J4091" s="9" t="str">
        <f t="shared" ca="1" si="66"/>
        <v>21 ans</v>
      </c>
      <c r="K4091" s="2" t="s">
        <v>262</v>
      </c>
      <c r="L4091" s="2" t="str">
        <f>"3830"</f>
        <v>3830</v>
      </c>
      <c r="M4091" s="2"/>
      <c r="N4091" s="2" t="str">
        <f>"RUE MONTÉE MASSON"</f>
        <v>RUE MONTÉE MASSON</v>
      </c>
      <c r="O4091" s="2" t="s">
        <v>17140</v>
      </c>
      <c r="P4091" s="9" t="str">
        <f>VLOOKUP($O4091,'Liste des Villes'!$B$2:$B$1128,1,FALSE)</f>
        <v>Lachute</v>
      </c>
      <c r="Q4091" s="9" t="str">
        <f>IFERROR($P4091,PROPER(VLOOKUP($O4091,'Villes en erreur'!$A$2:$B$72,2,FALSE)))</f>
        <v>Lachute</v>
      </c>
      <c r="R4091" s="9" t="s">
        <v>17141</v>
      </c>
      <c r="S4091" s="9" t="str">
        <f>IF(ISBLANK($R4091),"",VLOOKUP($R4091,'Liste des Villes'!$B$2:$H$1128,4,FALSE))</f>
        <v>Laurentides</v>
      </c>
      <c r="T4091" s="2" t="s">
        <v>17371</v>
      </c>
      <c r="U4091" s="2" t="s">
        <v>39</v>
      </c>
      <c r="V4091" s="2" t="s">
        <v>40</v>
      </c>
      <c r="W4091" s="2" t="s">
        <v>17372</v>
      </c>
      <c r="X4091" s="2" t="str">
        <f>"4502800400"</f>
        <v>4502800400</v>
      </c>
      <c r="Y4091" s="2" t="str">
        <f>"5148871738"</f>
        <v>5148871738</v>
      </c>
      <c r="Z4091" s="2"/>
      <c r="AA4091" s="2" t="s">
        <v>708</v>
      </c>
      <c r="AB4091" s="2" t="s">
        <v>16576</v>
      </c>
      <c r="AC4091" s="4" t="s">
        <v>44</v>
      </c>
    </row>
    <row r="4092" spans="1:29" x14ac:dyDescent="0.25">
      <c r="A4092" s="1">
        <v>1602</v>
      </c>
      <c r="B4092" s="17" t="s">
        <v>17373</v>
      </c>
      <c r="C4092" s="2" t="s">
        <v>17374</v>
      </c>
      <c r="D4092" s="15" t="s">
        <v>3705</v>
      </c>
      <c r="E4092" s="9" t="s">
        <v>10730</v>
      </c>
      <c r="F4092" s="9" t="s">
        <v>4948</v>
      </c>
      <c r="G4092" s="9" t="s">
        <v>610</v>
      </c>
      <c r="H4092" s="2" t="s">
        <v>60</v>
      </c>
      <c r="I4092" s="3">
        <v>37354</v>
      </c>
      <c r="J4092" s="9" t="str">
        <f t="shared" ca="1" si="66"/>
        <v>21 ans</v>
      </c>
      <c r="K4092" s="2" t="s">
        <v>262</v>
      </c>
      <c r="L4092" s="2" t="str">
        <f>"6277"</f>
        <v>6277</v>
      </c>
      <c r="M4092" s="2"/>
      <c r="N4092" s="2" t="str">
        <f>"RUE OUIMET"</f>
        <v>RUE OUIMET</v>
      </c>
      <c r="O4092" s="2" t="s">
        <v>17140</v>
      </c>
      <c r="P4092" s="9" t="str">
        <f>VLOOKUP($O4092,'Liste des Villes'!$B$2:$B$1128,1,FALSE)</f>
        <v>Lachute</v>
      </c>
      <c r="Q4092" s="9" t="str">
        <f>IFERROR($P4092,PROPER(VLOOKUP($O4092,'Villes en erreur'!$A$2:$B$72,2,FALSE)))</f>
        <v>Lachute</v>
      </c>
      <c r="R4092" s="9" t="s">
        <v>17141</v>
      </c>
      <c r="S4092" s="9" t="str">
        <f>IF(ISBLANK($R4092),"",VLOOKUP($R4092,'Liste des Villes'!$B$2:$H$1128,4,FALSE))</f>
        <v>Laurentides</v>
      </c>
      <c r="T4092" s="2" t="s">
        <v>17229</v>
      </c>
      <c r="U4092" s="2" t="s">
        <v>39</v>
      </c>
      <c r="V4092" s="2" t="s">
        <v>40</v>
      </c>
      <c r="W4092" s="2" t="s">
        <v>17375</v>
      </c>
      <c r="X4092" s="2" t="str">
        <f>"4505169938"</f>
        <v>4505169938</v>
      </c>
      <c r="Y4092" s="2" t="str">
        <f>"5146472272"</f>
        <v>5146472272</v>
      </c>
      <c r="Z4092" s="2"/>
      <c r="AA4092" s="2" t="s">
        <v>266</v>
      </c>
      <c r="AB4092" s="2" t="s">
        <v>267</v>
      </c>
      <c r="AC4092" s="4" t="s">
        <v>44</v>
      </c>
    </row>
    <row r="4093" spans="1:29" x14ac:dyDescent="0.25">
      <c r="A4093" s="1">
        <v>3550</v>
      </c>
      <c r="B4093" s="17" t="s">
        <v>17376</v>
      </c>
      <c r="C4093" s="2" t="s">
        <v>17377</v>
      </c>
      <c r="D4093" s="15" t="s">
        <v>173</v>
      </c>
      <c r="E4093" s="9" t="s">
        <v>1337</v>
      </c>
      <c r="F4093" s="9" t="s">
        <v>2486</v>
      </c>
      <c r="G4093" s="9" t="s">
        <v>796</v>
      </c>
      <c r="H4093" s="2" t="s">
        <v>60</v>
      </c>
      <c r="I4093" s="3">
        <v>37341</v>
      </c>
      <c r="J4093" s="9" t="str">
        <f t="shared" ca="1" si="66"/>
        <v>21 ans</v>
      </c>
      <c r="K4093" s="2" t="s">
        <v>262</v>
      </c>
      <c r="L4093" s="2" t="str">
        <f>"4051"</f>
        <v>4051</v>
      </c>
      <c r="M4093" s="2"/>
      <c r="N4093" s="2" t="str">
        <f>"RUE MULLOYS"</f>
        <v>RUE MULLOYS</v>
      </c>
      <c r="O4093" s="2" t="s">
        <v>17140</v>
      </c>
      <c r="P4093" s="9" t="str">
        <f>VLOOKUP($O4093,'Liste des Villes'!$B$2:$B$1128,1,FALSE)</f>
        <v>Lachute</v>
      </c>
      <c r="Q4093" s="9" t="str">
        <f>IFERROR($P4093,PROPER(VLOOKUP($O4093,'Villes en erreur'!$A$2:$B$72,2,FALSE)))</f>
        <v>Lachute</v>
      </c>
      <c r="R4093" s="9" t="s">
        <v>17141</v>
      </c>
      <c r="S4093" s="9" t="str">
        <f>IF(ISBLANK($R4093),"",VLOOKUP($R4093,'Liste des Villes'!$B$2:$H$1128,4,FALSE))</f>
        <v>Laurentides</v>
      </c>
      <c r="T4093" s="2" t="s">
        <v>17216</v>
      </c>
      <c r="U4093" s="2" t="s">
        <v>39</v>
      </c>
      <c r="V4093" s="2" t="s">
        <v>40</v>
      </c>
      <c r="W4093" s="2" t="s">
        <v>17378</v>
      </c>
      <c r="X4093" s="2" t="str">
        <f>"4504330344"</f>
        <v>4504330344</v>
      </c>
      <c r="Y4093" s="2" t="str">
        <f>"5147964354"</f>
        <v>5147964354</v>
      </c>
      <c r="Z4093" s="2"/>
      <c r="AA4093" s="2" t="s">
        <v>708</v>
      </c>
      <c r="AB4093" s="2" t="s">
        <v>16576</v>
      </c>
      <c r="AC4093" s="4" t="s">
        <v>44</v>
      </c>
    </row>
    <row r="4094" spans="1:29" x14ac:dyDescent="0.25">
      <c r="A4094" s="1">
        <v>3638</v>
      </c>
      <c r="B4094" s="17" t="s">
        <v>17379</v>
      </c>
      <c r="C4094" s="2" t="s">
        <v>5981</v>
      </c>
      <c r="D4094" s="15" t="s">
        <v>3617</v>
      </c>
      <c r="E4094" s="9" t="s">
        <v>362</v>
      </c>
      <c r="F4094" s="9" t="s">
        <v>363</v>
      </c>
      <c r="G4094" s="9" t="s">
        <v>610</v>
      </c>
      <c r="H4094" s="2" t="s">
        <v>60</v>
      </c>
      <c r="I4094" s="3">
        <v>37349</v>
      </c>
      <c r="J4094" s="9" t="str">
        <f t="shared" ca="1" si="66"/>
        <v>21 ans</v>
      </c>
      <c r="K4094" s="2" t="s">
        <v>262</v>
      </c>
      <c r="L4094" s="2" t="str">
        <f>"5070"</f>
        <v>5070</v>
      </c>
      <c r="M4094" s="2"/>
      <c r="N4094" s="2" t="str">
        <f>"RUE NOËL"</f>
        <v>RUE NOËL</v>
      </c>
      <c r="O4094" s="2" t="s">
        <v>17140</v>
      </c>
      <c r="P4094" s="9" t="str">
        <f>VLOOKUP($O4094,'Liste des Villes'!$B$2:$B$1128,1,FALSE)</f>
        <v>Lachute</v>
      </c>
      <c r="Q4094" s="9" t="str">
        <f>IFERROR($P4094,PROPER(VLOOKUP($O4094,'Villes en erreur'!$A$2:$B$72,2,FALSE)))</f>
        <v>Lachute</v>
      </c>
      <c r="R4094" s="9" t="s">
        <v>17141</v>
      </c>
      <c r="S4094" s="9" t="str">
        <f>IF(ISBLANK($R4094),"",VLOOKUP($R4094,'Liste des Villes'!$B$2:$H$1128,4,FALSE))</f>
        <v>Laurentides</v>
      </c>
      <c r="T4094" s="2" t="s">
        <v>17224</v>
      </c>
      <c r="U4094" s="2" t="s">
        <v>39</v>
      </c>
      <c r="V4094" s="2" t="s">
        <v>40</v>
      </c>
      <c r="W4094" s="2" t="s">
        <v>17380</v>
      </c>
      <c r="X4094" s="2" t="str">
        <f>"4505123994"</f>
        <v>4505123994</v>
      </c>
      <c r="Y4094" s="2" t="str">
        <f>"5147011218"</f>
        <v>5147011218</v>
      </c>
      <c r="Z4094" s="2"/>
      <c r="AA4094" s="2" t="s">
        <v>708</v>
      </c>
      <c r="AB4094" s="2" t="s">
        <v>16576</v>
      </c>
      <c r="AC4094" s="4" t="s">
        <v>44</v>
      </c>
    </row>
    <row r="4095" spans="1:29" x14ac:dyDescent="0.25">
      <c r="A4095" s="1">
        <v>2964</v>
      </c>
      <c r="B4095" s="17" t="s">
        <v>17381</v>
      </c>
      <c r="C4095" s="2" t="s">
        <v>17382</v>
      </c>
      <c r="D4095" s="15" t="s">
        <v>11022</v>
      </c>
      <c r="E4095" s="9" t="s">
        <v>1924</v>
      </c>
      <c r="F4095" s="9" t="s">
        <v>11021</v>
      </c>
      <c r="G4095" s="9" t="s">
        <v>3682</v>
      </c>
      <c r="H4095" s="2" t="s">
        <v>60</v>
      </c>
      <c r="I4095" s="3">
        <v>37343</v>
      </c>
      <c r="J4095" s="9" t="str">
        <f t="shared" ca="1" si="66"/>
        <v>21 ans</v>
      </c>
      <c r="K4095" s="2" t="s">
        <v>262</v>
      </c>
      <c r="L4095" s="2" t="str">
        <f>"4400"</f>
        <v>4400</v>
      </c>
      <c r="M4095" s="2"/>
      <c r="N4095" s="2" t="str">
        <f>"RUE NADON"</f>
        <v>RUE NADON</v>
      </c>
      <c r="O4095" s="2" t="s">
        <v>17140</v>
      </c>
      <c r="P4095" s="9" t="str">
        <f>VLOOKUP($O4095,'Liste des Villes'!$B$2:$B$1128,1,FALSE)</f>
        <v>Lachute</v>
      </c>
      <c r="Q4095" s="9" t="str">
        <f>IFERROR($P4095,PROPER(VLOOKUP($O4095,'Villes en erreur'!$A$2:$B$72,2,FALSE)))</f>
        <v>Lachute</v>
      </c>
      <c r="R4095" s="9" t="s">
        <v>17141</v>
      </c>
      <c r="S4095" s="9" t="str">
        <f>IF(ISBLANK($R4095),"",VLOOKUP($R4095,'Liste des Villes'!$B$2:$H$1128,4,FALSE))</f>
        <v>Laurentides</v>
      </c>
      <c r="T4095" s="2" t="s">
        <v>17174</v>
      </c>
      <c r="U4095" s="2" t="s">
        <v>39</v>
      </c>
      <c r="V4095" s="2" t="s">
        <v>40</v>
      </c>
      <c r="W4095" s="2" t="s">
        <v>17383</v>
      </c>
      <c r="X4095" s="2" t="str">
        <f>"4504375118"</f>
        <v>4504375118</v>
      </c>
      <c r="Y4095" s="2" t="str">
        <f>"5147751607"</f>
        <v>5147751607</v>
      </c>
      <c r="Z4095" s="2"/>
      <c r="AA4095" s="2" t="s">
        <v>708</v>
      </c>
      <c r="AB4095" s="2" t="s">
        <v>16576</v>
      </c>
      <c r="AC4095" s="4" t="s">
        <v>44</v>
      </c>
    </row>
    <row r="4096" spans="1:29" x14ac:dyDescent="0.25">
      <c r="A4096" s="1">
        <v>848</v>
      </c>
      <c r="B4096" s="17" t="s">
        <v>17384</v>
      </c>
      <c r="C4096" s="2" t="s">
        <v>17385</v>
      </c>
      <c r="D4096" s="15" t="s">
        <v>8283</v>
      </c>
      <c r="E4096" s="9" t="s">
        <v>622</v>
      </c>
      <c r="F4096" s="9" t="s">
        <v>1794</v>
      </c>
      <c r="G4096" s="9" t="s">
        <v>610</v>
      </c>
      <c r="H4096" s="2" t="s">
        <v>60</v>
      </c>
      <c r="I4096" s="3">
        <v>37349</v>
      </c>
      <c r="J4096" s="9" t="str">
        <f t="shared" ca="1" si="66"/>
        <v>21 ans</v>
      </c>
      <c r="K4096" s="2" t="s">
        <v>262</v>
      </c>
      <c r="L4096" s="2" t="str">
        <f>"5001"</f>
        <v>5001</v>
      </c>
      <c r="M4096" s="2"/>
      <c r="N4096" s="2" t="str">
        <f>"RUE NICOLE"</f>
        <v>RUE NICOLE</v>
      </c>
      <c r="O4096" s="2" t="s">
        <v>17140</v>
      </c>
      <c r="P4096" s="9" t="str">
        <f>VLOOKUP($O4096,'Liste des Villes'!$B$2:$B$1128,1,FALSE)</f>
        <v>Lachute</v>
      </c>
      <c r="Q4096" s="9" t="str">
        <f>IFERROR($P4096,PROPER(VLOOKUP($O4096,'Villes en erreur'!$A$2:$B$72,2,FALSE)))</f>
        <v>Lachute</v>
      </c>
      <c r="R4096" s="9" t="s">
        <v>17141</v>
      </c>
      <c r="S4096" s="9" t="str">
        <f>IF(ISBLANK($R4096),"",VLOOKUP($R4096,'Liste des Villes'!$B$2:$H$1128,4,FALSE))</f>
        <v>Laurentides</v>
      </c>
      <c r="T4096" s="2" t="s">
        <v>17386</v>
      </c>
      <c r="U4096" s="2" t="s">
        <v>39</v>
      </c>
      <c r="V4096" s="2" t="s">
        <v>40</v>
      </c>
      <c r="W4096" s="2" t="s">
        <v>17387</v>
      </c>
      <c r="X4096" s="2" t="str">
        <f>"4505122541"</f>
        <v>4505122541</v>
      </c>
      <c r="Y4096" s="2" t="str">
        <f>"5147057600"</f>
        <v>5147057600</v>
      </c>
      <c r="Z4096" s="2"/>
      <c r="AA4096" s="2" t="s">
        <v>708</v>
      </c>
      <c r="AB4096" s="2" t="s">
        <v>16576</v>
      </c>
      <c r="AC4096" s="4" t="s">
        <v>44</v>
      </c>
    </row>
    <row r="4097" spans="1:29" x14ac:dyDescent="0.25">
      <c r="A4097" s="1">
        <v>1540</v>
      </c>
      <c r="B4097" s="17" t="s">
        <v>17388</v>
      </c>
      <c r="C4097" s="2" t="s">
        <v>17389</v>
      </c>
      <c r="D4097" s="15" t="s">
        <v>6835</v>
      </c>
      <c r="E4097" s="9" t="s">
        <v>17390</v>
      </c>
      <c r="F4097" s="9" t="s">
        <v>1199</v>
      </c>
      <c r="G4097" s="9" t="s">
        <v>610</v>
      </c>
      <c r="H4097" s="2" t="s">
        <v>60</v>
      </c>
      <c r="I4097" s="3">
        <v>37354</v>
      </c>
      <c r="J4097" s="9" t="str">
        <f t="shared" ca="1" si="66"/>
        <v>21 ans</v>
      </c>
      <c r="K4097" s="2" t="s">
        <v>262</v>
      </c>
      <c r="L4097" s="2" t="str">
        <f>"6355"</f>
        <v>6355</v>
      </c>
      <c r="M4097" s="2"/>
      <c r="N4097" s="2" t="str">
        <f t="shared" ref="N4097:N4106" si="67">"RUE OUIMET"</f>
        <v>RUE OUIMET</v>
      </c>
      <c r="O4097" s="2" t="s">
        <v>17391</v>
      </c>
      <c r="P4097" s="9" t="str">
        <f>VLOOKUP($O4097,'Liste des Villes'!$B$2:$B$1128,1,FALSE)</f>
        <v>Lac-du-Cerf</v>
      </c>
      <c r="Q4097" s="9" t="str">
        <f>IFERROR($P4097,PROPER(VLOOKUP($O4097,'Villes en erreur'!$A$2:$B$72,2,FALSE)))</f>
        <v>Lac-du-Cerf</v>
      </c>
      <c r="R4097" s="9" t="s">
        <v>17392</v>
      </c>
      <c r="S4097" s="9" t="str">
        <f>IF(ISBLANK($R4097),"",VLOOKUP($R4097,'Liste des Villes'!$B$2:$H$1128,4,FALSE))</f>
        <v>Laurentides</v>
      </c>
      <c r="T4097" s="2" t="s">
        <v>17393</v>
      </c>
      <c r="U4097" s="2" t="s">
        <v>39</v>
      </c>
      <c r="V4097" s="2" t="s">
        <v>40</v>
      </c>
      <c r="W4097" s="2" t="s">
        <v>17394</v>
      </c>
      <c r="X4097" s="2" t="str">
        <f>"4505301084"</f>
        <v>4505301084</v>
      </c>
      <c r="Y4097" s="2" t="str">
        <f>"5146386807"</f>
        <v>5146386807</v>
      </c>
      <c r="Z4097" s="2"/>
      <c r="AA4097" s="2" t="s">
        <v>266</v>
      </c>
      <c r="AB4097" s="2" t="s">
        <v>267</v>
      </c>
      <c r="AC4097" s="4" t="s">
        <v>44</v>
      </c>
    </row>
    <row r="4098" spans="1:29" x14ac:dyDescent="0.25">
      <c r="A4098" s="1">
        <v>2407</v>
      </c>
      <c r="B4098" s="17" t="s">
        <v>17395</v>
      </c>
      <c r="C4098" s="2" t="s">
        <v>17396</v>
      </c>
      <c r="D4098" s="15" t="s">
        <v>15476</v>
      </c>
      <c r="E4098" s="9" t="s">
        <v>209</v>
      </c>
      <c r="F4098" s="9" t="s">
        <v>17324</v>
      </c>
      <c r="G4098" s="9" t="s">
        <v>610</v>
      </c>
      <c r="H4098" s="2" t="s">
        <v>60</v>
      </c>
      <c r="I4098" s="3">
        <v>37354</v>
      </c>
      <c r="J4098" s="9" t="str">
        <f t="shared" ref="J4098:J4161" ca="1" si="68">_xlfn.CONCAT(INT((TODAY()-$I4098)/365.25)," ans")</f>
        <v>21 ans</v>
      </c>
      <c r="K4098" s="2" t="s">
        <v>262</v>
      </c>
      <c r="L4098" s="2" t="str">
        <f>"6349"</f>
        <v>6349</v>
      </c>
      <c r="M4098" s="2"/>
      <c r="N4098" s="2" t="str">
        <f t="shared" si="67"/>
        <v>RUE OUIMET</v>
      </c>
      <c r="O4098" s="2" t="s">
        <v>17391</v>
      </c>
      <c r="P4098" s="9" t="str">
        <f>VLOOKUP($O4098,'Liste des Villes'!$B$2:$B$1128,1,FALSE)</f>
        <v>Lac-du-Cerf</v>
      </c>
      <c r="Q4098" s="9" t="str">
        <f>IFERROR($P4098,PROPER(VLOOKUP($O4098,'Villes en erreur'!$A$2:$B$72,2,FALSE)))</f>
        <v>Lac-du-Cerf</v>
      </c>
      <c r="R4098" s="9" t="s">
        <v>17392</v>
      </c>
      <c r="S4098" s="9" t="str">
        <f>IF(ISBLANK($R4098),"",VLOOKUP($R4098,'Liste des Villes'!$B$2:$H$1128,4,FALSE))</f>
        <v>Laurentides</v>
      </c>
      <c r="T4098" s="2" t="s">
        <v>17315</v>
      </c>
      <c r="U4098" s="2" t="s">
        <v>39</v>
      </c>
      <c r="V4098" s="2" t="s">
        <v>40</v>
      </c>
      <c r="W4098" s="2" t="s">
        <v>17397</v>
      </c>
      <c r="X4098" s="2" t="str">
        <f>"4505300186"</f>
        <v>4505300186</v>
      </c>
      <c r="Y4098" s="2" t="str">
        <f>"5146416571"</f>
        <v>5146416571</v>
      </c>
      <c r="Z4098" s="2"/>
      <c r="AA4098" s="2" t="s">
        <v>266</v>
      </c>
      <c r="AB4098" s="2" t="s">
        <v>267</v>
      </c>
      <c r="AC4098" s="4" t="s">
        <v>44</v>
      </c>
    </row>
    <row r="4099" spans="1:29" x14ac:dyDescent="0.25">
      <c r="A4099" s="1">
        <v>2887</v>
      </c>
      <c r="B4099" s="17" t="s">
        <v>17398</v>
      </c>
      <c r="C4099" s="2" t="s">
        <v>6569</v>
      </c>
      <c r="D4099" s="15" t="s">
        <v>6570</v>
      </c>
      <c r="E4099" s="9" t="s">
        <v>635</v>
      </c>
      <c r="F4099" s="9" t="s">
        <v>10118</v>
      </c>
      <c r="G4099" s="9" t="s">
        <v>610</v>
      </c>
      <c r="H4099" s="2" t="s">
        <v>60</v>
      </c>
      <c r="I4099" s="3">
        <v>37355</v>
      </c>
      <c r="J4099" s="9" t="str">
        <f t="shared" ca="1" si="68"/>
        <v>21 ans</v>
      </c>
      <c r="K4099" s="2" t="s">
        <v>262</v>
      </c>
      <c r="L4099" s="2" t="str">
        <f>"6355"</f>
        <v>6355</v>
      </c>
      <c r="M4099" s="2"/>
      <c r="N4099" s="2" t="str">
        <f t="shared" si="67"/>
        <v>RUE OUIMET</v>
      </c>
      <c r="O4099" s="2" t="s">
        <v>17399</v>
      </c>
      <c r="P4099" s="9" t="str">
        <f>VLOOKUP($O4099,'Liste des Villes'!$B$2:$B$1128,1,FALSE)</f>
        <v>Lac-des-Seize-Îles</v>
      </c>
      <c r="Q4099" s="9" t="str">
        <f>IFERROR($P4099,PROPER(VLOOKUP($O4099,'Villes en erreur'!$A$2:$B$72,2,FALSE)))</f>
        <v>Lac-des-Seize-Îles</v>
      </c>
      <c r="R4099" s="9" t="s">
        <v>17400</v>
      </c>
      <c r="S4099" s="9" t="str">
        <f>IF(ISBLANK($R4099),"",VLOOKUP($R4099,'Liste des Villes'!$B$2:$H$1128,4,FALSE))</f>
        <v>Laurentides</v>
      </c>
      <c r="T4099" s="2" t="s">
        <v>17393</v>
      </c>
      <c r="U4099" s="2" t="s">
        <v>39</v>
      </c>
      <c r="V4099" s="2" t="s">
        <v>40</v>
      </c>
      <c r="W4099" s="2" t="s">
        <v>17401</v>
      </c>
      <c r="X4099" s="2" t="str">
        <f>"4505301099"</f>
        <v>4505301099</v>
      </c>
      <c r="Y4099" s="2" t="str">
        <f>"5146275823"</f>
        <v>5146275823</v>
      </c>
      <c r="Z4099" s="2"/>
      <c r="AA4099" s="2" t="s">
        <v>266</v>
      </c>
      <c r="AB4099" s="2" t="s">
        <v>267</v>
      </c>
      <c r="AC4099" s="4" t="s">
        <v>44</v>
      </c>
    </row>
    <row r="4100" spans="1:29" x14ac:dyDescent="0.25">
      <c r="A4100" s="1">
        <v>1253</v>
      </c>
      <c r="B4100" s="17" t="s">
        <v>17402</v>
      </c>
      <c r="C4100" s="2" t="s">
        <v>17403</v>
      </c>
      <c r="D4100" s="15" t="s">
        <v>488</v>
      </c>
      <c r="E4100" s="9" t="s">
        <v>17404</v>
      </c>
      <c r="F4100" s="9" t="s">
        <v>14520</v>
      </c>
      <c r="G4100" s="9" t="s">
        <v>610</v>
      </c>
      <c r="H4100" s="2" t="s">
        <v>60</v>
      </c>
      <c r="I4100" s="3">
        <v>37355</v>
      </c>
      <c r="J4100" s="9" t="str">
        <f t="shared" ca="1" si="68"/>
        <v>21 ans</v>
      </c>
      <c r="K4100" s="2" t="s">
        <v>262</v>
      </c>
      <c r="L4100" s="2" t="str">
        <f>"6370"</f>
        <v>6370</v>
      </c>
      <c r="M4100" s="2"/>
      <c r="N4100" s="2" t="str">
        <f t="shared" si="67"/>
        <v>RUE OUIMET</v>
      </c>
      <c r="O4100" s="2" t="s">
        <v>17405</v>
      </c>
      <c r="P4100" s="9" t="str">
        <f>VLOOKUP($O4100,'Liste des Villes'!$B$2:$B$1128,1,FALSE)</f>
        <v>Lac-des-Plages</v>
      </c>
      <c r="Q4100" s="9" t="str">
        <f>IFERROR($P4100,PROPER(VLOOKUP($O4100,'Villes en erreur'!$A$2:$B$72,2,FALSE)))</f>
        <v>Lac-des-Plages</v>
      </c>
      <c r="R4100" s="9" t="s">
        <v>17406</v>
      </c>
      <c r="S4100" s="9" t="str">
        <f>IF(ISBLANK($R4100),"",VLOOKUP($R4100,'Liste des Villes'!$B$2:$H$1128,4,FALSE))</f>
        <v>Outaouais</v>
      </c>
      <c r="T4100" s="2" t="s">
        <v>17407</v>
      </c>
      <c r="U4100" s="2" t="s">
        <v>39</v>
      </c>
      <c r="V4100" s="2" t="s">
        <v>40</v>
      </c>
      <c r="W4100" s="2" t="s">
        <v>17408</v>
      </c>
      <c r="X4100" s="2" t="str">
        <f>"4505301256"</f>
        <v>4505301256</v>
      </c>
      <c r="Y4100" s="2" t="str">
        <f>"5146271376"</f>
        <v>5146271376</v>
      </c>
      <c r="Z4100" s="2"/>
      <c r="AA4100" s="2" t="s">
        <v>266</v>
      </c>
      <c r="AB4100" s="2" t="s">
        <v>267</v>
      </c>
      <c r="AC4100" s="4" t="s">
        <v>44</v>
      </c>
    </row>
    <row r="4101" spans="1:29" x14ac:dyDescent="0.25">
      <c r="A4101" s="1">
        <v>3348</v>
      </c>
      <c r="B4101" s="17" t="s">
        <v>17409</v>
      </c>
      <c r="C4101" s="2" t="s">
        <v>17410</v>
      </c>
      <c r="D4101" s="15" t="s">
        <v>4250</v>
      </c>
      <c r="E4101" s="9" t="s">
        <v>10515</v>
      </c>
      <c r="F4101" s="9" t="s">
        <v>4248</v>
      </c>
      <c r="G4101" s="9" t="s">
        <v>610</v>
      </c>
      <c r="H4101" s="2" t="s">
        <v>60</v>
      </c>
      <c r="I4101" s="3">
        <v>37356</v>
      </c>
      <c r="J4101" s="9" t="str">
        <f t="shared" ca="1" si="68"/>
        <v>21 ans</v>
      </c>
      <c r="K4101" s="2" t="s">
        <v>262</v>
      </c>
      <c r="L4101" s="2" t="str">
        <f>"6397"</f>
        <v>6397</v>
      </c>
      <c r="M4101" s="2"/>
      <c r="N4101" s="2" t="str">
        <f t="shared" si="67"/>
        <v>RUE OUIMET</v>
      </c>
      <c r="O4101" s="2" t="s">
        <v>17411</v>
      </c>
      <c r="P4101" s="9" t="str">
        <f>VLOOKUP($O4101,'Liste des Villes'!$B$2:$B$1128,1,FALSE)</f>
        <v>Lac-des-Écorces</v>
      </c>
      <c r="Q4101" s="9" t="str">
        <f>IFERROR($P4101,PROPER(VLOOKUP($O4101,'Villes en erreur'!$A$2:$B$72,2,FALSE)))</f>
        <v>Lac-des-Écorces</v>
      </c>
      <c r="R4101" s="9" t="s">
        <v>17412</v>
      </c>
      <c r="S4101" s="9" t="str">
        <f>IF(ISBLANK($R4101),"",VLOOKUP($R4101,'Liste des Villes'!$B$2:$H$1128,4,FALSE))</f>
        <v>Laurentides</v>
      </c>
      <c r="T4101" s="2" t="s">
        <v>17407</v>
      </c>
      <c r="U4101" s="2" t="s">
        <v>39</v>
      </c>
      <c r="V4101" s="2" t="s">
        <v>40</v>
      </c>
      <c r="W4101" s="2" t="s">
        <v>17413</v>
      </c>
      <c r="X4101" s="2" t="str">
        <f>"4505301528"</f>
        <v>4505301528</v>
      </c>
      <c r="Y4101" s="2" t="str">
        <f>"5146227128"</f>
        <v>5146227128</v>
      </c>
      <c r="Z4101" s="2"/>
      <c r="AA4101" s="2" t="s">
        <v>266</v>
      </c>
      <c r="AB4101" s="2" t="s">
        <v>267</v>
      </c>
      <c r="AC4101" s="4" t="s">
        <v>44</v>
      </c>
    </row>
    <row r="4102" spans="1:29" x14ac:dyDescent="0.25">
      <c r="A4102" s="1">
        <v>3102</v>
      </c>
      <c r="B4102" s="17" t="s">
        <v>17414</v>
      </c>
      <c r="C4102" s="2" t="s">
        <v>5297</v>
      </c>
      <c r="D4102" s="15" t="s">
        <v>533</v>
      </c>
      <c r="E4102" s="9" t="s">
        <v>495</v>
      </c>
      <c r="F4102" s="9" t="s">
        <v>531</v>
      </c>
      <c r="G4102" s="9" t="s">
        <v>610</v>
      </c>
      <c r="H4102" s="2" t="s">
        <v>60</v>
      </c>
      <c r="I4102" s="3">
        <v>37356</v>
      </c>
      <c r="J4102" s="9" t="str">
        <f t="shared" ca="1" si="68"/>
        <v>21 ans</v>
      </c>
      <c r="K4102" s="2" t="s">
        <v>262</v>
      </c>
      <c r="L4102" s="2" t="str">
        <f>"6405"</f>
        <v>6405</v>
      </c>
      <c r="M4102" s="2"/>
      <c r="N4102" s="2" t="str">
        <f t="shared" si="67"/>
        <v>RUE OUIMET</v>
      </c>
      <c r="O4102" s="2" t="s">
        <v>17411</v>
      </c>
      <c r="P4102" s="9" t="str">
        <f>VLOOKUP($O4102,'Liste des Villes'!$B$2:$B$1128,1,FALSE)</f>
        <v>Lac-des-Écorces</v>
      </c>
      <c r="Q4102" s="9" t="str">
        <f>IFERROR($P4102,PROPER(VLOOKUP($O4102,'Villes en erreur'!$A$2:$B$72,2,FALSE)))</f>
        <v>Lac-des-Écorces</v>
      </c>
      <c r="R4102" s="9" t="s">
        <v>17412</v>
      </c>
      <c r="S4102" s="9" t="str">
        <f>IF(ISBLANK($R4102),"",VLOOKUP($R4102,'Liste des Villes'!$B$2:$H$1128,4,FALSE))</f>
        <v>Laurentides</v>
      </c>
      <c r="T4102" s="2" t="s">
        <v>17407</v>
      </c>
      <c r="U4102" s="2" t="s">
        <v>39</v>
      </c>
      <c r="V4102" s="2" t="s">
        <v>40</v>
      </c>
      <c r="W4102" s="2" t="s">
        <v>17415</v>
      </c>
      <c r="X4102" s="2" t="str">
        <f>"4505304356"</f>
        <v>4505304356</v>
      </c>
      <c r="Y4102" s="2" t="str">
        <f>"5146223150"</f>
        <v>5146223150</v>
      </c>
      <c r="Z4102" s="2"/>
      <c r="AA4102" s="2" t="s">
        <v>266</v>
      </c>
      <c r="AB4102" s="2" t="s">
        <v>267</v>
      </c>
      <c r="AC4102" s="4" t="s">
        <v>44</v>
      </c>
    </row>
    <row r="4103" spans="1:29" x14ac:dyDescent="0.25">
      <c r="A4103" s="1">
        <v>685</v>
      </c>
      <c r="B4103" s="17" t="s">
        <v>17416</v>
      </c>
      <c r="C4103" s="2" t="s">
        <v>17417</v>
      </c>
      <c r="D4103" s="15" t="s">
        <v>3602</v>
      </c>
      <c r="E4103" s="9" t="s">
        <v>325</v>
      </c>
      <c r="F4103" s="9" t="s">
        <v>1167</v>
      </c>
      <c r="G4103" s="9" t="s">
        <v>610</v>
      </c>
      <c r="H4103" s="2" t="s">
        <v>60</v>
      </c>
      <c r="I4103" s="3">
        <v>37356</v>
      </c>
      <c r="J4103" s="9" t="str">
        <f t="shared" ca="1" si="68"/>
        <v>21 ans</v>
      </c>
      <c r="K4103" s="2" t="s">
        <v>262</v>
      </c>
      <c r="L4103" s="2" t="str">
        <f>"6430"</f>
        <v>6430</v>
      </c>
      <c r="M4103" s="2"/>
      <c r="N4103" s="2" t="str">
        <f t="shared" si="67"/>
        <v>RUE OUIMET</v>
      </c>
      <c r="O4103" s="2" t="s">
        <v>17411</v>
      </c>
      <c r="P4103" s="9" t="str">
        <f>VLOOKUP($O4103,'Liste des Villes'!$B$2:$B$1128,1,FALSE)</f>
        <v>Lac-des-Écorces</v>
      </c>
      <c r="Q4103" s="9" t="str">
        <f>IFERROR($P4103,PROPER(VLOOKUP($O4103,'Villes en erreur'!$A$2:$B$72,2,FALSE)))</f>
        <v>Lac-des-Écorces</v>
      </c>
      <c r="R4103" s="9" t="s">
        <v>17412</v>
      </c>
      <c r="S4103" s="9" t="str">
        <f>IF(ISBLANK($R4103),"",VLOOKUP($R4103,'Liste des Villes'!$B$2:$H$1128,4,FALSE))</f>
        <v>Laurentides</v>
      </c>
      <c r="T4103" s="2" t="s">
        <v>17407</v>
      </c>
      <c r="U4103" s="2" t="s">
        <v>39</v>
      </c>
      <c r="V4103" s="2" t="s">
        <v>40</v>
      </c>
      <c r="W4103" s="2" t="s">
        <v>17418</v>
      </c>
      <c r="X4103" s="2" t="str">
        <f>"4505304879"</f>
        <v>4505304879</v>
      </c>
      <c r="Y4103" s="2" t="str">
        <f>"5146215930"</f>
        <v>5146215930</v>
      </c>
      <c r="Z4103" s="2"/>
      <c r="AA4103" s="2" t="s">
        <v>266</v>
      </c>
      <c r="AB4103" s="2" t="s">
        <v>267</v>
      </c>
      <c r="AC4103" s="4" t="s">
        <v>44</v>
      </c>
    </row>
    <row r="4104" spans="1:29" x14ac:dyDescent="0.25">
      <c r="A4104" s="1">
        <v>1119</v>
      </c>
      <c r="B4104" s="17" t="s">
        <v>17419</v>
      </c>
      <c r="C4104" s="2" t="s">
        <v>17420</v>
      </c>
      <c r="D4104" s="15" t="s">
        <v>11006</v>
      </c>
      <c r="E4104" s="9" t="s">
        <v>277</v>
      </c>
      <c r="F4104" s="9" t="s">
        <v>185</v>
      </c>
      <c r="G4104" s="9" t="s">
        <v>610</v>
      </c>
      <c r="H4104" s="2" t="s">
        <v>60</v>
      </c>
      <c r="I4104" s="3">
        <v>37356</v>
      </c>
      <c r="J4104" s="9" t="str">
        <f t="shared" ca="1" si="68"/>
        <v>21 ans</v>
      </c>
      <c r="K4104" s="2" t="s">
        <v>262</v>
      </c>
      <c r="L4104" s="2" t="str">
        <f>"6442"</f>
        <v>6442</v>
      </c>
      <c r="M4104" s="2"/>
      <c r="N4104" s="2" t="str">
        <f t="shared" si="67"/>
        <v>RUE OUIMET</v>
      </c>
      <c r="O4104" s="2" t="s">
        <v>17421</v>
      </c>
      <c r="P4104" s="9" t="str">
        <f>VLOOKUP($O4104,'Liste des Villes'!$B$2:$B$1128,1,FALSE)</f>
        <v>Labelle</v>
      </c>
      <c r="Q4104" s="9" t="str">
        <f>IFERROR($P4104,PROPER(VLOOKUP($O4104,'Villes en erreur'!$A$2:$B$72,2,FALSE)))</f>
        <v>Labelle</v>
      </c>
      <c r="R4104" s="9" t="s">
        <v>47</v>
      </c>
      <c r="S4104" s="9" t="str">
        <f>IF(ISBLANK($R4104),"",VLOOKUP($R4104,'Liste des Villes'!$B$2:$H$1128,4,FALSE))</f>
        <v>Laurentides</v>
      </c>
      <c r="T4104" s="2" t="s">
        <v>17422</v>
      </c>
      <c r="U4104" s="2" t="s">
        <v>39</v>
      </c>
      <c r="V4104" s="2" t="s">
        <v>40</v>
      </c>
      <c r="W4104" s="2" t="s">
        <v>17423</v>
      </c>
      <c r="X4104" s="2" t="str">
        <f>"4505305679"</f>
        <v>4505305679</v>
      </c>
      <c r="Y4104" s="2" t="str">
        <f>"5146090364"</f>
        <v>5146090364</v>
      </c>
      <c r="Z4104" s="2"/>
      <c r="AA4104" s="2" t="s">
        <v>266</v>
      </c>
      <c r="AB4104" s="2" t="s">
        <v>267</v>
      </c>
      <c r="AC4104" s="4" t="s">
        <v>44</v>
      </c>
    </row>
    <row r="4105" spans="1:29" x14ac:dyDescent="0.25">
      <c r="A4105" s="1">
        <v>267</v>
      </c>
      <c r="B4105" s="17" t="s">
        <v>17424</v>
      </c>
      <c r="C4105" s="2" t="s">
        <v>6327</v>
      </c>
      <c r="D4105" s="15" t="s">
        <v>1523</v>
      </c>
      <c r="E4105" s="9" t="s">
        <v>6328</v>
      </c>
      <c r="F4105" s="9" t="s">
        <v>2391</v>
      </c>
      <c r="G4105" s="9" t="s">
        <v>610</v>
      </c>
      <c r="H4105" s="2" t="s">
        <v>60</v>
      </c>
      <c r="I4105" s="3">
        <v>37356</v>
      </c>
      <c r="J4105" s="9" t="str">
        <f t="shared" ca="1" si="68"/>
        <v>21 ans</v>
      </c>
      <c r="K4105" s="2" t="s">
        <v>262</v>
      </c>
      <c r="L4105" s="2" t="str">
        <f>"6432"</f>
        <v>6432</v>
      </c>
      <c r="M4105" s="2"/>
      <c r="N4105" s="2" t="str">
        <f t="shared" si="67"/>
        <v>RUE OUIMET</v>
      </c>
      <c r="O4105" s="2" t="s">
        <v>17421</v>
      </c>
      <c r="P4105" s="9" t="str">
        <f>VLOOKUP($O4105,'Liste des Villes'!$B$2:$B$1128,1,FALSE)</f>
        <v>Labelle</v>
      </c>
      <c r="Q4105" s="9" t="str">
        <f>IFERROR($P4105,PROPER(VLOOKUP($O4105,'Villes en erreur'!$A$2:$B$72,2,FALSE)))</f>
        <v>Labelle</v>
      </c>
      <c r="R4105" s="9" t="s">
        <v>47</v>
      </c>
      <c r="S4105" s="9" t="str">
        <f>IF(ISBLANK($R4105),"",VLOOKUP($R4105,'Liste des Villes'!$B$2:$H$1128,4,FALSE))</f>
        <v>Laurentides</v>
      </c>
      <c r="T4105" s="2" t="s">
        <v>17425</v>
      </c>
      <c r="U4105" s="2" t="s">
        <v>39</v>
      </c>
      <c r="V4105" s="2" t="s">
        <v>40</v>
      </c>
      <c r="W4105" s="2" t="s">
        <v>17426</v>
      </c>
      <c r="X4105" s="2" t="str">
        <f>"4505305033"</f>
        <v>4505305033</v>
      </c>
      <c r="Y4105" s="2" t="str">
        <f>"5146182204"</f>
        <v>5146182204</v>
      </c>
      <c r="Z4105" s="2"/>
      <c r="AA4105" s="2" t="s">
        <v>266</v>
      </c>
      <c r="AB4105" s="2" t="s">
        <v>267</v>
      </c>
      <c r="AC4105" s="4" t="s">
        <v>44</v>
      </c>
    </row>
    <row r="4106" spans="1:29" x14ac:dyDescent="0.25">
      <c r="A4106" s="1">
        <v>253</v>
      </c>
      <c r="B4106" s="17" t="s">
        <v>17427</v>
      </c>
      <c r="C4106" s="2" t="s">
        <v>14634</v>
      </c>
      <c r="D4106" s="15" t="s">
        <v>10361</v>
      </c>
      <c r="E4106" s="9" t="s">
        <v>14635</v>
      </c>
      <c r="F4106" s="9" t="s">
        <v>10360</v>
      </c>
      <c r="G4106" s="9" t="s">
        <v>610</v>
      </c>
      <c r="H4106" s="2" t="s">
        <v>60</v>
      </c>
      <c r="I4106" s="3">
        <v>37358</v>
      </c>
      <c r="J4106" s="9" t="str">
        <f t="shared" ca="1" si="68"/>
        <v>21 ans</v>
      </c>
      <c r="K4106" s="2" t="s">
        <v>262</v>
      </c>
      <c r="L4106" s="2" t="str">
        <f>"6552"</f>
        <v>6552</v>
      </c>
      <c r="M4106" s="2"/>
      <c r="N4106" s="2" t="str">
        <f t="shared" si="67"/>
        <v>RUE OUIMET</v>
      </c>
      <c r="O4106" s="2" t="s">
        <v>17428</v>
      </c>
      <c r="P4106" s="9" t="str">
        <f>VLOOKUP($O4106,'Liste des Villes'!$B$2:$B$1128,1,FALSE)</f>
        <v>La Sarre</v>
      </c>
      <c r="Q4106" s="9" t="str">
        <f>IFERROR($P4106,PROPER(VLOOKUP($O4106,'Villes en erreur'!$A$2:$B$72,2,FALSE)))</f>
        <v>La Sarre</v>
      </c>
      <c r="R4106" s="9" t="s">
        <v>17429</v>
      </c>
      <c r="S4106" s="9" t="str">
        <f>IF(ISBLANK($R4106),"",VLOOKUP($R4106,'Liste des Villes'!$B$2:$H$1128,4,FALSE))</f>
        <v>Abitibi-Témiscamingue</v>
      </c>
      <c r="T4106" s="2" t="s">
        <v>17430</v>
      </c>
      <c r="U4106" s="2" t="s">
        <v>39</v>
      </c>
      <c r="V4106" s="2" t="s">
        <v>40</v>
      </c>
      <c r="W4106" s="2" t="s">
        <v>17431</v>
      </c>
      <c r="X4106" s="2" t="str">
        <f>"4505305822"</f>
        <v>4505305822</v>
      </c>
      <c r="Y4106" s="2" t="str">
        <f>"5146032754"</f>
        <v>5146032754</v>
      </c>
      <c r="Z4106" s="2"/>
      <c r="AA4106" s="2" t="s">
        <v>266</v>
      </c>
      <c r="AB4106" s="2" t="s">
        <v>267</v>
      </c>
      <c r="AC4106" s="4" t="s">
        <v>44</v>
      </c>
    </row>
    <row r="4107" spans="1:29" x14ac:dyDescent="0.25">
      <c r="A4107" s="1">
        <v>4050</v>
      </c>
      <c r="B4107" s="17" t="s">
        <v>17432</v>
      </c>
      <c r="C4107" s="2" t="s">
        <v>17433</v>
      </c>
      <c r="D4107" s="15" t="s">
        <v>6015</v>
      </c>
      <c r="E4107" s="9" t="s">
        <v>3265</v>
      </c>
      <c r="F4107" s="9" t="s">
        <v>15604</v>
      </c>
      <c r="G4107" s="9" t="s">
        <v>2498</v>
      </c>
      <c r="H4107" s="2" t="s">
        <v>60</v>
      </c>
      <c r="I4107" s="3">
        <v>37359</v>
      </c>
      <c r="J4107" s="9" t="str">
        <f t="shared" ca="1" si="68"/>
        <v>21 ans</v>
      </c>
      <c r="K4107" s="2" t="s">
        <v>262</v>
      </c>
      <c r="L4107" s="2" t="str">
        <f>"6577"</f>
        <v>6577</v>
      </c>
      <c r="M4107" s="2"/>
      <c r="N4107" s="2" t="str">
        <f>"RUE OVIDE"</f>
        <v>RUE OVIDE</v>
      </c>
      <c r="O4107" s="2" t="s">
        <v>17434</v>
      </c>
      <c r="P4107" s="9" t="str">
        <f>VLOOKUP($O4107,'Liste des Villes'!$B$2:$B$1128,1,FALSE)</f>
        <v>La Prairie</v>
      </c>
      <c r="Q4107" s="9" t="str">
        <f>IFERROR($P4107,PROPER(VLOOKUP($O4107,'Villes en erreur'!$A$2:$B$72,2,FALSE)))</f>
        <v>La Prairie</v>
      </c>
      <c r="R4107" s="9" t="s">
        <v>17435</v>
      </c>
      <c r="S4107" s="9" t="str">
        <f>IF(ISBLANK($R4107),"",VLOOKUP($R4107,'Liste des Villes'!$B$2:$H$1128,4,FALSE))</f>
        <v>Montérégie</v>
      </c>
      <c r="T4107" s="2" t="s">
        <v>17430</v>
      </c>
      <c r="U4107" s="2" t="s">
        <v>39</v>
      </c>
      <c r="V4107" s="2" t="s">
        <v>40</v>
      </c>
      <c r="W4107" s="2" t="s">
        <v>17436</v>
      </c>
      <c r="X4107" s="2" t="str">
        <f>"4505306381"</f>
        <v>4505306381</v>
      </c>
      <c r="Y4107" s="2" t="str">
        <f>"5146031045"</f>
        <v>5146031045</v>
      </c>
      <c r="Z4107" s="2"/>
      <c r="AA4107" s="2" t="s">
        <v>266</v>
      </c>
      <c r="AB4107" s="2" t="s">
        <v>267</v>
      </c>
      <c r="AC4107" s="4" t="s">
        <v>44</v>
      </c>
    </row>
    <row r="4108" spans="1:29" x14ac:dyDescent="0.25">
      <c r="A4108" s="1">
        <v>4312</v>
      </c>
      <c r="B4108" s="17" t="s">
        <v>17437</v>
      </c>
      <c r="C4108" s="2" t="s">
        <v>5593</v>
      </c>
      <c r="D4108" s="15" t="s">
        <v>1716</v>
      </c>
      <c r="E4108" s="9" t="s">
        <v>3235</v>
      </c>
      <c r="F4108" s="9" t="s">
        <v>31</v>
      </c>
      <c r="G4108" s="9" t="s">
        <v>2498</v>
      </c>
      <c r="H4108" s="2" t="s">
        <v>60</v>
      </c>
      <c r="I4108" s="3">
        <v>37360</v>
      </c>
      <c r="J4108" s="9" t="str">
        <f t="shared" ca="1" si="68"/>
        <v>21 ans</v>
      </c>
      <c r="K4108" s="2" t="s">
        <v>262</v>
      </c>
      <c r="L4108" s="2" t="str">
        <f>"6620"</f>
        <v>6620</v>
      </c>
      <c r="M4108" s="2"/>
      <c r="N4108" s="2" t="str">
        <f>"RUE P.-É.-BORDUAS"</f>
        <v>RUE P.-É.-BORDUAS</v>
      </c>
      <c r="O4108" s="2" t="s">
        <v>17438</v>
      </c>
      <c r="P4108" s="9" t="str">
        <f>VLOOKUP($O4108,'Liste des Villes'!$B$2:$B$1128,1,FALSE)</f>
        <v>La Minerve</v>
      </c>
      <c r="Q4108" s="9" t="str">
        <f>IFERROR($P4108,PROPER(VLOOKUP($O4108,'Villes en erreur'!$A$2:$B$72,2,FALSE)))</f>
        <v>La Minerve</v>
      </c>
      <c r="R4108" s="9" t="s">
        <v>17439</v>
      </c>
      <c r="S4108" s="9" t="str">
        <f>IF(ISBLANK($R4108),"",VLOOKUP($R4108,'Liste des Villes'!$B$2:$H$1128,4,FALSE))</f>
        <v>Laurentides</v>
      </c>
      <c r="T4108" s="2" t="s">
        <v>17440</v>
      </c>
      <c r="U4108" s="2" t="s">
        <v>39</v>
      </c>
      <c r="V4108" s="2" t="s">
        <v>40</v>
      </c>
      <c r="W4108" s="2" t="s">
        <v>17441</v>
      </c>
      <c r="X4108" s="2" t="str">
        <f>"4505431118"</f>
        <v>4505431118</v>
      </c>
      <c r="Y4108" s="2" t="str">
        <f>"5145949632"</f>
        <v>5145949632</v>
      </c>
      <c r="Z4108" s="2"/>
      <c r="AA4108" s="2" t="s">
        <v>266</v>
      </c>
      <c r="AB4108" s="2" t="s">
        <v>267</v>
      </c>
      <c r="AC4108" s="4" t="s">
        <v>44</v>
      </c>
    </row>
    <row r="4109" spans="1:29" x14ac:dyDescent="0.25">
      <c r="A4109" s="1">
        <v>1433</v>
      </c>
      <c r="B4109" s="17" t="s">
        <v>17442</v>
      </c>
      <c r="C4109" s="2" t="s">
        <v>874</v>
      </c>
      <c r="D4109" s="15" t="s">
        <v>875</v>
      </c>
      <c r="E4109" s="9" t="s">
        <v>876</v>
      </c>
      <c r="F4109" s="9" t="s">
        <v>7234</v>
      </c>
      <c r="G4109" s="9" t="s">
        <v>5151</v>
      </c>
      <c r="H4109" s="2" t="s">
        <v>60</v>
      </c>
      <c r="I4109" s="3">
        <v>37361</v>
      </c>
      <c r="J4109" s="9" t="str">
        <f t="shared" ca="1" si="68"/>
        <v>21 ans</v>
      </c>
      <c r="K4109" s="2" t="s">
        <v>262</v>
      </c>
      <c r="L4109" s="2" t="str">
        <f>"6825"</f>
        <v>6825</v>
      </c>
      <c r="M4109" s="2"/>
      <c r="N4109" s="2" t="str">
        <f>"RUE PALARDY"</f>
        <v>RUE PALARDY</v>
      </c>
      <c r="O4109" s="2" t="s">
        <v>17438</v>
      </c>
      <c r="P4109" s="9" t="str">
        <f>VLOOKUP($O4109,'Liste des Villes'!$B$2:$B$1128,1,FALSE)</f>
        <v>La Minerve</v>
      </c>
      <c r="Q4109" s="9" t="str">
        <f>IFERROR($P4109,PROPER(VLOOKUP($O4109,'Villes en erreur'!$A$2:$B$72,2,FALSE)))</f>
        <v>La Minerve</v>
      </c>
      <c r="R4109" s="9" t="s">
        <v>17439</v>
      </c>
      <c r="S4109" s="9" t="str">
        <f>IF(ISBLANK($R4109),"",VLOOKUP($R4109,'Liste des Villes'!$B$2:$H$1128,4,FALSE))</f>
        <v>Laurentides</v>
      </c>
      <c r="T4109" s="2" t="s">
        <v>17443</v>
      </c>
      <c r="U4109" s="2" t="s">
        <v>39</v>
      </c>
      <c r="V4109" s="2" t="s">
        <v>40</v>
      </c>
      <c r="W4109" s="2" t="s">
        <v>17444</v>
      </c>
      <c r="X4109" s="2" t="str">
        <f>"4505432463"</f>
        <v>4505432463</v>
      </c>
      <c r="Y4109" s="2" t="str">
        <f>"5145827353"</f>
        <v>5145827353</v>
      </c>
      <c r="Z4109" s="2"/>
      <c r="AA4109" s="2" t="s">
        <v>266</v>
      </c>
      <c r="AB4109" s="2" t="s">
        <v>267</v>
      </c>
      <c r="AC4109" s="4" t="s">
        <v>44</v>
      </c>
    </row>
    <row r="4110" spans="1:29" x14ac:dyDescent="0.25">
      <c r="A4110" s="1">
        <v>1426</v>
      </c>
      <c r="B4110" s="17" t="s">
        <v>17445</v>
      </c>
      <c r="C4110" s="2" t="s">
        <v>17446</v>
      </c>
      <c r="D4110" s="15" t="s">
        <v>2677</v>
      </c>
      <c r="E4110" s="9" t="s">
        <v>1652</v>
      </c>
      <c r="F4110" s="9" t="s">
        <v>2675</v>
      </c>
      <c r="G4110" s="9" t="s">
        <v>5151</v>
      </c>
      <c r="H4110" s="2" t="s">
        <v>60</v>
      </c>
      <c r="I4110" s="3">
        <v>37361</v>
      </c>
      <c r="J4110" s="9" t="str">
        <f t="shared" ca="1" si="68"/>
        <v>21 ans</v>
      </c>
      <c r="K4110" s="2" t="s">
        <v>262</v>
      </c>
      <c r="L4110" s="2" t="str">
        <f>"6750"</f>
        <v>6750</v>
      </c>
      <c r="M4110" s="2"/>
      <c r="N4110" s="2" t="str">
        <f>"RUE PAIEMENT"</f>
        <v>RUE PAIEMENT</v>
      </c>
      <c r="O4110" s="2" t="s">
        <v>17438</v>
      </c>
      <c r="P4110" s="9" t="str">
        <f>VLOOKUP($O4110,'Liste des Villes'!$B$2:$B$1128,1,FALSE)</f>
        <v>La Minerve</v>
      </c>
      <c r="Q4110" s="9" t="str">
        <f>IFERROR($P4110,PROPER(VLOOKUP($O4110,'Villes en erreur'!$A$2:$B$72,2,FALSE)))</f>
        <v>La Minerve</v>
      </c>
      <c r="R4110" s="9" t="s">
        <v>17439</v>
      </c>
      <c r="S4110" s="9" t="str">
        <f>IF(ISBLANK($R4110),"",VLOOKUP($R4110,'Liste des Villes'!$B$2:$H$1128,4,FALSE))</f>
        <v>Laurentides</v>
      </c>
      <c r="T4110" s="2" t="s">
        <v>17447</v>
      </c>
      <c r="U4110" s="2" t="s">
        <v>39</v>
      </c>
      <c r="V4110" s="2" t="s">
        <v>40</v>
      </c>
      <c r="W4110" s="2" t="s">
        <v>17448</v>
      </c>
      <c r="X4110" s="2" t="str">
        <f>"4505431799"</f>
        <v>4505431799</v>
      </c>
      <c r="Y4110" s="2" t="str">
        <f>"5145914879"</f>
        <v>5145914879</v>
      </c>
      <c r="Z4110" s="2"/>
      <c r="AA4110" s="2" t="s">
        <v>266</v>
      </c>
      <c r="AB4110" s="2" t="s">
        <v>267</v>
      </c>
      <c r="AC4110" s="4" t="s">
        <v>44</v>
      </c>
    </row>
    <row r="4111" spans="1:29" x14ac:dyDescent="0.25">
      <c r="A4111" s="1">
        <v>3043</v>
      </c>
      <c r="B4111" s="17" t="s">
        <v>17449</v>
      </c>
      <c r="C4111" s="2" t="s">
        <v>17450</v>
      </c>
      <c r="D4111" s="15" t="s">
        <v>10143</v>
      </c>
      <c r="E4111" s="9" t="s">
        <v>253</v>
      </c>
      <c r="F4111" s="9" t="s">
        <v>726</v>
      </c>
      <c r="G4111" s="9" t="s">
        <v>2498</v>
      </c>
      <c r="H4111" s="2" t="s">
        <v>60</v>
      </c>
      <c r="I4111" s="3">
        <v>37359</v>
      </c>
      <c r="J4111" s="9" t="str">
        <f t="shared" ca="1" si="68"/>
        <v>21 ans</v>
      </c>
      <c r="K4111" s="2" t="s">
        <v>262</v>
      </c>
      <c r="L4111" s="2" t="str">
        <f>"6598"</f>
        <v>6598</v>
      </c>
      <c r="M4111" s="2"/>
      <c r="N4111" s="2" t="str">
        <f>"RUE OVILA-FORGET"</f>
        <v>RUE OVILA-FORGET</v>
      </c>
      <c r="O4111" s="2" t="s">
        <v>17438</v>
      </c>
      <c r="P4111" s="9" t="str">
        <f>VLOOKUP($O4111,'Liste des Villes'!$B$2:$B$1128,1,FALSE)</f>
        <v>La Minerve</v>
      </c>
      <c r="Q4111" s="9" t="str">
        <f>IFERROR($P4111,PROPER(VLOOKUP($O4111,'Villes en erreur'!$A$2:$B$72,2,FALSE)))</f>
        <v>La Minerve</v>
      </c>
      <c r="R4111" s="9" t="s">
        <v>17439</v>
      </c>
      <c r="S4111" s="9" t="str">
        <f>IF(ISBLANK($R4111),"",VLOOKUP($R4111,'Liste des Villes'!$B$2:$H$1128,4,FALSE))</f>
        <v>Laurentides</v>
      </c>
      <c r="T4111" s="2" t="s">
        <v>17430</v>
      </c>
      <c r="U4111" s="2" t="s">
        <v>39</v>
      </c>
      <c r="V4111" s="2" t="s">
        <v>40</v>
      </c>
      <c r="W4111" s="2" t="s">
        <v>17451</v>
      </c>
      <c r="X4111" s="2" t="str">
        <f>"4505308474"</f>
        <v>4505308474</v>
      </c>
      <c r="Y4111" s="2" t="str">
        <f>"5146013284"</f>
        <v>5146013284</v>
      </c>
      <c r="Z4111" s="2"/>
      <c r="AA4111" s="2" t="s">
        <v>266</v>
      </c>
      <c r="AB4111" s="2" t="s">
        <v>267</v>
      </c>
      <c r="AC4111" s="4" t="s">
        <v>44</v>
      </c>
    </row>
    <row r="4112" spans="1:29" x14ac:dyDescent="0.25">
      <c r="A4112" s="1">
        <v>3056</v>
      </c>
      <c r="B4112" s="17" t="s">
        <v>17452</v>
      </c>
      <c r="C4112" s="2" t="s">
        <v>3088</v>
      </c>
      <c r="D4112" s="15" t="s">
        <v>3089</v>
      </c>
      <c r="E4112" s="9" t="s">
        <v>2381</v>
      </c>
      <c r="F4112" s="9" t="s">
        <v>1807</v>
      </c>
      <c r="G4112" s="9" t="s">
        <v>2498</v>
      </c>
      <c r="H4112" s="2" t="s">
        <v>60</v>
      </c>
      <c r="I4112" s="3">
        <v>37361</v>
      </c>
      <c r="J4112" s="9" t="str">
        <f t="shared" ca="1" si="68"/>
        <v>21 ans</v>
      </c>
      <c r="K4112" s="2" t="s">
        <v>262</v>
      </c>
      <c r="L4112" s="2" t="str">
        <f>"6676"</f>
        <v>6676</v>
      </c>
      <c r="M4112" s="2"/>
      <c r="N4112" s="2" t="str">
        <f>"RUE PAGEAU"</f>
        <v>RUE PAGEAU</v>
      </c>
      <c r="O4112" s="2" t="s">
        <v>17438</v>
      </c>
      <c r="P4112" s="9" t="str">
        <f>VLOOKUP($O4112,'Liste des Villes'!$B$2:$B$1128,1,FALSE)</f>
        <v>La Minerve</v>
      </c>
      <c r="Q4112" s="9" t="str">
        <f>IFERROR($P4112,PROPER(VLOOKUP($O4112,'Villes en erreur'!$A$2:$B$72,2,FALSE)))</f>
        <v>La Minerve</v>
      </c>
      <c r="R4112" s="9" t="s">
        <v>17439</v>
      </c>
      <c r="S4112" s="9" t="str">
        <f>IF(ISBLANK($R4112),"",VLOOKUP($R4112,'Liste des Villes'!$B$2:$H$1128,4,FALSE))</f>
        <v>Laurentides</v>
      </c>
      <c r="T4112" s="2" t="s">
        <v>17447</v>
      </c>
      <c r="U4112" s="2" t="s">
        <v>39</v>
      </c>
      <c r="V4112" s="2" t="s">
        <v>40</v>
      </c>
      <c r="W4112" s="2" t="s">
        <v>17453</v>
      </c>
      <c r="X4112" s="2" t="str">
        <f>"4505431710"</f>
        <v>4505431710</v>
      </c>
      <c r="Y4112" s="2" t="str">
        <f>"5145925572"</f>
        <v>5145925572</v>
      </c>
      <c r="Z4112" s="2"/>
      <c r="AA4112" s="2" t="s">
        <v>266</v>
      </c>
      <c r="AB4112" s="2" t="s">
        <v>267</v>
      </c>
      <c r="AC4112" s="4" t="s">
        <v>44</v>
      </c>
    </row>
    <row r="4113" spans="1:29" x14ac:dyDescent="0.25">
      <c r="A4113" s="1">
        <v>983</v>
      </c>
      <c r="B4113" s="17" t="s">
        <v>17454</v>
      </c>
      <c r="C4113" s="2" t="s">
        <v>17455</v>
      </c>
      <c r="D4113" s="15" t="s">
        <v>17456</v>
      </c>
      <c r="E4113" s="9" t="s">
        <v>4686</v>
      </c>
      <c r="F4113" s="9" t="s">
        <v>17457</v>
      </c>
      <c r="G4113" s="9" t="s">
        <v>5151</v>
      </c>
      <c r="H4113" s="2" t="s">
        <v>60</v>
      </c>
      <c r="I4113" s="3">
        <v>37361</v>
      </c>
      <c r="J4113" s="9" t="str">
        <f t="shared" ca="1" si="68"/>
        <v>21 ans</v>
      </c>
      <c r="K4113" s="2" t="s">
        <v>262</v>
      </c>
      <c r="L4113" s="2" t="str">
        <f>"6832"</f>
        <v>6832</v>
      </c>
      <c r="M4113" s="2"/>
      <c r="N4113" s="2" t="str">
        <f>"RUE PANNETON"</f>
        <v>RUE PANNETON</v>
      </c>
      <c r="O4113" s="2" t="s">
        <v>17458</v>
      </c>
      <c r="P4113" s="9" t="str">
        <f>VLOOKUP($O4113,'Liste des Villes'!$B$2:$B$1128,1,FALSE)</f>
        <v>La Macaza</v>
      </c>
      <c r="Q4113" s="9" t="str">
        <f>IFERROR($P4113,PROPER(VLOOKUP($O4113,'Villes en erreur'!$A$2:$B$72,2,FALSE)))</f>
        <v>La Macaza</v>
      </c>
      <c r="R4113" s="9" t="s">
        <v>17459</v>
      </c>
      <c r="S4113" s="9" t="str">
        <f>IF(ISBLANK($R4113),"",VLOOKUP($R4113,'Liste des Villes'!$B$2:$H$1128,4,FALSE))</f>
        <v>Laurentides</v>
      </c>
      <c r="T4113" s="2" t="s">
        <v>17460</v>
      </c>
      <c r="U4113" s="2" t="s">
        <v>39</v>
      </c>
      <c r="V4113" s="2" t="s">
        <v>40</v>
      </c>
      <c r="W4113" s="2" t="s">
        <v>17461</v>
      </c>
      <c r="X4113" s="2" t="str">
        <f>"4505432979"</f>
        <v>4505432979</v>
      </c>
      <c r="Y4113" s="2" t="str">
        <f>"5145775640"</f>
        <v>5145775640</v>
      </c>
      <c r="Z4113" s="2"/>
      <c r="AA4113" s="2" t="s">
        <v>266</v>
      </c>
      <c r="AB4113" s="2" t="s">
        <v>267</v>
      </c>
      <c r="AC4113" s="4" t="s">
        <v>44</v>
      </c>
    </row>
    <row r="4114" spans="1:29" x14ac:dyDescent="0.25">
      <c r="A4114" s="1">
        <v>2484</v>
      </c>
      <c r="B4114" s="17" t="s">
        <v>17462</v>
      </c>
      <c r="C4114" s="2" t="s">
        <v>17463</v>
      </c>
      <c r="D4114" s="15" t="s">
        <v>9202</v>
      </c>
      <c r="E4114" s="9" t="s">
        <v>17464</v>
      </c>
      <c r="F4114" s="9" t="s">
        <v>4066</v>
      </c>
      <c r="G4114" s="9" t="s">
        <v>15596</v>
      </c>
      <c r="H4114" s="2" t="s">
        <v>60</v>
      </c>
      <c r="I4114" s="3">
        <v>37361</v>
      </c>
      <c r="J4114" s="9" t="str">
        <f t="shared" ca="1" si="68"/>
        <v>21 ans</v>
      </c>
      <c r="K4114" s="2" t="s">
        <v>262</v>
      </c>
      <c r="L4114" s="2" t="str">
        <f>"6931"</f>
        <v>6931</v>
      </c>
      <c r="M4114" s="2"/>
      <c r="N4114" s="2" t="str">
        <f>"RUE PAPILLON"</f>
        <v>RUE PAPILLON</v>
      </c>
      <c r="O4114" s="2" t="s">
        <v>17465</v>
      </c>
      <c r="P4114" s="9" t="str">
        <f>VLOOKUP($O4114,'Liste des Villes'!$B$2:$B$1128,1,FALSE)</f>
        <v>La Conception</v>
      </c>
      <c r="Q4114" s="9" t="str">
        <f>IFERROR($P4114,PROPER(VLOOKUP($O4114,'Villes en erreur'!$A$2:$B$72,2,FALSE)))</f>
        <v>La Conception</v>
      </c>
      <c r="R4114" s="9" t="s">
        <v>17466</v>
      </c>
      <c r="S4114" s="9" t="str">
        <f>IF(ISBLANK($R4114),"",VLOOKUP($R4114,'Liste des Villes'!$B$2:$H$1128,4,FALSE))</f>
        <v>Laurentides</v>
      </c>
      <c r="T4114" s="2" t="s">
        <v>17460</v>
      </c>
      <c r="U4114" s="2" t="s">
        <v>39</v>
      </c>
      <c r="V4114" s="2" t="s">
        <v>40</v>
      </c>
      <c r="W4114" s="2" t="s">
        <v>17467</v>
      </c>
      <c r="X4114" s="2" t="str">
        <f>"4505436406"</f>
        <v>4505436406</v>
      </c>
      <c r="Y4114" s="2" t="str">
        <f>"5145764043"</f>
        <v>5145764043</v>
      </c>
      <c r="Z4114" s="2"/>
      <c r="AA4114" s="2" t="s">
        <v>266</v>
      </c>
      <c r="AB4114" s="2" t="s">
        <v>267</v>
      </c>
      <c r="AC4114" s="4" t="s">
        <v>44</v>
      </c>
    </row>
    <row r="4115" spans="1:29" x14ac:dyDescent="0.25">
      <c r="A4115" s="1">
        <v>3145</v>
      </c>
      <c r="B4115" s="17" t="s">
        <v>17468</v>
      </c>
      <c r="C4115" s="2" t="s">
        <v>17469</v>
      </c>
      <c r="D4115" s="15" t="s">
        <v>12446</v>
      </c>
      <c r="E4115" s="9" t="s">
        <v>186</v>
      </c>
      <c r="F4115" s="9" t="s">
        <v>12445</v>
      </c>
      <c r="G4115" s="9" t="s">
        <v>12346</v>
      </c>
      <c r="H4115" s="2" t="s">
        <v>60</v>
      </c>
      <c r="I4115" s="3">
        <v>37362</v>
      </c>
      <c r="J4115" s="9" t="str">
        <f t="shared" ca="1" si="68"/>
        <v>21 ans</v>
      </c>
      <c r="K4115" s="2" t="s">
        <v>262</v>
      </c>
      <c r="L4115" s="2" t="str">
        <f>"6977"</f>
        <v>6977</v>
      </c>
      <c r="M4115" s="2"/>
      <c r="N4115" s="2" t="str">
        <f>"RUE PAQUETTE"</f>
        <v>RUE PAQUETTE</v>
      </c>
      <c r="O4115" s="2" t="s">
        <v>17465</v>
      </c>
      <c r="P4115" s="9" t="str">
        <f>VLOOKUP($O4115,'Liste des Villes'!$B$2:$B$1128,1,FALSE)</f>
        <v>La Conception</v>
      </c>
      <c r="Q4115" s="9" t="str">
        <f>IFERROR($P4115,PROPER(VLOOKUP($O4115,'Villes en erreur'!$A$2:$B$72,2,FALSE)))</f>
        <v>La Conception</v>
      </c>
      <c r="R4115" s="9" t="s">
        <v>17466</v>
      </c>
      <c r="S4115" s="9" t="str">
        <f>IF(ISBLANK($R4115),"",VLOOKUP($R4115,'Liste des Villes'!$B$2:$H$1128,4,FALSE))</f>
        <v>Laurentides</v>
      </c>
      <c r="T4115" s="2" t="s">
        <v>17470</v>
      </c>
      <c r="U4115" s="2" t="s">
        <v>39</v>
      </c>
      <c r="V4115" s="2" t="s">
        <v>40</v>
      </c>
      <c r="W4115" s="2" t="s">
        <v>17471</v>
      </c>
      <c r="X4115" s="2" t="str">
        <f>"4505602125"</f>
        <v>4505602125</v>
      </c>
      <c r="Y4115" s="2" t="str">
        <f>"5145697986"</f>
        <v>5145697986</v>
      </c>
      <c r="Z4115" s="2"/>
      <c r="AA4115" s="2" t="s">
        <v>266</v>
      </c>
      <c r="AB4115" s="2" t="s">
        <v>267</v>
      </c>
      <c r="AC4115" s="4" t="s">
        <v>44</v>
      </c>
    </row>
    <row r="4116" spans="1:29" x14ac:dyDescent="0.25">
      <c r="A4116" s="1">
        <v>344</v>
      </c>
      <c r="B4116" s="17" t="s">
        <v>17472</v>
      </c>
      <c r="C4116" s="2" t="s">
        <v>17473</v>
      </c>
      <c r="D4116" s="15" t="s">
        <v>7362</v>
      </c>
      <c r="E4116" s="9" t="s">
        <v>9119</v>
      </c>
      <c r="F4116" s="9" t="s">
        <v>651</v>
      </c>
      <c r="G4116" s="9" t="s">
        <v>17474</v>
      </c>
      <c r="H4116" s="2" t="s">
        <v>60</v>
      </c>
      <c r="I4116" s="3">
        <v>37362</v>
      </c>
      <c r="J4116" s="9" t="str">
        <f t="shared" ca="1" si="68"/>
        <v>21 ans</v>
      </c>
      <c r="K4116" s="2" t="s">
        <v>262</v>
      </c>
      <c r="L4116" s="2" t="str">
        <f>"6941"</f>
        <v>6941</v>
      </c>
      <c r="M4116" s="2"/>
      <c r="N4116" s="2" t="str">
        <f>"RUE PAQUETTE"</f>
        <v>RUE PAQUETTE</v>
      </c>
      <c r="O4116" s="2" t="s">
        <v>17465</v>
      </c>
      <c r="P4116" s="9" t="str">
        <f>VLOOKUP($O4116,'Liste des Villes'!$B$2:$B$1128,1,FALSE)</f>
        <v>La Conception</v>
      </c>
      <c r="Q4116" s="9" t="str">
        <f>IFERROR($P4116,PROPER(VLOOKUP($O4116,'Villes en erreur'!$A$2:$B$72,2,FALSE)))</f>
        <v>La Conception</v>
      </c>
      <c r="R4116" s="9" t="s">
        <v>17466</v>
      </c>
      <c r="S4116" s="9" t="str">
        <f>IF(ISBLANK($R4116),"",VLOOKUP($R4116,'Liste des Villes'!$B$2:$H$1128,4,FALSE))</f>
        <v>Laurentides</v>
      </c>
      <c r="T4116" s="2" t="s">
        <v>17470</v>
      </c>
      <c r="U4116" s="2" t="s">
        <v>39</v>
      </c>
      <c r="V4116" s="2" t="s">
        <v>40</v>
      </c>
      <c r="W4116" s="2" t="s">
        <v>17475</v>
      </c>
      <c r="X4116" s="2" t="str">
        <f>"4505531596"</f>
        <v>4505531596</v>
      </c>
      <c r="Y4116" s="2" t="str">
        <f>"5145755789"</f>
        <v>5145755789</v>
      </c>
      <c r="Z4116" s="2"/>
      <c r="AA4116" s="2" t="s">
        <v>266</v>
      </c>
      <c r="AB4116" s="2" t="s">
        <v>267</v>
      </c>
      <c r="AC4116" s="4" t="s">
        <v>44</v>
      </c>
    </row>
    <row r="4117" spans="1:29" x14ac:dyDescent="0.25">
      <c r="A4117" s="1">
        <v>890</v>
      </c>
      <c r="B4117" s="17" t="s">
        <v>17476</v>
      </c>
      <c r="C4117" s="2" t="s">
        <v>13595</v>
      </c>
      <c r="D4117" s="15" t="s">
        <v>6583</v>
      </c>
      <c r="E4117" s="9" t="s">
        <v>3451</v>
      </c>
      <c r="F4117" s="9" t="s">
        <v>6682</v>
      </c>
      <c r="G4117" s="9" t="s">
        <v>9701</v>
      </c>
      <c r="H4117" s="2" t="s">
        <v>60</v>
      </c>
      <c r="I4117" s="3">
        <v>37362</v>
      </c>
      <c r="J4117" s="9" t="str">
        <f t="shared" ca="1" si="68"/>
        <v>21 ans</v>
      </c>
      <c r="K4117" s="2" t="s">
        <v>262</v>
      </c>
      <c r="L4117" s="2" t="str">
        <f>"7035"</f>
        <v>7035</v>
      </c>
      <c r="M4117" s="2"/>
      <c r="N4117" s="2" t="str">
        <f>"RUE PAQUIN"</f>
        <v>RUE PAQUIN</v>
      </c>
      <c r="O4117" s="2" t="s">
        <v>17465</v>
      </c>
      <c r="P4117" s="9" t="str">
        <f>VLOOKUP($O4117,'Liste des Villes'!$B$2:$B$1128,1,FALSE)</f>
        <v>La Conception</v>
      </c>
      <c r="Q4117" s="9" t="str">
        <f>IFERROR($P4117,PROPER(VLOOKUP($O4117,'Villes en erreur'!$A$2:$B$72,2,FALSE)))</f>
        <v>La Conception</v>
      </c>
      <c r="R4117" s="9" t="s">
        <v>17466</v>
      </c>
      <c r="S4117" s="9" t="str">
        <f>IF(ISBLANK($R4117),"",VLOOKUP($R4117,'Liste des Villes'!$B$2:$H$1128,4,FALSE))</f>
        <v>Laurentides</v>
      </c>
      <c r="T4117" s="2" t="s">
        <v>17477</v>
      </c>
      <c r="U4117" s="2" t="s">
        <v>39</v>
      </c>
      <c r="V4117" s="2" t="s">
        <v>40</v>
      </c>
      <c r="W4117" s="2" t="s">
        <v>17478</v>
      </c>
      <c r="X4117" s="2" t="str">
        <f>"4505602652"</f>
        <v>4505602652</v>
      </c>
      <c r="Y4117" s="2" t="str">
        <f>"5145628141"</f>
        <v>5145628141</v>
      </c>
      <c r="Z4117" s="2"/>
      <c r="AA4117" s="2" t="s">
        <v>266</v>
      </c>
      <c r="AB4117" s="2" t="s">
        <v>267</v>
      </c>
      <c r="AC4117" s="4" t="s">
        <v>44</v>
      </c>
    </row>
    <row r="4118" spans="1:29" x14ac:dyDescent="0.25">
      <c r="A4118" s="1">
        <v>3229</v>
      </c>
      <c r="B4118" s="17" t="s">
        <v>17479</v>
      </c>
      <c r="C4118" s="2" t="s">
        <v>17480</v>
      </c>
      <c r="D4118" s="15" t="s">
        <v>17481</v>
      </c>
      <c r="E4118" s="9" t="s">
        <v>2210</v>
      </c>
      <c r="F4118" s="9" t="s">
        <v>34</v>
      </c>
      <c r="G4118" s="9" t="s">
        <v>15222</v>
      </c>
      <c r="H4118" s="2" t="s">
        <v>60</v>
      </c>
      <c r="I4118" s="3">
        <v>37362</v>
      </c>
      <c r="J4118" s="9" t="str">
        <f t="shared" ca="1" si="68"/>
        <v>21 ans</v>
      </c>
      <c r="K4118" s="2" t="s">
        <v>262</v>
      </c>
      <c r="L4118" s="2" t="str">
        <f>"7404"</f>
        <v>7404</v>
      </c>
      <c r="M4118" s="2"/>
      <c r="N4118" s="2" t="str">
        <f>"RUE PARENT"</f>
        <v>RUE PARENT</v>
      </c>
      <c r="O4118" s="2" t="s">
        <v>17482</v>
      </c>
      <c r="P4118" s="9" t="str">
        <f>VLOOKUP($O4118,'Liste des Villes'!$B$2:$B$1128,1,FALSE)</f>
        <v>Joliette</v>
      </c>
      <c r="Q4118" s="9" t="str">
        <f>IFERROR($P4118,PROPER(VLOOKUP($O4118,'Villes en erreur'!$A$2:$B$72,2,FALSE)))</f>
        <v>Joliette</v>
      </c>
      <c r="R4118" s="9" t="s">
        <v>17483</v>
      </c>
      <c r="S4118" s="9" t="str">
        <f>IF(ISBLANK($R4118),"",VLOOKUP($R4118,'Liste des Villes'!$B$2:$H$1128,4,FALSE))</f>
        <v>Lanaudière</v>
      </c>
      <c r="T4118" s="2" t="s">
        <v>17484</v>
      </c>
      <c r="U4118" s="2" t="s">
        <v>39</v>
      </c>
      <c r="V4118" s="2" t="s">
        <v>40</v>
      </c>
      <c r="W4118" s="2" t="s">
        <v>17485</v>
      </c>
      <c r="X4118" s="2" t="str">
        <f>"4505650023"</f>
        <v>4505650023</v>
      </c>
      <c r="Y4118" s="2" t="str">
        <f>"5145572926"</f>
        <v>5145572926</v>
      </c>
      <c r="Z4118" s="2"/>
      <c r="AA4118" s="2" t="s">
        <v>266</v>
      </c>
      <c r="AB4118" s="2" t="s">
        <v>267</v>
      </c>
      <c r="AC4118" s="4" t="s">
        <v>44</v>
      </c>
    </row>
    <row r="4119" spans="1:29" x14ac:dyDescent="0.25">
      <c r="A4119" s="1">
        <v>2627</v>
      </c>
      <c r="B4119" s="17" t="s">
        <v>17486</v>
      </c>
      <c r="C4119" s="2" t="s">
        <v>8353</v>
      </c>
      <c r="D4119" s="15" t="s">
        <v>6635</v>
      </c>
      <c r="E4119" s="9" t="s">
        <v>2086</v>
      </c>
      <c r="F4119" s="9" t="s">
        <v>6634</v>
      </c>
      <c r="G4119" s="9" t="s">
        <v>1126</v>
      </c>
      <c r="H4119" s="2" t="s">
        <v>60</v>
      </c>
      <c r="I4119" s="3">
        <v>37362</v>
      </c>
      <c r="J4119" s="9" t="str">
        <f t="shared" ca="1" si="68"/>
        <v>21 ans</v>
      </c>
      <c r="K4119" s="2" t="s">
        <v>262</v>
      </c>
      <c r="L4119" s="2" t="str">
        <f>"7181"</f>
        <v>7181</v>
      </c>
      <c r="M4119" s="2"/>
      <c r="N4119" s="2" t="str">
        <f>"RUE PARÉ"</f>
        <v>RUE PARÉ</v>
      </c>
      <c r="O4119" s="2" t="s">
        <v>17482</v>
      </c>
      <c r="P4119" s="9" t="str">
        <f>VLOOKUP($O4119,'Liste des Villes'!$B$2:$B$1128,1,FALSE)</f>
        <v>Joliette</v>
      </c>
      <c r="Q4119" s="9" t="str">
        <f>IFERROR($P4119,PROPER(VLOOKUP($O4119,'Villes en erreur'!$A$2:$B$72,2,FALSE)))</f>
        <v>Joliette</v>
      </c>
      <c r="R4119" s="9" t="s">
        <v>17483</v>
      </c>
      <c r="S4119" s="9" t="str">
        <f>IF(ISBLANK($R4119),"",VLOOKUP($R4119,'Liste des Villes'!$B$2:$H$1128,4,FALSE))</f>
        <v>Lanaudière</v>
      </c>
      <c r="T4119" s="2" t="s">
        <v>17484</v>
      </c>
      <c r="U4119" s="2" t="s">
        <v>39</v>
      </c>
      <c r="V4119" s="2" t="s">
        <v>40</v>
      </c>
      <c r="W4119" s="2" t="s">
        <v>17487</v>
      </c>
      <c r="X4119" s="2" t="str">
        <f>"4505629434"</f>
        <v>4505629434</v>
      </c>
      <c r="Y4119" s="2" t="str">
        <f>"5145579316"</f>
        <v>5145579316</v>
      </c>
      <c r="Z4119" s="2"/>
      <c r="AA4119" s="2" t="s">
        <v>266</v>
      </c>
      <c r="AB4119" s="2" t="s">
        <v>267</v>
      </c>
      <c r="AC4119" s="4" t="s">
        <v>44</v>
      </c>
    </row>
    <row r="4120" spans="1:29" x14ac:dyDescent="0.25">
      <c r="A4120" s="1">
        <v>1938</v>
      </c>
      <c r="B4120" s="17" t="s">
        <v>17488</v>
      </c>
      <c r="C4120" s="2" t="s">
        <v>1251</v>
      </c>
      <c r="D4120" s="15" t="s">
        <v>584</v>
      </c>
      <c r="E4120" s="9" t="s">
        <v>145</v>
      </c>
      <c r="F4120" s="9" t="s">
        <v>1252</v>
      </c>
      <c r="G4120" s="9" t="s">
        <v>7869</v>
      </c>
      <c r="H4120" s="2" t="s">
        <v>35</v>
      </c>
      <c r="I4120" s="3">
        <v>37362</v>
      </c>
      <c r="J4120" s="9" t="str">
        <f t="shared" ca="1" si="68"/>
        <v>21 ans</v>
      </c>
      <c r="K4120" s="2" t="s">
        <v>262</v>
      </c>
      <c r="L4120" s="2" t="str">
        <f>"7058"</f>
        <v>7058</v>
      </c>
      <c r="M4120" s="2"/>
      <c r="N4120" s="2" t="str">
        <f>"RUE PARÉ"</f>
        <v>RUE PARÉ</v>
      </c>
      <c r="O4120" s="2" t="s">
        <v>17482</v>
      </c>
      <c r="P4120" s="9" t="str">
        <f>VLOOKUP($O4120,'Liste des Villes'!$B$2:$B$1128,1,FALSE)</f>
        <v>Joliette</v>
      </c>
      <c r="Q4120" s="9" t="str">
        <f>IFERROR($P4120,PROPER(VLOOKUP($O4120,'Villes en erreur'!$A$2:$B$72,2,FALSE)))</f>
        <v>Joliette</v>
      </c>
      <c r="R4120" s="9" t="s">
        <v>17483</v>
      </c>
      <c r="S4120" s="9" t="str">
        <f>IF(ISBLANK($R4120),"",VLOOKUP($R4120,'Liste des Villes'!$B$2:$H$1128,4,FALSE))</f>
        <v>Lanaudière</v>
      </c>
      <c r="T4120" s="2" t="s">
        <v>17477</v>
      </c>
      <c r="U4120" s="2" t="s">
        <v>39</v>
      </c>
      <c r="V4120" s="2" t="s">
        <v>40</v>
      </c>
      <c r="W4120" s="2" t="s">
        <v>17489</v>
      </c>
      <c r="X4120" s="2" t="str">
        <f>"4505628540"</f>
        <v>4505628540</v>
      </c>
      <c r="Y4120" s="2" t="str">
        <f>"5145597816"</f>
        <v>5145597816</v>
      </c>
      <c r="Z4120" s="2"/>
      <c r="AA4120" s="2" t="s">
        <v>266</v>
      </c>
      <c r="AB4120" s="2" t="s">
        <v>267</v>
      </c>
      <c r="AC4120" s="4" t="s">
        <v>44</v>
      </c>
    </row>
    <row r="4121" spans="1:29" x14ac:dyDescent="0.25">
      <c r="A4121" s="1">
        <v>231</v>
      </c>
      <c r="B4121" s="17" t="s">
        <v>17490</v>
      </c>
      <c r="C4121" s="2" t="s">
        <v>8250</v>
      </c>
      <c r="D4121" s="15" t="s">
        <v>3122</v>
      </c>
      <c r="E4121" s="9" t="s">
        <v>956</v>
      </c>
      <c r="F4121" s="9" t="s">
        <v>8131</v>
      </c>
      <c r="G4121" s="9" t="s">
        <v>12261</v>
      </c>
      <c r="H4121" s="2" t="s">
        <v>35</v>
      </c>
      <c r="I4121" s="3">
        <v>37363</v>
      </c>
      <c r="J4121" s="9" t="str">
        <f t="shared" ca="1" si="68"/>
        <v>21 ans</v>
      </c>
      <c r="K4121" s="2" t="s">
        <v>262</v>
      </c>
      <c r="L4121" s="2" t="str">
        <f>"7525"</f>
        <v>7525</v>
      </c>
      <c r="M4121" s="2"/>
      <c r="N4121" s="2" t="str">
        <f t="shared" ref="N4121:N4126" si="69">"RUE PARENT"</f>
        <v>RUE PARENT</v>
      </c>
      <c r="O4121" s="2" t="s">
        <v>17491</v>
      </c>
      <c r="P4121" s="9" t="str">
        <f>VLOOKUP($O4121,'Liste des Villes'!$B$2:$B$1128,1,FALSE)</f>
        <v>Ivry-sur-le-Lac</v>
      </c>
      <c r="Q4121" s="9" t="str">
        <f>IFERROR($P4121,PROPER(VLOOKUP($O4121,'Villes en erreur'!$A$2:$B$72,2,FALSE)))</f>
        <v>Ivry-sur-le-Lac</v>
      </c>
      <c r="R4121" s="9" t="s">
        <v>17492</v>
      </c>
      <c r="S4121" s="9" t="str">
        <f>IF(ISBLANK($R4121),"",VLOOKUP($R4121,'Liste des Villes'!$B$2:$H$1128,4,FALSE))</f>
        <v>Laurentides</v>
      </c>
      <c r="T4121" s="2" t="s">
        <v>17493</v>
      </c>
      <c r="U4121" s="2" t="s">
        <v>39</v>
      </c>
      <c r="V4121" s="2" t="s">
        <v>40</v>
      </c>
      <c r="W4121" s="2" t="s">
        <v>17494</v>
      </c>
      <c r="X4121" s="2" t="str">
        <f>"4505657458"</f>
        <v>4505657458</v>
      </c>
      <c r="Y4121" s="2" t="str">
        <f>"5145540853"</f>
        <v>5145540853</v>
      </c>
      <c r="Z4121" s="2"/>
      <c r="AA4121" s="2" t="s">
        <v>266</v>
      </c>
      <c r="AB4121" s="2" t="s">
        <v>267</v>
      </c>
      <c r="AC4121" s="4" t="s">
        <v>44</v>
      </c>
    </row>
    <row r="4122" spans="1:29" x14ac:dyDescent="0.25">
      <c r="A4122" s="1">
        <v>2927</v>
      </c>
      <c r="B4122" s="17" t="s">
        <v>17495</v>
      </c>
      <c r="C4122" s="2" t="s">
        <v>17496</v>
      </c>
      <c r="D4122" s="15" t="s">
        <v>1076</v>
      </c>
      <c r="E4122" s="9" t="s">
        <v>7333</v>
      </c>
      <c r="F4122" s="9" t="s">
        <v>839</v>
      </c>
      <c r="G4122" s="9" t="s">
        <v>17497</v>
      </c>
      <c r="H4122" s="2" t="s">
        <v>60</v>
      </c>
      <c r="I4122" s="3">
        <v>37363</v>
      </c>
      <c r="J4122" s="9" t="str">
        <f t="shared" ca="1" si="68"/>
        <v>21 ans</v>
      </c>
      <c r="K4122" s="2" t="s">
        <v>262</v>
      </c>
      <c r="L4122" s="2" t="str">
        <f>"7425"</f>
        <v>7425</v>
      </c>
      <c r="M4122" s="2"/>
      <c r="N4122" s="2" t="str">
        <f t="shared" si="69"/>
        <v>RUE PARENT</v>
      </c>
      <c r="O4122" s="2" t="s">
        <v>17491</v>
      </c>
      <c r="P4122" s="9" t="str">
        <f>VLOOKUP($O4122,'Liste des Villes'!$B$2:$B$1128,1,FALSE)</f>
        <v>Ivry-sur-le-Lac</v>
      </c>
      <c r="Q4122" s="9" t="str">
        <f>IFERROR($P4122,PROPER(VLOOKUP($O4122,'Villes en erreur'!$A$2:$B$72,2,FALSE)))</f>
        <v>Ivry-sur-le-Lac</v>
      </c>
      <c r="R4122" s="9" t="s">
        <v>17492</v>
      </c>
      <c r="S4122" s="9" t="str">
        <f>IF(ISBLANK($R4122),"",VLOOKUP($R4122,'Liste des Villes'!$B$2:$H$1128,4,FALSE))</f>
        <v>Laurentides</v>
      </c>
      <c r="T4122" s="2" t="s">
        <v>17484</v>
      </c>
      <c r="U4122" s="2" t="s">
        <v>39</v>
      </c>
      <c r="V4122" s="2" t="s">
        <v>40</v>
      </c>
      <c r="W4122" s="2" t="s">
        <v>17498</v>
      </c>
      <c r="X4122" s="2" t="str">
        <f>"4505652544"</f>
        <v>4505652544</v>
      </c>
      <c r="Y4122" s="2" t="str">
        <f>"5145572761"</f>
        <v>5145572761</v>
      </c>
      <c r="Z4122" s="2"/>
      <c r="AA4122" s="2" t="s">
        <v>266</v>
      </c>
      <c r="AB4122" s="2" t="s">
        <v>267</v>
      </c>
      <c r="AC4122" s="4" t="s">
        <v>44</v>
      </c>
    </row>
    <row r="4123" spans="1:29" x14ac:dyDescent="0.25">
      <c r="A4123" s="1">
        <v>224</v>
      </c>
      <c r="B4123" s="17" t="s">
        <v>17499</v>
      </c>
      <c r="C4123" s="2" t="s">
        <v>8837</v>
      </c>
      <c r="D4123" s="15" t="s">
        <v>3080</v>
      </c>
      <c r="E4123" s="9" t="s">
        <v>188</v>
      </c>
      <c r="F4123" s="9" t="s">
        <v>3078</v>
      </c>
      <c r="G4123" s="9" t="s">
        <v>15917</v>
      </c>
      <c r="H4123" s="2" t="s">
        <v>35</v>
      </c>
      <c r="I4123" s="3">
        <v>37363</v>
      </c>
      <c r="J4123" s="9" t="str">
        <f t="shared" ca="1" si="68"/>
        <v>21 ans</v>
      </c>
      <c r="K4123" s="2" t="s">
        <v>262</v>
      </c>
      <c r="L4123" s="2" t="str">
        <f>"7482"</f>
        <v>7482</v>
      </c>
      <c r="M4123" s="2"/>
      <c r="N4123" s="2" t="str">
        <f t="shared" si="69"/>
        <v>RUE PARENT</v>
      </c>
      <c r="O4123" s="2" t="s">
        <v>17491</v>
      </c>
      <c r="P4123" s="9" t="str">
        <f>VLOOKUP($O4123,'Liste des Villes'!$B$2:$B$1128,1,FALSE)</f>
        <v>Ivry-sur-le-Lac</v>
      </c>
      <c r="Q4123" s="9" t="str">
        <f>IFERROR($P4123,PROPER(VLOOKUP($O4123,'Villes en erreur'!$A$2:$B$72,2,FALSE)))</f>
        <v>Ivry-sur-le-Lac</v>
      </c>
      <c r="R4123" s="9" t="s">
        <v>17492</v>
      </c>
      <c r="S4123" s="9" t="str">
        <f>IF(ISBLANK($R4123),"",VLOOKUP($R4123,'Liste des Villes'!$B$2:$H$1128,4,FALSE))</f>
        <v>Laurentides</v>
      </c>
      <c r="T4123" s="2" t="s">
        <v>17493</v>
      </c>
      <c r="U4123" s="2" t="s">
        <v>39</v>
      </c>
      <c r="V4123" s="2" t="s">
        <v>40</v>
      </c>
      <c r="W4123" s="2" t="s">
        <v>17500</v>
      </c>
      <c r="X4123" s="2" t="str">
        <f>"4505657351"</f>
        <v>4505657351</v>
      </c>
      <c r="Y4123" s="2" t="str">
        <f>"5145545035"</f>
        <v>5145545035</v>
      </c>
      <c r="Z4123" s="2"/>
      <c r="AA4123" s="2" t="s">
        <v>266</v>
      </c>
      <c r="AB4123" s="2" t="s">
        <v>267</v>
      </c>
      <c r="AC4123" s="4" t="s">
        <v>44</v>
      </c>
    </row>
    <row r="4124" spans="1:29" x14ac:dyDescent="0.25">
      <c r="A4124" s="1">
        <v>3117</v>
      </c>
      <c r="B4124" s="17" t="s">
        <v>17501</v>
      </c>
      <c r="C4124" s="2" t="s">
        <v>17502</v>
      </c>
      <c r="D4124" s="15" t="s">
        <v>10976</v>
      </c>
      <c r="E4124" s="9" t="s">
        <v>12645</v>
      </c>
      <c r="F4124" s="9" t="s">
        <v>10975</v>
      </c>
      <c r="G4124" s="9" t="s">
        <v>14030</v>
      </c>
      <c r="H4124" s="2" t="s">
        <v>60</v>
      </c>
      <c r="I4124" s="3">
        <v>37363</v>
      </c>
      <c r="J4124" s="9" t="str">
        <f t="shared" ca="1" si="68"/>
        <v>21 ans</v>
      </c>
      <c r="K4124" s="2" t="s">
        <v>262</v>
      </c>
      <c r="L4124" s="2" t="str">
        <f>"7478"</f>
        <v>7478</v>
      </c>
      <c r="M4124" s="2"/>
      <c r="N4124" s="2" t="str">
        <f t="shared" si="69"/>
        <v>RUE PARENT</v>
      </c>
      <c r="O4124" s="2" t="s">
        <v>17491</v>
      </c>
      <c r="P4124" s="9" t="str">
        <f>VLOOKUP($O4124,'Liste des Villes'!$B$2:$B$1128,1,FALSE)</f>
        <v>Ivry-sur-le-Lac</v>
      </c>
      <c r="Q4124" s="9" t="str">
        <f>IFERROR($P4124,PROPER(VLOOKUP($O4124,'Villes en erreur'!$A$2:$B$72,2,FALSE)))</f>
        <v>Ivry-sur-le-Lac</v>
      </c>
      <c r="R4124" s="9" t="s">
        <v>17492</v>
      </c>
      <c r="S4124" s="9" t="str">
        <f>IF(ISBLANK($R4124),"",VLOOKUP($R4124,'Liste des Villes'!$B$2:$H$1128,4,FALSE))</f>
        <v>Laurentides</v>
      </c>
      <c r="T4124" s="2" t="s">
        <v>17484</v>
      </c>
      <c r="U4124" s="2" t="s">
        <v>39</v>
      </c>
      <c r="V4124" s="2" t="s">
        <v>40</v>
      </c>
      <c r="W4124" s="2" t="s">
        <v>17503</v>
      </c>
      <c r="X4124" s="2" t="str">
        <f>"4505655076"</f>
        <v>4505655076</v>
      </c>
      <c r="Y4124" s="2" t="str">
        <f>"5145547119"</f>
        <v>5145547119</v>
      </c>
      <c r="Z4124" s="2"/>
      <c r="AA4124" s="2" t="s">
        <v>266</v>
      </c>
      <c r="AB4124" s="2" t="s">
        <v>267</v>
      </c>
      <c r="AC4124" s="4" t="s">
        <v>44</v>
      </c>
    </row>
    <row r="4125" spans="1:29" x14ac:dyDescent="0.25">
      <c r="A4125" s="1">
        <v>3243</v>
      </c>
      <c r="B4125" s="17" t="s">
        <v>17504</v>
      </c>
      <c r="C4125" s="2" t="s">
        <v>3320</v>
      </c>
      <c r="D4125" s="15" t="s">
        <v>1371</v>
      </c>
      <c r="E4125" s="9" t="s">
        <v>1091</v>
      </c>
      <c r="F4125" s="9" t="s">
        <v>1092</v>
      </c>
      <c r="G4125" s="9" t="s">
        <v>17505</v>
      </c>
      <c r="H4125" s="2" t="s">
        <v>60</v>
      </c>
      <c r="I4125" s="3">
        <v>37363</v>
      </c>
      <c r="J4125" s="9" t="str">
        <f t="shared" ca="1" si="68"/>
        <v>21 ans</v>
      </c>
      <c r="K4125" s="2" t="s">
        <v>262</v>
      </c>
      <c r="L4125" s="2" t="str">
        <f>"7560"</f>
        <v>7560</v>
      </c>
      <c r="M4125" s="2"/>
      <c r="N4125" s="2" t="str">
        <f t="shared" si="69"/>
        <v>RUE PARENT</v>
      </c>
      <c r="O4125" s="2" t="s">
        <v>17506</v>
      </c>
      <c r="P4125" s="9" t="str">
        <f>VLOOKUP($O4125,'Liste des Villes'!$B$2:$B$1128,1,FALSE)</f>
        <v>Huberdeau</v>
      </c>
      <c r="Q4125" s="9" t="str">
        <f>IFERROR($P4125,PROPER(VLOOKUP($O4125,'Villes en erreur'!$A$2:$B$72,2,FALSE)))</f>
        <v>Huberdeau</v>
      </c>
      <c r="R4125" s="9" t="s">
        <v>5653</v>
      </c>
      <c r="S4125" s="9" t="str">
        <f>IF(ISBLANK($R4125),"",VLOOKUP($R4125,'Liste des Villes'!$B$2:$H$1128,4,FALSE))</f>
        <v>Laurentides</v>
      </c>
      <c r="T4125" s="2" t="s">
        <v>553</v>
      </c>
      <c r="U4125" s="2" t="s">
        <v>39</v>
      </c>
      <c r="V4125" s="2" t="s">
        <v>40</v>
      </c>
      <c r="W4125" s="2" t="s">
        <v>17507</v>
      </c>
      <c r="X4125" s="2" t="str">
        <f>"4505657639"</f>
        <v>4505657639</v>
      </c>
      <c r="Y4125" s="2" t="str">
        <f>"5145536857"</f>
        <v>5145536857</v>
      </c>
      <c r="Z4125" s="2"/>
      <c r="AA4125" s="2" t="s">
        <v>266</v>
      </c>
      <c r="AB4125" s="2" t="s">
        <v>267</v>
      </c>
      <c r="AC4125" s="4" t="s">
        <v>44</v>
      </c>
    </row>
    <row r="4126" spans="1:29" x14ac:dyDescent="0.25">
      <c r="A4126" s="1">
        <v>17</v>
      </c>
      <c r="B4126" s="17" t="s">
        <v>17508</v>
      </c>
      <c r="C4126" s="2" t="s">
        <v>17509</v>
      </c>
      <c r="D4126" s="15" t="s">
        <v>714</v>
      </c>
      <c r="E4126" s="9" t="s">
        <v>3595</v>
      </c>
      <c r="F4126" s="9" t="s">
        <v>712</v>
      </c>
      <c r="G4126" s="9" t="s">
        <v>12261</v>
      </c>
      <c r="H4126" s="2" t="s">
        <v>35</v>
      </c>
      <c r="I4126" s="3">
        <v>37363</v>
      </c>
      <c r="J4126" s="9" t="str">
        <f t="shared" ca="1" si="68"/>
        <v>21 ans</v>
      </c>
      <c r="K4126" s="2" t="s">
        <v>262</v>
      </c>
      <c r="L4126" s="2" t="str">
        <f>"7525"</f>
        <v>7525</v>
      </c>
      <c r="M4126" s="2"/>
      <c r="N4126" s="2" t="str">
        <f t="shared" si="69"/>
        <v>RUE PARENT</v>
      </c>
      <c r="O4126" s="2" t="s">
        <v>17506</v>
      </c>
      <c r="P4126" s="9" t="str">
        <f>VLOOKUP($O4126,'Liste des Villes'!$B$2:$B$1128,1,FALSE)</f>
        <v>Huberdeau</v>
      </c>
      <c r="Q4126" s="9" t="str">
        <f>IFERROR($P4126,PROPER(VLOOKUP($O4126,'Villes en erreur'!$A$2:$B$72,2,FALSE)))</f>
        <v>Huberdeau</v>
      </c>
      <c r="R4126" s="9" t="s">
        <v>5653</v>
      </c>
      <c r="S4126" s="9" t="str">
        <f>IF(ISBLANK($R4126),"",VLOOKUP($R4126,'Liste des Villes'!$B$2:$H$1128,4,FALSE))</f>
        <v>Laurentides</v>
      </c>
      <c r="T4126" s="2" t="s">
        <v>17510</v>
      </c>
      <c r="U4126" s="2" t="s">
        <v>39</v>
      </c>
      <c r="V4126" s="2" t="s">
        <v>40</v>
      </c>
      <c r="W4126" s="2" t="s">
        <v>17511</v>
      </c>
      <c r="X4126" s="2" t="str">
        <f>"4505657528"</f>
        <v>4505657528</v>
      </c>
      <c r="Y4126" s="2" t="str">
        <f>"5145539633"</f>
        <v>5145539633</v>
      </c>
      <c r="Z4126" s="2"/>
      <c r="AA4126" s="2" t="s">
        <v>266</v>
      </c>
      <c r="AB4126" s="2" t="s">
        <v>267</v>
      </c>
      <c r="AC4126" s="4" t="s">
        <v>44</v>
      </c>
    </row>
    <row r="4127" spans="1:29" x14ac:dyDescent="0.25">
      <c r="A4127" s="1">
        <v>1086</v>
      </c>
      <c r="B4127" s="17" t="s">
        <v>17512</v>
      </c>
      <c r="C4127" s="2" t="s">
        <v>17513</v>
      </c>
      <c r="D4127" s="15" t="s">
        <v>1424</v>
      </c>
      <c r="E4127" s="9" t="s">
        <v>179</v>
      </c>
      <c r="F4127" s="9" t="s">
        <v>10132</v>
      </c>
      <c r="G4127" s="9" t="s">
        <v>8916</v>
      </c>
      <c r="H4127" s="2" t="s">
        <v>60</v>
      </c>
      <c r="I4127" s="3">
        <v>37366</v>
      </c>
      <c r="J4127" s="9" t="str">
        <f t="shared" ca="1" si="68"/>
        <v>21 ans</v>
      </c>
      <c r="K4127" s="2" t="s">
        <v>262</v>
      </c>
      <c r="L4127" s="2" t="str">
        <f>"8032"</f>
        <v>8032</v>
      </c>
      <c r="M4127" s="2"/>
      <c r="N4127" s="2" t="str">
        <f>"RUE PATRICE"</f>
        <v>RUE PATRICE</v>
      </c>
      <c r="O4127" s="2" t="s">
        <v>17514</v>
      </c>
      <c r="P4127" s="9" t="str">
        <f>VLOOKUP($O4127,'Liste des Villes'!$B$2:$B$1128,1,FALSE)</f>
        <v>Grenville-sur-la-Rouge</v>
      </c>
      <c r="Q4127" s="9" t="str">
        <f>IFERROR($P4127,PROPER(VLOOKUP($O4127,'Villes en erreur'!$A$2:$B$72,2,FALSE)))</f>
        <v>Grenville-sur-la-Rouge</v>
      </c>
      <c r="R4127" s="9" t="s">
        <v>17515</v>
      </c>
      <c r="S4127" s="9" t="str">
        <f>IF(ISBLANK($R4127),"",VLOOKUP($R4127,'Liste des Villes'!$B$2:$H$1128,4,FALSE))</f>
        <v>Laurentides</v>
      </c>
      <c r="T4127" s="2" t="s">
        <v>17516</v>
      </c>
      <c r="U4127" s="2" t="s">
        <v>39</v>
      </c>
      <c r="V4127" s="2" t="s">
        <v>40</v>
      </c>
      <c r="W4127" s="2" t="s">
        <v>17517</v>
      </c>
      <c r="X4127" s="2" t="str">
        <f>"4505853485"</f>
        <v>4505853485</v>
      </c>
      <c r="Y4127" s="2" t="str">
        <f>"5144958749"</f>
        <v>5144958749</v>
      </c>
      <c r="Z4127" s="2"/>
      <c r="AA4127" s="2" t="s">
        <v>266</v>
      </c>
      <c r="AB4127" s="2" t="s">
        <v>267</v>
      </c>
      <c r="AC4127" s="4" t="s">
        <v>44</v>
      </c>
    </row>
    <row r="4128" spans="1:29" x14ac:dyDescent="0.25">
      <c r="A4128" s="1">
        <v>4128</v>
      </c>
      <c r="B4128" s="17" t="s">
        <v>17518</v>
      </c>
      <c r="C4128" s="2" t="s">
        <v>17519</v>
      </c>
      <c r="D4128" s="15" t="s">
        <v>15647</v>
      </c>
      <c r="E4128" s="9" t="s">
        <v>3397</v>
      </c>
      <c r="F4128" s="9" t="s">
        <v>1169</v>
      </c>
      <c r="G4128" s="9" t="s">
        <v>8916</v>
      </c>
      <c r="H4128" s="2" t="s">
        <v>60</v>
      </c>
      <c r="I4128" s="3">
        <v>37366</v>
      </c>
      <c r="J4128" s="9" t="str">
        <f t="shared" ca="1" si="68"/>
        <v>21 ans</v>
      </c>
      <c r="K4128" s="2" t="s">
        <v>262</v>
      </c>
      <c r="L4128" s="2" t="str">
        <f>"8030"</f>
        <v>8030</v>
      </c>
      <c r="M4128" s="2"/>
      <c r="N4128" s="2" t="str">
        <f>"RUE PATRICE"</f>
        <v>RUE PATRICE</v>
      </c>
      <c r="O4128" s="2" t="s">
        <v>17514</v>
      </c>
      <c r="P4128" s="9" t="str">
        <f>VLOOKUP($O4128,'Liste des Villes'!$B$2:$B$1128,1,FALSE)</f>
        <v>Grenville-sur-la-Rouge</v>
      </c>
      <c r="Q4128" s="9" t="str">
        <f>IFERROR($P4128,PROPER(VLOOKUP($O4128,'Villes en erreur'!$A$2:$B$72,2,FALSE)))</f>
        <v>Grenville-sur-la-Rouge</v>
      </c>
      <c r="R4128" s="9" t="s">
        <v>17515</v>
      </c>
      <c r="S4128" s="9" t="str">
        <f>IF(ISBLANK($R4128),"",VLOOKUP($R4128,'Liste des Villes'!$B$2:$H$1128,4,FALSE))</f>
        <v>Laurentides</v>
      </c>
      <c r="T4128" s="2" t="s">
        <v>17520</v>
      </c>
      <c r="U4128" s="2" t="s">
        <v>39</v>
      </c>
      <c r="V4128" s="2" t="s">
        <v>40</v>
      </c>
      <c r="W4128" s="2" t="s">
        <v>17521</v>
      </c>
      <c r="X4128" s="2" t="str">
        <f>"4505699867"</f>
        <v>4505699867</v>
      </c>
      <c r="Y4128" s="2" t="str">
        <f>"5144977804"</f>
        <v>5144977804</v>
      </c>
      <c r="Z4128" s="2"/>
      <c r="AA4128" s="2" t="s">
        <v>266</v>
      </c>
      <c r="AB4128" s="2" t="s">
        <v>267</v>
      </c>
      <c r="AC4128" s="4" t="s">
        <v>44</v>
      </c>
    </row>
    <row r="4129" spans="1:29" x14ac:dyDescent="0.25">
      <c r="A4129" s="1">
        <v>1994</v>
      </c>
      <c r="B4129" s="17" t="s">
        <v>17522</v>
      </c>
      <c r="C4129" s="2" t="s">
        <v>17523</v>
      </c>
      <c r="D4129" s="15" t="s">
        <v>6152</v>
      </c>
      <c r="E4129" s="9" t="s">
        <v>179</v>
      </c>
      <c r="F4129" s="9" t="s">
        <v>1024</v>
      </c>
      <c r="G4129" s="9" t="s">
        <v>8916</v>
      </c>
      <c r="H4129" s="2" t="s">
        <v>60</v>
      </c>
      <c r="I4129" s="3">
        <v>37365</v>
      </c>
      <c r="J4129" s="9" t="str">
        <f t="shared" ca="1" si="68"/>
        <v>21 ans</v>
      </c>
      <c r="K4129" s="2" t="s">
        <v>262</v>
      </c>
      <c r="L4129" s="2" t="str">
        <f>"7615"</f>
        <v>7615</v>
      </c>
      <c r="M4129" s="2"/>
      <c r="N4129" s="2" t="str">
        <f>"RUE PATENAUDE"</f>
        <v>RUE PATENAUDE</v>
      </c>
      <c r="O4129" s="2" t="s">
        <v>17514</v>
      </c>
      <c r="P4129" s="9" t="str">
        <f>VLOOKUP($O4129,'Liste des Villes'!$B$2:$B$1128,1,FALSE)</f>
        <v>Grenville-sur-la-Rouge</v>
      </c>
      <c r="Q4129" s="9" t="str">
        <f>IFERROR($P4129,PROPER(VLOOKUP($O4129,'Villes en erreur'!$A$2:$B$72,2,FALSE)))</f>
        <v>Grenville-sur-la-Rouge</v>
      </c>
      <c r="R4129" s="9" t="s">
        <v>17515</v>
      </c>
      <c r="S4129" s="9" t="str">
        <f>IF(ISBLANK($R4129),"",VLOOKUP($R4129,'Liste des Villes'!$B$2:$H$1128,4,FALSE))</f>
        <v>Laurentides</v>
      </c>
      <c r="T4129" s="2" t="s">
        <v>1345</v>
      </c>
      <c r="U4129" s="2" t="s">
        <v>39</v>
      </c>
      <c r="V4129" s="2" t="s">
        <v>40</v>
      </c>
      <c r="W4129" s="2" t="s">
        <v>17524</v>
      </c>
      <c r="X4129" s="2" t="str">
        <f>"4505697145"</f>
        <v>4505697145</v>
      </c>
      <c r="Y4129" s="2" t="str">
        <f>"5145010559"</f>
        <v>5145010559</v>
      </c>
      <c r="Z4129" s="2"/>
      <c r="AA4129" s="2" t="s">
        <v>266</v>
      </c>
      <c r="AB4129" s="2" t="s">
        <v>267</v>
      </c>
      <c r="AC4129" s="4" t="s">
        <v>44</v>
      </c>
    </row>
    <row r="4130" spans="1:29" x14ac:dyDescent="0.25">
      <c r="A4130" s="1">
        <v>81</v>
      </c>
      <c r="B4130" s="17" t="s">
        <v>17525</v>
      </c>
      <c r="C4130" s="2" t="s">
        <v>994</v>
      </c>
      <c r="D4130" s="15" t="s">
        <v>995</v>
      </c>
      <c r="E4130" s="9" t="s">
        <v>996</v>
      </c>
      <c r="F4130" s="9" t="s">
        <v>9794</v>
      </c>
      <c r="G4130" s="9" t="s">
        <v>9068</v>
      </c>
      <c r="H4130" s="2" t="s">
        <v>60</v>
      </c>
      <c r="I4130" s="3">
        <v>37367</v>
      </c>
      <c r="J4130" s="9" t="str">
        <f t="shared" ca="1" si="68"/>
        <v>21 ans</v>
      </c>
      <c r="K4130" s="2" t="s">
        <v>262</v>
      </c>
      <c r="L4130" s="2" t="str">
        <f>"8041"</f>
        <v>8041</v>
      </c>
      <c r="M4130" s="2"/>
      <c r="N4130" s="2" t="str">
        <f>"RUE PATRICE"</f>
        <v>RUE PATRICE</v>
      </c>
      <c r="O4130" s="2" t="s">
        <v>17514</v>
      </c>
      <c r="P4130" s="9" t="str">
        <f>VLOOKUP($O4130,'Liste des Villes'!$B$2:$B$1128,1,FALSE)</f>
        <v>Grenville-sur-la-Rouge</v>
      </c>
      <c r="Q4130" s="9" t="str">
        <f>IFERROR($P4130,PROPER(VLOOKUP($O4130,'Villes en erreur'!$A$2:$B$72,2,FALSE)))</f>
        <v>Grenville-sur-la-Rouge</v>
      </c>
      <c r="R4130" s="9" t="s">
        <v>17515</v>
      </c>
      <c r="S4130" s="9" t="str">
        <f>IF(ISBLANK($R4130),"",VLOOKUP($R4130,'Liste des Villes'!$B$2:$H$1128,4,FALSE))</f>
        <v>Laurentides</v>
      </c>
      <c r="T4130" s="2" t="s">
        <v>17516</v>
      </c>
      <c r="U4130" s="2" t="s">
        <v>39</v>
      </c>
      <c r="V4130" s="2" t="s">
        <v>40</v>
      </c>
      <c r="W4130" s="2" t="s">
        <v>17526</v>
      </c>
      <c r="X4130" s="2" t="str">
        <f>"4505924522"</f>
        <v>4505924522</v>
      </c>
      <c r="Y4130" s="2" t="str">
        <f>"5144758808"</f>
        <v>5144758808</v>
      </c>
      <c r="Z4130" s="2"/>
      <c r="AA4130" s="2" t="s">
        <v>266</v>
      </c>
      <c r="AB4130" s="2" t="s">
        <v>267</v>
      </c>
      <c r="AC4130" s="4" t="s">
        <v>44</v>
      </c>
    </row>
    <row r="4131" spans="1:29" x14ac:dyDescent="0.25">
      <c r="A4131" s="1">
        <v>3647</v>
      </c>
      <c r="B4131" s="17" t="s">
        <v>17527</v>
      </c>
      <c r="C4131" s="2" t="s">
        <v>17528</v>
      </c>
      <c r="D4131" s="15" t="s">
        <v>3195</v>
      </c>
      <c r="E4131" s="9" t="s">
        <v>219</v>
      </c>
      <c r="F4131" s="9" t="s">
        <v>3193</v>
      </c>
      <c r="G4131" s="9" t="s">
        <v>2205</v>
      </c>
      <c r="H4131" s="2" t="s">
        <v>60</v>
      </c>
      <c r="I4131" s="3">
        <v>37368</v>
      </c>
      <c r="J4131" s="9" t="str">
        <f t="shared" ca="1" si="68"/>
        <v>21 ans</v>
      </c>
      <c r="K4131" s="2" t="s">
        <v>262</v>
      </c>
      <c r="L4131" s="2" t="str">
        <f>"8065"</f>
        <v>8065</v>
      </c>
      <c r="M4131" s="2"/>
      <c r="N4131" s="2" t="str">
        <f>"RUE PATRICK"</f>
        <v>RUE PATRICK</v>
      </c>
      <c r="O4131" s="2" t="s">
        <v>17514</v>
      </c>
      <c r="P4131" s="9" t="str">
        <f>VLOOKUP($O4131,'Liste des Villes'!$B$2:$B$1128,1,FALSE)</f>
        <v>Grenville-sur-la-Rouge</v>
      </c>
      <c r="Q4131" s="9" t="str">
        <f>IFERROR($P4131,PROPER(VLOOKUP($O4131,'Villes en erreur'!$A$2:$B$72,2,FALSE)))</f>
        <v>Grenville-sur-la-Rouge</v>
      </c>
      <c r="R4131" s="9" t="s">
        <v>17515</v>
      </c>
      <c r="S4131" s="9" t="str">
        <f>IF(ISBLANK($R4131),"",VLOOKUP($R4131,'Liste des Villes'!$B$2:$H$1128,4,FALSE))</f>
        <v>Laurentides</v>
      </c>
      <c r="T4131" s="2" t="s">
        <v>17529</v>
      </c>
      <c r="U4131" s="2" t="s">
        <v>39</v>
      </c>
      <c r="V4131" s="2" t="s">
        <v>40</v>
      </c>
      <c r="W4131" s="2" t="s">
        <v>17530</v>
      </c>
      <c r="X4131" s="2" t="str">
        <f>"4505925083"</f>
        <v>4505925083</v>
      </c>
      <c r="Y4131" s="2" t="str">
        <f>"5144754329"</f>
        <v>5144754329</v>
      </c>
      <c r="Z4131" s="2"/>
      <c r="AA4131" s="2" t="s">
        <v>266</v>
      </c>
      <c r="AB4131" s="2" t="s">
        <v>267</v>
      </c>
      <c r="AC4131" s="4" t="s">
        <v>44</v>
      </c>
    </row>
    <row r="4132" spans="1:29" x14ac:dyDescent="0.25">
      <c r="A4132" s="1">
        <v>3300</v>
      </c>
      <c r="B4132" s="17" t="s">
        <v>17531</v>
      </c>
      <c r="C4132" s="2" t="s">
        <v>184</v>
      </c>
      <c r="D4132" s="15" t="s">
        <v>185</v>
      </c>
      <c r="E4132" s="9" t="s">
        <v>186</v>
      </c>
      <c r="F4132" s="9" t="s">
        <v>3996</v>
      </c>
      <c r="G4132" s="9" t="s">
        <v>8916</v>
      </c>
      <c r="H4132" s="2" t="s">
        <v>60</v>
      </c>
      <c r="I4132" s="3">
        <v>37365</v>
      </c>
      <c r="J4132" s="9" t="str">
        <f t="shared" ca="1" si="68"/>
        <v>21 ans</v>
      </c>
      <c r="K4132" s="2" t="s">
        <v>262</v>
      </c>
      <c r="L4132" s="2" t="str">
        <f>"7615"</f>
        <v>7615</v>
      </c>
      <c r="M4132" s="2"/>
      <c r="N4132" s="2" t="str">
        <f>"RUE PASCAL"</f>
        <v>RUE PASCAL</v>
      </c>
      <c r="O4132" s="2" t="s">
        <v>17514</v>
      </c>
      <c r="P4132" s="9" t="str">
        <f>VLOOKUP($O4132,'Liste des Villes'!$B$2:$B$1128,1,FALSE)</f>
        <v>Grenville-sur-la-Rouge</v>
      </c>
      <c r="Q4132" s="9" t="str">
        <f>IFERROR($P4132,PROPER(VLOOKUP($O4132,'Villes en erreur'!$A$2:$B$72,2,FALSE)))</f>
        <v>Grenville-sur-la-Rouge</v>
      </c>
      <c r="R4132" s="9" t="s">
        <v>17515</v>
      </c>
      <c r="S4132" s="9" t="str">
        <f>IF(ISBLANK($R4132),"",VLOOKUP($R4132,'Liste des Villes'!$B$2:$H$1128,4,FALSE))</f>
        <v>Laurentides</v>
      </c>
      <c r="T4132" s="2" t="s">
        <v>1345</v>
      </c>
      <c r="U4132" s="2" t="s">
        <v>39</v>
      </c>
      <c r="V4132" s="2" t="s">
        <v>40</v>
      </c>
      <c r="W4132" s="2" t="s">
        <v>17532</v>
      </c>
      <c r="X4132" s="2" t="str">
        <f>"4505692595"</f>
        <v>4505692595</v>
      </c>
      <c r="Y4132" s="2" t="str">
        <f>"5145016812"</f>
        <v>5145016812</v>
      </c>
      <c r="Z4132" s="2"/>
      <c r="AA4132" s="2" t="s">
        <v>266</v>
      </c>
      <c r="AB4132" s="2" t="s">
        <v>267</v>
      </c>
      <c r="AC4132" s="4" t="s">
        <v>44</v>
      </c>
    </row>
    <row r="4133" spans="1:29" x14ac:dyDescent="0.25">
      <c r="A4133" s="1">
        <v>4344</v>
      </c>
      <c r="B4133" s="17" t="s">
        <v>17533</v>
      </c>
      <c r="C4133" s="2" t="s">
        <v>17534</v>
      </c>
      <c r="D4133" s="15" t="s">
        <v>17012</v>
      </c>
      <c r="E4133" s="9" t="s">
        <v>16077</v>
      </c>
      <c r="F4133" s="9" t="s">
        <v>7347</v>
      </c>
      <c r="G4133" s="9" t="s">
        <v>2205</v>
      </c>
      <c r="H4133" s="2" t="s">
        <v>60</v>
      </c>
      <c r="I4133" s="3">
        <v>37368</v>
      </c>
      <c r="J4133" s="9" t="str">
        <f t="shared" ca="1" si="68"/>
        <v>21 ans</v>
      </c>
      <c r="K4133" s="2" t="s">
        <v>262</v>
      </c>
      <c r="L4133" s="2" t="str">
        <f>"8105"</f>
        <v>8105</v>
      </c>
      <c r="M4133" s="2"/>
      <c r="N4133" s="2" t="str">
        <f>"RUE PATRICK"</f>
        <v>RUE PATRICK</v>
      </c>
      <c r="O4133" s="2" t="s">
        <v>17535</v>
      </c>
      <c r="P4133" s="9" t="str">
        <f>VLOOKUP($O4133,'Liste des Villes'!$B$2:$B$1128,1,FALSE)</f>
        <v>Grenville</v>
      </c>
      <c r="Q4133" s="9" t="str">
        <f>IFERROR($P4133,PROPER(VLOOKUP($O4133,'Villes en erreur'!$A$2:$B$72,2,FALSE)))</f>
        <v>Grenville</v>
      </c>
      <c r="R4133" s="9" t="s">
        <v>17536</v>
      </c>
      <c r="S4133" s="9" t="str">
        <f>IF(ISBLANK($R4133),"",VLOOKUP($R4133,'Liste des Villes'!$B$2:$H$1128,4,FALSE))</f>
        <v>Laurentides</v>
      </c>
      <c r="T4133" s="2" t="s">
        <v>17529</v>
      </c>
      <c r="U4133" s="2" t="s">
        <v>39</v>
      </c>
      <c r="V4133" s="2" t="s">
        <v>40</v>
      </c>
      <c r="W4133" s="2" t="s">
        <v>17537</v>
      </c>
      <c r="X4133" s="2" t="str">
        <f>"4505970627"</f>
        <v>4505970627</v>
      </c>
      <c r="Y4133" s="2" t="str">
        <f>"5144753532"</f>
        <v>5144753532</v>
      </c>
      <c r="Z4133" s="2"/>
      <c r="AA4133" s="2" t="s">
        <v>266</v>
      </c>
      <c r="AB4133" s="2" t="s">
        <v>267</v>
      </c>
      <c r="AC4133" s="4" t="s">
        <v>44</v>
      </c>
    </row>
    <row r="4134" spans="1:29" x14ac:dyDescent="0.25">
      <c r="A4134" s="1">
        <v>1023</v>
      </c>
      <c r="B4134" s="17" t="s">
        <v>17538</v>
      </c>
      <c r="C4134" s="2" t="s">
        <v>17539</v>
      </c>
      <c r="D4134" s="15" t="s">
        <v>1219</v>
      </c>
      <c r="E4134" s="9" t="s">
        <v>6406</v>
      </c>
      <c r="F4134" s="9" t="s">
        <v>2204</v>
      </c>
      <c r="G4134" s="9" t="s">
        <v>737</v>
      </c>
      <c r="H4134" s="2" t="s">
        <v>60</v>
      </c>
      <c r="I4134" s="3">
        <v>37368</v>
      </c>
      <c r="J4134" s="9" t="str">
        <f t="shared" ca="1" si="68"/>
        <v>21 ans</v>
      </c>
      <c r="K4134" s="2" t="s">
        <v>262</v>
      </c>
      <c r="L4134" s="2" t="str">
        <f>"8120"</f>
        <v>8120</v>
      </c>
      <c r="M4134" s="2"/>
      <c r="N4134" s="2" t="str">
        <f>"RUE PAUL ÉMILE BORDUAS"</f>
        <v>RUE PAUL ÉMILE BORDUAS</v>
      </c>
      <c r="O4134" s="2" t="s">
        <v>17535</v>
      </c>
      <c r="P4134" s="9" t="str">
        <f>VLOOKUP($O4134,'Liste des Villes'!$B$2:$B$1128,1,FALSE)</f>
        <v>Grenville</v>
      </c>
      <c r="Q4134" s="9" t="str">
        <f>IFERROR($P4134,PROPER(VLOOKUP($O4134,'Villes en erreur'!$A$2:$B$72,2,FALSE)))</f>
        <v>Grenville</v>
      </c>
      <c r="R4134" s="9" t="s">
        <v>17536</v>
      </c>
      <c r="S4134" s="9" t="str">
        <f>IF(ISBLANK($R4134),"",VLOOKUP($R4134,'Liste des Villes'!$B$2:$H$1128,4,FALSE))</f>
        <v>Laurentides</v>
      </c>
      <c r="T4134" s="2" t="s">
        <v>17540</v>
      </c>
      <c r="U4134" s="2" t="s">
        <v>39</v>
      </c>
      <c r="V4134" s="2" t="s">
        <v>40</v>
      </c>
      <c r="W4134" s="2" t="s">
        <v>17541</v>
      </c>
      <c r="X4134" s="2" t="str">
        <f>"4506021567"</f>
        <v>4506021567</v>
      </c>
      <c r="Y4134" s="2" t="str">
        <f>"5144650711"</f>
        <v>5144650711</v>
      </c>
      <c r="Z4134" s="2"/>
      <c r="AA4134" s="2" t="s">
        <v>266</v>
      </c>
      <c r="AB4134" s="2" t="s">
        <v>267</v>
      </c>
      <c r="AC4134" s="4" t="s">
        <v>44</v>
      </c>
    </row>
    <row r="4135" spans="1:29" x14ac:dyDescent="0.25">
      <c r="A4135" s="1">
        <v>4342</v>
      </c>
      <c r="B4135" s="17" t="s">
        <v>17542</v>
      </c>
      <c r="C4135" s="2" t="s">
        <v>2612</v>
      </c>
      <c r="D4135" s="15" t="s">
        <v>2613</v>
      </c>
      <c r="E4135" s="9" t="s">
        <v>2614</v>
      </c>
      <c r="F4135" s="9" t="s">
        <v>9582</v>
      </c>
      <c r="G4135" s="9" t="s">
        <v>737</v>
      </c>
      <c r="H4135" s="2" t="s">
        <v>60</v>
      </c>
      <c r="I4135" s="3">
        <v>37368</v>
      </c>
      <c r="J4135" s="9" t="str">
        <f t="shared" ca="1" si="68"/>
        <v>21 ans</v>
      </c>
      <c r="K4135" s="2" t="s">
        <v>262</v>
      </c>
      <c r="L4135" s="2" t="str">
        <f>"8105"</f>
        <v>8105</v>
      </c>
      <c r="M4135" s="2"/>
      <c r="N4135" s="2" t="str">
        <f>"RUE PAUL"</f>
        <v>RUE PAUL</v>
      </c>
      <c r="O4135" s="2" t="s">
        <v>17535</v>
      </c>
      <c r="P4135" s="9" t="str">
        <f>VLOOKUP($O4135,'Liste des Villes'!$B$2:$B$1128,1,FALSE)</f>
        <v>Grenville</v>
      </c>
      <c r="Q4135" s="9" t="str">
        <f>IFERROR($P4135,PROPER(VLOOKUP($O4135,'Villes en erreur'!$A$2:$B$72,2,FALSE)))</f>
        <v>Grenville</v>
      </c>
      <c r="R4135" s="9" t="s">
        <v>17536</v>
      </c>
      <c r="S4135" s="9" t="str">
        <f>IF(ISBLANK($R4135),"",VLOOKUP($R4135,'Liste des Villes'!$B$2:$H$1128,4,FALSE))</f>
        <v>Laurentides</v>
      </c>
      <c r="T4135" s="2" t="s">
        <v>17529</v>
      </c>
      <c r="U4135" s="2" t="s">
        <v>39</v>
      </c>
      <c r="V4135" s="2" t="s">
        <v>40</v>
      </c>
      <c r="W4135" s="2" t="s">
        <v>17543</v>
      </c>
      <c r="X4135" s="2" t="str">
        <f>"4505984981"</f>
        <v>4505984981</v>
      </c>
      <c r="Y4135" s="2" t="str">
        <f>"5144667500"</f>
        <v>5144667500</v>
      </c>
      <c r="Z4135" s="2"/>
      <c r="AA4135" s="2" t="s">
        <v>266</v>
      </c>
      <c r="AB4135" s="2" t="s">
        <v>267</v>
      </c>
      <c r="AC4135" s="4" t="s">
        <v>44</v>
      </c>
    </row>
    <row r="4136" spans="1:29" x14ac:dyDescent="0.25">
      <c r="A4136" s="1">
        <v>2265</v>
      </c>
      <c r="B4136" s="17" t="s">
        <v>17544</v>
      </c>
      <c r="C4136" s="2" t="s">
        <v>2542</v>
      </c>
      <c r="D4136" s="15" t="s">
        <v>34</v>
      </c>
      <c r="E4136" s="9" t="s">
        <v>341</v>
      </c>
      <c r="F4136" s="9" t="s">
        <v>395</v>
      </c>
      <c r="G4136" s="9" t="s">
        <v>737</v>
      </c>
      <c r="H4136" s="2" t="s">
        <v>60</v>
      </c>
      <c r="I4136" s="3">
        <v>37368</v>
      </c>
      <c r="J4136" s="9" t="str">
        <f t="shared" ca="1" si="68"/>
        <v>21 ans</v>
      </c>
      <c r="K4136" s="2" t="s">
        <v>262</v>
      </c>
      <c r="L4136" s="2" t="str">
        <f>"8180"</f>
        <v>8180</v>
      </c>
      <c r="M4136" s="2"/>
      <c r="N4136" s="2" t="str">
        <f>"RUE PAUL LIMOGES"</f>
        <v>RUE PAUL LIMOGES</v>
      </c>
      <c r="O4136" s="2" t="s">
        <v>17545</v>
      </c>
      <c r="P4136" s="9" t="str">
        <f>VLOOKUP($O4136,'Liste des Villes'!$B$2:$B$1128,1,FALSE)</f>
        <v>Granby</v>
      </c>
      <c r="Q4136" s="9" t="str">
        <f>IFERROR($P4136,PROPER(VLOOKUP($O4136,'Villes en erreur'!$A$2:$B$72,2,FALSE)))</f>
        <v>Granby</v>
      </c>
      <c r="R4136" s="9" t="s">
        <v>17546</v>
      </c>
      <c r="S4136" s="9" t="str">
        <f>IF(ISBLANK($R4136),"",VLOOKUP($R4136,'Liste des Villes'!$B$2:$H$1128,4,FALSE))</f>
        <v>Montérégie</v>
      </c>
      <c r="T4136" s="2" t="s">
        <v>17547</v>
      </c>
      <c r="U4136" s="2" t="s">
        <v>39</v>
      </c>
      <c r="V4136" s="2" t="s">
        <v>40</v>
      </c>
      <c r="W4136" s="2" t="s">
        <v>17548</v>
      </c>
      <c r="X4136" s="2" t="str">
        <f>"4506022741"</f>
        <v>4506022741</v>
      </c>
      <c r="Y4136" s="2" t="str">
        <f>"5144625600"</f>
        <v>5144625600</v>
      </c>
      <c r="Z4136" s="2"/>
      <c r="AA4136" s="2" t="s">
        <v>266</v>
      </c>
      <c r="AB4136" s="2" t="s">
        <v>267</v>
      </c>
      <c r="AC4136" s="4" t="s">
        <v>44</v>
      </c>
    </row>
    <row r="4137" spans="1:29" x14ac:dyDescent="0.25">
      <c r="A4137" s="1">
        <v>4162</v>
      </c>
      <c r="B4137" s="17" t="s">
        <v>17549</v>
      </c>
      <c r="C4137" s="2" t="s">
        <v>17550</v>
      </c>
      <c r="D4137" s="15" t="s">
        <v>13568</v>
      </c>
      <c r="E4137" s="9" t="s">
        <v>1377</v>
      </c>
      <c r="F4137" s="9" t="s">
        <v>3468</v>
      </c>
      <c r="G4137" s="9" t="s">
        <v>737</v>
      </c>
      <c r="H4137" s="2" t="s">
        <v>60</v>
      </c>
      <c r="I4137" s="3">
        <v>37369</v>
      </c>
      <c r="J4137" s="9" t="str">
        <f t="shared" ca="1" si="68"/>
        <v>21 ans</v>
      </c>
      <c r="K4137" s="2" t="s">
        <v>262</v>
      </c>
      <c r="L4137" s="2" t="str">
        <f>"8207"</f>
        <v>8207</v>
      </c>
      <c r="M4137" s="2"/>
      <c r="N4137" s="2" t="str">
        <f>"RUE PAUL MAINGUY"</f>
        <v>RUE PAUL MAINGUY</v>
      </c>
      <c r="O4137" s="2" t="s">
        <v>17545</v>
      </c>
      <c r="P4137" s="9" t="str">
        <f>VLOOKUP($O4137,'Liste des Villes'!$B$2:$B$1128,1,FALSE)</f>
        <v>Granby</v>
      </c>
      <c r="Q4137" s="9" t="str">
        <f>IFERROR($P4137,PROPER(VLOOKUP($O4137,'Villes en erreur'!$A$2:$B$72,2,FALSE)))</f>
        <v>Granby</v>
      </c>
      <c r="R4137" s="9" t="s">
        <v>17546</v>
      </c>
      <c r="S4137" s="9" t="str">
        <f>IF(ISBLANK($R4137),"",VLOOKUP($R4137,'Liste des Villes'!$B$2:$H$1128,4,FALSE))</f>
        <v>Montérégie</v>
      </c>
      <c r="T4137" s="2" t="s">
        <v>17547</v>
      </c>
      <c r="U4137" s="2" t="s">
        <v>39</v>
      </c>
      <c r="V4137" s="2" t="s">
        <v>40</v>
      </c>
      <c r="W4137" s="2" t="s">
        <v>17551</v>
      </c>
      <c r="X4137" s="2" t="str">
        <f>"4506024117"</f>
        <v>4506024117</v>
      </c>
      <c r="Y4137" s="2" t="str">
        <f>"5144585666"</f>
        <v>5144585666</v>
      </c>
      <c r="Z4137" s="2"/>
      <c r="AA4137" s="2" t="s">
        <v>266</v>
      </c>
      <c r="AB4137" s="2" t="s">
        <v>267</v>
      </c>
      <c r="AC4137" s="4" t="s">
        <v>44</v>
      </c>
    </row>
    <row r="4138" spans="1:29" x14ac:dyDescent="0.25">
      <c r="A4138" s="1">
        <v>1457</v>
      </c>
      <c r="B4138" s="17" t="s">
        <v>17552</v>
      </c>
      <c r="C4138" s="2" t="s">
        <v>17553</v>
      </c>
      <c r="D4138" s="15" t="s">
        <v>5757</v>
      </c>
      <c r="E4138" s="9" t="s">
        <v>1538</v>
      </c>
      <c r="F4138" s="9" t="s">
        <v>260</v>
      </c>
      <c r="G4138" s="9" t="s">
        <v>737</v>
      </c>
      <c r="H4138" s="2" t="s">
        <v>60</v>
      </c>
      <c r="I4138" s="3">
        <v>37370</v>
      </c>
      <c r="J4138" s="9" t="str">
        <f t="shared" ca="1" si="68"/>
        <v>21 ans</v>
      </c>
      <c r="K4138" s="2" t="s">
        <v>262</v>
      </c>
      <c r="L4138" s="2" t="str">
        <f>"8435"</f>
        <v>8435</v>
      </c>
      <c r="M4138" s="2"/>
      <c r="N4138" s="2" t="str">
        <f>"RUE PAUL-ÉMILE-BORDUAS"</f>
        <v>RUE PAUL-ÉMILE-BORDUAS</v>
      </c>
      <c r="O4138" s="2" t="s">
        <v>17554</v>
      </c>
      <c r="P4138" s="9" t="str">
        <f>VLOOKUP($O4138,'Liste des Villes'!$B$2:$B$1128,1,FALSE)</f>
        <v>Gore</v>
      </c>
      <c r="Q4138" s="9" t="str">
        <f>IFERROR($P4138,PROPER(VLOOKUP($O4138,'Villes en erreur'!$A$2:$B$72,2,FALSE)))</f>
        <v>Gore</v>
      </c>
      <c r="R4138" s="9" t="s">
        <v>17555</v>
      </c>
      <c r="S4138" s="9" t="str">
        <f>IF(ISBLANK($R4138),"",VLOOKUP($R4138,'Liste des Villes'!$B$2:$H$1128,4,FALSE))</f>
        <v>Laurentides</v>
      </c>
      <c r="T4138" s="2" t="s">
        <v>17556</v>
      </c>
      <c r="U4138" s="2" t="s">
        <v>39</v>
      </c>
      <c r="V4138" s="2" t="s">
        <v>40</v>
      </c>
      <c r="W4138" s="2" t="s">
        <v>17557</v>
      </c>
      <c r="X4138" s="2" t="str">
        <f>"4506027936"</f>
        <v>4506027936</v>
      </c>
      <c r="Y4138" s="2" t="str">
        <f>"5144426008"</f>
        <v>5144426008</v>
      </c>
      <c r="Z4138" s="2"/>
      <c r="AA4138" s="2" t="s">
        <v>266</v>
      </c>
      <c r="AB4138" s="2" t="s">
        <v>267</v>
      </c>
      <c r="AC4138" s="4" t="s">
        <v>44</v>
      </c>
    </row>
    <row r="4139" spans="1:29" x14ac:dyDescent="0.25">
      <c r="A4139" s="1">
        <v>4558</v>
      </c>
      <c r="B4139" s="17" t="s">
        <v>17558</v>
      </c>
      <c r="C4139" s="2" t="s">
        <v>4701</v>
      </c>
      <c r="D4139" s="15" t="s">
        <v>363</v>
      </c>
      <c r="E4139" s="9" t="s">
        <v>3695</v>
      </c>
      <c r="F4139" s="9" t="s">
        <v>2415</v>
      </c>
      <c r="G4139" s="9" t="s">
        <v>737</v>
      </c>
      <c r="H4139" s="2" t="s">
        <v>60</v>
      </c>
      <c r="I4139" s="3">
        <v>37370</v>
      </c>
      <c r="J4139" s="9" t="str">
        <f t="shared" ca="1" si="68"/>
        <v>21 ans</v>
      </c>
      <c r="K4139" s="2" t="s">
        <v>262</v>
      </c>
      <c r="L4139" s="2" t="str">
        <f>"8478"</f>
        <v>8478</v>
      </c>
      <c r="M4139" s="2"/>
      <c r="N4139" s="2" t="str">
        <f>"RUE PAUL-MAINGUY"</f>
        <v>RUE PAUL-MAINGUY</v>
      </c>
      <c r="O4139" s="2" t="s">
        <v>17554</v>
      </c>
      <c r="P4139" s="9" t="str">
        <f>VLOOKUP($O4139,'Liste des Villes'!$B$2:$B$1128,1,FALSE)</f>
        <v>Gore</v>
      </c>
      <c r="Q4139" s="9" t="str">
        <f>IFERROR($P4139,PROPER(VLOOKUP($O4139,'Villes en erreur'!$A$2:$B$72,2,FALSE)))</f>
        <v>Gore</v>
      </c>
      <c r="R4139" s="9" t="s">
        <v>17555</v>
      </c>
      <c r="S4139" s="9" t="str">
        <f>IF(ISBLANK($R4139),"",VLOOKUP($R4139,'Liste des Villes'!$B$2:$H$1128,4,FALSE))</f>
        <v>Laurentides</v>
      </c>
      <c r="T4139" s="2" t="s">
        <v>17559</v>
      </c>
      <c r="U4139" s="2" t="s">
        <v>39</v>
      </c>
      <c r="V4139" s="2" t="s">
        <v>40</v>
      </c>
      <c r="W4139" s="2" t="s">
        <v>17560</v>
      </c>
      <c r="X4139" s="2" t="str">
        <f>"4506028506"</f>
        <v>4506028506</v>
      </c>
      <c r="Y4139" s="2" t="str">
        <f>"5144328129"</f>
        <v>5144328129</v>
      </c>
      <c r="Z4139" s="2"/>
      <c r="AA4139" s="2" t="s">
        <v>266</v>
      </c>
      <c r="AB4139" s="2" t="s">
        <v>267</v>
      </c>
      <c r="AC4139" s="4" t="s">
        <v>44</v>
      </c>
    </row>
    <row r="4140" spans="1:29" x14ac:dyDescent="0.25">
      <c r="A4140" s="1">
        <v>4447</v>
      </c>
      <c r="B4140" s="17" t="s">
        <v>17561</v>
      </c>
      <c r="C4140" s="2" t="s">
        <v>17562</v>
      </c>
      <c r="D4140" s="15" t="s">
        <v>11447</v>
      </c>
      <c r="E4140" s="9" t="s">
        <v>1660</v>
      </c>
      <c r="F4140" s="9" t="s">
        <v>11446</v>
      </c>
      <c r="G4140" s="9" t="s">
        <v>737</v>
      </c>
      <c r="H4140" s="2" t="s">
        <v>60</v>
      </c>
      <c r="I4140" s="3">
        <v>37370</v>
      </c>
      <c r="J4140" s="9" t="str">
        <f t="shared" ca="1" si="68"/>
        <v>21 ans</v>
      </c>
      <c r="K4140" s="2" t="s">
        <v>262</v>
      </c>
      <c r="L4140" s="2" t="str">
        <f>"8450"</f>
        <v>8450</v>
      </c>
      <c r="M4140" s="2"/>
      <c r="N4140" s="2" t="str">
        <f>"RUE PAUL-LIMOGES"</f>
        <v>RUE PAUL-LIMOGES</v>
      </c>
      <c r="O4140" s="2" t="s">
        <v>17554</v>
      </c>
      <c r="P4140" s="9" t="str">
        <f>VLOOKUP($O4140,'Liste des Villes'!$B$2:$B$1128,1,FALSE)</f>
        <v>Gore</v>
      </c>
      <c r="Q4140" s="9" t="str">
        <f>IFERROR($P4140,PROPER(VLOOKUP($O4140,'Villes en erreur'!$A$2:$B$72,2,FALSE)))</f>
        <v>Gore</v>
      </c>
      <c r="R4140" s="9" t="s">
        <v>17555</v>
      </c>
      <c r="S4140" s="9" t="str">
        <f>IF(ISBLANK($R4140),"",VLOOKUP($R4140,'Liste des Villes'!$B$2:$H$1128,4,FALSE))</f>
        <v>Laurentides</v>
      </c>
      <c r="T4140" s="2" t="s">
        <v>17556</v>
      </c>
      <c r="U4140" s="2" t="s">
        <v>39</v>
      </c>
      <c r="V4140" s="2" t="s">
        <v>40</v>
      </c>
      <c r="W4140" s="2" t="s">
        <v>17563</v>
      </c>
      <c r="X4140" s="2" t="str">
        <f>"4506028426"</f>
        <v>4506028426</v>
      </c>
      <c r="Y4140" s="2" t="str">
        <f>"5144361159"</f>
        <v>5144361159</v>
      </c>
      <c r="Z4140" s="2"/>
      <c r="AA4140" s="2" t="s">
        <v>266</v>
      </c>
      <c r="AB4140" s="2" t="s">
        <v>267</v>
      </c>
      <c r="AC4140" s="4" t="s">
        <v>44</v>
      </c>
    </row>
    <row r="4141" spans="1:29" x14ac:dyDescent="0.25">
      <c r="A4141" s="1">
        <v>382</v>
      </c>
      <c r="B4141" s="17" t="s">
        <v>17564</v>
      </c>
      <c r="C4141" s="2" t="s">
        <v>6230</v>
      </c>
      <c r="D4141" s="15" t="s">
        <v>1913</v>
      </c>
      <c r="E4141" s="9" t="s">
        <v>622</v>
      </c>
      <c r="F4141" s="9" t="s">
        <v>17565</v>
      </c>
      <c r="G4141" s="9" t="s">
        <v>737</v>
      </c>
      <c r="H4141" s="2" t="s">
        <v>60</v>
      </c>
      <c r="I4141" s="3">
        <v>37369</v>
      </c>
      <c r="J4141" s="9" t="str">
        <f t="shared" ca="1" si="68"/>
        <v>21 ans</v>
      </c>
      <c r="K4141" s="2" t="s">
        <v>262</v>
      </c>
      <c r="L4141" s="2" t="str">
        <f>"8230"</f>
        <v>8230</v>
      </c>
      <c r="M4141" s="2"/>
      <c r="N4141" s="2" t="str">
        <f>"RUE PAUL VERLAINE"</f>
        <v>RUE PAUL VERLAINE</v>
      </c>
      <c r="O4141" s="2" t="s">
        <v>17554</v>
      </c>
      <c r="P4141" s="9" t="str">
        <f>VLOOKUP($O4141,'Liste des Villes'!$B$2:$B$1128,1,FALSE)</f>
        <v>Gore</v>
      </c>
      <c r="Q4141" s="9" t="str">
        <f>IFERROR($P4141,PROPER(VLOOKUP($O4141,'Villes en erreur'!$A$2:$B$72,2,FALSE)))</f>
        <v>Gore</v>
      </c>
      <c r="R4141" s="9" t="s">
        <v>17555</v>
      </c>
      <c r="S4141" s="9" t="str">
        <f>IF(ISBLANK($R4141),"",VLOOKUP($R4141,'Liste des Villes'!$B$2:$H$1128,4,FALSE))</f>
        <v>Laurentides</v>
      </c>
      <c r="T4141" s="2" t="s">
        <v>17566</v>
      </c>
      <c r="U4141" s="2" t="s">
        <v>39</v>
      </c>
      <c r="V4141" s="2" t="s">
        <v>40</v>
      </c>
      <c r="W4141" s="2" t="s">
        <v>17567</v>
      </c>
      <c r="X4141" s="2" t="str">
        <f>"4506025729"</f>
        <v>4506025729</v>
      </c>
      <c r="Y4141" s="2" t="str">
        <f>"5144521887"</f>
        <v>5144521887</v>
      </c>
      <c r="Z4141" s="2"/>
      <c r="AA4141" s="2" t="s">
        <v>266</v>
      </c>
      <c r="AB4141" s="2" t="s">
        <v>267</v>
      </c>
      <c r="AC4141" s="4" t="s">
        <v>44</v>
      </c>
    </row>
    <row r="4142" spans="1:29" x14ac:dyDescent="0.25">
      <c r="A4142" s="1">
        <v>3121</v>
      </c>
      <c r="B4142" s="17" t="s">
        <v>17568</v>
      </c>
      <c r="C4142" s="2" t="s">
        <v>1370</v>
      </c>
      <c r="D4142" s="15" t="s">
        <v>1092</v>
      </c>
      <c r="E4142" s="9" t="s">
        <v>92</v>
      </c>
      <c r="F4142" s="9" t="s">
        <v>1371</v>
      </c>
      <c r="G4142" s="9" t="s">
        <v>737</v>
      </c>
      <c r="H4142" s="2" t="s">
        <v>60</v>
      </c>
      <c r="I4142" s="3">
        <v>37369</v>
      </c>
      <c r="J4142" s="9" t="str">
        <f t="shared" ca="1" si="68"/>
        <v>21 ans</v>
      </c>
      <c r="K4142" s="2" t="s">
        <v>262</v>
      </c>
      <c r="L4142" s="2" t="str">
        <f>"8225"</f>
        <v>8225</v>
      </c>
      <c r="M4142" s="2"/>
      <c r="N4142" s="2" t="str">
        <f>"RUE PAUL MAINGUY"</f>
        <v>RUE PAUL MAINGUY</v>
      </c>
      <c r="O4142" s="2" t="s">
        <v>17554</v>
      </c>
      <c r="P4142" s="9" t="str">
        <f>VLOOKUP($O4142,'Liste des Villes'!$B$2:$B$1128,1,FALSE)</f>
        <v>Gore</v>
      </c>
      <c r="Q4142" s="9" t="str">
        <f>IFERROR($P4142,PROPER(VLOOKUP($O4142,'Villes en erreur'!$A$2:$B$72,2,FALSE)))</f>
        <v>Gore</v>
      </c>
      <c r="R4142" s="9" t="s">
        <v>17555</v>
      </c>
      <c r="S4142" s="9" t="str">
        <f>IF(ISBLANK($R4142),"",VLOOKUP($R4142,'Liste des Villes'!$B$2:$H$1128,4,FALSE))</f>
        <v>Laurentides</v>
      </c>
      <c r="T4142" s="2" t="s">
        <v>17569</v>
      </c>
      <c r="U4142" s="2" t="s">
        <v>39</v>
      </c>
      <c r="V4142" s="2" t="s">
        <v>40</v>
      </c>
      <c r="W4142" s="2" t="s">
        <v>17570</v>
      </c>
      <c r="X4142" s="2" t="str">
        <f>"4506024436"</f>
        <v>4506024436</v>
      </c>
      <c r="Y4142" s="2" t="str">
        <f>"5144526581"</f>
        <v>5144526581</v>
      </c>
      <c r="Z4142" s="2"/>
      <c r="AA4142" s="2" t="s">
        <v>266</v>
      </c>
      <c r="AB4142" s="2" t="s">
        <v>267</v>
      </c>
      <c r="AC4142" s="4" t="s">
        <v>44</v>
      </c>
    </row>
    <row r="4143" spans="1:29" x14ac:dyDescent="0.25">
      <c r="A4143" s="1">
        <v>4388</v>
      </c>
      <c r="B4143" s="17" t="s">
        <v>17571</v>
      </c>
      <c r="C4143" s="2" t="s">
        <v>17572</v>
      </c>
      <c r="D4143" s="15" t="s">
        <v>86</v>
      </c>
      <c r="E4143" s="9" t="s">
        <v>7720</v>
      </c>
      <c r="F4143" s="9" t="s">
        <v>7317</v>
      </c>
      <c r="G4143" s="9" t="s">
        <v>737</v>
      </c>
      <c r="H4143" s="2" t="s">
        <v>60</v>
      </c>
      <c r="I4143" s="3">
        <v>37369</v>
      </c>
      <c r="J4143" s="9" t="str">
        <f t="shared" ca="1" si="68"/>
        <v>21 ans</v>
      </c>
      <c r="K4143" s="2" t="s">
        <v>262</v>
      </c>
      <c r="L4143" s="2" t="str">
        <f>"8295"</f>
        <v>8295</v>
      </c>
      <c r="M4143" s="2"/>
      <c r="N4143" s="2" t="str">
        <f>"RUE PAUL-ÉMILE-BORDUAS"</f>
        <v>RUE PAUL-ÉMILE-BORDUAS</v>
      </c>
      <c r="O4143" s="2" t="s">
        <v>17554</v>
      </c>
      <c r="P4143" s="9" t="str">
        <f>VLOOKUP($O4143,'Liste des Villes'!$B$2:$B$1128,1,FALSE)</f>
        <v>Gore</v>
      </c>
      <c r="Q4143" s="9" t="str">
        <f>IFERROR($P4143,PROPER(VLOOKUP($O4143,'Villes en erreur'!$A$2:$B$72,2,FALSE)))</f>
        <v>Gore</v>
      </c>
      <c r="R4143" s="9" t="s">
        <v>17555</v>
      </c>
      <c r="S4143" s="9" t="str">
        <f>IF(ISBLANK($R4143),"",VLOOKUP($R4143,'Liste des Villes'!$B$2:$H$1128,4,FALSE))</f>
        <v>Laurentides</v>
      </c>
      <c r="T4143" s="2" t="s">
        <v>17573</v>
      </c>
      <c r="U4143" s="2" t="s">
        <v>39</v>
      </c>
      <c r="V4143" s="2" t="s">
        <v>40</v>
      </c>
      <c r="W4143" s="2" t="s">
        <v>17574</v>
      </c>
      <c r="X4143" s="2" t="str">
        <f>"4506027300"</f>
        <v>4506027300</v>
      </c>
      <c r="Y4143" s="2" t="str">
        <f>"5144448574"</f>
        <v>5144448574</v>
      </c>
      <c r="Z4143" s="2"/>
      <c r="AA4143" s="2" t="s">
        <v>266</v>
      </c>
      <c r="AB4143" s="2" t="s">
        <v>267</v>
      </c>
      <c r="AC4143" s="4" t="s">
        <v>44</v>
      </c>
    </row>
    <row r="4144" spans="1:29" x14ac:dyDescent="0.25">
      <c r="A4144" s="1">
        <v>1362</v>
      </c>
      <c r="B4144" s="17" t="s">
        <v>17575</v>
      </c>
      <c r="C4144" s="2" t="s">
        <v>5659</v>
      </c>
      <c r="D4144" s="15" t="s">
        <v>3073</v>
      </c>
      <c r="E4144" s="9" t="s">
        <v>5660</v>
      </c>
      <c r="F4144" s="9" t="s">
        <v>3072</v>
      </c>
      <c r="G4144" s="9" t="s">
        <v>737</v>
      </c>
      <c r="H4144" s="2" t="s">
        <v>60</v>
      </c>
      <c r="I4144" s="3">
        <v>37370</v>
      </c>
      <c r="J4144" s="9" t="str">
        <f t="shared" ca="1" si="68"/>
        <v>21 ans</v>
      </c>
      <c r="K4144" s="2" t="s">
        <v>262</v>
      </c>
      <c r="L4144" s="2" t="str">
        <f>"8395"</f>
        <v>8395</v>
      </c>
      <c r="M4144" s="2"/>
      <c r="N4144" s="2" t="str">
        <f>"RUE PAUL-ÉMILE-BORDUAS"</f>
        <v>RUE PAUL-ÉMILE-BORDUAS</v>
      </c>
      <c r="O4144" s="2" t="s">
        <v>17554</v>
      </c>
      <c r="P4144" s="9" t="str">
        <f>VLOOKUP($O4144,'Liste des Villes'!$B$2:$B$1128,1,FALSE)</f>
        <v>Gore</v>
      </c>
      <c r="Q4144" s="9" t="str">
        <f>IFERROR($P4144,PROPER(VLOOKUP($O4144,'Villes en erreur'!$A$2:$B$72,2,FALSE)))</f>
        <v>Gore</v>
      </c>
      <c r="R4144" s="9" t="s">
        <v>17555</v>
      </c>
      <c r="S4144" s="9" t="str">
        <f>IF(ISBLANK($R4144),"",VLOOKUP($R4144,'Liste des Villes'!$B$2:$H$1128,4,FALSE))</f>
        <v>Laurentides</v>
      </c>
      <c r="T4144" s="2" t="s">
        <v>17556</v>
      </c>
      <c r="U4144" s="2" t="s">
        <v>39</v>
      </c>
      <c r="V4144" s="2" t="s">
        <v>40</v>
      </c>
      <c r="W4144" s="2" t="s">
        <v>17576</v>
      </c>
      <c r="X4144" s="2" t="str">
        <f>"4506027810"</f>
        <v>4506027810</v>
      </c>
      <c r="Y4144" s="2" t="str">
        <f>"5144427309"</f>
        <v>5144427309</v>
      </c>
      <c r="Z4144" s="2"/>
      <c r="AA4144" s="2" t="s">
        <v>266</v>
      </c>
      <c r="AB4144" s="2" t="s">
        <v>267</v>
      </c>
      <c r="AC4144" s="4" t="s">
        <v>44</v>
      </c>
    </row>
    <row r="4145" spans="1:29" x14ac:dyDescent="0.25">
      <c r="A4145" s="1">
        <v>3307</v>
      </c>
      <c r="B4145" s="17" t="s">
        <v>17577</v>
      </c>
      <c r="C4145" s="2" t="s">
        <v>12689</v>
      </c>
      <c r="D4145" s="15" t="s">
        <v>7142</v>
      </c>
      <c r="E4145" s="9" t="s">
        <v>3503</v>
      </c>
      <c r="F4145" s="9" t="s">
        <v>7141</v>
      </c>
      <c r="G4145" s="9" t="s">
        <v>737</v>
      </c>
      <c r="H4145" s="2" t="s">
        <v>60</v>
      </c>
      <c r="I4145" s="3">
        <v>37369</v>
      </c>
      <c r="J4145" s="9" t="str">
        <f t="shared" ca="1" si="68"/>
        <v>21 ans</v>
      </c>
      <c r="K4145" s="2" t="s">
        <v>262</v>
      </c>
      <c r="L4145" s="2" t="str">
        <f>"8285"</f>
        <v>8285</v>
      </c>
      <c r="M4145" s="2"/>
      <c r="N4145" s="2" t="str">
        <f>"RUE PAUL-ÉMILE-BARBEAU"</f>
        <v>RUE PAUL-ÉMILE-BARBEAU</v>
      </c>
      <c r="O4145" s="2" t="s">
        <v>17554</v>
      </c>
      <c r="P4145" s="9" t="str">
        <f>VLOOKUP($O4145,'Liste des Villes'!$B$2:$B$1128,1,FALSE)</f>
        <v>Gore</v>
      </c>
      <c r="Q4145" s="9" t="str">
        <f>IFERROR($P4145,PROPER(VLOOKUP($O4145,'Villes en erreur'!$A$2:$B$72,2,FALSE)))</f>
        <v>Gore</v>
      </c>
      <c r="R4145" s="9" t="s">
        <v>17555</v>
      </c>
      <c r="S4145" s="9" t="str">
        <f>IF(ISBLANK($R4145),"",VLOOKUP($R4145,'Liste des Villes'!$B$2:$H$1128,4,FALSE))</f>
        <v>Laurentides</v>
      </c>
      <c r="T4145" s="2" t="s">
        <v>17578</v>
      </c>
      <c r="U4145" s="2" t="s">
        <v>39</v>
      </c>
      <c r="V4145" s="2" t="s">
        <v>40</v>
      </c>
      <c r="W4145" s="2" t="s">
        <v>17579</v>
      </c>
      <c r="X4145" s="2" t="str">
        <f>"4506027101"</f>
        <v>4506027101</v>
      </c>
      <c r="Y4145" s="2" t="str">
        <f>"5144519859"</f>
        <v>5144519859</v>
      </c>
      <c r="Z4145" s="2"/>
      <c r="AA4145" s="2" t="s">
        <v>266</v>
      </c>
      <c r="AB4145" s="2" t="s">
        <v>267</v>
      </c>
      <c r="AC4145" s="4" t="s">
        <v>44</v>
      </c>
    </row>
    <row r="4146" spans="1:29" x14ac:dyDescent="0.25">
      <c r="A4146" s="1">
        <v>1843</v>
      </c>
      <c r="B4146" s="17" t="s">
        <v>17580</v>
      </c>
      <c r="C4146" s="2" t="s">
        <v>1759</v>
      </c>
      <c r="D4146" s="15" t="s">
        <v>219</v>
      </c>
      <c r="E4146" s="9" t="s">
        <v>503</v>
      </c>
      <c r="F4146" s="9" t="s">
        <v>504</v>
      </c>
      <c r="G4146" s="9" t="s">
        <v>737</v>
      </c>
      <c r="H4146" s="2" t="s">
        <v>60</v>
      </c>
      <c r="I4146" s="3">
        <v>37370</v>
      </c>
      <c r="J4146" s="9" t="str">
        <f t="shared" ca="1" si="68"/>
        <v>21 ans</v>
      </c>
      <c r="K4146" s="2" t="s">
        <v>262</v>
      </c>
      <c r="L4146" s="2" t="str">
        <f>"8470"</f>
        <v>8470</v>
      </c>
      <c r="M4146" s="2"/>
      <c r="N4146" s="2" t="str">
        <f>"RUE PAUL-MAINGUY"</f>
        <v>RUE PAUL-MAINGUY</v>
      </c>
      <c r="O4146" s="2" t="s">
        <v>17554</v>
      </c>
      <c r="P4146" s="9" t="str">
        <f>VLOOKUP($O4146,'Liste des Villes'!$B$2:$B$1128,1,FALSE)</f>
        <v>Gore</v>
      </c>
      <c r="Q4146" s="9" t="str">
        <f>IFERROR($P4146,PROPER(VLOOKUP($O4146,'Villes en erreur'!$A$2:$B$72,2,FALSE)))</f>
        <v>Gore</v>
      </c>
      <c r="R4146" s="9" t="s">
        <v>17555</v>
      </c>
      <c r="S4146" s="9" t="str">
        <f>IF(ISBLANK($R4146),"",VLOOKUP($R4146,'Liste des Villes'!$B$2:$H$1128,4,FALSE))</f>
        <v>Laurentides</v>
      </c>
      <c r="T4146" s="2" t="s">
        <v>17581</v>
      </c>
      <c r="U4146" s="2" t="s">
        <v>39</v>
      </c>
      <c r="V4146" s="2" t="s">
        <v>40</v>
      </c>
      <c r="W4146" s="2" t="s">
        <v>17582</v>
      </c>
      <c r="X4146" s="2" t="str">
        <f>"4506028447"</f>
        <v>4506028447</v>
      </c>
      <c r="Y4146" s="2" t="str">
        <f>"5144346474"</f>
        <v>5144346474</v>
      </c>
      <c r="Z4146" s="2"/>
      <c r="AA4146" s="2" t="s">
        <v>266</v>
      </c>
      <c r="AB4146" s="2" t="s">
        <v>267</v>
      </c>
      <c r="AC4146" s="4" t="s">
        <v>44</v>
      </c>
    </row>
    <row r="4147" spans="1:29" x14ac:dyDescent="0.25">
      <c r="A4147" s="1">
        <v>3203</v>
      </c>
      <c r="B4147" s="17" t="s">
        <v>17583</v>
      </c>
      <c r="C4147" s="2" t="s">
        <v>9288</v>
      </c>
      <c r="D4147" s="15" t="s">
        <v>808</v>
      </c>
      <c r="E4147" s="9" t="s">
        <v>929</v>
      </c>
      <c r="F4147" s="9" t="s">
        <v>17584</v>
      </c>
      <c r="G4147" s="9" t="s">
        <v>737</v>
      </c>
      <c r="H4147" s="2" t="s">
        <v>60</v>
      </c>
      <c r="I4147" s="3">
        <v>37370</v>
      </c>
      <c r="J4147" s="9" t="str">
        <f t="shared" ca="1" si="68"/>
        <v>21 ans</v>
      </c>
      <c r="K4147" s="2" t="s">
        <v>262</v>
      </c>
      <c r="L4147" s="2" t="str">
        <f>"8305"</f>
        <v>8305</v>
      </c>
      <c r="M4147" s="2"/>
      <c r="N4147" s="2" t="str">
        <f>"RUE PAUL-ÉMILE-BORDUAS"</f>
        <v>RUE PAUL-ÉMILE-BORDUAS</v>
      </c>
      <c r="O4147" s="2" t="s">
        <v>17554</v>
      </c>
      <c r="P4147" s="9" t="str">
        <f>VLOOKUP($O4147,'Liste des Villes'!$B$2:$B$1128,1,FALSE)</f>
        <v>Gore</v>
      </c>
      <c r="Q4147" s="9" t="str">
        <f>IFERROR($P4147,PROPER(VLOOKUP($O4147,'Villes en erreur'!$A$2:$B$72,2,FALSE)))</f>
        <v>Gore</v>
      </c>
      <c r="R4147" s="9" t="s">
        <v>17555</v>
      </c>
      <c r="S4147" s="9" t="str">
        <f>IF(ISBLANK($R4147),"",VLOOKUP($R4147,'Liste des Villes'!$B$2:$H$1128,4,FALSE))</f>
        <v>Laurentides</v>
      </c>
      <c r="T4147" s="2" t="s">
        <v>17573</v>
      </c>
      <c r="U4147" s="2" t="s">
        <v>39</v>
      </c>
      <c r="V4147" s="2" t="s">
        <v>40</v>
      </c>
      <c r="W4147" s="2" t="s">
        <v>17585</v>
      </c>
      <c r="X4147" s="2" t="str">
        <f>"4506027325"</f>
        <v>4506027325</v>
      </c>
      <c r="Y4147" s="2" t="str">
        <f>"5144435376"</f>
        <v>5144435376</v>
      </c>
      <c r="Z4147" s="2"/>
      <c r="AA4147" s="2" t="s">
        <v>266</v>
      </c>
      <c r="AB4147" s="2" t="s">
        <v>267</v>
      </c>
      <c r="AC4147" s="4" t="s">
        <v>44</v>
      </c>
    </row>
    <row r="4148" spans="1:29" x14ac:dyDescent="0.25">
      <c r="A4148" s="1">
        <v>1558</v>
      </c>
      <c r="B4148" s="17" t="s">
        <v>17586</v>
      </c>
      <c r="C4148" s="2" t="s">
        <v>17587</v>
      </c>
      <c r="D4148" s="15" t="s">
        <v>652</v>
      </c>
      <c r="E4148" s="9" t="s">
        <v>17588</v>
      </c>
      <c r="F4148" s="9" t="s">
        <v>7361</v>
      </c>
      <c r="G4148" s="9" t="s">
        <v>85</v>
      </c>
      <c r="H4148" s="2" t="s">
        <v>60</v>
      </c>
      <c r="I4148" s="3">
        <v>37371</v>
      </c>
      <c r="J4148" s="9" t="str">
        <f t="shared" ca="1" si="68"/>
        <v>21 ans</v>
      </c>
      <c r="K4148" s="2" t="s">
        <v>262</v>
      </c>
      <c r="L4148" s="2" t="str">
        <f>"8500"</f>
        <v>8500</v>
      </c>
      <c r="M4148" s="2"/>
      <c r="N4148" s="2" t="str">
        <f>"RUE PAUL-MAINGUY"</f>
        <v>RUE PAUL-MAINGUY</v>
      </c>
      <c r="O4148" s="2" t="s">
        <v>17589</v>
      </c>
      <c r="P4148" s="9" t="str">
        <f>VLOOKUP($O4148,'Liste des Villes'!$B$2:$B$1128,1,FALSE)</f>
        <v>Gatineau</v>
      </c>
      <c r="Q4148" s="9" t="str">
        <f>IFERROR($P4148,PROPER(VLOOKUP($O4148,'Villes en erreur'!$A$2:$B$72,2,FALSE)))</f>
        <v>Gatineau</v>
      </c>
      <c r="R4148" s="9" t="s">
        <v>17590</v>
      </c>
      <c r="S4148" s="9" t="str">
        <f>IF(ISBLANK($R4148),"",VLOOKUP($R4148,'Liste des Villes'!$B$2:$H$1128,4,FALSE))</f>
        <v>Outaouais</v>
      </c>
      <c r="T4148" s="2" t="s">
        <v>17559</v>
      </c>
      <c r="U4148" s="2" t="s">
        <v>39</v>
      </c>
      <c r="V4148" s="2" t="s">
        <v>40</v>
      </c>
      <c r="W4148" s="2" t="s">
        <v>17591</v>
      </c>
      <c r="X4148" s="2" t="str">
        <f>"4506028582"</f>
        <v>4506028582</v>
      </c>
      <c r="Y4148" s="2" t="str">
        <f>"5144302331"</f>
        <v>5144302331</v>
      </c>
      <c r="Z4148" s="2"/>
      <c r="AA4148" s="2" t="s">
        <v>266</v>
      </c>
      <c r="AB4148" s="2" t="s">
        <v>267</v>
      </c>
      <c r="AC4148" s="4" t="s">
        <v>44</v>
      </c>
    </row>
    <row r="4149" spans="1:29" x14ac:dyDescent="0.25">
      <c r="A4149" s="1">
        <v>343</v>
      </c>
      <c r="B4149" s="17" t="s">
        <v>17592</v>
      </c>
      <c r="C4149" s="2" t="s">
        <v>17593</v>
      </c>
      <c r="D4149" s="15" t="s">
        <v>562</v>
      </c>
      <c r="E4149" s="9" t="s">
        <v>16296</v>
      </c>
      <c r="F4149" s="9" t="s">
        <v>599</v>
      </c>
      <c r="G4149" s="9" t="s">
        <v>85</v>
      </c>
      <c r="H4149" s="2" t="s">
        <v>60</v>
      </c>
      <c r="I4149" s="3">
        <v>37371</v>
      </c>
      <c r="J4149" s="9" t="str">
        <f t="shared" ca="1" si="68"/>
        <v>21 ans</v>
      </c>
      <c r="K4149" s="2" t="s">
        <v>262</v>
      </c>
      <c r="L4149" s="2" t="str">
        <f>"8515"</f>
        <v>8515</v>
      </c>
      <c r="M4149" s="2"/>
      <c r="N4149" s="2" t="str">
        <f>"RUE PAUL-SAUVÉ"</f>
        <v>RUE PAUL-SAUVÉ</v>
      </c>
      <c r="O4149" s="2" t="s">
        <v>17589</v>
      </c>
      <c r="P4149" s="9" t="str">
        <f>VLOOKUP($O4149,'Liste des Villes'!$B$2:$B$1128,1,FALSE)</f>
        <v>Gatineau</v>
      </c>
      <c r="Q4149" s="9" t="str">
        <f>IFERROR($P4149,PROPER(VLOOKUP($O4149,'Villes en erreur'!$A$2:$B$72,2,FALSE)))</f>
        <v>Gatineau</v>
      </c>
      <c r="R4149" s="9" t="s">
        <v>17590</v>
      </c>
      <c r="S4149" s="9" t="str">
        <f>IF(ISBLANK($R4149),"",VLOOKUP($R4149,'Liste des Villes'!$B$2:$H$1128,4,FALSE))</f>
        <v>Outaouais</v>
      </c>
      <c r="T4149" s="2" t="s">
        <v>17559</v>
      </c>
      <c r="U4149" s="2" t="s">
        <v>39</v>
      </c>
      <c r="V4149" s="2" t="s">
        <v>40</v>
      </c>
      <c r="W4149" s="2" t="s">
        <v>17594</v>
      </c>
      <c r="X4149" s="2" t="str">
        <f>"4506120418"</f>
        <v>4506120418</v>
      </c>
      <c r="Y4149" s="2" t="str">
        <f>"5143803600"</f>
        <v>5143803600</v>
      </c>
      <c r="Z4149" s="2"/>
      <c r="AA4149" s="2" t="s">
        <v>266</v>
      </c>
      <c r="AB4149" s="2" t="s">
        <v>267</v>
      </c>
      <c r="AC4149" s="4" t="s">
        <v>44</v>
      </c>
    </row>
    <row r="4150" spans="1:29" x14ac:dyDescent="0.25">
      <c r="A4150" s="1">
        <v>1137</v>
      </c>
      <c r="B4150" s="17" t="s">
        <v>17595</v>
      </c>
      <c r="C4150" s="2" t="s">
        <v>17596</v>
      </c>
      <c r="D4150" s="15" t="s">
        <v>17597</v>
      </c>
      <c r="E4150" s="9" t="s">
        <v>341</v>
      </c>
      <c r="F4150" s="9" t="s">
        <v>3516</v>
      </c>
      <c r="G4150" s="9" t="s">
        <v>85</v>
      </c>
      <c r="H4150" s="2" t="s">
        <v>60</v>
      </c>
      <c r="I4150" s="3">
        <v>37371</v>
      </c>
      <c r="J4150" s="9" t="str">
        <f t="shared" ca="1" si="68"/>
        <v>21 ans</v>
      </c>
      <c r="K4150" s="2" t="s">
        <v>262</v>
      </c>
      <c r="L4150" s="2" t="str">
        <f>"8507"</f>
        <v>8507</v>
      </c>
      <c r="M4150" s="2"/>
      <c r="N4150" s="2" t="str">
        <f>"RUE PAUL-MAINGUY"</f>
        <v>RUE PAUL-MAINGUY</v>
      </c>
      <c r="O4150" s="2" t="s">
        <v>17589</v>
      </c>
      <c r="P4150" s="9" t="str">
        <f>VLOOKUP($O4150,'Liste des Villes'!$B$2:$B$1128,1,FALSE)</f>
        <v>Gatineau</v>
      </c>
      <c r="Q4150" s="9" t="str">
        <f>IFERROR($P4150,PROPER(VLOOKUP($O4150,'Villes en erreur'!$A$2:$B$72,2,FALSE)))</f>
        <v>Gatineau</v>
      </c>
      <c r="R4150" s="9" t="s">
        <v>17590</v>
      </c>
      <c r="S4150" s="9" t="str">
        <f>IF(ISBLANK($R4150),"",VLOOKUP($R4150,'Liste des Villes'!$B$2:$H$1128,4,FALSE))</f>
        <v>Outaouais</v>
      </c>
      <c r="T4150" s="2" t="s">
        <v>17559</v>
      </c>
      <c r="U4150" s="2" t="s">
        <v>39</v>
      </c>
      <c r="V4150" s="2" t="s">
        <v>40</v>
      </c>
      <c r="W4150" s="2" t="s">
        <v>17598</v>
      </c>
      <c r="X4150" s="2" t="str">
        <f>"4506029650"</f>
        <v>4506029650</v>
      </c>
      <c r="Y4150" s="2" t="str">
        <f>"5143868292"</f>
        <v>5143868292</v>
      </c>
      <c r="Z4150" s="2"/>
      <c r="AA4150" s="2" t="s">
        <v>266</v>
      </c>
      <c r="AB4150" s="2" t="s">
        <v>267</v>
      </c>
      <c r="AC4150" s="4" t="s">
        <v>44</v>
      </c>
    </row>
    <row r="4151" spans="1:29" x14ac:dyDescent="0.25">
      <c r="A4151" s="1">
        <v>58</v>
      </c>
      <c r="B4151" s="17" t="s">
        <v>17599</v>
      </c>
      <c r="C4151" s="2" t="s">
        <v>3040</v>
      </c>
      <c r="D4151" s="15" t="s">
        <v>3041</v>
      </c>
      <c r="E4151" s="9" t="s">
        <v>698</v>
      </c>
      <c r="F4151" s="9" t="s">
        <v>3042</v>
      </c>
      <c r="G4151" s="9" t="s">
        <v>85</v>
      </c>
      <c r="H4151" s="2" t="s">
        <v>60</v>
      </c>
      <c r="I4151" s="3">
        <v>37371</v>
      </c>
      <c r="J4151" s="9" t="str">
        <f t="shared" ca="1" si="68"/>
        <v>21 ans</v>
      </c>
      <c r="K4151" s="2" t="s">
        <v>262</v>
      </c>
      <c r="L4151" s="2" t="str">
        <f>"8532"</f>
        <v>8532</v>
      </c>
      <c r="M4151" s="2"/>
      <c r="N4151" s="2" t="str">
        <f>"RUE PAUL-SAUVÉ"</f>
        <v>RUE PAUL-SAUVÉ</v>
      </c>
      <c r="O4151" s="2" t="s">
        <v>17600</v>
      </c>
      <c r="P4151" s="9" t="str">
        <f>VLOOKUP($O4151,'Liste des Villes'!$B$2:$B$1128,1,FALSE)</f>
        <v>Fermont</v>
      </c>
      <c r="Q4151" s="9" t="str">
        <f>IFERROR($P4151,PROPER(VLOOKUP($O4151,'Villes en erreur'!$A$2:$B$72,2,FALSE)))</f>
        <v>Fermont</v>
      </c>
      <c r="R4151" s="9" t="s">
        <v>17601</v>
      </c>
      <c r="S4151" s="9" t="str">
        <f>IF(ISBLANK($R4151),"",VLOOKUP($R4151,'Liste des Villes'!$B$2:$H$1128,4,FALSE))</f>
        <v>Côte-Nord</v>
      </c>
      <c r="T4151" s="2" t="s">
        <v>17559</v>
      </c>
      <c r="U4151" s="2" t="s">
        <v>39</v>
      </c>
      <c r="V4151" s="2" t="s">
        <v>40</v>
      </c>
      <c r="W4151" s="2" t="s">
        <v>17602</v>
      </c>
      <c r="X4151" s="2" t="str">
        <f>"4506120614"</f>
        <v>4506120614</v>
      </c>
      <c r="Y4151" s="2" t="str">
        <f>"5143776419"</f>
        <v>5143776419</v>
      </c>
      <c r="Z4151" s="2"/>
      <c r="AA4151" s="2" t="s">
        <v>266</v>
      </c>
      <c r="AB4151" s="2" t="s">
        <v>267</v>
      </c>
      <c r="AC4151" s="4" t="s">
        <v>44</v>
      </c>
    </row>
    <row r="4152" spans="1:29" x14ac:dyDescent="0.25">
      <c r="A4152" s="1">
        <v>718</v>
      </c>
      <c r="B4152" s="17" t="s">
        <v>17603</v>
      </c>
      <c r="C4152" s="2" t="s">
        <v>17604</v>
      </c>
      <c r="D4152" s="15" t="s">
        <v>4256</v>
      </c>
      <c r="E4152" s="9" t="s">
        <v>11248</v>
      </c>
      <c r="F4152" s="9" t="s">
        <v>4255</v>
      </c>
      <c r="G4152" s="9" t="s">
        <v>85</v>
      </c>
      <c r="H4152" s="2" t="s">
        <v>60</v>
      </c>
      <c r="I4152" s="3">
        <v>37372</v>
      </c>
      <c r="J4152" s="9" t="str">
        <f t="shared" ca="1" si="68"/>
        <v>21 ans</v>
      </c>
      <c r="K4152" s="2" t="s">
        <v>262</v>
      </c>
      <c r="L4152" s="2" t="str">
        <f>"8540"</f>
        <v>8540</v>
      </c>
      <c r="M4152" s="2"/>
      <c r="N4152" s="2" t="str">
        <f>"RUE PAUL-SAUVÉ"</f>
        <v>RUE PAUL-SAUVÉ</v>
      </c>
      <c r="O4152" s="2" t="s">
        <v>17605</v>
      </c>
      <c r="P4152" s="9" t="str">
        <f>VLOOKUP($O4152,'Liste des Villes'!$B$2:$B$1128,1,FALSE)</f>
        <v>Ferme-Neuve</v>
      </c>
      <c r="Q4152" s="9" t="str">
        <f>IFERROR($P4152,PROPER(VLOOKUP($O4152,'Villes en erreur'!$A$2:$B$72,2,FALSE)))</f>
        <v>Ferme-Neuve</v>
      </c>
      <c r="R4152" s="9" t="s">
        <v>17606</v>
      </c>
      <c r="S4152" s="9" t="str">
        <f>IF(ISBLANK($R4152),"",VLOOKUP($R4152,'Liste des Villes'!$B$2:$H$1128,4,FALSE))</f>
        <v>Laurentides</v>
      </c>
      <c r="T4152" s="2" t="s">
        <v>17607</v>
      </c>
      <c r="U4152" s="2" t="s">
        <v>39</v>
      </c>
      <c r="V4152" s="2" t="s">
        <v>40</v>
      </c>
      <c r="W4152" s="2" t="s">
        <v>17608</v>
      </c>
      <c r="X4152" s="2" t="str">
        <f>"4506120945"</f>
        <v>4506120945</v>
      </c>
      <c r="Y4152" s="2" t="str">
        <f>"5143770853"</f>
        <v>5143770853</v>
      </c>
      <c r="Z4152" s="2"/>
      <c r="AA4152" s="2" t="s">
        <v>266</v>
      </c>
      <c r="AB4152" s="2" t="s">
        <v>267</v>
      </c>
      <c r="AC4152" s="4" t="s">
        <v>44</v>
      </c>
    </row>
    <row r="4153" spans="1:29" x14ac:dyDescent="0.25">
      <c r="A4153" s="1">
        <v>4546</v>
      </c>
      <c r="B4153" s="17" t="s">
        <v>17609</v>
      </c>
      <c r="C4153" s="2" t="s">
        <v>17610</v>
      </c>
      <c r="D4153" s="15" t="s">
        <v>13618</v>
      </c>
      <c r="E4153" s="9" t="s">
        <v>1416</v>
      </c>
      <c r="F4153" s="9" t="s">
        <v>1417</v>
      </c>
      <c r="G4153" s="9" t="s">
        <v>85</v>
      </c>
      <c r="H4153" s="2" t="s">
        <v>60</v>
      </c>
      <c r="I4153" s="3">
        <v>37373</v>
      </c>
      <c r="J4153" s="9" t="str">
        <f t="shared" ca="1" si="68"/>
        <v>21 ans</v>
      </c>
      <c r="K4153" s="2" t="s">
        <v>262</v>
      </c>
      <c r="L4153" s="2" t="str">
        <f>"8635"</f>
        <v>8635</v>
      </c>
      <c r="M4153" s="2"/>
      <c r="N4153" s="2" t="str">
        <f>"RUE PELLETIER"</f>
        <v>RUE PELLETIER</v>
      </c>
      <c r="O4153" s="2" t="s">
        <v>17611</v>
      </c>
      <c r="P4153" s="9" t="str">
        <f>VLOOKUP($O4153,'Liste des Villes'!$B$2:$B$1128,1,FALSE)</f>
        <v>Entrelacs</v>
      </c>
      <c r="Q4153" s="9" t="str">
        <f>IFERROR($P4153,PROPER(VLOOKUP($O4153,'Villes en erreur'!$A$2:$B$72,2,FALSE)))</f>
        <v>Entrelacs</v>
      </c>
      <c r="R4153" s="9" t="s">
        <v>17612</v>
      </c>
      <c r="S4153" s="9" t="str">
        <f>IF(ISBLANK($R4153),"",VLOOKUP($R4153,'Liste des Villes'!$B$2:$H$1128,4,FALSE))</f>
        <v>Lanaudière</v>
      </c>
      <c r="T4153" s="2" t="s">
        <v>17613</v>
      </c>
      <c r="U4153" s="2" t="s">
        <v>39</v>
      </c>
      <c r="V4153" s="2" t="s">
        <v>40</v>
      </c>
      <c r="W4153" s="2" t="s">
        <v>17614</v>
      </c>
      <c r="X4153" s="2" t="str">
        <f>"4506125378"</f>
        <v>4506125378</v>
      </c>
      <c r="Y4153" s="2" t="str">
        <f>"5143482855"</f>
        <v>5143482855</v>
      </c>
      <c r="Z4153" s="2"/>
      <c r="AA4153" s="2" t="s">
        <v>266</v>
      </c>
      <c r="AB4153" s="2" t="s">
        <v>267</v>
      </c>
      <c r="AC4153" s="4" t="s">
        <v>44</v>
      </c>
    </row>
    <row r="4154" spans="1:29" x14ac:dyDescent="0.25">
      <c r="A4154" s="1">
        <v>4320</v>
      </c>
      <c r="B4154" s="17" t="s">
        <v>17615</v>
      </c>
      <c r="C4154" s="2" t="s">
        <v>17616</v>
      </c>
      <c r="D4154" s="15" t="s">
        <v>246</v>
      </c>
      <c r="E4154" s="9" t="s">
        <v>3811</v>
      </c>
      <c r="F4154" s="9" t="s">
        <v>1617</v>
      </c>
      <c r="G4154" s="9" t="s">
        <v>85</v>
      </c>
      <c r="H4154" s="2" t="s">
        <v>60</v>
      </c>
      <c r="I4154" s="3">
        <v>37373</v>
      </c>
      <c r="J4154" s="9" t="str">
        <f t="shared" ca="1" si="68"/>
        <v>21 ans</v>
      </c>
      <c r="K4154" s="2" t="s">
        <v>262</v>
      </c>
      <c r="L4154" s="2" t="str">
        <f>"8611"</f>
        <v>8611</v>
      </c>
      <c r="M4154" s="2"/>
      <c r="N4154" s="2" t="str">
        <f>"RUE PEGGY"</f>
        <v>RUE PEGGY</v>
      </c>
      <c r="O4154" s="2" t="s">
        <v>17611</v>
      </c>
      <c r="P4154" s="9" t="str">
        <f>VLOOKUP($O4154,'Liste des Villes'!$B$2:$B$1128,1,FALSE)</f>
        <v>Entrelacs</v>
      </c>
      <c r="Q4154" s="9" t="str">
        <f>IFERROR($P4154,PROPER(VLOOKUP($O4154,'Villes en erreur'!$A$2:$B$72,2,FALSE)))</f>
        <v>Entrelacs</v>
      </c>
      <c r="R4154" s="9" t="s">
        <v>17612</v>
      </c>
      <c r="S4154" s="9" t="str">
        <f>IF(ISBLANK($R4154),"",VLOOKUP($R4154,'Liste des Villes'!$B$2:$H$1128,4,FALSE))</f>
        <v>Lanaudière</v>
      </c>
      <c r="T4154" s="2" t="s">
        <v>17613</v>
      </c>
      <c r="U4154" s="2" t="s">
        <v>39</v>
      </c>
      <c r="V4154" s="2" t="s">
        <v>40</v>
      </c>
      <c r="W4154" s="2" t="s">
        <v>17617</v>
      </c>
      <c r="X4154" s="2" t="str">
        <f>"4506123572"</f>
        <v>4506123572</v>
      </c>
      <c r="Y4154" s="2" t="str">
        <f>"5143490400"</f>
        <v>5143490400</v>
      </c>
      <c r="Z4154" s="2"/>
      <c r="AA4154" s="2" t="s">
        <v>266</v>
      </c>
      <c r="AB4154" s="2" t="s">
        <v>267</v>
      </c>
      <c r="AC4154" s="4" t="s">
        <v>44</v>
      </c>
    </row>
    <row r="4155" spans="1:29" x14ac:dyDescent="0.25">
      <c r="A4155" s="1">
        <v>698</v>
      </c>
      <c r="B4155" s="17" t="s">
        <v>17618</v>
      </c>
      <c r="C4155" s="2" t="s">
        <v>17619</v>
      </c>
      <c r="D4155" s="15" t="s">
        <v>15952</v>
      </c>
      <c r="E4155" s="9" t="s">
        <v>616</v>
      </c>
      <c r="F4155" s="9" t="s">
        <v>15951</v>
      </c>
      <c r="G4155" s="9" t="s">
        <v>85</v>
      </c>
      <c r="H4155" s="2" t="s">
        <v>60</v>
      </c>
      <c r="I4155" s="3">
        <v>37374</v>
      </c>
      <c r="J4155" s="9" t="str">
        <f t="shared" ca="1" si="68"/>
        <v>21 ans</v>
      </c>
      <c r="K4155" s="2" t="s">
        <v>262</v>
      </c>
      <c r="L4155" s="2" t="str">
        <f>"8680"</f>
        <v>8680</v>
      </c>
      <c r="M4155" s="2"/>
      <c r="N4155" s="2" t="str">
        <f>"RUE PERREAULT"</f>
        <v>RUE PERREAULT</v>
      </c>
      <c r="O4155" s="2" t="s">
        <v>17620</v>
      </c>
      <c r="P4155" s="9" t="str">
        <f>VLOOKUP($O4155,'Liste des Villes'!$B$2:$B$1128,1,FALSE)</f>
        <v>Drummondville</v>
      </c>
      <c r="Q4155" s="9" t="str">
        <f>IFERROR($P4155,PROPER(VLOOKUP($O4155,'Villes en erreur'!$A$2:$B$72,2,FALSE)))</f>
        <v>Drummondville</v>
      </c>
      <c r="R4155" s="9" t="s">
        <v>17621</v>
      </c>
      <c r="S4155" s="9" t="str">
        <f>IF(ISBLANK($R4155),"",VLOOKUP($R4155,'Liste des Villes'!$B$2:$H$1128,4,FALSE))</f>
        <v>Centre-du-Québec</v>
      </c>
      <c r="T4155" s="2" t="s">
        <v>264</v>
      </c>
      <c r="U4155" s="2" t="s">
        <v>39</v>
      </c>
      <c r="V4155" s="2" t="s">
        <v>40</v>
      </c>
      <c r="W4155" s="2" t="s">
        <v>17622</v>
      </c>
      <c r="X4155" s="2" t="str">
        <f>"4506134830"</f>
        <v>4506134830</v>
      </c>
      <c r="Y4155" s="2" t="str">
        <f>"5143471731"</f>
        <v>5143471731</v>
      </c>
      <c r="Z4155" s="2"/>
      <c r="AA4155" s="2" t="s">
        <v>266</v>
      </c>
      <c r="AB4155" s="2" t="s">
        <v>267</v>
      </c>
      <c r="AC4155" s="4" t="s">
        <v>44</v>
      </c>
    </row>
    <row r="4156" spans="1:29" x14ac:dyDescent="0.25">
      <c r="A4156" s="1">
        <v>3918</v>
      </c>
      <c r="B4156" s="17" t="s">
        <v>17623</v>
      </c>
      <c r="C4156" s="2" t="s">
        <v>17624</v>
      </c>
      <c r="D4156" s="15" t="s">
        <v>5687</v>
      </c>
      <c r="E4156" s="9" t="s">
        <v>549</v>
      </c>
      <c r="F4156" s="9" t="s">
        <v>5686</v>
      </c>
      <c r="G4156" s="9" t="s">
        <v>85</v>
      </c>
      <c r="H4156" s="2" t="s">
        <v>60</v>
      </c>
      <c r="I4156" s="3">
        <v>37374</v>
      </c>
      <c r="J4156" s="9" t="str">
        <f t="shared" ca="1" si="68"/>
        <v>21 ans</v>
      </c>
      <c r="K4156" s="2" t="s">
        <v>262</v>
      </c>
      <c r="L4156" s="2" t="str">
        <f>"8703"</f>
        <v>8703</v>
      </c>
      <c r="M4156" s="2"/>
      <c r="N4156" s="2" t="str">
        <f>"RUE PERREAULT"</f>
        <v>RUE PERREAULT</v>
      </c>
      <c r="O4156" s="2" t="s">
        <v>17625</v>
      </c>
      <c r="P4156" s="9" t="str">
        <f>VLOOKUP($O4156,'Liste des Villes'!$B$2:$B$1128,1,FALSE)</f>
        <v>Dorval</v>
      </c>
      <c r="Q4156" s="9" t="str">
        <f>IFERROR($P4156,PROPER(VLOOKUP($O4156,'Villes en erreur'!$A$2:$B$72,2,FALSE)))</f>
        <v>Dorval</v>
      </c>
      <c r="R4156" s="9" t="s">
        <v>17626</v>
      </c>
      <c r="S4156" s="9" t="str">
        <f>IF(ISBLANK($R4156),"",VLOOKUP($R4156,'Liste des Villes'!$B$2:$H$1128,4,FALSE))</f>
        <v>Montréal</v>
      </c>
      <c r="T4156" s="2" t="s">
        <v>17627</v>
      </c>
      <c r="U4156" s="2" t="s">
        <v>39</v>
      </c>
      <c r="V4156" s="2" t="s">
        <v>40</v>
      </c>
      <c r="W4156" s="2" t="s">
        <v>17628</v>
      </c>
      <c r="X4156" s="2" t="str">
        <f>"4506237839"</f>
        <v>4506237839</v>
      </c>
      <c r="Y4156" s="2" t="str">
        <f>"5143184163"</f>
        <v>5143184163</v>
      </c>
      <c r="Z4156" s="2"/>
      <c r="AA4156" s="2" t="s">
        <v>266</v>
      </c>
      <c r="AB4156" s="2" t="s">
        <v>267</v>
      </c>
      <c r="AC4156" s="4" t="s">
        <v>44</v>
      </c>
    </row>
    <row r="4157" spans="1:29" x14ac:dyDescent="0.25">
      <c r="A4157" s="1">
        <v>3781</v>
      </c>
      <c r="B4157" s="17" t="s">
        <v>17629</v>
      </c>
      <c r="C4157" s="2" t="s">
        <v>960</v>
      </c>
      <c r="D4157" s="15" t="s">
        <v>961</v>
      </c>
      <c r="E4157" s="9" t="s">
        <v>219</v>
      </c>
      <c r="F4157" s="9" t="s">
        <v>962</v>
      </c>
      <c r="G4157" s="9" t="s">
        <v>85</v>
      </c>
      <c r="H4157" s="2" t="s">
        <v>60</v>
      </c>
      <c r="I4157" s="3">
        <v>37375</v>
      </c>
      <c r="J4157" s="9" t="str">
        <f t="shared" ca="1" si="68"/>
        <v>21 ans</v>
      </c>
      <c r="K4157" s="2" t="s">
        <v>262</v>
      </c>
      <c r="L4157" s="2" t="str">
        <f>"8705"</f>
        <v>8705</v>
      </c>
      <c r="M4157" s="2"/>
      <c r="N4157" s="2" t="str">
        <f>"RUE PERREAULT"</f>
        <v>RUE PERREAULT</v>
      </c>
      <c r="O4157" s="2" t="s">
        <v>17630</v>
      </c>
      <c r="P4157" s="9" t="str">
        <f>VLOOKUP($O4157,'Liste des Villes'!$B$2:$B$1128,1,FALSE)</f>
        <v>Deux-Montagnes</v>
      </c>
      <c r="Q4157" s="9" t="str">
        <f>IFERROR($P4157,PROPER(VLOOKUP($O4157,'Villes en erreur'!$A$2:$B$72,2,FALSE)))</f>
        <v>Deux-Montagnes</v>
      </c>
      <c r="R4157" s="9" t="s">
        <v>17631</v>
      </c>
      <c r="S4157" s="9" t="str">
        <f>IF(ISBLANK($R4157),"",VLOOKUP($R4157,'Liste des Villes'!$B$2:$H$1128,4,FALSE))</f>
        <v>Laurentides</v>
      </c>
      <c r="T4157" s="2" t="s">
        <v>17627</v>
      </c>
      <c r="U4157" s="2" t="s">
        <v>39</v>
      </c>
      <c r="V4157" s="2" t="s">
        <v>40</v>
      </c>
      <c r="W4157" s="2" t="s">
        <v>17632</v>
      </c>
      <c r="X4157" s="2" t="str">
        <f>"4506301037"</f>
        <v>4506301037</v>
      </c>
      <c r="Y4157" s="2" t="str">
        <f>"5142999005"</f>
        <v>5142999005</v>
      </c>
      <c r="Z4157" s="2"/>
      <c r="AA4157" s="2" t="s">
        <v>266</v>
      </c>
      <c r="AB4157" s="2" t="s">
        <v>267</v>
      </c>
      <c r="AC4157" s="4" t="s">
        <v>44</v>
      </c>
    </row>
    <row r="4158" spans="1:29" x14ac:dyDescent="0.25">
      <c r="A4158" s="1">
        <v>200</v>
      </c>
      <c r="B4158" s="17" t="s">
        <v>17633</v>
      </c>
      <c r="C4158" s="2" t="s">
        <v>4506</v>
      </c>
      <c r="D4158" s="15" t="s">
        <v>3883</v>
      </c>
      <c r="E4158" s="9" t="s">
        <v>354</v>
      </c>
      <c r="F4158" s="9" t="s">
        <v>3882</v>
      </c>
      <c r="G4158" s="9" t="s">
        <v>85</v>
      </c>
      <c r="H4158" s="2" t="s">
        <v>60</v>
      </c>
      <c r="I4158" s="3">
        <v>37381</v>
      </c>
      <c r="J4158" s="9" t="str">
        <f t="shared" ca="1" si="68"/>
        <v>21 ans</v>
      </c>
      <c r="K4158" s="2" t="s">
        <v>262</v>
      </c>
      <c r="L4158" s="2" t="str">
        <f>"9325"</f>
        <v>9325</v>
      </c>
      <c r="M4158" s="2"/>
      <c r="N4158" s="2" t="str">
        <f>"RUE PIMPARÉ"</f>
        <v>RUE PIMPARÉ</v>
      </c>
      <c r="O4158" s="2" t="s">
        <v>17630</v>
      </c>
      <c r="P4158" s="9" t="str">
        <f>VLOOKUP($O4158,'Liste des Villes'!$B$2:$B$1128,1,FALSE)</f>
        <v>Deux-Montagnes</v>
      </c>
      <c r="Q4158" s="9" t="str">
        <f>IFERROR($P4158,PROPER(VLOOKUP($O4158,'Villes en erreur'!$A$2:$B$72,2,FALSE)))</f>
        <v>Deux-Montagnes</v>
      </c>
      <c r="R4158" s="9" t="s">
        <v>17631</v>
      </c>
      <c r="S4158" s="9" t="str">
        <f>IF(ISBLANK($R4158),"",VLOOKUP($R4158,'Liste des Villes'!$B$2:$H$1128,4,FALSE))</f>
        <v>Laurentides</v>
      </c>
      <c r="T4158" s="2" t="s">
        <v>17634</v>
      </c>
      <c r="U4158" s="2" t="s">
        <v>39</v>
      </c>
      <c r="V4158" s="2" t="s">
        <v>40</v>
      </c>
      <c r="W4158" s="2" t="s">
        <v>17635</v>
      </c>
      <c r="X4158" s="2" t="str">
        <f>"4507121863"</f>
        <v>4507121863</v>
      </c>
      <c r="Y4158" s="2" t="str">
        <f>"5142095833"</f>
        <v>5142095833</v>
      </c>
      <c r="Z4158" s="2"/>
      <c r="AA4158" s="2" t="s">
        <v>793</v>
      </c>
      <c r="AB4158" s="2" t="s">
        <v>267</v>
      </c>
      <c r="AC4158" s="4" t="s">
        <v>44</v>
      </c>
    </row>
    <row r="4159" spans="1:29" x14ac:dyDescent="0.25">
      <c r="A4159" s="1">
        <v>1285</v>
      </c>
      <c r="B4159" s="17" t="s">
        <v>17636</v>
      </c>
      <c r="C4159" s="2" t="s">
        <v>7691</v>
      </c>
      <c r="D4159" s="15" t="s">
        <v>1800</v>
      </c>
      <c r="E4159" s="9" t="s">
        <v>7692</v>
      </c>
      <c r="F4159" s="9" t="s">
        <v>1098</v>
      </c>
      <c r="G4159" s="9" t="s">
        <v>85</v>
      </c>
      <c r="H4159" s="2" t="s">
        <v>60</v>
      </c>
      <c r="I4159" s="3">
        <v>37381</v>
      </c>
      <c r="J4159" s="9" t="str">
        <f t="shared" ca="1" si="68"/>
        <v>21 ans</v>
      </c>
      <c r="K4159" s="2" t="s">
        <v>262</v>
      </c>
      <c r="L4159" s="2" t="str">
        <f>"9325"</f>
        <v>9325</v>
      </c>
      <c r="M4159" s="2"/>
      <c r="N4159" s="2" t="str">
        <f>"RUE PILON"</f>
        <v>RUE PILON</v>
      </c>
      <c r="O4159" s="2" t="s">
        <v>17630</v>
      </c>
      <c r="P4159" s="9" t="str">
        <f>VLOOKUP($O4159,'Liste des Villes'!$B$2:$B$1128,1,FALSE)</f>
        <v>Deux-Montagnes</v>
      </c>
      <c r="Q4159" s="9" t="str">
        <f>IFERROR($P4159,PROPER(VLOOKUP($O4159,'Villes en erreur'!$A$2:$B$72,2,FALSE)))</f>
        <v>Deux-Montagnes</v>
      </c>
      <c r="R4159" s="9" t="s">
        <v>17631</v>
      </c>
      <c r="S4159" s="9" t="str">
        <f>IF(ISBLANK($R4159),"",VLOOKUP($R4159,'Liste des Villes'!$B$2:$H$1128,4,FALSE))</f>
        <v>Laurentides</v>
      </c>
      <c r="T4159" s="2" t="s">
        <v>17637</v>
      </c>
      <c r="U4159" s="2" t="s">
        <v>39</v>
      </c>
      <c r="V4159" s="2" t="s">
        <v>40</v>
      </c>
      <c r="W4159" s="2" t="s">
        <v>17638</v>
      </c>
      <c r="X4159" s="2" t="str">
        <f>"4507121506"</f>
        <v>4507121506</v>
      </c>
      <c r="Y4159" s="2" t="str">
        <f>"5142100659"</f>
        <v>5142100659</v>
      </c>
      <c r="Z4159" s="2"/>
      <c r="AA4159" s="2" t="s">
        <v>793</v>
      </c>
      <c r="AB4159" s="2" t="s">
        <v>267</v>
      </c>
      <c r="AC4159" s="4" t="s">
        <v>44</v>
      </c>
    </row>
    <row r="4160" spans="1:29" x14ac:dyDescent="0.25">
      <c r="A4160" s="1">
        <v>1460</v>
      </c>
      <c r="B4160" s="17" t="s">
        <v>17639</v>
      </c>
      <c r="C4160" s="2" t="s">
        <v>17640</v>
      </c>
      <c r="D4160" s="15" t="s">
        <v>17135</v>
      </c>
      <c r="E4160" s="9" t="s">
        <v>14454</v>
      </c>
      <c r="F4160" s="9" t="s">
        <v>17134</v>
      </c>
      <c r="G4160" s="9" t="s">
        <v>85</v>
      </c>
      <c r="H4160" s="2" t="s">
        <v>60</v>
      </c>
      <c r="I4160" s="3">
        <v>37375</v>
      </c>
      <c r="J4160" s="9" t="str">
        <f t="shared" ca="1" si="68"/>
        <v>21 ans</v>
      </c>
      <c r="K4160" s="2" t="s">
        <v>262</v>
      </c>
      <c r="L4160" s="2" t="str">
        <f>"8730"</f>
        <v>8730</v>
      </c>
      <c r="M4160" s="2"/>
      <c r="N4160" s="2" t="str">
        <f>"RUE PERREAULT"</f>
        <v>RUE PERREAULT</v>
      </c>
      <c r="O4160" s="2" t="s">
        <v>17630</v>
      </c>
      <c r="P4160" s="9" t="str">
        <f>VLOOKUP($O4160,'Liste des Villes'!$B$2:$B$1128,1,FALSE)</f>
        <v>Deux-Montagnes</v>
      </c>
      <c r="Q4160" s="9" t="str">
        <f>IFERROR($P4160,PROPER(VLOOKUP($O4160,'Villes en erreur'!$A$2:$B$72,2,FALSE)))</f>
        <v>Deux-Montagnes</v>
      </c>
      <c r="R4160" s="9" t="s">
        <v>17631</v>
      </c>
      <c r="S4160" s="9" t="str">
        <f>IF(ISBLANK($R4160),"",VLOOKUP($R4160,'Liste des Villes'!$B$2:$H$1128,4,FALSE))</f>
        <v>Laurentides</v>
      </c>
      <c r="T4160" s="2" t="s">
        <v>17641</v>
      </c>
      <c r="U4160" s="2" t="s">
        <v>39</v>
      </c>
      <c r="V4160" s="2" t="s">
        <v>40</v>
      </c>
      <c r="W4160" s="2" t="s">
        <v>17642</v>
      </c>
      <c r="X4160" s="2" t="str">
        <f>"4506604159"</f>
        <v>4506604159</v>
      </c>
      <c r="Y4160" s="2" t="str">
        <f>"5142981195"</f>
        <v>5142981195</v>
      </c>
      <c r="Z4160" s="2"/>
      <c r="AA4160" s="2" t="s">
        <v>266</v>
      </c>
      <c r="AB4160" s="2" t="s">
        <v>267</v>
      </c>
      <c r="AC4160" s="4" t="s">
        <v>44</v>
      </c>
    </row>
    <row r="4161" spans="1:29" x14ac:dyDescent="0.25">
      <c r="A4161" s="1">
        <v>4517</v>
      </c>
      <c r="B4161" s="17" t="s">
        <v>17643</v>
      </c>
      <c r="C4161" s="2" t="s">
        <v>9919</v>
      </c>
      <c r="D4161" s="15" t="s">
        <v>5100</v>
      </c>
      <c r="E4161" s="9" t="s">
        <v>370</v>
      </c>
      <c r="F4161" s="9" t="s">
        <v>15291</v>
      </c>
      <c r="G4161" s="9" t="s">
        <v>85</v>
      </c>
      <c r="H4161" s="2" t="s">
        <v>60</v>
      </c>
      <c r="I4161" s="3">
        <v>37377</v>
      </c>
      <c r="J4161" s="9" t="str">
        <f t="shared" ca="1" si="68"/>
        <v>21 ans</v>
      </c>
      <c r="K4161" s="2" t="s">
        <v>262</v>
      </c>
      <c r="L4161" s="2" t="str">
        <f>"8923"</f>
        <v>8923</v>
      </c>
      <c r="M4161" s="2"/>
      <c r="N4161" s="2" t="str">
        <f>"RUE PHILIPPON"</f>
        <v>RUE PHILIPPON</v>
      </c>
      <c r="O4161" s="2" t="s">
        <v>17630</v>
      </c>
      <c r="P4161" s="9" t="str">
        <f>VLOOKUP($O4161,'Liste des Villes'!$B$2:$B$1128,1,FALSE)</f>
        <v>Deux-Montagnes</v>
      </c>
      <c r="Q4161" s="9" t="str">
        <f>IFERROR($P4161,PROPER(VLOOKUP($O4161,'Villes en erreur'!$A$2:$B$72,2,FALSE)))</f>
        <v>Deux-Montagnes</v>
      </c>
      <c r="R4161" s="9" t="s">
        <v>17631</v>
      </c>
      <c r="S4161" s="9" t="str">
        <f>IF(ISBLANK($R4161),"",VLOOKUP($R4161,'Liste des Villes'!$B$2:$H$1128,4,FALSE))</f>
        <v>Laurentides</v>
      </c>
      <c r="T4161" s="2" t="s">
        <v>17644</v>
      </c>
      <c r="U4161" s="2" t="s">
        <v>39</v>
      </c>
      <c r="V4161" s="2" t="s">
        <v>40</v>
      </c>
      <c r="W4161" s="2" t="s">
        <v>17645</v>
      </c>
      <c r="X4161" s="2" t="str">
        <f>"4506758051"</f>
        <v>4506758051</v>
      </c>
      <c r="Y4161" s="2" t="str">
        <f>"5142622058"</f>
        <v>5142622058</v>
      </c>
      <c r="Z4161" s="2"/>
      <c r="AA4161" s="2" t="s">
        <v>266</v>
      </c>
      <c r="AB4161" s="2" t="s">
        <v>267</v>
      </c>
      <c r="AC4161" s="4" t="s">
        <v>44</v>
      </c>
    </row>
    <row r="4162" spans="1:29" x14ac:dyDescent="0.25">
      <c r="A4162" s="1">
        <v>2242</v>
      </c>
      <c r="B4162" s="17" t="s">
        <v>17646</v>
      </c>
      <c r="C4162" s="2" t="s">
        <v>10092</v>
      </c>
      <c r="D4162" s="15" t="s">
        <v>884</v>
      </c>
      <c r="E4162" s="9" t="s">
        <v>6380</v>
      </c>
      <c r="F4162" s="9" t="s">
        <v>7971</v>
      </c>
      <c r="G4162" s="9" t="s">
        <v>85</v>
      </c>
      <c r="H4162" s="2" t="s">
        <v>60</v>
      </c>
      <c r="I4162" s="3">
        <v>37377</v>
      </c>
      <c r="J4162" s="9" t="str">
        <f t="shared" ref="J4162:J4225" ca="1" si="70">_xlfn.CONCAT(INT((TODAY()-$I4162)/365.25)," ans")</f>
        <v>21 ans</v>
      </c>
      <c r="K4162" s="2" t="s">
        <v>262</v>
      </c>
      <c r="L4162" s="2" t="str">
        <f>"8934"</f>
        <v>8934</v>
      </c>
      <c r="M4162" s="2"/>
      <c r="N4162" s="2" t="str">
        <f>"RUE PICARD"</f>
        <v>RUE PICARD</v>
      </c>
      <c r="O4162" s="2" t="s">
        <v>17631</v>
      </c>
      <c r="P4162" s="9" t="str">
        <f>VLOOKUP($O4162,'Liste des Villes'!$B$2:$B$1128,1,FALSE)</f>
        <v>Deux-Montagnes</v>
      </c>
      <c r="Q4162" s="9" t="str">
        <f>IFERROR($P4162,PROPER(VLOOKUP($O4162,'Villes en erreur'!$A$2:$B$72,2,FALSE)))</f>
        <v>Deux-Montagnes</v>
      </c>
      <c r="R4162" s="9" t="s">
        <v>17631</v>
      </c>
      <c r="S4162" s="9" t="str">
        <f>IF(ISBLANK($R4162),"",VLOOKUP($R4162,'Liste des Villes'!$B$2:$H$1128,4,FALSE))</f>
        <v>Laurentides</v>
      </c>
      <c r="T4162" s="2" t="s">
        <v>17647</v>
      </c>
      <c r="U4162" s="2" t="s">
        <v>39</v>
      </c>
      <c r="V4162" s="2" t="s">
        <v>40</v>
      </c>
      <c r="W4162" s="2" t="s">
        <v>17648</v>
      </c>
      <c r="X4162" s="2" t="str">
        <f>"4506758509"</f>
        <v>4506758509</v>
      </c>
      <c r="Y4162" s="2" t="str">
        <f>"5142580402"</f>
        <v>5142580402</v>
      </c>
      <c r="Z4162" s="2"/>
      <c r="AA4162" s="2" t="s">
        <v>266</v>
      </c>
      <c r="AB4162" s="2" t="s">
        <v>267</v>
      </c>
      <c r="AC4162" s="4" t="s">
        <v>44</v>
      </c>
    </row>
    <row r="4163" spans="1:29" x14ac:dyDescent="0.25">
      <c r="A4163" s="1">
        <v>726</v>
      </c>
      <c r="B4163" s="17" t="s">
        <v>17649</v>
      </c>
      <c r="C4163" s="2" t="s">
        <v>17650</v>
      </c>
      <c r="D4163" s="15" t="s">
        <v>718</v>
      </c>
      <c r="E4163" s="9" t="s">
        <v>3004</v>
      </c>
      <c r="F4163" s="9" t="s">
        <v>6608</v>
      </c>
      <c r="G4163" s="9" t="s">
        <v>85</v>
      </c>
      <c r="H4163" s="2" t="s">
        <v>60</v>
      </c>
      <c r="I4163" s="3">
        <v>37376</v>
      </c>
      <c r="J4163" s="9" t="str">
        <f t="shared" ca="1" si="70"/>
        <v>21 ans</v>
      </c>
      <c r="K4163" s="2" t="s">
        <v>262</v>
      </c>
      <c r="L4163" s="2" t="str">
        <f>"8770"</f>
        <v>8770</v>
      </c>
      <c r="M4163" s="2"/>
      <c r="N4163" s="2" t="str">
        <f>"RUE PHILIPPE"</f>
        <v>RUE PHILIPPE</v>
      </c>
      <c r="O4163" s="2" t="s">
        <v>17630</v>
      </c>
      <c r="P4163" s="9" t="str">
        <f>VLOOKUP($O4163,'Liste des Villes'!$B$2:$B$1128,1,FALSE)</f>
        <v>Deux-Montagnes</v>
      </c>
      <c r="Q4163" s="9" t="str">
        <f>IFERROR($P4163,PROPER(VLOOKUP($O4163,'Villes en erreur'!$A$2:$B$72,2,FALSE)))</f>
        <v>Deux-Montagnes</v>
      </c>
      <c r="R4163" s="9" t="s">
        <v>17631</v>
      </c>
      <c r="S4163" s="9" t="str">
        <f>IF(ISBLANK($R4163),"",VLOOKUP($R4163,'Liste des Villes'!$B$2:$H$1128,4,FALSE))</f>
        <v>Laurentides</v>
      </c>
      <c r="T4163" s="2" t="s">
        <v>17651</v>
      </c>
      <c r="U4163" s="2" t="s">
        <v>39</v>
      </c>
      <c r="V4163" s="2" t="s">
        <v>40</v>
      </c>
      <c r="W4163" s="2" t="s">
        <v>17652</v>
      </c>
      <c r="X4163" s="2" t="str">
        <f>"4506752906"</f>
        <v>4506752906</v>
      </c>
      <c r="Y4163" s="2" t="str">
        <f>"5142923730"</f>
        <v>5142923730</v>
      </c>
      <c r="Z4163" s="2"/>
      <c r="AA4163" s="2" t="s">
        <v>266</v>
      </c>
      <c r="AB4163" s="2" t="s">
        <v>267</v>
      </c>
      <c r="AC4163" s="4" t="s">
        <v>44</v>
      </c>
    </row>
    <row r="4164" spans="1:29" x14ac:dyDescent="0.25">
      <c r="A4164" s="1">
        <v>1937</v>
      </c>
      <c r="B4164" s="17" t="s">
        <v>17653</v>
      </c>
      <c r="C4164" s="2" t="s">
        <v>17654</v>
      </c>
      <c r="D4164" s="15" t="s">
        <v>218</v>
      </c>
      <c r="E4164" s="9" t="s">
        <v>7536</v>
      </c>
      <c r="F4164" s="9" t="s">
        <v>7982</v>
      </c>
      <c r="G4164" s="9" t="s">
        <v>85</v>
      </c>
      <c r="H4164" s="2" t="s">
        <v>60</v>
      </c>
      <c r="I4164" s="3">
        <v>37376</v>
      </c>
      <c r="J4164" s="9" t="str">
        <f t="shared" ca="1" si="70"/>
        <v>21 ans</v>
      </c>
      <c r="K4164" s="2" t="s">
        <v>262</v>
      </c>
      <c r="L4164" s="2" t="str">
        <f>"8760"</f>
        <v>8760</v>
      </c>
      <c r="M4164" s="2"/>
      <c r="N4164" s="2" t="str">
        <f>"RUE PETIT"</f>
        <v>RUE PETIT</v>
      </c>
      <c r="O4164" s="2" t="s">
        <v>17630</v>
      </c>
      <c r="P4164" s="9" t="str">
        <f>VLOOKUP($O4164,'Liste des Villes'!$B$2:$B$1128,1,FALSE)</f>
        <v>Deux-Montagnes</v>
      </c>
      <c r="Q4164" s="9" t="str">
        <f>IFERROR($P4164,PROPER(VLOOKUP($O4164,'Villes en erreur'!$A$2:$B$72,2,FALSE)))</f>
        <v>Deux-Montagnes</v>
      </c>
      <c r="R4164" s="9" t="s">
        <v>17631</v>
      </c>
      <c r="S4164" s="9" t="str">
        <f>IF(ISBLANK($R4164),"",VLOOKUP($R4164,'Liste des Villes'!$B$2:$H$1128,4,FALSE))</f>
        <v>Laurentides</v>
      </c>
      <c r="T4164" s="2" t="s">
        <v>17641</v>
      </c>
      <c r="U4164" s="2" t="s">
        <v>39</v>
      </c>
      <c r="V4164" s="2" t="s">
        <v>40</v>
      </c>
      <c r="W4164" s="2" t="s">
        <v>17655</v>
      </c>
      <c r="X4164" s="2" t="str">
        <f>"4506750613"</f>
        <v>4506750613</v>
      </c>
      <c r="Y4164" s="2" t="str">
        <f>"5142950907"</f>
        <v>5142950907</v>
      </c>
      <c r="Z4164" s="2"/>
      <c r="AA4164" s="2" t="s">
        <v>266</v>
      </c>
      <c r="AB4164" s="2" t="s">
        <v>267</v>
      </c>
      <c r="AC4164" s="4" t="s">
        <v>44</v>
      </c>
    </row>
    <row r="4165" spans="1:29" x14ac:dyDescent="0.25">
      <c r="A4165" s="1">
        <v>897</v>
      </c>
      <c r="B4165" s="17" t="s">
        <v>17656</v>
      </c>
      <c r="C4165" s="2" t="s">
        <v>6038</v>
      </c>
      <c r="D4165" s="15" t="s">
        <v>6039</v>
      </c>
      <c r="E4165" s="9" t="s">
        <v>4243</v>
      </c>
      <c r="F4165" s="9" t="s">
        <v>15266</v>
      </c>
      <c r="G4165" s="9" t="s">
        <v>85</v>
      </c>
      <c r="H4165" s="2" t="s">
        <v>60</v>
      </c>
      <c r="I4165" s="3">
        <v>37380</v>
      </c>
      <c r="J4165" s="9" t="str">
        <f t="shared" ca="1" si="70"/>
        <v>21 ans</v>
      </c>
      <c r="K4165" s="2" t="s">
        <v>262</v>
      </c>
      <c r="L4165" s="2" t="str">
        <f>"9240"</f>
        <v>9240</v>
      </c>
      <c r="M4165" s="2"/>
      <c r="N4165" s="2" t="str">
        <f>"RUE PIERRETTE"</f>
        <v>RUE PIERRETTE</v>
      </c>
      <c r="O4165" s="2" t="s">
        <v>17630</v>
      </c>
      <c r="P4165" s="9" t="str">
        <f>VLOOKUP($O4165,'Liste des Villes'!$B$2:$B$1128,1,FALSE)</f>
        <v>Deux-Montagnes</v>
      </c>
      <c r="Q4165" s="9" t="str">
        <f>IFERROR($P4165,PROPER(VLOOKUP($O4165,'Villes en erreur'!$A$2:$B$72,2,FALSE)))</f>
        <v>Deux-Montagnes</v>
      </c>
      <c r="R4165" s="9" t="s">
        <v>17631</v>
      </c>
      <c r="S4165" s="9" t="str">
        <f>IF(ISBLANK($R4165),"",VLOOKUP($R4165,'Liste des Villes'!$B$2:$H$1128,4,FALSE))</f>
        <v>Laurentides</v>
      </c>
      <c r="T4165" s="2" t="s">
        <v>17657</v>
      </c>
      <c r="U4165" s="2" t="s">
        <v>39</v>
      </c>
      <c r="V4165" s="2" t="s">
        <v>40</v>
      </c>
      <c r="W4165" s="2" t="s">
        <v>17658</v>
      </c>
      <c r="X4165" s="2" t="str">
        <f>"4507120472"</f>
        <v>4507120472</v>
      </c>
      <c r="Y4165" s="2" t="str">
        <f>"5142408259"</f>
        <v>5142408259</v>
      </c>
      <c r="Z4165" s="2"/>
      <c r="AA4165" s="2" t="s">
        <v>266</v>
      </c>
      <c r="AB4165" s="2" t="s">
        <v>267</v>
      </c>
      <c r="AC4165" s="4" t="s">
        <v>44</v>
      </c>
    </row>
    <row r="4166" spans="1:29" x14ac:dyDescent="0.25">
      <c r="A4166" s="1">
        <v>3731</v>
      </c>
      <c r="B4166" s="17" t="s">
        <v>17659</v>
      </c>
      <c r="C4166" s="2" t="s">
        <v>17660</v>
      </c>
      <c r="D4166" s="15" t="s">
        <v>14217</v>
      </c>
      <c r="E4166" s="9" t="s">
        <v>610</v>
      </c>
      <c r="F4166" s="9" t="s">
        <v>2099</v>
      </c>
      <c r="G4166" s="9" t="s">
        <v>85</v>
      </c>
      <c r="H4166" s="2" t="s">
        <v>60</v>
      </c>
      <c r="I4166" s="3">
        <v>37378</v>
      </c>
      <c r="J4166" s="9" t="str">
        <f t="shared" ca="1" si="70"/>
        <v>21 ans</v>
      </c>
      <c r="K4166" s="2" t="s">
        <v>262</v>
      </c>
      <c r="L4166" s="2" t="str">
        <f>"9100"</f>
        <v>9100</v>
      </c>
      <c r="M4166" s="2"/>
      <c r="N4166" s="2" t="str">
        <f>"RUE PIERRE CÔTÉ"</f>
        <v>RUE PIERRE CÔTÉ</v>
      </c>
      <c r="O4166" s="2" t="s">
        <v>17630</v>
      </c>
      <c r="P4166" s="9" t="str">
        <f>VLOOKUP($O4166,'Liste des Villes'!$B$2:$B$1128,1,FALSE)</f>
        <v>Deux-Montagnes</v>
      </c>
      <c r="Q4166" s="9" t="str">
        <f>IFERROR($P4166,PROPER(VLOOKUP($O4166,'Villes en erreur'!$A$2:$B$72,2,FALSE)))</f>
        <v>Deux-Montagnes</v>
      </c>
      <c r="R4166" s="9" t="s">
        <v>17631</v>
      </c>
      <c r="S4166" s="9" t="str">
        <f>IF(ISBLANK($R4166),"",VLOOKUP($R4166,'Liste des Villes'!$B$2:$H$1128,4,FALSE))</f>
        <v>Laurentides</v>
      </c>
      <c r="T4166" s="2" t="s">
        <v>17661</v>
      </c>
      <c r="U4166" s="2" t="s">
        <v>39</v>
      </c>
      <c r="V4166" s="2" t="s">
        <v>40</v>
      </c>
      <c r="W4166" s="2" t="s">
        <v>17662</v>
      </c>
      <c r="X4166" s="2" t="str">
        <f>"4506940621"</f>
        <v>4506940621</v>
      </c>
      <c r="Y4166" s="2" t="str">
        <f>"5142495959"</f>
        <v>5142495959</v>
      </c>
      <c r="Z4166" s="2"/>
      <c r="AA4166" s="2" t="s">
        <v>266</v>
      </c>
      <c r="AB4166" s="2" t="s">
        <v>267</v>
      </c>
      <c r="AC4166" s="4" t="s">
        <v>44</v>
      </c>
    </row>
    <row r="4167" spans="1:29" x14ac:dyDescent="0.25">
      <c r="A4167" s="1">
        <v>2706</v>
      </c>
      <c r="B4167" s="17" t="s">
        <v>17663</v>
      </c>
      <c r="C4167" s="2" t="s">
        <v>2511</v>
      </c>
      <c r="D4167" s="15" t="s">
        <v>304</v>
      </c>
      <c r="E4167" s="9" t="s">
        <v>2512</v>
      </c>
      <c r="F4167" s="9" t="s">
        <v>17664</v>
      </c>
      <c r="G4167" s="9" t="s">
        <v>85</v>
      </c>
      <c r="H4167" s="2" t="s">
        <v>60</v>
      </c>
      <c r="I4167" s="3">
        <v>37381</v>
      </c>
      <c r="J4167" s="9" t="str">
        <f t="shared" ca="1" si="70"/>
        <v>21 ans</v>
      </c>
      <c r="K4167" s="2" t="s">
        <v>262</v>
      </c>
      <c r="L4167" s="2" t="str">
        <f>"9275"</f>
        <v>9275</v>
      </c>
      <c r="M4167" s="2"/>
      <c r="N4167" s="2" t="str">
        <f>"RUE PIETTE"</f>
        <v>RUE PIETTE</v>
      </c>
      <c r="O4167" s="2" t="s">
        <v>17630</v>
      </c>
      <c r="P4167" s="9" t="str">
        <f>VLOOKUP($O4167,'Liste des Villes'!$B$2:$B$1128,1,FALSE)</f>
        <v>Deux-Montagnes</v>
      </c>
      <c r="Q4167" s="9" t="str">
        <f>IFERROR($P4167,PROPER(VLOOKUP($O4167,'Villes en erreur'!$A$2:$B$72,2,FALSE)))</f>
        <v>Deux-Montagnes</v>
      </c>
      <c r="R4167" s="9" t="s">
        <v>17631</v>
      </c>
      <c r="S4167" s="9" t="str">
        <f>IF(ISBLANK($R4167),"",VLOOKUP($R4167,'Liste des Villes'!$B$2:$H$1128,4,FALSE))</f>
        <v>Laurentides</v>
      </c>
      <c r="T4167" s="2" t="s">
        <v>17665</v>
      </c>
      <c r="U4167" s="2" t="s">
        <v>39</v>
      </c>
      <c r="V4167" s="2" t="s">
        <v>40</v>
      </c>
      <c r="W4167" s="2" t="s">
        <v>17666</v>
      </c>
      <c r="X4167" s="2" t="str">
        <f>"4507120815"</f>
        <v>4507120815</v>
      </c>
      <c r="Y4167" s="2" t="str">
        <f>"5142194144"</f>
        <v>5142194144</v>
      </c>
      <c r="Z4167" s="2"/>
      <c r="AA4167" s="2" t="s">
        <v>793</v>
      </c>
      <c r="AB4167" s="2" t="s">
        <v>267</v>
      </c>
      <c r="AC4167" s="4" t="s">
        <v>44</v>
      </c>
    </row>
    <row r="4168" spans="1:29" x14ac:dyDescent="0.25">
      <c r="A4168" s="1">
        <v>1867</v>
      </c>
      <c r="B4168" s="17" t="s">
        <v>17667</v>
      </c>
      <c r="C4168" s="2" t="s">
        <v>1976</v>
      </c>
      <c r="D4168" s="15" t="s">
        <v>1977</v>
      </c>
      <c r="E4168" s="9" t="s">
        <v>1978</v>
      </c>
      <c r="F4168" s="9" t="s">
        <v>13971</v>
      </c>
      <c r="G4168" s="9" t="s">
        <v>85</v>
      </c>
      <c r="H4168" s="2" t="s">
        <v>60</v>
      </c>
      <c r="I4168" s="3">
        <v>37379</v>
      </c>
      <c r="J4168" s="9" t="str">
        <f t="shared" ca="1" si="70"/>
        <v>21 ans</v>
      </c>
      <c r="K4168" s="2" t="s">
        <v>262</v>
      </c>
      <c r="L4168" s="2" t="str">
        <f>"9105"</f>
        <v>9105</v>
      </c>
      <c r="M4168" s="2"/>
      <c r="N4168" s="2" t="str">
        <f>"RUE PIERRE-AUDETTE"</f>
        <v>RUE PIERRE-AUDETTE</v>
      </c>
      <c r="O4168" s="2" t="s">
        <v>17630</v>
      </c>
      <c r="P4168" s="9" t="str">
        <f>VLOOKUP($O4168,'Liste des Villes'!$B$2:$B$1128,1,FALSE)</f>
        <v>Deux-Montagnes</v>
      </c>
      <c r="Q4168" s="9" t="str">
        <f>IFERROR($P4168,PROPER(VLOOKUP($O4168,'Villes en erreur'!$A$2:$B$72,2,FALSE)))</f>
        <v>Deux-Montagnes</v>
      </c>
      <c r="R4168" s="9" t="s">
        <v>17631</v>
      </c>
      <c r="S4168" s="9" t="str">
        <f>IF(ISBLANK($R4168),"",VLOOKUP($R4168,'Liste des Villes'!$B$2:$H$1128,4,FALSE))</f>
        <v>Laurentides</v>
      </c>
      <c r="T4168" s="2" t="s">
        <v>17661</v>
      </c>
      <c r="U4168" s="2" t="s">
        <v>39</v>
      </c>
      <c r="V4168" s="2" t="s">
        <v>40</v>
      </c>
      <c r="W4168" s="2" t="s">
        <v>17668</v>
      </c>
      <c r="X4168" s="2" t="str">
        <f>"4506942466"</f>
        <v>4506942466</v>
      </c>
      <c r="Y4168" s="2" t="str">
        <f>"5142494971"</f>
        <v>5142494971</v>
      </c>
      <c r="Z4168" s="2"/>
      <c r="AA4168" s="2" t="s">
        <v>266</v>
      </c>
      <c r="AB4168" s="2" t="s">
        <v>267</v>
      </c>
      <c r="AC4168" s="4" t="s">
        <v>44</v>
      </c>
    </row>
    <row r="4169" spans="1:29" x14ac:dyDescent="0.25">
      <c r="A4169" s="1">
        <v>1971</v>
      </c>
      <c r="B4169" s="17" t="s">
        <v>17669</v>
      </c>
      <c r="C4169" s="2" t="s">
        <v>8837</v>
      </c>
      <c r="D4169" s="15" t="s">
        <v>3080</v>
      </c>
      <c r="E4169" s="9" t="s">
        <v>188</v>
      </c>
      <c r="F4169" s="9" t="s">
        <v>3078</v>
      </c>
      <c r="G4169" s="9" t="s">
        <v>85</v>
      </c>
      <c r="H4169" s="2" t="s">
        <v>60</v>
      </c>
      <c r="I4169" s="3">
        <v>37379</v>
      </c>
      <c r="J4169" s="9" t="str">
        <f t="shared" ca="1" si="70"/>
        <v>21 ans</v>
      </c>
      <c r="K4169" s="2" t="s">
        <v>262</v>
      </c>
      <c r="L4169" s="2" t="str">
        <f>"9105"</f>
        <v>9105</v>
      </c>
      <c r="M4169" s="2"/>
      <c r="N4169" s="2" t="str">
        <f>"RUE PIERRE-BOUCHER"</f>
        <v>RUE PIERRE-BOUCHER</v>
      </c>
      <c r="O4169" s="2" t="s">
        <v>17630</v>
      </c>
      <c r="P4169" s="9" t="str">
        <f>VLOOKUP($O4169,'Liste des Villes'!$B$2:$B$1128,1,FALSE)</f>
        <v>Deux-Montagnes</v>
      </c>
      <c r="Q4169" s="9" t="str">
        <f>IFERROR($P4169,PROPER(VLOOKUP($O4169,'Villes en erreur'!$A$2:$B$72,2,FALSE)))</f>
        <v>Deux-Montagnes</v>
      </c>
      <c r="R4169" s="9" t="s">
        <v>17631</v>
      </c>
      <c r="S4169" s="9" t="str">
        <f>IF(ISBLANK($R4169),"",VLOOKUP($R4169,'Liste des Villes'!$B$2:$H$1128,4,FALSE))</f>
        <v>Laurentides</v>
      </c>
      <c r="T4169" s="2" t="s">
        <v>17670</v>
      </c>
      <c r="U4169" s="2" t="s">
        <v>39</v>
      </c>
      <c r="V4169" s="2" t="s">
        <v>40</v>
      </c>
      <c r="W4169" s="2" t="s">
        <v>17671</v>
      </c>
      <c r="X4169" s="2" t="str">
        <f>"4506943911"</f>
        <v>4506943911</v>
      </c>
      <c r="Y4169" s="2" t="str">
        <f>"5142486409"</f>
        <v>5142486409</v>
      </c>
      <c r="Z4169" s="2"/>
      <c r="AA4169" s="2" t="s">
        <v>266</v>
      </c>
      <c r="AB4169" s="2" t="s">
        <v>267</v>
      </c>
      <c r="AC4169" s="4" t="s">
        <v>44</v>
      </c>
    </row>
    <row r="4170" spans="1:29" x14ac:dyDescent="0.25">
      <c r="A4170" s="1">
        <v>3804</v>
      </c>
      <c r="B4170" s="17" t="s">
        <v>17672</v>
      </c>
      <c r="C4170" s="2" t="s">
        <v>17673</v>
      </c>
      <c r="D4170" s="15" t="s">
        <v>9009</v>
      </c>
      <c r="E4170" s="9" t="s">
        <v>14299</v>
      </c>
      <c r="F4170" s="9" t="s">
        <v>9008</v>
      </c>
      <c r="G4170" s="9" t="s">
        <v>85</v>
      </c>
      <c r="H4170" s="2" t="s">
        <v>60</v>
      </c>
      <c r="I4170" s="3">
        <v>37379</v>
      </c>
      <c r="J4170" s="9" t="str">
        <f t="shared" ca="1" si="70"/>
        <v>21 ans</v>
      </c>
      <c r="K4170" s="2" t="s">
        <v>262</v>
      </c>
      <c r="L4170" s="2" t="str">
        <f>"9155"</f>
        <v>9155</v>
      </c>
      <c r="M4170" s="2"/>
      <c r="N4170" s="2" t="str">
        <f>"RUE PIERRE-LE MOYNE"</f>
        <v>RUE PIERRE-LE MOYNE</v>
      </c>
      <c r="O4170" s="2" t="s">
        <v>17630</v>
      </c>
      <c r="P4170" s="9" t="str">
        <f>VLOOKUP($O4170,'Liste des Villes'!$B$2:$B$1128,1,FALSE)</f>
        <v>Deux-Montagnes</v>
      </c>
      <c r="Q4170" s="9" t="str">
        <f>IFERROR($P4170,PROPER(VLOOKUP($O4170,'Villes en erreur'!$A$2:$B$72,2,FALSE)))</f>
        <v>Deux-Montagnes</v>
      </c>
      <c r="R4170" s="9" t="s">
        <v>17631</v>
      </c>
      <c r="S4170" s="9" t="str">
        <f>IF(ISBLANK($R4170),"",VLOOKUP($R4170,'Liste des Villes'!$B$2:$H$1128,4,FALSE))</f>
        <v>Laurentides</v>
      </c>
      <c r="T4170" s="2" t="s">
        <v>17670</v>
      </c>
      <c r="U4170" s="2" t="s">
        <v>39</v>
      </c>
      <c r="V4170" s="2" t="s">
        <v>40</v>
      </c>
      <c r="W4170" s="2" t="s">
        <v>17674</v>
      </c>
      <c r="X4170" s="2" t="str">
        <f>"4507070635"</f>
        <v>4507070635</v>
      </c>
      <c r="Y4170" s="2" t="str">
        <f>"5142462529"</f>
        <v>5142462529</v>
      </c>
      <c r="Z4170" s="2"/>
      <c r="AA4170" s="2" t="s">
        <v>266</v>
      </c>
      <c r="AB4170" s="2" t="s">
        <v>267</v>
      </c>
      <c r="AC4170" s="4" t="s">
        <v>44</v>
      </c>
    </row>
    <row r="4171" spans="1:29" x14ac:dyDescent="0.25">
      <c r="A4171" s="1">
        <v>1406</v>
      </c>
      <c r="B4171" s="17" t="s">
        <v>17675</v>
      </c>
      <c r="C4171" s="2" t="s">
        <v>17676</v>
      </c>
      <c r="D4171" s="15" t="s">
        <v>15908</v>
      </c>
      <c r="E4171" s="9" t="s">
        <v>4633</v>
      </c>
      <c r="F4171" s="9" t="s">
        <v>15907</v>
      </c>
      <c r="G4171" s="9" t="s">
        <v>85</v>
      </c>
      <c r="H4171" s="2" t="s">
        <v>60</v>
      </c>
      <c r="I4171" s="3">
        <v>37377</v>
      </c>
      <c r="J4171" s="9" t="str">
        <f t="shared" ca="1" si="70"/>
        <v>21 ans</v>
      </c>
      <c r="K4171" s="2" t="s">
        <v>262</v>
      </c>
      <c r="L4171" s="2" t="str">
        <f>"8870"</f>
        <v>8870</v>
      </c>
      <c r="M4171" s="2"/>
      <c r="N4171" s="2" t="str">
        <f>"RUE PHILIPPON"</f>
        <v>RUE PHILIPPON</v>
      </c>
      <c r="O4171" s="2" t="s">
        <v>17630</v>
      </c>
      <c r="P4171" s="9" t="str">
        <f>VLOOKUP($O4171,'Liste des Villes'!$B$2:$B$1128,1,FALSE)</f>
        <v>Deux-Montagnes</v>
      </c>
      <c r="Q4171" s="9" t="str">
        <f>IFERROR($P4171,PROPER(VLOOKUP($O4171,'Villes en erreur'!$A$2:$B$72,2,FALSE)))</f>
        <v>Deux-Montagnes</v>
      </c>
      <c r="R4171" s="9" t="s">
        <v>17631</v>
      </c>
      <c r="S4171" s="9" t="str">
        <f>IF(ISBLANK($R4171),"",VLOOKUP($R4171,'Liste des Villes'!$B$2:$H$1128,4,FALSE))</f>
        <v>Laurentides</v>
      </c>
      <c r="T4171" s="2" t="s">
        <v>17651</v>
      </c>
      <c r="U4171" s="2" t="s">
        <v>39</v>
      </c>
      <c r="V4171" s="2" t="s">
        <v>40</v>
      </c>
      <c r="W4171" s="2" t="s">
        <v>17677</v>
      </c>
      <c r="X4171" s="2" t="str">
        <f>"4506758024"</f>
        <v>4506758024</v>
      </c>
      <c r="Y4171" s="2" t="str">
        <f>"5142623430"</f>
        <v>5142623430</v>
      </c>
      <c r="Z4171" s="2"/>
      <c r="AA4171" s="2" t="s">
        <v>266</v>
      </c>
      <c r="AB4171" s="2" t="s">
        <v>267</v>
      </c>
      <c r="AC4171" s="4" t="s">
        <v>44</v>
      </c>
    </row>
    <row r="4172" spans="1:29" x14ac:dyDescent="0.25">
      <c r="A4172" s="1">
        <v>2670</v>
      </c>
      <c r="B4172" s="17" t="s">
        <v>17678</v>
      </c>
      <c r="C4172" s="2" t="s">
        <v>17679</v>
      </c>
      <c r="D4172" s="15" t="s">
        <v>17680</v>
      </c>
      <c r="E4172" s="9" t="s">
        <v>2796</v>
      </c>
      <c r="F4172" s="9" t="s">
        <v>1832</v>
      </c>
      <c r="G4172" s="9" t="s">
        <v>85</v>
      </c>
      <c r="H4172" s="2" t="s">
        <v>60</v>
      </c>
      <c r="I4172" s="3">
        <v>37381</v>
      </c>
      <c r="J4172" s="9" t="str">
        <f t="shared" ca="1" si="70"/>
        <v>21 ans</v>
      </c>
      <c r="K4172" s="2" t="s">
        <v>262</v>
      </c>
      <c r="L4172" s="2" t="str">
        <f>"9300"</f>
        <v>9300</v>
      </c>
      <c r="M4172" s="2"/>
      <c r="N4172" s="2" t="str">
        <f>"RUE PILON"</f>
        <v>RUE PILON</v>
      </c>
      <c r="O4172" s="2" t="s">
        <v>17630</v>
      </c>
      <c r="P4172" s="9" t="str">
        <f>VLOOKUP($O4172,'Liste des Villes'!$B$2:$B$1128,1,FALSE)</f>
        <v>Deux-Montagnes</v>
      </c>
      <c r="Q4172" s="9" t="str">
        <f>IFERROR($P4172,PROPER(VLOOKUP($O4172,'Villes en erreur'!$A$2:$B$72,2,FALSE)))</f>
        <v>Deux-Montagnes</v>
      </c>
      <c r="R4172" s="9" t="s">
        <v>17631</v>
      </c>
      <c r="S4172" s="9" t="str">
        <f>IF(ISBLANK($R4172),"",VLOOKUP($R4172,'Liste des Villes'!$B$2:$H$1128,4,FALSE))</f>
        <v>Laurentides</v>
      </c>
      <c r="T4172" s="2" t="s">
        <v>17681</v>
      </c>
      <c r="U4172" s="2" t="s">
        <v>39</v>
      </c>
      <c r="V4172" s="2" t="s">
        <v>40</v>
      </c>
      <c r="W4172" s="2" t="s">
        <v>17682</v>
      </c>
      <c r="X4172" s="2" t="str">
        <f>"4507121146"</f>
        <v>4507121146</v>
      </c>
      <c r="Y4172" s="2" t="str">
        <f>"5142135824"</f>
        <v>5142135824</v>
      </c>
      <c r="Z4172" s="2"/>
      <c r="AA4172" s="2" t="s">
        <v>793</v>
      </c>
      <c r="AB4172" s="2" t="s">
        <v>267</v>
      </c>
      <c r="AC4172" s="4" t="s">
        <v>44</v>
      </c>
    </row>
    <row r="4173" spans="1:29" x14ac:dyDescent="0.25">
      <c r="A4173" s="1">
        <v>919</v>
      </c>
      <c r="B4173" s="17" t="s">
        <v>17683</v>
      </c>
      <c r="C4173" s="2" t="s">
        <v>7298</v>
      </c>
      <c r="D4173" s="15" t="s">
        <v>2199</v>
      </c>
      <c r="E4173" s="9" t="s">
        <v>3668</v>
      </c>
      <c r="F4173" s="9" t="s">
        <v>13310</v>
      </c>
      <c r="G4173" s="9" t="s">
        <v>85</v>
      </c>
      <c r="H4173" s="2" t="s">
        <v>60</v>
      </c>
      <c r="I4173" s="3">
        <v>37376</v>
      </c>
      <c r="J4173" s="9" t="str">
        <f t="shared" ca="1" si="70"/>
        <v>21 ans</v>
      </c>
      <c r="K4173" s="2" t="s">
        <v>262</v>
      </c>
      <c r="L4173" s="2" t="str">
        <f>"8770"</f>
        <v>8770</v>
      </c>
      <c r="M4173" s="2"/>
      <c r="N4173" s="2" t="str">
        <f>"RUE PHELAN"</f>
        <v>RUE PHELAN</v>
      </c>
      <c r="O4173" s="2" t="s">
        <v>17630</v>
      </c>
      <c r="P4173" s="9" t="str">
        <f>VLOOKUP($O4173,'Liste des Villes'!$B$2:$B$1128,1,FALSE)</f>
        <v>Deux-Montagnes</v>
      </c>
      <c r="Q4173" s="9" t="str">
        <f>IFERROR($P4173,PROPER(VLOOKUP($O4173,'Villes en erreur'!$A$2:$B$72,2,FALSE)))</f>
        <v>Deux-Montagnes</v>
      </c>
      <c r="R4173" s="9" t="s">
        <v>17631</v>
      </c>
      <c r="S4173" s="9" t="str">
        <f>IF(ISBLANK($R4173),"",VLOOKUP($R4173,'Liste des Villes'!$B$2:$H$1128,4,FALSE))</f>
        <v>Laurentides</v>
      </c>
      <c r="T4173" s="2" t="s">
        <v>17651</v>
      </c>
      <c r="U4173" s="2" t="s">
        <v>39</v>
      </c>
      <c r="V4173" s="2" t="s">
        <v>40</v>
      </c>
      <c r="W4173" s="2" t="s">
        <v>17684</v>
      </c>
      <c r="X4173" s="2" t="str">
        <f>"4506752886"</f>
        <v>4506752886</v>
      </c>
      <c r="Y4173" s="2" t="str">
        <f>"5142925404"</f>
        <v>5142925404</v>
      </c>
      <c r="Z4173" s="2"/>
      <c r="AA4173" s="2" t="s">
        <v>266</v>
      </c>
      <c r="AB4173" s="2" t="s">
        <v>267</v>
      </c>
      <c r="AC4173" s="4" t="s">
        <v>44</v>
      </c>
    </row>
    <row r="4174" spans="1:29" x14ac:dyDescent="0.25">
      <c r="A4174" s="1">
        <v>2949</v>
      </c>
      <c r="B4174" s="17" t="s">
        <v>17685</v>
      </c>
      <c r="C4174" s="2" t="s">
        <v>17686</v>
      </c>
      <c r="D4174" s="15" t="s">
        <v>76</v>
      </c>
      <c r="E4174" s="9" t="s">
        <v>9434</v>
      </c>
      <c r="F4174" s="9" t="s">
        <v>11228</v>
      </c>
      <c r="G4174" s="9" t="s">
        <v>85</v>
      </c>
      <c r="H4174" s="2" t="s">
        <v>60</v>
      </c>
      <c r="I4174" s="3">
        <v>37379</v>
      </c>
      <c r="J4174" s="9" t="str">
        <f t="shared" ca="1" si="70"/>
        <v>21 ans</v>
      </c>
      <c r="K4174" s="2" t="s">
        <v>262</v>
      </c>
      <c r="L4174" s="2" t="str">
        <f>"9215"</f>
        <v>9215</v>
      </c>
      <c r="M4174" s="2"/>
      <c r="N4174" s="2" t="str">
        <f>"RUE PIERRE-MERCURE"</f>
        <v>RUE PIERRE-MERCURE</v>
      </c>
      <c r="O4174" s="2" t="s">
        <v>17630</v>
      </c>
      <c r="P4174" s="9" t="str">
        <f>VLOOKUP($O4174,'Liste des Villes'!$B$2:$B$1128,1,FALSE)</f>
        <v>Deux-Montagnes</v>
      </c>
      <c r="Q4174" s="9" t="str">
        <f>IFERROR($P4174,PROPER(VLOOKUP($O4174,'Villes en erreur'!$A$2:$B$72,2,FALSE)))</f>
        <v>Deux-Montagnes</v>
      </c>
      <c r="R4174" s="9" t="s">
        <v>17631</v>
      </c>
      <c r="S4174" s="9" t="str">
        <f>IF(ISBLANK($R4174),"",VLOOKUP($R4174,'Liste des Villes'!$B$2:$H$1128,4,FALSE))</f>
        <v>Laurentides</v>
      </c>
      <c r="T4174" s="2" t="s">
        <v>17687</v>
      </c>
      <c r="U4174" s="2" t="s">
        <v>39</v>
      </c>
      <c r="V4174" s="2" t="s">
        <v>40</v>
      </c>
      <c r="W4174" s="2" t="s">
        <v>17688</v>
      </c>
      <c r="X4174" s="2" t="str">
        <f>"4507120045"</f>
        <v>4507120045</v>
      </c>
      <c r="Y4174" s="2" t="str">
        <f>"5142422462"</f>
        <v>5142422462</v>
      </c>
      <c r="Z4174" s="2"/>
      <c r="AA4174" s="2" t="s">
        <v>266</v>
      </c>
      <c r="AB4174" s="2" t="s">
        <v>267</v>
      </c>
      <c r="AC4174" s="4" t="s">
        <v>44</v>
      </c>
    </row>
    <row r="4175" spans="1:29" x14ac:dyDescent="0.25">
      <c r="A4175" s="1">
        <v>260</v>
      </c>
      <c r="B4175" s="17" t="s">
        <v>17689</v>
      </c>
      <c r="C4175" s="2" t="s">
        <v>5615</v>
      </c>
      <c r="D4175" s="15" t="s">
        <v>1324</v>
      </c>
      <c r="E4175" s="9" t="s">
        <v>1355</v>
      </c>
      <c r="F4175" s="9" t="s">
        <v>6969</v>
      </c>
      <c r="G4175" s="9" t="s">
        <v>85</v>
      </c>
      <c r="H4175" s="2" t="s">
        <v>60</v>
      </c>
      <c r="I4175" s="3">
        <v>37377</v>
      </c>
      <c r="J4175" s="9" t="str">
        <f t="shared" ca="1" si="70"/>
        <v>21 ans</v>
      </c>
      <c r="K4175" s="2" t="s">
        <v>262</v>
      </c>
      <c r="L4175" s="2" t="str">
        <f>"9023"</f>
        <v>9023</v>
      </c>
      <c r="M4175" s="2"/>
      <c r="N4175" s="2" t="str">
        <f>"RUE PICHÉ"</f>
        <v>RUE PICHÉ</v>
      </c>
      <c r="O4175" s="2" t="s">
        <v>17630</v>
      </c>
      <c r="P4175" s="9" t="str">
        <f>VLOOKUP($O4175,'Liste des Villes'!$B$2:$B$1128,1,FALSE)</f>
        <v>Deux-Montagnes</v>
      </c>
      <c r="Q4175" s="9" t="str">
        <f>IFERROR($P4175,PROPER(VLOOKUP($O4175,'Villes en erreur'!$A$2:$B$72,2,FALSE)))</f>
        <v>Deux-Montagnes</v>
      </c>
      <c r="R4175" s="9" t="s">
        <v>17631</v>
      </c>
      <c r="S4175" s="9" t="str">
        <f>IF(ISBLANK($R4175),"",VLOOKUP($R4175,'Liste des Villes'!$B$2:$H$1128,4,FALSE))</f>
        <v>Laurentides</v>
      </c>
      <c r="T4175" s="2" t="s">
        <v>17647</v>
      </c>
      <c r="U4175" s="2" t="s">
        <v>39</v>
      </c>
      <c r="V4175" s="2" t="s">
        <v>40</v>
      </c>
      <c r="W4175" s="2" t="s">
        <v>17690</v>
      </c>
      <c r="X4175" s="2" t="str">
        <f>"4506758741"</f>
        <v>4506758741</v>
      </c>
      <c r="Y4175" s="2" t="str">
        <f>"5142505017"</f>
        <v>5142505017</v>
      </c>
      <c r="Z4175" s="2"/>
      <c r="AA4175" s="2" t="s">
        <v>266</v>
      </c>
      <c r="AB4175" s="2" t="s">
        <v>267</v>
      </c>
      <c r="AC4175" s="4" t="s">
        <v>44</v>
      </c>
    </row>
    <row r="4176" spans="1:29" x14ac:dyDescent="0.25">
      <c r="A4176" s="1">
        <v>621</v>
      </c>
      <c r="B4176" s="17" t="s">
        <v>17691</v>
      </c>
      <c r="C4176" s="2" t="s">
        <v>17692</v>
      </c>
      <c r="D4176" s="15" t="s">
        <v>16282</v>
      </c>
      <c r="E4176" s="9" t="s">
        <v>4074</v>
      </c>
      <c r="F4176" s="9" t="s">
        <v>1716</v>
      </c>
      <c r="G4176" s="9" t="s">
        <v>85</v>
      </c>
      <c r="H4176" s="2" t="s">
        <v>60</v>
      </c>
      <c r="I4176" s="3">
        <v>37377</v>
      </c>
      <c r="J4176" s="9" t="str">
        <f t="shared" ca="1" si="70"/>
        <v>21 ans</v>
      </c>
      <c r="K4176" s="2" t="s">
        <v>262</v>
      </c>
      <c r="L4176" s="2" t="str">
        <f>"8790"</f>
        <v>8790</v>
      </c>
      <c r="M4176" s="2"/>
      <c r="N4176" s="2" t="str">
        <f>"RUE PHILIPPE"</f>
        <v>RUE PHILIPPE</v>
      </c>
      <c r="O4176" s="2" t="s">
        <v>17630</v>
      </c>
      <c r="P4176" s="9" t="str">
        <f>VLOOKUP($O4176,'Liste des Villes'!$B$2:$B$1128,1,FALSE)</f>
        <v>Deux-Montagnes</v>
      </c>
      <c r="Q4176" s="9" t="str">
        <f>IFERROR($P4176,PROPER(VLOOKUP($O4176,'Villes en erreur'!$A$2:$B$72,2,FALSE)))</f>
        <v>Deux-Montagnes</v>
      </c>
      <c r="R4176" s="9" t="s">
        <v>17631</v>
      </c>
      <c r="S4176" s="9" t="str">
        <f>IF(ISBLANK($R4176),"",VLOOKUP($R4176,'Liste des Villes'!$B$2:$H$1128,4,FALSE))</f>
        <v>Laurentides</v>
      </c>
      <c r="T4176" s="2" t="s">
        <v>17651</v>
      </c>
      <c r="U4176" s="2" t="s">
        <v>39</v>
      </c>
      <c r="V4176" s="2" t="s">
        <v>40</v>
      </c>
      <c r="W4176" s="2" t="s">
        <v>17693</v>
      </c>
      <c r="X4176" s="2" t="str">
        <f>"4506753172"</f>
        <v>4506753172</v>
      </c>
      <c r="Y4176" s="2" t="str">
        <f>"5142680383"</f>
        <v>5142680383</v>
      </c>
      <c r="Z4176" s="2"/>
      <c r="AA4176" s="2" t="s">
        <v>266</v>
      </c>
      <c r="AB4176" s="2" t="s">
        <v>267</v>
      </c>
      <c r="AC4176" s="4" t="s">
        <v>44</v>
      </c>
    </row>
    <row r="4177" spans="1:29" x14ac:dyDescent="0.25">
      <c r="A4177" s="1">
        <v>3080</v>
      </c>
      <c r="B4177" s="17" t="s">
        <v>17694</v>
      </c>
      <c r="C4177" s="2" t="s">
        <v>10085</v>
      </c>
      <c r="D4177" s="15" t="s">
        <v>7497</v>
      </c>
      <c r="E4177" s="9" t="s">
        <v>354</v>
      </c>
      <c r="F4177" s="9" t="s">
        <v>7496</v>
      </c>
      <c r="G4177" s="9" t="s">
        <v>85</v>
      </c>
      <c r="H4177" s="2" t="s">
        <v>60</v>
      </c>
      <c r="I4177" s="3">
        <v>37377</v>
      </c>
      <c r="J4177" s="9" t="str">
        <f t="shared" ca="1" si="70"/>
        <v>21 ans</v>
      </c>
      <c r="K4177" s="2" t="s">
        <v>262</v>
      </c>
      <c r="L4177" s="2" t="str">
        <f>"8929"</f>
        <v>8929</v>
      </c>
      <c r="M4177" s="2"/>
      <c r="N4177" s="2" t="str">
        <f>"RUE PICARD"</f>
        <v>RUE PICARD</v>
      </c>
      <c r="O4177" s="2" t="s">
        <v>17630</v>
      </c>
      <c r="P4177" s="9" t="str">
        <f>VLOOKUP($O4177,'Liste des Villes'!$B$2:$B$1128,1,FALSE)</f>
        <v>Deux-Montagnes</v>
      </c>
      <c r="Q4177" s="9" t="str">
        <f>IFERROR($P4177,PROPER(VLOOKUP($O4177,'Villes en erreur'!$A$2:$B$72,2,FALSE)))</f>
        <v>Deux-Montagnes</v>
      </c>
      <c r="R4177" s="9" t="s">
        <v>17631</v>
      </c>
      <c r="S4177" s="9" t="str">
        <f>IF(ISBLANK($R4177),"",VLOOKUP($R4177,'Liste des Villes'!$B$2:$H$1128,4,FALSE))</f>
        <v>Laurentides</v>
      </c>
      <c r="T4177" s="2" t="s">
        <v>17695</v>
      </c>
      <c r="U4177" s="2" t="s">
        <v>39</v>
      </c>
      <c r="V4177" s="2" t="s">
        <v>40</v>
      </c>
      <c r="W4177" s="2" t="s">
        <v>17696</v>
      </c>
      <c r="X4177" s="2" t="str">
        <f>"4506758156"</f>
        <v>4506758156</v>
      </c>
      <c r="Y4177" s="2" t="str">
        <f>"5142602137"</f>
        <v>5142602137</v>
      </c>
      <c r="Z4177" s="2"/>
      <c r="AA4177" s="2" t="s">
        <v>266</v>
      </c>
      <c r="AB4177" s="2" t="s">
        <v>267</v>
      </c>
      <c r="AC4177" s="4" t="s">
        <v>44</v>
      </c>
    </row>
    <row r="4178" spans="1:29" x14ac:dyDescent="0.25">
      <c r="A4178" s="1">
        <v>2950</v>
      </c>
      <c r="B4178" s="17" t="s">
        <v>17697</v>
      </c>
      <c r="C4178" s="2" t="s">
        <v>2286</v>
      </c>
      <c r="D4178" s="15" t="s">
        <v>1951</v>
      </c>
      <c r="E4178" s="9" t="s">
        <v>186</v>
      </c>
      <c r="F4178" s="9" t="s">
        <v>1950</v>
      </c>
      <c r="G4178" s="9" t="s">
        <v>85</v>
      </c>
      <c r="H4178" s="2" t="s">
        <v>60</v>
      </c>
      <c r="I4178" s="3">
        <v>37377</v>
      </c>
      <c r="J4178" s="9" t="str">
        <f t="shared" ca="1" si="70"/>
        <v>21 ans</v>
      </c>
      <c r="K4178" s="2" t="s">
        <v>262</v>
      </c>
      <c r="L4178" s="2" t="str">
        <f>"8781"</f>
        <v>8781</v>
      </c>
      <c r="M4178" s="2"/>
      <c r="N4178" s="2" t="str">
        <f>"RUE PHILIPPE"</f>
        <v>RUE PHILIPPE</v>
      </c>
      <c r="O4178" s="2" t="s">
        <v>17630</v>
      </c>
      <c r="P4178" s="9" t="str">
        <f>VLOOKUP($O4178,'Liste des Villes'!$B$2:$B$1128,1,FALSE)</f>
        <v>Deux-Montagnes</v>
      </c>
      <c r="Q4178" s="9" t="str">
        <f>IFERROR($P4178,PROPER(VLOOKUP($O4178,'Villes en erreur'!$A$2:$B$72,2,FALSE)))</f>
        <v>Deux-Montagnes</v>
      </c>
      <c r="R4178" s="9" t="s">
        <v>17631</v>
      </c>
      <c r="S4178" s="9" t="str">
        <f>IF(ISBLANK($R4178),"",VLOOKUP($R4178,'Liste des Villes'!$B$2:$H$1128,4,FALSE))</f>
        <v>Laurentides</v>
      </c>
      <c r="T4178" s="2" t="s">
        <v>17651</v>
      </c>
      <c r="U4178" s="2" t="s">
        <v>39</v>
      </c>
      <c r="V4178" s="2" t="s">
        <v>40</v>
      </c>
      <c r="W4178" s="2" t="s">
        <v>17698</v>
      </c>
      <c r="X4178" s="2" t="str">
        <f>"4506752994"</f>
        <v>4506752994</v>
      </c>
      <c r="Y4178" s="2" t="str">
        <f>"5142917966"</f>
        <v>5142917966</v>
      </c>
      <c r="Z4178" s="2"/>
      <c r="AA4178" s="2" t="s">
        <v>266</v>
      </c>
      <c r="AB4178" s="2" t="s">
        <v>267</v>
      </c>
      <c r="AC4178" s="4" t="s">
        <v>44</v>
      </c>
    </row>
    <row r="4179" spans="1:29" x14ac:dyDescent="0.25">
      <c r="A4179" s="1">
        <v>4602</v>
      </c>
      <c r="B4179" s="17" t="s">
        <v>17699</v>
      </c>
      <c r="C4179" s="2" t="s">
        <v>17700</v>
      </c>
      <c r="D4179" s="15" t="s">
        <v>3788</v>
      </c>
      <c r="E4179" s="9" t="s">
        <v>9506</v>
      </c>
      <c r="F4179" s="9" t="s">
        <v>8398</v>
      </c>
      <c r="G4179" s="9" t="s">
        <v>85</v>
      </c>
      <c r="H4179" s="2" t="s">
        <v>60</v>
      </c>
      <c r="I4179" s="3">
        <v>37375</v>
      </c>
      <c r="J4179" s="9" t="str">
        <f t="shared" ca="1" si="70"/>
        <v>21 ans</v>
      </c>
      <c r="K4179" s="2" t="s">
        <v>262</v>
      </c>
      <c r="L4179" s="2" t="str">
        <f>"8705"</f>
        <v>8705</v>
      </c>
      <c r="M4179" s="2"/>
      <c r="N4179" s="2" t="str">
        <f>"RUE PERREAULT"</f>
        <v>RUE PERREAULT</v>
      </c>
      <c r="O4179" s="2" t="s">
        <v>17630</v>
      </c>
      <c r="P4179" s="9" t="str">
        <f>VLOOKUP($O4179,'Liste des Villes'!$B$2:$B$1128,1,FALSE)</f>
        <v>Deux-Montagnes</v>
      </c>
      <c r="Q4179" s="9" t="str">
        <f>IFERROR($P4179,PROPER(VLOOKUP($O4179,'Villes en erreur'!$A$2:$B$72,2,FALSE)))</f>
        <v>Deux-Montagnes</v>
      </c>
      <c r="R4179" s="9" t="s">
        <v>17631</v>
      </c>
      <c r="S4179" s="9" t="str">
        <f>IF(ISBLANK($R4179),"",VLOOKUP($R4179,'Liste des Villes'!$B$2:$H$1128,4,FALSE))</f>
        <v>Laurentides</v>
      </c>
      <c r="T4179" s="2" t="s">
        <v>17701</v>
      </c>
      <c r="U4179" s="2" t="s">
        <v>39</v>
      </c>
      <c r="V4179" s="2" t="s">
        <v>40</v>
      </c>
      <c r="W4179" s="2" t="s">
        <v>17702</v>
      </c>
      <c r="X4179" s="2" t="str">
        <f>"4506602274"</f>
        <v>4506602274</v>
      </c>
      <c r="Y4179" s="2" t="str">
        <f>"5142992034"</f>
        <v>5142992034</v>
      </c>
      <c r="Z4179" s="2"/>
      <c r="AA4179" s="2" t="s">
        <v>266</v>
      </c>
      <c r="AB4179" s="2" t="s">
        <v>267</v>
      </c>
      <c r="AC4179" s="4" t="s">
        <v>44</v>
      </c>
    </row>
    <row r="4180" spans="1:29" x14ac:dyDescent="0.25">
      <c r="A4180" s="1">
        <v>623</v>
      </c>
      <c r="B4180" s="17" t="s">
        <v>17703</v>
      </c>
      <c r="C4180" s="2" t="s">
        <v>17704</v>
      </c>
      <c r="D4180" s="15" t="s">
        <v>11745</v>
      </c>
      <c r="E4180" s="9" t="s">
        <v>616</v>
      </c>
      <c r="F4180" s="9" t="s">
        <v>617</v>
      </c>
      <c r="G4180" s="9" t="s">
        <v>85</v>
      </c>
      <c r="H4180" s="2" t="s">
        <v>60</v>
      </c>
      <c r="I4180" s="3">
        <v>37377</v>
      </c>
      <c r="J4180" s="9" t="str">
        <f t="shared" ca="1" si="70"/>
        <v>21 ans</v>
      </c>
      <c r="K4180" s="2" t="s">
        <v>262</v>
      </c>
      <c r="L4180" s="2" t="str">
        <f>"8835"</f>
        <v>8835</v>
      </c>
      <c r="M4180" s="2"/>
      <c r="N4180" s="2" t="str">
        <f>"RUE PHILIPPE-OLIVIER"</f>
        <v>RUE PHILIPPE-OLIVIER</v>
      </c>
      <c r="O4180" s="2" t="s">
        <v>17630</v>
      </c>
      <c r="P4180" s="9" t="str">
        <f>VLOOKUP($O4180,'Liste des Villes'!$B$2:$B$1128,1,FALSE)</f>
        <v>Deux-Montagnes</v>
      </c>
      <c r="Q4180" s="9" t="str">
        <f>IFERROR($P4180,PROPER(VLOOKUP($O4180,'Villes en erreur'!$A$2:$B$72,2,FALSE)))</f>
        <v>Deux-Montagnes</v>
      </c>
      <c r="R4180" s="9" t="s">
        <v>17631</v>
      </c>
      <c r="S4180" s="9" t="str">
        <f>IF(ISBLANK($R4180),"",VLOOKUP($R4180,'Liste des Villes'!$B$2:$H$1128,4,FALSE))</f>
        <v>Laurentides</v>
      </c>
      <c r="T4180" s="2" t="s">
        <v>17651</v>
      </c>
      <c r="U4180" s="2" t="s">
        <v>39</v>
      </c>
      <c r="V4180" s="2" t="s">
        <v>40</v>
      </c>
      <c r="W4180" s="2" t="s">
        <v>17705</v>
      </c>
      <c r="X4180" s="2" t="str">
        <f>"4506757911"</f>
        <v>4506757911</v>
      </c>
      <c r="Y4180" s="2" t="str">
        <f>"5142646445"</f>
        <v>5142646445</v>
      </c>
      <c r="Z4180" s="2"/>
      <c r="AA4180" s="2" t="s">
        <v>266</v>
      </c>
      <c r="AB4180" s="2" t="s">
        <v>267</v>
      </c>
      <c r="AC4180" s="4" t="s">
        <v>44</v>
      </c>
    </row>
    <row r="4181" spans="1:29" x14ac:dyDescent="0.25">
      <c r="A4181" s="1">
        <v>2792</v>
      </c>
      <c r="B4181" s="17" t="s">
        <v>17706</v>
      </c>
      <c r="C4181" s="2" t="s">
        <v>17707</v>
      </c>
      <c r="D4181" s="15" t="s">
        <v>12090</v>
      </c>
      <c r="E4181" s="9" t="s">
        <v>1410</v>
      </c>
      <c r="F4181" s="9" t="s">
        <v>12089</v>
      </c>
      <c r="G4181" s="9" t="s">
        <v>85</v>
      </c>
      <c r="H4181" s="2" t="s">
        <v>60</v>
      </c>
      <c r="I4181" s="3">
        <v>37379</v>
      </c>
      <c r="J4181" s="9" t="str">
        <f t="shared" ca="1" si="70"/>
        <v>21 ans</v>
      </c>
      <c r="K4181" s="2" t="s">
        <v>262</v>
      </c>
      <c r="L4181" s="2" t="str">
        <f>"9120"</f>
        <v>9120</v>
      </c>
      <c r="M4181" s="2"/>
      <c r="N4181" s="2" t="str">
        <f>"RUE PIERRE-CÔTÉ"</f>
        <v>RUE PIERRE-CÔTÉ</v>
      </c>
      <c r="O4181" s="2" t="s">
        <v>17630</v>
      </c>
      <c r="P4181" s="9" t="str">
        <f>VLOOKUP($O4181,'Liste des Villes'!$B$2:$B$1128,1,FALSE)</f>
        <v>Deux-Montagnes</v>
      </c>
      <c r="Q4181" s="9" t="str">
        <f>IFERROR($P4181,PROPER(VLOOKUP($O4181,'Villes en erreur'!$A$2:$B$72,2,FALSE)))</f>
        <v>Deux-Montagnes</v>
      </c>
      <c r="R4181" s="9" t="s">
        <v>17631</v>
      </c>
      <c r="S4181" s="9" t="str">
        <f>IF(ISBLANK($R4181),"",VLOOKUP($R4181,'Liste des Villes'!$B$2:$H$1128,4,FALSE))</f>
        <v>Laurentides</v>
      </c>
      <c r="T4181" s="2" t="s">
        <v>17670</v>
      </c>
      <c r="U4181" s="2" t="s">
        <v>39</v>
      </c>
      <c r="V4181" s="2" t="s">
        <v>40</v>
      </c>
      <c r="W4181" s="2" t="s">
        <v>17708</v>
      </c>
      <c r="X4181" s="2" t="str">
        <f>"4506945168"</f>
        <v>4506945168</v>
      </c>
      <c r="Y4181" s="2" t="str">
        <f>"5142480371"</f>
        <v>5142480371</v>
      </c>
      <c r="Z4181" s="2"/>
      <c r="AA4181" s="2" t="s">
        <v>266</v>
      </c>
      <c r="AB4181" s="2" t="s">
        <v>267</v>
      </c>
      <c r="AC4181" s="4" t="s">
        <v>44</v>
      </c>
    </row>
    <row r="4182" spans="1:29" x14ac:dyDescent="0.25">
      <c r="A4182" s="1">
        <v>3163</v>
      </c>
      <c r="B4182" s="17" t="s">
        <v>17709</v>
      </c>
      <c r="C4182" s="2" t="s">
        <v>17710</v>
      </c>
      <c r="D4182" s="15" t="s">
        <v>15803</v>
      </c>
      <c r="E4182" s="9" t="s">
        <v>4352</v>
      </c>
      <c r="F4182" s="9" t="s">
        <v>4353</v>
      </c>
      <c r="G4182" s="9" t="s">
        <v>85</v>
      </c>
      <c r="H4182" s="2" t="s">
        <v>60</v>
      </c>
      <c r="I4182" s="3">
        <v>37380</v>
      </c>
      <c r="J4182" s="9" t="str">
        <f t="shared" ca="1" si="70"/>
        <v>21 ans</v>
      </c>
      <c r="K4182" s="2" t="s">
        <v>262</v>
      </c>
      <c r="L4182" s="2" t="str">
        <f>"9240"</f>
        <v>9240</v>
      </c>
      <c r="M4182" s="2"/>
      <c r="N4182" s="2" t="str">
        <f>"RUE PIERRETTE"</f>
        <v>RUE PIERRETTE</v>
      </c>
      <c r="O4182" s="2" t="s">
        <v>17630</v>
      </c>
      <c r="P4182" s="9" t="str">
        <f>VLOOKUP($O4182,'Liste des Villes'!$B$2:$B$1128,1,FALSE)</f>
        <v>Deux-Montagnes</v>
      </c>
      <c r="Q4182" s="9" t="str">
        <f>IFERROR($P4182,PROPER(VLOOKUP($O4182,'Villes en erreur'!$A$2:$B$72,2,FALSE)))</f>
        <v>Deux-Montagnes</v>
      </c>
      <c r="R4182" s="9" t="s">
        <v>17631</v>
      </c>
      <c r="S4182" s="9" t="str">
        <f>IF(ISBLANK($R4182),"",VLOOKUP($R4182,'Liste des Villes'!$B$2:$H$1128,4,FALSE))</f>
        <v>Laurentides</v>
      </c>
      <c r="T4182" s="2" t="s">
        <v>17665</v>
      </c>
      <c r="U4182" s="2" t="s">
        <v>39</v>
      </c>
      <c r="V4182" s="2" t="s">
        <v>40</v>
      </c>
      <c r="W4182" s="2" t="s">
        <v>17711</v>
      </c>
      <c r="X4182" s="2" t="str">
        <f>"4507120655"</f>
        <v>4507120655</v>
      </c>
      <c r="Y4182" s="2" t="str">
        <f>"5142344557"</f>
        <v>5142344557</v>
      </c>
      <c r="Z4182" s="2"/>
      <c r="AA4182" s="2" t="s">
        <v>266</v>
      </c>
      <c r="AB4182" s="2" t="s">
        <v>267</v>
      </c>
      <c r="AC4182" s="4" t="s">
        <v>44</v>
      </c>
    </row>
    <row r="4183" spans="1:29" x14ac:dyDescent="0.25">
      <c r="A4183" s="1">
        <v>1227</v>
      </c>
      <c r="B4183" s="17" t="s">
        <v>17712</v>
      </c>
      <c r="C4183" s="2" t="s">
        <v>12726</v>
      </c>
      <c r="D4183" s="15" t="s">
        <v>8556</v>
      </c>
      <c r="E4183" s="9" t="s">
        <v>1416</v>
      </c>
      <c r="F4183" s="9" t="s">
        <v>1417</v>
      </c>
      <c r="G4183" s="9" t="s">
        <v>85</v>
      </c>
      <c r="H4183" s="2" t="s">
        <v>60</v>
      </c>
      <c r="I4183" s="3">
        <v>37377</v>
      </c>
      <c r="J4183" s="9" t="str">
        <f t="shared" ca="1" si="70"/>
        <v>21 ans</v>
      </c>
      <c r="K4183" s="2" t="s">
        <v>262</v>
      </c>
      <c r="L4183" s="2" t="str">
        <f>"8791"</f>
        <v>8791</v>
      </c>
      <c r="M4183" s="2"/>
      <c r="N4183" s="2" t="str">
        <f>"RUE PHILIPPE-GIROUX"</f>
        <v>RUE PHILIPPE-GIROUX</v>
      </c>
      <c r="O4183" s="2" t="s">
        <v>17630</v>
      </c>
      <c r="P4183" s="9" t="str">
        <f>VLOOKUP($O4183,'Liste des Villes'!$B$2:$B$1128,1,FALSE)</f>
        <v>Deux-Montagnes</v>
      </c>
      <c r="Q4183" s="9" t="str">
        <f>IFERROR($P4183,PROPER(VLOOKUP($O4183,'Villes en erreur'!$A$2:$B$72,2,FALSE)))</f>
        <v>Deux-Montagnes</v>
      </c>
      <c r="R4183" s="9" t="s">
        <v>17631</v>
      </c>
      <c r="S4183" s="9" t="str">
        <f>IF(ISBLANK($R4183),"",VLOOKUP($R4183,'Liste des Villes'!$B$2:$H$1128,4,FALSE))</f>
        <v>Laurentides</v>
      </c>
      <c r="T4183" s="2" t="s">
        <v>17651</v>
      </c>
      <c r="U4183" s="2" t="s">
        <v>39</v>
      </c>
      <c r="V4183" s="2" t="s">
        <v>40</v>
      </c>
      <c r="W4183" s="2" t="s">
        <v>17713</v>
      </c>
      <c r="X4183" s="2" t="str">
        <f>"4506756460"</f>
        <v>4506756460</v>
      </c>
      <c r="Y4183" s="2" t="str">
        <f>"5142672419"</f>
        <v>5142672419</v>
      </c>
      <c r="Z4183" s="2"/>
      <c r="AA4183" s="2" t="s">
        <v>266</v>
      </c>
      <c r="AB4183" s="2" t="s">
        <v>267</v>
      </c>
      <c r="AC4183" s="4" t="s">
        <v>44</v>
      </c>
    </row>
    <row r="4184" spans="1:29" x14ac:dyDescent="0.25">
      <c r="A4184" s="1">
        <v>557</v>
      </c>
      <c r="B4184" s="17" t="s">
        <v>17714</v>
      </c>
      <c r="C4184" s="2" t="s">
        <v>3065</v>
      </c>
      <c r="D4184" s="15" t="s">
        <v>1477</v>
      </c>
      <c r="E4184" s="9" t="s">
        <v>3066</v>
      </c>
      <c r="F4184" s="9" t="s">
        <v>1479</v>
      </c>
      <c r="G4184" s="9" t="s">
        <v>85</v>
      </c>
      <c r="H4184" s="2" t="s">
        <v>60</v>
      </c>
      <c r="I4184" s="3">
        <v>37376</v>
      </c>
      <c r="J4184" s="9" t="str">
        <f t="shared" ca="1" si="70"/>
        <v>21 ans</v>
      </c>
      <c r="K4184" s="2" t="s">
        <v>262</v>
      </c>
      <c r="L4184" s="2" t="str">
        <f>"8755"</f>
        <v>8755</v>
      </c>
      <c r="M4184" s="2"/>
      <c r="N4184" s="2" t="str">
        <f>"RUE PERREAULT"</f>
        <v>RUE PERREAULT</v>
      </c>
      <c r="O4184" s="2" t="s">
        <v>17630</v>
      </c>
      <c r="P4184" s="9" t="str">
        <f>VLOOKUP($O4184,'Liste des Villes'!$B$2:$B$1128,1,FALSE)</f>
        <v>Deux-Montagnes</v>
      </c>
      <c r="Q4184" s="9" t="str">
        <f>IFERROR($P4184,PROPER(VLOOKUP($O4184,'Villes en erreur'!$A$2:$B$72,2,FALSE)))</f>
        <v>Deux-Montagnes</v>
      </c>
      <c r="R4184" s="9" t="s">
        <v>17631</v>
      </c>
      <c r="S4184" s="9" t="str">
        <f>IF(ISBLANK($R4184),"",VLOOKUP($R4184,'Liste des Villes'!$B$2:$H$1128,4,FALSE))</f>
        <v>Laurentides</v>
      </c>
      <c r="T4184" s="2" t="s">
        <v>17641</v>
      </c>
      <c r="U4184" s="2" t="s">
        <v>39</v>
      </c>
      <c r="V4184" s="2" t="s">
        <v>40</v>
      </c>
      <c r="W4184" s="2" t="s">
        <v>17715</v>
      </c>
      <c r="X4184" s="2" t="str">
        <f>"4506750070"</f>
        <v>4506750070</v>
      </c>
      <c r="Y4184" s="2" t="str">
        <f>"5142972238"</f>
        <v>5142972238</v>
      </c>
      <c r="Z4184" s="2"/>
      <c r="AA4184" s="2" t="s">
        <v>266</v>
      </c>
      <c r="AB4184" s="2" t="s">
        <v>267</v>
      </c>
      <c r="AC4184" s="4" t="s">
        <v>44</v>
      </c>
    </row>
    <row r="4185" spans="1:29" x14ac:dyDescent="0.25">
      <c r="A4185" s="1">
        <v>2669</v>
      </c>
      <c r="B4185" s="17" t="s">
        <v>17716</v>
      </c>
      <c r="C4185" s="2" t="s">
        <v>17717</v>
      </c>
      <c r="D4185" s="15" t="s">
        <v>12301</v>
      </c>
      <c r="E4185" s="9" t="s">
        <v>3397</v>
      </c>
      <c r="F4185" s="9" t="s">
        <v>1169</v>
      </c>
      <c r="G4185" s="9" t="s">
        <v>15710</v>
      </c>
      <c r="H4185" s="2" t="s">
        <v>60</v>
      </c>
      <c r="I4185" s="3">
        <v>37381</v>
      </c>
      <c r="J4185" s="9" t="str">
        <f t="shared" ca="1" si="70"/>
        <v>21 ans</v>
      </c>
      <c r="K4185" s="2" t="s">
        <v>262</v>
      </c>
      <c r="L4185" s="2" t="str">
        <f>"9355"</f>
        <v>9355</v>
      </c>
      <c r="M4185" s="2"/>
      <c r="N4185" s="2" t="str">
        <f>"RUE PINE"</f>
        <v>RUE PINE</v>
      </c>
      <c r="O4185" s="2" t="s">
        <v>17718</v>
      </c>
      <c r="P4185" s="9" t="str">
        <f>VLOOKUP($O4185,'Liste des Villes'!$B$2:$B$1128,1,FALSE)</f>
        <v>Déléage</v>
      </c>
      <c r="Q4185" s="9" t="str">
        <f>IFERROR($P4185,PROPER(VLOOKUP($O4185,'Villes en erreur'!$A$2:$B$72,2,FALSE)))</f>
        <v>Déléage</v>
      </c>
      <c r="R4185" s="9" t="s">
        <v>17719</v>
      </c>
      <c r="S4185" s="9" t="str">
        <f>IF(ISBLANK($R4185),"",VLOOKUP($R4185,'Liste des Villes'!$B$2:$H$1128,4,FALSE))</f>
        <v>Outaouais</v>
      </c>
      <c r="T4185" s="2" t="s">
        <v>17634</v>
      </c>
      <c r="U4185" s="2" t="s">
        <v>39</v>
      </c>
      <c r="V4185" s="2" t="s">
        <v>40</v>
      </c>
      <c r="W4185" s="2" t="s">
        <v>17720</v>
      </c>
      <c r="X4185" s="2" t="str">
        <f>"4507121989"</f>
        <v>4507121989</v>
      </c>
      <c r="Y4185" s="2" t="str">
        <f>"4509870061"</f>
        <v>4509870061</v>
      </c>
      <c r="Z4185" s="2"/>
      <c r="AA4185" s="2" t="s">
        <v>793</v>
      </c>
      <c r="AB4185" s="2" t="s">
        <v>267</v>
      </c>
      <c r="AC4185" s="4" t="s">
        <v>44</v>
      </c>
    </row>
    <row r="4186" spans="1:29" x14ac:dyDescent="0.25">
      <c r="A4186" s="1">
        <v>1068</v>
      </c>
      <c r="B4186" s="17" t="s">
        <v>17721</v>
      </c>
      <c r="C4186" s="2" t="s">
        <v>17722</v>
      </c>
      <c r="D4186" s="15" t="s">
        <v>15194</v>
      </c>
      <c r="E4186" s="9" t="s">
        <v>354</v>
      </c>
      <c r="F4186" s="9" t="s">
        <v>15193</v>
      </c>
      <c r="G4186" s="9" t="s">
        <v>789</v>
      </c>
      <c r="H4186" s="2" t="s">
        <v>60</v>
      </c>
      <c r="I4186" s="3">
        <v>37382</v>
      </c>
      <c r="J4186" s="9" t="str">
        <f t="shared" ca="1" si="70"/>
        <v>21 ans</v>
      </c>
      <c r="K4186" s="2" t="s">
        <v>262</v>
      </c>
      <c r="L4186" s="2" t="str">
        <f>"9400"</f>
        <v>9400</v>
      </c>
      <c r="M4186" s="2"/>
      <c r="N4186" s="2" t="str">
        <f>"RUE PLOUFFE"</f>
        <v>RUE PLOUFFE</v>
      </c>
      <c r="O4186" s="2" t="s">
        <v>17723</v>
      </c>
      <c r="P4186" s="9" t="str">
        <f>VLOOKUP($O4186,'Liste des Villes'!$B$2:$B$1128,1,FALSE)</f>
        <v>Crabtree</v>
      </c>
      <c r="Q4186" s="9" t="str">
        <f>IFERROR($P4186,PROPER(VLOOKUP($O4186,'Villes en erreur'!$A$2:$B$72,2,FALSE)))</f>
        <v>Crabtree</v>
      </c>
      <c r="R4186" s="9" t="s">
        <v>17724</v>
      </c>
      <c r="S4186" s="9" t="str">
        <f>IF(ISBLANK($R4186),"",VLOOKUP($R4186,'Liste des Villes'!$B$2:$H$1128,4,FALSE))</f>
        <v>Lanaudière</v>
      </c>
      <c r="T4186" s="2" t="s">
        <v>17725</v>
      </c>
      <c r="U4186" s="2" t="s">
        <v>39</v>
      </c>
      <c r="V4186" s="2" t="s">
        <v>40</v>
      </c>
      <c r="W4186" s="2" t="s">
        <v>17726</v>
      </c>
      <c r="X4186" s="2" t="str">
        <f>"4507122258"</f>
        <v>4507122258</v>
      </c>
      <c r="Y4186" s="2" t="str">
        <f>"4509797753"</f>
        <v>4509797753</v>
      </c>
      <c r="Z4186" s="2"/>
      <c r="AA4186" s="2" t="s">
        <v>793</v>
      </c>
      <c r="AB4186" s="2" t="s">
        <v>267</v>
      </c>
      <c r="AC4186" s="4" t="s">
        <v>44</v>
      </c>
    </row>
    <row r="4187" spans="1:29" x14ac:dyDescent="0.25">
      <c r="A4187" s="1">
        <v>2020</v>
      </c>
      <c r="B4187" s="17" t="s">
        <v>17727</v>
      </c>
      <c r="C4187" s="2" t="s">
        <v>517</v>
      </c>
      <c r="D4187" s="15" t="s">
        <v>518</v>
      </c>
      <c r="E4187" s="9" t="s">
        <v>519</v>
      </c>
      <c r="F4187" s="9" t="s">
        <v>1036</v>
      </c>
      <c r="G4187" s="9" t="s">
        <v>4480</v>
      </c>
      <c r="H4187" s="2" t="s">
        <v>60</v>
      </c>
      <c r="I4187" s="3">
        <v>37382</v>
      </c>
      <c r="J4187" s="9" t="str">
        <f t="shared" ca="1" si="70"/>
        <v>21 ans</v>
      </c>
      <c r="K4187" s="2" t="s">
        <v>262</v>
      </c>
      <c r="L4187" s="2" t="str">
        <f>"9440"</f>
        <v>9440</v>
      </c>
      <c r="M4187" s="2"/>
      <c r="N4187" s="2" t="str">
        <f>"RUE POITRAS"</f>
        <v>RUE POITRAS</v>
      </c>
      <c r="O4187" s="2" t="s">
        <v>17728</v>
      </c>
      <c r="P4187" s="9" t="str">
        <f>VLOOKUP($O4187,'Liste des Villes'!$B$2:$B$1128,1,FALSE)</f>
        <v>Coteau-du-Lac</v>
      </c>
      <c r="Q4187" s="9" t="str">
        <f>IFERROR($P4187,PROPER(VLOOKUP($O4187,'Villes en erreur'!$A$2:$B$72,2,FALSE)))</f>
        <v>Coteau-du-Lac</v>
      </c>
      <c r="R4187" s="9" t="s">
        <v>17729</v>
      </c>
      <c r="S4187" s="9" t="str">
        <f>IF(ISBLANK($R4187),"",VLOOKUP($R4187,'Liste des Villes'!$B$2:$H$1128,4,FALSE))</f>
        <v>Montérégie</v>
      </c>
      <c r="T4187" s="2" t="s">
        <v>791</v>
      </c>
      <c r="U4187" s="2" t="s">
        <v>39</v>
      </c>
      <c r="V4187" s="2" t="s">
        <v>40</v>
      </c>
      <c r="W4187" s="2" t="s">
        <v>17730</v>
      </c>
      <c r="X4187" s="2" t="str">
        <f>"4507123127"</f>
        <v>4507123127</v>
      </c>
      <c r="Y4187" s="2" t="str">
        <f>"4509791975"</f>
        <v>4509791975</v>
      </c>
      <c r="Z4187" s="2"/>
      <c r="AA4187" s="2" t="s">
        <v>793</v>
      </c>
      <c r="AB4187" s="2" t="s">
        <v>267</v>
      </c>
      <c r="AC4187" s="4" t="s">
        <v>44</v>
      </c>
    </row>
    <row r="4188" spans="1:29" x14ac:dyDescent="0.25">
      <c r="A4188" s="1">
        <v>2564</v>
      </c>
      <c r="B4188" s="17" t="s">
        <v>17731</v>
      </c>
      <c r="C4188" s="2" t="s">
        <v>15929</v>
      </c>
      <c r="D4188" s="15" t="s">
        <v>1252</v>
      </c>
      <c r="E4188" s="9" t="s">
        <v>15930</v>
      </c>
      <c r="F4188" s="9" t="s">
        <v>584</v>
      </c>
      <c r="G4188" s="9" t="s">
        <v>915</v>
      </c>
      <c r="H4188" s="2" t="s">
        <v>35</v>
      </c>
      <c r="I4188" s="3">
        <v>37382</v>
      </c>
      <c r="J4188" s="9" t="str">
        <f t="shared" ca="1" si="70"/>
        <v>21 ans</v>
      </c>
      <c r="K4188" s="2" t="s">
        <v>262</v>
      </c>
      <c r="L4188" s="2" t="str">
        <f>"9485"</f>
        <v>9485</v>
      </c>
      <c r="M4188" s="2"/>
      <c r="N4188" s="2" t="str">
        <f>"RUE POULIOT"</f>
        <v>RUE POULIOT</v>
      </c>
      <c r="O4188" s="2" t="s">
        <v>17732</v>
      </c>
      <c r="P4188" s="9" t="str">
        <f>VLOOKUP($O4188,'Liste des Villes'!$B$2:$B$1128,1,FALSE)</f>
        <v>Clermont</v>
      </c>
      <c r="Q4188" s="9" t="str">
        <f>IFERROR($P4188,PROPER(VLOOKUP($O4188,'Villes en erreur'!$A$2:$B$72,2,FALSE)))</f>
        <v>Clermont</v>
      </c>
      <c r="R4188" s="9" t="s">
        <v>2409</v>
      </c>
      <c r="S4188" s="9" t="str">
        <f>IF(ISBLANK($R4188),"",VLOOKUP($R4188,'Liste des Villes'!$B$2:$H$1128,4,FALSE))</f>
        <v>Abitibi-Témiscamingue</v>
      </c>
      <c r="T4188" s="2" t="s">
        <v>17733</v>
      </c>
      <c r="U4188" s="2" t="s">
        <v>39</v>
      </c>
      <c r="V4188" s="2" t="s">
        <v>40</v>
      </c>
      <c r="W4188" s="2" t="s">
        <v>17734</v>
      </c>
      <c r="X4188" s="2" t="str">
        <f>"4507124250"</f>
        <v>4507124250</v>
      </c>
      <c r="Y4188" s="2" t="str">
        <f>"4509741917"</f>
        <v>4509741917</v>
      </c>
      <c r="Z4188" s="2"/>
      <c r="AA4188" s="2" t="s">
        <v>793</v>
      </c>
      <c r="AB4188" s="2" t="s">
        <v>267</v>
      </c>
      <c r="AC4188" s="4" t="s">
        <v>44</v>
      </c>
    </row>
    <row r="4189" spans="1:29" x14ac:dyDescent="0.25">
      <c r="A4189" s="1">
        <v>3504</v>
      </c>
      <c r="B4189" s="17" t="s">
        <v>17735</v>
      </c>
      <c r="C4189" s="2" t="s">
        <v>17676</v>
      </c>
      <c r="D4189" s="15" t="s">
        <v>15908</v>
      </c>
      <c r="E4189" s="9" t="s">
        <v>4633</v>
      </c>
      <c r="F4189" s="9" t="s">
        <v>17736</v>
      </c>
      <c r="G4189" s="9" t="s">
        <v>915</v>
      </c>
      <c r="H4189" s="2" t="s">
        <v>35</v>
      </c>
      <c r="I4189" s="3">
        <v>37383</v>
      </c>
      <c r="J4189" s="9" t="str">
        <f t="shared" ca="1" si="70"/>
        <v>21 ans</v>
      </c>
      <c r="K4189" s="2" t="s">
        <v>262</v>
      </c>
      <c r="L4189" s="2" t="str">
        <f>"9565"</f>
        <v>9565</v>
      </c>
      <c r="M4189" s="2"/>
      <c r="N4189" s="2" t="str">
        <f>"RUE PRÉFONTAINE OUEST"</f>
        <v>RUE PRÉFONTAINE OUEST</v>
      </c>
      <c r="O4189" s="2" t="s">
        <v>17737</v>
      </c>
      <c r="P4189" s="9" t="str">
        <f>VLOOKUP($O4189,'Liste des Villes'!$B$2:$B$1128,1,FALSE)</f>
        <v>Chute-Saint-Philippe</v>
      </c>
      <c r="Q4189" s="9" t="str">
        <f>IFERROR($P4189,PROPER(VLOOKUP($O4189,'Villes en erreur'!$A$2:$B$72,2,FALSE)))</f>
        <v>Chute-Saint-Philippe</v>
      </c>
      <c r="R4189" s="9" t="s">
        <v>17738</v>
      </c>
      <c r="S4189" s="9" t="str">
        <f>IF(ISBLANK($R4189),"",VLOOKUP($R4189,'Liste des Villes'!$B$2:$H$1128,4,FALSE))</f>
        <v>Laurentides</v>
      </c>
      <c r="T4189" s="2" t="s">
        <v>17739</v>
      </c>
      <c r="U4189" s="2" t="s">
        <v>39</v>
      </c>
      <c r="V4189" s="2" t="s">
        <v>40</v>
      </c>
      <c r="W4189" s="2" t="s">
        <v>17740</v>
      </c>
      <c r="X4189" s="2" t="str">
        <f>"4507124283"</f>
        <v>4507124283</v>
      </c>
      <c r="Y4189" s="2" t="str">
        <f>"4509741356"</f>
        <v>4509741356</v>
      </c>
      <c r="Z4189" s="2"/>
      <c r="AA4189" s="2" t="s">
        <v>793</v>
      </c>
      <c r="AB4189" s="2" t="s">
        <v>267</v>
      </c>
      <c r="AC4189" s="4" t="s">
        <v>44</v>
      </c>
    </row>
    <row r="4190" spans="1:29" x14ac:dyDescent="0.25">
      <c r="A4190" s="1">
        <v>3684</v>
      </c>
      <c r="B4190" s="17" t="s">
        <v>17741</v>
      </c>
      <c r="C4190" s="2" t="s">
        <v>16642</v>
      </c>
      <c r="D4190" s="15" t="s">
        <v>1301</v>
      </c>
      <c r="E4190" s="9" t="s">
        <v>15755</v>
      </c>
      <c r="F4190" s="9" t="s">
        <v>8067</v>
      </c>
      <c r="G4190" s="9" t="s">
        <v>143</v>
      </c>
      <c r="H4190" s="2" t="s">
        <v>35</v>
      </c>
      <c r="I4190" s="3">
        <v>37384</v>
      </c>
      <c r="J4190" s="9" t="str">
        <f t="shared" ca="1" si="70"/>
        <v>21 ans</v>
      </c>
      <c r="K4190" s="2" t="s">
        <v>262</v>
      </c>
      <c r="L4190" s="2" t="str">
        <f>"9580"</f>
        <v>9580</v>
      </c>
      <c r="M4190" s="2"/>
      <c r="N4190" s="2" t="str">
        <f>"RUE PRÉVERT"</f>
        <v>RUE PRÉVERT</v>
      </c>
      <c r="O4190" s="2" t="s">
        <v>17742</v>
      </c>
      <c r="P4190" s="9" t="str">
        <f>VLOOKUP($O4190,'Liste des Villes'!$B$2:$B$1128,1,FALSE)</f>
        <v>Chertsey</v>
      </c>
      <c r="Q4190" s="9" t="str">
        <f>IFERROR($P4190,PROPER(VLOOKUP($O4190,'Villes en erreur'!$A$2:$B$72,2,FALSE)))</f>
        <v>Chertsey</v>
      </c>
      <c r="R4190" s="9" t="s">
        <v>17743</v>
      </c>
      <c r="S4190" s="9" t="str">
        <f>IF(ISBLANK($R4190),"",VLOOKUP($R4190,'Liste des Villes'!$B$2:$H$1128,4,FALSE))</f>
        <v>Lanaudière</v>
      </c>
      <c r="T4190" s="2" t="s">
        <v>17744</v>
      </c>
      <c r="U4190" s="2" t="s">
        <v>39</v>
      </c>
      <c r="V4190" s="2" t="s">
        <v>40</v>
      </c>
      <c r="W4190" s="2" t="s">
        <v>17745</v>
      </c>
      <c r="X4190" s="2" t="str">
        <f>"4507126032"</f>
        <v>4507126032</v>
      </c>
      <c r="Y4190" s="2" t="str">
        <f>"4509715248"</f>
        <v>4509715248</v>
      </c>
      <c r="Z4190" s="2"/>
      <c r="AA4190" s="2" t="s">
        <v>793</v>
      </c>
      <c r="AB4190" s="2" t="s">
        <v>267</v>
      </c>
      <c r="AC4190" s="4" t="s">
        <v>44</v>
      </c>
    </row>
    <row r="4191" spans="1:29" x14ac:dyDescent="0.25">
      <c r="A4191" s="1">
        <v>2085</v>
      </c>
      <c r="B4191" s="17" t="s">
        <v>17746</v>
      </c>
      <c r="C4191" s="2" t="s">
        <v>17747</v>
      </c>
      <c r="D4191" s="15" t="s">
        <v>644</v>
      </c>
      <c r="E4191" s="9" t="s">
        <v>277</v>
      </c>
      <c r="F4191" s="9" t="s">
        <v>642</v>
      </c>
      <c r="G4191" s="9" t="s">
        <v>12192</v>
      </c>
      <c r="H4191" s="2" t="s">
        <v>60</v>
      </c>
      <c r="I4191" s="3">
        <v>37384</v>
      </c>
      <c r="J4191" s="9" t="str">
        <f t="shared" ca="1" si="70"/>
        <v>21 ans</v>
      </c>
      <c r="K4191" s="2" t="s">
        <v>262</v>
      </c>
      <c r="L4191" s="2" t="str">
        <f>"9582"</f>
        <v>9582</v>
      </c>
      <c r="M4191" s="2"/>
      <c r="N4191" s="2" t="str">
        <f>"RUE PRÉVOST"</f>
        <v>RUE PRÉVOST</v>
      </c>
      <c r="O4191" s="2" t="s">
        <v>17742</v>
      </c>
      <c r="P4191" s="9" t="str">
        <f>VLOOKUP($O4191,'Liste des Villes'!$B$2:$B$1128,1,FALSE)</f>
        <v>Chertsey</v>
      </c>
      <c r="Q4191" s="9" t="str">
        <f>IFERROR($P4191,PROPER(VLOOKUP($O4191,'Villes en erreur'!$A$2:$B$72,2,FALSE)))</f>
        <v>Chertsey</v>
      </c>
      <c r="R4191" s="9" t="s">
        <v>17743</v>
      </c>
      <c r="S4191" s="9" t="str">
        <f>IF(ISBLANK($R4191),"",VLOOKUP($R4191,'Liste des Villes'!$B$2:$H$1128,4,FALSE))</f>
        <v>Lanaudière</v>
      </c>
      <c r="T4191" s="2" t="s">
        <v>17748</v>
      </c>
      <c r="U4191" s="2" t="s">
        <v>39</v>
      </c>
      <c r="V4191" s="2" t="s">
        <v>40</v>
      </c>
      <c r="W4191" s="2" t="s">
        <v>17749</v>
      </c>
      <c r="X4191" s="2" t="str">
        <f>"4507126033"</f>
        <v>4507126033</v>
      </c>
      <c r="Y4191" s="2" t="str">
        <f>"4509714231"</f>
        <v>4509714231</v>
      </c>
      <c r="Z4191" s="2"/>
      <c r="AA4191" s="2" t="s">
        <v>793</v>
      </c>
      <c r="AB4191" s="2" t="s">
        <v>267</v>
      </c>
      <c r="AC4191" s="4" t="s">
        <v>44</v>
      </c>
    </row>
    <row r="4192" spans="1:29" x14ac:dyDescent="0.25">
      <c r="A4192" s="1">
        <v>3808</v>
      </c>
      <c r="B4192" s="17" t="s">
        <v>17750</v>
      </c>
      <c r="C4192" s="2" t="s">
        <v>17751</v>
      </c>
      <c r="D4192" s="15" t="s">
        <v>4142</v>
      </c>
      <c r="E4192" s="9" t="s">
        <v>5912</v>
      </c>
      <c r="F4192" s="9" t="s">
        <v>4141</v>
      </c>
      <c r="G4192" s="9" t="s">
        <v>354</v>
      </c>
      <c r="H4192" s="2" t="s">
        <v>35</v>
      </c>
      <c r="I4192" s="3">
        <v>37385</v>
      </c>
      <c r="J4192" s="9" t="str">
        <f t="shared" ca="1" si="70"/>
        <v>21 ans</v>
      </c>
      <c r="K4192" s="2" t="s">
        <v>262</v>
      </c>
      <c r="L4192" s="2" t="str">
        <f>"9665"</f>
        <v>9665</v>
      </c>
      <c r="M4192" s="2"/>
      <c r="N4192" s="2" t="str">
        <f>"RUE PRIMEAU"</f>
        <v>RUE PRIMEAU</v>
      </c>
      <c r="O4192" s="2" t="s">
        <v>17752</v>
      </c>
      <c r="P4192" s="9" t="str">
        <f>VLOOKUP($O4192,'Liste des Villes'!$B$2:$B$1128,1,FALSE)</f>
        <v>Châteauguay</v>
      </c>
      <c r="Q4192" s="9" t="str">
        <f>IFERROR($P4192,PROPER(VLOOKUP($O4192,'Villes en erreur'!$A$2:$B$72,2,FALSE)))</f>
        <v>Châteauguay</v>
      </c>
      <c r="R4192" s="9" t="s">
        <v>17753</v>
      </c>
      <c r="S4192" s="9" t="str">
        <f>IF(ISBLANK($R4192),"",VLOOKUP($R4192,'Liste des Villes'!$B$2:$H$1128,4,FALSE))</f>
        <v>Montérégie</v>
      </c>
      <c r="T4192" s="2" t="s">
        <v>17754</v>
      </c>
      <c r="U4192" s="2" t="s">
        <v>39</v>
      </c>
      <c r="V4192" s="2" t="s">
        <v>40</v>
      </c>
      <c r="W4192" s="2" t="s">
        <v>17755</v>
      </c>
      <c r="X4192" s="2" t="str">
        <f>"4507126361"</f>
        <v>4507126361</v>
      </c>
      <c r="Y4192" s="2" t="str">
        <f>"4509713177"</f>
        <v>4509713177</v>
      </c>
      <c r="Z4192" s="2"/>
      <c r="AA4192" s="2" t="s">
        <v>793</v>
      </c>
      <c r="AB4192" s="2" t="s">
        <v>267</v>
      </c>
      <c r="AC4192" s="4" t="s">
        <v>44</v>
      </c>
    </row>
    <row r="4193" spans="1:29" x14ac:dyDescent="0.25">
      <c r="A4193" s="1">
        <v>598</v>
      </c>
      <c r="B4193" s="17" t="s">
        <v>17756</v>
      </c>
      <c r="C4193" s="2" t="s">
        <v>17757</v>
      </c>
      <c r="D4193" s="15" t="s">
        <v>10645</v>
      </c>
      <c r="E4193" s="9" t="s">
        <v>92</v>
      </c>
      <c r="F4193" s="9" t="s">
        <v>10643</v>
      </c>
      <c r="G4193" s="9" t="s">
        <v>354</v>
      </c>
      <c r="H4193" s="2" t="s">
        <v>35</v>
      </c>
      <c r="I4193" s="3">
        <v>37385</v>
      </c>
      <c r="J4193" s="9" t="str">
        <f t="shared" ca="1" si="70"/>
        <v>21 ans</v>
      </c>
      <c r="K4193" s="2" t="s">
        <v>262</v>
      </c>
      <c r="L4193" s="2" t="str">
        <f>"9704"</f>
        <v>9704</v>
      </c>
      <c r="M4193" s="2"/>
      <c r="N4193" s="2" t="str">
        <f>"RUE PRINCE"</f>
        <v>RUE PRINCE</v>
      </c>
      <c r="O4193" s="2" t="s">
        <v>17758</v>
      </c>
      <c r="P4193" s="9" t="str">
        <f>VLOOKUP($O4193,'Liste des Villes'!$B$2:$B$1128,1,FALSE)</f>
        <v>Charlemagne</v>
      </c>
      <c r="Q4193" s="9" t="str">
        <f>IFERROR($P4193,PROPER(VLOOKUP($O4193,'Villes en erreur'!$A$2:$B$72,2,FALSE)))</f>
        <v>Charlemagne</v>
      </c>
      <c r="R4193" s="9" t="s">
        <v>17759</v>
      </c>
      <c r="S4193" s="9" t="str">
        <f>IF(ISBLANK($R4193),"",VLOOKUP($R4193,'Liste des Villes'!$B$2:$H$1128,4,FALSE))</f>
        <v>Lanaudière</v>
      </c>
      <c r="T4193" s="2" t="s">
        <v>17754</v>
      </c>
      <c r="U4193" s="2" t="s">
        <v>39</v>
      </c>
      <c r="V4193" s="2" t="s">
        <v>40</v>
      </c>
      <c r="W4193" s="2" t="s">
        <v>17760</v>
      </c>
      <c r="X4193" s="2" t="str">
        <f>"4507126870"</f>
        <v>4507126870</v>
      </c>
      <c r="Y4193" s="2" t="str">
        <f>"4509669904"</f>
        <v>4509669904</v>
      </c>
      <c r="Z4193" s="2"/>
      <c r="AA4193" s="2" t="s">
        <v>793</v>
      </c>
      <c r="AB4193" s="2" t="s">
        <v>267</v>
      </c>
      <c r="AC4193" s="4" t="s">
        <v>44</v>
      </c>
    </row>
    <row r="4194" spans="1:29" x14ac:dyDescent="0.25">
      <c r="A4194" s="1">
        <v>2207</v>
      </c>
      <c r="B4194" s="17" t="s">
        <v>17761</v>
      </c>
      <c r="C4194" s="2" t="s">
        <v>17762</v>
      </c>
      <c r="D4194" s="15" t="s">
        <v>7266</v>
      </c>
      <c r="E4194" s="9" t="s">
        <v>4243</v>
      </c>
      <c r="F4194" s="9" t="s">
        <v>1061</v>
      </c>
      <c r="G4194" s="9" t="s">
        <v>354</v>
      </c>
      <c r="H4194" s="2" t="s">
        <v>35</v>
      </c>
      <c r="I4194" s="3">
        <v>37386</v>
      </c>
      <c r="J4194" s="9" t="str">
        <f t="shared" ca="1" si="70"/>
        <v>21 ans</v>
      </c>
      <c r="K4194" s="2" t="s">
        <v>262</v>
      </c>
      <c r="L4194" s="2" t="str">
        <f>"9719"</f>
        <v>9719</v>
      </c>
      <c r="M4194" s="2"/>
      <c r="N4194" s="2" t="str">
        <f>"RUE PRINCIPALE"</f>
        <v>RUE PRINCIPALE</v>
      </c>
      <c r="O4194" s="2" t="s">
        <v>17763</v>
      </c>
      <c r="P4194" s="9" t="str">
        <f>VLOOKUP($O4194,'Liste des Villes'!$B$2:$B$1128,1,FALSE)</f>
        <v>Chambly</v>
      </c>
      <c r="Q4194" s="9" t="str">
        <f>IFERROR($P4194,PROPER(VLOOKUP($O4194,'Villes en erreur'!$A$2:$B$72,2,FALSE)))</f>
        <v>Chambly</v>
      </c>
      <c r="R4194" s="9" t="s">
        <v>17764</v>
      </c>
      <c r="S4194" s="9" t="str">
        <f>IF(ISBLANK($R4194),"",VLOOKUP($R4194,'Liste des Villes'!$B$2:$H$1128,4,FALSE))</f>
        <v>Montérégie</v>
      </c>
      <c r="T4194" s="2" t="s">
        <v>17754</v>
      </c>
      <c r="U4194" s="2" t="s">
        <v>39</v>
      </c>
      <c r="V4194" s="2" t="s">
        <v>40</v>
      </c>
      <c r="W4194" s="2" t="s">
        <v>17765</v>
      </c>
      <c r="X4194" s="2" t="str">
        <f>"4507127022"</f>
        <v>4507127022</v>
      </c>
      <c r="Y4194" s="2" t="str">
        <f>"4509661805"</f>
        <v>4509661805</v>
      </c>
      <c r="Z4194" s="2"/>
      <c r="AA4194" s="2" t="s">
        <v>793</v>
      </c>
      <c r="AB4194" s="2" t="s">
        <v>267</v>
      </c>
      <c r="AC4194" s="4" t="s">
        <v>44</v>
      </c>
    </row>
    <row r="4195" spans="1:29" x14ac:dyDescent="0.25">
      <c r="A4195" s="1">
        <v>1715</v>
      </c>
      <c r="B4195" s="17" t="s">
        <v>17766</v>
      </c>
      <c r="C4195" s="2" t="s">
        <v>1103</v>
      </c>
      <c r="D4195" s="15" t="s">
        <v>1104</v>
      </c>
      <c r="E4195" s="9" t="s">
        <v>277</v>
      </c>
      <c r="F4195" s="9" t="s">
        <v>4782</v>
      </c>
      <c r="G4195" s="9" t="s">
        <v>354</v>
      </c>
      <c r="H4195" s="2" t="s">
        <v>35</v>
      </c>
      <c r="I4195" s="3">
        <v>37386</v>
      </c>
      <c r="J4195" s="9" t="str">
        <f t="shared" ca="1" si="70"/>
        <v>21 ans</v>
      </c>
      <c r="K4195" s="2" t="s">
        <v>262</v>
      </c>
      <c r="L4195" s="2" t="str">
        <f>"9739"</f>
        <v>9739</v>
      </c>
      <c r="M4195" s="2"/>
      <c r="N4195" s="2" t="str">
        <f>"RUE PRINCIPALE"</f>
        <v>RUE PRINCIPALE</v>
      </c>
      <c r="O4195" s="2" t="s">
        <v>17767</v>
      </c>
      <c r="P4195" s="9" t="str">
        <f>VLOOKUP($O4195,'Liste des Villes'!$B$2:$B$1128,1,FALSE)</f>
        <v>Cantley</v>
      </c>
      <c r="Q4195" s="9" t="str">
        <f>IFERROR($P4195,PROPER(VLOOKUP($O4195,'Villes en erreur'!$A$2:$B$72,2,FALSE)))</f>
        <v>Cantley</v>
      </c>
      <c r="R4195" s="9" t="s">
        <v>17768</v>
      </c>
      <c r="S4195" s="9" t="str">
        <f>IF(ISBLANK($R4195),"",VLOOKUP($R4195,'Liste des Villes'!$B$2:$H$1128,4,FALSE))</f>
        <v>Outaouais</v>
      </c>
      <c r="T4195" s="2" t="s">
        <v>17754</v>
      </c>
      <c r="U4195" s="2" t="s">
        <v>39</v>
      </c>
      <c r="V4195" s="2" t="s">
        <v>40</v>
      </c>
      <c r="W4195" s="2" t="s">
        <v>17769</v>
      </c>
      <c r="X4195" s="2" t="str">
        <f>"4507127183"</f>
        <v>4507127183</v>
      </c>
      <c r="Y4195" s="2" t="str">
        <f>"4509657557"</f>
        <v>4509657557</v>
      </c>
      <c r="Z4195" s="2"/>
      <c r="AA4195" s="2" t="s">
        <v>793</v>
      </c>
      <c r="AB4195" s="2" t="s">
        <v>267</v>
      </c>
      <c r="AC4195" s="4" t="s">
        <v>44</v>
      </c>
    </row>
    <row r="4196" spans="1:29" x14ac:dyDescent="0.25">
      <c r="A4196" s="1">
        <v>1741</v>
      </c>
      <c r="B4196" s="17" t="s">
        <v>17770</v>
      </c>
      <c r="C4196" s="2" t="s">
        <v>10388</v>
      </c>
      <c r="D4196" s="15" t="s">
        <v>3142</v>
      </c>
      <c r="E4196" s="9" t="s">
        <v>5276</v>
      </c>
      <c r="F4196" s="9" t="s">
        <v>2017</v>
      </c>
      <c r="G4196" s="9" t="s">
        <v>354</v>
      </c>
      <c r="H4196" s="2" t="s">
        <v>35</v>
      </c>
      <c r="I4196" s="3">
        <v>37386</v>
      </c>
      <c r="J4196" s="9" t="str">
        <f t="shared" ca="1" si="70"/>
        <v>21 ans</v>
      </c>
      <c r="K4196" s="2" t="s">
        <v>262</v>
      </c>
      <c r="L4196" s="2" t="str">
        <f>"9790"</f>
        <v>9790</v>
      </c>
      <c r="M4196" s="2"/>
      <c r="N4196" s="2" t="str">
        <f>"RUE PRINCIPALE"</f>
        <v>RUE PRINCIPALE</v>
      </c>
      <c r="O4196" s="2" t="s">
        <v>17771</v>
      </c>
      <c r="P4196" s="9" t="str">
        <f>VLOOKUP($O4196,'Liste des Villes'!$B$2:$B$1128,1,FALSE)</f>
        <v>Candiac</v>
      </c>
      <c r="Q4196" s="9" t="str">
        <f>IFERROR($P4196,PROPER(VLOOKUP($O4196,'Villes en erreur'!$A$2:$B$72,2,FALSE)))</f>
        <v>Candiac</v>
      </c>
      <c r="R4196" s="9" t="s">
        <v>17772</v>
      </c>
      <c r="S4196" s="9" t="str">
        <f>IF(ISBLANK($R4196),"",VLOOKUP($R4196,'Liste des Villes'!$B$2:$H$1128,4,FALSE))</f>
        <v>Montérégie</v>
      </c>
      <c r="T4196" s="2" t="s">
        <v>17754</v>
      </c>
      <c r="U4196" s="2" t="s">
        <v>39</v>
      </c>
      <c r="V4196" s="2" t="s">
        <v>40</v>
      </c>
      <c r="W4196" s="2" t="s">
        <v>17773</v>
      </c>
      <c r="X4196" s="2" t="str">
        <f>"4507128744"</f>
        <v>4507128744</v>
      </c>
      <c r="Y4196" s="2" t="str">
        <f>"4509652016"</f>
        <v>4509652016</v>
      </c>
      <c r="Z4196" s="2"/>
      <c r="AA4196" s="2" t="s">
        <v>793</v>
      </c>
      <c r="AB4196" s="2" t="s">
        <v>267</v>
      </c>
      <c r="AC4196" s="4" t="s">
        <v>44</v>
      </c>
    </row>
    <row r="4197" spans="1:29" x14ac:dyDescent="0.25">
      <c r="A4197" s="1">
        <v>2726</v>
      </c>
      <c r="B4197" s="17" t="s">
        <v>17774</v>
      </c>
      <c r="C4197" s="2" t="s">
        <v>7974</v>
      </c>
      <c r="D4197" s="15" t="s">
        <v>7202</v>
      </c>
      <c r="E4197" s="9" t="s">
        <v>2978</v>
      </c>
      <c r="F4197" s="9" t="s">
        <v>17775</v>
      </c>
      <c r="G4197" s="9" t="s">
        <v>452</v>
      </c>
      <c r="H4197" s="2" t="s">
        <v>35</v>
      </c>
      <c r="I4197" s="3">
        <v>37399</v>
      </c>
      <c r="J4197" s="9" t="str">
        <f t="shared" ca="1" si="70"/>
        <v>21 ans</v>
      </c>
      <c r="K4197" s="2" t="s">
        <v>262</v>
      </c>
      <c r="L4197" s="2" t="str">
        <f>"10100"</f>
        <v>10100</v>
      </c>
      <c r="M4197" s="2"/>
      <c r="N4197" s="2" t="str">
        <f>"RUE QUINTIN"</f>
        <v>RUE QUINTIN</v>
      </c>
      <c r="O4197" s="2" t="s">
        <v>17776</v>
      </c>
      <c r="P4197" s="9" t="str">
        <f>VLOOKUP($O4197,'Liste des Villes'!$B$2:$B$1128,1,FALSE)</f>
        <v>Brownsburg-Chatham</v>
      </c>
      <c r="Q4197" s="9" t="str">
        <f>IFERROR($P4197,PROPER(VLOOKUP($O4197,'Villes en erreur'!$A$2:$B$72,2,FALSE)))</f>
        <v>Brownsburg-Chatham</v>
      </c>
      <c r="R4197" s="9" t="s">
        <v>17777</v>
      </c>
      <c r="S4197" s="9" t="str">
        <f>IF(ISBLANK($R4197),"",VLOOKUP($R4197,'Liste des Villes'!$B$2:$H$1128,4,FALSE))</f>
        <v>Laurentides</v>
      </c>
      <c r="T4197" s="2" t="s">
        <v>17778</v>
      </c>
      <c r="U4197" s="2" t="s">
        <v>39</v>
      </c>
      <c r="V4197" s="2" t="s">
        <v>40</v>
      </c>
      <c r="W4197" s="2" t="s">
        <v>17779</v>
      </c>
      <c r="X4197" s="2" t="str">
        <f>"4508221714"</f>
        <v>4508221714</v>
      </c>
      <c r="Y4197" s="2" t="str">
        <f>"4508480678"</f>
        <v>4508480678</v>
      </c>
      <c r="Z4197" s="2"/>
      <c r="AA4197" s="2" t="s">
        <v>456</v>
      </c>
      <c r="AB4197" s="2" t="s">
        <v>457</v>
      </c>
      <c r="AC4197" s="4" t="s">
        <v>44</v>
      </c>
    </row>
    <row r="4198" spans="1:29" x14ac:dyDescent="0.25">
      <c r="A4198" s="1">
        <v>3746</v>
      </c>
      <c r="B4198" s="17" t="s">
        <v>17780</v>
      </c>
      <c r="C4198" s="2" t="s">
        <v>849</v>
      </c>
      <c r="D4198" s="15" t="s">
        <v>850</v>
      </c>
      <c r="E4198" s="9" t="s">
        <v>851</v>
      </c>
      <c r="F4198" s="9" t="s">
        <v>2061</v>
      </c>
      <c r="G4198" s="9" t="s">
        <v>354</v>
      </c>
      <c r="H4198" s="2" t="s">
        <v>35</v>
      </c>
      <c r="I4198" s="3">
        <v>37392</v>
      </c>
      <c r="J4198" s="9" t="str">
        <f t="shared" ca="1" si="70"/>
        <v>21 ans</v>
      </c>
      <c r="K4198" s="2" t="s">
        <v>262</v>
      </c>
      <c r="L4198" s="2" t="str">
        <f>"10006"</f>
        <v>10006</v>
      </c>
      <c r="M4198" s="2"/>
      <c r="N4198" s="2" t="str">
        <f>"RUE PRINCIPALE"</f>
        <v>RUE PRINCIPALE</v>
      </c>
      <c r="O4198" s="2" t="s">
        <v>17776</v>
      </c>
      <c r="P4198" s="9" t="str">
        <f>VLOOKUP($O4198,'Liste des Villes'!$B$2:$B$1128,1,FALSE)</f>
        <v>Brownsburg-Chatham</v>
      </c>
      <c r="Q4198" s="9" t="str">
        <f>IFERROR($P4198,PROPER(VLOOKUP($O4198,'Villes en erreur'!$A$2:$B$72,2,FALSE)))</f>
        <v>Brownsburg-Chatham</v>
      </c>
      <c r="R4198" s="9" t="s">
        <v>17777</v>
      </c>
      <c r="S4198" s="9" t="str">
        <f>IF(ISBLANK($R4198),"",VLOOKUP($R4198,'Liste des Villes'!$B$2:$H$1128,4,FALSE))</f>
        <v>Laurentides</v>
      </c>
      <c r="T4198" s="2" t="s">
        <v>17781</v>
      </c>
      <c r="U4198" s="2" t="s">
        <v>39</v>
      </c>
      <c r="V4198" s="2" t="s">
        <v>40</v>
      </c>
      <c r="W4198" s="2" t="s">
        <v>17782</v>
      </c>
      <c r="X4198" s="2" t="str">
        <f>"4508067272"</f>
        <v>4508067272</v>
      </c>
      <c r="Y4198" s="2" t="str">
        <f>"4508582023"</f>
        <v>4508582023</v>
      </c>
      <c r="Z4198" s="2"/>
      <c r="AA4198" s="2" t="s">
        <v>456</v>
      </c>
      <c r="AB4198" s="2" t="s">
        <v>457</v>
      </c>
      <c r="AC4198" s="4" t="s">
        <v>44</v>
      </c>
    </row>
    <row r="4199" spans="1:29" x14ac:dyDescent="0.25">
      <c r="A4199" s="1">
        <v>471</v>
      </c>
      <c r="B4199" s="17" t="s">
        <v>17783</v>
      </c>
      <c r="C4199" s="2" t="s">
        <v>17784</v>
      </c>
      <c r="D4199" s="15" t="s">
        <v>12186</v>
      </c>
      <c r="E4199" s="9" t="s">
        <v>17497</v>
      </c>
      <c r="F4199" s="9" t="s">
        <v>12185</v>
      </c>
      <c r="G4199" s="9" t="s">
        <v>354</v>
      </c>
      <c r="H4199" s="2" t="s">
        <v>35</v>
      </c>
      <c r="I4199" s="3">
        <v>37393</v>
      </c>
      <c r="J4199" s="9" t="str">
        <f t="shared" ca="1" si="70"/>
        <v>21 ans</v>
      </c>
      <c r="K4199" s="2" t="s">
        <v>262</v>
      </c>
      <c r="L4199" s="2" t="str">
        <f>"10010"</f>
        <v>10010</v>
      </c>
      <c r="M4199" s="2"/>
      <c r="N4199" s="2" t="str">
        <f>"RUE PRINCIPALE"</f>
        <v>RUE PRINCIPALE</v>
      </c>
      <c r="O4199" s="2" t="s">
        <v>17776</v>
      </c>
      <c r="P4199" s="9" t="str">
        <f>VLOOKUP($O4199,'Liste des Villes'!$B$2:$B$1128,1,FALSE)</f>
        <v>Brownsburg-Chatham</v>
      </c>
      <c r="Q4199" s="9" t="str">
        <f>IFERROR($P4199,PROPER(VLOOKUP($O4199,'Villes en erreur'!$A$2:$B$72,2,FALSE)))</f>
        <v>Brownsburg-Chatham</v>
      </c>
      <c r="R4199" s="9" t="s">
        <v>17777</v>
      </c>
      <c r="S4199" s="9" t="str">
        <f>IF(ISBLANK($R4199),"",VLOOKUP($R4199,'Liste des Villes'!$B$2:$H$1128,4,FALSE))</f>
        <v>Laurentides</v>
      </c>
      <c r="T4199" s="2" t="s">
        <v>17785</v>
      </c>
      <c r="U4199" s="2" t="s">
        <v>39</v>
      </c>
      <c r="V4199" s="2" t="s">
        <v>40</v>
      </c>
      <c r="W4199" s="2" t="s">
        <v>17786</v>
      </c>
      <c r="X4199" s="2" t="str">
        <f>"4508210624"</f>
        <v>4508210624</v>
      </c>
      <c r="Y4199" s="2" t="str">
        <f>"4508488074"</f>
        <v>4508488074</v>
      </c>
      <c r="Z4199" s="2"/>
      <c r="AA4199" s="2" t="s">
        <v>456</v>
      </c>
      <c r="AB4199" s="2" t="s">
        <v>457</v>
      </c>
      <c r="AC4199" s="4" t="s">
        <v>44</v>
      </c>
    </row>
    <row r="4200" spans="1:29" x14ac:dyDescent="0.25">
      <c r="A4200" s="1">
        <v>3540</v>
      </c>
      <c r="B4200" s="17" t="s">
        <v>17787</v>
      </c>
      <c r="C4200" s="2" t="s">
        <v>17788</v>
      </c>
      <c r="D4200" s="15" t="s">
        <v>4730</v>
      </c>
      <c r="E4200" s="9" t="s">
        <v>7999</v>
      </c>
      <c r="F4200" s="9" t="s">
        <v>1649</v>
      </c>
      <c r="G4200" s="9" t="s">
        <v>354</v>
      </c>
      <c r="H4200" s="2" t="s">
        <v>35</v>
      </c>
      <c r="I4200" s="3">
        <v>37398</v>
      </c>
      <c r="J4200" s="9" t="str">
        <f t="shared" ca="1" si="70"/>
        <v>21 ans</v>
      </c>
      <c r="K4200" s="2" t="s">
        <v>262</v>
      </c>
      <c r="L4200" s="2" t="str">
        <f>"10055"</f>
        <v>10055</v>
      </c>
      <c r="M4200" s="2"/>
      <c r="N4200" s="2" t="str">
        <f>"RUE PRUD'HOMME"</f>
        <v>RUE PRUD'HOMME</v>
      </c>
      <c r="O4200" s="2" t="s">
        <v>17776</v>
      </c>
      <c r="P4200" s="9" t="str">
        <f>VLOOKUP($O4200,'Liste des Villes'!$B$2:$B$1128,1,FALSE)</f>
        <v>Brownsburg-Chatham</v>
      </c>
      <c r="Q4200" s="9" t="str">
        <f>IFERROR($P4200,PROPER(VLOOKUP($O4200,'Villes en erreur'!$A$2:$B$72,2,FALSE)))</f>
        <v>Brownsburg-Chatham</v>
      </c>
      <c r="R4200" s="9" t="s">
        <v>17777</v>
      </c>
      <c r="S4200" s="9" t="str">
        <f>IF(ISBLANK($R4200),"",VLOOKUP($R4200,'Liste des Villes'!$B$2:$H$1128,4,FALSE))</f>
        <v>Laurentides</v>
      </c>
      <c r="T4200" s="2" t="s">
        <v>17789</v>
      </c>
      <c r="U4200" s="2" t="s">
        <v>39</v>
      </c>
      <c r="V4200" s="2" t="s">
        <v>40</v>
      </c>
      <c r="W4200" s="2" t="s">
        <v>17790</v>
      </c>
      <c r="X4200" s="2" t="str">
        <f>"4508218937"</f>
        <v>4508218937</v>
      </c>
      <c r="Y4200" s="2" t="str">
        <f>"4508482300"</f>
        <v>4508482300</v>
      </c>
      <c r="Z4200" s="2"/>
      <c r="AA4200" s="2" t="s">
        <v>456</v>
      </c>
      <c r="AB4200" s="2" t="s">
        <v>457</v>
      </c>
      <c r="AC4200" s="4" t="s">
        <v>44</v>
      </c>
    </row>
    <row r="4201" spans="1:29" x14ac:dyDescent="0.25">
      <c r="A4201" s="1">
        <v>2053</v>
      </c>
      <c r="B4201" s="17" t="s">
        <v>17791</v>
      </c>
      <c r="C4201" s="2" t="s">
        <v>17792</v>
      </c>
      <c r="D4201" s="15" t="s">
        <v>875</v>
      </c>
      <c r="E4201" s="9" t="s">
        <v>14759</v>
      </c>
      <c r="F4201" s="9" t="s">
        <v>10751</v>
      </c>
      <c r="G4201" s="9" t="s">
        <v>354</v>
      </c>
      <c r="H4201" s="2" t="s">
        <v>35</v>
      </c>
      <c r="I4201" s="3">
        <v>37390</v>
      </c>
      <c r="J4201" s="9" t="str">
        <f t="shared" ca="1" si="70"/>
        <v>21 ans</v>
      </c>
      <c r="K4201" s="2" t="s">
        <v>262</v>
      </c>
      <c r="L4201" s="2" t="str">
        <f>"9950"</f>
        <v>9950</v>
      </c>
      <c r="M4201" s="2"/>
      <c r="N4201" s="2" t="str">
        <f>"RUE PRINCIPALE"</f>
        <v>RUE PRINCIPALE</v>
      </c>
      <c r="O4201" s="2" t="s">
        <v>17776</v>
      </c>
      <c r="P4201" s="9" t="str">
        <f>VLOOKUP($O4201,'Liste des Villes'!$B$2:$B$1128,1,FALSE)</f>
        <v>Brownsburg-Chatham</v>
      </c>
      <c r="Q4201" s="9" t="str">
        <f>IFERROR($P4201,PROPER(VLOOKUP($O4201,'Villes en erreur'!$A$2:$B$72,2,FALSE)))</f>
        <v>Brownsburg-Chatham</v>
      </c>
      <c r="R4201" s="9" t="s">
        <v>17777</v>
      </c>
      <c r="S4201" s="9" t="str">
        <f>IF(ISBLANK($R4201),"",VLOOKUP($R4201,'Liste des Villes'!$B$2:$H$1128,4,FALSE))</f>
        <v>Laurentides</v>
      </c>
      <c r="T4201" s="2" t="s">
        <v>17793</v>
      </c>
      <c r="U4201" s="2" t="s">
        <v>39</v>
      </c>
      <c r="V4201" s="2" t="s">
        <v>40</v>
      </c>
      <c r="W4201" s="2" t="s">
        <v>17794</v>
      </c>
      <c r="X4201" s="2" t="str">
        <f>"4508064802"</f>
        <v>4508064802</v>
      </c>
      <c r="Y4201" s="2" t="str">
        <f>"4508584705"</f>
        <v>4508584705</v>
      </c>
      <c r="Z4201" s="2"/>
      <c r="AA4201" s="2" t="s">
        <v>456</v>
      </c>
      <c r="AB4201" s="2" t="s">
        <v>457</v>
      </c>
      <c r="AC4201" s="4" t="s">
        <v>44</v>
      </c>
    </row>
    <row r="4202" spans="1:29" x14ac:dyDescent="0.25">
      <c r="A4202" s="1">
        <v>4087</v>
      </c>
      <c r="B4202" s="17" t="s">
        <v>17795</v>
      </c>
      <c r="C4202" s="2" t="s">
        <v>17796</v>
      </c>
      <c r="D4202" s="15" t="s">
        <v>13743</v>
      </c>
      <c r="E4202" s="9" t="s">
        <v>17797</v>
      </c>
      <c r="F4202" s="9" t="s">
        <v>17289</v>
      </c>
      <c r="G4202" s="9" t="s">
        <v>354</v>
      </c>
      <c r="H4202" s="2" t="s">
        <v>35</v>
      </c>
      <c r="I4202" s="3">
        <v>37395</v>
      </c>
      <c r="J4202" s="9" t="str">
        <f t="shared" ca="1" si="70"/>
        <v>21 ans</v>
      </c>
      <c r="K4202" s="2" t="s">
        <v>262</v>
      </c>
      <c r="L4202" s="2" t="str">
        <f>"10040"</f>
        <v>10040</v>
      </c>
      <c r="M4202" s="2"/>
      <c r="N4202" s="2" t="str">
        <f>"RUE PRINCIPALE EST"</f>
        <v>RUE PRINCIPALE EST</v>
      </c>
      <c r="O4202" s="2" t="s">
        <v>17776</v>
      </c>
      <c r="P4202" s="9" t="str">
        <f>VLOOKUP($O4202,'Liste des Villes'!$B$2:$B$1128,1,FALSE)</f>
        <v>Brownsburg-Chatham</v>
      </c>
      <c r="Q4202" s="9" t="str">
        <f>IFERROR($P4202,PROPER(VLOOKUP($O4202,'Villes en erreur'!$A$2:$B$72,2,FALSE)))</f>
        <v>Brownsburg-Chatham</v>
      </c>
      <c r="R4202" s="9" t="s">
        <v>17777</v>
      </c>
      <c r="S4202" s="9" t="str">
        <f>IF(ISBLANK($R4202),"",VLOOKUP($R4202,'Liste des Villes'!$B$2:$H$1128,4,FALSE))</f>
        <v>Laurentides</v>
      </c>
      <c r="T4202" s="2" t="s">
        <v>17785</v>
      </c>
      <c r="U4202" s="2" t="s">
        <v>39</v>
      </c>
      <c r="V4202" s="2" t="s">
        <v>40</v>
      </c>
      <c r="W4202" s="2" t="s">
        <v>17798</v>
      </c>
      <c r="X4202" s="2" t="str">
        <f>"4508213319"</f>
        <v>4508213319</v>
      </c>
      <c r="Y4202" s="2" t="str">
        <f>"4508487403"</f>
        <v>4508487403</v>
      </c>
      <c r="Z4202" s="2"/>
      <c r="AA4202" s="2" t="s">
        <v>456</v>
      </c>
      <c r="AB4202" s="2" t="s">
        <v>457</v>
      </c>
      <c r="AC4202" s="4" t="s">
        <v>44</v>
      </c>
    </row>
    <row r="4203" spans="1:29" x14ac:dyDescent="0.25">
      <c r="A4203" s="1">
        <v>3801</v>
      </c>
      <c r="B4203" s="17" t="s">
        <v>17799</v>
      </c>
      <c r="C4203" s="2" t="s">
        <v>17800</v>
      </c>
      <c r="D4203" s="15" t="s">
        <v>9652</v>
      </c>
      <c r="E4203" s="9" t="s">
        <v>541</v>
      </c>
      <c r="F4203" s="9" t="s">
        <v>173</v>
      </c>
      <c r="G4203" s="9" t="s">
        <v>354</v>
      </c>
      <c r="H4203" s="2" t="s">
        <v>35</v>
      </c>
      <c r="I4203" s="3">
        <v>37398</v>
      </c>
      <c r="J4203" s="9" t="str">
        <f t="shared" ca="1" si="70"/>
        <v>21 ans</v>
      </c>
      <c r="K4203" s="2" t="s">
        <v>262</v>
      </c>
      <c r="L4203" s="2" t="str">
        <f>"10045"</f>
        <v>10045</v>
      </c>
      <c r="M4203" s="2"/>
      <c r="N4203" s="2" t="str">
        <f>"RUE PROULX"</f>
        <v>RUE PROULX</v>
      </c>
      <c r="O4203" s="2" t="s">
        <v>17776</v>
      </c>
      <c r="P4203" s="9" t="str">
        <f>VLOOKUP($O4203,'Liste des Villes'!$B$2:$B$1128,1,FALSE)</f>
        <v>Brownsburg-Chatham</v>
      </c>
      <c r="Q4203" s="9" t="str">
        <f>IFERROR($P4203,PROPER(VLOOKUP($O4203,'Villes en erreur'!$A$2:$B$72,2,FALSE)))</f>
        <v>Brownsburg-Chatham</v>
      </c>
      <c r="R4203" s="9" t="s">
        <v>17777</v>
      </c>
      <c r="S4203" s="9" t="str">
        <f>IF(ISBLANK($R4203),"",VLOOKUP($R4203,'Liste des Villes'!$B$2:$H$1128,4,FALSE))</f>
        <v>Laurentides</v>
      </c>
      <c r="T4203" s="2" t="s">
        <v>17801</v>
      </c>
      <c r="U4203" s="2" t="s">
        <v>39</v>
      </c>
      <c r="V4203" s="2" t="s">
        <v>40</v>
      </c>
      <c r="W4203" s="2" t="s">
        <v>17802</v>
      </c>
      <c r="X4203" s="2" t="str">
        <f>"4508217882"</f>
        <v>4508217882</v>
      </c>
      <c r="Y4203" s="2" t="str">
        <f>"4508482862"</f>
        <v>4508482862</v>
      </c>
      <c r="Z4203" s="2"/>
      <c r="AA4203" s="2" t="s">
        <v>456</v>
      </c>
      <c r="AB4203" s="2" t="s">
        <v>457</v>
      </c>
      <c r="AC4203" s="4" t="s">
        <v>44</v>
      </c>
    </row>
    <row r="4204" spans="1:29" x14ac:dyDescent="0.25">
      <c r="A4204" s="1">
        <v>1639</v>
      </c>
      <c r="B4204" s="17" t="s">
        <v>17803</v>
      </c>
      <c r="C4204" s="2" t="s">
        <v>3699</v>
      </c>
      <c r="D4204" s="15" t="s">
        <v>1716</v>
      </c>
      <c r="E4204" s="9" t="s">
        <v>3700</v>
      </c>
      <c r="F4204" s="9" t="s">
        <v>13913</v>
      </c>
      <c r="G4204" s="9" t="s">
        <v>354</v>
      </c>
      <c r="H4204" s="2" t="s">
        <v>35</v>
      </c>
      <c r="I4204" s="3">
        <v>37396</v>
      </c>
      <c r="J4204" s="9" t="str">
        <f t="shared" ca="1" si="70"/>
        <v>21 ans</v>
      </c>
      <c r="K4204" s="2" t="s">
        <v>262</v>
      </c>
      <c r="L4204" s="2" t="str">
        <f>"10044"</f>
        <v>10044</v>
      </c>
      <c r="M4204" s="2"/>
      <c r="N4204" s="2" t="str">
        <f>"RUE PROULX"</f>
        <v>RUE PROULX</v>
      </c>
      <c r="O4204" s="2" t="s">
        <v>17776</v>
      </c>
      <c r="P4204" s="9" t="str">
        <f>VLOOKUP($O4204,'Liste des Villes'!$B$2:$B$1128,1,FALSE)</f>
        <v>Brownsburg-Chatham</v>
      </c>
      <c r="Q4204" s="9" t="str">
        <f>IFERROR($P4204,PROPER(VLOOKUP($O4204,'Villes en erreur'!$A$2:$B$72,2,FALSE)))</f>
        <v>Brownsburg-Chatham</v>
      </c>
      <c r="R4204" s="9" t="s">
        <v>17777</v>
      </c>
      <c r="S4204" s="9" t="str">
        <f>IF(ISBLANK($R4204),"",VLOOKUP($R4204,'Liste des Villes'!$B$2:$H$1128,4,FALSE))</f>
        <v>Laurentides</v>
      </c>
      <c r="T4204" s="2" t="s">
        <v>17804</v>
      </c>
      <c r="U4204" s="2" t="s">
        <v>39</v>
      </c>
      <c r="V4204" s="2" t="s">
        <v>40</v>
      </c>
      <c r="W4204" s="2" t="s">
        <v>17805</v>
      </c>
      <c r="X4204" s="2" t="str">
        <f>"4508216748"</f>
        <v>4508216748</v>
      </c>
      <c r="Y4204" s="2" t="str">
        <f>"4508484493"</f>
        <v>4508484493</v>
      </c>
      <c r="Z4204" s="2"/>
      <c r="AA4204" s="2" t="s">
        <v>456</v>
      </c>
      <c r="AB4204" s="2" t="s">
        <v>457</v>
      </c>
      <c r="AC4204" s="4" t="s">
        <v>44</v>
      </c>
    </row>
    <row r="4205" spans="1:29" x14ac:dyDescent="0.25">
      <c r="A4205" s="1">
        <v>2872</v>
      </c>
      <c r="B4205" s="17" t="s">
        <v>17806</v>
      </c>
      <c r="C4205" s="2" t="s">
        <v>2542</v>
      </c>
      <c r="D4205" s="15" t="s">
        <v>34</v>
      </c>
      <c r="E4205" s="9" t="s">
        <v>341</v>
      </c>
      <c r="F4205" s="9" t="s">
        <v>5461</v>
      </c>
      <c r="G4205" s="9" t="s">
        <v>354</v>
      </c>
      <c r="H4205" s="2" t="s">
        <v>35</v>
      </c>
      <c r="I4205" s="3">
        <v>37392</v>
      </c>
      <c r="J4205" s="9" t="str">
        <f t="shared" ca="1" si="70"/>
        <v>21 ans</v>
      </c>
      <c r="K4205" s="2" t="s">
        <v>262</v>
      </c>
      <c r="L4205" s="2" t="str">
        <f>"10007"</f>
        <v>10007</v>
      </c>
      <c r="M4205" s="2"/>
      <c r="N4205" s="2" t="str">
        <f>"RUE PRINCIPALE"</f>
        <v>RUE PRINCIPALE</v>
      </c>
      <c r="O4205" s="2" t="s">
        <v>17776</v>
      </c>
      <c r="P4205" s="9" t="str">
        <f>VLOOKUP($O4205,'Liste des Villes'!$B$2:$B$1128,1,FALSE)</f>
        <v>Brownsburg-Chatham</v>
      </c>
      <c r="Q4205" s="9" t="str">
        <f>IFERROR($P4205,PROPER(VLOOKUP($O4205,'Villes en erreur'!$A$2:$B$72,2,FALSE)))</f>
        <v>Brownsburg-Chatham</v>
      </c>
      <c r="R4205" s="9" t="s">
        <v>17777</v>
      </c>
      <c r="S4205" s="9" t="str">
        <f>IF(ISBLANK($R4205),"",VLOOKUP($R4205,'Liste des Villes'!$B$2:$H$1128,4,FALSE))</f>
        <v>Laurentides</v>
      </c>
      <c r="T4205" s="2" t="s">
        <v>17785</v>
      </c>
      <c r="U4205" s="2" t="s">
        <v>39</v>
      </c>
      <c r="V4205" s="2" t="s">
        <v>40</v>
      </c>
      <c r="W4205" s="2" t="s">
        <v>17807</v>
      </c>
      <c r="X4205" s="2" t="str">
        <f>"4508200895"</f>
        <v>4508200895</v>
      </c>
      <c r="Y4205" s="2" t="str">
        <f>"4508581985"</f>
        <v>4508581985</v>
      </c>
      <c r="Z4205" s="2"/>
      <c r="AA4205" s="2" t="s">
        <v>456</v>
      </c>
      <c r="AB4205" s="2" t="s">
        <v>457</v>
      </c>
      <c r="AC4205" s="4" t="s">
        <v>44</v>
      </c>
    </row>
    <row r="4206" spans="1:29" x14ac:dyDescent="0.25">
      <c r="A4206" s="1">
        <v>3415</v>
      </c>
      <c r="B4206" s="17" t="s">
        <v>17808</v>
      </c>
      <c r="C4206" s="2" t="s">
        <v>17809</v>
      </c>
      <c r="D4206" s="15" t="s">
        <v>4722</v>
      </c>
      <c r="E4206" s="9" t="s">
        <v>12113</v>
      </c>
      <c r="F4206" s="9" t="s">
        <v>4721</v>
      </c>
      <c r="G4206" s="9" t="s">
        <v>354</v>
      </c>
      <c r="H4206" s="2" t="s">
        <v>35</v>
      </c>
      <c r="I4206" s="3">
        <v>37389</v>
      </c>
      <c r="J4206" s="9" t="str">
        <f t="shared" ca="1" si="70"/>
        <v>21 ans</v>
      </c>
      <c r="K4206" s="2" t="s">
        <v>262</v>
      </c>
      <c r="L4206" s="2" t="str">
        <f>"9900"</f>
        <v>9900</v>
      </c>
      <c r="M4206" s="2"/>
      <c r="N4206" s="2" t="str">
        <f>"RUE PRINCIPALE"</f>
        <v>RUE PRINCIPALE</v>
      </c>
      <c r="O4206" s="2" t="s">
        <v>17776</v>
      </c>
      <c r="P4206" s="9" t="str">
        <f>VLOOKUP($O4206,'Liste des Villes'!$B$2:$B$1128,1,FALSE)</f>
        <v>Brownsburg-Chatham</v>
      </c>
      <c r="Q4206" s="9" t="str">
        <f>IFERROR($P4206,PROPER(VLOOKUP($O4206,'Villes en erreur'!$A$2:$B$72,2,FALSE)))</f>
        <v>Brownsburg-Chatham</v>
      </c>
      <c r="R4206" s="9" t="s">
        <v>17777</v>
      </c>
      <c r="S4206" s="9" t="str">
        <f>IF(ISBLANK($R4206),"",VLOOKUP($R4206,'Liste des Villes'!$B$2:$H$1128,4,FALSE))</f>
        <v>Laurentides</v>
      </c>
      <c r="T4206" s="2" t="s">
        <v>17810</v>
      </c>
      <c r="U4206" s="2" t="s">
        <v>39</v>
      </c>
      <c r="V4206" s="2" t="s">
        <v>40</v>
      </c>
      <c r="W4206" s="2" t="s">
        <v>17811</v>
      </c>
      <c r="X4206" s="2" t="str">
        <f>"4507510098"</f>
        <v>4507510098</v>
      </c>
      <c r="Y4206" s="2" t="str">
        <f>"4509397677"</f>
        <v>4509397677</v>
      </c>
      <c r="Z4206" s="2"/>
      <c r="AA4206" s="2" t="s">
        <v>793</v>
      </c>
      <c r="AB4206" s="2" t="s">
        <v>267</v>
      </c>
      <c r="AC4206" s="4" t="s">
        <v>44</v>
      </c>
    </row>
    <row r="4207" spans="1:29" x14ac:dyDescent="0.25">
      <c r="A4207" s="1">
        <v>4126</v>
      </c>
      <c r="B4207" s="17" t="s">
        <v>17812</v>
      </c>
      <c r="C4207" s="2" t="s">
        <v>16394</v>
      </c>
      <c r="D4207" s="15" t="s">
        <v>1932</v>
      </c>
      <c r="E4207" s="9" t="s">
        <v>610</v>
      </c>
      <c r="F4207" s="9" t="s">
        <v>208</v>
      </c>
      <c r="G4207" s="9" t="s">
        <v>354</v>
      </c>
      <c r="H4207" s="2" t="s">
        <v>35</v>
      </c>
      <c r="I4207" s="3">
        <v>37393</v>
      </c>
      <c r="J4207" s="9" t="str">
        <f t="shared" ca="1" si="70"/>
        <v>21 ans</v>
      </c>
      <c r="K4207" s="2" t="s">
        <v>262</v>
      </c>
      <c r="L4207" s="2" t="str">
        <f>"10037"</f>
        <v>10037</v>
      </c>
      <c r="M4207" s="2"/>
      <c r="N4207" s="2" t="str">
        <f>"RUE PRINCIPALE E"</f>
        <v>RUE PRINCIPALE E</v>
      </c>
      <c r="O4207" s="2" t="s">
        <v>17776</v>
      </c>
      <c r="P4207" s="9" t="str">
        <f>VLOOKUP($O4207,'Liste des Villes'!$B$2:$B$1128,1,FALSE)</f>
        <v>Brownsburg-Chatham</v>
      </c>
      <c r="Q4207" s="9" t="str">
        <f>IFERROR($P4207,PROPER(VLOOKUP($O4207,'Villes en erreur'!$A$2:$B$72,2,FALSE)))</f>
        <v>Brownsburg-Chatham</v>
      </c>
      <c r="R4207" s="9" t="s">
        <v>17777</v>
      </c>
      <c r="S4207" s="9" t="str">
        <f>IF(ISBLANK($R4207),"",VLOOKUP($R4207,'Liste des Villes'!$B$2:$H$1128,4,FALSE))</f>
        <v>Laurentides</v>
      </c>
      <c r="T4207" s="2" t="s">
        <v>17785</v>
      </c>
      <c r="U4207" s="2" t="s">
        <v>39</v>
      </c>
      <c r="V4207" s="2" t="s">
        <v>40</v>
      </c>
      <c r="W4207" s="2" t="s">
        <v>17813</v>
      </c>
      <c r="X4207" s="2" t="str">
        <f>"4508212714"</f>
        <v>4508212714</v>
      </c>
      <c r="Y4207" s="2" t="str">
        <f>"4508487677"</f>
        <v>4508487677</v>
      </c>
      <c r="Z4207" s="2"/>
      <c r="AA4207" s="2" t="s">
        <v>456</v>
      </c>
      <c r="AB4207" s="2" t="s">
        <v>457</v>
      </c>
      <c r="AC4207" s="4" t="s">
        <v>44</v>
      </c>
    </row>
    <row r="4208" spans="1:29" x14ac:dyDescent="0.25">
      <c r="A4208" s="1">
        <v>3493</v>
      </c>
      <c r="B4208" s="17" t="s">
        <v>17814</v>
      </c>
      <c r="C4208" s="2" t="s">
        <v>17815</v>
      </c>
      <c r="D4208" s="15" t="s">
        <v>10389</v>
      </c>
      <c r="E4208" s="9" t="s">
        <v>101</v>
      </c>
      <c r="F4208" s="9" t="s">
        <v>3142</v>
      </c>
      <c r="G4208" s="9" t="s">
        <v>354</v>
      </c>
      <c r="H4208" s="2" t="s">
        <v>35</v>
      </c>
      <c r="I4208" s="3">
        <v>37390</v>
      </c>
      <c r="J4208" s="9" t="str">
        <f t="shared" ca="1" si="70"/>
        <v>21 ans</v>
      </c>
      <c r="K4208" s="2" t="s">
        <v>262</v>
      </c>
      <c r="L4208" s="2" t="str">
        <f>"9936"</f>
        <v>9936</v>
      </c>
      <c r="M4208" s="2"/>
      <c r="N4208" s="2" t="str">
        <f>"RUE PRINCIPALE"</f>
        <v>RUE PRINCIPALE</v>
      </c>
      <c r="O4208" s="2" t="s">
        <v>17776</v>
      </c>
      <c r="P4208" s="9" t="str">
        <f>VLOOKUP($O4208,'Liste des Villes'!$B$2:$B$1128,1,FALSE)</f>
        <v>Brownsburg-Chatham</v>
      </c>
      <c r="Q4208" s="9" t="str">
        <f>IFERROR($P4208,PROPER(VLOOKUP($O4208,'Villes en erreur'!$A$2:$B$72,2,FALSE)))</f>
        <v>Brownsburg-Chatham</v>
      </c>
      <c r="R4208" s="9" t="s">
        <v>17777</v>
      </c>
      <c r="S4208" s="9" t="str">
        <f>IF(ISBLANK($R4208),"",VLOOKUP($R4208,'Liste des Villes'!$B$2:$H$1128,4,FALSE))</f>
        <v>Laurentides</v>
      </c>
      <c r="T4208" s="2" t="s">
        <v>17816</v>
      </c>
      <c r="U4208" s="2" t="s">
        <v>39</v>
      </c>
      <c r="V4208" s="2" t="s">
        <v>40</v>
      </c>
      <c r="W4208" s="2" t="s">
        <v>17817</v>
      </c>
      <c r="X4208" s="2" t="str">
        <f>"4507608582"</f>
        <v>4507608582</v>
      </c>
      <c r="Y4208" s="2" t="str">
        <f>"4509270133"</f>
        <v>4509270133</v>
      </c>
      <c r="Z4208" s="2"/>
      <c r="AA4208" s="2" t="s">
        <v>456</v>
      </c>
      <c r="AB4208" s="2" t="s">
        <v>457</v>
      </c>
      <c r="AC4208" s="4" t="s">
        <v>44</v>
      </c>
    </row>
    <row r="4209" spans="1:29" x14ac:dyDescent="0.25">
      <c r="A4209" s="1">
        <v>18</v>
      </c>
      <c r="B4209" s="17" t="s">
        <v>17818</v>
      </c>
      <c r="C4209" s="2" t="s">
        <v>17819</v>
      </c>
      <c r="D4209" s="15" t="s">
        <v>1583</v>
      </c>
      <c r="E4209" s="9" t="s">
        <v>354</v>
      </c>
      <c r="F4209" s="9" t="s">
        <v>1581</v>
      </c>
      <c r="G4209" s="9" t="s">
        <v>354</v>
      </c>
      <c r="H4209" s="2" t="s">
        <v>35</v>
      </c>
      <c r="I4209" s="3">
        <v>37396</v>
      </c>
      <c r="J4209" s="9" t="str">
        <f t="shared" ca="1" si="70"/>
        <v>21 ans</v>
      </c>
      <c r="K4209" s="2" t="s">
        <v>262</v>
      </c>
      <c r="L4209" s="2" t="str">
        <f>"10041"</f>
        <v>10041</v>
      </c>
      <c r="M4209" s="2"/>
      <c r="N4209" s="2" t="str">
        <f>"RUE PRINCIPALE EST"</f>
        <v>RUE PRINCIPALE EST</v>
      </c>
      <c r="O4209" s="2" t="s">
        <v>17776</v>
      </c>
      <c r="P4209" s="9" t="str">
        <f>VLOOKUP($O4209,'Liste des Villes'!$B$2:$B$1128,1,FALSE)</f>
        <v>Brownsburg-Chatham</v>
      </c>
      <c r="Q4209" s="9" t="str">
        <f>IFERROR($P4209,PROPER(VLOOKUP($O4209,'Villes en erreur'!$A$2:$B$72,2,FALSE)))</f>
        <v>Brownsburg-Chatham</v>
      </c>
      <c r="R4209" s="9" t="s">
        <v>17777</v>
      </c>
      <c r="S4209" s="9" t="str">
        <f>IF(ISBLANK($R4209),"",VLOOKUP($R4209,'Liste des Villes'!$B$2:$H$1128,4,FALSE))</f>
        <v>Laurentides</v>
      </c>
      <c r="T4209" s="2" t="s">
        <v>17820</v>
      </c>
      <c r="U4209" s="2" t="s">
        <v>39</v>
      </c>
      <c r="V4209" s="2" t="s">
        <v>40</v>
      </c>
      <c r="W4209" s="2" t="s">
        <v>17821</v>
      </c>
      <c r="X4209" s="2" t="str">
        <f>"4508214306"</f>
        <v>4508214306</v>
      </c>
      <c r="Y4209" s="2" t="str">
        <f>"4508485134"</f>
        <v>4508485134</v>
      </c>
      <c r="Z4209" s="2"/>
      <c r="AA4209" s="2" t="s">
        <v>456</v>
      </c>
      <c r="AB4209" s="2" t="s">
        <v>457</v>
      </c>
      <c r="AC4209" s="4" t="s">
        <v>44</v>
      </c>
    </row>
    <row r="4210" spans="1:29" x14ac:dyDescent="0.25">
      <c r="A4210" s="1">
        <v>2876</v>
      </c>
      <c r="B4210" s="17" t="s">
        <v>17822</v>
      </c>
      <c r="C4210" s="2" t="s">
        <v>1328</v>
      </c>
      <c r="D4210" s="15" t="s">
        <v>1329</v>
      </c>
      <c r="E4210" s="9" t="s">
        <v>1330</v>
      </c>
      <c r="F4210" s="9" t="s">
        <v>1865</v>
      </c>
      <c r="G4210" s="9" t="s">
        <v>354</v>
      </c>
      <c r="H4210" s="2" t="s">
        <v>35</v>
      </c>
      <c r="I4210" s="3">
        <v>37391</v>
      </c>
      <c r="J4210" s="9" t="str">
        <f t="shared" ca="1" si="70"/>
        <v>21 ans</v>
      </c>
      <c r="K4210" s="2" t="s">
        <v>262</v>
      </c>
      <c r="L4210" s="2" t="str">
        <f>"9965"</f>
        <v>9965</v>
      </c>
      <c r="M4210" s="2"/>
      <c r="N4210" s="2" t="str">
        <f>"RUE PRINCIPALE"</f>
        <v>RUE PRINCIPALE</v>
      </c>
      <c r="O4210" s="2" t="s">
        <v>17776</v>
      </c>
      <c r="P4210" s="9" t="str">
        <f>VLOOKUP($O4210,'Liste des Villes'!$B$2:$B$1128,1,FALSE)</f>
        <v>Brownsburg-Chatham</v>
      </c>
      <c r="Q4210" s="9" t="str">
        <f>IFERROR($P4210,PROPER(VLOOKUP($O4210,'Villes en erreur'!$A$2:$B$72,2,FALSE)))</f>
        <v>Brownsburg-Chatham</v>
      </c>
      <c r="R4210" s="9" t="s">
        <v>17777</v>
      </c>
      <c r="S4210" s="9" t="str">
        <f>IF(ISBLANK($R4210),"",VLOOKUP($R4210,'Liste des Villes'!$B$2:$H$1128,4,FALSE))</f>
        <v>Laurentides</v>
      </c>
      <c r="T4210" s="2" t="s">
        <v>17793</v>
      </c>
      <c r="U4210" s="2" t="s">
        <v>39</v>
      </c>
      <c r="V4210" s="2" t="s">
        <v>40</v>
      </c>
      <c r="W4210" s="2" t="s">
        <v>17823</v>
      </c>
      <c r="X4210" s="2" t="str">
        <f>"4508064838"</f>
        <v>4508064838</v>
      </c>
      <c r="Y4210" s="2" t="str">
        <f>"4508584368"</f>
        <v>4508584368</v>
      </c>
      <c r="Z4210" s="2"/>
      <c r="AA4210" s="2" t="s">
        <v>456</v>
      </c>
      <c r="AB4210" s="2" t="s">
        <v>457</v>
      </c>
      <c r="AC4210" s="4" t="s">
        <v>44</v>
      </c>
    </row>
    <row r="4211" spans="1:29" x14ac:dyDescent="0.25">
      <c r="A4211" s="1">
        <v>4011</v>
      </c>
      <c r="B4211" s="17" t="s">
        <v>17824</v>
      </c>
      <c r="C4211" s="2" t="s">
        <v>670</v>
      </c>
      <c r="D4211" s="15" t="s">
        <v>599</v>
      </c>
      <c r="E4211" s="9" t="s">
        <v>671</v>
      </c>
      <c r="F4211" s="9" t="s">
        <v>601</v>
      </c>
      <c r="G4211" s="9" t="s">
        <v>354</v>
      </c>
      <c r="H4211" s="2" t="s">
        <v>35</v>
      </c>
      <c r="I4211" s="3">
        <v>37387</v>
      </c>
      <c r="J4211" s="9" t="str">
        <f t="shared" ca="1" si="70"/>
        <v>21 ans</v>
      </c>
      <c r="K4211" s="2" t="s">
        <v>262</v>
      </c>
      <c r="L4211" s="2" t="str">
        <f>"9855"</f>
        <v>9855</v>
      </c>
      <c r="M4211" s="2"/>
      <c r="N4211" s="2" t="str">
        <f>"RUE PRINCIPALE"</f>
        <v>RUE PRINCIPALE</v>
      </c>
      <c r="O4211" s="2" t="s">
        <v>17776</v>
      </c>
      <c r="P4211" s="9" t="str">
        <f>VLOOKUP($O4211,'Liste des Villes'!$B$2:$B$1128,1,FALSE)</f>
        <v>Brownsburg-Chatham</v>
      </c>
      <c r="Q4211" s="9" t="str">
        <f>IFERROR($P4211,PROPER(VLOOKUP($O4211,'Villes en erreur'!$A$2:$B$72,2,FALSE)))</f>
        <v>Brownsburg-Chatham</v>
      </c>
      <c r="R4211" s="9" t="s">
        <v>17777</v>
      </c>
      <c r="S4211" s="9" t="str">
        <f>IF(ISBLANK($R4211),"",VLOOKUP($R4211,'Liste des Villes'!$B$2:$H$1128,4,FALSE))</f>
        <v>Laurentides</v>
      </c>
      <c r="T4211" s="2" t="s">
        <v>17825</v>
      </c>
      <c r="U4211" s="2" t="s">
        <v>39</v>
      </c>
      <c r="V4211" s="2" t="s">
        <v>40</v>
      </c>
      <c r="W4211" s="2" t="s">
        <v>17826</v>
      </c>
      <c r="X4211" s="2" t="str">
        <f>"4507128950"</f>
        <v>4507128950</v>
      </c>
      <c r="Y4211" s="2" t="str">
        <f>"4509517371"</f>
        <v>4509517371</v>
      </c>
      <c r="Z4211" s="2"/>
      <c r="AA4211" s="2" t="s">
        <v>793</v>
      </c>
      <c r="AB4211" s="2" t="s">
        <v>267</v>
      </c>
      <c r="AC4211" s="4" t="s">
        <v>44</v>
      </c>
    </row>
    <row r="4212" spans="1:29" x14ac:dyDescent="0.25">
      <c r="A4212" s="1">
        <v>2522</v>
      </c>
      <c r="B4212" s="17" t="s">
        <v>17827</v>
      </c>
      <c r="C4212" s="2" t="s">
        <v>17828</v>
      </c>
      <c r="D4212" s="15" t="s">
        <v>17664</v>
      </c>
      <c r="E4212" s="9" t="s">
        <v>380</v>
      </c>
      <c r="F4212" s="9" t="s">
        <v>304</v>
      </c>
      <c r="G4212" s="9" t="s">
        <v>354</v>
      </c>
      <c r="H4212" s="2" t="s">
        <v>35</v>
      </c>
      <c r="I4212" s="3">
        <v>37391</v>
      </c>
      <c r="J4212" s="9" t="str">
        <f t="shared" ca="1" si="70"/>
        <v>21 ans</v>
      </c>
      <c r="K4212" s="2" t="s">
        <v>262</v>
      </c>
      <c r="L4212" s="2" t="str">
        <f>"9992"</f>
        <v>9992</v>
      </c>
      <c r="M4212" s="2"/>
      <c r="N4212" s="2" t="str">
        <f>"RUE PRINCIPALE"</f>
        <v>RUE PRINCIPALE</v>
      </c>
      <c r="O4212" s="2" t="s">
        <v>17776</v>
      </c>
      <c r="P4212" s="9" t="str">
        <f>VLOOKUP($O4212,'Liste des Villes'!$B$2:$B$1128,1,FALSE)</f>
        <v>Brownsburg-Chatham</v>
      </c>
      <c r="Q4212" s="9" t="str">
        <f>IFERROR($P4212,PROPER(VLOOKUP($O4212,'Villes en erreur'!$A$2:$B$72,2,FALSE)))</f>
        <v>Brownsburg-Chatham</v>
      </c>
      <c r="R4212" s="9" t="s">
        <v>17777</v>
      </c>
      <c r="S4212" s="9" t="str">
        <f>IF(ISBLANK($R4212),"",VLOOKUP($R4212,'Liste des Villes'!$B$2:$H$1128,4,FALSE))</f>
        <v>Laurentides</v>
      </c>
      <c r="T4212" s="2" t="s">
        <v>17793</v>
      </c>
      <c r="U4212" s="2" t="s">
        <v>39</v>
      </c>
      <c r="V4212" s="2" t="s">
        <v>40</v>
      </c>
      <c r="W4212" s="2" t="s">
        <v>17829</v>
      </c>
      <c r="X4212" s="2" t="str">
        <f>"4508066160"</f>
        <v>4508066160</v>
      </c>
      <c r="Y4212" s="2" t="str">
        <f>"4508584008"</f>
        <v>4508584008</v>
      </c>
      <c r="Z4212" s="2"/>
      <c r="AA4212" s="2" t="s">
        <v>456</v>
      </c>
      <c r="AB4212" s="2" t="s">
        <v>457</v>
      </c>
      <c r="AC4212" s="4" t="s">
        <v>44</v>
      </c>
    </row>
    <row r="4213" spans="1:29" x14ac:dyDescent="0.25">
      <c r="A4213" s="1">
        <v>1470</v>
      </c>
      <c r="B4213" s="17" t="s">
        <v>17830</v>
      </c>
      <c r="C4213" s="2" t="s">
        <v>4834</v>
      </c>
      <c r="D4213" s="15" t="s">
        <v>3596</v>
      </c>
      <c r="E4213" s="9" t="s">
        <v>3668</v>
      </c>
      <c r="F4213" s="9" t="s">
        <v>3594</v>
      </c>
      <c r="G4213" s="9" t="s">
        <v>17797</v>
      </c>
      <c r="H4213" s="2" t="s">
        <v>35</v>
      </c>
      <c r="I4213" s="3">
        <v>37399</v>
      </c>
      <c r="J4213" s="9" t="str">
        <f t="shared" ca="1" si="70"/>
        <v>21 ans</v>
      </c>
      <c r="K4213" s="2" t="s">
        <v>262</v>
      </c>
      <c r="L4213" s="2" t="str">
        <f>"10095"</f>
        <v>10095</v>
      </c>
      <c r="M4213" s="2"/>
      <c r="N4213" s="2" t="str">
        <f>"RUE PRUD'HOMME"</f>
        <v>RUE PRUD'HOMME</v>
      </c>
      <c r="O4213" s="2" t="s">
        <v>17776</v>
      </c>
      <c r="P4213" s="9" t="str">
        <f>VLOOKUP($O4213,'Liste des Villes'!$B$2:$B$1128,1,FALSE)</f>
        <v>Brownsburg-Chatham</v>
      </c>
      <c r="Q4213" s="9" t="str">
        <f>IFERROR($P4213,PROPER(VLOOKUP($O4213,'Villes en erreur'!$A$2:$B$72,2,FALSE)))</f>
        <v>Brownsburg-Chatham</v>
      </c>
      <c r="R4213" s="9" t="s">
        <v>17777</v>
      </c>
      <c r="S4213" s="9" t="str">
        <f>IF(ISBLANK($R4213),"",VLOOKUP($R4213,'Liste des Villes'!$B$2:$H$1128,4,FALSE))</f>
        <v>Laurentides</v>
      </c>
      <c r="T4213" s="2" t="s">
        <v>17831</v>
      </c>
      <c r="U4213" s="2" t="s">
        <v>39</v>
      </c>
      <c r="V4213" s="2" t="s">
        <v>40</v>
      </c>
      <c r="W4213" s="2" t="s">
        <v>17832</v>
      </c>
      <c r="X4213" s="2" t="str">
        <f>"4508220310"</f>
        <v>4508220310</v>
      </c>
      <c r="Y4213" s="2" t="str">
        <f>"4508481747"</f>
        <v>4508481747</v>
      </c>
      <c r="Z4213" s="2"/>
      <c r="AA4213" s="2" t="s">
        <v>456</v>
      </c>
      <c r="AB4213" s="2" t="s">
        <v>457</v>
      </c>
      <c r="AC4213" s="4" t="s">
        <v>44</v>
      </c>
    </row>
    <row r="4214" spans="1:29" x14ac:dyDescent="0.25">
      <c r="A4214" s="1">
        <v>3656</v>
      </c>
      <c r="B4214" s="17" t="s">
        <v>17833</v>
      </c>
      <c r="C4214" s="2" t="s">
        <v>2286</v>
      </c>
      <c r="D4214" s="15" t="s">
        <v>1951</v>
      </c>
      <c r="E4214" s="9" t="s">
        <v>186</v>
      </c>
      <c r="F4214" s="9" t="s">
        <v>1950</v>
      </c>
      <c r="G4214" s="9" t="s">
        <v>354</v>
      </c>
      <c r="H4214" s="2" t="s">
        <v>35</v>
      </c>
      <c r="I4214" s="3">
        <v>37390</v>
      </c>
      <c r="J4214" s="9" t="str">
        <f t="shared" ca="1" si="70"/>
        <v>21 ans</v>
      </c>
      <c r="K4214" s="2" t="s">
        <v>262</v>
      </c>
      <c r="L4214" s="2" t="str">
        <f>"9950"</f>
        <v>9950</v>
      </c>
      <c r="M4214" s="2"/>
      <c r="N4214" s="2" t="str">
        <f>"RUE PRINCIPALE"</f>
        <v>RUE PRINCIPALE</v>
      </c>
      <c r="O4214" s="2" t="s">
        <v>17776</v>
      </c>
      <c r="P4214" s="9" t="str">
        <f>VLOOKUP($O4214,'Liste des Villes'!$B$2:$B$1128,1,FALSE)</f>
        <v>Brownsburg-Chatham</v>
      </c>
      <c r="Q4214" s="9" t="str">
        <f>IFERROR($P4214,PROPER(VLOOKUP($O4214,'Villes en erreur'!$A$2:$B$72,2,FALSE)))</f>
        <v>Brownsburg-Chatham</v>
      </c>
      <c r="R4214" s="9" t="s">
        <v>17777</v>
      </c>
      <c r="S4214" s="9" t="str">
        <f>IF(ISBLANK($R4214),"",VLOOKUP($R4214,'Liste des Villes'!$B$2:$H$1128,4,FALSE))</f>
        <v>Laurentides</v>
      </c>
      <c r="T4214" s="2" t="s">
        <v>17834</v>
      </c>
      <c r="U4214" s="2" t="s">
        <v>39</v>
      </c>
      <c r="V4214" s="2" t="s">
        <v>40</v>
      </c>
      <c r="W4214" s="2" t="s">
        <v>17835</v>
      </c>
      <c r="X4214" s="2" t="str">
        <f>"4508060177"</f>
        <v>4508060177</v>
      </c>
      <c r="Y4214" s="2" t="str">
        <f>"4508826910"</f>
        <v>4508826910</v>
      </c>
      <c r="Z4214" s="2"/>
      <c r="AA4214" s="2" t="s">
        <v>456</v>
      </c>
      <c r="AB4214" s="2" t="s">
        <v>457</v>
      </c>
      <c r="AC4214" s="4" t="s">
        <v>44</v>
      </c>
    </row>
    <row r="4215" spans="1:29" x14ac:dyDescent="0.25">
      <c r="A4215" s="1">
        <v>4187</v>
      </c>
      <c r="B4215" s="17" t="s">
        <v>17836</v>
      </c>
      <c r="C4215" s="2" t="s">
        <v>310</v>
      </c>
      <c r="D4215" s="15" t="s">
        <v>311</v>
      </c>
      <c r="E4215" s="9" t="s">
        <v>99</v>
      </c>
      <c r="F4215" s="9" t="s">
        <v>312</v>
      </c>
      <c r="G4215" s="9" t="s">
        <v>452</v>
      </c>
      <c r="H4215" s="2" t="s">
        <v>35</v>
      </c>
      <c r="I4215" s="3">
        <v>37399</v>
      </c>
      <c r="J4215" s="9" t="str">
        <f t="shared" ca="1" si="70"/>
        <v>21 ans</v>
      </c>
      <c r="K4215" s="2" t="s">
        <v>262</v>
      </c>
      <c r="L4215" s="2" t="str">
        <f>"10105"</f>
        <v>10105</v>
      </c>
      <c r="M4215" s="2"/>
      <c r="N4215" s="2" t="str">
        <f>"RUE QUINTIN"</f>
        <v>RUE QUINTIN</v>
      </c>
      <c r="O4215" s="2" t="s">
        <v>17776</v>
      </c>
      <c r="P4215" s="9" t="str">
        <f>VLOOKUP($O4215,'Liste des Villes'!$B$2:$B$1128,1,FALSE)</f>
        <v>Brownsburg-Chatham</v>
      </c>
      <c r="Q4215" s="9" t="str">
        <f>IFERROR($P4215,PROPER(VLOOKUP($O4215,'Villes en erreur'!$A$2:$B$72,2,FALSE)))</f>
        <v>Brownsburg-Chatham</v>
      </c>
      <c r="R4215" s="9" t="s">
        <v>17777</v>
      </c>
      <c r="S4215" s="9" t="str">
        <f>IF(ISBLANK($R4215),"",VLOOKUP($R4215,'Liste des Villes'!$B$2:$H$1128,4,FALSE))</f>
        <v>Laurentides</v>
      </c>
      <c r="T4215" s="2" t="s">
        <v>17837</v>
      </c>
      <c r="U4215" s="2" t="s">
        <v>39</v>
      </c>
      <c r="V4215" s="2" t="s">
        <v>40</v>
      </c>
      <c r="W4215" s="2" t="s">
        <v>17838</v>
      </c>
      <c r="X4215" s="2" t="str">
        <f>"4508222731"</f>
        <v>4508222731</v>
      </c>
      <c r="Y4215" s="2" t="str">
        <f>"4508388588"</f>
        <v>4508388588</v>
      </c>
      <c r="Z4215" s="2"/>
      <c r="AA4215" s="2" t="s">
        <v>456</v>
      </c>
      <c r="AB4215" s="2" t="s">
        <v>457</v>
      </c>
      <c r="AC4215" s="4" t="s">
        <v>44</v>
      </c>
    </row>
    <row r="4216" spans="1:29" x14ac:dyDescent="0.25">
      <c r="A4216" s="1">
        <v>1389</v>
      </c>
      <c r="B4216" s="17" t="s">
        <v>17839</v>
      </c>
      <c r="C4216" s="2" t="s">
        <v>17840</v>
      </c>
      <c r="D4216" s="15" t="s">
        <v>4142</v>
      </c>
      <c r="E4216" s="9" t="s">
        <v>1135</v>
      </c>
      <c r="F4216" s="9" t="s">
        <v>4141</v>
      </c>
      <c r="G4216" s="9" t="s">
        <v>452</v>
      </c>
      <c r="H4216" s="2" t="s">
        <v>35</v>
      </c>
      <c r="I4216" s="3">
        <v>37399</v>
      </c>
      <c r="J4216" s="9" t="str">
        <f t="shared" ca="1" si="70"/>
        <v>21 ans</v>
      </c>
      <c r="K4216" s="2" t="s">
        <v>262</v>
      </c>
      <c r="L4216" s="2" t="str">
        <f>"10105"</f>
        <v>10105</v>
      </c>
      <c r="M4216" s="2"/>
      <c r="N4216" s="2" t="str">
        <f>"RUE QUINTIN"</f>
        <v>RUE QUINTIN</v>
      </c>
      <c r="O4216" s="2" t="s">
        <v>17776</v>
      </c>
      <c r="P4216" s="9" t="str">
        <f>VLOOKUP($O4216,'Liste des Villes'!$B$2:$B$1128,1,FALSE)</f>
        <v>Brownsburg-Chatham</v>
      </c>
      <c r="Q4216" s="9" t="str">
        <f>IFERROR($P4216,PROPER(VLOOKUP($O4216,'Villes en erreur'!$A$2:$B$72,2,FALSE)))</f>
        <v>Brownsburg-Chatham</v>
      </c>
      <c r="R4216" s="9" t="s">
        <v>17777</v>
      </c>
      <c r="S4216" s="9" t="str">
        <f>IF(ISBLANK($R4216),"",VLOOKUP($R4216,'Liste des Villes'!$B$2:$H$1128,4,FALSE))</f>
        <v>Laurentides</v>
      </c>
      <c r="T4216" s="2" t="s">
        <v>17841</v>
      </c>
      <c r="U4216" s="2" t="s">
        <v>39</v>
      </c>
      <c r="V4216" s="2" t="s">
        <v>40</v>
      </c>
      <c r="W4216" s="2" t="s">
        <v>17842</v>
      </c>
      <c r="X4216" s="2" t="str">
        <f>"4508222186"</f>
        <v>4508222186</v>
      </c>
      <c r="Y4216" s="2" t="str">
        <f>"4508480282"</f>
        <v>4508480282</v>
      </c>
      <c r="Z4216" s="2"/>
      <c r="AA4216" s="2" t="s">
        <v>456</v>
      </c>
      <c r="AB4216" s="2" t="s">
        <v>457</v>
      </c>
      <c r="AC4216" s="4" t="s">
        <v>44</v>
      </c>
    </row>
    <row r="4217" spans="1:29" x14ac:dyDescent="0.25">
      <c r="A4217" s="1">
        <v>3671</v>
      </c>
      <c r="B4217" s="17" t="s">
        <v>17843</v>
      </c>
      <c r="C4217" s="2" t="s">
        <v>2795</v>
      </c>
      <c r="D4217" s="15" t="s">
        <v>1592</v>
      </c>
      <c r="E4217" s="9" t="s">
        <v>2796</v>
      </c>
      <c r="F4217" s="9" t="s">
        <v>1590</v>
      </c>
      <c r="G4217" s="9" t="s">
        <v>354</v>
      </c>
      <c r="H4217" s="2" t="s">
        <v>35</v>
      </c>
      <c r="I4217" s="3">
        <v>37388</v>
      </c>
      <c r="J4217" s="9" t="str">
        <f t="shared" ca="1" si="70"/>
        <v>21 ans</v>
      </c>
      <c r="K4217" s="2" t="s">
        <v>262</v>
      </c>
      <c r="L4217" s="2" t="str">
        <f>"9892"</f>
        <v>9892</v>
      </c>
      <c r="M4217" s="2"/>
      <c r="N4217" s="2" t="str">
        <f>"RUE PRINCIPALE"</f>
        <v>RUE PRINCIPALE</v>
      </c>
      <c r="O4217" s="2" t="s">
        <v>17776</v>
      </c>
      <c r="P4217" s="9" t="str">
        <f>VLOOKUP($O4217,'Liste des Villes'!$B$2:$B$1128,1,FALSE)</f>
        <v>Brownsburg-Chatham</v>
      </c>
      <c r="Q4217" s="9" t="str">
        <f>IFERROR($P4217,PROPER(VLOOKUP($O4217,'Villes en erreur'!$A$2:$B$72,2,FALSE)))</f>
        <v>Brownsburg-Chatham</v>
      </c>
      <c r="R4217" s="9" t="s">
        <v>17777</v>
      </c>
      <c r="S4217" s="9" t="str">
        <f>IF(ISBLANK($R4217),"",VLOOKUP($R4217,'Liste des Villes'!$B$2:$H$1128,4,FALSE))</f>
        <v>Laurentides</v>
      </c>
      <c r="T4217" s="2" t="s">
        <v>17825</v>
      </c>
      <c r="U4217" s="2" t="s">
        <v>39</v>
      </c>
      <c r="V4217" s="2" t="s">
        <v>40</v>
      </c>
      <c r="W4217" s="2" t="s">
        <v>17844</v>
      </c>
      <c r="X4217" s="2" t="str">
        <f>"4507441489"</f>
        <v>4507441489</v>
      </c>
      <c r="Y4217" s="2" t="str">
        <f>"4509512197"</f>
        <v>4509512197</v>
      </c>
      <c r="Z4217" s="2"/>
      <c r="AA4217" s="2" t="s">
        <v>793</v>
      </c>
      <c r="AB4217" s="2" t="s">
        <v>267</v>
      </c>
      <c r="AC4217" s="4" t="s">
        <v>44</v>
      </c>
    </row>
    <row r="4218" spans="1:29" x14ac:dyDescent="0.25">
      <c r="A4218" s="1">
        <v>2089</v>
      </c>
      <c r="B4218" s="17" t="s">
        <v>17845</v>
      </c>
      <c r="C4218" s="2" t="s">
        <v>17846</v>
      </c>
      <c r="D4218" s="15" t="s">
        <v>3516</v>
      </c>
      <c r="E4218" s="9" t="s">
        <v>305</v>
      </c>
      <c r="F4218" s="9" t="s">
        <v>3515</v>
      </c>
      <c r="G4218" s="9" t="s">
        <v>452</v>
      </c>
      <c r="H4218" s="2" t="s">
        <v>35</v>
      </c>
      <c r="I4218" s="3">
        <v>37399</v>
      </c>
      <c r="J4218" s="9" t="str">
        <f t="shared" ca="1" si="70"/>
        <v>21 ans</v>
      </c>
      <c r="K4218" s="2" t="s">
        <v>262</v>
      </c>
      <c r="L4218" s="2" t="str">
        <f>"10100"</f>
        <v>10100</v>
      </c>
      <c r="M4218" s="2"/>
      <c r="N4218" s="2" t="str">
        <f>"RUE QUIMPER"</f>
        <v>RUE QUIMPER</v>
      </c>
      <c r="O4218" s="2" t="s">
        <v>17776</v>
      </c>
      <c r="P4218" s="9" t="str">
        <f>VLOOKUP($O4218,'Liste des Villes'!$B$2:$B$1128,1,FALSE)</f>
        <v>Brownsburg-Chatham</v>
      </c>
      <c r="Q4218" s="9" t="str">
        <f>IFERROR($P4218,PROPER(VLOOKUP($O4218,'Villes en erreur'!$A$2:$B$72,2,FALSE)))</f>
        <v>Brownsburg-Chatham</v>
      </c>
      <c r="R4218" s="9" t="s">
        <v>17777</v>
      </c>
      <c r="S4218" s="9" t="str">
        <f>IF(ISBLANK($R4218),"",VLOOKUP($R4218,'Liste des Villes'!$B$2:$H$1128,4,FALSE))</f>
        <v>Laurentides</v>
      </c>
      <c r="T4218" s="2" t="s">
        <v>17778</v>
      </c>
      <c r="U4218" s="2" t="s">
        <v>39</v>
      </c>
      <c r="V4218" s="2" t="s">
        <v>40</v>
      </c>
      <c r="W4218" s="2" t="s">
        <v>17847</v>
      </c>
      <c r="X4218" s="2" t="str">
        <f>"4508220524"</f>
        <v>4508220524</v>
      </c>
      <c r="Y4218" s="2" t="str">
        <f>"4508481398"</f>
        <v>4508481398</v>
      </c>
      <c r="Z4218" s="2"/>
      <c r="AA4218" s="2" t="s">
        <v>456</v>
      </c>
      <c r="AB4218" s="2" t="s">
        <v>457</v>
      </c>
      <c r="AC4218" s="4" t="s">
        <v>44</v>
      </c>
    </row>
    <row r="4219" spans="1:29" x14ac:dyDescent="0.25">
      <c r="A4219" s="1">
        <v>854</v>
      </c>
      <c r="B4219" s="17" t="s">
        <v>17848</v>
      </c>
      <c r="C4219" s="2" t="s">
        <v>17849</v>
      </c>
      <c r="D4219" s="15" t="s">
        <v>16146</v>
      </c>
      <c r="E4219" s="9" t="s">
        <v>610</v>
      </c>
      <c r="F4219" s="9" t="s">
        <v>2706</v>
      </c>
      <c r="G4219" s="9" t="s">
        <v>354</v>
      </c>
      <c r="H4219" s="2" t="s">
        <v>35</v>
      </c>
      <c r="I4219" s="3">
        <v>37398</v>
      </c>
      <c r="J4219" s="9" t="str">
        <f t="shared" ca="1" si="70"/>
        <v>21 ans</v>
      </c>
      <c r="K4219" s="2" t="s">
        <v>262</v>
      </c>
      <c r="L4219" s="2" t="str">
        <f>"10050"</f>
        <v>10050</v>
      </c>
      <c r="M4219" s="2"/>
      <c r="N4219" s="2" t="str">
        <f>"RUE PRUD'HOMME"</f>
        <v>RUE PRUD'HOMME</v>
      </c>
      <c r="O4219" s="2" t="s">
        <v>17776</v>
      </c>
      <c r="P4219" s="9" t="str">
        <f>VLOOKUP($O4219,'Liste des Villes'!$B$2:$B$1128,1,FALSE)</f>
        <v>Brownsburg-Chatham</v>
      </c>
      <c r="Q4219" s="9" t="str">
        <f>IFERROR($P4219,PROPER(VLOOKUP($O4219,'Villes en erreur'!$A$2:$B$72,2,FALSE)))</f>
        <v>Brownsburg-Chatham</v>
      </c>
      <c r="R4219" s="9" t="s">
        <v>17777</v>
      </c>
      <c r="S4219" s="9" t="str">
        <f>IF(ISBLANK($R4219),"",VLOOKUP($R4219,'Liste des Villes'!$B$2:$H$1128,4,FALSE))</f>
        <v>Laurentides</v>
      </c>
      <c r="T4219" s="2" t="s">
        <v>17850</v>
      </c>
      <c r="U4219" s="2" t="s">
        <v>39</v>
      </c>
      <c r="V4219" s="2" t="s">
        <v>40</v>
      </c>
      <c r="W4219" s="2" t="s">
        <v>17851</v>
      </c>
      <c r="X4219" s="2" t="str">
        <f>"4508218620"</f>
        <v>4508218620</v>
      </c>
      <c r="Y4219" s="2" t="str">
        <f>"4508482845"</f>
        <v>4508482845</v>
      </c>
      <c r="Z4219" s="2"/>
      <c r="AA4219" s="2" t="s">
        <v>456</v>
      </c>
      <c r="AB4219" s="2" t="s">
        <v>457</v>
      </c>
      <c r="AC4219" s="4" t="s">
        <v>44</v>
      </c>
    </row>
    <row r="4220" spans="1:29" x14ac:dyDescent="0.25">
      <c r="A4220" s="1">
        <v>1319</v>
      </c>
      <c r="B4220" s="17" t="s">
        <v>17852</v>
      </c>
      <c r="C4220" s="2" t="s">
        <v>17853</v>
      </c>
      <c r="D4220" s="15" t="s">
        <v>1360</v>
      </c>
      <c r="E4220" s="9" t="s">
        <v>17854</v>
      </c>
      <c r="F4220" s="9" t="s">
        <v>6577</v>
      </c>
      <c r="G4220" s="9" t="s">
        <v>452</v>
      </c>
      <c r="H4220" s="2" t="s">
        <v>35</v>
      </c>
      <c r="I4220" s="3">
        <v>37400</v>
      </c>
      <c r="J4220" s="9" t="str">
        <f t="shared" ca="1" si="70"/>
        <v>21 ans</v>
      </c>
      <c r="K4220" s="2" t="s">
        <v>262</v>
      </c>
      <c r="L4220" s="2" t="str">
        <f>"10114"</f>
        <v>10114</v>
      </c>
      <c r="M4220" s="2"/>
      <c r="N4220" s="2" t="str">
        <f>"RUE QUINTIN"</f>
        <v>RUE QUINTIN</v>
      </c>
      <c r="O4220" s="2" t="s">
        <v>17776</v>
      </c>
      <c r="P4220" s="9" t="str">
        <f>VLOOKUP($O4220,'Liste des Villes'!$B$2:$B$1128,1,FALSE)</f>
        <v>Brownsburg-Chatham</v>
      </c>
      <c r="Q4220" s="9" t="str">
        <f>IFERROR($P4220,PROPER(VLOOKUP($O4220,'Villes en erreur'!$A$2:$B$72,2,FALSE)))</f>
        <v>Brownsburg-Chatham</v>
      </c>
      <c r="R4220" s="9" t="s">
        <v>17777</v>
      </c>
      <c r="S4220" s="9" t="str">
        <f>IF(ISBLANK($R4220),"",VLOOKUP($R4220,'Liste des Villes'!$B$2:$H$1128,4,FALSE))</f>
        <v>Laurentides</v>
      </c>
      <c r="T4220" s="2" t="s">
        <v>573</v>
      </c>
      <c r="U4220" s="2" t="s">
        <v>39</v>
      </c>
      <c r="V4220" s="2" t="s">
        <v>40</v>
      </c>
      <c r="W4220" s="2" t="s">
        <v>17855</v>
      </c>
      <c r="X4220" s="2" t="str">
        <f>"4508222902"</f>
        <v>4508222902</v>
      </c>
      <c r="Y4220" s="2" t="str">
        <f>"4508386875"</f>
        <v>4508386875</v>
      </c>
      <c r="Z4220" s="2"/>
      <c r="AA4220" s="2" t="s">
        <v>456</v>
      </c>
      <c r="AB4220" s="2" t="s">
        <v>457</v>
      </c>
      <c r="AC4220" s="4" t="s">
        <v>44</v>
      </c>
    </row>
    <row r="4221" spans="1:29" x14ac:dyDescent="0.25">
      <c r="A4221" s="1">
        <v>341</v>
      </c>
      <c r="B4221" s="17" t="s">
        <v>17856</v>
      </c>
      <c r="C4221" s="2" t="s">
        <v>17857</v>
      </c>
      <c r="D4221" s="15" t="s">
        <v>16737</v>
      </c>
      <c r="E4221" s="9" t="s">
        <v>2334</v>
      </c>
      <c r="F4221" s="9" t="s">
        <v>4453</v>
      </c>
      <c r="G4221" s="9" t="s">
        <v>354</v>
      </c>
      <c r="H4221" s="2" t="s">
        <v>35</v>
      </c>
      <c r="I4221" s="3">
        <v>37386</v>
      </c>
      <c r="J4221" s="9" t="str">
        <f t="shared" ca="1" si="70"/>
        <v>21 ans</v>
      </c>
      <c r="K4221" s="2" t="s">
        <v>262</v>
      </c>
      <c r="L4221" s="2" t="str">
        <f>"9837"</f>
        <v>9837</v>
      </c>
      <c r="M4221" s="2"/>
      <c r="N4221" s="2" t="str">
        <f>"RUE PRINCIPALE"</f>
        <v>RUE PRINCIPALE</v>
      </c>
      <c r="O4221" s="2" t="s">
        <v>17776</v>
      </c>
      <c r="P4221" s="9" t="str">
        <f>VLOOKUP($O4221,'Liste des Villes'!$B$2:$B$1128,1,FALSE)</f>
        <v>Brownsburg-Chatham</v>
      </c>
      <c r="Q4221" s="9" t="str">
        <f>IFERROR($P4221,PROPER(VLOOKUP($O4221,'Villes en erreur'!$A$2:$B$72,2,FALSE)))</f>
        <v>Brownsburg-Chatham</v>
      </c>
      <c r="R4221" s="9" t="s">
        <v>17777</v>
      </c>
      <c r="S4221" s="9" t="str">
        <f>IF(ISBLANK($R4221),"",VLOOKUP($R4221,'Liste des Villes'!$B$2:$H$1128,4,FALSE))</f>
        <v>Laurentides</v>
      </c>
      <c r="T4221" s="2" t="s">
        <v>17754</v>
      </c>
      <c r="U4221" s="2" t="s">
        <v>39</v>
      </c>
      <c r="V4221" s="2" t="s">
        <v>40</v>
      </c>
      <c r="W4221" s="2" t="s">
        <v>17858</v>
      </c>
      <c r="X4221" s="2" t="str">
        <f>"4507128822"</f>
        <v>4507128822</v>
      </c>
      <c r="Y4221" s="2" t="str">
        <f>"4509519990"</f>
        <v>4509519990</v>
      </c>
      <c r="Z4221" s="2"/>
      <c r="AA4221" s="2" t="s">
        <v>793</v>
      </c>
      <c r="AB4221" s="2" t="s">
        <v>267</v>
      </c>
      <c r="AC4221" s="4" t="s">
        <v>44</v>
      </c>
    </row>
    <row r="4222" spans="1:29" x14ac:dyDescent="0.25">
      <c r="A4222" s="1">
        <v>4003</v>
      </c>
      <c r="B4222" s="17" t="s">
        <v>17859</v>
      </c>
      <c r="C4222" s="2" t="s">
        <v>11981</v>
      </c>
      <c r="D4222" s="15" t="s">
        <v>3788</v>
      </c>
      <c r="E4222" s="9" t="s">
        <v>9391</v>
      </c>
      <c r="F4222" s="9" t="s">
        <v>13393</v>
      </c>
      <c r="G4222" s="9" t="s">
        <v>354</v>
      </c>
      <c r="H4222" s="2" t="s">
        <v>35</v>
      </c>
      <c r="I4222" s="3">
        <v>37398</v>
      </c>
      <c r="J4222" s="9" t="str">
        <f t="shared" ca="1" si="70"/>
        <v>21 ans</v>
      </c>
      <c r="K4222" s="2" t="s">
        <v>262</v>
      </c>
      <c r="L4222" s="2" t="str">
        <f>"10070"</f>
        <v>10070</v>
      </c>
      <c r="M4222" s="2"/>
      <c r="N4222" s="2" t="str">
        <f>"RUE PRUD'HOMME"</f>
        <v>RUE PRUD'HOMME</v>
      </c>
      <c r="O4222" s="2" t="s">
        <v>17776</v>
      </c>
      <c r="P4222" s="9" t="str">
        <f>VLOOKUP($O4222,'Liste des Villes'!$B$2:$B$1128,1,FALSE)</f>
        <v>Brownsburg-Chatham</v>
      </c>
      <c r="Q4222" s="9" t="str">
        <f>IFERROR($P4222,PROPER(VLOOKUP($O4222,'Villes en erreur'!$A$2:$B$72,2,FALSE)))</f>
        <v>Brownsburg-Chatham</v>
      </c>
      <c r="R4222" s="9" t="s">
        <v>17777</v>
      </c>
      <c r="S4222" s="9" t="str">
        <f>IF(ISBLANK($R4222),"",VLOOKUP($R4222,'Liste des Villes'!$B$2:$H$1128,4,FALSE))</f>
        <v>Laurentides</v>
      </c>
      <c r="T4222" s="2" t="s">
        <v>17789</v>
      </c>
      <c r="U4222" s="2" t="s">
        <v>39</v>
      </c>
      <c r="V4222" s="2" t="s">
        <v>40</v>
      </c>
      <c r="W4222" s="2" t="s">
        <v>17860</v>
      </c>
      <c r="X4222" s="2" t="str">
        <f>"4508219025"</f>
        <v>4508219025</v>
      </c>
      <c r="Y4222" s="2" t="str">
        <f>"4508481913"</f>
        <v>4508481913</v>
      </c>
      <c r="Z4222" s="2"/>
      <c r="AA4222" s="2" t="s">
        <v>456</v>
      </c>
      <c r="AB4222" s="2" t="s">
        <v>457</v>
      </c>
      <c r="AC4222" s="4" t="s">
        <v>44</v>
      </c>
    </row>
    <row r="4223" spans="1:29" x14ac:dyDescent="0.25">
      <c r="A4223" s="1">
        <v>3538</v>
      </c>
      <c r="B4223" s="17" t="s">
        <v>17861</v>
      </c>
      <c r="C4223" s="2" t="s">
        <v>1733</v>
      </c>
      <c r="D4223" s="15" t="s">
        <v>100</v>
      </c>
      <c r="E4223" s="9" t="s">
        <v>122</v>
      </c>
      <c r="F4223" s="9" t="s">
        <v>6952</v>
      </c>
      <c r="G4223" s="9" t="s">
        <v>354</v>
      </c>
      <c r="H4223" s="2" t="s">
        <v>35</v>
      </c>
      <c r="I4223" s="3">
        <v>37390</v>
      </c>
      <c r="J4223" s="9" t="str">
        <f t="shared" ca="1" si="70"/>
        <v>21 ans</v>
      </c>
      <c r="K4223" s="2" t="s">
        <v>262</v>
      </c>
      <c r="L4223" s="2" t="str">
        <f>"9930"</f>
        <v>9930</v>
      </c>
      <c r="M4223" s="2"/>
      <c r="N4223" s="2" t="str">
        <f>"RUE PRINCIPALE"</f>
        <v>RUE PRINCIPALE</v>
      </c>
      <c r="O4223" s="2" t="s">
        <v>17776</v>
      </c>
      <c r="P4223" s="9" t="str">
        <f>VLOOKUP($O4223,'Liste des Villes'!$B$2:$B$1128,1,FALSE)</f>
        <v>Brownsburg-Chatham</v>
      </c>
      <c r="Q4223" s="9" t="str">
        <f>IFERROR($P4223,PROPER(VLOOKUP($O4223,'Villes en erreur'!$A$2:$B$72,2,FALSE)))</f>
        <v>Brownsburg-Chatham</v>
      </c>
      <c r="R4223" s="9" t="s">
        <v>17777</v>
      </c>
      <c r="S4223" s="9" t="str">
        <f>IF(ISBLANK($R4223),"",VLOOKUP($R4223,'Liste des Villes'!$B$2:$H$1128,4,FALSE))</f>
        <v>Laurentides</v>
      </c>
      <c r="T4223" s="2" t="s">
        <v>17816</v>
      </c>
      <c r="U4223" s="2" t="s">
        <v>39</v>
      </c>
      <c r="V4223" s="2" t="s">
        <v>40</v>
      </c>
      <c r="W4223" s="2" t="s">
        <v>17862</v>
      </c>
      <c r="X4223" s="2" t="str">
        <f>"4507529749"</f>
        <v>4507529749</v>
      </c>
      <c r="Y4223" s="2" t="str">
        <f>"4509391798"</f>
        <v>4509391798</v>
      </c>
      <c r="Z4223" s="2"/>
      <c r="AA4223" s="2" t="s">
        <v>456</v>
      </c>
      <c r="AB4223" s="2" t="s">
        <v>267</v>
      </c>
      <c r="AC4223" s="4" t="s">
        <v>44</v>
      </c>
    </row>
    <row r="4224" spans="1:29" x14ac:dyDescent="0.25">
      <c r="A4224" s="1">
        <v>1790</v>
      </c>
      <c r="B4224" s="17" t="s">
        <v>17863</v>
      </c>
      <c r="C4224" s="2" t="s">
        <v>16269</v>
      </c>
      <c r="D4224" s="15" t="s">
        <v>7462</v>
      </c>
      <c r="E4224" s="9" t="s">
        <v>2796</v>
      </c>
      <c r="F4224" s="9" t="s">
        <v>7461</v>
      </c>
      <c r="G4224" s="9" t="s">
        <v>354</v>
      </c>
      <c r="H4224" s="2" t="s">
        <v>35</v>
      </c>
      <c r="I4224" s="3">
        <v>37390</v>
      </c>
      <c r="J4224" s="9" t="str">
        <f t="shared" ca="1" si="70"/>
        <v>21 ans</v>
      </c>
      <c r="K4224" s="2" t="s">
        <v>262</v>
      </c>
      <c r="L4224" s="2" t="str">
        <f>"9940"</f>
        <v>9940</v>
      </c>
      <c r="M4224" s="2"/>
      <c r="N4224" s="2" t="str">
        <f>"RUE PRINCIPALE"</f>
        <v>RUE PRINCIPALE</v>
      </c>
      <c r="O4224" s="2" t="s">
        <v>17776</v>
      </c>
      <c r="P4224" s="9" t="str">
        <f>VLOOKUP($O4224,'Liste des Villes'!$B$2:$B$1128,1,FALSE)</f>
        <v>Brownsburg-Chatham</v>
      </c>
      <c r="Q4224" s="9" t="str">
        <f>IFERROR($P4224,PROPER(VLOOKUP($O4224,'Villes en erreur'!$A$2:$B$72,2,FALSE)))</f>
        <v>Brownsburg-Chatham</v>
      </c>
      <c r="R4224" s="9" t="s">
        <v>17777</v>
      </c>
      <c r="S4224" s="9" t="str">
        <f>IF(ISBLANK($R4224),"",VLOOKUP($R4224,'Liste des Villes'!$B$2:$H$1128,4,FALSE))</f>
        <v>Laurentides</v>
      </c>
      <c r="T4224" s="2" t="s">
        <v>17834</v>
      </c>
      <c r="U4224" s="2" t="s">
        <v>39</v>
      </c>
      <c r="V4224" s="2" t="s">
        <v>40</v>
      </c>
      <c r="W4224" s="2" t="s">
        <v>17864</v>
      </c>
      <c r="X4224" s="2" t="str">
        <f>"4508037687"</f>
        <v>4508037687</v>
      </c>
      <c r="Y4224" s="2" t="str">
        <f>"4509171307"</f>
        <v>4509171307</v>
      </c>
      <c r="Z4224" s="2"/>
      <c r="AA4224" s="2" t="s">
        <v>456</v>
      </c>
      <c r="AB4224" s="2" t="s">
        <v>457</v>
      </c>
      <c r="AC4224" s="4" t="s">
        <v>44</v>
      </c>
    </row>
    <row r="4225" spans="1:29" x14ac:dyDescent="0.25">
      <c r="A4225" s="1">
        <v>4104</v>
      </c>
      <c r="B4225" s="17" t="s">
        <v>17865</v>
      </c>
      <c r="C4225" s="2" t="s">
        <v>6148</v>
      </c>
      <c r="D4225" s="15" t="s">
        <v>3729</v>
      </c>
      <c r="E4225" s="9" t="s">
        <v>5793</v>
      </c>
      <c r="F4225" s="9" t="s">
        <v>47</v>
      </c>
      <c r="G4225" s="9" t="s">
        <v>354</v>
      </c>
      <c r="H4225" s="2" t="s">
        <v>35</v>
      </c>
      <c r="I4225" s="3">
        <v>37396</v>
      </c>
      <c r="J4225" s="9" t="str">
        <f t="shared" ca="1" si="70"/>
        <v>21 ans</v>
      </c>
      <c r="K4225" s="2" t="s">
        <v>262</v>
      </c>
      <c r="L4225" s="2" t="str">
        <f>"10042"</f>
        <v>10042</v>
      </c>
      <c r="M4225" s="2"/>
      <c r="N4225" s="2" t="str">
        <f>"RUE PRONOVOST"</f>
        <v>RUE PRONOVOST</v>
      </c>
      <c r="O4225" s="2" t="s">
        <v>17776</v>
      </c>
      <c r="P4225" s="9" t="str">
        <f>VLOOKUP($O4225,'Liste des Villes'!$B$2:$B$1128,1,FALSE)</f>
        <v>Brownsburg-Chatham</v>
      </c>
      <c r="Q4225" s="9" t="str">
        <f>IFERROR($P4225,PROPER(VLOOKUP($O4225,'Villes en erreur'!$A$2:$B$72,2,FALSE)))</f>
        <v>Brownsburg-Chatham</v>
      </c>
      <c r="R4225" s="9" t="s">
        <v>17777</v>
      </c>
      <c r="S4225" s="9" t="str">
        <f>IF(ISBLANK($R4225),"",VLOOKUP($R4225,'Liste des Villes'!$B$2:$H$1128,4,FALSE))</f>
        <v>Laurentides</v>
      </c>
      <c r="T4225" s="2" t="s">
        <v>17866</v>
      </c>
      <c r="U4225" s="2" t="s">
        <v>39</v>
      </c>
      <c r="V4225" s="2" t="s">
        <v>40</v>
      </c>
      <c r="W4225" s="2" t="s">
        <v>17867</v>
      </c>
      <c r="X4225" s="2" t="str">
        <f>"4508215817"</f>
        <v>4508215817</v>
      </c>
      <c r="Y4225" s="2" t="str">
        <f>"4508484555"</f>
        <v>4508484555</v>
      </c>
      <c r="Z4225" s="2"/>
      <c r="AA4225" s="2" t="s">
        <v>456</v>
      </c>
      <c r="AB4225" s="2" t="s">
        <v>457</v>
      </c>
      <c r="AC4225" s="4" t="s">
        <v>44</v>
      </c>
    </row>
    <row r="4226" spans="1:29" x14ac:dyDescent="0.25">
      <c r="A4226" s="1">
        <v>2605</v>
      </c>
      <c r="B4226" s="17" t="s">
        <v>17868</v>
      </c>
      <c r="C4226" s="2" t="s">
        <v>5802</v>
      </c>
      <c r="D4226" s="15" t="s">
        <v>1460</v>
      </c>
      <c r="E4226" s="9" t="s">
        <v>2404</v>
      </c>
      <c r="F4226" s="9" t="s">
        <v>16583</v>
      </c>
      <c r="G4226" s="9" t="s">
        <v>354</v>
      </c>
      <c r="H4226" s="2" t="s">
        <v>35</v>
      </c>
      <c r="I4226" s="3">
        <v>37387</v>
      </c>
      <c r="J4226" s="9" t="str">
        <f t="shared" ref="J4226:J4289" ca="1" si="71">_xlfn.CONCAT(INT((TODAY()-$I4226)/365.25)," ans")</f>
        <v>21 ans</v>
      </c>
      <c r="K4226" s="2" t="s">
        <v>262</v>
      </c>
      <c r="L4226" s="2" t="str">
        <f>"9855"</f>
        <v>9855</v>
      </c>
      <c r="M4226" s="2"/>
      <c r="N4226" s="2" t="str">
        <f>"RUE PRINCIPALE"</f>
        <v>RUE PRINCIPALE</v>
      </c>
      <c r="O4226" s="2" t="s">
        <v>17776</v>
      </c>
      <c r="P4226" s="9" t="str">
        <f>VLOOKUP($O4226,'Liste des Villes'!$B$2:$B$1128,1,FALSE)</f>
        <v>Brownsburg-Chatham</v>
      </c>
      <c r="Q4226" s="9" t="str">
        <f>IFERROR($P4226,PROPER(VLOOKUP($O4226,'Villes en erreur'!$A$2:$B$72,2,FALSE)))</f>
        <v>Brownsburg-Chatham</v>
      </c>
      <c r="R4226" s="9" t="s">
        <v>17777</v>
      </c>
      <c r="S4226" s="9" t="str">
        <f>IF(ISBLANK($R4226),"",VLOOKUP($R4226,'Liste des Villes'!$B$2:$H$1128,4,FALSE))</f>
        <v>Laurentides</v>
      </c>
      <c r="T4226" s="2" t="s">
        <v>17825</v>
      </c>
      <c r="U4226" s="2" t="s">
        <v>39</v>
      </c>
      <c r="V4226" s="2" t="s">
        <v>40</v>
      </c>
      <c r="W4226" s="2" t="s">
        <v>17869</v>
      </c>
      <c r="X4226" s="2" t="str">
        <f>"4507440805"</f>
        <v>4507440805</v>
      </c>
      <c r="Y4226" s="2" t="str">
        <f>"4509514711"</f>
        <v>4509514711</v>
      </c>
      <c r="Z4226" s="2"/>
      <c r="AA4226" s="2" t="s">
        <v>793</v>
      </c>
      <c r="AB4226" s="2" t="s">
        <v>267</v>
      </c>
      <c r="AC4226" s="4" t="s">
        <v>44</v>
      </c>
    </row>
    <row r="4227" spans="1:29" x14ac:dyDescent="0.25">
      <c r="A4227" s="1">
        <v>574</v>
      </c>
      <c r="B4227" s="17" t="s">
        <v>17870</v>
      </c>
      <c r="C4227" s="2" t="s">
        <v>8669</v>
      </c>
      <c r="D4227" s="15" t="s">
        <v>8670</v>
      </c>
      <c r="E4227" s="9" t="s">
        <v>1410</v>
      </c>
      <c r="F4227" s="9" t="s">
        <v>12047</v>
      </c>
      <c r="G4227" s="9" t="s">
        <v>452</v>
      </c>
      <c r="H4227" s="2" t="s">
        <v>35</v>
      </c>
      <c r="I4227" s="3">
        <v>37400</v>
      </c>
      <c r="J4227" s="9" t="str">
        <f t="shared" ca="1" si="71"/>
        <v>21 ans</v>
      </c>
      <c r="K4227" s="2" t="s">
        <v>262</v>
      </c>
      <c r="L4227" s="2" t="str">
        <f>"10220"</f>
        <v>10220</v>
      </c>
      <c r="M4227" s="2"/>
      <c r="N4227" s="2" t="str">
        <f>"RUE RACINE"</f>
        <v>RUE RACINE</v>
      </c>
      <c r="O4227" s="2" t="s">
        <v>17871</v>
      </c>
      <c r="P4227" s="9" t="str">
        <f>VLOOKUP($O4227,'Liste des Villes'!$B$2:$B$1128,1,FALSE)</f>
        <v>Brébeuf</v>
      </c>
      <c r="Q4227" s="9" t="str">
        <f>IFERROR($P4227,PROPER(VLOOKUP($O4227,'Villes en erreur'!$A$2:$B$72,2,FALSE)))</f>
        <v>Brébeuf</v>
      </c>
      <c r="R4227" s="9" t="s">
        <v>17872</v>
      </c>
      <c r="S4227" s="9" t="str">
        <f>IF(ISBLANK($R4227),"",VLOOKUP($R4227,'Liste des Villes'!$B$2:$H$1128,4,FALSE))</f>
        <v>Laurentides</v>
      </c>
      <c r="T4227" s="2" t="s">
        <v>17873</v>
      </c>
      <c r="U4227" s="2" t="s">
        <v>39</v>
      </c>
      <c r="V4227" s="2" t="s">
        <v>40</v>
      </c>
      <c r="W4227" s="2" t="s">
        <v>17874</v>
      </c>
      <c r="X4227" s="2" t="str">
        <f>"4508223482"</f>
        <v>4508223482</v>
      </c>
      <c r="Y4227" s="2" t="str">
        <f>"4508229866"</f>
        <v>4508229866</v>
      </c>
      <c r="Z4227" s="2"/>
      <c r="AA4227" s="2" t="s">
        <v>456</v>
      </c>
      <c r="AB4227" s="2" t="s">
        <v>457</v>
      </c>
      <c r="AC4227" s="4" t="s">
        <v>44</v>
      </c>
    </row>
    <row r="4228" spans="1:29" x14ac:dyDescent="0.25">
      <c r="A4228" s="1">
        <v>2247</v>
      </c>
      <c r="B4228" s="17" t="s">
        <v>17875</v>
      </c>
      <c r="C4228" s="2" t="s">
        <v>17876</v>
      </c>
      <c r="D4228" s="15" t="s">
        <v>4447</v>
      </c>
      <c r="E4228" s="9" t="s">
        <v>10505</v>
      </c>
      <c r="F4228" s="9" t="s">
        <v>3341</v>
      </c>
      <c r="G4228" s="9" t="s">
        <v>452</v>
      </c>
      <c r="H4228" s="2" t="s">
        <v>35</v>
      </c>
      <c r="I4228" s="3">
        <v>37401</v>
      </c>
      <c r="J4228" s="9" t="str">
        <f t="shared" ca="1" si="71"/>
        <v>21 ans</v>
      </c>
      <c r="K4228" s="2" t="s">
        <v>262</v>
      </c>
      <c r="L4228" s="2" t="str">
        <f>"10220"</f>
        <v>10220</v>
      </c>
      <c r="M4228" s="2"/>
      <c r="N4228" s="2" t="str">
        <f>"RUE RACINE"</f>
        <v>RUE RACINE</v>
      </c>
      <c r="O4228" s="2" t="s">
        <v>17877</v>
      </c>
      <c r="P4228" s="9" t="str">
        <f>VLOOKUP($O4228,'Liste des Villes'!$B$2:$B$1128,1,FALSE)</f>
        <v>Bowman</v>
      </c>
      <c r="Q4228" s="9" t="str">
        <f>IFERROR($P4228,PROPER(VLOOKUP($O4228,'Villes en erreur'!$A$2:$B$72,2,FALSE)))</f>
        <v>Bowman</v>
      </c>
      <c r="R4228" s="9" t="s">
        <v>17878</v>
      </c>
      <c r="S4228" s="9" t="str">
        <f>IF(ISBLANK($R4228),"",VLOOKUP($R4228,'Liste des Villes'!$B$2:$H$1128,4,FALSE))</f>
        <v>Outaouais</v>
      </c>
      <c r="T4228" s="2" t="s">
        <v>17879</v>
      </c>
      <c r="U4228" s="2" t="s">
        <v>39</v>
      </c>
      <c r="V4228" s="2" t="s">
        <v>40</v>
      </c>
      <c r="W4228" s="2" t="s">
        <v>17880</v>
      </c>
      <c r="X4228" s="2" t="str">
        <f>"4508223696"</f>
        <v>4508223696</v>
      </c>
      <c r="Y4228" s="2" t="str">
        <f>"4508229603"</f>
        <v>4508229603</v>
      </c>
      <c r="Z4228" s="2"/>
      <c r="AA4228" s="2" t="s">
        <v>456</v>
      </c>
      <c r="AB4228" s="2" t="s">
        <v>457</v>
      </c>
      <c r="AC4228" s="4" t="s">
        <v>44</v>
      </c>
    </row>
    <row r="4229" spans="1:29" x14ac:dyDescent="0.25">
      <c r="A4229" s="1">
        <v>1471</v>
      </c>
      <c r="B4229" s="17" t="s">
        <v>17881</v>
      </c>
      <c r="C4229" s="2" t="s">
        <v>1047</v>
      </c>
      <c r="D4229" s="15" t="s">
        <v>1048</v>
      </c>
      <c r="E4229" s="9" t="s">
        <v>1049</v>
      </c>
      <c r="F4229" s="9" t="s">
        <v>1050</v>
      </c>
      <c r="G4229" s="9" t="s">
        <v>452</v>
      </c>
      <c r="H4229" s="2" t="s">
        <v>35</v>
      </c>
      <c r="I4229" s="3">
        <v>37401</v>
      </c>
      <c r="J4229" s="9" t="str">
        <f t="shared" ca="1" si="71"/>
        <v>21 ans</v>
      </c>
      <c r="K4229" s="2" t="s">
        <v>262</v>
      </c>
      <c r="L4229" s="2" t="str">
        <f>"10285"</f>
        <v>10285</v>
      </c>
      <c r="M4229" s="2"/>
      <c r="N4229" s="2" t="str">
        <f>"RUE RAOUL"</f>
        <v>RUE RAOUL</v>
      </c>
      <c r="O4229" s="2" t="s">
        <v>17882</v>
      </c>
      <c r="P4229" s="9" t="str">
        <f>VLOOKUP($O4229,'Liste des Villes'!$B$2:$B$1128,1,FALSE)</f>
        <v>Bois-Franc</v>
      </c>
      <c r="Q4229" s="9" t="str">
        <f>IFERROR($P4229,PROPER(VLOOKUP($O4229,'Villes en erreur'!$A$2:$B$72,2,FALSE)))</f>
        <v>Bois-Franc</v>
      </c>
      <c r="R4229" s="9" t="s">
        <v>17883</v>
      </c>
      <c r="S4229" s="9" t="str">
        <f>IF(ISBLANK($R4229),"",VLOOKUP($R4229,'Liste des Villes'!$B$2:$H$1128,4,FALSE))</f>
        <v>Outaouais</v>
      </c>
      <c r="T4229" s="2" t="s">
        <v>17884</v>
      </c>
      <c r="U4229" s="2" t="s">
        <v>39</v>
      </c>
      <c r="V4229" s="2" t="s">
        <v>40</v>
      </c>
      <c r="W4229" s="2" t="s">
        <v>17885</v>
      </c>
      <c r="X4229" s="2" t="str">
        <f>"4508223967"</f>
        <v>4508223967</v>
      </c>
      <c r="Y4229" s="2" t="str">
        <f>"4508229014"</f>
        <v>4508229014</v>
      </c>
      <c r="Z4229" s="2"/>
      <c r="AA4229" s="2" t="s">
        <v>456</v>
      </c>
      <c r="AB4229" s="2" t="s">
        <v>457</v>
      </c>
      <c r="AC4229" s="4" t="s">
        <v>44</v>
      </c>
    </row>
    <row r="4230" spans="1:29" x14ac:dyDescent="0.25">
      <c r="A4230" s="1">
        <v>2296</v>
      </c>
      <c r="B4230" s="17" t="s">
        <v>17886</v>
      </c>
      <c r="C4230" s="2" t="s">
        <v>576</v>
      </c>
      <c r="D4230" s="15" t="s">
        <v>203</v>
      </c>
      <c r="E4230" s="9" t="s">
        <v>577</v>
      </c>
      <c r="F4230" s="9" t="s">
        <v>2885</v>
      </c>
      <c r="G4230" s="9" t="s">
        <v>452</v>
      </c>
      <c r="H4230" s="2" t="s">
        <v>35</v>
      </c>
      <c r="I4230" s="3">
        <v>37403</v>
      </c>
      <c r="J4230" s="9" t="str">
        <f t="shared" ca="1" si="71"/>
        <v>21 ans</v>
      </c>
      <c r="K4230" s="2" t="s">
        <v>262</v>
      </c>
      <c r="L4230" s="2" t="str">
        <f>"10390"</f>
        <v>10390</v>
      </c>
      <c r="M4230" s="2"/>
      <c r="N4230" s="2" t="str">
        <f>"RUE RAYMOND"</f>
        <v>RUE RAYMOND</v>
      </c>
      <c r="O4230" s="2" t="s">
        <v>17887</v>
      </c>
      <c r="P4230" s="9" t="str">
        <f>VLOOKUP($O4230,'Liste des Villes'!$B$2:$B$1128,1,FALSE)</f>
        <v>Bois-des-Filion</v>
      </c>
      <c r="Q4230" s="9" t="str">
        <f>IFERROR($P4230,PROPER(VLOOKUP($O4230,'Villes en erreur'!$A$2:$B$72,2,FALSE)))</f>
        <v>Bois-des-Filion</v>
      </c>
      <c r="R4230" s="9" t="s">
        <v>17888</v>
      </c>
      <c r="S4230" s="9" t="str">
        <f>IF(ISBLANK($R4230),"",VLOOKUP($R4230,'Liste des Villes'!$B$2:$H$1128,4,FALSE))</f>
        <v>Laurentides</v>
      </c>
      <c r="T4230" s="2" t="s">
        <v>17889</v>
      </c>
      <c r="U4230" s="2" t="s">
        <v>39</v>
      </c>
      <c r="V4230" s="2" t="s">
        <v>40</v>
      </c>
      <c r="W4230" s="2" t="s">
        <v>17890</v>
      </c>
      <c r="X4230" s="2" t="str">
        <f>"4508224518"</f>
        <v>4508224518</v>
      </c>
      <c r="Y4230" s="2" t="str">
        <f>"4508228105"</f>
        <v>4508228105</v>
      </c>
      <c r="Z4230" s="2"/>
      <c r="AA4230" s="2" t="s">
        <v>456</v>
      </c>
      <c r="AB4230" s="2" t="s">
        <v>457</v>
      </c>
      <c r="AC4230" s="4" t="s">
        <v>44</v>
      </c>
    </row>
    <row r="4231" spans="1:29" x14ac:dyDescent="0.25">
      <c r="A4231" s="1">
        <v>2749</v>
      </c>
      <c r="B4231" s="17" t="s">
        <v>17891</v>
      </c>
      <c r="C4231" s="2" t="s">
        <v>17892</v>
      </c>
      <c r="D4231" s="15" t="s">
        <v>6577</v>
      </c>
      <c r="E4231" s="9" t="s">
        <v>1555</v>
      </c>
      <c r="F4231" s="9" t="s">
        <v>1360</v>
      </c>
      <c r="G4231" s="9" t="s">
        <v>452</v>
      </c>
      <c r="H4231" s="2" t="s">
        <v>35</v>
      </c>
      <c r="I4231" s="3">
        <v>37402</v>
      </c>
      <c r="J4231" s="9" t="str">
        <f t="shared" ca="1" si="71"/>
        <v>21 ans</v>
      </c>
      <c r="K4231" s="2" t="s">
        <v>262</v>
      </c>
      <c r="L4231" s="2" t="str">
        <f>"10299"</f>
        <v>10299</v>
      </c>
      <c r="M4231" s="2"/>
      <c r="N4231" s="2" t="str">
        <f>"RUE RAOUL-HAMEL"</f>
        <v>RUE RAOUL-HAMEL</v>
      </c>
      <c r="O4231" s="2" t="s">
        <v>17887</v>
      </c>
      <c r="P4231" s="9" t="str">
        <f>VLOOKUP($O4231,'Liste des Villes'!$B$2:$B$1128,1,FALSE)</f>
        <v>Bois-des-Filion</v>
      </c>
      <c r="Q4231" s="9" t="str">
        <f>IFERROR($P4231,PROPER(VLOOKUP($O4231,'Villes en erreur'!$A$2:$B$72,2,FALSE)))</f>
        <v>Bois-des-Filion</v>
      </c>
      <c r="R4231" s="9" t="s">
        <v>17888</v>
      </c>
      <c r="S4231" s="9" t="str">
        <f>IF(ISBLANK($R4231),"",VLOOKUP($R4231,'Liste des Villes'!$B$2:$H$1128,4,FALSE))</f>
        <v>Laurentides</v>
      </c>
      <c r="T4231" s="2" t="s">
        <v>17893</v>
      </c>
      <c r="U4231" s="2" t="s">
        <v>39</v>
      </c>
      <c r="V4231" s="2" t="s">
        <v>40</v>
      </c>
      <c r="W4231" s="2" t="s">
        <v>17894</v>
      </c>
      <c r="X4231" s="2" t="str">
        <f>"4508224338"</f>
        <v>4508224338</v>
      </c>
      <c r="Y4231" s="2" t="str">
        <f>"4508228897"</f>
        <v>4508228897</v>
      </c>
      <c r="Z4231" s="2"/>
      <c r="AA4231" s="2" t="s">
        <v>456</v>
      </c>
      <c r="AB4231" s="2" t="s">
        <v>457</v>
      </c>
      <c r="AC4231" s="4" t="s">
        <v>44</v>
      </c>
    </row>
    <row r="4232" spans="1:29" x14ac:dyDescent="0.25">
      <c r="A4232" s="1">
        <v>2732</v>
      </c>
      <c r="B4232" s="17" t="s">
        <v>17895</v>
      </c>
      <c r="C4232" s="2" t="s">
        <v>17896</v>
      </c>
      <c r="D4232" s="15" t="s">
        <v>3496</v>
      </c>
      <c r="E4232" s="9" t="s">
        <v>1553</v>
      </c>
      <c r="F4232" s="9" t="s">
        <v>3495</v>
      </c>
      <c r="G4232" s="9" t="s">
        <v>452</v>
      </c>
      <c r="H4232" s="2" t="s">
        <v>35</v>
      </c>
      <c r="I4232" s="3">
        <v>37403</v>
      </c>
      <c r="J4232" s="9" t="str">
        <f t="shared" ca="1" si="71"/>
        <v>21 ans</v>
      </c>
      <c r="K4232" s="2" t="s">
        <v>262</v>
      </c>
      <c r="L4232" s="2" t="str">
        <f>"10400"</f>
        <v>10400</v>
      </c>
      <c r="M4232" s="2"/>
      <c r="N4232" s="2" t="str">
        <f>"RUE RAYMOND"</f>
        <v>RUE RAYMOND</v>
      </c>
      <c r="O4232" s="2" t="s">
        <v>17887</v>
      </c>
      <c r="P4232" s="9" t="str">
        <f>VLOOKUP($O4232,'Liste des Villes'!$B$2:$B$1128,1,FALSE)</f>
        <v>Bois-des-Filion</v>
      </c>
      <c r="Q4232" s="9" t="str">
        <f>IFERROR($P4232,PROPER(VLOOKUP($O4232,'Villes en erreur'!$A$2:$B$72,2,FALSE)))</f>
        <v>Bois-des-Filion</v>
      </c>
      <c r="R4232" s="9" t="s">
        <v>17888</v>
      </c>
      <c r="S4232" s="9" t="str">
        <f>IF(ISBLANK($R4232),"",VLOOKUP($R4232,'Liste des Villes'!$B$2:$H$1128,4,FALSE))</f>
        <v>Laurentides</v>
      </c>
      <c r="T4232" s="2" t="s">
        <v>17897</v>
      </c>
      <c r="U4232" s="2" t="s">
        <v>39</v>
      </c>
      <c r="V4232" s="2" t="s">
        <v>40</v>
      </c>
      <c r="W4232" s="2" t="s">
        <v>17898</v>
      </c>
      <c r="X4232" s="2" t="str">
        <f>"4508225747"</f>
        <v>4508225747</v>
      </c>
      <c r="Y4232" s="2" t="str">
        <f>"4508227530"</f>
        <v>4508227530</v>
      </c>
      <c r="Z4232" s="2"/>
      <c r="AA4232" s="2" t="s">
        <v>456</v>
      </c>
      <c r="AB4232" s="2" t="s">
        <v>457</v>
      </c>
      <c r="AC4232" s="4" t="s">
        <v>44</v>
      </c>
    </row>
    <row r="4233" spans="1:29" x14ac:dyDescent="0.25">
      <c r="A4233" s="1">
        <v>2181</v>
      </c>
      <c r="B4233" s="17" t="s">
        <v>17899</v>
      </c>
      <c r="C4233" s="2" t="s">
        <v>17900</v>
      </c>
      <c r="D4233" s="15" t="s">
        <v>7438</v>
      </c>
      <c r="E4233" s="9" t="s">
        <v>3595</v>
      </c>
      <c r="F4233" s="9" t="s">
        <v>7033</v>
      </c>
      <c r="G4233" s="9" t="s">
        <v>8645</v>
      </c>
      <c r="H4233" s="2" t="s">
        <v>60</v>
      </c>
      <c r="I4233" s="3">
        <v>37405</v>
      </c>
      <c r="J4233" s="9" t="str">
        <f t="shared" ca="1" si="71"/>
        <v>21 ans</v>
      </c>
      <c r="K4233" s="2" t="s">
        <v>262</v>
      </c>
      <c r="L4233" s="2" t="str">
        <f>"10705"</f>
        <v>10705</v>
      </c>
      <c r="M4233" s="2" t="str">
        <f>"C"</f>
        <v>C</v>
      </c>
      <c r="N4233" s="2" t="str">
        <f>"RUE RÉMILLARD"</f>
        <v>RUE RÉMILLARD</v>
      </c>
      <c r="O4233" s="2" t="s">
        <v>17887</v>
      </c>
      <c r="P4233" s="9" t="str">
        <f>VLOOKUP($O4233,'Liste des Villes'!$B$2:$B$1128,1,FALSE)</f>
        <v>Bois-des-Filion</v>
      </c>
      <c r="Q4233" s="9" t="str">
        <f>IFERROR($P4233,PROPER(VLOOKUP($O4233,'Villes en erreur'!$A$2:$B$72,2,FALSE)))</f>
        <v>Bois-des-Filion</v>
      </c>
      <c r="R4233" s="9" t="s">
        <v>17888</v>
      </c>
      <c r="S4233" s="9" t="str">
        <f>IF(ISBLANK($R4233),"",VLOOKUP($R4233,'Liste des Villes'!$B$2:$H$1128,4,FALSE))</f>
        <v>Laurentides</v>
      </c>
      <c r="T4233" s="2" t="s">
        <v>17901</v>
      </c>
      <c r="U4233" s="2" t="s">
        <v>39</v>
      </c>
      <c r="V4233" s="2" t="s">
        <v>40</v>
      </c>
      <c r="W4233" s="2" t="s">
        <v>17902</v>
      </c>
      <c r="X4233" s="2" t="str">
        <f>"4508228285"</f>
        <v>4508228285</v>
      </c>
      <c r="Y4233" s="2" t="str">
        <f>"4508224177"</f>
        <v>4508224177</v>
      </c>
      <c r="Z4233" s="2"/>
      <c r="AA4233" s="2" t="s">
        <v>456</v>
      </c>
      <c r="AB4233" s="2" t="s">
        <v>457</v>
      </c>
      <c r="AC4233" s="4" t="s">
        <v>44</v>
      </c>
    </row>
    <row r="4234" spans="1:29" x14ac:dyDescent="0.25">
      <c r="A4234" s="1">
        <v>713</v>
      </c>
      <c r="B4234" s="17" t="s">
        <v>17903</v>
      </c>
      <c r="C4234" s="2" t="s">
        <v>17904</v>
      </c>
      <c r="D4234" s="15" t="s">
        <v>31</v>
      </c>
      <c r="E4234" s="9" t="s">
        <v>5087</v>
      </c>
      <c r="F4234" s="9" t="s">
        <v>8694</v>
      </c>
      <c r="G4234" s="9" t="s">
        <v>10542</v>
      </c>
      <c r="H4234" s="2" t="s">
        <v>60</v>
      </c>
      <c r="I4234" s="3">
        <v>37405</v>
      </c>
      <c r="J4234" s="9" t="str">
        <f t="shared" ca="1" si="71"/>
        <v>21 ans</v>
      </c>
      <c r="K4234" s="2" t="s">
        <v>262</v>
      </c>
      <c r="L4234" s="2" t="str">
        <f>"10742"</f>
        <v>10742</v>
      </c>
      <c r="M4234" s="2" t="str">
        <f>"C"</f>
        <v>C</v>
      </c>
      <c r="N4234" s="2" t="str">
        <f>"RUE RÉMI-SIMON"</f>
        <v>RUE RÉMI-SIMON</v>
      </c>
      <c r="O4234" s="2" t="s">
        <v>17887</v>
      </c>
      <c r="P4234" s="9" t="str">
        <f>VLOOKUP($O4234,'Liste des Villes'!$B$2:$B$1128,1,FALSE)</f>
        <v>Bois-des-Filion</v>
      </c>
      <c r="Q4234" s="9" t="str">
        <f>IFERROR($P4234,PROPER(VLOOKUP($O4234,'Villes en erreur'!$A$2:$B$72,2,FALSE)))</f>
        <v>Bois-des-Filion</v>
      </c>
      <c r="R4234" s="9" t="s">
        <v>17888</v>
      </c>
      <c r="S4234" s="9" t="str">
        <f>IF(ISBLANK($R4234),"",VLOOKUP($R4234,'Liste des Villes'!$B$2:$H$1128,4,FALSE))</f>
        <v>Laurentides</v>
      </c>
      <c r="T4234" s="2" t="s">
        <v>17901</v>
      </c>
      <c r="U4234" s="2" t="s">
        <v>39</v>
      </c>
      <c r="V4234" s="2" t="s">
        <v>40</v>
      </c>
      <c r="W4234" s="2" t="s">
        <v>17905</v>
      </c>
      <c r="X4234" s="2" t="str">
        <f>"4508228897"</f>
        <v>4508228897</v>
      </c>
      <c r="Y4234" s="2" t="str">
        <f>"4508223967"</f>
        <v>4508223967</v>
      </c>
      <c r="Z4234" s="2"/>
      <c r="AA4234" s="2" t="s">
        <v>456</v>
      </c>
      <c r="AB4234" s="2" t="s">
        <v>457</v>
      </c>
      <c r="AC4234" s="4" t="s">
        <v>44</v>
      </c>
    </row>
    <row r="4235" spans="1:29" x14ac:dyDescent="0.25">
      <c r="A4235" s="1">
        <v>3109</v>
      </c>
      <c r="B4235" s="17" t="s">
        <v>17906</v>
      </c>
      <c r="C4235" s="2" t="s">
        <v>17907</v>
      </c>
      <c r="D4235" s="15" t="s">
        <v>6314</v>
      </c>
      <c r="E4235" s="9" t="s">
        <v>860</v>
      </c>
      <c r="F4235" s="9" t="s">
        <v>861</v>
      </c>
      <c r="G4235" s="9" t="s">
        <v>8645</v>
      </c>
      <c r="H4235" s="2" t="s">
        <v>60</v>
      </c>
      <c r="I4235" s="3">
        <v>37405</v>
      </c>
      <c r="J4235" s="9" t="str">
        <f t="shared" ca="1" si="71"/>
        <v>21 ans</v>
      </c>
      <c r="K4235" s="2" t="s">
        <v>262</v>
      </c>
      <c r="L4235" s="2" t="str">
        <f>"10680"</f>
        <v>10680</v>
      </c>
      <c r="M4235" s="2" t="str">
        <f>"D"</f>
        <v>D</v>
      </c>
      <c r="N4235" s="2" t="str">
        <f>"RUE RÉMI"</f>
        <v>RUE RÉMI</v>
      </c>
      <c r="O4235" s="2" t="s">
        <v>17887</v>
      </c>
      <c r="P4235" s="9" t="str">
        <f>VLOOKUP($O4235,'Liste des Villes'!$B$2:$B$1128,1,FALSE)</f>
        <v>Bois-des-Filion</v>
      </c>
      <c r="Q4235" s="9" t="str">
        <f>IFERROR($P4235,PROPER(VLOOKUP($O4235,'Villes en erreur'!$A$2:$B$72,2,FALSE)))</f>
        <v>Bois-des-Filion</v>
      </c>
      <c r="R4235" s="9" t="s">
        <v>17888</v>
      </c>
      <c r="S4235" s="9" t="str">
        <f>IF(ISBLANK($R4235),"",VLOOKUP($R4235,'Liste des Villes'!$B$2:$H$1128,4,FALSE))</f>
        <v>Laurentides</v>
      </c>
      <c r="T4235" s="2" t="s">
        <v>17908</v>
      </c>
      <c r="U4235" s="2" t="s">
        <v>39</v>
      </c>
      <c r="V4235" s="2" t="s">
        <v>40</v>
      </c>
      <c r="W4235" s="2" t="s">
        <v>17909</v>
      </c>
      <c r="X4235" s="2" t="str">
        <f>"4508228258"</f>
        <v>4508228258</v>
      </c>
      <c r="Y4235" s="2" t="str">
        <f>"4508224657"</f>
        <v>4508224657</v>
      </c>
      <c r="Z4235" s="2"/>
      <c r="AA4235" s="2" t="s">
        <v>456</v>
      </c>
      <c r="AB4235" s="2" t="s">
        <v>457</v>
      </c>
      <c r="AC4235" s="4" t="s">
        <v>44</v>
      </c>
    </row>
    <row r="4236" spans="1:29" x14ac:dyDescent="0.25">
      <c r="A4236" s="1">
        <v>3332</v>
      </c>
      <c r="B4236" s="17" t="s">
        <v>17910</v>
      </c>
      <c r="C4236" s="2" t="s">
        <v>4521</v>
      </c>
      <c r="D4236" s="15" t="s">
        <v>56</v>
      </c>
      <c r="E4236" s="9" t="s">
        <v>154</v>
      </c>
      <c r="F4236" s="9" t="s">
        <v>9109</v>
      </c>
      <c r="G4236" s="9" t="s">
        <v>452</v>
      </c>
      <c r="H4236" s="2" t="s">
        <v>35</v>
      </c>
      <c r="I4236" s="3">
        <v>37404</v>
      </c>
      <c r="J4236" s="9" t="str">
        <f t="shared" ca="1" si="71"/>
        <v>21 ans</v>
      </c>
      <c r="K4236" s="2" t="s">
        <v>262</v>
      </c>
      <c r="L4236" s="2" t="str">
        <f>"10455"</f>
        <v>10455</v>
      </c>
      <c r="M4236" s="2"/>
      <c r="N4236" s="2" t="str">
        <f>"RUE RAYMOND"</f>
        <v>RUE RAYMOND</v>
      </c>
      <c r="O4236" s="2" t="s">
        <v>17887</v>
      </c>
      <c r="P4236" s="9" t="str">
        <f>VLOOKUP($O4236,'Liste des Villes'!$B$2:$B$1128,1,FALSE)</f>
        <v>Bois-des-Filion</v>
      </c>
      <c r="Q4236" s="9" t="str">
        <f>IFERROR($P4236,PROPER(VLOOKUP($O4236,'Villes en erreur'!$A$2:$B$72,2,FALSE)))</f>
        <v>Bois-des-Filion</v>
      </c>
      <c r="R4236" s="9" t="s">
        <v>17888</v>
      </c>
      <c r="S4236" s="9" t="str">
        <f>IF(ISBLANK($R4236),"",VLOOKUP($R4236,'Liste des Villes'!$B$2:$H$1128,4,FALSE))</f>
        <v>Laurentides</v>
      </c>
      <c r="T4236" s="2" t="s">
        <v>17897</v>
      </c>
      <c r="U4236" s="2" t="s">
        <v>39</v>
      </c>
      <c r="V4236" s="2" t="s">
        <v>40</v>
      </c>
      <c r="W4236" s="2" t="s">
        <v>17911</v>
      </c>
      <c r="X4236" s="2" t="str">
        <f>"4508226198"</f>
        <v>4508226198</v>
      </c>
      <c r="Y4236" s="2" t="str">
        <f>"4508226943"</f>
        <v>4508226943</v>
      </c>
      <c r="Z4236" s="2"/>
      <c r="AA4236" s="2" t="s">
        <v>456</v>
      </c>
      <c r="AB4236" s="2" t="s">
        <v>457</v>
      </c>
      <c r="AC4236" s="4" t="s">
        <v>44</v>
      </c>
    </row>
    <row r="4237" spans="1:29" x14ac:dyDescent="0.25">
      <c r="A4237" s="1">
        <v>300</v>
      </c>
      <c r="B4237" s="17" t="s">
        <v>17912</v>
      </c>
      <c r="C4237" s="2" t="s">
        <v>17913</v>
      </c>
      <c r="D4237" s="15" t="s">
        <v>49</v>
      </c>
      <c r="E4237" s="9" t="s">
        <v>10721</v>
      </c>
      <c r="F4237" s="9" t="s">
        <v>47</v>
      </c>
      <c r="G4237" s="9" t="s">
        <v>1996</v>
      </c>
      <c r="H4237" s="2" t="s">
        <v>60</v>
      </c>
      <c r="I4237" s="3">
        <v>37404</v>
      </c>
      <c r="J4237" s="9" t="str">
        <f t="shared" ca="1" si="71"/>
        <v>21 ans</v>
      </c>
      <c r="K4237" s="2" t="s">
        <v>262</v>
      </c>
      <c r="L4237" s="2" t="str">
        <f>"10665"</f>
        <v>10665</v>
      </c>
      <c r="M4237" s="2" t="str">
        <f>"HAUT"</f>
        <v>HAUT</v>
      </c>
      <c r="N4237" s="2" t="str">
        <f>"RUE RÉJEAN"</f>
        <v>RUE RÉJEAN</v>
      </c>
      <c r="O4237" s="2" t="s">
        <v>17887</v>
      </c>
      <c r="P4237" s="9" t="str">
        <f>VLOOKUP($O4237,'Liste des Villes'!$B$2:$B$1128,1,FALSE)</f>
        <v>Bois-des-Filion</v>
      </c>
      <c r="Q4237" s="9" t="str">
        <f>IFERROR($P4237,PROPER(VLOOKUP($O4237,'Villes en erreur'!$A$2:$B$72,2,FALSE)))</f>
        <v>Bois-des-Filion</v>
      </c>
      <c r="R4237" s="9" t="s">
        <v>17888</v>
      </c>
      <c r="S4237" s="9" t="str">
        <f>IF(ISBLANK($R4237),"",VLOOKUP($R4237,'Liste des Villes'!$B$2:$H$1128,4,FALSE))</f>
        <v>Laurentides</v>
      </c>
      <c r="T4237" s="2" t="s">
        <v>17914</v>
      </c>
      <c r="U4237" s="2" t="s">
        <v>39</v>
      </c>
      <c r="V4237" s="2" t="s">
        <v>40</v>
      </c>
      <c r="W4237" s="2" t="s">
        <v>17915</v>
      </c>
      <c r="X4237" s="2" t="str">
        <f>"4508226740"</f>
        <v>4508226740</v>
      </c>
      <c r="Y4237" s="2" t="str">
        <f>"4508225171"</f>
        <v>4508225171</v>
      </c>
      <c r="Z4237" s="2"/>
      <c r="AA4237" s="2" t="s">
        <v>456</v>
      </c>
      <c r="AB4237" s="2" t="s">
        <v>457</v>
      </c>
      <c r="AC4237" s="4" t="s">
        <v>44</v>
      </c>
    </row>
    <row r="4238" spans="1:29" x14ac:dyDescent="0.25">
      <c r="A4238" s="1">
        <v>2877</v>
      </c>
      <c r="B4238" s="17" t="s">
        <v>17916</v>
      </c>
      <c r="C4238" s="2" t="s">
        <v>17917</v>
      </c>
      <c r="D4238" s="15" t="s">
        <v>693</v>
      </c>
      <c r="E4238" s="9" t="s">
        <v>11283</v>
      </c>
      <c r="F4238" s="9" t="s">
        <v>13852</v>
      </c>
      <c r="G4238" s="9" t="s">
        <v>13143</v>
      </c>
      <c r="H4238" s="2" t="s">
        <v>60</v>
      </c>
      <c r="I4238" s="3">
        <v>37404</v>
      </c>
      <c r="J4238" s="9" t="str">
        <f t="shared" ca="1" si="71"/>
        <v>21 ans</v>
      </c>
      <c r="K4238" s="2" t="s">
        <v>262</v>
      </c>
      <c r="L4238" s="2" t="str">
        <f>"10520"</f>
        <v>10520</v>
      </c>
      <c r="M4238" s="2" t="str">
        <f>"Havre"</f>
        <v>Havre</v>
      </c>
      <c r="N4238" s="2" t="str">
        <f>"RUE RÉAL-BENOÎT"</f>
        <v>RUE RÉAL-BENOÎT</v>
      </c>
      <c r="O4238" s="2" t="s">
        <v>17887</v>
      </c>
      <c r="P4238" s="9" t="str">
        <f>VLOOKUP($O4238,'Liste des Villes'!$B$2:$B$1128,1,FALSE)</f>
        <v>Bois-des-Filion</v>
      </c>
      <c r="Q4238" s="9" t="str">
        <f>IFERROR($P4238,PROPER(VLOOKUP($O4238,'Villes en erreur'!$A$2:$B$72,2,FALSE)))</f>
        <v>Bois-des-Filion</v>
      </c>
      <c r="R4238" s="9" t="s">
        <v>17888</v>
      </c>
      <c r="S4238" s="9" t="str">
        <f>IF(ISBLANK($R4238),"",VLOOKUP($R4238,'Liste des Villes'!$B$2:$H$1128,4,FALSE))</f>
        <v>Laurentides</v>
      </c>
      <c r="T4238" s="2" t="s">
        <v>17918</v>
      </c>
      <c r="U4238" s="2" t="s">
        <v>39</v>
      </c>
      <c r="V4238" s="2" t="s">
        <v>40</v>
      </c>
      <c r="W4238" s="2" t="s">
        <v>17919</v>
      </c>
      <c r="X4238" s="2" t="str">
        <f>"4508226699"</f>
        <v>4508226699</v>
      </c>
      <c r="Y4238" s="2" t="str">
        <f>"4508226183"</f>
        <v>4508226183</v>
      </c>
      <c r="Z4238" s="2"/>
      <c r="AA4238" s="2" t="s">
        <v>456</v>
      </c>
      <c r="AB4238" s="2" t="s">
        <v>457</v>
      </c>
      <c r="AC4238" s="4" t="s">
        <v>44</v>
      </c>
    </row>
    <row r="4239" spans="1:29" x14ac:dyDescent="0.25">
      <c r="A4239" s="1">
        <v>969</v>
      </c>
      <c r="B4239" s="17" t="s">
        <v>17920</v>
      </c>
      <c r="C4239" s="2" t="s">
        <v>17921</v>
      </c>
      <c r="D4239" s="15" t="s">
        <v>1163</v>
      </c>
      <c r="E4239" s="9" t="s">
        <v>14709</v>
      </c>
      <c r="F4239" s="9" t="s">
        <v>1161</v>
      </c>
      <c r="G4239" s="9" t="s">
        <v>1361</v>
      </c>
      <c r="H4239" s="2" t="s">
        <v>60</v>
      </c>
      <c r="I4239" s="3">
        <v>37406</v>
      </c>
      <c r="J4239" s="9" t="str">
        <f t="shared" ca="1" si="71"/>
        <v>21 ans</v>
      </c>
      <c r="K4239" s="2" t="s">
        <v>262</v>
      </c>
      <c r="L4239" s="2" t="str">
        <f>"10770"</f>
        <v>10770</v>
      </c>
      <c r="M4239" s="2" t="str">
        <f>"C"</f>
        <v>C</v>
      </c>
      <c r="N4239" s="2" t="str">
        <f>"RUE RÉMI-SIMON"</f>
        <v>RUE RÉMI-SIMON</v>
      </c>
      <c r="O4239" s="2" t="s">
        <v>17887</v>
      </c>
      <c r="P4239" s="9" t="str">
        <f>VLOOKUP($O4239,'Liste des Villes'!$B$2:$B$1128,1,FALSE)</f>
        <v>Bois-des-Filion</v>
      </c>
      <c r="Q4239" s="9" t="str">
        <f>IFERROR($P4239,PROPER(VLOOKUP($O4239,'Villes en erreur'!$A$2:$B$72,2,FALSE)))</f>
        <v>Bois-des-Filion</v>
      </c>
      <c r="R4239" s="9" t="s">
        <v>17888</v>
      </c>
      <c r="S4239" s="9" t="str">
        <f>IF(ISBLANK($R4239),"",VLOOKUP($R4239,'Liste des Villes'!$B$2:$H$1128,4,FALSE))</f>
        <v>Laurentides</v>
      </c>
      <c r="T4239" s="2" t="s">
        <v>17922</v>
      </c>
      <c r="U4239" s="2" t="s">
        <v>39</v>
      </c>
      <c r="V4239" s="2" t="s">
        <v>40</v>
      </c>
      <c r="W4239" s="2" t="s">
        <v>17923</v>
      </c>
      <c r="X4239" s="2" t="str">
        <f>"4508229014"</f>
        <v>4508229014</v>
      </c>
      <c r="Y4239" s="2" t="str">
        <f>"4508223772"</f>
        <v>4508223772</v>
      </c>
      <c r="Z4239" s="2"/>
      <c r="AA4239" s="2" t="s">
        <v>456</v>
      </c>
      <c r="AB4239" s="2" t="s">
        <v>457</v>
      </c>
      <c r="AC4239" s="4" t="s">
        <v>44</v>
      </c>
    </row>
    <row r="4240" spans="1:29" x14ac:dyDescent="0.25">
      <c r="A4240" s="1">
        <v>2430</v>
      </c>
      <c r="B4240" s="17" t="s">
        <v>17924</v>
      </c>
      <c r="C4240" s="2" t="s">
        <v>2343</v>
      </c>
      <c r="D4240" s="15" t="s">
        <v>2344</v>
      </c>
      <c r="E4240" s="9" t="s">
        <v>94</v>
      </c>
      <c r="F4240" s="9" t="s">
        <v>1360</v>
      </c>
      <c r="G4240" s="9" t="s">
        <v>1361</v>
      </c>
      <c r="H4240" s="2" t="s">
        <v>60</v>
      </c>
      <c r="I4240" s="3">
        <v>37406</v>
      </c>
      <c r="J4240" s="9" t="str">
        <f t="shared" ca="1" si="71"/>
        <v>21 ans</v>
      </c>
      <c r="K4240" s="2" t="s">
        <v>262</v>
      </c>
      <c r="L4240" s="2" t="str">
        <f>"10775"</f>
        <v>10775</v>
      </c>
      <c r="M4240" s="2" t="str">
        <f>"B1"</f>
        <v>B1</v>
      </c>
      <c r="N4240" s="2" t="str">
        <f>"RUE RÉMI-SIMON"</f>
        <v>RUE RÉMI-SIMON</v>
      </c>
      <c r="O4240" s="2" t="s">
        <v>17887</v>
      </c>
      <c r="P4240" s="9" t="str">
        <f>VLOOKUP($O4240,'Liste des Villes'!$B$2:$B$1128,1,FALSE)</f>
        <v>Bois-des-Filion</v>
      </c>
      <c r="Q4240" s="9" t="str">
        <f>IFERROR($P4240,PROPER(VLOOKUP($O4240,'Villes en erreur'!$A$2:$B$72,2,FALSE)))</f>
        <v>Bois-des-Filion</v>
      </c>
      <c r="R4240" s="9" t="s">
        <v>17888</v>
      </c>
      <c r="S4240" s="9" t="str">
        <f>IF(ISBLANK($R4240),"",VLOOKUP($R4240,'Liste des Villes'!$B$2:$H$1128,4,FALSE))</f>
        <v>Laurentides</v>
      </c>
      <c r="T4240" s="2" t="s">
        <v>17925</v>
      </c>
      <c r="U4240" s="2" t="s">
        <v>39</v>
      </c>
      <c r="V4240" s="2" t="s">
        <v>40</v>
      </c>
      <c r="W4240" s="2" t="s">
        <v>17926</v>
      </c>
      <c r="X4240" s="2" t="str">
        <f>"4508229137"</f>
        <v>4508229137</v>
      </c>
      <c r="Y4240" s="2" t="str">
        <f>"4508223494"</f>
        <v>4508223494</v>
      </c>
      <c r="Z4240" s="2"/>
      <c r="AA4240" s="2" t="s">
        <v>456</v>
      </c>
      <c r="AB4240" s="2" t="s">
        <v>457</v>
      </c>
      <c r="AC4240" s="4" t="s">
        <v>44</v>
      </c>
    </row>
    <row r="4241" spans="1:29" x14ac:dyDescent="0.25">
      <c r="A4241" s="1">
        <v>967</v>
      </c>
      <c r="B4241" s="17" t="s">
        <v>17927</v>
      </c>
      <c r="C4241" s="2" t="s">
        <v>2542</v>
      </c>
      <c r="D4241" s="15" t="s">
        <v>34</v>
      </c>
      <c r="E4241" s="9" t="s">
        <v>341</v>
      </c>
      <c r="F4241" s="9" t="s">
        <v>17481</v>
      </c>
      <c r="G4241" s="9" t="s">
        <v>9696</v>
      </c>
      <c r="H4241" s="2" t="s">
        <v>60</v>
      </c>
      <c r="I4241" s="3">
        <v>37404</v>
      </c>
      <c r="J4241" s="9" t="str">
        <f t="shared" ca="1" si="71"/>
        <v>21 ans</v>
      </c>
      <c r="K4241" s="2" t="s">
        <v>262</v>
      </c>
      <c r="L4241" s="2" t="str">
        <f>"10510"</f>
        <v>10510</v>
      </c>
      <c r="M4241" s="2"/>
      <c r="N4241" s="2" t="str">
        <f>"RUE RÉAL BENOÎT"</f>
        <v>RUE RÉAL BENOÎT</v>
      </c>
      <c r="O4241" s="2" t="s">
        <v>17887</v>
      </c>
      <c r="P4241" s="9" t="str">
        <f>VLOOKUP($O4241,'Liste des Villes'!$B$2:$B$1128,1,FALSE)</f>
        <v>Bois-des-Filion</v>
      </c>
      <c r="Q4241" s="9" t="str">
        <f>IFERROR($P4241,PROPER(VLOOKUP($O4241,'Villes en erreur'!$A$2:$B$72,2,FALSE)))</f>
        <v>Bois-des-Filion</v>
      </c>
      <c r="R4241" s="9" t="s">
        <v>17888</v>
      </c>
      <c r="S4241" s="9" t="str">
        <f>IF(ISBLANK($R4241),"",VLOOKUP($R4241,'Liste des Villes'!$B$2:$H$1128,4,FALSE))</f>
        <v>Laurentides</v>
      </c>
      <c r="T4241" s="2" t="s">
        <v>17928</v>
      </c>
      <c r="U4241" s="2" t="s">
        <v>39</v>
      </c>
      <c r="V4241" s="2" t="s">
        <v>40</v>
      </c>
      <c r="W4241" s="2" t="s">
        <v>17929</v>
      </c>
      <c r="X4241" s="2" t="str">
        <f>"4508226662"</f>
        <v>4508226662</v>
      </c>
      <c r="Y4241" s="2" t="str">
        <f>"4508226326"</f>
        <v>4508226326</v>
      </c>
      <c r="Z4241" s="2"/>
      <c r="AA4241" s="2" t="s">
        <v>456</v>
      </c>
      <c r="AB4241" s="2" t="s">
        <v>457</v>
      </c>
      <c r="AC4241" s="4" t="s">
        <v>44</v>
      </c>
    </row>
    <row r="4242" spans="1:29" x14ac:dyDescent="0.25">
      <c r="A4242" s="1">
        <v>3675</v>
      </c>
      <c r="B4242" s="17" t="s">
        <v>17930</v>
      </c>
      <c r="C4242" s="2" t="s">
        <v>6211</v>
      </c>
      <c r="D4242" s="15" t="s">
        <v>144</v>
      </c>
      <c r="E4242" s="9" t="s">
        <v>3074</v>
      </c>
      <c r="F4242" s="9" t="s">
        <v>4479</v>
      </c>
      <c r="G4242" s="9" t="s">
        <v>452</v>
      </c>
      <c r="H4242" s="2" t="s">
        <v>35</v>
      </c>
      <c r="I4242" s="3">
        <v>37403</v>
      </c>
      <c r="J4242" s="9" t="str">
        <f t="shared" ca="1" si="71"/>
        <v>21 ans</v>
      </c>
      <c r="K4242" s="2" t="s">
        <v>262</v>
      </c>
      <c r="L4242" s="2" t="str">
        <f>"10357"</f>
        <v>10357</v>
      </c>
      <c r="M4242" s="2"/>
      <c r="N4242" s="2" t="str">
        <f>"RUE RAYMOND"</f>
        <v>RUE RAYMOND</v>
      </c>
      <c r="O4242" s="2" t="s">
        <v>17887</v>
      </c>
      <c r="P4242" s="9" t="str">
        <f>VLOOKUP($O4242,'Liste des Villes'!$B$2:$B$1128,1,FALSE)</f>
        <v>Bois-des-Filion</v>
      </c>
      <c r="Q4242" s="9" t="str">
        <f>IFERROR($P4242,PROPER(VLOOKUP($O4242,'Villes en erreur'!$A$2:$B$72,2,FALSE)))</f>
        <v>Bois-des-Filion</v>
      </c>
      <c r="R4242" s="9" t="s">
        <v>17888</v>
      </c>
      <c r="S4242" s="9" t="str">
        <f>IF(ISBLANK($R4242),"",VLOOKUP($R4242,'Liste des Villes'!$B$2:$H$1128,4,FALSE))</f>
        <v>Laurentides</v>
      </c>
      <c r="T4242" s="2" t="s">
        <v>17931</v>
      </c>
      <c r="U4242" s="2" t="s">
        <v>39</v>
      </c>
      <c r="V4242" s="2" t="s">
        <v>40</v>
      </c>
      <c r="W4242" s="2" t="s">
        <v>17932</v>
      </c>
      <c r="X4242" s="2" t="str">
        <f>"4508224452"</f>
        <v>4508224452</v>
      </c>
      <c r="Y4242" s="2" t="str">
        <f>"4508228203"</f>
        <v>4508228203</v>
      </c>
      <c r="Z4242" s="2"/>
      <c r="AA4242" s="2" t="s">
        <v>456</v>
      </c>
      <c r="AB4242" s="2" t="s">
        <v>457</v>
      </c>
      <c r="AC4242" s="4" t="s">
        <v>44</v>
      </c>
    </row>
    <row r="4243" spans="1:29" x14ac:dyDescent="0.25">
      <c r="A4243" s="1">
        <v>1886</v>
      </c>
      <c r="B4243" s="17" t="s">
        <v>17933</v>
      </c>
      <c r="C4243" s="2" t="s">
        <v>17934</v>
      </c>
      <c r="D4243" s="15" t="s">
        <v>5573</v>
      </c>
      <c r="E4243" s="9" t="s">
        <v>860</v>
      </c>
      <c r="F4243" s="9" t="s">
        <v>17935</v>
      </c>
      <c r="G4243" s="9" t="s">
        <v>1605</v>
      </c>
      <c r="H4243" s="2" t="s">
        <v>60</v>
      </c>
      <c r="I4243" s="3">
        <v>37404</v>
      </c>
      <c r="J4243" s="9" t="str">
        <f t="shared" ca="1" si="71"/>
        <v>21 ans</v>
      </c>
      <c r="K4243" s="2" t="s">
        <v>262</v>
      </c>
      <c r="L4243" s="2" t="str">
        <f>"10481"</f>
        <v>10481</v>
      </c>
      <c r="M4243" s="2"/>
      <c r="N4243" s="2" t="str">
        <f>"RUE RAYMOND-PILON"</f>
        <v>RUE RAYMOND-PILON</v>
      </c>
      <c r="O4243" s="2" t="s">
        <v>17887</v>
      </c>
      <c r="P4243" s="9" t="str">
        <f>VLOOKUP($O4243,'Liste des Villes'!$B$2:$B$1128,1,FALSE)</f>
        <v>Bois-des-Filion</v>
      </c>
      <c r="Q4243" s="9" t="str">
        <f>IFERROR($P4243,PROPER(VLOOKUP($O4243,'Villes en erreur'!$A$2:$B$72,2,FALSE)))</f>
        <v>Bois-des-Filion</v>
      </c>
      <c r="R4243" s="9" t="s">
        <v>17888</v>
      </c>
      <c r="S4243" s="9" t="str">
        <f>IF(ISBLANK($R4243),"",VLOOKUP($R4243,'Liste des Villes'!$B$2:$H$1128,4,FALSE))</f>
        <v>Laurentides</v>
      </c>
      <c r="T4243" s="2" t="s">
        <v>17936</v>
      </c>
      <c r="U4243" s="2" t="s">
        <v>39</v>
      </c>
      <c r="V4243" s="2" t="s">
        <v>40</v>
      </c>
      <c r="W4243" s="2" t="s">
        <v>17937</v>
      </c>
      <c r="X4243" s="2" t="str">
        <f>"4508226632"</f>
        <v>4508226632</v>
      </c>
      <c r="Y4243" s="2" t="str">
        <f>"4508226601"</f>
        <v>4508226601</v>
      </c>
      <c r="Z4243" s="2"/>
      <c r="AA4243" s="2" t="s">
        <v>456</v>
      </c>
      <c r="AB4243" s="2" t="s">
        <v>457</v>
      </c>
      <c r="AC4243" s="4" t="s">
        <v>44</v>
      </c>
    </row>
    <row r="4244" spans="1:29" x14ac:dyDescent="0.25">
      <c r="A4244" s="1">
        <v>1307</v>
      </c>
      <c r="B4244" s="17" t="s">
        <v>17938</v>
      </c>
      <c r="C4244" s="2" t="s">
        <v>17939</v>
      </c>
      <c r="D4244" s="15" t="s">
        <v>17940</v>
      </c>
      <c r="E4244" s="9" t="s">
        <v>2356</v>
      </c>
      <c r="F4244" s="9" t="s">
        <v>617</v>
      </c>
      <c r="G4244" s="9" t="s">
        <v>452</v>
      </c>
      <c r="H4244" s="2" t="s">
        <v>35</v>
      </c>
      <c r="I4244" s="3">
        <v>37403</v>
      </c>
      <c r="J4244" s="9" t="str">
        <f t="shared" ca="1" si="71"/>
        <v>21 ans</v>
      </c>
      <c r="K4244" s="2" t="s">
        <v>262</v>
      </c>
      <c r="L4244" s="2" t="str">
        <f>"10430"</f>
        <v>10430</v>
      </c>
      <c r="M4244" s="2"/>
      <c r="N4244" s="2" t="str">
        <f>"RUE RAYMOND"</f>
        <v>RUE RAYMOND</v>
      </c>
      <c r="O4244" s="2" t="s">
        <v>17887</v>
      </c>
      <c r="P4244" s="9" t="str">
        <f>VLOOKUP($O4244,'Liste des Villes'!$B$2:$B$1128,1,FALSE)</f>
        <v>Bois-des-Filion</v>
      </c>
      <c r="Q4244" s="9" t="str">
        <f>IFERROR($P4244,PROPER(VLOOKUP($O4244,'Villes en erreur'!$A$2:$B$72,2,FALSE)))</f>
        <v>Bois-des-Filion</v>
      </c>
      <c r="R4244" s="9" t="s">
        <v>17888</v>
      </c>
      <c r="S4244" s="9" t="str">
        <f>IF(ISBLANK($R4244),"",VLOOKUP($R4244,'Liste des Villes'!$B$2:$H$1128,4,FALSE))</f>
        <v>Laurentides</v>
      </c>
      <c r="T4244" s="2" t="s">
        <v>17897</v>
      </c>
      <c r="U4244" s="2" t="s">
        <v>39</v>
      </c>
      <c r="V4244" s="2" t="s">
        <v>40</v>
      </c>
      <c r="W4244" s="2" t="s">
        <v>17941</v>
      </c>
      <c r="X4244" s="2" t="str">
        <f>"4508225853"</f>
        <v>4508225853</v>
      </c>
      <c r="Y4244" s="2" t="str">
        <f>"4508227128"</f>
        <v>4508227128</v>
      </c>
      <c r="Z4244" s="2"/>
      <c r="AA4244" s="2" t="s">
        <v>456</v>
      </c>
      <c r="AB4244" s="2" t="s">
        <v>457</v>
      </c>
      <c r="AC4244" s="4" t="s">
        <v>44</v>
      </c>
    </row>
    <row r="4245" spans="1:29" x14ac:dyDescent="0.25">
      <c r="A4245" s="1">
        <v>1887</v>
      </c>
      <c r="B4245" s="17" t="s">
        <v>17942</v>
      </c>
      <c r="C4245" s="2" t="s">
        <v>9722</v>
      </c>
      <c r="D4245" s="15" t="s">
        <v>1466</v>
      </c>
      <c r="E4245" s="9" t="s">
        <v>751</v>
      </c>
      <c r="F4245" s="9" t="s">
        <v>788</v>
      </c>
      <c r="G4245" s="9" t="s">
        <v>452</v>
      </c>
      <c r="H4245" s="2" t="s">
        <v>35</v>
      </c>
      <c r="I4245" s="3">
        <v>37403</v>
      </c>
      <c r="J4245" s="9" t="str">
        <f t="shared" ca="1" si="71"/>
        <v>21 ans</v>
      </c>
      <c r="K4245" s="2" t="s">
        <v>262</v>
      </c>
      <c r="L4245" s="2" t="str">
        <f>"10315"</f>
        <v>10315</v>
      </c>
      <c r="M4245" s="2"/>
      <c r="N4245" s="2" t="str">
        <f>"RUE RAPHAËL"</f>
        <v>RUE RAPHAËL</v>
      </c>
      <c r="O4245" s="2" t="s">
        <v>17887</v>
      </c>
      <c r="P4245" s="9" t="str">
        <f>VLOOKUP($O4245,'Liste des Villes'!$B$2:$B$1128,1,FALSE)</f>
        <v>Bois-des-Filion</v>
      </c>
      <c r="Q4245" s="9" t="str">
        <f>IFERROR($P4245,PROPER(VLOOKUP($O4245,'Villes en erreur'!$A$2:$B$72,2,FALSE)))</f>
        <v>Bois-des-Filion</v>
      </c>
      <c r="R4245" s="9" t="s">
        <v>17888</v>
      </c>
      <c r="S4245" s="9" t="str">
        <f>IF(ISBLANK($R4245),"",VLOOKUP($R4245,'Liste des Villes'!$B$2:$H$1128,4,FALSE))</f>
        <v>Laurentides</v>
      </c>
      <c r="T4245" s="2" t="s">
        <v>17893</v>
      </c>
      <c r="U4245" s="2" t="s">
        <v>39</v>
      </c>
      <c r="V4245" s="2" t="s">
        <v>40</v>
      </c>
      <c r="W4245" s="2" t="s">
        <v>17943</v>
      </c>
      <c r="X4245" s="2" t="str">
        <f>"4508224451"</f>
        <v>4508224451</v>
      </c>
      <c r="Y4245" s="2" t="str">
        <f>"4508228644"</f>
        <v>4508228644</v>
      </c>
      <c r="Z4245" s="2"/>
      <c r="AA4245" s="2" t="s">
        <v>456</v>
      </c>
      <c r="AB4245" s="2" t="s">
        <v>457</v>
      </c>
      <c r="AC4245" s="4" t="s">
        <v>44</v>
      </c>
    </row>
    <row r="4246" spans="1:29" x14ac:dyDescent="0.25">
      <c r="A4246" s="1">
        <v>1060</v>
      </c>
      <c r="B4246" s="17" t="s">
        <v>17944</v>
      </c>
      <c r="C4246" s="2" t="s">
        <v>17945</v>
      </c>
      <c r="D4246" s="15" t="s">
        <v>17946</v>
      </c>
      <c r="E4246" s="9" t="s">
        <v>2114</v>
      </c>
      <c r="F4246" s="9" t="s">
        <v>2115</v>
      </c>
      <c r="G4246" s="9" t="s">
        <v>1605</v>
      </c>
      <c r="H4246" s="2" t="s">
        <v>60</v>
      </c>
      <c r="I4246" s="3">
        <v>37404</v>
      </c>
      <c r="J4246" s="9" t="str">
        <f t="shared" ca="1" si="71"/>
        <v>21 ans</v>
      </c>
      <c r="K4246" s="2" t="s">
        <v>262</v>
      </c>
      <c r="L4246" s="2" t="str">
        <f>"10465"</f>
        <v>10465</v>
      </c>
      <c r="M4246" s="2"/>
      <c r="N4246" s="2" t="str">
        <f>"RUE RAYMOND-GAUTHIER"</f>
        <v>RUE RAYMOND-GAUTHIER</v>
      </c>
      <c r="O4246" s="2" t="s">
        <v>17887</v>
      </c>
      <c r="P4246" s="9" t="str">
        <f>VLOOKUP($O4246,'Liste des Villes'!$B$2:$B$1128,1,FALSE)</f>
        <v>Bois-des-Filion</v>
      </c>
      <c r="Q4246" s="9" t="str">
        <f>IFERROR($P4246,PROPER(VLOOKUP($O4246,'Villes en erreur'!$A$2:$B$72,2,FALSE)))</f>
        <v>Bois-des-Filion</v>
      </c>
      <c r="R4246" s="9" t="s">
        <v>17888</v>
      </c>
      <c r="S4246" s="9" t="str">
        <f>IF(ISBLANK($R4246),"",VLOOKUP($R4246,'Liste des Villes'!$B$2:$H$1128,4,FALSE))</f>
        <v>Laurentides</v>
      </c>
      <c r="T4246" s="2" t="s">
        <v>17947</v>
      </c>
      <c r="U4246" s="2" t="s">
        <v>39</v>
      </c>
      <c r="V4246" s="2" t="s">
        <v>40</v>
      </c>
      <c r="W4246" s="2" t="s">
        <v>17948</v>
      </c>
      <c r="X4246" s="2" t="str">
        <f>"4508226327"</f>
        <v>4508226327</v>
      </c>
      <c r="Y4246" s="2" t="str">
        <f>"4508226717"</f>
        <v>4508226717</v>
      </c>
      <c r="Z4246" s="2"/>
      <c r="AA4246" s="2" t="s">
        <v>456</v>
      </c>
      <c r="AB4246" s="2" t="s">
        <v>457</v>
      </c>
      <c r="AC4246" s="4" t="s">
        <v>44</v>
      </c>
    </row>
    <row r="4247" spans="1:29" x14ac:dyDescent="0.25">
      <c r="A4247" s="1">
        <v>1571</v>
      </c>
      <c r="B4247" s="17" t="s">
        <v>17949</v>
      </c>
      <c r="C4247" s="2" t="s">
        <v>16800</v>
      </c>
      <c r="D4247" s="15" t="s">
        <v>2921</v>
      </c>
      <c r="E4247" s="9" t="s">
        <v>3265</v>
      </c>
      <c r="F4247" s="9" t="s">
        <v>2919</v>
      </c>
      <c r="G4247" s="9" t="s">
        <v>1996</v>
      </c>
      <c r="H4247" s="2" t="s">
        <v>60</v>
      </c>
      <c r="I4247" s="3">
        <v>37405</v>
      </c>
      <c r="J4247" s="9" t="str">
        <f t="shared" ca="1" si="71"/>
        <v>21 ans</v>
      </c>
      <c r="K4247" s="2" t="s">
        <v>262</v>
      </c>
      <c r="L4247" s="2" t="str">
        <f>"10680"</f>
        <v>10680</v>
      </c>
      <c r="M4247" s="2" t="str">
        <f>"F"</f>
        <v>F</v>
      </c>
      <c r="N4247" s="2" t="str">
        <f>"RUE RÉMI"</f>
        <v>RUE RÉMI</v>
      </c>
      <c r="O4247" s="2" t="s">
        <v>17887</v>
      </c>
      <c r="P4247" s="9" t="str">
        <f>VLOOKUP($O4247,'Liste des Villes'!$B$2:$B$1128,1,FALSE)</f>
        <v>Bois-des-Filion</v>
      </c>
      <c r="Q4247" s="9" t="str">
        <f>IFERROR($P4247,PROPER(VLOOKUP($O4247,'Villes en erreur'!$A$2:$B$72,2,FALSE)))</f>
        <v>Bois-des-Filion</v>
      </c>
      <c r="R4247" s="9" t="s">
        <v>17888</v>
      </c>
      <c r="S4247" s="9" t="str">
        <f>IF(ISBLANK($R4247),"",VLOOKUP($R4247,'Liste des Villes'!$B$2:$H$1128,4,FALSE))</f>
        <v>Laurentides</v>
      </c>
      <c r="T4247" s="2" t="s">
        <v>17950</v>
      </c>
      <c r="U4247" s="2" t="s">
        <v>39</v>
      </c>
      <c r="V4247" s="2" t="s">
        <v>40</v>
      </c>
      <c r="W4247" s="2" t="s">
        <v>17951</v>
      </c>
      <c r="X4247" s="2" t="str">
        <f>"4508227852"</f>
        <v>4508227852</v>
      </c>
      <c r="Y4247" s="2" t="str">
        <f>"4508224974"</f>
        <v>4508224974</v>
      </c>
      <c r="Z4247" s="2"/>
      <c r="AA4247" s="2" t="s">
        <v>456</v>
      </c>
      <c r="AB4247" s="2" t="s">
        <v>457</v>
      </c>
      <c r="AC4247" s="4" t="s">
        <v>44</v>
      </c>
    </row>
    <row r="4248" spans="1:29" x14ac:dyDescent="0.25">
      <c r="A4248" s="1">
        <v>2239</v>
      </c>
      <c r="B4248" s="17" t="s">
        <v>17952</v>
      </c>
      <c r="C4248" s="2" t="s">
        <v>17953</v>
      </c>
      <c r="D4248" s="15" t="s">
        <v>2115</v>
      </c>
      <c r="E4248" s="9" t="s">
        <v>4680</v>
      </c>
      <c r="F4248" s="9" t="s">
        <v>2113</v>
      </c>
      <c r="G4248" s="9" t="s">
        <v>1361</v>
      </c>
      <c r="H4248" s="2" t="s">
        <v>60</v>
      </c>
      <c r="I4248" s="3">
        <v>37406</v>
      </c>
      <c r="J4248" s="9" t="str">
        <f t="shared" ca="1" si="71"/>
        <v>21 ans</v>
      </c>
      <c r="K4248" s="2" t="s">
        <v>262</v>
      </c>
      <c r="L4248" s="2" t="str">
        <f>"10775"</f>
        <v>10775</v>
      </c>
      <c r="M4248" s="2" t="str">
        <f>"B1"</f>
        <v>B1</v>
      </c>
      <c r="N4248" s="2" t="str">
        <f>"RUE RÉMI-SIMON"</f>
        <v>RUE RÉMI-SIMON</v>
      </c>
      <c r="O4248" s="2" t="s">
        <v>17887</v>
      </c>
      <c r="P4248" s="9" t="str">
        <f>VLOOKUP($O4248,'Liste des Villes'!$B$2:$B$1128,1,FALSE)</f>
        <v>Bois-des-Filion</v>
      </c>
      <c r="Q4248" s="9" t="str">
        <f>IFERROR($P4248,PROPER(VLOOKUP($O4248,'Villes en erreur'!$A$2:$B$72,2,FALSE)))</f>
        <v>Bois-des-Filion</v>
      </c>
      <c r="R4248" s="9" t="s">
        <v>17888</v>
      </c>
      <c r="S4248" s="9" t="str">
        <f>IF(ISBLANK($R4248),"",VLOOKUP($R4248,'Liste des Villes'!$B$2:$H$1128,4,FALSE))</f>
        <v>Laurentides</v>
      </c>
      <c r="T4248" s="2" t="s">
        <v>17954</v>
      </c>
      <c r="U4248" s="2" t="s">
        <v>39</v>
      </c>
      <c r="V4248" s="2" t="s">
        <v>40</v>
      </c>
      <c r="W4248" s="2" t="s">
        <v>17955</v>
      </c>
      <c r="X4248" s="2" t="str">
        <f>"4508229940"</f>
        <v>4508229940</v>
      </c>
      <c r="Y4248" s="2" t="str">
        <f>"4508223482"</f>
        <v>4508223482</v>
      </c>
      <c r="Z4248" s="2"/>
      <c r="AA4248" s="2" t="s">
        <v>456</v>
      </c>
      <c r="AB4248" s="2" t="s">
        <v>457</v>
      </c>
      <c r="AC4248" s="4" t="s">
        <v>44</v>
      </c>
    </row>
    <row r="4249" spans="1:29" x14ac:dyDescent="0.25">
      <c r="A4249" s="1">
        <v>3619</v>
      </c>
      <c r="B4249" s="17" t="s">
        <v>17956</v>
      </c>
      <c r="C4249" s="2" t="s">
        <v>17957</v>
      </c>
      <c r="D4249" s="15" t="s">
        <v>6315</v>
      </c>
      <c r="E4249" s="9" t="s">
        <v>92</v>
      </c>
      <c r="F4249" s="9" t="s">
        <v>944</v>
      </c>
      <c r="G4249" s="9" t="s">
        <v>5276</v>
      </c>
      <c r="H4249" s="2" t="s">
        <v>60</v>
      </c>
      <c r="I4249" s="3">
        <v>37415</v>
      </c>
      <c r="J4249" s="9" t="str">
        <f t="shared" ca="1" si="71"/>
        <v>21 ans</v>
      </c>
      <c r="K4249" s="2" t="s">
        <v>262</v>
      </c>
      <c r="L4249" s="2" t="str">
        <f>"11550"</f>
        <v>11550</v>
      </c>
      <c r="M4249" s="2" t="str">
        <f t="shared" ref="M4249:M4266" si="72">"A"</f>
        <v>A</v>
      </c>
      <c r="N4249" s="2" t="str">
        <f>"RUE ROBERT"</f>
        <v>RUE ROBERT</v>
      </c>
      <c r="O4249" s="2" t="s">
        <v>17958</v>
      </c>
      <c r="P4249" s="9" t="str">
        <f>VLOOKUP($O4249,'Liste des Villes'!$B$2:$B$1128,1,FALSE)</f>
        <v>Boisbriand</v>
      </c>
      <c r="Q4249" s="9" t="str">
        <f>IFERROR($P4249,PROPER(VLOOKUP($O4249,'Villes en erreur'!$A$2:$B$72,2,FALSE)))</f>
        <v>Boisbriand</v>
      </c>
      <c r="R4249" s="9" t="s">
        <v>17959</v>
      </c>
      <c r="S4249" s="9" t="str">
        <f>IF(ISBLANK($R4249),"",VLOOKUP($R4249,'Liste des Villes'!$B$2:$H$1128,4,FALSE))</f>
        <v>Laurentides</v>
      </c>
      <c r="T4249" s="2" t="s">
        <v>17960</v>
      </c>
      <c r="U4249" s="2" t="s">
        <v>39</v>
      </c>
      <c r="V4249" s="2" t="s">
        <v>40</v>
      </c>
      <c r="W4249" s="2" t="s">
        <v>17961</v>
      </c>
      <c r="X4249" s="2" t="str">
        <f>"4508486107"</f>
        <v>4508486107</v>
      </c>
      <c r="Y4249" s="2" t="str">
        <f>"4508212403"</f>
        <v>4508212403</v>
      </c>
      <c r="Z4249" s="2"/>
      <c r="AA4249" s="2" t="s">
        <v>456</v>
      </c>
      <c r="AB4249" s="2" t="s">
        <v>457</v>
      </c>
      <c r="AC4249" s="4" t="s">
        <v>44</v>
      </c>
    </row>
    <row r="4250" spans="1:29" x14ac:dyDescent="0.25">
      <c r="A4250" s="1">
        <v>1837</v>
      </c>
      <c r="B4250" s="17" t="s">
        <v>17962</v>
      </c>
      <c r="C4250" s="2" t="s">
        <v>17963</v>
      </c>
      <c r="D4250" s="15" t="s">
        <v>718</v>
      </c>
      <c r="E4250" s="9" t="s">
        <v>3021</v>
      </c>
      <c r="F4250" s="9" t="s">
        <v>5510</v>
      </c>
      <c r="G4250" s="9" t="s">
        <v>6423</v>
      </c>
      <c r="H4250" s="2" t="s">
        <v>60</v>
      </c>
      <c r="I4250" s="3">
        <v>37414</v>
      </c>
      <c r="J4250" s="9" t="str">
        <f t="shared" ca="1" si="71"/>
        <v>21 ans</v>
      </c>
      <c r="K4250" s="2" t="s">
        <v>262</v>
      </c>
      <c r="L4250" s="2" t="str">
        <f>"11440"</f>
        <v>11440</v>
      </c>
      <c r="M4250" s="2" t="str">
        <f t="shared" si="72"/>
        <v>A</v>
      </c>
      <c r="N4250" s="2" t="str">
        <f>"RUE RITCHOT"</f>
        <v>RUE RITCHOT</v>
      </c>
      <c r="O4250" s="2" t="s">
        <v>17958</v>
      </c>
      <c r="P4250" s="9" t="str">
        <f>VLOOKUP($O4250,'Liste des Villes'!$B$2:$B$1128,1,FALSE)</f>
        <v>Boisbriand</v>
      </c>
      <c r="Q4250" s="9" t="str">
        <f>IFERROR($P4250,PROPER(VLOOKUP($O4250,'Villes en erreur'!$A$2:$B$72,2,FALSE)))</f>
        <v>Boisbriand</v>
      </c>
      <c r="R4250" s="9" t="s">
        <v>17959</v>
      </c>
      <c r="S4250" s="9" t="str">
        <f>IF(ISBLANK($R4250),"",VLOOKUP($R4250,'Liste des Villes'!$B$2:$H$1128,4,FALSE))</f>
        <v>Laurentides</v>
      </c>
      <c r="T4250" s="2" t="s">
        <v>17964</v>
      </c>
      <c r="U4250" s="2" t="s">
        <v>39</v>
      </c>
      <c r="V4250" s="2" t="s">
        <v>40</v>
      </c>
      <c r="W4250" s="2" t="s">
        <v>17965</v>
      </c>
      <c r="X4250" s="2" t="str">
        <f>"4508485716"</f>
        <v>4508485716</v>
      </c>
      <c r="Y4250" s="2" t="str">
        <f>"4508214031"</f>
        <v>4508214031</v>
      </c>
      <c r="Z4250" s="2"/>
      <c r="AA4250" s="2" t="s">
        <v>456</v>
      </c>
      <c r="AB4250" s="2" t="s">
        <v>457</v>
      </c>
      <c r="AC4250" s="4" t="s">
        <v>44</v>
      </c>
    </row>
    <row r="4251" spans="1:29" x14ac:dyDescent="0.25">
      <c r="A4251" s="1">
        <v>3634</v>
      </c>
      <c r="B4251" s="17" t="s">
        <v>17966</v>
      </c>
      <c r="C4251" s="2" t="s">
        <v>9079</v>
      </c>
      <c r="D4251" s="15" t="s">
        <v>726</v>
      </c>
      <c r="E4251" s="9" t="s">
        <v>8425</v>
      </c>
      <c r="F4251" s="9" t="s">
        <v>725</v>
      </c>
      <c r="G4251" s="9" t="s">
        <v>11612</v>
      </c>
      <c r="H4251" s="2" t="s">
        <v>60</v>
      </c>
      <c r="I4251" s="3">
        <v>37425</v>
      </c>
      <c r="J4251" s="9" t="str">
        <f t="shared" ca="1" si="71"/>
        <v>21 ans</v>
      </c>
      <c r="K4251" s="2" t="s">
        <v>262</v>
      </c>
      <c r="L4251" s="2" t="str">
        <f>"12710"</f>
        <v>12710</v>
      </c>
      <c r="M4251" s="2" t="str">
        <f t="shared" si="72"/>
        <v>A</v>
      </c>
      <c r="N4251" s="2" t="str">
        <f>"RUE ROLLAND"</f>
        <v>RUE ROLLAND</v>
      </c>
      <c r="O4251" s="2" t="s">
        <v>17958</v>
      </c>
      <c r="P4251" s="9" t="str">
        <f>VLOOKUP($O4251,'Liste des Villes'!$B$2:$B$1128,1,FALSE)</f>
        <v>Boisbriand</v>
      </c>
      <c r="Q4251" s="9" t="str">
        <f>IFERROR($P4251,PROPER(VLOOKUP($O4251,'Villes en erreur'!$A$2:$B$72,2,FALSE)))</f>
        <v>Boisbriand</v>
      </c>
      <c r="R4251" s="9" t="s">
        <v>17959</v>
      </c>
      <c r="S4251" s="9" t="str">
        <f>IF(ISBLANK($R4251),"",VLOOKUP($R4251,'Liste des Villes'!$B$2:$H$1128,4,FALSE))</f>
        <v>Laurentides</v>
      </c>
      <c r="T4251" s="2" t="s">
        <v>17967</v>
      </c>
      <c r="U4251" s="2" t="s">
        <v>39</v>
      </c>
      <c r="V4251" s="2" t="s">
        <v>40</v>
      </c>
      <c r="W4251" s="2" t="s">
        <v>17968</v>
      </c>
      <c r="X4251" s="2" t="str">
        <f>"4509650413"</f>
        <v>4509650413</v>
      </c>
      <c r="Y4251" s="2" t="str">
        <f>"4506940314"</f>
        <v>4506940314</v>
      </c>
      <c r="Z4251" s="2"/>
      <c r="AA4251" s="2" t="s">
        <v>456</v>
      </c>
      <c r="AB4251" s="2" t="s">
        <v>457</v>
      </c>
      <c r="AC4251" s="4" t="s">
        <v>44</v>
      </c>
    </row>
    <row r="4252" spans="1:29" x14ac:dyDescent="0.25">
      <c r="A4252" s="1">
        <v>55</v>
      </c>
      <c r="B4252" s="17" t="s">
        <v>17969</v>
      </c>
      <c r="C4252" s="2" t="s">
        <v>17970</v>
      </c>
      <c r="D4252" s="15" t="s">
        <v>562</v>
      </c>
      <c r="E4252" s="9" t="s">
        <v>15546</v>
      </c>
      <c r="F4252" s="9" t="s">
        <v>8904</v>
      </c>
      <c r="G4252" s="9" t="s">
        <v>6323</v>
      </c>
      <c r="H4252" s="2" t="s">
        <v>60</v>
      </c>
      <c r="I4252" s="3">
        <v>37412</v>
      </c>
      <c r="J4252" s="9" t="str">
        <f t="shared" ca="1" si="71"/>
        <v>21 ans</v>
      </c>
      <c r="K4252" s="2" t="s">
        <v>262</v>
      </c>
      <c r="L4252" s="2" t="str">
        <f>"11285"</f>
        <v>11285</v>
      </c>
      <c r="M4252" s="2" t="str">
        <f t="shared" si="72"/>
        <v>A</v>
      </c>
      <c r="N4252" s="2" t="str">
        <f>"RUE RICHELIEU"</f>
        <v>RUE RICHELIEU</v>
      </c>
      <c r="O4252" s="2" t="s">
        <v>17958</v>
      </c>
      <c r="P4252" s="9" t="str">
        <f>VLOOKUP($O4252,'Liste des Villes'!$B$2:$B$1128,1,FALSE)</f>
        <v>Boisbriand</v>
      </c>
      <c r="Q4252" s="9" t="str">
        <f>IFERROR($P4252,PROPER(VLOOKUP($O4252,'Villes en erreur'!$A$2:$B$72,2,FALSE)))</f>
        <v>Boisbriand</v>
      </c>
      <c r="R4252" s="9" t="s">
        <v>17959</v>
      </c>
      <c r="S4252" s="9" t="str">
        <f>IF(ISBLANK($R4252),"",VLOOKUP($R4252,'Liste des Villes'!$B$2:$H$1128,4,FALSE))</f>
        <v>Laurentides</v>
      </c>
      <c r="T4252" s="2" t="s">
        <v>17971</v>
      </c>
      <c r="U4252" s="2" t="s">
        <v>39</v>
      </c>
      <c r="V4252" s="2" t="s">
        <v>40</v>
      </c>
      <c r="W4252" s="2" t="s">
        <v>17972</v>
      </c>
      <c r="X4252" s="2" t="str">
        <f>"4508485234"</f>
        <v>4508485234</v>
      </c>
      <c r="Y4252" s="2" t="str">
        <f>"4508218790"</f>
        <v>4508218790</v>
      </c>
      <c r="Z4252" s="2"/>
      <c r="AA4252" s="2" t="s">
        <v>456</v>
      </c>
      <c r="AB4252" s="2" t="s">
        <v>457</v>
      </c>
      <c r="AC4252" s="4" t="s">
        <v>44</v>
      </c>
    </row>
    <row r="4253" spans="1:29" x14ac:dyDescent="0.25">
      <c r="A4253" s="1">
        <v>313</v>
      </c>
      <c r="B4253" s="17" t="s">
        <v>17973</v>
      </c>
      <c r="C4253" s="2" t="s">
        <v>17974</v>
      </c>
      <c r="D4253" s="15" t="s">
        <v>8618</v>
      </c>
      <c r="E4253" s="9" t="s">
        <v>1024</v>
      </c>
      <c r="F4253" s="9" t="s">
        <v>4369</v>
      </c>
      <c r="G4253" s="9" t="s">
        <v>16125</v>
      </c>
      <c r="H4253" s="2" t="s">
        <v>60</v>
      </c>
      <c r="I4253" s="3">
        <v>37415</v>
      </c>
      <c r="J4253" s="9" t="str">
        <f t="shared" ca="1" si="71"/>
        <v>21 ans</v>
      </c>
      <c r="K4253" s="2" t="s">
        <v>262</v>
      </c>
      <c r="L4253" s="2" t="str">
        <f>"11530"</f>
        <v>11530</v>
      </c>
      <c r="M4253" s="2" t="str">
        <f t="shared" si="72"/>
        <v>A</v>
      </c>
      <c r="N4253" s="2" t="str">
        <f>"RUE RIVEST"</f>
        <v>RUE RIVEST</v>
      </c>
      <c r="O4253" s="2" t="s">
        <v>17958</v>
      </c>
      <c r="P4253" s="9" t="str">
        <f>VLOOKUP($O4253,'Liste des Villes'!$B$2:$B$1128,1,FALSE)</f>
        <v>Boisbriand</v>
      </c>
      <c r="Q4253" s="9" t="str">
        <f>IFERROR($P4253,PROPER(VLOOKUP($O4253,'Villes en erreur'!$A$2:$B$72,2,FALSE)))</f>
        <v>Boisbriand</v>
      </c>
      <c r="R4253" s="9" t="s">
        <v>17959</v>
      </c>
      <c r="S4253" s="9" t="str">
        <f>IF(ISBLANK($R4253),"",VLOOKUP($R4253,'Liste des Villes'!$B$2:$H$1128,4,FALSE))</f>
        <v>Laurentides</v>
      </c>
      <c r="T4253" s="2" t="s">
        <v>17975</v>
      </c>
      <c r="U4253" s="2" t="s">
        <v>39</v>
      </c>
      <c r="V4253" s="2" t="s">
        <v>40</v>
      </c>
      <c r="W4253" s="2" t="s">
        <v>17976</v>
      </c>
      <c r="X4253" s="2" t="str">
        <f>"4508486105"</f>
        <v>4508486105</v>
      </c>
      <c r="Y4253" s="2" t="str">
        <f>"4508213053"</f>
        <v>4508213053</v>
      </c>
      <c r="Z4253" s="2"/>
      <c r="AA4253" s="2" t="s">
        <v>456</v>
      </c>
      <c r="AB4253" s="2" t="s">
        <v>457</v>
      </c>
      <c r="AC4253" s="4" t="s">
        <v>44</v>
      </c>
    </row>
    <row r="4254" spans="1:29" x14ac:dyDescent="0.25">
      <c r="A4254" s="1">
        <v>3452</v>
      </c>
      <c r="B4254" s="17" t="s">
        <v>17977</v>
      </c>
      <c r="C4254" s="2" t="s">
        <v>17978</v>
      </c>
      <c r="D4254" s="15" t="s">
        <v>4004</v>
      </c>
      <c r="E4254" s="9" t="s">
        <v>211</v>
      </c>
      <c r="F4254" s="9" t="s">
        <v>15324</v>
      </c>
      <c r="G4254" s="9" t="s">
        <v>13018</v>
      </c>
      <c r="H4254" s="2" t="s">
        <v>60</v>
      </c>
      <c r="I4254" s="3">
        <v>37420</v>
      </c>
      <c r="J4254" s="9" t="str">
        <f t="shared" ca="1" si="71"/>
        <v>21 ans</v>
      </c>
      <c r="K4254" s="2" t="s">
        <v>262</v>
      </c>
      <c r="L4254" s="2" t="str">
        <f>"11920"</f>
        <v>11920</v>
      </c>
      <c r="M4254" s="2" t="str">
        <f t="shared" si="72"/>
        <v>A</v>
      </c>
      <c r="N4254" s="2" t="str">
        <f>"RUE RODOLPHE DUGUAY"</f>
        <v>RUE RODOLPHE DUGUAY</v>
      </c>
      <c r="O4254" s="2" t="s">
        <v>17958</v>
      </c>
      <c r="P4254" s="9" t="str">
        <f>VLOOKUP($O4254,'Liste des Villes'!$B$2:$B$1128,1,FALSE)</f>
        <v>Boisbriand</v>
      </c>
      <c r="Q4254" s="9" t="str">
        <f>IFERROR($P4254,PROPER(VLOOKUP($O4254,'Villes en erreur'!$A$2:$B$72,2,FALSE)))</f>
        <v>Boisbriand</v>
      </c>
      <c r="R4254" s="9" t="s">
        <v>17959</v>
      </c>
      <c r="S4254" s="9" t="str">
        <f>IF(ISBLANK($R4254),"",VLOOKUP($R4254,'Liste des Villes'!$B$2:$H$1128,4,FALSE))</f>
        <v>Laurentides</v>
      </c>
      <c r="T4254" s="2" t="s">
        <v>17979</v>
      </c>
      <c r="U4254" s="2" t="s">
        <v>39</v>
      </c>
      <c r="V4254" s="2" t="s">
        <v>40</v>
      </c>
      <c r="W4254" s="2" t="s">
        <v>17980</v>
      </c>
      <c r="X4254" s="2" t="str">
        <f>"4508582405"</f>
        <v>4508582405</v>
      </c>
      <c r="Y4254" s="2" t="str">
        <f>"4507128225"</f>
        <v>4507128225</v>
      </c>
      <c r="Z4254" s="2"/>
      <c r="AA4254" s="2" t="s">
        <v>456</v>
      </c>
      <c r="AB4254" s="2" t="s">
        <v>457</v>
      </c>
      <c r="AC4254" s="4" t="s">
        <v>44</v>
      </c>
    </row>
    <row r="4255" spans="1:29" x14ac:dyDescent="0.25">
      <c r="A4255" s="1">
        <v>2560</v>
      </c>
      <c r="B4255" s="17" t="s">
        <v>17981</v>
      </c>
      <c r="C4255" s="2" t="s">
        <v>5329</v>
      </c>
      <c r="D4255" s="15" t="s">
        <v>180</v>
      </c>
      <c r="E4255" s="9" t="s">
        <v>3626</v>
      </c>
      <c r="F4255" s="9" t="s">
        <v>178</v>
      </c>
      <c r="G4255" s="9" t="s">
        <v>6323</v>
      </c>
      <c r="H4255" s="2" t="s">
        <v>60</v>
      </c>
      <c r="I4255" s="3">
        <v>37412</v>
      </c>
      <c r="J4255" s="9" t="str">
        <f t="shared" ca="1" si="71"/>
        <v>21 ans</v>
      </c>
      <c r="K4255" s="2" t="s">
        <v>262</v>
      </c>
      <c r="L4255" s="2" t="str">
        <f>"11265"</f>
        <v>11265</v>
      </c>
      <c r="M4255" s="2" t="str">
        <f t="shared" si="72"/>
        <v>A</v>
      </c>
      <c r="N4255" s="2" t="str">
        <f>"RUE RICHELIEU"</f>
        <v>RUE RICHELIEU</v>
      </c>
      <c r="O4255" s="2" t="s">
        <v>17958</v>
      </c>
      <c r="P4255" s="9" t="str">
        <f>VLOOKUP($O4255,'Liste des Villes'!$B$2:$B$1128,1,FALSE)</f>
        <v>Boisbriand</v>
      </c>
      <c r="Q4255" s="9" t="str">
        <f>IFERROR($P4255,PROPER(VLOOKUP($O4255,'Villes en erreur'!$A$2:$B$72,2,FALSE)))</f>
        <v>Boisbriand</v>
      </c>
      <c r="R4255" s="9" t="s">
        <v>17959</v>
      </c>
      <c r="S4255" s="9" t="str">
        <f>IF(ISBLANK($R4255),"",VLOOKUP($R4255,'Liste des Villes'!$B$2:$H$1128,4,FALSE))</f>
        <v>Laurentides</v>
      </c>
      <c r="T4255" s="2" t="s">
        <v>17982</v>
      </c>
      <c r="U4255" s="2" t="s">
        <v>39</v>
      </c>
      <c r="V4255" s="2" t="s">
        <v>40</v>
      </c>
      <c r="W4255" s="2" t="s">
        <v>17983</v>
      </c>
      <c r="X4255" s="2" t="str">
        <f>"4508484231"</f>
        <v>4508484231</v>
      </c>
      <c r="Y4255" s="2" t="str">
        <f>"4508219131"</f>
        <v>4508219131</v>
      </c>
      <c r="Z4255" s="2"/>
      <c r="AA4255" s="2" t="s">
        <v>456</v>
      </c>
      <c r="AB4255" s="2" t="s">
        <v>457</v>
      </c>
      <c r="AC4255" s="4" t="s">
        <v>44</v>
      </c>
    </row>
    <row r="4256" spans="1:29" x14ac:dyDescent="0.25">
      <c r="A4256" s="1">
        <v>2140</v>
      </c>
      <c r="B4256" s="17" t="s">
        <v>17984</v>
      </c>
      <c r="C4256" s="2" t="s">
        <v>17985</v>
      </c>
      <c r="D4256" s="15" t="s">
        <v>1472</v>
      </c>
      <c r="E4256" s="9" t="s">
        <v>6911</v>
      </c>
      <c r="F4256" s="9" t="s">
        <v>1471</v>
      </c>
      <c r="G4256" s="9" t="s">
        <v>7380</v>
      </c>
      <c r="H4256" s="2" t="s">
        <v>60</v>
      </c>
      <c r="I4256" s="3">
        <v>37408</v>
      </c>
      <c r="J4256" s="9" t="str">
        <f t="shared" ca="1" si="71"/>
        <v>21 ans</v>
      </c>
      <c r="K4256" s="2" t="s">
        <v>262</v>
      </c>
      <c r="L4256" s="2" t="str">
        <f>"11200"</f>
        <v>11200</v>
      </c>
      <c r="M4256" s="2" t="str">
        <f t="shared" si="72"/>
        <v>A</v>
      </c>
      <c r="N4256" s="2" t="str">
        <f>"RUE RICARD"</f>
        <v>RUE RICARD</v>
      </c>
      <c r="O4256" s="2" t="s">
        <v>17958</v>
      </c>
      <c r="P4256" s="9" t="str">
        <f>VLOOKUP($O4256,'Liste des Villes'!$B$2:$B$1128,1,FALSE)</f>
        <v>Boisbriand</v>
      </c>
      <c r="Q4256" s="9" t="str">
        <f>IFERROR($P4256,PROPER(VLOOKUP($O4256,'Villes en erreur'!$A$2:$B$72,2,FALSE)))</f>
        <v>Boisbriand</v>
      </c>
      <c r="R4256" s="9" t="s">
        <v>17959</v>
      </c>
      <c r="S4256" s="9" t="str">
        <f>IF(ISBLANK($R4256),"",VLOOKUP($R4256,'Liste des Villes'!$B$2:$H$1128,4,FALSE))</f>
        <v>Laurentides</v>
      </c>
      <c r="T4256" s="2" t="s">
        <v>17986</v>
      </c>
      <c r="U4256" s="2" t="s">
        <v>39</v>
      </c>
      <c r="V4256" s="2" t="s">
        <v>40</v>
      </c>
      <c r="W4256" s="2" t="s">
        <v>17987</v>
      </c>
      <c r="X4256" s="2" t="str">
        <f>"4508482994"</f>
        <v>4508482994</v>
      </c>
      <c r="Y4256" s="2" t="str">
        <f>"4508220524"</f>
        <v>4508220524</v>
      </c>
      <c r="Z4256" s="2"/>
      <c r="AA4256" s="2" t="s">
        <v>456</v>
      </c>
      <c r="AB4256" s="2" t="s">
        <v>457</v>
      </c>
      <c r="AC4256" s="4" t="s">
        <v>44</v>
      </c>
    </row>
    <row r="4257" spans="1:29" x14ac:dyDescent="0.25">
      <c r="A4257" s="1">
        <v>1065</v>
      </c>
      <c r="B4257" s="17" t="s">
        <v>17988</v>
      </c>
      <c r="C4257" s="2" t="s">
        <v>17989</v>
      </c>
      <c r="D4257" s="15" t="s">
        <v>5558</v>
      </c>
      <c r="E4257" s="9" t="s">
        <v>666</v>
      </c>
      <c r="F4257" s="9" t="s">
        <v>5557</v>
      </c>
      <c r="G4257" s="9" t="s">
        <v>10398</v>
      </c>
      <c r="H4257" s="2" t="s">
        <v>60</v>
      </c>
      <c r="I4257" s="3">
        <v>37420</v>
      </c>
      <c r="J4257" s="9" t="str">
        <f t="shared" ca="1" si="71"/>
        <v>21 ans</v>
      </c>
      <c r="K4257" s="2" t="s">
        <v>262</v>
      </c>
      <c r="L4257" s="2" t="str">
        <f>"11960"</f>
        <v>11960</v>
      </c>
      <c r="M4257" s="2" t="str">
        <f t="shared" si="72"/>
        <v>A</v>
      </c>
      <c r="N4257" s="2" t="str">
        <f>"RUE RODRIGUE"</f>
        <v>RUE RODRIGUE</v>
      </c>
      <c r="O4257" s="2" t="s">
        <v>17958</v>
      </c>
      <c r="P4257" s="9" t="str">
        <f>VLOOKUP($O4257,'Liste des Villes'!$B$2:$B$1128,1,FALSE)</f>
        <v>Boisbriand</v>
      </c>
      <c r="Q4257" s="9" t="str">
        <f>IFERROR($P4257,PROPER(VLOOKUP($O4257,'Villes en erreur'!$A$2:$B$72,2,FALSE)))</f>
        <v>Boisbriand</v>
      </c>
      <c r="R4257" s="9" t="s">
        <v>17959</v>
      </c>
      <c r="S4257" s="9" t="str">
        <f>IF(ISBLANK($R4257),"",VLOOKUP($R4257,'Liste des Villes'!$B$2:$H$1128,4,FALSE))</f>
        <v>Laurentides</v>
      </c>
      <c r="T4257" s="2" t="s">
        <v>17990</v>
      </c>
      <c r="U4257" s="2" t="s">
        <v>39</v>
      </c>
      <c r="V4257" s="2" t="s">
        <v>40</v>
      </c>
      <c r="W4257" s="2" t="s">
        <v>17991</v>
      </c>
      <c r="X4257" s="2" t="str">
        <f>"4508582505"</f>
        <v>4508582505</v>
      </c>
      <c r="Y4257" s="2" t="str">
        <f>"4507127406"</f>
        <v>4507127406</v>
      </c>
      <c r="Z4257" s="2"/>
      <c r="AA4257" s="2" t="s">
        <v>456</v>
      </c>
      <c r="AB4257" s="2" t="s">
        <v>457</v>
      </c>
      <c r="AC4257" s="4" t="s">
        <v>44</v>
      </c>
    </row>
    <row r="4258" spans="1:29" x14ac:dyDescent="0.25">
      <c r="A4258" s="1">
        <v>984</v>
      </c>
      <c r="B4258" s="17" t="s">
        <v>17992</v>
      </c>
      <c r="C4258" s="2" t="s">
        <v>8150</v>
      </c>
      <c r="D4258" s="15" t="s">
        <v>8151</v>
      </c>
      <c r="E4258" s="9" t="s">
        <v>683</v>
      </c>
      <c r="F4258" s="9" t="s">
        <v>9319</v>
      </c>
      <c r="G4258" s="9" t="s">
        <v>6323</v>
      </c>
      <c r="H4258" s="2" t="s">
        <v>60</v>
      </c>
      <c r="I4258" s="3">
        <v>37412</v>
      </c>
      <c r="J4258" s="9" t="str">
        <f t="shared" ca="1" si="71"/>
        <v>21 ans</v>
      </c>
      <c r="K4258" s="2" t="s">
        <v>262</v>
      </c>
      <c r="L4258" s="2" t="str">
        <f>"11265"</f>
        <v>11265</v>
      </c>
      <c r="M4258" s="2" t="str">
        <f t="shared" si="72"/>
        <v>A</v>
      </c>
      <c r="N4258" s="2" t="str">
        <f>"RUE RICHARD"</f>
        <v>RUE RICHARD</v>
      </c>
      <c r="O4258" s="2" t="s">
        <v>17958</v>
      </c>
      <c r="P4258" s="9" t="str">
        <f>VLOOKUP($O4258,'Liste des Villes'!$B$2:$B$1128,1,FALSE)</f>
        <v>Boisbriand</v>
      </c>
      <c r="Q4258" s="9" t="str">
        <f>IFERROR($P4258,PROPER(VLOOKUP($O4258,'Villes en erreur'!$A$2:$B$72,2,FALSE)))</f>
        <v>Boisbriand</v>
      </c>
      <c r="R4258" s="9" t="s">
        <v>17959</v>
      </c>
      <c r="S4258" s="9" t="str">
        <f>IF(ISBLANK($R4258),"",VLOOKUP($R4258,'Liste des Villes'!$B$2:$H$1128,4,FALSE))</f>
        <v>Laurentides</v>
      </c>
      <c r="T4258" s="2" t="s">
        <v>17982</v>
      </c>
      <c r="U4258" s="2" t="s">
        <v>39</v>
      </c>
      <c r="V4258" s="2" t="s">
        <v>40</v>
      </c>
      <c r="W4258" s="2" t="s">
        <v>17993</v>
      </c>
      <c r="X4258" s="2" t="str">
        <f>"4508484199"</f>
        <v>4508484199</v>
      </c>
      <c r="Y4258" s="2" t="str">
        <f>"4508219721"</f>
        <v>4508219721</v>
      </c>
      <c r="Z4258" s="2"/>
      <c r="AA4258" s="2" t="s">
        <v>456</v>
      </c>
      <c r="AB4258" s="2" t="s">
        <v>457</v>
      </c>
      <c r="AC4258" s="4" t="s">
        <v>44</v>
      </c>
    </row>
    <row r="4259" spans="1:29" x14ac:dyDescent="0.25">
      <c r="A4259" s="1">
        <v>1706</v>
      </c>
      <c r="B4259" s="17" t="s">
        <v>17994</v>
      </c>
      <c r="C4259" s="2" t="s">
        <v>17377</v>
      </c>
      <c r="D4259" s="15" t="s">
        <v>173</v>
      </c>
      <c r="E4259" s="9" t="s">
        <v>1337</v>
      </c>
      <c r="F4259" s="9" t="s">
        <v>2486</v>
      </c>
      <c r="G4259" s="9" t="s">
        <v>6423</v>
      </c>
      <c r="H4259" s="2" t="s">
        <v>60</v>
      </c>
      <c r="I4259" s="3">
        <v>37414</v>
      </c>
      <c r="J4259" s="9" t="str">
        <f t="shared" ca="1" si="71"/>
        <v>21 ans</v>
      </c>
      <c r="K4259" s="2" t="s">
        <v>262</v>
      </c>
      <c r="L4259" s="2" t="str">
        <f>"11480"</f>
        <v>11480</v>
      </c>
      <c r="M4259" s="2" t="str">
        <f t="shared" si="72"/>
        <v>A</v>
      </c>
      <c r="N4259" s="2" t="str">
        <f>"RUE RIVARD"</f>
        <v>RUE RIVARD</v>
      </c>
      <c r="O4259" s="2" t="s">
        <v>17958</v>
      </c>
      <c r="P4259" s="9" t="str">
        <f>VLOOKUP($O4259,'Liste des Villes'!$B$2:$B$1128,1,FALSE)</f>
        <v>Boisbriand</v>
      </c>
      <c r="Q4259" s="9" t="str">
        <f>IFERROR($P4259,PROPER(VLOOKUP($O4259,'Villes en erreur'!$A$2:$B$72,2,FALSE)))</f>
        <v>Boisbriand</v>
      </c>
      <c r="R4259" s="9" t="s">
        <v>17959</v>
      </c>
      <c r="S4259" s="9" t="str">
        <f>IF(ISBLANK($R4259),"",VLOOKUP($R4259,'Liste des Villes'!$B$2:$H$1128,4,FALSE))</f>
        <v>Laurentides</v>
      </c>
      <c r="T4259" s="2" t="s">
        <v>17964</v>
      </c>
      <c r="U4259" s="2" t="s">
        <v>39</v>
      </c>
      <c r="V4259" s="2" t="s">
        <v>40</v>
      </c>
      <c r="W4259" s="2" t="s">
        <v>17995</v>
      </c>
      <c r="X4259" s="2" t="str">
        <f>"4508485945"</f>
        <v>4508485945</v>
      </c>
      <c r="Y4259" s="2" t="str">
        <f>"4508213576"</f>
        <v>4508213576</v>
      </c>
      <c r="Z4259" s="2"/>
      <c r="AA4259" s="2" t="s">
        <v>456</v>
      </c>
      <c r="AB4259" s="2" t="s">
        <v>457</v>
      </c>
      <c r="AC4259" s="4" t="s">
        <v>44</v>
      </c>
    </row>
    <row r="4260" spans="1:29" x14ac:dyDescent="0.25">
      <c r="A4260" s="1">
        <v>3155</v>
      </c>
      <c r="B4260" s="17" t="s">
        <v>17996</v>
      </c>
      <c r="C4260" s="2" t="s">
        <v>17997</v>
      </c>
      <c r="D4260" s="15" t="s">
        <v>17935</v>
      </c>
      <c r="E4260" s="9" t="s">
        <v>332</v>
      </c>
      <c r="F4260" s="9" t="s">
        <v>5573</v>
      </c>
      <c r="G4260" s="9" t="s">
        <v>5276</v>
      </c>
      <c r="H4260" s="2" t="s">
        <v>60</v>
      </c>
      <c r="I4260" s="3">
        <v>37416</v>
      </c>
      <c r="J4260" s="9" t="str">
        <f t="shared" ca="1" si="71"/>
        <v>21 ans</v>
      </c>
      <c r="K4260" s="2" t="s">
        <v>262</v>
      </c>
      <c r="L4260" s="2" t="str">
        <f>"11570"</f>
        <v>11570</v>
      </c>
      <c r="M4260" s="2" t="str">
        <f t="shared" si="72"/>
        <v>A</v>
      </c>
      <c r="N4260" s="2" t="str">
        <f>"RUE ROBERT"</f>
        <v>RUE ROBERT</v>
      </c>
      <c r="O4260" s="2" t="s">
        <v>17958</v>
      </c>
      <c r="P4260" s="9" t="str">
        <f>VLOOKUP($O4260,'Liste des Villes'!$B$2:$B$1128,1,FALSE)</f>
        <v>Boisbriand</v>
      </c>
      <c r="Q4260" s="9" t="str">
        <f>IFERROR($P4260,PROPER(VLOOKUP($O4260,'Villes en erreur'!$A$2:$B$72,2,FALSE)))</f>
        <v>Boisbriand</v>
      </c>
      <c r="R4260" s="9" t="s">
        <v>17959</v>
      </c>
      <c r="S4260" s="9" t="str">
        <f>IF(ISBLANK($R4260),"",VLOOKUP($R4260,'Liste des Villes'!$B$2:$H$1128,4,FALSE))</f>
        <v>Laurentides</v>
      </c>
      <c r="T4260" s="2" t="s">
        <v>17998</v>
      </c>
      <c r="U4260" s="2" t="s">
        <v>39</v>
      </c>
      <c r="V4260" s="2" t="s">
        <v>40</v>
      </c>
      <c r="W4260" s="2" t="s">
        <v>17999</v>
      </c>
      <c r="X4260" s="2" t="str">
        <f>"4508487096"</f>
        <v>4508487096</v>
      </c>
      <c r="Y4260" s="2" t="str">
        <f>"4508212395"</f>
        <v>4508212395</v>
      </c>
      <c r="Z4260" s="2"/>
      <c r="AA4260" s="2" t="s">
        <v>456</v>
      </c>
      <c r="AB4260" s="2" t="s">
        <v>457</v>
      </c>
      <c r="AC4260" s="4" t="s">
        <v>44</v>
      </c>
    </row>
    <row r="4261" spans="1:29" x14ac:dyDescent="0.25">
      <c r="A4261" s="1">
        <v>3057</v>
      </c>
      <c r="B4261" s="17" t="s">
        <v>18000</v>
      </c>
      <c r="C4261" s="2" t="s">
        <v>7680</v>
      </c>
      <c r="D4261" s="15" t="s">
        <v>7681</v>
      </c>
      <c r="E4261" s="9" t="s">
        <v>1024</v>
      </c>
      <c r="F4261" s="9" t="s">
        <v>1452</v>
      </c>
      <c r="G4261" s="9" t="s">
        <v>7380</v>
      </c>
      <c r="H4261" s="2" t="s">
        <v>60</v>
      </c>
      <c r="I4261" s="3">
        <v>37411</v>
      </c>
      <c r="J4261" s="9" t="str">
        <f t="shared" ca="1" si="71"/>
        <v>21 ans</v>
      </c>
      <c r="K4261" s="2" t="s">
        <v>262</v>
      </c>
      <c r="L4261" s="2" t="str">
        <f>"11255"</f>
        <v>11255</v>
      </c>
      <c r="M4261" s="2" t="str">
        <f t="shared" si="72"/>
        <v>A</v>
      </c>
      <c r="N4261" s="2" t="str">
        <f>"RUE RICHARD"</f>
        <v>RUE RICHARD</v>
      </c>
      <c r="O4261" s="2" t="s">
        <v>17958</v>
      </c>
      <c r="P4261" s="9" t="str">
        <f>VLOOKUP($O4261,'Liste des Villes'!$B$2:$B$1128,1,FALSE)</f>
        <v>Boisbriand</v>
      </c>
      <c r="Q4261" s="9" t="str">
        <f>IFERROR($P4261,PROPER(VLOOKUP($O4261,'Villes en erreur'!$A$2:$B$72,2,FALSE)))</f>
        <v>Boisbriand</v>
      </c>
      <c r="R4261" s="9" t="s">
        <v>17959</v>
      </c>
      <c r="S4261" s="9" t="str">
        <f>IF(ISBLANK($R4261),"",VLOOKUP($R4261,'Liste des Villes'!$B$2:$H$1128,4,FALSE))</f>
        <v>Laurentides</v>
      </c>
      <c r="T4261" s="2" t="s">
        <v>18001</v>
      </c>
      <c r="U4261" s="2" t="s">
        <v>39</v>
      </c>
      <c r="V4261" s="2" t="s">
        <v>40</v>
      </c>
      <c r="W4261" s="2" t="s">
        <v>18002</v>
      </c>
      <c r="X4261" s="2" t="str">
        <f>"4508483626"</f>
        <v>4508483626</v>
      </c>
      <c r="Y4261" s="2" t="str">
        <f>"4508219803"</f>
        <v>4508219803</v>
      </c>
      <c r="Z4261" s="2"/>
      <c r="AA4261" s="2" t="s">
        <v>456</v>
      </c>
      <c r="AB4261" s="2" t="s">
        <v>457</v>
      </c>
      <c r="AC4261" s="4" t="s">
        <v>44</v>
      </c>
    </row>
    <row r="4262" spans="1:29" x14ac:dyDescent="0.25">
      <c r="A4262" s="1">
        <v>3275</v>
      </c>
      <c r="B4262" s="17" t="s">
        <v>18003</v>
      </c>
      <c r="C4262" s="2" t="s">
        <v>18004</v>
      </c>
      <c r="D4262" s="15" t="s">
        <v>13339</v>
      </c>
      <c r="E4262" s="9" t="s">
        <v>4589</v>
      </c>
      <c r="F4262" s="9" t="s">
        <v>1716</v>
      </c>
      <c r="G4262" s="9" t="s">
        <v>4462</v>
      </c>
      <c r="H4262" s="2" t="s">
        <v>60</v>
      </c>
      <c r="I4262" s="3">
        <v>37424</v>
      </c>
      <c r="J4262" s="9" t="str">
        <f t="shared" ca="1" si="71"/>
        <v>21 ans</v>
      </c>
      <c r="K4262" s="2" t="s">
        <v>262</v>
      </c>
      <c r="L4262" s="2" t="str">
        <f>"12670"</f>
        <v>12670</v>
      </c>
      <c r="M4262" s="2" t="str">
        <f t="shared" si="72"/>
        <v>A</v>
      </c>
      <c r="N4262" s="2" t="str">
        <f>"RUE ROLAND-OUELLETTE"</f>
        <v>RUE ROLAND-OUELLETTE</v>
      </c>
      <c r="O4262" s="2" t="s">
        <v>17958</v>
      </c>
      <c r="P4262" s="9" t="str">
        <f>VLOOKUP($O4262,'Liste des Villes'!$B$2:$B$1128,1,FALSE)</f>
        <v>Boisbriand</v>
      </c>
      <c r="Q4262" s="9" t="str">
        <f>IFERROR($P4262,PROPER(VLOOKUP($O4262,'Villes en erreur'!$A$2:$B$72,2,FALSE)))</f>
        <v>Boisbriand</v>
      </c>
      <c r="R4262" s="9" t="s">
        <v>17959</v>
      </c>
      <c r="S4262" s="9" t="str">
        <f>IF(ISBLANK($R4262),"",VLOOKUP($R4262,'Liste des Villes'!$B$2:$H$1128,4,FALSE))</f>
        <v>Laurentides</v>
      </c>
      <c r="T4262" s="2" t="s">
        <v>18005</v>
      </c>
      <c r="U4262" s="2" t="s">
        <v>39</v>
      </c>
      <c r="V4262" s="2" t="s">
        <v>40</v>
      </c>
      <c r="W4262" s="2" t="s">
        <v>18006</v>
      </c>
      <c r="X4262" s="2" t="str">
        <f>"4509513984"</f>
        <v>4509513984</v>
      </c>
      <c r="Y4262" s="2" t="str">
        <f>"4506941332"</f>
        <v>4506941332</v>
      </c>
      <c r="Z4262" s="2"/>
      <c r="AA4262" s="2" t="s">
        <v>456</v>
      </c>
      <c r="AB4262" s="2" t="s">
        <v>457</v>
      </c>
      <c r="AC4262" s="4" t="s">
        <v>44</v>
      </c>
    </row>
    <row r="4263" spans="1:29" x14ac:dyDescent="0.25">
      <c r="A4263" s="1">
        <v>316</v>
      </c>
      <c r="B4263" s="17" t="s">
        <v>18007</v>
      </c>
      <c r="C4263" s="2" t="s">
        <v>7831</v>
      </c>
      <c r="D4263" s="15" t="s">
        <v>115</v>
      </c>
      <c r="E4263" s="9" t="s">
        <v>2614</v>
      </c>
      <c r="F4263" s="9" t="s">
        <v>15779</v>
      </c>
      <c r="G4263" s="9" t="s">
        <v>5276</v>
      </c>
      <c r="H4263" s="2" t="s">
        <v>60</v>
      </c>
      <c r="I4263" s="3">
        <v>37416</v>
      </c>
      <c r="J4263" s="9" t="str">
        <f t="shared" ca="1" si="71"/>
        <v>21 ans</v>
      </c>
      <c r="K4263" s="2" t="s">
        <v>262</v>
      </c>
      <c r="L4263" s="2" t="str">
        <f>"11590"</f>
        <v>11590</v>
      </c>
      <c r="M4263" s="2" t="str">
        <f t="shared" si="72"/>
        <v>A</v>
      </c>
      <c r="N4263" s="2" t="str">
        <f>"RUE ROBERT"</f>
        <v>RUE ROBERT</v>
      </c>
      <c r="O4263" s="2" t="s">
        <v>17958</v>
      </c>
      <c r="P4263" s="9" t="str">
        <f>VLOOKUP($O4263,'Liste des Villes'!$B$2:$B$1128,1,FALSE)</f>
        <v>Boisbriand</v>
      </c>
      <c r="Q4263" s="9" t="str">
        <f>IFERROR($P4263,PROPER(VLOOKUP($O4263,'Villes en erreur'!$A$2:$B$72,2,FALSE)))</f>
        <v>Boisbriand</v>
      </c>
      <c r="R4263" s="9" t="s">
        <v>17959</v>
      </c>
      <c r="S4263" s="9" t="str">
        <f>IF(ISBLANK($R4263),"",VLOOKUP($R4263,'Liste des Villes'!$B$2:$H$1128,4,FALSE))</f>
        <v>Laurentides</v>
      </c>
      <c r="T4263" s="2" t="s">
        <v>18008</v>
      </c>
      <c r="U4263" s="2" t="s">
        <v>39</v>
      </c>
      <c r="V4263" s="2" t="s">
        <v>40</v>
      </c>
      <c r="W4263" s="2" t="s">
        <v>18009</v>
      </c>
      <c r="X4263" s="2" t="str">
        <f>"4508487415"</f>
        <v>4508487415</v>
      </c>
      <c r="Y4263" s="2" t="str">
        <f>"4508211305"</f>
        <v>4508211305</v>
      </c>
      <c r="Z4263" s="2"/>
      <c r="AA4263" s="2" t="s">
        <v>456</v>
      </c>
      <c r="AB4263" s="2" t="s">
        <v>457</v>
      </c>
      <c r="AC4263" s="4" t="s">
        <v>44</v>
      </c>
    </row>
    <row r="4264" spans="1:29" x14ac:dyDescent="0.25">
      <c r="A4264" s="1">
        <v>1370</v>
      </c>
      <c r="B4264" s="17" t="s">
        <v>18010</v>
      </c>
      <c r="C4264" s="2" t="s">
        <v>598</v>
      </c>
      <c r="D4264" s="15" t="s">
        <v>599</v>
      </c>
      <c r="E4264" s="9" t="s">
        <v>600</v>
      </c>
      <c r="F4264" s="9" t="s">
        <v>562</v>
      </c>
      <c r="G4264" s="9" t="s">
        <v>4167</v>
      </c>
      <c r="H4264" s="2" t="s">
        <v>60</v>
      </c>
      <c r="I4264" s="3">
        <v>37418</v>
      </c>
      <c r="J4264" s="9" t="str">
        <f t="shared" ca="1" si="71"/>
        <v>21 ans</v>
      </c>
      <c r="K4264" s="2" t="s">
        <v>262</v>
      </c>
      <c r="L4264" s="2" t="str">
        <f>"11680"</f>
        <v>11680</v>
      </c>
      <c r="M4264" s="2" t="str">
        <f t="shared" si="72"/>
        <v>A</v>
      </c>
      <c r="N4264" s="2" t="str">
        <f>"RUE ROBITAILLE"</f>
        <v>RUE ROBITAILLE</v>
      </c>
      <c r="O4264" s="2" t="s">
        <v>17958</v>
      </c>
      <c r="P4264" s="9" t="str">
        <f>VLOOKUP($O4264,'Liste des Villes'!$B$2:$B$1128,1,FALSE)</f>
        <v>Boisbriand</v>
      </c>
      <c r="Q4264" s="9" t="str">
        <f>IFERROR($P4264,PROPER(VLOOKUP($O4264,'Villes en erreur'!$A$2:$B$72,2,FALSE)))</f>
        <v>Boisbriand</v>
      </c>
      <c r="R4264" s="9" t="s">
        <v>17959</v>
      </c>
      <c r="S4264" s="9" t="str">
        <f>IF(ISBLANK($R4264),"",VLOOKUP($R4264,'Liste des Villes'!$B$2:$H$1128,4,FALSE))</f>
        <v>Laurentides</v>
      </c>
      <c r="T4264" s="2" t="s">
        <v>18011</v>
      </c>
      <c r="U4264" s="2" t="s">
        <v>39</v>
      </c>
      <c r="V4264" s="2" t="s">
        <v>40</v>
      </c>
      <c r="W4264" s="2" t="s">
        <v>18012</v>
      </c>
      <c r="X4264" s="2" t="str">
        <f>"4508489916"</f>
        <v>4508489916</v>
      </c>
      <c r="Y4264" s="2" t="str">
        <f>"4507522161"</f>
        <v>4507522161</v>
      </c>
      <c r="Z4264" s="2"/>
      <c r="AA4264" s="2" t="s">
        <v>456</v>
      </c>
      <c r="AB4264" s="2" t="s">
        <v>457</v>
      </c>
      <c r="AC4264" s="4" t="s">
        <v>44</v>
      </c>
    </row>
    <row r="4265" spans="1:29" x14ac:dyDescent="0.25">
      <c r="A4265" s="1">
        <v>2924</v>
      </c>
      <c r="B4265" s="17" t="s">
        <v>18013</v>
      </c>
      <c r="C4265" s="2" t="s">
        <v>9541</v>
      </c>
      <c r="D4265" s="15" t="s">
        <v>2910</v>
      </c>
      <c r="E4265" s="9" t="s">
        <v>929</v>
      </c>
      <c r="F4265" s="9" t="s">
        <v>13376</v>
      </c>
      <c r="G4265" s="9" t="s">
        <v>4167</v>
      </c>
      <c r="H4265" s="2" t="s">
        <v>60</v>
      </c>
      <c r="I4265" s="3">
        <v>37419</v>
      </c>
      <c r="J4265" s="9" t="str">
        <f t="shared" ca="1" si="71"/>
        <v>21 ans</v>
      </c>
      <c r="K4265" s="2" t="s">
        <v>262</v>
      </c>
      <c r="L4265" s="2" t="str">
        <f>"11815"</f>
        <v>11815</v>
      </c>
      <c r="M4265" s="2" t="str">
        <f t="shared" si="72"/>
        <v>A</v>
      </c>
      <c r="N4265" s="2" t="str">
        <f>"RUE ROBITAILLE"</f>
        <v>RUE ROBITAILLE</v>
      </c>
      <c r="O4265" s="2" t="s">
        <v>17958</v>
      </c>
      <c r="P4265" s="9" t="str">
        <f>VLOOKUP($O4265,'Liste des Villes'!$B$2:$B$1128,1,FALSE)</f>
        <v>Boisbriand</v>
      </c>
      <c r="Q4265" s="9" t="str">
        <f>IFERROR($P4265,PROPER(VLOOKUP($O4265,'Villes en erreur'!$A$2:$B$72,2,FALSE)))</f>
        <v>Boisbriand</v>
      </c>
      <c r="R4265" s="9" t="s">
        <v>17959</v>
      </c>
      <c r="S4265" s="9" t="str">
        <f>IF(ISBLANK($R4265),"",VLOOKUP($R4265,'Liste des Villes'!$B$2:$H$1128,4,FALSE))</f>
        <v>Laurentides</v>
      </c>
      <c r="T4265" s="2" t="s">
        <v>18014</v>
      </c>
      <c r="U4265" s="2" t="s">
        <v>39</v>
      </c>
      <c r="V4265" s="2" t="s">
        <v>40</v>
      </c>
      <c r="W4265" s="2" t="s">
        <v>18015</v>
      </c>
      <c r="X4265" s="2" t="str">
        <f>"4508580402"</f>
        <v>4508580402</v>
      </c>
      <c r="Y4265" s="2" t="str">
        <f>"4507351630"</f>
        <v>4507351630</v>
      </c>
      <c r="Z4265" s="2"/>
      <c r="AA4265" s="2" t="s">
        <v>456</v>
      </c>
      <c r="AB4265" s="2" t="s">
        <v>457</v>
      </c>
      <c r="AC4265" s="4" t="s">
        <v>44</v>
      </c>
    </row>
    <row r="4266" spans="1:29" x14ac:dyDescent="0.25">
      <c r="A4266" s="1">
        <v>1831</v>
      </c>
      <c r="B4266" s="17" t="s">
        <v>18016</v>
      </c>
      <c r="C4266" s="2" t="s">
        <v>3368</v>
      </c>
      <c r="D4266" s="15" t="s">
        <v>3042</v>
      </c>
      <c r="E4266" s="9" t="s">
        <v>3274</v>
      </c>
      <c r="F4266" s="9" t="s">
        <v>3041</v>
      </c>
      <c r="G4266" s="9" t="s">
        <v>6323</v>
      </c>
      <c r="H4266" s="2" t="s">
        <v>60</v>
      </c>
      <c r="I4266" s="3">
        <v>37412</v>
      </c>
      <c r="J4266" s="9" t="str">
        <f t="shared" ca="1" si="71"/>
        <v>21 ans</v>
      </c>
      <c r="K4266" s="2" t="s">
        <v>262</v>
      </c>
      <c r="L4266" s="2" t="str">
        <f>"11396"</f>
        <v>11396</v>
      </c>
      <c r="M4266" s="2" t="str">
        <f t="shared" si="72"/>
        <v>A</v>
      </c>
      <c r="N4266" s="2" t="str">
        <f>"RUE RICHER"</f>
        <v>RUE RICHER</v>
      </c>
      <c r="O4266" s="2" t="s">
        <v>17958</v>
      </c>
      <c r="P4266" s="9" t="str">
        <f>VLOOKUP($O4266,'Liste des Villes'!$B$2:$B$1128,1,FALSE)</f>
        <v>Boisbriand</v>
      </c>
      <c r="Q4266" s="9" t="str">
        <f>IFERROR($P4266,PROPER(VLOOKUP($O4266,'Villes en erreur'!$A$2:$B$72,2,FALSE)))</f>
        <v>Boisbriand</v>
      </c>
      <c r="R4266" s="9" t="s">
        <v>17959</v>
      </c>
      <c r="S4266" s="9" t="str">
        <f>IF(ISBLANK($R4266),"",VLOOKUP($R4266,'Liste des Villes'!$B$2:$H$1128,4,FALSE))</f>
        <v>Laurentides</v>
      </c>
      <c r="T4266" s="2" t="s">
        <v>18017</v>
      </c>
      <c r="U4266" s="2" t="s">
        <v>39</v>
      </c>
      <c r="V4266" s="2" t="s">
        <v>40</v>
      </c>
      <c r="W4266" s="2" t="s">
        <v>18018</v>
      </c>
      <c r="X4266" s="2" t="str">
        <f>"4508485321"</f>
        <v>4508485321</v>
      </c>
      <c r="Y4266" s="2" t="str">
        <f>"4508216906"</f>
        <v>4508216906</v>
      </c>
      <c r="Z4266" s="2"/>
      <c r="AA4266" s="2" t="s">
        <v>456</v>
      </c>
      <c r="AB4266" s="2" t="s">
        <v>457</v>
      </c>
      <c r="AC4266" s="4" t="s">
        <v>44</v>
      </c>
    </row>
    <row r="4267" spans="1:29" x14ac:dyDescent="0.25">
      <c r="A4267" s="1">
        <v>2347</v>
      </c>
      <c r="B4267" s="17" t="s">
        <v>18019</v>
      </c>
      <c r="C4267" s="2" t="s">
        <v>18020</v>
      </c>
      <c r="D4267" s="15" t="s">
        <v>510</v>
      </c>
      <c r="E4267" s="9" t="s">
        <v>9466</v>
      </c>
      <c r="F4267" s="9" t="s">
        <v>845</v>
      </c>
      <c r="G4267" s="9" t="s">
        <v>1361</v>
      </c>
      <c r="H4267" s="2" t="s">
        <v>60</v>
      </c>
      <c r="I4267" s="3">
        <v>37406</v>
      </c>
      <c r="J4267" s="9" t="str">
        <f t="shared" ca="1" si="71"/>
        <v>21 ans</v>
      </c>
      <c r="K4267" s="2" t="s">
        <v>262</v>
      </c>
      <c r="L4267" s="2" t="str">
        <f>"10920"</f>
        <v>10920</v>
      </c>
      <c r="M4267" s="2" t="str">
        <f>"B"</f>
        <v>B</v>
      </c>
      <c r="N4267" s="2" t="str">
        <f>"RUE RENAUD"</f>
        <v>RUE RENAUD</v>
      </c>
      <c r="O4267" s="2" t="s">
        <v>17958</v>
      </c>
      <c r="P4267" s="9" t="str">
        <f>VLOOKUP($O4267,'Liste des Villes'!$B$2:$B$1128,1,FALSE)</f>
        <v>Boisbriand</v>
      </c>
      <c r="Q4267" s="9" t="str">
        <f>IFERROR($P4267,PROPER(VLOOKUP($O4267,'Villes en erreur'!$A$2:$B$72,2,FALSE)))</f>
        <v>Boisbriand</v>
      </c>
      <c r="R4267" s="9" t="s">
        <v>17959</v>
      </c>
      <c r="S4267" s="9" t="str">
        <f>IF(ISBLANK($R4267),"",VLOOKUP($R4267,'Liste des Villes'!$B$2:$H$1128,4,FALSE))</f>
        <v>Laurentides</v>
      </c>
      <c r="T4267" s="2" t="s">
        <v>18021</v>
      </c>
      <c r="U4267" s="2" t="s">
        <v>39</v>
      </c>
      <c r="V4267" s="2" t="s">
        <v>40</v>
      </c>
      <c r="W4267" s="2" t="s">
        <v>18022</v>
      </c>
      <c r="X4267" s="2" t="str">
        <f>"4508393092"</f>
        <v>4508393092</v>
      </c>
      <c r="Y4267" s="2" t="str">
        <f>"4508222941"</f>
        <v>4508222941</v>
      </c>
      <c r="Z4267" s="2"/>
      <c r="AA4267" s="2" t="s">
        <v>456</v>
      </c>
      <c r="AB4267" s="2" t="s">
        <v>457</v>
      </c>
      <c r="AC4267" s="4" t="s">
        <v>44</v>
      </c>
    </row>
    <row r="4268" spans="1:29" x14ac:dyDescent="0.25">
      <c r="A4268" s="1">
        <v>3359</v>
      </c>
      <c r="B4268" s="17" t="s">
        <v>18023</v>
      </c>
      <c r="C4268" s="2" t="s">
        <v>18024</v>
      </c>
      <c r="D4268" s="15" t="s">
        <v>2328</v>
      </c>
      <c r="E4268" s="9" t="s">
        <v>2807</v>
      </c>
      <c r="F4268" s="9" t="s">
        <v>2327</v>
      </c>
      <c r="G4268" s="9" t="s">
        <v>6323</v>
      </c>
      <c r="H4268" s="2" t="s">
        <v>60</v>
      </c>
      <c r="I4268" s="3">
        <v>37412</v>
      </c>
      <c r="J4268" s="9" t="str">
        <f t="shared" ca="1" si="71"/>
        <v>21 ans</v>
      </c>
      <c r="K4268" s="2" t="s">
        <v>262</v>
      </c>
      <c r="L4268" s="2" t="str">
        <f>"11396"</f>
        <v>11396</v>
      </c>
      <c r="M4268" s="2" t="str">
        <f>"A"</f>
        <v>A</v>
      </c>
      <c r="N4268" s="2" t="str">
        <f>"RUE RICHER"</f>
        <v>RUE RICHER</v>
      </c>
      <c r="O4268" s="2" t="s">
        <v>17958</v>
      </c>
      <c r="P4268" s="9" t="str">
        <f>VLOOKUP($O4268,'Liste des Villes'!$B$2:$B$1128,1,FALSE)</f>
        <v>Boisbriand</v>
      </c>
      <c r="Q4268" s="9" t="str">
        <f>IFERROR($P4268,PROPER(VLOOKUP($O4268,'Villes en erreur'!$A$2:$B$72,2,FALSE)))</f>
        <v>Boisbriand</v>
      </c>
      <c r="R4268" s="9" t="s">
        <v>17959</v>
      </c>
      <c r="S4268" s="9" t="str">
        <f>IF(ISBLANK($R4268),"",VLOOKUP($R4268,'Liste des Villes'!$B$2:$H$1128,4,FALSE))</f>
        <v>Laurentides</v>
      </c>
      <c r="T4268" s="2" t="s">
        <v>18025</v>
      </c>
      <c r="U4268" s="2" t="s">
        <v>39</v>
      </c>
      <c r="V4268" s="2" t="s">
        <v>40</v>
      </c>
      <c r="W4268" s="2" t="s">
        <v>18026</v>
      </c>
      <c r="X4268" s="2" t="str">
        <f>"4508485276"</f>
        <v>4508485276</v>
      </c>
      <c r="Y4268" s="2" t="str">
        <f>"4508217599"</f>
        <v>4508217599</v>
      </c>
      <c r="Z4268" s="2"/>
      <c r="AA4268" s="2" t="s">
        <v>456</v>
      </c>
      <c r="AB4268" s="2" t="s">
        <v>457</v>
      </c>
      <c r="AC4268" s="4" t="s">
        <v>44</v>
      </c>
    </row>
    <row r="4269" spans="1:29" x14ac:dyDescent="0.25">
      <c r="A4269" s="1">
        <v>366</v>
      </c>
      <c r="B4269" s="17" t="s">
        <v>18027</v>
      </c>
      <c r="C4269" s="2" t="s">
        <v>2485</v>
      </c>
      <c r="D4269" s="15" t="s">
        <v>2486</v>
      </c>
      <c r="E4269" s="9" t="s">
        <v>541</v>
      </c>
      <c r="F4269" s="9" t="s">
        <v>18028</v>
      </c>
      <c r="G4269" s="9" t="s">
        <v>6703</v>
      </c>
      <c r="H4269" s="2" t="s">
        <v>60</v>
      </c>
      <c r="I4269" s="3">
        <v>37423</v>
      </c>
      <c r="J4269" s="9" t="str">
        <f t="shared" ca="1" si="71"/>
        <v>21 ans</v>
      </c>
      <c r="K4269" s="2" t="s">
        <v>262</v>
      </c>
      <c r="L4269" s="2" t="str">
        <f>"12220"</f>
        <v>12220</v>
      </c>
      <c r="M4269" s="2" t="str">
        <f>"A"</f>
        <v>A</v>
      </c>
      <c r="N4269" s="2" t="str">
        <f>"RUE ROGER-BOISVERT"</f>
        <v>RUE ROGER-BOISVERT</v>
      </c>
      <c r="O4269" s="2" t="s">
        <v>17958</v>
      </c>
      <c r="P4269" s="9" t="str">
        <f>VLOOKUP($O4269,'Liste des Villes'!$B$2:$B$1128,1,FALSE)</f>
        <v>Boisbriand</v>
      </c>
      <c r="Q4269" s="9" t="str">
        <f>IFERROR($P4269,PROPER(VLOOKUP($O4269,'Villes en erreur'!$A$2:$B$72,2,FALSE)))</f>
        <v>Boisbriand</v>
      </c>
      <c r="R4269" s="9" t="s">
        <v>17959</v>
      </c>
      <c r="S4269" s="9" t="str">
        <f>IF(ISBLANK($R4269),"",VLOOKUP($R4269,'Liste des Villes'!$B$2:$H$1128,4,FALSE))</f>
        <v>Laurentides</v>
      </c>
      <c r="T4269" s="2" t="s">
        <v>18029</v>
      </c>
      <c r="U4269" s="2" t="s">
        <v>39</v>
      </c>
      <c r="V4269" s="2" t="s">
        <v>40</v>
      </c>
      <c r="W4269" s="2" t="s">
        <v>18030</v>
      </c>
      <c r="X4269" s="2" t="str">
        <f>"4508584961"</f>
        <v>4508584961</v>
      </c>
      <c r="Y4269" s="2" t="str">
        <f>"4507123960"</f>
        <v>4507123960</v>
      </c>
      <c r="Z4269" s="2"/>
      <c r="AA4269" s="2" t="s">
        <v>456</v>
      </c>
      <c r="AB4269" s="2" t="s">
        <v>457</v>
      </c>
      <c r="AC4269" s="4" t="s">
        <v>44</v>
      </c>
    </row>
    <row r="4270" spans="1:29" x14ac:dyDescent="0.25">
      <c r="A4270" s="1">
        <v>866</v>
      </c>
      <c r="B4270" s="17" t="s">
        <v>18031</v>
      </c>
      <c r="C4270" s="2" t="s">
        <v>18032</v>
      </c>
      <c r="D4270" s="15" t="s">
        <v>9278</v>
      </c>
      <c r="E4270" s="9" t="s">
        <v>3731</v>
      </c>
      <c r="F4270" s="9" t="s">
        <v>9277</v>
      </c>
      <c r="G4270" s="9" t="s">
        <v>5261</v>
      </c>
      <c r="H4270" s="2" t="s">
        <v>60</v>
      </c>
      <c r="I4270" s="3">
        <v>37415</v>
      </c>
      <c r="J4270" s="9" t="str">
        <f t="shared" ca="1" si="71"/>
        <v>21 ans</v>
      </c>
      <c r="K4270" s="2" t="s">
        <v>262</v>
      </c>
      <c r="L4270" s="2" t="str">
        <f>"11530"</f>
        <v>11530</v>
      </c>
      <c r="M4270" s="2" t="str">
        <f>"A"</f>
        <v>A</v>
      </c>
      <c r="N4270" s="2" t="str">
        <f>"RUE RIVEST"</f>
        <v>RUE RIVEST</v>
      </c>
      <c r="O4270" s="2" t="s">
        <v>17958</v>
      </c>
      <c r="P4270" s="9" t="str">
        <f>VLOOKUP($O4270,'Liste des Villes'!$B$2:$B$1128,1,FALSE)</f>
        <v>Boisbriand</v>
      </c>
      <c r="Q4270" s="9" t="str">
        <f>IFERROR($P4270,PROPER(VLOOKUP($O4270,'Villes en erreur'!$A$2:$B$72,2,FALSE)))</f>
        <v>Boisbriand</v>
      </c>
      <c r="R4270" s="9" t="s">
        <v>17959</v>
      </c>
      <c r="S4270" s="9" t="str">
        <f>IF(ISBLANK($R4270),"",VLOOKUP($R4270,'Liste des Villes'!$B$2:$H$1128,4,FALSE))</f>
        <v>Laurentides</v>
      </c>
      <c r="T4270" s="2" t="s">
        <v>17975</v>
      </c>
      <c r="U4270" s="2" t="s">
        <v>39</v>
      </c>
      <c r="V4270" s="2" t="s">
        <v>40</v>
      </c>
      <c r="W4270" s="2" t="s">
        <v>18033</v>
      </c>
      <c r="X4270" s="2" t="str">
        <f>"4508486078"</f>
        <v>4508486078</v>
      </c>
      <c r="Y4270" s="2" t="str">
        <f>"4508213320"</f>
        <v>4508213320</v>
      </c>
      <c r="Z4270" s="2"/>
      <c r="AA4270" s="2" t="s">
        <v>456</v>
      </c>
      <c r="AB4270" s="2" t="s">
        <v>457</v>
      </c>
      <c r="AC4270" s="4" t="s">
        <v>44</v>
      </c>
    </row>
    <row r="4271" spans="1:29" x14ac:dyDescent="0.25">
      <c r="A4271" s="1">
        <v>1438</v>
      </c>
      <c r="B4271" s="17" t="s">
        <v>18034</v>
      </c>
      <c r="C4271" s="2" t="s">
        <v>2451</v>
      </c>
      <c r="D4271" s="15" t="s">
        <v>504</v>
      </c>
      <c r="E4271" s="9" t="s">
        <v>1673</v>
      </c>
      <c r="F4271" s="9" t="s">
        <v>219</v>
      </c>
      <c r="G4271" s="9" t="s">
        <v>5187</v>
      </c>
      <c r="H4271" s="2" t="s">
        <v>60</v>
      </c>
      <c r="I4271" s="3">
        <v>37426</v>
      </c>
      <c r="J4271" s="9" t="str">
        <f t="shared" ca="1" si="71"/>
        <v>21 ans</v>
      </c>
      <c r="K4271" s="2" t="s">
        <v>262</v>
      </c>
      <c r="L4271" s="2" t="str">
        <f>"12775"</f>
        <v>12775</v>
      </c>
      <c r="M4271" s="2" t="str">
        <f>"3A"</f>
        <v>3A</v>
      </c>
      <c r="N4271" s="2" t="str">
        <f>"RUE ROLLAND"</f>
        <v>RUE ROLLAND</v>
      </c>
      <c r="O4271" s="2" t="s">
        <v>17958</v>
      </c>
      <c r="P4271" s="9" t="str">
        <f>VLOOKUP($O4271,'Liste des Villes'!$B$2:$B$1128,1,FALSE)</f>
        <v>Boisbriand</v>
      </c>
      <c r="Q4271" s="9" t="str">
        <f>IFERROR($P4271,PROPER(VLOOKUP($O4271,'Villes en erreur'!$A$2:$B$72,2,FALSE)))</f>
        <v>Boisbriand</v>
      </c>
      <c r="R4271" s="9" t="s">
        <v>17959</v>
      </c>
      <c r="S4271" s="9" t="str">
        <f>IF(ISBLANK($R4271),"",VLOOKUP($R4271,'Liste des Villes'!$B$2:$H$1128,4,FALSE))</f>
        <v>Laurentides</v>
      </c>
      <c r="T4271" s="2" t="s">
        <v>18035</v>
      </c>
      <c r="U4271" s="2" t="s">
        <v>39</v>
      </c>
      <c r="V4271" s="2" t="s">
        <v>40</v>
      </c>
      <c r="W4271" s="2" t="s">
        <v>18036</v>
      </c>
      <c r="X4271" s="2" t="str">
        <f>"5142125694"</f>
        <v>5142125694</v>
      </c>
      <c r="Y4271" s="2" t="str">
        <f>"4506758239"</f>
        <v>4506758239</v>
      </c>
      <c r="Z4271" s="2"/>
      <c r="AA4271" s="2" t="s">
        <v>456</v>
      </c>
      <c r="AB4271" s="2" t="s">
        <v>457</v>
      </c>
      <c r="AC4271" s="4" t="s">
        <v>44</v>
      </c>
    </row>
    <row r="4272" spans="1:29" x14ac:dyDescent="0.25">
      <c r="A4272" s="1">
        <v>1412</v>
      </c>
      <c r="B4272" s="17" t="s">
        <v>18037</v>
      </c>
      <c r="C4272" s="2" t="s">
        <v>18038</v>
      </c>
      <c r="D4272" s="15" t="s">
        <v>2915</v>
      </c>
      <c r="E4272" s="9" t="s">
        <v>8267</v>
      </c>
      <c r="F4272" s="9" t="s">
        <v>164</v>
      </c>
      <c r="G4272" s="9" t="s">
        <v>17854</v>
      </c>
      <c r="H4272" s="2" t="s">
        <v>60</v>
      </c>
      <c r="I4272" s="3">
        <v>37407</v>
      </c>
      <c r="J4272" s="9" t="str">
        <f t="shared" ca="1" si="71"/>
        <v>21 ans</v>
      </c>
      <c r="K4272" s="2" t="s">
        <v>262</v>
      </c>
      <c r="L4272" s="2" t="str">
        <f>"11155"</f>
        <v>11155</v>
      </c>
      <c r="M4272" s="2" t="str">
        <f>"A"</f>
        <v>A</v>
      </c>
      <c r="N4272" s="2" t="str">
        <f>"RUE REYNALD"</f>
        <v>RUE REYNALD</v>
      </c>
      <c r="O4272" s="2" t="s">
        <v>17958</v>
      </c>
      <c r="P4272" s="9" t="str">
        <f>VLOOKUP($O4272,'Liste des Villes'!$B$2:$B$1128,1,FALSE)</f>
        <v>Boisbriand</v>
      </c>
      <c r="Q4272" s="9" t="str">
        <f>IFERROR($P4272,PROPER(VLOOKUP($O4272,'Villes en erreur'!$A$2:$B$72,2,FALSE)))</f>
        <v>Boisbriand</v>
      </c>
      <c r="R4272" s="9" t="s">
        <v>17959</v>
      </c>
      <c r="S4272" s="9" t="str">
        <f>IF(ISBLANK($R4272),"",VLOOKUP($R4272,'Liste des Villes'!$B$2:$H$1128,4,FALSE))</f>
        <v>Laurentides</v>
      </c>
      <c r="T4272" s="2" t="s">
        <v>18039</v>
      </c>
      <c r="U4272" s="2" t="s">
        <v>39</v>
      </c>
      <c r="V4272" s="2" t="s">
        <v>40</v>
      </c>
      <c r="W4272" s="2" t="s">
        <v>18040</v>
      </c>
      <c r="X4272" s="2" t="str">
        <f>"4508482123"</f>
        <v>4508482123</v>
      </c>
      <c r="Y4272" s="2" t="str">
        <f>"4508222254"</f>
        <v>4508222254</v>
      </c>
      <c r="Z4272" s="2"/>
      <c r="AA4272" s="2" t="s">
        <v>456</v>
      </c>
      <c r="AB4272" s="2" t="s">
        <v>457</v>
      </c>
      <c r="AC4272" s="4" t="s">
        <v>44</v>
      </c>
    </row>
    <row r="4273" spans="1:29" x14ac:dyDescent="0.25">
      <c r="A4273" s="1">
        <v>2199</v>
      </c>
      <c r="B4273" s="17" t="s">
        <v>18041</v>
      </c>
      <c r="C4273" s="2" t="s">
        <v>18042</v>
      </c>
      <c r="D4273" s="15" t="s">
        <v>11105</v>
      </c>
      <c r="E4273" s="9" t="s">
        <v>1410</v>
      </c>
      <c r="F4273" s="9" t="s">
        <v>1460</v>
      </c>
      <c r="G4273" s="9" t="s">
        <v>1361</v>
      </c>
      <c r="H4273" s="2" t="s">
        <v>60</v>
      </c>
      <c r="I4273" s="3">
        <v>37406</v>
      </c>
      <c r="J4273" s="9" t="str">
        <f t="shared" ca="1" si="71"/>
        <v>21 ans</v>
      </c>
      <c r="K4273" s="2" t="s">
        <v>262</v>
      </c>
      <c r="L4273" s="2" t="str">
        <f>"11045"</f>
        <v>11045</v>
      </c>
      <c r="M4273" s="2" t="str">
        <f>"B"</f>
        <v>B</v>
      </c>
      <c r="N4273" s="2" t="str">
        <f>"RUE RENÉ-GASCON"</f>
        <v>RUE RENÉ-GASCON</v>
      </c>
      <c r="O4273" s="2" t="s">
        <v>17958</v>
      </c>
      <c r="P4273" s="9" t="str">
        <f>VLOOKUP($O4273,'Liste des Villes'!$B$2:$B$1128,1,FALSE)</f>
        <v>Boisbriand</v>
      </c>
      <c r="Q4273" s="9" t="str">
        <f>IFERROR($P4273,PROPER(VLOOKUP($O4273,'Villes en erreur'!$A$2:$B$72,2,FALSE)))</f>
        <v>Boisbriand</v>
      </c>
      <c r="R4273" s="9" t="s">
        <v>17959</v>
      </c>
      <c r="S4273" s="9" t="str">
        <f>IF(ISBLANK($R4273),"",VLOOKUP($R4273,'Liste des Villes'!$B$2:$H$1128,4,FALSE))</f>
        <v>Laurentides</v>
      </c>
      <c r="T4273" s="2" t="s">
        <v>18043</v>
      </c>
      <c r="U4273" s="2" t="s">
        <v>39</v>
      </c>
      <c r="V4273" s="2" t="s">
        <v>40</v>
      </c>
      <c r="W4273" s="2" t="s">
        <v>18044</v>
      </c>
      <c r="X4273" s="2" t="str">
        <f>"4508480260"</f>
        <v>4508480260</v>
      </c>
      <c r="Y4273" s="2" t="str">
        <f>"4508222534"</f>
        <v>4508222534</v>
      </c>
      <c r="Z4273" s="2"/>
      <c r="AA4273" s="2" t="s">
        <v>456</v>
      </c>
      <c r="AB4273" s="2" t="s">
        <v>457</v>
      </c>
      <c r="AC4273" s="4" t="s">
        <v>44</v>
      </c>
    </row>
    <row r="4274" spans="1:29" x14ac:dyDescent="0.25">
      <c r="A4274" s="1">
        <v>1893</v>
      </c>
      <c r="B4274" s="17" t="s">
        <v>18045</v>
      </c>
      <c r="C4274" s="2" t="s">
        <v>14822</v>
      </c>
      <c r="D4274" s="15" t="s">
        <v>2729</v>
      </c>
      <c r="E4274" s="9" t="s">
        <v>1754</v>
      </c>
      <c r="F4274" s="9" t="s">
        <v>6853</v>
      </c>
      <c r="G4274" s="9" t="s">
        <v>7380</v>
      </c>
      <c r="H4274" s="2" t="s">
        <v>60</v>
      </c>
      <c r="I4274" s="3">
        <v>37408</v>
      </c>
      <c r="J4274" s="9" t="str">
        <f t="shared" ca="1" si="71"/>
        <v>21 ans</v>
      </c>
      <c r="K4274" s="2" t="s">
        <v>262</v>
      </c>
      <c r="L4274" s="2" t="str">
        <f>"11190"</f>
        <v>11190</v>
      </c>
      <c r="M4274" s="2" t="str">
        <f>"A"</f>
        <v>A</v>
      </c>
      <c r="N4274" s="2" t="str">
        <f>"RUE REYNALD"</f>
        <v>RUE REYNALD</v>
      </c>
      <c r="O4274" s="2" t="s">
        <v>17958</v>
      </c>
      <c r="P4274" s="9" t="str">
        <f>VLOOKUP($O4274,'Liste des Villes'!$B$2:$B$1128,1,FALSE)</f>
        <v>Boisbriand</v>
      </c>
      <c r="Q4274" s="9" t="str">
        <f>IFERROR($P4274,PROPER(VLOOKUP($O4274,'Villes en erreur'!$A$2:$B$72,2,FALSE)))</f>
        <v>Boisbriand</v>
      </c>
      <c r="R4274" s="9" t="s">
        <v>17959</v>
      </c>
      <c r="S4274" s="9" t="str">
        <f>IF(ISBLANK($R4274),"",VLOOKUP($R4274,'Liste des Villes'!$B$2:$H$1128,4,FALSE))</f>
        <v>Laurentides</v>
      </c>
      <c r="T4274" s="2" t="s">
        <v>18046</v>
      </c>
      <c r="U4274" s="2" t="s">
        <v>39</v>
      </c>
      <c r="V4274" s="2" t="s">
        <v>40</v>
      </c>
      <c r="W4274" s="2" t="s">
        <v>18047</v>
      </c>
      <c r="X4274" s="2" t="str">
        <f>"4508482726"</f>
        <v>4508482726</v>
      </c>
      <c r="Y4274" s="2" t="str">
        <f>"4508221347"</f>
        <v>4508221347</v>
      </c>
      <c r="Z4274" s="2"/>
      <c r="AA4274" s="2" t="s">
        <v>456</v>
      </c>
      <c r="AB4274" s="2" t="s">
        <v>457</v>
      </c>
      <c r="AC4274" s="4" t="s">
        <v>44</v>
      </c>
    </row>
    <row r="4275" spans="1:29" x14ac:dyDescent="0.25">
      <c r="A4275" s="1">
        <v>2211</v>
      </c>
      <c r="B4275" s="17" t="s">
        <v>18048</v>
      </c>
      <c r="C4275" s="2" t="s">
        <v>18049</v>
      </c>
      <c r="D4275" s="15" t="s">
        <v>3403</v>
      </c>
      <c r="E4275" s="9" t="s">
        <v>186</v>
      </c>
      <c r="F4275" s="9" t="s">
        <v>3402</v>
      </c>
      <c r="G4275" s="9" t="s">
        <v>5276</v>
      </c>
      <c r="H4275" s="2" t="s">
        <v>60</v>
      </c>
      <c r="I4275" s="3">
        <v>37417</v>
      </c>
      <c r="J4275" s="9" t="str">
        <f t="shared" ca="1" si="71"/>
        <v>21 ans</v>
      </c>
      <c r="K4275" s="2" t="s">
        <v>262</v>
      </c>
      <c r="L4275" s="2" t="str">
        <f>"11615"</f>
        <v>11615</v>
      </c>
      <c r="M4275" s="2" t="str">
        <f>"A"</f>
        <v>A</v>
      </c>
      <c r="N4275" s="2" t="str">
        <f>"RUE ROBERT DESJARLAIS"</f>
        <v>RUE ROBERT DESJARLAIS</v>
      </c>
      <c r="O4275" s="2" t="s">
        <v>17958</v>
      </c>
      <c r="P4275" s="9" t="str">
        <f>VLOOKUP($O4275,'Liste des Villes'!$B$2:$B$1128,1,FALSE)</f>
        <v>Boisbriand</v>
      </c>
      <c r="Q4275" s="9" t="str">
        <f>IFERROR($P4275,PROPER(VLOOKUP($O4275,'Villes en erreur'!$A$2:$B$72,2,FALSE)))</f>
        <v>Boisbriand</v>
      </c>
      <c r="R4275" s="9" t="s">
        <v>17959</v>
      </c>
      <c r="S4275" s="9" t="str">
        <f>IF(ISBLANK($R4275),"",VLOOKUP($R4275,'Liste des Villes'!$B$2:$H$1128,4,FALSE))</f>
        <v>Laurentides</v>
      </c>
      <c r="T4275" s="2" t="s">
        <v>18050</v>
      </c>
      <c r="U4275" s="2" t="s">
        <v>39</v>
      </c>
      <c r="V4275" s="2" t="s">
        <v>40</v>
      </c>
      <c r="W4275" s="2" t="s">
        <v>18051</v>
      </c>
      <c r="X4275" s="2" t="str">
        <f>"4508489809"</f>
        <v>4508489809</v>
      </c>
      <c r="Y4275" s="2" t="str">
        <f>"4508182278"</f>
        <v>4508182278</v>
      </c>
      <c r="Z4275" s="2"/>
      <c r="AA4275" s="2" t="s">
        <v>456</v>
      </c>
      <c r="AB4275" s="2" t="s">
        <v>457</v>
      </c>
      <c r="AC4275" s="4" t="s">
        <v>44</v>
      </c>
    </row>
    <row r="4276" spans="1:29" x14ac:dyDescent="0.25">
      <c r="A4276" s="1">
        <v>1724</v>
      </c>
      <c r="B4276" s="17" t="s">
        <v>18052</v>
      </c>
      <c r="C4276" s="2" t="s">
        <v>7084</v>
      </c>
      <c r="D4276" s="15" t="s">
        <v>7085</v>
      </c>
      <c r="E4276" s="9" t="s">
        <v>3618</v>
      </c>
      <c r="F4276" s="9" t="s">
        <v>12640</v>
      </c>
      <c r="G4276" s="9" t="s">
        <v>6703</v>
      </c>
      <c r="H4276" s="2" t="s">
        <v>60</v>
      </c>
      <c r="I4276" s="3">
        <v>37424</v>
      </c>
      <c r="J4276" s="9" t="str">
        <f t="shared" ca="1" si="71"/>
        <v>21 ans</v>
      </c>
      <c r="K4276" s="2" t="s">
        <v>262</v>
      </c>
      <c r="L4276" s="2" t="str">
        <f>"12500"</f>
        <v>12500</v>
      </c>
      <c r="M4276" s="2" t="str">
        <f>"A"</f>
        <v>A</v>
      </c>
      <c r="N4276" s="2" t="str">
        <f>"RUE ROGER-LEMELIN"</f>
        <v>RUE ROGER-LEMELIN</v>
      </c>
      <c r="O4276" s="2" t="s">
        <v>17958</v>
      </c>
      <c r="P4276" s="9" t="str">
        <f>VLOOKUP($O4276,'Liste des Villes'!$B$2:$B$1128,1,FALSE)</f>
        <v>Boisbriand</v>
      </c>
      <c r="Q4276" s="9" t="str">
        <f>IFERROR($P4276,PROPER(VLOOKUP($O4276,'Villes en erreur'!$A$2:$B$72,2,FALSE)))</f>
        <v>Boisbriand</v>
      </c>
      <c r="R4276" s="9" t="s">
        <v>17959</v>
      </c>
      <c r="S4276" s="9" t="str">
        <f>IF(ISBLANK($R4276),"",VLOOKUP($R4276,'Liste des Villes'!$B$2:$H$1128,4,FALSE))</f>
        <v>Laurentides</v>
      </c>
      <c r="T4276" s="2" t="s">
        <v>18053</v>
      </c>
      <c r="U4276" s="2" t="s">
        <v>39</v>
      </c>
      <c r="V4276" s="2" t="s">
        <v>40</v>
      </c>
      <c r="W4276" s="2" t="s">
        <v>18054</v>
      </c>
      <c r="X4276" s="2" t="str">
        <f>"4509373757"</f>
        <v>4509373757</v>
      </c>
      <c r="Y4276" s="2" t="str">
        <f>"4507122506"</f>
        <v>4507122506</v>
      </c>
      <c r="Z4276" s="2"/>
      <c r="AA4276" s="2" t="s">
        <v>456</v>
      </c>
      <c r="AB4276" s="2" t="s">
        <v>457</v>
      </c>
      <c r="AC4276" s="4" t="s">
        <v>44</v>
      </c>
    </row>
    <row r="4277" spans="1:29" x14ac:dyDescent="0.25">
      <c r="A4277" s="1">
        <v>645</v>
      </c>
      <c r="B4277" s="17" t="s">
        <v>18055</v>
      </c>
      <c r="C4277" s="2" t="s">
        <v>18056</v>
      </c>
      <c r="D4277" s="15" t="s">
        <v>6181</v>
      </c>
      <c r="E4277" s="9" t="s">
        <v>1004</v>
      </c>
      <c r="F4277" s="9" t="s">
        <v>203</v>
      </c>
      <c r="G4277" s="9" t="s">
        <v>853</v>
      </c>
      <c r="H4277" s="2" t="s">
        <v>35</v>
      </c>
      <c r="I4277" s="3">
        <v>37426</v>
      </c>
      <c r="J4277" s="9" t="str">
        <f t="shared" ca="1" si="71"/>
        <v>21 ans</v>
      </c>
      <c r="K4277" s="2" t="s">
        <v>262</v>
      </c>
      <c r="L4277" s="2" t="str">
        <f>"12805"</f>
        <v>12805</v>
      </c>
      <c r="M4277" s="2" t="str">
        <f>"1107A"</f>
        <v>1107A</v>
      </c>
      <c r="N4277" s="2" t="str">
        <f>"RUE ROMÉO-MONETTE"</f>
        <v>RUE ROMÉO-MONETTE</v>
      </c>
      <c r="O4277" s="2" t="s">
        <v>17958</v>
      </c>
      <c r="P4277" s="9" t="str">
        <f>VLOOKUP($O4277,'Liste des Villes'!$B$2:$B$1128,1,FALSE)</f>
        <v>Boisbriand</v>
      </c>
      <c r="Q4277" s="9" t="str">
        <f>IFERROR($P4277,PROPER(VLOOKUP($O4277,'Villes en erreur'!$A$2:$B$72,2,FALSE)))</f>
        <v>Boisbriand</v>
      </c>
      <c r="R4277" s="9" t="s">
        <v>17959</v>
      </c>
      <c r="S4277" s="9" t="str">
        <f>IF(ISBLANK($R4277),"",VLOOKUP($R4277,'Liste des Villes'!$B$2:$H$1128,4,FALSE))</f>
        <v>Laurentides</v>
      </c>
      <c r="T4277" s="2" t="s">
        <v>18057</v>
      </c>
      <c r="U4277" s="2" t="s">
        <v>39</v>
      </c>
      <c r="V4277" s="2" t="s">
        <v>40</v>
      </c>
      <c r="W4277" s="2" t="s">
        <v>18058</v>
      </c>
      <c r="X4277" s="2" t="str">
        <f>"5142135824"</f>
        <v>5142135824</v>
      </c>
      <c r="Y4277" s="2" t="str">
        <f>"4506757937"</f>
        <v>4506757937</v>
      </c>
      <c r="Z4277" s="2"/>
      <c r="AA4277" s="2" t="s">
        <v>456</v>
      </c>
      <c r="AB4277" s="2" t="s">
        <v>457</v>
      </c>
      <c r="AC4277" s="4" t="s">
        <v>44</v>
      </c>
    </row>
    <row r="4278" spans="1:29" x14ac:dyDescent="0.25">
      <c r="A4278" s="1">
        <v>2727</v>
      </c>
      <c r="B4278" s="17" t="s">
        <v>18059</v>
      </c>
      <c r="C4278" s="2" t="s">
        <v>18060</v>
      </c>
      <c r="D4278" s="15" t="s">
        <v>5539</v>
      </c>
      <c r="E4278" s="9" t="s">
        <v>6931</v>
      </c>
      <c r="F4278" s="9" t="s">
        <v>5538</v>
      </c>
      <c r="G4278" s="9" t="s">
        <v>7380</v>
      </c>
      <c r="H4278" s="2" t="s">
        <v>60</v>
      </c>
      <c r="I4278" s="3">
        <v>37410</v>
      </c>
      <c r="J4278" s="9" t="str">
        <f t="shared" ca="1" si="71"/>
        <v>21 ans</v>
      </c>
      <c r="K4278" s="2" t="s">
        <v>262</v>
      </c>
      <c r="L4278" s="2" t="str">
        <f>"11201"</f>
        <v>11201</v>
      </c>
      <c r="M4278" s="2" t="str">
        <f t="shared" ref="M4278:M4283" si="73">"A"</f>
        <v>A</v>
      </c>
      <c r="N4278" s="2" t="str">
        <f>"RUE RICHARD"</f>
        <v>RUE RICHARD</v>
      </c>
      <c r="O4278" s="2" t="s">
        <v>17958</v>
      </c>
      <c r="P4278" s="9" t="str">
        <f>VLOOKUP($O4278,'Liste des Villes'!$B$2:$B$1128,1,FALSE)</f>
        <v>Boisbriand</v>
      </c>
      <c r="Q4278" s="9" t="str">
        <f>IFERROR($P4278,PROPER(VLOOKUP($O4278,'Villes en erreur'!$A$2:$B$72,2,FALSE)))</f>
        <v>Boisbriand</v>
      </c>
      <c r="R4278" s="9" t="s">
        <v>17959</v>
      </c>
      <c r="S4278" s="9" t="str">
        <f>IF(ISBLANK($R4278),"",VLOOKUP($R4278,'Liste des Villes'!$B$2:$H$1128,4,FALSE))</f>
        <v>Laurentides</v>
      </c>
      <c r="T4278" s="2" t="s">
        <v>18061</v>
      </c>
      <c r="U4278" s="2" t="s">
        <v>39</v>
      </c>
      <c r="V4278" s="2" t="s">
        <v>40</v>
      </c>
      <c r="W4278" s="2" t="s">
        <v>18062</v>
      </c>
      <c r="X4278" s="2" t="str">
        <f>"4508483365"</f>
        <v>4508483365</v>
      </c>
      <c r="Y4278" s="2" t="str">
        <f>"4508220241"</f>
        <v>4508220241</v>
      </c>
      <c r="Z4278" s="2"/>
      <c r="AA4278" s="2" t="s">
        <v>456</v>
      </c>
      <c r="AB4278" s="2" t="s">
        <v>457</v>
      </c>
      <c r="AC4278" s="4" t="s">
        <v>44</v>
      </c>
    </row>
    <row r="4279" spans="1:29" x14ac:dyDescent="0.25">
      <c r="A4279" s="1">
        <v>1550</v>
      </c>
      <c r="B4279" s="17" t="s">
        <v>18063</v>
      </c>
      <c r="C4279" s="2" t="s">
        <v>13802</v>
      </c>
      <c r="D4279" s="15" t="s">
        <v>562</v>
      </c>
      <c r="E4279" s="9" t="s">
        <v>13803</v>
      </c>
      <c r="F4279" s="9" t="s">
        <v>599</v>
      </c>
      <c r="G4279" s="9" t="s">
        <v>5276</v>
      </c>
      <c r="H4279" s="2" t="s">
        <v>60</v>
      </c>
      <c r="I4279" s="3">
        <v>37416</v>
      </c>
      <c r="J4279" s="9" t="str">
        <f t="shared" ca="1" si="71"/>
        <v>21 ans</v>
      </c>
      <c r="K4279" s="2" t="s">
        <v>262</v>
      </c>
      <c r="L4279" s="2" t="str">
        <f>"11600"</f>
        <v>11600</v>
      </c>
      <c r="M4279" s="2" t="str">
        <f t="shared" si="73"/>
        <v>A</v>
      </c>
      <c r="N4279" s="2" t="str">
        <f>"RUE ROBERT"</f>
        <v>RUE ROBERT</v>
      </c>
      <c r="O4279" s="2" t="s">
        <v>17958</v>
      </c>
      <c r="P4279" s="9" t="str">
        <f>VLOOKUP($O4279,'Liste des Villes'!$B$2:$B$1128,1,FALSE)</f>
        <v>Boisbriand</v>
      </c>
      <c r="Q4279" s="9" t="str">
        <f>IFERROR($P4279,PROPER(VLOOKUP($O4279,'Villes en erreur'!$A$2:$B$72,2,FALSE)))</f>
        <v>Boisbriand</v>
      </c>
      <c r="R4279" s="9" t="s">
        <v>17959</v>
      </c>
      <c r="S4279" s="9" t="str">
        <f>IF(ISBLANK($R4279),"",VLOOKUP($R4279,'Liste des Villes'!$B$2:$H$1128,4,FALSE))</f>
        <v>Laurentides</v>
      </c>
      <c r="T4279" s="2" t="s">
        <v>18064</v>
      </c>
      <c r="U4279" s="2" t="s">
        <v>39</v>
      </c>
      <c r="V4279" s="2" t="s">
        <v>40</v>
      </c>
      <c r="W4279" s="2" t="s">
        <v>18065</v>
      </c>
      <c r="X4279" s="2" t="str">
        <f>"4508487419"</f>
        <v>4508487419</v>
      </c>
      <c r="Y4279" s="2" t="str">
        <f>"4508211110"</f>
        <v>4508211110</v>
      </c>
      <c r="Z4279" s="2"/>
      <c r="AA4279" s="2" t="s">
        <v>456</v>
      </c>
      <c r="AB4279" s="2" t="s">
        <v>457</v>
      </c>
      <c r="AC4279" s="4" t="s">
        <v>44</v>
      </c>
    </row>
    <row r="4280" spans="1:29" x14ac:dyDescent="0.25">
      <c r="A4280" s="1">
        <v>2289</v>
      </c>
      <c r="B4280" s="17" t="s">
        <v>18066</v>
      </c>
      <c r="C4280" s="2" t="s">
        <v>4506</v>
      </c>
      <c r="D4280" s="15" t="s">
        <v>3883</v>
      </c>
      <c r="E4280" s="9" t="s">
        <v>354</v>
      </c>
      <c r="F4280" s="9" t="s">
        <v>6303</v>
      </c>
      <c r="G4280" s="9" t="s">
        <v>4167</v>
      </c>
      <c r="H4280" s="2" t="s">
        <v>60</v>
      </c>
      <c r="I4280" s="3">
        <v>37419</v>
      </c>
      <c r="J4280" s="9" t="str">
        <f t="shared" ca="1" si="71"/>
        <v>21 ans</v>
      </c>
      <c r="K4280" s="2" t="s">
        <v>262</v>
      </c>
      <c r="L4280" s="2" t="str">
        <f>"11865"</f>
        <v>11865</v>
      </c>
      <c r="M4280" s="2" t="str">
        <f t="shared" si="73"/>
        <v>A</v>
      </c>
      <c r="N4280" s="2" t="str">
        <f>"RUE ROCH-JUTEAU"</f>
        <v>RUE ROCH-JUTEAU</v>
      </c>
      <c r="O4280" s="2" t="s">
        <v>17958</v>
      </c>
      <c r="P4280" s="9" t="str">
        <f>VLOOKUP($O4280,'Liste des Villes'!$B$2:$B$1128,1,FALSE)</f>
        <v>Boisbriand</v>
      </c>
      <c r="Q4280" s="9" t="str">
        <f>IFERROR($P4280,PROPER(VLOOKUP($O4280,'Villes en erreur'!$A$2:$B$72,2,FALSE)))</f>
        <v>Boisbriand</v>
      </c>
      <c r="R4280" s="9" t="s">
        <v>17959</v>
      </c>
      <c r="S4280" s="9" t="str">
        <f>IF(ISBLANK($R4280),"",VLOOKUP($R4280,'Liste des Villes'!$B$2:$H$1128,4,FALSE))</f>
        <v>Laurentides</v>
      </c>
      <c r="T4280" s="2" t="s">
        <v>18067</v>
      </c>
      <c r="U4280" s="2" t="s">
        <v>39</v>
      </c>
      <c r="V4280" s="2" t="s">
        <v>40</v>
      </c>
      <c r="W4280" s="2" t="s">
        <v>18068</v>
      </c>
      <c r="X4280" s="2" t="str">
        <f>"4508581362"</f>
        <v>4508581362</v>
      </c>
      <c r="Y4280" s="2" t="str">
        <f>"4507129355"</f>
        <v>4507129355</v>
      </c>
      <c r="Z4280" s="2"/>
      <c r="AA4280" s="2" t="s">
        <v>456</v>
      </c>
      <c r="AB4280" s="2" t="s">
        <v>457</v>
      </c>
      <c r="AC4280" s="4" t="s">
        <v>44</v>
      </c>
    </row>
    <row r="4281" spans="1:29" x14ac:dyDescent="0.25">
      <c r="A4281" s="1">
        <v>2807</v>
      </c>
      <c r="B4281" s="17" t="s">
        <v>18069</v>
      </c>
      <c r="C4281" s="2" t="s">
        <v>18070</v>
      </c>
      <c r="D4281" s="15" t="s">
        <v>14169</v>
      </c>
      <c r="E4281" s="9" t="s">
        <v>2796</v>
      </c>
      <c r="F4281" s="9" t="s">
        <v>14168</v>
      </c>
      <c r="G4281" s="9" t="s">
        <v>4167</v>
      </c>
      <c r="H4281" s="2" t="s">
        <v>60</v>
      </c>
      <c r="I4281" s="3">
        <v>37419</v>
      </c>
      <c r="J4281" s="9" t="str">
        <f t="shared" ca="1" si="71"/>
        <v>21 ans</v>
      </c>
      <c r="K4281" s="2" t="s">
        <v>262</v>
      </c>
      <c r="L4281" s="2" t="str">
        <f>"11860"</f>
        <v>11860</v>
      </c>
      <c r="M4281" s="2" t="str">
        <f t="shared" si="73"/>
        <v>A</v>
      </c>
      <c r="N4281" s="2" t="str">
        <f>"RUE ROBITAILLE"</f>
        <v>RUE ROBITAILLE</v>
      </c>
      <c r="O4281" s="2" t="s">
        <v>17958</v>
      </c>
      <c r="P4281" s="9" t="str">
        <f>VLOOKUP($O4281,'Liste des Villes'!$B$2:$B$1128,1,FALSE)</f>
        <v>Boisbriand</v>
      </c>
      <c r="Q4281" s="9" t="str">
        <f>IFERROR($P4281,PROPER(VLOOKUP($O4281,'Villes en erreur'!$A$2:$B$72,2,FALSE)))</f>
        <v>Boisbriand</v>
      </c>
      <c r="R4281" s="9" t="s">
        <v>17959</v>
      </c>
      <c r="S4281" s="9" t="str">
        <f>IF(ISBLANK($R4281),"",VLOOKUP($R4281,'Liste des Villes'!$B$2:$H$1128,4,FALSE))</f>
        <v>Laurentides</v>
      </c>
      <c r="T4281" s="2" t="s">
        <v>18067</v>
      </c>
      <c r="U4281" s="2" t="s">
        <v>39</v>
      </c>
      <c r="V4281" s="2" t="s">
        <v>40</v>
      </c>
      <c r="W4281" s="2" t="s">
        <v>18071</v>
      </c>
      <c r="X4281" s="2" t="str">
        <f>"4508581302"</f>
        <v>4508581302</v>
      </c>
      <c r="Y4281" s="2" t="str">
        <f>"4507129424"</f>
        <v>4507129424</v>
      </c>
      <c r="Z4281" s="2"/>
      <c r="AA4281" s="2" t="s">
        <v>456</v>
      </c>
      <c r="AB4281" s="2" t="s">
        <v>457</v>
      </c>
      <c r="AC4281" s="4" t="s">
        <v>44</v>
      </c>
    </row>
    <row r="4282" spans="1:29" x14ac:dyDescent="0.25">
      <c r="A4282" s="1">
        <v>326</v>
      </c>
      <c r="B4282" s="17" t="s">
        <v>18072</v>
      </c>
      <c r="C4282" s="2" t="s">
        <v>18073</v>
      </c>
      <c r="D4282" s="15" t="s">
        <v>18028</v>
      </c>
      <c r="E4282" s="9" t="s">
        <v>10892</v>
      </c>
      <c r="F4282" s="9" t="s">
        <v>2486</v>
      </c>
      <c r="G4282" s="9" t="s">
        <v>1361</v>
      </c>
      <c r="H4282" s="2" t="s">
        <v>60</v>
      </c>
      <c r="I4282" s="3">
        <v>37407</v>
      </c>
      <c r="J4282" s="9" t="str">
        <f t="shared" ca="1" si="71"/>
        <v>21 ans</v>
      </c>
      <c r="K4282" s="2" t="s">
        <v>262</v>
      </c>
      <c r="L4282" s="2" t="str">
        <f>"11065"</f>
        <v>11065</v>
      </c>
      <c r="M4282" s="2" t="str">
        <f t="shared" si="73"/>
        <v>A</v>
      </c>
      <c r="N4282" s="2" t="str">
        <f>"RUE RENÉ-GOUPIL"</f>
        <v>RUE RENÉ-GOUPIL</v>
      </c>
      <c r="O4282" s="2" t="s">
        <v>17958</v>
      </c>
      <c r="P4282" s="9" t="str">
        <f>VLOOKUP($O4282,'Liste des Villes'!$B$2:$B$1128,1,FALSE)</f>
        <v>Boisbriand</v>
      </c>
      <c r="Q4282" s="9" t="str">
        <f>IFERROR($P4282,PROPER(VLOOKUP($O4282,'Villes en erreur'!$A$2:$B$72,2,FALSE)))</f>
        <v>Boisbriand</v>
      </c>
      <c r="R4282" s="9" t="s">
        <v>17959</v>
      </c>
      <c r="S4282" s="9" t="str">
        <f>IF(ISBLANK($R4282),"",VLOOKUP($R4282,'Liste des Villes'!$B$2:$H$1128,4,FALSE))</f>
        <v>Laurentides</v>
      </c>
      <c r="T4282" s="2" t="s">
        <v>18074</v>
      </c>
      <c r="U4282" s="2" t="s">
        <v>39</v>
      </c>
      <c r="V4282" s="2" t="s">
        <v>40</v>
      </c>
      <c r="W4282" s="2" t="s">
        <v>18075</v>
      </c>
      <c r="X4282" s="2" t="str">
        <f>"4508480537"</f>
        <v>4508480537</v>
      </c>
      <c r="Y4282" s="2" t="str">
        <f>"4508222387"</f>
        <v>4508222387</v>
      </c>
      <c r="Z4282" s="2"/>
      <c r="AA4282" s="2" t="s">
        <v>456</v>
      </c>
      <c r="AB4282" s="2" t="s">
        <v>457</v>
      </c>
      <c r="AC4282" s="4" t="s">
        <v>44</v>
      </c>
    </row>
    <row r="4283" spans="1:29" x14ac:dyDescent="0.25">
      <c r="A4283" s="1">
        <v>3793</v>
      </c>
      <c r="B4283" s="17" t="s">
        <v>18076</v>
      </c>
      <c r="C4283" s="2" t="s">
        <v>18077</v>
      </c>
      <c r="D4283" s="15" t="s">
        <v>2148</v>
      </c>
      <c r="E4283" s="9" t="s">
        <v>3364</v>
      </c>
      <c r="F4283" s="9" t="s">
        <v>2147</v>
      </c>
      <c r="G4283" s="9" t="s">
        <v>6703</v>
      </c>
      <c r="H4283" s="2" t="s">
        <v>60</v>
      </c>
      <c r="I4283" s="3">
        <v>37424</v>
      </c>
      <c r="J4283" s="9" t="str">
        <f t="shared" ca="1" si="71"/>
        <v>21 ans</v>
      </c>
      <c r="K4283" s="2" t="s">
        <v>262</v>
      </c>
      <c r="L4283" s="2" t="str">
        <f>"12667"</f>
        <v>12667</v>
      </c>
      <c r="M4283" s="2" t="str">
        <f t="shared" si="73"/>
        <v>A</v>
      </c>
      <c r="N4283" s="2" t="str">
        <f>"RUE ROGER-THOMAS"</f>
        <v>RUE ROGER-THOMAS</v>
      </c>
      <c r="O4283" s="2" t="s">
        <v>17958</v>
      </c>
      <c r="P4283" s="9" t="str">
        <f>VLOOKUP($O4283,'Liste des Villes'!$B$2:$B$1128,1,FALSE)</f>
        <v>Boisbriand</v>
      </c>
      <c r="Q4283" s="9" t="str">
        <f>IFERROR($P4283,PROPER(VLOOKUP($O4283,'Villes en erreur'!$A$2:$B$72,2,FALSE)))</f>
        <v>Boisbriand</v>
      </c>
      <c r="R4283" s="9" t="s">
        <v>17959</v>
      </c>
      <c r="S4283" s="9" t="str">
        <f>IF(ISBLANK($R4283),"",VLOOKUP($R4283,'Liste des Villes'!$B$2:$H$1128,4,FALSE))</f>
        <v>Laurentides</v>
      </c>
      <c r="T4283" s="2" t="s">
        <v>18053</v>
      </c>
      <c r="U4283" s="2" t="s">
        <v>39</v>
      </c>
      <c r="V4283" s="2" t="s">
        <v>40</v>
      </c>
      <c r="W4283" s="2" t="s">
        <v>18078</v>
      </c>
      <c r="X4283" s="2" t="str">
        <f>"4509512054"</f>
        <v>4509512054</v>
      </c>
      <c r="Y4283" s="2" t="str">
        <f>"4507120997"</f>
        <v>4507120997</v>
      </c>
      <c r="Z4283" s="2"/>
      <c r="AA4283" s="2" t="s">
        <v>456</v>
      </c>
      <c r="AB4283" s="2" t="s">
        <v>457</v>
      </c>
      <c r="AC4283" s="4" t="s">
        <v>44</v>
      </c>
    </row>
    <row r="4284" spans="1:29" x14ac:dyDescent="0.25">
      <c r="A4284" s="1">
        <v>2687</v>
      </c>
      <c r="B4284" s="17" t="s">
        <v>18079</v>
      </c>
      <c r="C4284" s="2" t="s">
        <v>18080</v>
      </c>
      <c r="D4284" s="15" t="s">
        <v>9199</v>
      </c>
      <c r="E4284" s="9" t="s">
        <v>7542</v>
      </c>
      <c r="F4284" s="9" t="s">
        <v>1716</v>
      </c>
      <c r="G4284" s="9" t="s">
        <v>1361</v>
      </c>
      <c r="H4284" s="2" t="s">
        <v>60</v>
      </c>
      <c r="I4284" s="3">
        <v>37406</v>
      </c>
      <c r="J4284" s="9" t="str">
        <f t="shared" ca="1" si="71"/>
        <v>21 ans</v>
      </c>
      <c r="K4284" s="2" t="s">
        <v>262</v>
      </c>
      <c r="L4284" s="2" t="str">
        <f>"11026"</f>
        <v>11026</v>
      </c>
      <c r="M4284" s="2" t="str">
        <f>"B"</f>
        <v>B</v>
      </c>
      <c r="N4284" s="2" t="str">
        <f>"RUE RENÉ"</f>
        <v>RUE RENÉ</v>
      </c>
      <c r="O4284" s="2" t="s">
        <v>17958</v>
      </c>
      <c r="P4284" s="9" t="str">
        <f>VLOOKUP($O4284,'Liste des Villes'!$B$2:$B$1128,1,FALSE)</f>
        <v>Boisbriand</v>
      </c>
      <c r="Q4284" s="9" t="str">
        <f>IFERROR($P4284,PROPER(VLOOKUP($O4284,'Villes en erreur'!$A$2:$B$72,2,FALSE)))</f>
        <v>Boisbriand</v>
      </c>
      <c r="R4284" s="9" t="s">
        <v>17959</v>
      </c>
      <c r="S4284" s="9" t="str">
        <f>IF(ISBLANK($R4284),"",VLOOKUP($R4284,'Liste des Villes'!$B$2:$H$1128,4,FALSE))</f>
        <v>Laurentides</v>
      </c>
      <c r="T4284" s="2" t="s">
        <v>18043</v>
      </c>
      <c r="U4284" s="2" t="s">
        <v>39</v>
      </c>
      <c r="V4284" s="2" t="s">
        <v>40</v>
      </c>
      <c r="W4284" s="2" t="s">
        <v>18081</v>
      </c>
      <c r="X4284" s="2" t="str">
        <f>"4508480243"</f>
        <v>4508480243</v>
      </c>
      <c r="Y4284" s="2" t="str">
        <f>"4508222803"</f>
        <v>4508222803</v>
      </c>
      <c r="Z4284" s="2"/>
      <c r="AA4284" s="2" t="s">
        <v>456</v>
      </c>
      <c r="AB4284" s="2" t="s">
        <v>457</v>
      </c>
      <c r="AC4284" s="4" t="s">
        <v>44</v>
      </c>
    </row>
    <row r="4285" spans="1:29" x14ac:dyDescent="0.25">
      <c r="A4285" s="1">
        <v>2144</v>
      </c>
      <c r="B4285" s="17" t="s">
        <v>18082</v>
      </c>
      <c r="C4285" s="2" t="s">
        <v>18083</v>
      </c>
      <c r="D4285" s="15" t="s">
        <v>7737</v>
      </c>
      <c r="E4285" s="9" t="s">
        <v>4331</v>
      </c>
      <c r="F4285" s="9" t="s">
        <v>5420</v>
      </c>
      <c r="G4285" s="9" t="s">
        <v>6703</v>
      </c>
      <c r="H4285" s="2" t="s">
        <v>60</v>
      </c>
      <c r="I4285" s="3">
        <v>37423</v>
      </c>
      <c r="J4285" s="9" t="str">
        <f t="shared" ca="1" si="71"/>
        <v>21 ans</v>
      </c>
      <c r="K4285" s="2" t="s">
        <v>262</v>
      </c>
      <c r="L4285" s="2" t="str">
        <f>"12379"</f>
        <v>12379</v>
      </c>
      <c r="M4285" s="2" t="str">
        <f>"A"</f>
        <v>A</v>
      </c>
      <c r="N4285" s="2" t="str">
        <f>"RUE ROGER-BOISVERT"</f>
        <v>RUE ROGER-BOISVERT</v>
      </c>
      <c r="O4285" s="2" t="s">
        <v>17958</v>
      </c>
      <c r="P4285" s="9" t="str">
        <f>VLOOKUP($O4285,'Liste des Villes'!$B$2:$B$1128,1,FALSE)</f>
        <v>Boisbriand</v>
      </c>
      <c r="Q4285" s="9" t="str">
        <f>IFERROR($P4285,PROPER(VLOOKUP($O4285,'Villes en erreur'!$A$2:$B$72,2,FALSE)))</f>
        <v>Boisbriand</v>
      </c>
      <c r="R4285" s="9" t="s">
        <v>17959</v>
      </c>
      <c r="S4285" s="9" t="str">
        <f>IF(ISBLANK($R4285),"",VLOOKUP($R4285,'Liste des Villes'!$B$2:$H$1128,4,FALSE))</f>
        <v>Laurentides</v>
      </c>
      <c r="T4285" s="2" t="s">
        <v>18084</v>
      </c>
      <c r="U4285" s="2" t="s">
        <v>39</v>
      </c>
      <c r="V4285" s="2" t="s">
        <v>40</v>
      </c>
      <c r="W4285" s="2" t="s">
        <v>18085</v>
      </c>
      <c r="X4285" s="2" t="str">
        <f>"4509178509"</f>
        <v>4509178509</v>
      </c>
      <c r="Y4285" s="2" t="str">
        <f>"4507123409"</f>
        <v>4507123409</v>
      </c>
      <c r="Z4285" s="2"/>
      <c r="AA4285" s="2" t="s">
        <v>456</v>
      </c>
      <c r="AB4285" s="2" t="s">
        <v>457</v>
      </c>
      <c r="AC4285" s="4" t="s">
        <v>44</v>
      </c>
    </row>
    <row r="4286" spans="1:29" x14ac:dyDescent="0.25">
      <c r="A4286" s="1">
        <v>1988</v>
      </c>
      <c r="B4286" s="17" t="s">
        <v>18086</v>
      </c>
      <c r="C4286" s="2" t="s">
        <v>530</v>
      </c>
      <c r="D4286" s="15" t="s">
        <v>531</v>
      </c>
      <c r="E4286" s="9" t="s">
        <v>532</v>
      </c>
      <c r="F4286" s="9" t="s">
        <v>533</v>
      </c>
      <c r="G4286" s="9" t="s">
        <v>5276</v>
      </c>
      <c r="H4286" s="2" t="s">
        <v>60</v>
      </c>
      <c r="I4286" s="3">
        <v>37417</v>
      </c>
      <c r="J4286" s="9" t="str">
        <f t="shared" ca="1" si="71"/>
        <v>21 ans</v>
      </c>
      <c r="K4286" s="2" t="s">
        <v>262</v>
      </c>
      <c r="L4286" s="2" t="str">
        <f>"11605"</f>
        <v>11605</v>
      </c>
      <c r="M4286" s="2" t="str">
        <f>"A"</f>
        <v>A</v>
      </c>
      <c r="N4286" s="2" t="str">
        <f>"RUE ROBERT"</f>
        <v>RUE ROBERT</v>
      </c>
      <c r="O4286" s="2" t="s">
        <v>17958</v>
      </c>
      <c r="P4286" s="9" t="str">
        <f>VLOOKUP($O4286,'Liste des Villes'!$B$2:$B$1128,1,FALSE)</f>
        <v>Boisbriand</v>
      </c>
      <c r="Q4286" s="9" t="str">
        <f>IFERROR($P4286,PROPER(VLOOKUP($O4286,'Villes en erreur'!$A$2:$B$72,2,FALSE)))</f>
        <v>Boisbriand</v>
      </c>
      <c r="R4286" s="9" t="s">
        <v>17959</v>
      </c>
      <c r="S4286" s="9" t="str">
        <f>IF(ISBLANK($R4286),"",VLOOKUP($R4286,'Liste des Villes'!$B$2:$H$1128,4,FALSE))</f>
        <v>Laurentides</v>
      </c>
      <c r="T4286" s="2" t="s">
        <v>18087</v>
      </c>
      <c r="U4286" s="2" t="s">
        <v>39</v>
      </c>
      <c r="V4286" s="2" t="s">
        <v>40</v>
      </c>
      <c r="W4286" s="2" t="s">
        <v>18088</v>
      </c>
      <c r="X4286" s="2" t="str">
        <f>"4508489440"</f>
        <v>4508489440</v>
      </c>
      <c r="Y4286" s="2" t="str">
        <f>"4508184935"</f>
        <v>4508184935</v>
      </c>
      <c r="Z4286" s="2"/>
      <c r="AA4286" s="2" t="s">
        <v>456</v>
      </c>
      <c r="AB4286" s="2" t="s">
        <v>457</v>
      </c>
      <c r="AC4286" s="4" t="s">
        <v>44</v>
      </c>
    </row>
    <row r="4287" spans="1:29" x14ac:dyDescent="0.25">
      <c r="A4287" s="1">
        <v>847</v>
      </c>
      <c r="B4287" s="17" t="s">
        <v>18089</v>
      </c>
      <c r="C4287" s="2" t="s">
        <v>310</v>
      </c>
      <c r="D4287" s="15" t="s">
        <v>311</v>
      </c>
      <c r="E4287" s="9" t="s">
        <v>99</v>
      </c>
      <c r="F4287" s="9" t="s">
        <v>312</v>
      </c>
      <c r="G4287" s="9" t="s">
        <v>7777</v>
      </c>
      <c r="H4287" s="2" t="s">
        <v>60</v>
      </c>
      <c r="I4287" s="3">
        <v>37425</v>
      </c>
      <c r="J4287" s="9" t="str">
        <f t="shared" ca="1" si="71"/>
        <v>21 ans</v>
      </c>
      <c r="K4287" s="2" t="s">
        <v>262</v>
      </c>
      <c r="L4287" s="2" t="str">
        <f>"12715"</f>
        <v>12715</v>
      </c>
      <c r="M4287" s="2" t="str">
        <f>"9B"</f>
        <v>9B</v>
      </c>
      <c r="N4287" s="2" t="str">
        <f>"RUE ROLLAND"</f>
        <v>RUE ROLLAND</v>
      </c>
      <c r="O4287" s="2" t="s">
        <v>17958</v>
      </c>
      <c r="P4287" s="9" t="str">
        <f>VLOOKUP($O4287,'Liste des Villes'!$B$2:$B$1128,1,FALSE)</f>
        <v>Boisbriand</v>
      </c>
      <c r="Q4287" s="9" t="str">
        <f>IFERROR($P4287,PROPER(VLOOKUP($O4287,'Villes en erreur'!$A$2:$B$72,2,FALSE)))</f>
        <v>Boisbriand</v>
      </c>
      <c r="R4287" s="9" t="s">
        <v>17959</v>
      </c>
      <c r="S4287" s="9" t="str">
        <f>IF(ISBLANK($R4287),"",VLOOKUP($R4287,'Liste des Villes'!$B$2:$H$1128,4,FALSE))</f>
        <v>Laurentides</v>
      </c>
      <c r="T4287" s="2" t="s">
        <v>18090</v>
      </c>
      <c r="U4287" s="2" t="s">
        <v>39</v>
      </c>
      <c r="V4287" s="2" t="s">
        <v>40</v>
      </c>
      <c r="W4287" s="2" t="s">
        <v>18091</v>
      </c>
      <c r="X4287" s="2" t="str">
        <f>"5142079458"</f>
        <v>5142079458</v>
      </c>
      <c r="Y4287" s="2" t="str">
        <f>"4506758992"</f>
        <v>4506758992</v>
      </c>
      <c r="Z4287" s="2"/>
      <c r="AA4287" s="2" t="s">
        <v>456</v>
      </c>
      <c r="AB4287" s="2" t="s">
        <v>457</v>
      </c>
      <c r="AC4287" s="4" t="s">
        <v>44</v>
      </c>
    </row>
    <row r="4288" spans="1:29" x14ac:dyDescent="0.25">
      <c r="A4288" s="1">
        <v>3072</v>
      </c>
      <c r="B4288" s="17" t="s">
        <v>18092</v>
      </c>
      <c r="C4288" s="2" t="s">
        <v>3040</v>
      </c>
      <c r="D4288" s="15" t="s">
        <v>3041</v>
      </c>
      <c r="E4288" s="9" t="s">
        <v>698</v>
      </c>
      <c r="F4288" s="9" t="s">
        <v>3042</v>
      </c>
      <c r="G4288" s="9" t="s">
        <v>7380</v>
      </c>
      <c r="H4288" s="2" t="s">
        <v>60</v>
      </c>
      <c r="I4288" s="3">
        <v>37410</v>
      </c>
      <c r="J4288" s="9" t="str">
        <f t="shared" ca="1" si="71"/>
        <v>21 ans</v>
      </c>
      <c r="K4288" s="2" t="s">
        <v>262</v>
      </c>
      <c r="L4288" s="2" t="str">
        <f>"11220"</f>
        <v>11220</v>
      </c>
      <c r="M4288" s="2" t="str">
        <f>"A"</f>
        <v>A</v>
      </c>
      <c r="N4288" s="2" t="str">
        <f>"RUE RICHARD"</f>
        <v>RUE RICHARD</v>
      </c>
      <c r="O4288" s="2" t="s">
        <v>17958</v>
      </c>
      <c r="P4288" s="9" t="str">
        <f>VLOOKUP($O4288,'Liste des Villes'!$B$2:$B$1128,1,FALSE)</f>
        <v>Boisbriand</v>
      </c>
      <c r="Q4288" s="9" t="str">
        <f>IFERROR($P4288,PROPER(VLOOKUP($O4288,'Villes en erreur'!$A$2:$B$72,2,FALSE)))</f>
        <v>Boisbriand</v>
      </c>
      <c r="R4288" s="9" t="s">
        <v>17959</v>
      </c>
      <c r="S4288" s="9" t="str">
        <f>IF(ISBLANK($R4288),"",VLOOKUP($R4288,'Liste des Villes'!$B$2:$H$1128,4,FALSE))</f>
        <v>Laurentides</v>
      </c>
      <c r="T4288" s="2" t="s">
        <v>18093</v>
      </c>
      <c r="U4288" s="2" t="s">
        <v>39</v>
      </c>
      <c r="V4288" s="2" t="s">
        <v>40</v>
      </c>
      <c r="W4288" s="2" t="s">
        <v>18094</v>
      </c>
      <c r="X4288" s="2" t="str">
        <f>"4508483562"</f>
        <v>4508483562</v>
      </c>
      <c r="Y4288" s="2" t="str">
        <f>"4508219960"</f>
        <v>4508219960</v>
      </c>
      <c r="Z4288" s="2"/>
      <c r="AA4288" s="2" t="s">
        <v>456</v>
      </c>
      <c r="AB4288" s="2" t="s">
        <v>457</v>
      </c>
      <c r="AC4288" s="4" t="s">
        <v>44</v>
      </c>
    </row>
    <row r="4289" spans="1:29" x14ac:dyDescent="0.25">
      <c r="A4289" s="1">
        <v>3468</v>
      </c>
      <c r="B4289" s="17" t="s">
        <v>18095</v>
      </c>
      <c r="C4289" s="2" t="s">
        <v>1831</v>
      </c>
      <c r="D4289" s="15" t="s">
        <v>1832</v>
      </c>
      <c r="E4289" s="9" t="s">
        <v>698</v>
      </c>
      <c r="F4289" s="9" t="s">
        <v>7891</v>
      </c>
      <c r="G4289" s="9" t="s">
        <v>2847</v>
      </c>
      <c r="H4289" s="2" t="s">
        <v>60</v>
      </c>
      <c r="I4289" s="3">
        <v>37407</v>
      </c>
      <c r="J4289" s="9" t="str">
        <f t="shared" ca="1" si="71"/>
        <v>21 ans</v>
      </c>
      <c r="K4289" s="2" t="s">
        <v>262</v>
      </c>
      <c r="L4289" s="2" t="str">
        <f>"11140"</f>
        <v>11140</v>
      </c>
      <c r="M4289" s="2" t="str">
        <f>"A"</f>
        <v>A</v>
      </c>
      <c r="N4289" s="2" t="str">
        <f>"RUE RENÉ-GOUPIL"</f>
        <v>RUE RENÉ-GOUPIL</v>
      </c>
      <c r="O4289" s="2" t="s">
        <v>17958</v>
      </c>
      <c r="P4289" s="9" t="str">
        <f>VLOOKUP($O4289,'Liste des Villes'!$B$2:$B$1128,1,FALSE)</f>
        <v>Boisbriand</v>
      </c>
      <c r="Q4289" s="9" t="str">
        <f>IFERROR($P4289,PROPER(VLOOKUP($O4289,'Villes en erreur'!$A$2:$B$72,2,FALSE)))</f>
        <v>Boisbriand</v>
      </c>
      <c r="R4289" s="9" t="s">
        <v>17959</v>
      </c>
      <c r="S4289" s="9" t="str">
        <f>IF(ISBLANK($R4289),"",VLOOKUP($R4289,'Liste des Villes'!$B$2:$H$1128,4,FALSE))</f>
        <v>Laurentides</v>
      </c>
      <c r="T4289" s="2" t="s">
        <v>18074</v>
      </c>
      <c r="U4289" s="2" t="s">
        <v>39</v>
      </c>
      <c r="V4289" s="2" t="s">
        <v>40</v>
      </c>
      <c r="W4289" s="2" t="s">
        <v>18096</v>
      </c>
      <c r="X4289" s="2" t="str">
        <f>"4508480906"</f>
        <v>4508480906</v>
      </c>
      <c r="Y4289" s="2" t="str">
        <f>"4508222342"</f>
        <v>4508222342</v>
      </c>
      <c r="Z4289" s="2"/>
      <c r="AA4289" s="2" t="s">
        <v>456</v>
      </c>
      <c r="AB4289" s="2" t="s">
        <v>457</v>
      </c>
      <c r="AC4289" s="4" t="s">
        <v>44</v>
      </c>
    </row>
    <row r="4290" spans="1:29" x14ac:dyDescent="0.25">
      <c r="A4290" s="1">
        <v>2529</v>
      </c>
      <c r="B4290" s="17" t="s">
        <v>18097</v>
      </c>
      <c r="C4290" s="2" t="s">
        <v>7831</v>
      </c>
      <c r="D4290" s="15" t="s">
        <v>115</v>
      </c>
      <c r="E4290" s="9" t="s">
        <v>2614</v>
      </c>
      <c r="F4290" s="9" t="s">
        <v>812</v>
      </c>
      <c r="G4290" s="9" t="s">
        <v>1361</v>
      </c>
      <c r="H4290" s="2" t="s">
        <v>60</v>
      </c>
      <c r="I4290" s="3">
        <v>37406</v>
      </c>
      <c r="J4290" s="9" t="str">
        <f t="shared" ref="J4290:J4353" ca="1" si="74">_xlfn.CONCAT(INT((TODAY()-$I4290)/365.25)," ans")</f>
        <v>21 ans</v>
      </c>
      <c r="K4290" s="2" t="s">
        <v>262</v>
      </c>
      <c r="L4290" s="2" t="str">
        <f>"11060"</f>
        <v>11060</v>
      </c>
      <c r="M4290" s="2" t="str">
        <f>"APP 6"</f>
        <v>APP 6</v>
      </c>
      <c r="N4290" s="2" t="str">
        <f>"RUE RENÉ-GOUPIL"</f>
        <v>RUE RENÉ-GOUPIL</v>
      </c>
      <c r="O4290" s="2" t="s">
        <v>17958</v>
      </c>
      <c r="P4290" s="9" t="str">
        <f>VLOOKUP($O4290,'Liste des Villes'!$B$2:$B$1128,1,FALSE)</f>
        <v>Boisbriand</v>
      </c>
      <c r="Q4290" s="9" t="str">
        <f>IFERROR($P4290,PROPER(VLOOKUP($O4290,'Villes en erreur'!$A$2:$B$72,2,FALSE)))</f>
        <v>Boisbriand</v>
      </c>
      <c r="R4290" s="9" t="s">
        <v>17959</v>
      </c>
      <c r="S4290" s="9" t="str">
        <f>IF(ISBLANK($R4290),"",VLOOKUP($R4290,'Liste des Villes'!$B$2:$H$1128,4,FALSE))</f>
        <v>Laurentides</v>
      </c>
      <c r="T4290" s="2" t="s">
        <v>18098</v>
      </c>
      <c r="U4290" s="2" t="s">
        <v>39</v>
      </c>
      <c r="V4290" s="2" t="s">
        <v>40</v>
      </c>
      <c r="W4290" s="2" t="s">
        <v>18099</v>
      </c>
      <c r="X4290" s="2" t="str">
        <f>"4508480284"</f>
        <v>4508480284</v>
      </c>
      <c r="Y4290" s="2" t="str">
        <f>"4508222470"</f>
        <v>4508222470</v>
      </c>
      <c r="Z4290" s="2"/>
      <c r="AA4290" s="2" t="s">
        <v>456</v>
      </c>
      <c r="AB4290" s="2" t="s">
        <v>457</v>
      </c>
      <c r="AC4290" s="4" t="s">
        <v>44</v>
      </c>
    </row>
    <row r="4291" spans="1:29" x14ac:dyDescent="0.25">
      <c r="A4291" s="1">
        <v>1390</v>
      </c>
      <c r="B4291" s="17" t="s">
        <v>18100</v>
      </c>
      <c r="C4291" s="2" t="s">
        <v>18101</v>
      </c>
      <c r="D4291" s="15" t="s">
        <v>934</v>
      </c>
      <c r="E4291" s="9" t="s">
        <v>797</v>
      </c>
      <c r="F4291" s="9" t="s">
        <v>936</v>
      </c>
      <c r="G4291" s="9" t="s">
        <v>18102</v>
      </c>
      <c r="H4291" s="2" t="s">
        <v>60</v>
      </c>
      <c r="I4291" s="3">
        <v>37420</v>
      </c>
      <c r="J4291" s="9" t="str">
        <f t="shared" ca="1" si="74"/>
        <v>21 ans</v>
      </c>
      <c r="K4291" s="2" t="s">
        <v>262</v>
      </c>
      <c r="L4291" s="2" t="str">
        <f>"11865"</f>
        <v>11865</v>
      </c>
      <c r="M4291" s="2" t="str">
        <f t="shared" ref="M4291:M4298" si="75">"A"</f>
        <v>A</v>
      </c>
      <c r="N4291" s="2" t="str">
        <f>"RUE ROCHON"</f>
        <v>RUE ROCHON</v>
      </c>
      <c r="O4291" s="2" t="s">
        <v>17958</v>
      </c>
      <c r="P4291" s="9" t="str">
        <f>VLOOKUP($O4291,'Liste des Villes'!$B$2:$B$1128,1,FALSE)</f>
        <v>Boisbriand</v>
      </c>
      <c r="Q4291" s="9" t="str">
        <f>IFERROR($P4291,PROPER(VLOOKUP($O4291,'Villes en erreur'!$A$2:$B$72,2,FALSE)))</f>
        <v>Boisbriand</v>
      </c>
      <c r="R4291" s="9" t="s">
        <v>17959</v>
      </c>
      <c r="S4291" s="9" t="str">
        <f>IF(ISBLANK($R4291),"",VLOOKUP($R4291,'Liste des Villes'!$B$2:$H$1128,4,FALSE))</f>
        <v>Laurentides</v>
      </c>
      <c r="T4291" s="2" t="s">
        <v>18103</v>
      </c>
      <c r="U4291" s="2" t="s">
        <v>39</v>
      </c>
      <c r="V4291" s="2" t="s">
        <v>40</v>
      </c>
      <c r="W4291" s="2" t="s">
        <v>18104</v>
      </c>
      <c r="X4291" s="2" t="str">
        <f>"4508581910"</f>
        <v>4508581910</v>
      </c>
      <c r="Y4291" s="2" t="str">
        <f>"4507128822"</f>
        <v>4507128822</v>
      </c>
      <c r="Z4291" s="2"/>
      <c r="AA4291" s="2" t="s">
        <v>456</v>
      </c>
      <c r="AB4291" s="2" t="s">
        <v>457</v>
      </c>
      <c r="AC4291" s="4" t="s">
        <v>44</v>
      </c>
    </row>
    <row r="4292" spans="1:29" x14ac:dyDescent="0.25">
      <c r="A4292" s="1">
        <v>1171</v>
      </c>
      <c r="B4292" s="17" t="s">
        <v>18105</v>
      </c>
      <c r="C4292" s="2" t="s">
        <v>18106</v>
      </c>
      <c r="D4292" s="15" t="s">
        <v>4142</v>
      </c>
      <c r="E4292" s="9" t="s">
        <v>3597</v>
      </c>
      <c r="F4292" s="9" t="s">
        <v>4141</v>
      </c>
      <c r="G4292" s="9" t="s">
        <v>2641</v>
      </c>
      <c r="H4292" s="2" t="s">
        <v>60</v>
      </c>
      <c r="I4292" s="3">
        <v>37422</v>
      </c>
      <c r="J4292" s="9" t="str">
        <f t="shared" ca="1" si="74"/>
        <v>21 ans</v>
      </c>
      <c r="K4292" s="2" t="s">
        <v>262</v>
      </c>
      <c r="L4292" s="2" t="str">
        <f>"12027"</f>
        <v>12027</v>
      </c>
      <c r="M4292" s="2" t="str">
        <f t="shared" si="75"/>
        <v>A</v>
      </c>
      <c r="N4292" s="2" t="str">
        <f>"RUE RODRIGUE"</f>
        <v>RUE RODRIGUE</v>
      </c>
      <c r="O4292" s="2" t="s">
        <v>17958</v>
      </c>
      <c r="P4292" s="9" t="str">
        <f>VLOOKUP($O4292,'Liste des Villes'!$B$2:$B$1128,1,FALSE)</f>
        <v>Boisbriand</v>
      </c>
      <c r="Q4292" s="9" t="str">
        <f>IFERROR($P4292,PROPER(VLOOKUP($O4292,'Villes en erreur'!$A$2:$B$72,2,FALSE)))</f>
        <v>Boisbriand</v>
      </c>
      <c r="R4292" s="9" t="s">
        <v>17959</v>
      </c>
      <c r="S4292" s="9" t="str">
        <f>IF(ISBLANK($R4292),"",VLOOKUP($R4292,'Liste des Villes'!$B$2:$H$1128,4,FALSE))</f>
        <v>Laurentides</v>
      </c>
      <c r="T4292" s="2" t="s">
        <v>18107</v>
      </c>
      <c r="U4292" s="2" t="s">
        <v>39</v>
      </c>
      <c r="V4292" s="2" t="s">
        <v>40</v>
      </c>
      <c r="W4292" s="2" t="s">
        <v>18108</v>
      </c>
      <c r="X4292" s="2" t="str">
        <f>"4508582590"</f>
        <v>4508582590</v>
      </c>
      <c r="Y4292" s="2" t="str">
        <f>"4507126973"</f>
        <v>4507126973</v>
      </c>
      <c r="Z4292" s="2"/>
      <c r="AA4292" s="2" t="s">
        <v>456</v>
      </c>
      <c r="AB4292" s="2" t="s">
        <v>457</v>
      </c>
      <c r="AC4292" s="4" t="s">
        <v>44</v>
      </c>
    </row>
    <row r="4293" spans="1:29" x14ac:dyDescent="0.25">
      <c r="A4293" s="1">
        <v>1623</v>
      </c>
      <c r="B4293" s="17" t="s">
        <v>18109</v>
      </c>
      <c r="C4293" s="2" t="s">
        <v>14626</v>
      </c>
      <c r="D4293" s="15" t="s">
        <v>13376</v>
      </c>
      <c r="E4293" s="9" t="s">
        <v>2381</v>
      </c>
      <c r="F4293" s="9" t="s">
        <v>9400</v>
      </c>
      <c r="G4293" s="9" t="s">
        <v>2847</v>
      </c>
      <c r="H4293" s="2" t="s">
        <v>60</v>
      </c>
      <c r="I4293" s="3">
        <v>37407</v>
      </c>
      <c r="J4293" s="9" t="str">
        <f t="shared" ca="1" si="74"/>
        <v>21 ans</v>
      </c>
      <c r="K4293" s="2" t="s">
        <v>262</v>
      </c>
      <c r="L4293" s="2" t="str">
        <f>"11090"</f>
        <v>11090</v>
      </c>
      <c r="M4293" s="2" t="str">
        <f t="shared" si="75"/>
        <v>A</v>
      </c>
      <c r="N4293" s="2" t="str">
        <f>"RUE RENÉ-GOUPIL"</f>
        <v>RUE RENÉ-GOUPIL</v>
      </c>
      <c r="O4293" s="2" t="s">
        <v>17958</v>
      </c>
      <c r="P4293" s="9" t="str">
        <f>VLOOKUP($O4293,'Liste des Villes'!$B$2:$B$1128,1,FALSE)</f>
        <v>Boisbriand</v>
      </c>
      <c r="Q4293" s="9" t="str">
        <f>IFERROR($P4293,PROPER(VLOOKUP($O4293,'Villes en erreur'!$A$2:$B$72,2,FALSE)))</f>
        <v>Boisbriand</v>
      </c>
      <c r="R4293" s="9" t="s">
        <v>17959</v>
      </c>
      <c r="S4293" s="9" t="str">
        <f>IF(ISBLANK($R4293),"",VLOOKUP($R4293,'Liste des Villes'!$B$2:$H$1128,4,FALSE))</f>
        <v>Laurentides</v>
      </c>
      <c r="T4293" s="2" t="s">
        <v>18074</v>
      </c>
      <c r="U4293" s="2" t="s">
        <v>39</v>
      </c>
      <c r="V4293" s="2" t="s">
        <v>40</v>
      </c>
      <c r="W4293" s="2" t="s">
        <v>18110</v>
      </c>
      <c r="X4293" s="2" t="str">
        <f>"4508480581"</f>
        <v>4508480581</v>
      </c>
      <c r="Y4293" s="2" t="str">
        <f>"4508222372"</f>
        <v>4508222372</v>
      </c>
      <c r="Z4293" s="2"/>
      <c r="AA4293" s="2" t="s">
        <v>456</v>
      </c>
      <c r="AB4293" s="2" t="s">
        <v>457</v>
      </c>
      <c r="AC4293" s="4" t="s">
        <v>44</v>
      </c>
    </row>
    <row r="4294" spans="1:29" x14ac:dyDescent="0.25">
      <c r="A4294" s="1">
        <v>3349</v>
      </c>
      <c r="B4294" s="17" t="s">
        <v>18111</v>
      </c>
      <c r="C4294" s="2" t="s">
        <v>17187</v>
      </c>
      <c r="D4294" s="15" t="s">
        <v>1294</v>
      </c>
      <c r="E4294" s="9" t="s">
        <v>1377</v>
      </c>
      <c r="F4294" s="9" t="s">
        <v>1293</v>
      </c>
      <c r="G4294" s="9" t="s">
        <v>9119</v>
      </c>
      <c r="H4294" s="2" t="s">
        <v>60</v>
      </c>
      <c r="I4294" s="3">
        <v>37423</v>
      </c>
      <c r="J4294" s="9" t="str">
        <f t="shared" ca="1" si="74"/>
        <v>21 ans</v>
      </c>
      <c r="K4294" s="2" t="s">
        <v>262</v>
      </c>
      <c r="L4294" s="2" t="str">
        <f>"12209"</f>
        <v>12209</v>
      </c>
      <c r="M4294" s="2" t="str">
        <f t="shared" si="75"/>
        <v>A</v>
      </c>
      <c r="N4294" s="2" t="str">
        <f>"RUE RODRIGUE"</f>
        <v>RUE RODRIGUE</v>
      </c>
      <c r="O4294" s="2" t="s">
        <v>17958</v>
      </c>
      <c r="P4294" s="9" t="str">
        <f>VLOOKUP($O4294,'Liste des Villes'!$B$2:$B$1128,1,FALSE)</f>
        <v>Boisbriand</v>
      </c>
      <c r="Q4294" s="9" t="str">
        <f>IFERROR($P4294,PROPER(VLOOKUP($O4294,'Villes en erreur'!$A$2:$B$72,2,FALSE)))</f>
        <v>Boisbriand</v>
      </c>
      <c r="R4294" s="9" t="s">
        <v>17959</v>
      </c>
      <c r="S4294" s="9" t="str">
        <f>IF(ISBLANK($R4294),"",VLOOKUP($R4294,'Liste des Villes'!$B$2:$H$1128,4,FALSE))</f>
        <v>Laurentides</v>
      </c>
      <c r="T4294" s="2" t="s">
        <v>18112</v>
      </c>
      <c r="U4294" s="2" t="s">
        <v>39</v>
      </c>
      <c r="V4294" s="2" t="s">
        <v>40</v>
      </c>
      <c r="W4294" s="2" t="s">
        <v>18113</v>
      </c>
      <c r="X4294" s="2" t="str">
        <f>"4508584264"</f>
        <v>4508584264</v>
      </c>
      <c r="Y4294" s="2" t="str">
        <f>"4507124857"</f>
        <v>4507124857</v>
      </c>
      <c r="Z4294" s="2"/>
      <c r="AA4294" s="2" t="s">
        <v>456</v>
      </c>
      <c r="AB4294" s="2" t="s">
        <v>457</v>
      </c>
      <c r="AC4294" s="4" t="s">
        <v>44</v>
      </c>
    </row>
    <row r="4295" spans="1:29" x14ac:dyDescent="0.25">
      <c r="A4295" s="1">
        <v>2278</v>
      </c>
      <c r="B4295" s="17" t="s">
        <v>18114</v>
      </c>
      <c r="C4295" s="2" t="s">
        <v>2908</v>
      </c>
      <c r="D4295" s="15" t="s">
        <v>2909</v>
      </c>
      <c r="E4295" s="9" t="s">
        <v>2381</v>
      </c>
      <c r="F4295" s="9" t="s">
        <v>2910</v>
      </c>
      <c r="G4295" s="9" t="s">
        <v>17588</v>
      </c>
      <c r="H4295" s="2" t="s">
        <v>60</v>
      </c>
      <c r="I4295" s="3">
        <v>37422</v>
      </c>
      <c r="J4295" s="9" t="str">
        <f t="shared" ca="1" si="74"/>
        <v>21 ans</v>
      </c>
      <c r="K4295" s="2" t="s">
        <v>262</v>
      </c>
      <c r="L4295" s="2" t="str">
        <f>"12077"</f>
        <v>12077</v>
      </c>
      <c r="M4295" s="2" t="str">
        <f t="shared" si="75"/>
        <v>A</v>
      </c>
      <c r="N4295" s="2" t="str">
        <f>"RUE RODRIGUE"</f>
        <v>RUE RODRIGUE</v>
      </c>
      <c r="O4295" s="2" t="s">
        <v>17958</v>
      </c>
      <c r="P4295" s="9" t="str">
        <f>VLOOKUP($O4295,'Liste des Villes'!$B$2:$B$1128,1,FALSE)</f>
        <v>Boisbriand</v>
      </c>
      <c r="Q4295" s="9" t="str">
        <f>IFERROR($P4295,PROPER(VLOOKUP($O4295,'Villes en erreur'!$A$2:$B$72,2,FALSE)))</f>
        <v>Boisbriand</v>
      </c>
      <c r="R4295" s="9" t="s">
        <v>17959</v>
      </c>
      <c r="S4295" s="9" t="str">
        <f>IF(ISBLANK($R4295),"",VLOOKUP($R4295,'Liste des Villes'!$B$2:$H$1128,4,FALSE))</f>
        <v>Laurentides</v>
      </c>
      <c r="T4295" s="2" t="s">
        <v>18115</v>
      </c>
      <c r="U4295" s="2" t="s">
        <v>39</v>
      </c>
      <c r="V4295" s="2" t="s">
        <v>40</v>
      </c>
      <c r="W4295" s="2" t="s">
        <v>18116</v>
      </c>
      <c r="X4295" s="2" t="str">
        <f>"4508582994"</f>
        <v>4508582994</v>
      </c>
      <c r="Y4295" s="2" t="str">
        <f>"4507126144"</f>
        <v>4507126144</v>
      </c>
      <c r="Z4295" s="2"/>
      <c r="AA4295" s="2" t="s">
        <v>456</v>
      </c>
      <c r="AB4295" s="2" t="s">
        <v>457</v>
      </c>
      <c r="AC4295" s="4" t="s">
        <v>44</v>
      </c>
    </row>
    <row r="4296" spans="1:29" x14ac:dyDescent="0.25">
      <c r="A4296" s="1">
        <v>1271</v>
      </c>
      <c r="B4296" s="17" t="s">
        <v>18117</v>
      </c>
      <c r="C4296" s="2" t="s">
        <v>4199</v>
      </c>
      <c r="D4296" s="15" t="s">
        <v>93</v>
      </c>
      <c r="E4296" s="9" t="s">
        <v>233</v>
      </c>
      <c r="F4296" s="9" t="s">
        <v>91</v>
      </c>
      <c r="G4296" s="9" t="s">
        <v>4167</v>
      </c>
      <c r="H4296" s="2" t="s">
        <v>60</v>
      </c>
      <c r="I4296" s="3">
        <v>37418</v>
      </c>
      <c r="J4296" s="9" t="str">
        <f t="shared" ca="1" si="74"/>
        <v>21 ans</v>
      </c>
      <c r="K4296" s="2" t="s">
        <v>262</v>
      </c>
      <c r="L4296" s="2" t="str">
        <f>"11660"</f>
        <v>11660</v>
      </c>
      <c r="M4296" s="2" t="str">
        <f t="shared" si="75"/>
        <v>A</v>
      </c>
      <c r="N4296" s="2" t="str">
        <f>"RUE ROBERT-QUENNEVILLE"</f>
        <v>RUE ROBERT-QUENNEVILLE</v>
      </c>
      <c r="O4296" s="2" t="s">
        <v>17958</v>
      </c>
      <c r="P4296" s="9" t="str">
        <f>VLOOKUP($O4296,'Liste des Villes'!$B$2:$B$1128,1,FALSE)</f>
        <v>Boisbriand</v>
      </c>
      <c r="Q4296" s="9" t="str">
        <f>IFERROR($P4296,PROPER(VLOOKUP($O4296,'Villes en erreur'!$A$2:$B$72,2,FALSE)))</f>
        <v>Boisbriand</v>
      </c>
      <c r="R4296" s="9" t="s">
        <v>17959</v>
      </c>
      <c r="S4296" s="9" t="str">
        <f>IF(ISBLANK($R4296),"",VLOOKUP($R4296,'Liste des Villes'!$B$2:$H$1128,4,FALSE))</f>
        <v>Laurentides</v>
      </c>
      <c r="T4296" s="2" t="s">
        <v>18118</v>
      </c>
      <c r="U4296" s="2" t="s">
        <v>39</v>
      </c>
      <c r="V4296" s="2" t="s">
        <v>40</v>
      </c>
      <c r="W4296" s="2" t="s">
        <v>18119</v>
      </c>
      <c r="X4296" s="2" t="str">
        <f>"4508489910"</f>
        <v>4508489910</v>
      </c>
      <c r="Y4296" s="2" t="str">
        <f>"4507608370"</f>
        <v>4507608370</v>
      </c>
      <c r="Z4296" s="2"/>
      <c r="AA4296" s="2" t="s">
        <v>456</v>
      </c>
      <c r="AB4296" s="2" t="s">
        <v>457</v>
      </c>
      <c r="AC4296" s="4" t="s">
        <v>44</v>
      </c>
    </row>
    <row r="4297" spans="1:29" x14ac:dyDescent="0.25">
      <c r="A4297" s="1">
        <v>2166</v>
      </c>
      <c r="B4297" s="17" t="s">
        <v>18120</v>
      </c>
      <c r="C4297" s="2" t="s">
        <v>3245</v>
      </c>
      <c r="D4297" s="15" t="s">
        <v>218</v>
      </c>
      <c r="E4297" s="9" t="s">
        <v>3246</v>
      </c>
      <c r="F4297" s="9" t="s">
        <v>10537</v>
      </c>
      <c r="G4297" s="9" t="s">
        <v>9119</v>
      </c>
      <c r="H4297" s="2" t="s">
        <v>60</v>
      </c>
      <c r="I4297" s="3">
        <v>37423</v>
      </c>
      <c r="J4297" s="9" t="str">
        <f t="shared" ca="1" si="74"/>
        <v>21 ans</v>
      </c>
      <c r="K4297" s="2" t="s">
        <v>262</v>
      </c>
      <c r="L4297" s="2" t="str">
        <f>"12207"</f>
        <v>12207</v>
      </c>
      <c r="M4297" s="2" t="str">
        <f t="shared" si="75"/>
        <v>A</v>
      </c>
      <c r="N4297" s="2" t="str">
        <f>"RUE RODRIGUE"</f>
        <v>RUE RODRIGUE</v>
      </c>
      <c r="O4297" s="2" t="s">
        <v>17958</v>
      </c>
      <c r="P4297" s="9" t="str">
        <f>VLOOKUP($O4297,'Liste des Villes'!$B$2:$B$1128,1,FALSE)</f>
        <v>Boisbriand</v>
      </c>
      <c r="Q4297" s="9" t="str">
        <f>IFERROR($P4297,PROPER(VLOOKUP($O4297,'Villes en erreur'!$A$2:$B$72,2,FALSE)))</f>
        <v>Boisbriand</v>
      </c>
      <c r="R4297" s="9" t="s">
        <v>17959</v>
      </c>
      <c r="S4297" s="9" t="str">
        <f>IF(ISBLANK($R4297),"",VLOOKUP($R4297,'Liste des Villes'!$B$2:$H$1128,4,FALSE))</f>
        <v>Laurentides</v>
      </c>
      <c r="T4297" s="2" t="s">
        <v>18112</v>
      </c>
      <c r="U4297" s="2" t="s">
        <v>39</v>
      </c>
      <c r="V4297" s="2" t="s">
        <v>40</v>
      </c>
      <c r="W4297" s="2" t="s">
        <v>18121</v>
      </c>
      <c r="X4297" s="2" t="str">
        <f>"4508583830"</f>
        <v>4508583830</v>
      </c>
      <c r="Y4297" s="2" t="str">
        <f>"4507125165"</f>
        <v>4507125165</v>
      </c>
      <c r="Z4297" s="2"/>
      <c r="AA4297" s="2" t="s">
        <v>456</v>
      </c>
      <c r="AB4297" s="2" t="s">
        <v>457</v>
      </c>
      <c r="AC4297" s="4" t="s">
        <v>44</v>
      </c>
    </row>
    <row r="4298" spans="1:29" x14ac:dyDescent="0.25">
      <c r="A4298" s="1">
        <v>1755</v>
      </c>
      <c r="B4298" s="17" t="s">
        <v>18122</v>
      </c>
      <c r="C4298" s="2" t="s">
        <v>18123</v>
      </c>
      <c r="D4298" s="15" t="s">
        <v>4778</v>
      </c>
      <c r="E4298" s="9" t="s">
        <v>1844</v>
      </c>
      <c r="F4298" s="9" t="s">
        <v>2061</v>
      </c>
      <c r="G4298" s="9" t="s">
        <v>4916</v>
      </c>
      <c r="H4298" s="2" t="s">
        <v>60</v>
      </c>
      <c r="I4298" s="3">
        <v>37414</v>
      </c>
      <c r="J4298" s="9" t="str">
        <f t="shared" ca="1" si="74"/>
        <v>21 ans</v>
      </c>
      <c r="K4298" s="2" t="s">
        <v>262</v>
      </c>
      <c r="L4298" s="2" t="str">
        <f>"11415"</f>
        <v>11415</v>
      </c>
      <c r="M4298" s="2" t="str">
        <f t="shared" si="75"/>
        <v>A</v>
      </c>
      <c r="N4298" s="2" t="str">
        <f>"RUE RITCHIE"</f>
        <v>RUE RITCHIE</v>
      </c>
      <c r="O4298" s="2" t="s">
        <v>17958</v>
      </c>
      <c r="P4298" s="9" t="str">
        <f>VLOOKUP($O4298,'Liste des Villes'!$B$2:$B$1128,1,FALSE)</f>
        <v>Boisbriand</v>
      </c>
      <c r="Q4298" s="9" t="str">
        <f>IFERROR($P4298,PROPER(VLOOKUP($O4298,'Villes en erreur'!$A$2:$B$72,2,FALSE)))</f>
        <v>Boisbriand</v>
      </c>
      <c r="R4298" s="9" t="s">
        <v>17959</v>
      </c>
      <c r="S4298" s="9" t="str">
        <f>IF(ISBLANK($R4298),"",VLOOKUP($R4298,'Liste des Villes'!$B$2:$H$1128,4,FALSE))</f>
        <v>Laurentides</v>
      </c>
      <c r="T4298" s="2" t="s">
        <v>18124</v>
      </c>
      <c r="U4298" s="2" t="s">
        <v>39</v>
      </c>
      <c r="V4298" s="2" t="s">
        <v>40</v>
      </c>
      <c r="W4298" s="2" t="s">
        <v>18125</v>
      </c>
      <c r="X4298" s="2" t="str">
        <f>"4508485699"</f>
        <v>4508485699</v>
      </c>
      <c r="Y4298" s="2" t="str">
        <f>"4508214118"</f>
        <v>4508214118</v>
      </c>
      <c r="Z4298" s="2"/>
      <c r="AA4298" s="2" t="s">
        <v>456</v>
      </c>
      <c r="AB4298" s="2" t="s">
        <v>457</v>
      </c>
      <c r="AC4298" s="4" t="s">
        <v>44</v>
      </c>
    </row>
    <row r="4299" spans="1:29" x14ac:dyDescent="0.25">
      <c r="A4299" s="1">
        <v>1945</v>
      </c>
      <c r="B4299" s="17" t="s">
        <v>18126</v>
      </c>
      <c r="C4299" s="2" t="s">
        <v>6516</v>
      </c>
      <c r="D4299" s="15" t="s">
        <v>584</v>
      </c>
      <c r="E4299" s="9" t="s">
        <v>305</v>
      </c>
      <c r="F4299" s="9" t="s">
        <v>8423</v>
      </c>
      <c r="G4299" s="9" t="s">
        <v>1361</v>
      </c>
      <c r="H4299" s="2" t="s">
        <v>60</v>
      </c>
      <c r="I4299" s="3">
        <v>37406</v>
      </c>
      <c r="J4299" s="9" t="str">
        <f t="shared" ca="1" si="74"/>
        <v>21 ans</v>
      </c>
      <c r="K4299" s="2" t="s">
        <v>262</v>
      </c>
      <c r="L4299" s="2" t="str">
        <f>"10894"</f>
        <v>10894</v>
      </c>
      <c r="M4299" s="2" t="str">
        <f>"B"</f>
        <v>B</v>
      </c>
      <c r="N4299" s="2" t="str">
        <f>"RUE RENAUD"</f>
        <v>RUE RENAUD</v>
      </c>
      <c r="O4299" s="2" t="s">
        <v>17958</v>
      </c>
      <c r="P4299" s="9" t="str">
        <f>VLOOKUP($O4299,'Liste des Villes'!$B$2:$B$1128,1,FALSE)</f>
        <v>Boisbriand</v>
      </c>
      <c r="Q4299" s="9" t="str">
        <f>IFERROR($P4299,PROPER(VLOOKUP($O4299,'Villes en erreur'!$A$2:$B$72,2,FALSE)))</f>
        <v>Boisbriand</v>
      </c>
      <c r="R4299" s="9" t="s">
        <v>17959</v>
      </c>
      <c r="S4299" s="9" t="str">
        <f>IF(ISBLANK($R4299),"",VLOOKUP($R4299,'Liste des Villes'!$B$2:$H$1128,4,FALSE))</f>
        <v>Laurentides</v>
      </c>
      <c r="T4299" s="2" t="s">
        <v>18127</v>
      </c>
      <c r="U4299" s="2" t="s">
        <v>39</v>
      </c>
      <c r="V4299" s="2" t="s">
        <v>40</v>
      </c>
      <c r="W4299" s="2" t="s">
        <v>18128</v>
      </c>
      <c r="X4299" s="2" t="str">
        <f>"4508385512"</f>
        <v>4508385512</v>
      </c>
      <c r="Y4299" s="2" t="str">
        <f>"4508223064"</f>
        <v>4508223064</v>
      </c>
      <c r="Z4299" s="2"/>
      <c r="AA4299" s="2" t="s">
        <v>456</v>
      </c>
      <c r="AB4299" s="2" t="s">
        <v>457</v>
      </c>
      <c r="AC4299" s="4" t="s">
        <v>44</v>
      </c>
    </row>
    <row r="4300" spans="1:29" x14ac:dyDescent="0.25">
      <c r="A4300" s="1">
        <v>3877</v>
      </c>
      <c r="B4300" s="17" t="s">
        <v>18129</v>
      </c>
      <c r="C4300" s="2" t="s">
        <v>12714</v>
      </c>
      <c r="D4300" s="15" t="s">
        <v>2018</v>
      </c>
      <c r="E4300" s="9" t="s">
        <v>4167</v>
      </c>
      <c r="F4300" s="9" t="s">
        <v>4031</v>
      </c>
      <c r="G4300" s="9" t="s">
        <v>5276</v>
      </c>
      <c r="H4300" s="2" t="s">
        <v>60</v>
      </c>
      <c r="I4300" s="3">
        <v>37417</v>
      </c>
      <c r="J4300" s="9" t="str">
        <f t="shared" ca="1" si="74"/>
        <v>21 ans</v>
      </c>
      <c r="K4300" s="2" t="s">
        <v>262</v>
      </c>
      <c r="L4300" s="2" t="str">
        <f>"11600"</f>
        <v>11600</v>
      </c>
      <c r="M4300" s="2" t="str">
        <f t="shared" ref="M4300:M4306" si="76">"A"</f>
        <v>A</v>
      </c>
      <c r="N4300" s="2" t="str">
        <f>"RUE ROBERT"</f>
        <v>RUE ROBERT</v>
      </c>
      <c r="O4300" s="2" t="s">
        <v>17958</v>
      </c>
      <c r="P4300" s="9" t="str">
        <f>VLOOKUP($O4300,'Liste des Villes'!$B$2:$B$1128,1,FALSE)</f>
        <v>Boisbriand</v>
      </c>
      <c r="Q4300" s="9" t="str">
        <f>IFERROR($P4300,PROPER(VLOOKUP($O4300,'Villes en erreur'!$A$2:$B$72,2,FALSE)))</f>
        <v>Boisbriand</v>
      </c>
      <c r="R4300" s="9" t="s">
        <v>17959</v>
      </c>
      <c r="S4300" s="9" t="str">
        <f>IF(ISBLANK($R4300),"",VLOOKUP($R4300,'Liste des Villes'!$B$2:$H$1128,4,FALSE))</f>
        <v>Laurentides</v>
      </c>
      <c r="T4300" s="2" t="s">
        <v>18130</v>
      </c>
      <c r="U4300" s="2" t="s">
        <v>39</v>
      </c>
      <c r="V4300" s="2" t="s">
        <v>40</v>
      </c>
      <c r="W4300" s="2" t="s">
        <v>18131</v>
      </c>
      <c r="X4300" s="2" t="str">
        <f>"4508487745"</f>
        <v>4508487745</v>
      </c>
      <c r="Y4300" s="2" t="str">
        <f>"4508201105"</f>
        <v>4508201105</v>
      </c>
      <c r="Z4300" s="2"/>
      <c r="AA4300" s="2" t="s">
        <v>456</v>
      </c>
      <c r="AB4300" s="2" t="s">
        <v>457</v>
      </c>
      <c r="AC4300" s="4" t="s">
        <v>44</v>
      </c>
    </row>
    <row r="4301" spans="1:29" x14ac:dyDescent="0.25">
      <c r="A4301" s="1">
        <v>4615</v>
      </c>
      <c r="B4301" s="17" t="s">
        <v>18132</v>
      </c>
      <c r="C4301" s="2" t="s">
        <v>18133</v>
      </c>
      <c r="D4301" s="15" t="s">
        <v>5930</v>
      </c>
      <c r="E4301" s="9" t="s">
        <v>2069</v>
      </c>
      <c r="F4301" s="9" t="s">
        <v>1905</v>
      </c>
      <c r="G4301" s="9" t="s">
        <v>17464</v>
      </c>
      <c r="H4301" s="2" t="s">
        <v>60</v>
      </c>
      <c r="I4301" s="3">
        <v>37413</v>
      </c>
      <c r="J4301" s="9" t="str">
        <f t="shared" ca="1" si="74"/>
        <v>21 ans</v>
      </c>
      <c r="K4301" s="2" t="s">
        <v>262</v>
      </c>
      <c r="L4301" s="2" t="str">
        <f>"11405"</f>
        <v>11405</v>
      </c>
      <c r="M4301" s="2" t="str">
        <f t="shared" si="76"/>
        <v>A</v>
      </c>
      <c r="N4301" s="2" t="str">
        <f>"RUE RITCHIE"</f>
        <v>RUE RITCHIE</v>
      </c>
      <c r="O4301" s="2" t="s">
        <v>17958</v>
      </c>
      <c r="P4301" s="9" t="str">
        <f>VLOOKUP($O4301,'Liste des Villes'!$B$2:$B$1128,1,FALSE)</f>
        <v>Boisbriand</v>
      </c>
      <c r="Q4301" s="9" t="str">
        <f>IFERROR($P4301,PROPER(VLOOKUP($O4301,'Villes en erreur'!$A$2:$B$72,2,FALSE)))</f>
        <v>Boisbriand</v>
      </c>
      <c r="R4301" s="9" t="s">
        <v>17959</v>
      </c>
      <c r="S4301" s="9" t="str">
        <f>IF(ISBLANK($R4301),"",VLOOKUP($R4301,'Liste des Villes'!$B$2:$H$1128,4,FALSE))</f>
        <v>Laurentides</v>
      </c>
      <c r="T4301" s="2" t="s">
        <v>18134</v>
      </c>
      <c r="U4301" s="2" t="s">
        <v>39</v>
      </c>
      <c r="V4301" s="2" t="s">
        <v>40</v>
      </c>
      <c r="W4301" s="2" t="s">
        <v>18135</v>
      </c>
      <c r="X4301" s="2" t="str">
        <f>"4508485456"</f>
        <v>4508485456</v>
      </c>
      <c r="Y4301" s="2" t="str">
        <f>"4508215192"</f>
        <v>4508215192</v>
      </c>
      <c r="Z4301" s="2"/>
      <c r="AA4301" s="2" t="s">
        <v>456</v>
      </c>
      <c r="AB4301" s="2" t="s">
        <v>457</v>
      </c>
      <c r="AC4301" s="4" t="s">
        <v>44</v>
      </c>
    </row>
    <row r="4302" spans="1:29" x14ac:dyDescent="0.25">
      <c r="A4302" s="1">
        <v>4170</v>
      </c>
      <c r="B4302" s="17" t="s">
        <v>18136</v>
      </c>
      <c r="C4302" s="2" t="s">
        <v>1806</v>
      </c>
      <c r="D4302" s="15" t="s">
        <v>1807</v>
      </c>
      <c r="E4302" s="9" t="s">
        <v>1410</v>
      </c>
      <c r="F4302" s="9" t="s">
        <v>3089</v>
      </c>
      <c r="G4302" s="9" t="s">
        <v>16386</v>
      </c>
      <c r="H4302" s="2" t="s">
        <v>60</v>
      </c>
      <c r="I4302" s="3">
        <v>37422</v>
      </c>
      <c r="J4302" s="9" t="str">
        <f t="shared" ca="1" si="74"/>
        <v>21 ans</v>
      </c>
      <c r="K4302" s="2" t="s">
        <v>262</v>
      </c>
      <c r="L4302" s="2" t="str">
        <f>"12030"</f>
        <v>12030</v>
      </c>
      <c r="M4302" s="2" t="str">
        <f t="shared" si="76"/>
        <v>A</v>
      </c>
      <c r="N4302" s="2" t="str">
        <f>"RUE RODRIGUE"</f>
        <v>RUE RODRIGUE</v>
      </c>
      <c r="O4302" s="2" t="s">
        <v>17958</v>
      </c>
      <c r="P4302" s="9" t="str">
        <f>VLOOKUP($O4302,'Liste des Villes'!$B$2:$B$1128,1,FALSE)</f>
        <v>Boisbriand</v>
      </c>
      <c r="Q4302" s="9" t="str">
        <f>IFERROR($P4302,PROPER(VLOOKUP($O4302,'Villes en erreur'!$A$2:$B$72,2,FALSE)))</f>
        <v>Boisbriand</v>
      </c>
      <c r="R4302" s="9" t="s">
        <v>17959</v>
      </c>
      <c r="S4302" s="9" t="str">
        <f>IF(ISBLANK($R4302),"",VLOOKUP($R4302,'Liste des Villes'!$B$2:$H$1128,4,FALSE))</f>
        <v>Laurentides</v>
      </c>
      <c r="T4302" s="2" t="s">
        <v>18137</v>
      </c>
      <c r="U4302" s="2" t="s">
        <v>39</v>
      </c>
      <c r="V4302" s="2" t="s">
        <v>40</v>
      </c>
      <c r="W4302" s="2" t="s">
        <v>18138</v>
      </c>
      <c r="X4302" s="2" t="str">
        <f>"4508582701"</f>
        <v>4508582701</v>
      </c>
      <c r="Y4302" s="2" t="str">
        <f>"4507126313"</f>
        <v>4507126313</v>
      </c>
      <c r="Z4302" s="2"/>
      <c r="AA4302" s="2" t="s">
        <v>456</v>
      </c>
      <c r="AB4302" s="2" t="s">
        <v>457</v>
      </c>
      <c r="AC4302" s="4" t="s">
        <v>44</v>
      </c>
    </row>
    <row r="4303" spans="1:29" x14ac:dyDescent="0.25">
      <c r="A4303" s="1">
        <v>3178</v>
      </c>
      <c r="B4303" s="17" t="s">
        <v>18139</v>
      </c>
      <c r="C4303" s="2" t="s">
        <v>2511</v>
      </c>
      <c r="D4303" s="15" t="s">
        <v>304</v>
      </c>
      <c r="E4303" s="9" t="s">
        <v>2512</v>
      </c>
      <c r="F4303" s="9" t="s">
        <v>14813</v>
      </c>
      <c r="G4303" s="9" t="s">
        <v>5276</v>
      </c>
      <c r="H4303" s="2" t="s">
        <v>60</v>
      </c>
      <c r="I4303" s="3">
        <v>37416</v>
      </c>
      <c r="J4303" s="9" t="str">
        <f t="shared" ca="1" si="74"/>
        <v>21 ans</v>
      </c>
      <c r="K4303" s="2" t="s">
        <v>262</v>
      </c>
      <c r="L4303" s="2" t="str">
        <f>"11590"</f>
        <v>11590</v>
      </c>
      <c r="M4303" s="2" t="str">
        <f t="shared" si="76"/>
        <v>A</v>
      </c>
      <c r="N4303" s="2" t="str">
        <f>"RUE ROBERT"</f>
        <v>RUE ROBERT</v>
      </c>
      <c r="O4303" s="2" t="s">
        <v>17958</v>
      </c>
      <c r="P4303" s="9" t="str">
        <f>VLOOKUP($O4303,'Liste des Villes'!$B$2:$B$1128,1,FALSE)</f>
        <v>Boisbriand</v>
      </c>
      <c r="Q4303" s="9" t="str">
        <f>IFERROR($P4303,PROPER(VLOOKUP($O4303,'Villes en erreur'!$A$2:$B$72,2,FALSE)))</f>
        <v>Boisbriand</v>
      </c>
      <c r="R4303" s="9" t="s">
        <v>17959</v>
      </c>
      <c r="S4303" s="9" t="str">
        <f>IF(ISBLANK($R4303),"",VLOOKUP($R4303,'Liste des Villes'!$B$2:$H$1128,4,FALSE))</f>
        <v>Laurentides</v>
      </c>
      <c r="T4303" s="2" t="s">
        <v>18140</v>
      </c>
      <c r="U4303" s="2" t="s">
        <v>39</v>
      </c>
      <c r="V4303" s="2" t="s">
        <v>40</v>
      </c>
      <c r="W4303" s="2" t="s">
        <v>18141</v>
      </c>
      <c r="X4303" s="2" t="str">
        <f>"4508487099"</f>
        <v>4508487099</v>
      </c>
      <c r="Y4303" s="2" t="str">
        <f>"4508212226"</f>
        <v>4508212226</v>
      </c>
      <c r="Z4303" s="2"/>
      <c r="AA4303" s="2" t="s">
        <v>456</v>
      </c>
      <c r="AB4303" s="2" t="s">
        <v>457</v>
      </c>
      <c r="AC4303" s="4" t="s">
        <v>44</v>
      </c>
    </row>
    <row r="4304" spans="1:29" x14ac:dyDescent="0.25">
      <c r="A4304" s="1">
        <v>1603</v>
      </c>
      <c r="B4304" s="17" t="s">
        <v>18142</v>
      </c>
      <c r="C4304" s="2" t="s">
        <v>18143</v>
      </c>
      <c r="D4304" s="15" t="s">
        <v>12727</v>
      </c>
      <c r="E4304" s="9" t="s">
        <v>6050</v>
      </c>
      <c r="F4304" s="9" t="s">
        <v>8556</v>
      </c>
      <c r="G4304" s="9" t="s">
        <v>6297</v>
      </c>
      <c r="H4304" s="2" t="s">
        <v>60</v>
      </c>
      <c r="I4304" s="3">
        <v>37414</v>
      </c>
      <c r="J4304" s="9" t="str">
        <f t="shared" ca="1" si="74"/>
        <v>21 ans</v>
      </c>
      <c r="K4304" s="2" t="s">
        <v>262</v>
      </c>
      <c r="L4304" s="2" t="str">
        <f>"11530"</f>
        <v>11530</v>
      </c>
      <c r="M4304" s="2" t="str">
        <f t="shared" si="76"/>
        <v>A</v>
      </c>
      <c r="N4304" s="2" t="str">
        <f>"RUE RIVARD"</f>
        <v>RUE RIVARD</v>
      </c>
      <c r="O4304" s="2" t="s">
        <v>17958</v>
      </c>
      <c r="P4304" s="9" t="str">
        <f>VLOOKUP($O4304,'Liste des Villes'!$B$2:$B$1128,1,FALSE)</f>
        <v>Boisbriand</v>
      </c>
      <c r="Q4304" s="9" t="str">
        <f>IFERROR($P4304,PROPER(VLOOKUP($O4304,'Villes en erreur'!$A$2:$B$72,2,FALSE)))</f>
        <v>Boisbriand</v>
      </c>
      <c r="R4304" s="9" t="s">
        <v>17959</v>
      </c>
      <c r="S4304" s="9" t="str">
        <f>IF(ISBLANK($R4304),"",VLOOKUP($R4304,'Liste des Villes'!$B$2:$H$1128,4,FALSE))</f>
        <v>Laurentides</v>
      </c>
      <c r="T4304" s="2" t="s">
        <v>18144</v>
      </c>
      <c r="U4304" s="2" t="s">
        <v>39</v>
      </c>
      <c r="V4304" s="2" t="s">
        <v>40</v>
      </c>
      <c r="W4304" s="2" t="s">
        <v>18145</v>
      </c>
      <c r="X4304" s="2" t="str">
        <f>"4508486029"</f>
        <v>4508486029</v>
      </c>
      <c r="Y4304" s="2" t="str">
        <f>"4508213363"</f>
        <v>4508213363</v>
      </c>
      <c r="Z4304" s="2"/>
      <c r="AA4304" s="2" t="s">
        <v>456</v>
      </c>
      <c r="AB4304" s="2" t="s">
        <v>457</v>
      </c>
      <c r="AC4304" s="4" t="s">
        <v>44</v>
      </c>
    </row>
    <row r="4305" spans="1:29" x14ac:dyDescent="0.25">
      <c r="A4305" s="1">
        <v>2973</v>
      </c>
      <c r="B4305" s="17" t="s">
        <v>18146</v>
      </c>
      <c r="C4305" s="2" t="s">
        <v>18147</v>
      </c>
      <c r="D4305" s="15" t="s">
        <v>15855</v>
      </c>
      <c r="E4305" s="9" t="s">
        <v>3486</v>
      </c>
      <c r="F4305" s="9" t="s">
        <v>15854</v>
      </c>
      <c r="G4305" s="9" t="s">
        <v>7215</v>
      </c>
      <c r="H4305" s="2" t="s">
        <v>60</v>
      </c>
      <c r="I4305" s="3">
        <v>37425</v>
      </c>
      <c r="J4305" s="9" t="str">
        <f t="shared" ca="1" si="74"/>
        <v>21 ans</v>
      </c>
      <c r="K4305" s="2" t="s">
        <v>262</v>
      </c>
      <c r="L4305" s="2" t="str">
        <f>"12715"</f>
        <v>12715</v>
      </c>
      <c r="M4305" s="2" t="str">
        <f t="shared" si="76"/>
        <v>A</v>
      </c>
      <c r="N4305" s="2" t="str">
        <f>"RUE ROLLAND"</f>
        <v>RUE ROLLAND</v>
      </c>
      <c r="O4305" s="2" t="s">
        <v>17958</v>
      </c>
      <c r="P4305" s="9" t="str">
        <f>VLOOKUP($O4305,'Liste des Villes'!$B$2:$B$1128,1,FALSE)</f>
        <v>Boisbriand</v>
      </c>
      <c r="Q4305" s="9" t="str">
        <f>IFERROR($P4305,PROPER(VLOOKUP($O4305,'Villes en erreur'!$A$2:$B$72,2,FALSE)))</f>
        <v>Boisbriand</v>
      </c>
      <c r="R4305" s="9" t="s">
        <v>17959</v>
      </c>
      <c r="S4305" s="9" t="str">
        <f>IF(ISBLANK($R4305),"",VLOOKUP($R4305,'Liste des Villes'!$B$2:$H$1128,4,FALSE))</f>
        <v>Laurentides</v>
      </c>
      <c r="T4305" s="2" t="s">
        <v>18148</v>
      </c>
      <c r="U4305" s="2" t="s">
        <v>39</v>
      </c>
      <c r="V4305" s="2" t="s">
        <v>40</v>
      </c>
      <c r="W4305" s="2" t="s">
        <v>18149</v>
      </c>
      <c r="X4305" s="2" t="str">
        <f>"4509688992"</f>
        <v>4509688992</v>
      </c>
      <c r="Y4305" s="2" t="str">
        <f>"4506940243"</f>
        <v>4506940243</v>
      </c>
      <c r="Z4305" s="2"/>
      <c r="AA4305" s="2" t="s">
        <v>456</v>
      </c>
      <c r="AB4305" s="2" t="s">
        <v>457</v>
      </c>
      <c r="AC4305" s="4" t="s">
        <v>44</v>
      </c>
    </row>
    <row r="4306" spans="1:29" x14ac:dyDescent="0.25">
      <c r="A4306" s="1">
        <v>4455</v>
      </c>
      <c r="B4306" s="17" t="s">
        <v>18150</v>
      </c>
      <c r="C4306" s="2" t="s">
        <v>18151</v>
      </c>
      <c r="D4306" s="15" t="s">
        <v>16706</v>
      </c>
      <c r="E4306" s="9" t="s">
        <v>9056</v>
      </c>
      <c r="F4306" s="9" t="s">
        <v>164</v>
      </c>
      <c r="G4306" s="9" t="s">
        <v>13980</v>
      </c>
      <c r="H4306" s="2" t="s">
        <v>60</v>
      </c>
      <c r="I4306" s="3">
        <v>37413</v>
      </c>
      <c r="J4306" s="9" t="str">
        <f t="shared" ca="1" si="74"/>
        <v>21 ans</v>
      </c>
      <c r="K4306" s="2" t="s">
        <v>262</v>
      </c>
      <c r="L4306" s="2" t="str">
        <f>"11401"</f>
        <v>11401</v>
      </c>
      <c r="M4306" s="2" t="str">
        <f t="shared" si="76"/>
        <v>A</v>
      </c>
      <c r="N4306" s="2" t="str">
        <f>"RUE RICHER"</f>
        <v>RUE RICHER</v>
      </c>
      <c r="O4306" s="2" t="s">
        <v>17958</v>
      </c>
      <c r="P4306" s="9" t="str">
        <f>VLOOKUP($O4306,'Liste des Villes'!$B$2:$B$1128,1,FALSE)</f>
        <v>Boisbriand</v>
      </c>
      <c r="Q4306" s="9" t="str">
        <f>IFERROR($P4306,PROPER(VLOOKUP($O4306,'Villes en erreur'!$A$2:$B$72,2,FALSE)))</f>
        <v>Boisbriand</v>
      </c>
      <c r="R4306" s="9" t="s">
        <v>17959</v>
      </c>
      <c r="S4306" s="9" t="str">
        <f>IF(ISBLANK($R4306),"",VLOOKUP($R4306,'Liste des Villes'!$B$2:$H$1128,4,FALSE))</f>
        <v>Laurentides</v>
      </c>
      <c r="T4306" s="2" t="s">
        <v>18152</v>
      </c>
      <c r="U4306" s="2" t="s">
        <v>39</v>
      </c>
      <c r="V4306" s="2" t="s">
        <v>40</v>
      </c>
      <c r="W4306" s="2" t="s">
        <v>18153</v>
      </c>
      <c r="X4306" s="2" t="str">
        <f>"4508485442"</f>
        <v>4508485442</v>
      </c>
      <c r="Y4306" s="2" t="str">
        <f>"4508216394"</f>
        <v>4508216394</v>
      </c>
      <c r="Z4306" s="2"/>
      <c r="AA4306" s="2" t="s">
        <v>456</v>
      </c>
      <c r="AB4306" s="2" t="s">
        <v>457</v>
      </c>
      <c r="AC4306" s="4" t="s">
        <v>44</v>
      </c>
    </row>
    <row r="4307" spans="1:29" x14ac:dyDescent="0.25">
      <c r="A4307" s="1">
        <v>1889</v>
      </c>
      <c r="B4307" s="17" t="s">
        <v>18154</v>
      </c>
      <c r="C4307" s="2" t="s">
        <v>2542</v>
      </c>
      <c r="D4307" s="15" t="s">
        <v>34</v>
      </c>
      <c r="E4307" s="9" t="s">
        <v>341</v>
      </c>
      <c r="F4307" s="9" t="s">
        <v>782</v>
      </c>
      <c r="G4307" s="9" t="s">
        <v>503</v>
      </c>
      <c r="H4307" s="2" t="s">
        <v>60</v>
      </c>
      <c r="I4307" s="3">
        <v>37522</v>
      </c>
      <c r="J4307" s="9" t="str">
        <f t="shared" ca="1" si="74"/>
        <v>20 ans</v>
      </c>
      <c r="K4307" s="2" t="s">
        <v>262</v>
      </c>
      <c r="L4307" s="2" t="str">
        <f>"18363"</f>
        <v>18363</v>
      </c>
      <c r="M4307" s="2" t="str">
        <f>"2"</f>
        <v>2</v>
      </c>
      <c r="N4307" s="2" t="str">
        <f>"ST-JOVITE"</f>
        <v>ST-JOVITE</v>
      </c>
      <c r="O4307" s="2" t="s">
        <v>18155</v>
      </c>
      <c r="P4307" s="9" t="str">
        <f>VLOOKUP($O4307,'Liste des Villes'!$B$2:$B$1128,1,FALSE)</f>
        <v>Blainville</v>
      </c>
      <c r="Q4307" s="9" t="str">
        <f>IFERROR($P4307,PROPER(VLOOKUP($O4307,'Villes en erreur'!$A$2:$B$72,2,FALSE)))</f>
        <v>Blainville</v>
      </c>
      <c r="R4307" s="9" t="s">
        <v>18156</v>
      </c>
      <c r="S4307" s="9" t="str">
        <f>IF(ISBLANK($R4307),"",VLOOKUP($R4307,'Liste des Villes'!$B$2:$H$1128,4,FALSE))</f>
        <v>Laurentides</v>
      </c>
      <c r="T4307" s="2" t="s">
        <v>18157</v>
      </c>
      <c r="U4307" s="2" t="s">
        <v>39</v>
      </c>
      <c r="V4307" s="2" t="s">
        <v>40</v>
      </c>
      <c r="W4307" s="2" t="s">
        <v>18158</v>
      </c>
      <c r="X4307" s="2" t="str">
        <f>"8194245737"</f>
        <v>8194245737</v>
      </c>
      <c r="Y4307" s="2" t="str">
        <f>"4384990428"</f>
        <v>4384990428</v>
      </c>
      <c r="Z4307" s="2" t="str">
        <f>"4188789459"</f>
        <v>4188789459</v>
      </c>
      <c r="AA4307" s="2" t="s">
        <v>456</v>
      </c>
      <c r="AB4307" s="2" t="s">
        <v>457</v>
      </c>
      <c r="AC4307" s="4" t="s">
        <v>44</v>
      </c>
    </row>
    <row r="4308" spans="1:29" x14ac:dyDescent="0.25">
      <c r="A4308" s="1">
        <v>989</v>
      </c>
      <c r="B4308" s="17" t="s">
        <v>18159</v>
      </c>
      <c r="C4308" s="2" t="s">
        <v>18160</v>
      </c>
      <c r="D4308" s="15" t="s">
        <v>164</v>
      </c>
      <c r="E4308" s="9" t="s">
        <v>12827</v>
      </c>
      <c r="F4308" s="9" t="s">
        <v>15871</v>
      </c>
      <c r="G4308" s="9" t="s">
        <v>16349</v>
      </c>
      <c r="H4308" s="2" t="s">
        <v>60</v>
      </c>
      <c r="I4308" s="3">
        <v>37530</v>
      </c>
      <c r="J4308" s="9" t="str">
        <f t="shared" ca="1" si="74"/>
        <v>20 ans</v>
      </c>
      <c r="K4308" s="2" t="s">
        <v>262</v>
      </c>
      <c r="L4308" s="2" t="str">
        <f>"20505"</f>
        <v>20505</v>
      </c>
      <c r="M4308" s="2" t="str">
        <f>"1"</f>
        <v>1</v>
      </c>
      <c r="N4308" s="2" t="str">
        <f>"TSSE DUBÉ"</f>
        <v>TSSE DUBÉ</v>
      </c>
      <c r="O4308" s="2" t="s">
        <v>18155</v>
      </c>
      <c r="P4308" s="9" t="str">
        <f>VLOOKUP($O4308,'Liste des Villes'!$B$2:$B$1128,1,FALSE)</f>
        <v>Blainville</v>
      </c>
      <c r="Q4308" s="9" t="str">
        <f>IFERROR($P4308,PROPER(VLOOKUP($O4308,'Villes en erreur'!$A$2:$B$72,2,FALSE)))</f>
        <v>Blainville</v>
      </c>
      <c r="R4308" s="9" t="s">
        <v>18156</v>
      </c>
      <c r="S4308" s="9" t="str">
        <f>IF(ISBLANK($R4308),"",VLOOKUP($R4308,'Liste des Villes'!$B$2:$H$1128,4,FALSE))</f>
        <v>Laurentides</v>
      </c>
      <c r="T4308" s="2" t="s">
        <v>18161</v>
      </c>
      <c r="U4308" s="2" t="s">
        <v>39</v>
      </c>
      <c r="V4308" s="2" t="s">
        <v>40</v>
      </c>
      <c r="W4308" s="2" t="s">
        <v>18162</v>
      </c>
      <c r="X4308" s="2" t="str">
        <f>"8199511480"</f>
        <v>8199511480</v>
      </c>
      <c r="Y4308" s="2" t="str">
        <f>"4383947751"</f>
        <v>4383947751</v>
      </c>
      <c r="Z4308" s="2" t="str">
        <f>"5142368814"</f>
        <v>5142368814</v>
      </c>
      <c r="AA4308" s="2" t="s">
        <v>456</v>
      </c>
      <c r="AB4308" s="2" t="s">
        <v>457</v>
      </c>
      <c r="AC4308" s="4" t="s">
        <v>44</v>
      </c>
    </row>
    <row r="4309" spans="1:29" x14ac:dyDescent="0.25">
      <c r="A4309" s="1">
        <v>3099</v>
      </c>
      <c r="B4309" s="17" t="s">
        <v>18163</v>
      </c>
      <c r="C4309" s="2" t="s">
        <v>1435</v>
      </c>
      <c r="D4309" s="15" t="s">
        <v>1436</v>
      </c>
      <c r="E4309" s="9" t="s">
        <v>99</v>
      </c>
      <c r="F4309" s="9" t="s">
        <v>100</v>
      </c>
      <c r="G4309" s="9" t="s">
        <v>2381</v>
      </c>
      <c r="H4309" s="2" t="s">
        <v>35</v>
      </c>
      <c r="I4309" s="3">
        <v>37503</v>
      </c>
      <c r="J4309" s="9" t="str">
        <f t="shared" ca="1" si="74"/>
        <v>20 ans</v>
      </c>
      <c r="K4309" s="2" t="s">
        <v>262</v>
      </c>
      <c r="L4309" s="2" t="str">
        <f>"16850"</f>
        <v>16850</v>
      </c>
      <c r="M4309" s="2" t="str">
        <f>"4"</f>
        <v>4</v>
      </c>
      <c r="N4309" s="2" t="str">
        <f>"RUE WATER"</f>
        <v>RUE WATER</v>
      </c>
      <c r="O4309" s="2" t="s">
        <v>18155</v>
      </c>
      <c r="P4309" s="9" t="str">
        <f>VLOOKUP($O4309,'Liste des Villes'!$B$2:$B$1128,1,FALSE)</f>
        <v>Blainville</v>
      </c>
      <c r="Q4309" s="9" t="str">
        <f>IFERROR($P4309,PROPER(VLOOKUP($O4309,'Villes en erreur'!$A$2:$B$72,2,FALSE)))</f>
        <v>Blainville</v>
      </c>
      <c r="R4309" s="9" t="s">
        <v>18156</v>
      </c>
      <c r="S4309" s="9" t="str">
        <f>IF(ISBLANK($R4309),"",VLOOKUP($R4309,'Liste des Villes'!$B$2:$H$1128,4,FALSE))</f>
        <v>Laurentides</v>
      </c>
      <c r="T4309" s="2" t="s">
        <v>18164</v>
      </c>
      <c r="U4309" s="2" t="s">
        <v>39</v>
      </c>
      <c r="V4309" s="2" t="s">
        <v>40</v>
      </c>
      <c r="W4309" s="2" t="s">
        <v>18165</v>
      </c>
      <c r="X4309" s="2" t="str">
        <f>"5149742043"</f>
        <v>5149742043</v>
      </c>
      <c r="Y4309" s="2" t="str">
        <f>"4502274617"</f>
        <v>4502274617</v>
      </c>
      <c r="Z4309" s="2"/>
      <c r="AA4309" s="2" t="s">
        <v>456</v>
      </c>
      <c r="AB4309" s="2" t="s">
        <v>457</v>
      </c>
      <c r="AC4309" s="4" t="s">
        <v>44</v>
      </c>
    </row>
    <row r="4310" spans="1:29" x14ac:dyDescent="0.25">
      <c r="A4310" s="1">
        <v>1653</v>
      </c>
      <c r="B4310" s="17" t="s">
        <v>18166</v>
      </c>
      <c r="C4310" s="2" t="s">
        <v>18167</v>
      </c>
      <c r="D4310" s="15" t="s">
        <v>1206</v>
      </c>
      <c r="E4310" s="9" t="s">
        <v>1355</v>
      </c>
      <c r="F4310" s="9" t="s">
        <v>1204</v>
      </c>
      <c r="G4310" s="9" t="s">
        <v>757</v>
      </c>
      <c r="H4310" s="2" t="s">
        <v>60</v>
      </c>
      <c r="I4310" s="3">
        <v>37458</v>
      </c>
      <c r="J4310" s="9" t="str">
        <f t="shared" ca="1" si="74"/>
        <v>21 ans</v>
      </c>
      <c r="K4310" s="2" t="s">
        <v>262</v>
      </c>
      <c r="L4310" s="2" t="str">
        <f>"13900"</f>
        <v>13900</v>
      </c>
      <c r="M4310" s="2" t="str">
        <f>"103"</f>
        <v>103</v>
      </c>
      <c r="N4310" s="2" t="str">
        <f>"RUE SANDY"</f>
        <v>RUE SANDY</v>
      </c>
      <c r="O4310" s="2" t="s">
        <v>18155</v>
      </c>
      <c r="P4310" s="9" t="str">
        <f>VLOOKUP($O4310,'Liste des Villes'!$B$2:$B$1128,1,FALSE)</f>
        <v>Blainville</v>
      </c>
      <c r="Q4310" s="9" t="str">
        <f>IFERROR($P4310,PROPER(VLOOKUP($O4310,'Villes en erreur'!$A$2:$B$72,2,FALSE)))</f>
        <v>Blainville</v>
      </c>
      <c r="R4310" s="9" t="s">
        <v>18156</v>
      </c>
      <c r="S4310" s="9" t="str">
        <f>IF(ISBLANK($R4310),"",VLOOKUP($R4310,'Liste des Villes'!$B$2:$H$1128,4,FALSE))</f>
        <v>Laurentides</v>
      </c>
      <c r="T4310" s="2" t="s">
        <v>18168</v>
      </c>
      <c r="U4310" s="2" t="s">
        <v>39</v>
      </c>
      <c r="V4310" s="2" t="s">
        <v>40</v>
      </c>
      <c r="W4310" s="2" t="s">
        <v>18169</v>
      </c>
      <c r="X4310" s="2" t="str">
        <f>"5146256622"</f>
        <v>5146256622</v>
      </c>
      <c r="Y4310" s="2" t="str">
        <f>"4505126544"</f>
        <v>4505126544</v>
      </c>
      <c r="Z4310" s="2"/>
      <c r="AA4310" s="2" t="s">
        <v>456</v>
      </c>
      <c r="AB4310" s="2" t="s">
        <v>457</v>
      </c>
      <c r="AC4310" s="4" t="s">
        <v>44</v>
      </c>
    </row>
    <row r="4311" spans="1:29" x14ac:dyDescent="0.25">
      <c r="A4311" s="1">
        <v>1439</v>
      </c>
      <c r="B4311" s="17" t="s">
        <v>18170</v>
      </c>
      <c r="C4311" s="2" t="s">
        <v>18171</v>
      </c>
      <c r="D4311" s="15" t="s">
        <v>5352</v>
      </c>
      <c r="E4311" s="9" t="s">
        <v>1660</v>
      </c>
      <c r="F4311" s="9" t="s">
        <v>5351</v>
      </c>
      <c r="G4311" s="9" t="s">
        <v>341</v>
      </c>
      <c r="H4311" s="2" t="s">
        <v>60</v>
      </c>
      <c r="I4311" s="3">
        <v>37452</v>
      </c>
      <c r="J4311" s="9" t="str">
        <f t="shared" ca="1" si="74"/>
        <v>21 ans</v>
      </c>
      <c r="K4311" s="2" t="s">
        <v>262</v>
      </c>
      <c r="L4311" s="2" t="str">
        <f>"13755"</f>
        <v>13755</v>
      </c>
      <c r="M4311" s="2" t="str">
        <f>"171"</f>
        <v>171</v>
      </c>
      <c r="N4311" s="2" t="str">
        <f>"RUE SAINT-LOUIS"</f>
        <v>RUE SAINT-LOUIS</v>
      </c>
      <c r="O4311" s="2" t="s">
        <v>18155</v>
      </c>
      <c r="P4311" s="9" t="str">
        <f>VLOOKUP($O4311,'Liste des Villes'!$B$2:$B$1128,1,FALSE)</f>
        <v>Blainville</v>
      </c>
      <c r="Q4311" s="9" t="str">
        <f>IFERROR($P4311,PROPER(VLOOKUP($O4311,'Villes en erreur'!$A$2:$B$72,2,FALSE)))</f>
        <v>Blainville</v>
      </c>
      <c r="R4311" s="9" t="s">
        <v>18156</v>
      </c>
      <c r="S4311" s="9" t="str">
        <f>IF(ISBLANK($R4311),"",VLOOKUP($R4311,'Liste des Villes'!$B$2:$H$1128,4,FALSE))</f>
        <v>Laurentides</v>
      </c>
      <c r="T4311" s="2" t="s">
        <v>18172</v>
      </c>
      <c r="U4311" s="2" t="s">
        <v>39</v>
      </c>
      <c r="V4311" s="2" t="s">
        <v>40</v>
      </c>
      <c r="W4311" s="2" t="s">
        <v>18173</v>
      </c>
      <c r="X4311" s="2" t="str">
        <f>"5146026035"</f>
        <v>5146026035</v>
      </c>
      <c r="Y4311" s="2" t="str">
        <f>"4505307429"</f>
        <v>4505307429</v>
      </c>
      <c r="Z4311" s="2"/>
      <c r="AA4311" s="2" t="s">
        <v>456</v>
      </c>
      <c r="AB4311" s="2" t="s">
        <v>457</v>
      </c>
      <c r="AC4311" s="4" t="s">
        <v>44</v>
      </c>
    </row>
    <row r="4312" spans="1:29" x14ac:dyDescent="0.25">
      <c r="A4312" s="1">
        <v>1069</v>
      </c>
      <c r="B4312" s="17" t="s">
        <v>18174</v>
      </c>
      <c r="C4312" s="2" t="s">
        <v>7545</v>
      </c>
      <c r="D4312" s="15" t="s">
        <v>726</v>
      </c>
      <c r="E4312" s="9" t="s">
        <v>7546</v>
      </c>
      <c r="F4312" s="9" t="s">
        <v>3853</v>
      </c>
      <c r="G4312" s="9" t="s">
        <v>3171</v>
      </c>
      <c r="H4312" s="2" t="s">
        <v>60</v>
      </c>
      <c r="I4312" s="3">
        <v>37496</v>
      </c>
      <c r="J4312" s="9" t="str">
        <f t="shared" ca="1" si="74"/>
        <v>20 ans</v>
      </c>
      <c r="K4312" s="2" t="s">
        <v>262</v>
      </c>
      <c r="L4312" s="2" t="str">
        <f>"16555"</f>
        <v>16555</v>
      </c>
      <c r="M4312" s="2" t="str">
        <f>"5"</f>
        <v>5</v>
      </c>
      <c r="N4312" s="2" t="str">
        <f>"RUE VANIER"</f>
        <v>RUE VANIER</v>
      </c>
      <c r="O4312" s="2" t="s">
        <v>18155</v>
      </c>
      <c r="P4312" s="9" t="str">
        <f>VLOOKUP($O4312,'Liste des Villes'!$B$2:$B$1128,1,FALSE)</f>
        <v>Blainville</v>
      </c>
      <c r="Q4312" s="9" t="str">
        <f>IFERROR($P4312,PROPER(VLOOKUP($O4312,'Villes en erreur'!$A$2:$B$72,2,FALSE)))</f>
        <v>Blainville</v>
      </c>
      <c r="R4312" s="9" t="s">
        <v>18156</v>
      </c>
      <c r="S4312" s="9" t="str">
        <f>IF(ISBLANK($R4312),"",VLOOKUP($R4312,'Liste des Villes'!$B$2:$H$1128,4,FALSE))</f>
        <v>Laurentides</v>
      </c>
      <c r="T4312" s="2" t="s">
        <v>18175</v>
      </c>
      <c r="U4312" s="2" t="s">
        <v>39</v>
      </c>
      <c r="V4312" s="2" t="s">
        <v>40</v>
      </c>
      <c r="W4312" s="2" t="s">
        <v>18176</v>
      </c>
      <c r="X4312" s="2" t="str">
        <f>"5149242989"</f>
        <v>5149242989</v>
      </c>
      <c r="Y4312" s="2" t="str">
        <f>"4503022526"</f>
        <v>4503022526</v>
      </c>
      <c r="Z4312" s="2"/>
      <c r="AA4312" s="2" t="s">
        <v>456</v>
      </c>
      <c r="AB4312" s="2" t="s">
        <v>457</v>
      </c>
      <c r="AC4312" s="4" t="s">
        <v>44</v>
      </c>
    </row>
    <row r="4313" spans="1:29" x14ac:dyDescent="0.25">
      <c r="A4313" s="1">
        <v>3268</v>
      </c>
      <c r="B4313" s="17" t="s">
        <v>18177</v>
      </c>
      <c r="C4313" s="2" t="s">
        <v>18178</v>
      </c>
      <c r="D4313" s="15" t="s">
        <v>6577</v>
      </c>
      <c r="E4313" s="9" t="s">
        <v>228</v>
      </c>
      <c r="F4313" s="9" t="s">
        <v>6578</v>
      </c>
      <c r="G4313" s="9" t="s">
        <v>2381</v>
      </c>
      <c r="H4313" s="2" t="s">
        <v>35</v>
      </c>
      <c r="I4313" s="3">
        <v>37504</v>
      </c>
      <c r="J4313" s="9" t="str">
        <f t="shared" ca="1" si="74"/>
        <v>20 ans</v>
      </c>
      <c r="K4313" s="2" t="s">
        <v>262</v>
      </c>
      <c r="L4313" s="2" t="str">
        <f>"16955"</f>
        <v>16955</v>
      </c>
      <c r="M4313" s="2" t="str">
        <f>"4"</f>
        <v>4</v>
      </c>
      <c r="N4313" s="2" t="str">
        <f>"RUE WILFRID-PELLETIER"</f>
        <v>RUE WILFRID-PELLETIER</v>
      </c>
      <c r="O4313" s="2" t="s">
        <v>18155</v>
      </c>
      <c r="P4313" s="9" t="str">
        <f>VLOOKUP($O4313,'Liste des Villes'!$B$2:$B$1128,1,FALSE)</f>
        <v>Blainville</v>
      </c>
      <c r="Q4313" s="9" t="str">
        <f>IFERROR($P4313,PROPER(VLOOKUP($O4313,'Villes en erreur'!$A$2:$B$72,2,FALSE)))</f>
        <v>Blainville</v>
      </c>
      <c r="R4313" s="9" t="s">
        <v>18156</v>
      </c>
      <c r="S4313" s="9" t="str">
        <f>IF(ISBLANK($R4313),"",VLOOKUP($R4313,'Liste des Villes'!$B$2:$H$1128,4,FALSE))</f>
        <v>Laurentides</v>
      </c>
      <c r="T4313" s="2" t="s">
        <v>18179</v>
      </c>
      <c r="U4313" s="2" t="s">
        <v>39</v>
      </c>
      <c r="V4313" s="2" t="s">
        <v>40</v>
      </c>
      <c r="W4313" s="2" t="s">
        <v>18180</v>
      </c>
      <c r="X4313" s="2" t="str">
        <f>"5149804427"</f>
        <v>5149804427</v>
      </c>
      <c r="Y4313" s="2" t="str">
        <f>"4502241937"</f>
        <v>4502241937</v>
      </c>
      <c r="Z4313" s="2"/>
      <c r="AA4313" s="2" t="s">
        <v>456</v>
      </c>
      <c r="AB4313" s="2" t="s">
        <v>457</v>
      </c>
      <c r="AC4313" s="4" t="s">
        <v>44</v>
      </c>
    </row>
    <row r="4314" spans="1:29" x14ac:dyDescent="0.25">
      <c r="A4314" s="1">
        <v>4381</v>
      </c>
      <c r="B4314" s="17" t="s">
        <v>18181</v>
      </c>
      <c r="C4314" s="2" t="s">
        <v>18182</v>
      </c>
      <c r="D4314" s="15" t="s">
        <v>7715</v>
      </c>
      <c r="E4314" s="9" t="s">
        <v>956</v>
      </c>
      <c r="F4314" s="9" t="s">
        <v>3121</v>
      </c>
      <c r="G4314" s="9" t="s">
        <v>370</v>
      </c>
      <c r="H4314" s="2" t="s">
        <v>60</v>
      </c>
      <c r="I4314" s="3">
        <v>37515</v>
      </c>
      <c r="J4314" s="9" t="str">
        <f t="shared" ca="1" si="74"/>
        <v>20 ans</v>
      </c>
      <c r="K4314" s="2" t="s">
        <v>262</v>
      </c>
      <c r="L4314" s="2" t="str">
        <f>"17575"</f>
        <v>17575</v>
      </c>
      <c r="M4314" s="2" t="str">
        <f>"2"</f>
        <v>2</v>
      </c>
      <c r="N4314" s="2" t="str">
        <f>"SAINT-ELZÉAR BLVD O"</f>
        <v>SAINT-ELZÉAR BLVD O</v>
      </c>
      <c r="O4314" s="2" t="s">
        <v>18155</v>
      </c>
      <c r="P4314" s="9" t="str">
        <f>VLOOKUP($O4314,'Liste des Villes'!$B$2:$B$1128,1,FALSE)</f>
        <v>Blainville</v>
      </c>
      <c r="Q4314" s="9" t="str">
        <f>IFERROR($P4314,PROPER(VLOOKUP($O4314,'Villes en erreur'!$A$2:$B$72,2,FALSE)))</f>
        <v>Blainville</v>
      </c>
      <c r="R4314" s="9" t="s">
        <v>18156</v>
      </c>
      <c r="S4314" s="9" t="str">
        <f>IF(ISBLANK($R4314),"",VLOOKUP($R4314,'Liste des Villes'!$B$2:$H$1128,4,FALSE))</f>
        <v>Laurentides</v>
      </c>
      <c r="T4314" s="2" t="s">
        <v>18183</v>
      </c>
      <c r="U4314" s="2" t="s">
        <v>39</v>
      </c>
      <c r="V4314" s="2" t="s">
        <v>40</v>
      </c>
      <c r="W4314" s="2" t="s">
        <v>18184</v>
      </c>
      <c r="X4314" s="2" t="str">
        <f>"8192165820"</f>
        <v>8192165820</v>
      </c>
      <c r="Y4314" s="2" t="str">
        <f>"4388721213"</f>
        <v>4388721213</v>
      </c>
      <c r="Z4314" s="2"/>
      <c r="AA4314" s="2" t="s">
        <v>456</v>
      </c>
      <c r="AB4314" s="2" t="s">
        <v>457</v>
      </c>
      <c r="AC4314" s="4" t="s">
        <v>44</v>
      </c>
    </row>
    <row r="4315" spans="1:29" x14ac:dyDescent="0.25">
      <c r="A4315" s="1">
        <v>4467</v>
      </c>
      <c r="B4315" s="17" t="s">
        <v>18185</v>
      </c>
      <c r="C4315" s="2" t="s">
        <v>18186</v>
      </c>
      <c r="D4315" s="15" t="s">
        <v>2269</v>
      </c>
      <c r="E4315" s="9" t="s">
        <v>495</v>
      </c>
      <c r="F4315" s="9" t="s">
        <v>2268</v>
      </c>
      <c r="G4315" s="9" t="s">
        <v>4422</v>
      </c>
      <c r="H4315" s="2" t="s">
        <v>60</v>
      </c>
      <c r="I4315" s="3">
        <v>37489</v>
      </c>
      <c r="J4315" s="9" t="str">
        <f t="shared" ca="1" si="74"/>
        <v>21 ans</v>
      </c>
      <c r="K4315" s="2" t="s">
        <v>262</v>
      </c>
      <c r="L4315" s="2" t="str">
        <f>"15607"</f>
        <v>15607</v>
      </c>
      <c r="M4315" s="2" t="str">
        <f>"6"</f>
        <v>6</v>
      </c>
      <c r="N4315" s="2" t="str">
        <f>"RUE TROYAT"</f>
        <v>RUE TROYAT</v>
      </c>
      <c r="O4315" s="2" t="s">
        <v>18155</v>
      </c>
      <c r="P4315" s="9" t="str">
        <f>VLOOKUP($O4315,'Liste des Villes'!$B$2:$B$1128,1,FALSE)</f>
        <v>Blainville</v>
      </c>
      <c r="Q4315" s="9" t="str">
        <f>IFERROR($P4315,PROPER(VLOOKUP($O4315,'Villes en erreur'!$A$2:$B$72,2,FALSE)))</f>
        <v>Blainville</v>
      </c>
      <c r="R4315" s="9" t="s">
        <v>18156</v>
      </c>
      <c r="S4315" s="9" t="str">
        <f>IF(ISBLANK($R4315),"",VLOOKUP($R4315,'Liste des Villes'!$B$2:$H$1128,4,FALSE))</f>
        <v>Laurentides</v>
      </c>
      <c r="T4315" s="2" t="s">
        <v>18187</v>
      </c>
      <c r="U4315" s="2" t="s">
        <v>39</v>
      </c>
      <c r="V4315" s="2" t="s">
        <v>40</v>
      </c>
      <c r="W4315" s="2" t="s">
        <v>18188</v>
      </c>
      <c r="X4315" s="2" t="str">
        <f>"5148895941"</f>
        <v>5148895941</v>
      </c>
      <c r="Y4315" s="2" t="str">
        <f>"4504316433"</f>
        <v>4504316433</v>
      </c>
      <c r="Z4315" s="2"/>
      <c r="AA4315" s="2" t="s">
        <v>456</v>
      </c>
      <c r="AB4315" s="2" t="s">
        <v>457</v>
      </c>
      <c r="AC4315" s="4" t="s">
        <v>44</v>
      </c>
    </row>
    <row r="4316" spans="1:29" x14ac:dyDescent="0.25">
      <c r="A4316" s="1">
        <v>1360</v>
      </c>
      <c r="B4316" s="17" t="s">
        <v>18189</v>
      </c>
      <c r="C4316" s="2" t="s">
        <v>18190</v>
      </c>
      <c r="D4316" s="15" t="s">
        <v>18191</v>
      </c>
      <c r="E4316" s="9" t="s">
        <v>2381</v>
      </c>
      <c r="F4316" s="9" t="s">
        <v>18192</v>
      </c>
      <c r="G4316" s="9" t="s">
        <v>5511</v>
      </c>
      <c r="H4316" s="2" t="s">
        <v>60</v>
      </c>
      <c r="I4316" s="3">
        <v>37428</v>
      </c>
      <c r="J4316" s="9" t="str">
        <f t="shared" ca="1" si="74"/>
        <v>21 ans</v>
      </c>
      <c r="K4316" s="2" t="s">
        <v>262</v>
      </c>
      <c r="L4316" s="2" t="str">
        <f>"12970"</f>
        <v>12970</v>
      </c>
      <c r="M4316" s="2" t="str">
        <f>"702"</f>
        <v>702</v>
      </c>
      <c r="N4316" s="2" t="str">
        <f>"RUE ROSIANE"</f>
        <v>RUE ROSIANE</v>
      </c>
      <c r="O4316" s="2" t="s">
        <v>18155</v>
      </c>
      <c r="P4316" s="9" t="str">
        <f>VLOOKUP($O4316,'Liste des Villes'!$B$2:$B$1128,1,FALSE)</f>
        <v>Blainville</v>
      </c>
      <c r="Q4316" s="9" t="str">
        <f>IFERROR($P4316,PROPER(VLOOKUP($O4316,'Villes en erreur'!$A$2:$B$72,2,FALSE)))</f>
        <v>Blainville</v>
      </c>
      <c r="R4316" s="9" t="s">
        <v>18156</v>
      </c>
      <c r="S4316" s="9" t="str">
        <f>IF(ISBLANK($R4316),"",VLOOKUP($R4316,'Liste des Villes'!$B$2:$H$1128,4,FALSE))</f>
        <v>Laurentides</v>
      </c>
      <c r="T4316" s="2" t="s">
        <v>18193</v>
      </c>
      <c r="U4316" s="2" t="s">
        <v>39</v>
      </c>
      <c r="V4316" s="2" t="s">
        <v>40</v>
      </c>
      <c r="W4316" s="2" t="s">
        <v>18194</v>
      </c>
      <c r="X4316" s="2" t="str">
        <f>"5142340096"</f>
        <v>5142340096</v>
      </c>
      <c r="Y4316" s="2" t="str">
        <f>"4506602274"</f>
        <v>4506602274</v>
      </c>
      <c r="Z4316" s="2"/>
      <c r="AA4316" s="2" t="s">
        <v>456</v>
      </c>
      <c r="AB4316" s="2" t="s">
        <v>457</v>
      </c>
      <c r="AC4316" s="4" t="s">
        <v>44</v>
      </c>
    </row>
    <row r="4317" spans="1:29" x14ac:dyDescent="0.25">
      <c r="A4317" s="1">
        <v>4563</v>
      </c>
      <c r="B4317" s="17" t="s">
        <v>18195</v>
      </c>
      <c r="C4317" s="2" t="s">
        <v>18196</v>
      </c>
      <c r="D4317" s="15" t="s">
        <v>2275</v>
      </c>
      <c r="E4317" s="9" t="s">
        <v>405</v>
      </c>
      <c r="F4317" s="9" t="s">
        <v>582</v>
      </c>
      <c r="G4317" s="9" t="s">
        <v>6058</v>
      </c>
      <c r="H4317" s="2" t="s">
        <v>60</v>
      </c>
      <c r="I4317" s="3">
        <v>37468</v>
      </c>
      <c r="J4317" s="9" t="str">
        <f t="shared" ca="1" si="74"/>
        <v>21 ans</v>
      </c>
      <c r="K4317" s="2" t="s">
        <v>262</v>
      </c>
      <c r="L4317" s="2" t="str">
        <f>"14135"</f>
        <v>14135</v>
      </c>
      <c r="M4317" s="2" t="str">
        <f>"23"</f>
        <v>23</v>
      </c>
      <c r="N4317" s="2" t="str">
        <f>"RUE SHAW"</f>
        <v>RUE SHAW</v>
      </c>
      <c r="O4317" s="2" t="s">
        <v>18155</v>
      </c>
      <c r="P4317" s="9" t="str">
        <f>VLOOKUP($O4317,'Liste des Villes'!$B$2:$B$1128,1,FALSE)</f>
        <v>Blainville</v>
      </c>
      <c r="Q4317" s="9" t="str">
        <f>IFERROR($P4317,PROPER(VLOOKUP($O4317,'Villes en erreur'!$A$2:$B$72,2,FALSE)))</f>
        <v>Blainville</v>
      </c>
      <c r="R4317" s="9" t="s">
        <v>18156</v>
      </c>
      <c r="S4317" s="9" t="str">
        <f>IF(ISBLANK($R4317),"",VLOOKUP($R4317,'Liste des Villes'!$B$2:$H$1128,4,FALSE))</f>
        <v>Laurentides</v>
      </c>
      <c r="T4317" s="2" t="s">
        <v>18197</v>
      </c>
      <c r="U4317" s="2" t="s">
        <v>39</v>
      </c>
      <c r="V4317" s="2" t="s">
        <v>40</v>
      </c>
      <c r="W4317" s="2" t="s">
        <v>18198</v>
      </c>
      <c r="X4317" s="2" t="str">
        <f>"5147107143"</f>
        <v>5147107143</v>
      </c>
      <c r="Y4317" s="2" t="str">
        <f>"4504389434"</f>
        <v>4504389434</v>
      </c>
      <c r="Z4317" s="2"/>
      <c r="AA4317" s="2" t="s">
        <v>456</v>
      </c>
      <c r="AB4317" s="2" t="s">
        <v>457</v>
      </c>
      <c r="AC4317" s="4" t="s">
        <v>44</v>
      </c>
    </row>
    <row r="4318" spans="1:29" x14ac:dyDescent="0.25">
      <c r="A4318" s="1">
        <v>1229</v>
      </c>
      <c r="B4318" s="17" t="s">
        <v>18199</v>
      </c>
      <c r="C4318" s="2" t="s">
        <v>1112</v>
      </c>
      <c r="D4318" s="15" t="s">
        <v>1113</v>
      </c>
      <c r="E4318" s="9" t="s">
        <v>1024</v>
      </c>
      <c r="F4318" s="9" t="s">
        <v>1025</v>
      </c>
      <c r="G4318" s="9" t="s">
        <v>1198</v>
      </c>
      <c r="H4318" s="2" t="s">
        <v>60</v>
      </c>
      <c r="I4318" s="3">
        <v>37433</v>
      </c>
      <c r="J4318" s="9" t="str">
        <f t="shared" ca="1" si="74"/>
        <v>21 ans</v>
      </c>
      <c r="K4318" s="2" t="s">
        <v>262</v>
      </c>
      <c r="L4318" s="2" t="str">
        <f>"13250"</f>
        <v>13250</v>
      </c>
      <c r="M4318" s="2" t="str">
        <f>"505"</f>
        <v>505</v>
      </c>
      <c r="N4318" s="2" t="str">
        <f>"RUE ROYALE"</f>
        <v>RUE ROYALE</v>
      </c>
      <c r="O4318" s="2" t="s">
        <v>18155</v>
      </c>
      <c r="P4318" s="9" t="str">
        <f>VLOOKUP($O4318,'Liste des Villes'!$B$2:$B$1128,1,FALSE)</f>
        <v>Blainville</v>
      </c>
      <c r="Q4318" s="9" t="str">
        <f>IFERROR($P4318,PROPER(VLOOKUP($O4318,'Villes en erreur'!$A$2:$B$72,2,FALSE)))</f>
        <v>Blainville</v>
      </c>
      <c r="R4318" s="9" t="s">
        <v>18156</v>
      </c>
      <c r="S4318" s="9" t="str">
        <f>IF(ISBLANK($R4318),"",VLOOKUP($R4318,'Liste des Villes'!$B$2:$H$1128,4,FALSE))</f>
        <v>Laurentides</v>
      </c>
      <c r="T4318" s="2" t="s">
        <v>18200</v>
      </c>
      <c r="U4318" s="2" t="s">
        <v>39</v>
      </c>
      <c r="V4318" s="2" t="s">
        <v>40</v>
      </c>
      <c r="W4318" s="2" t="s">
        <v>18201</v>
      </c>
      <c r="X4318" s="2" t="str">
        <f>"5142644672"</f>
        <v>5142644672</v>
      </c>
      <c r="Y4318" s="2" t="str">
        <f>"4506130683"</f>
        <v>4506130683</v>
      </c>
      <c r="Z4318" s="2"/>
      <c r="AA4318" s="2" t="s">
        <v>456</v>
      </c>
      <c r="AB4318" s="2" t="s">
        <v>457</v>
      </c>
      <c r="AC4318" s="4" t="s">
        <v>44</v>
      </c>
    </row>
    <row r="4319" spans="1:29" x14ac:dyDescent="0.25">
      <c r="A4319" s="1">
        <v>540</v>
      </c>
      <c r="B4319" s="17" t="s">
        <v>18202</v>
      </c>
      <c r="C4319" s="2" t="s">
        <v>5552</v>
      </c>
      <c r="D4319" s="15" t="s">
        <v>2898</v>
      </c>
      <c r="E4319" s="9" t="s">
        <v>704</v>
      </c>
      <c r="F4319" s="9" t="s">
        <v>15396</v>
      </c>
      <c r="G4319" s="9" t="s">
        <v>2274</v>
      </c>
      <c r="H4319" s="2" t="s">
        <v>60</v>
      </c>
      <c r="I4319" s="3">
        <v>37467</v>
      </c>
      <c r="J4319" s="9" t="str">
        <f t="shared" ca="1" si="74"/>
        <v>21 ans</v>
      </c>
      <c r="K4319" s="2" t="s">
        <v>262</v>
      </c>
      <c r="L4319" s="2" t="str">
        <f>"14100"</f>
        <v>14100</v>
      </c>
      <c r="M4319" s="2" t="str">
        <f>"32"</f>
        <v>32</v>
      </c>
      <c r="N4319" s="2" t="str">
        <f>"RUE SCOTT"</f>
        <v>RUE SCOTT</v>
      </c>
      <c r="O4319" s="2" t="s">
        <v>18155</v>
      </c>
      <c r="P4319" s="9" t="str">
        <f>VLOOKUP($O4319,'Liste des Villes'!$B$2:$B$1128,1,FALSE)</f>
        <v>Blainville</v>
      </c>
      <c r="Q4319" s="9" t="str">
        <f>IFERROR($P4319,PROPER(VLOOKUP($O4319,'Villes en erreur'!$A$2:$B$72,2,FALSE)))</f>
        <v>Blainville</v>
      </c>
      <c r="R4319" s="9" t="s">
        <v>18156</v>
      </c>
      <c r="S4319" s="9" t="str">
        <f>IF(ISBLANK($R4319),"",VLOOKUP($R4319,'Liste des Villes'!$B$2:$H$1128,4,FALSE))</f>
        <v>Laurentides</v>
      </c>
      <c r="T4319" s="2" t="s">
        <v>18203</v>
      </c>
      <c r="U4319" s="2" t="s">
        <v>39</v>
      </c>
      <c r="V4319" s="2" t="s">
        <v>40</v>
      </c>
      <c r="W4319" s="2" t="s">
        <v>18204</v>
      </c>
      <c r="X4319" s="2" t="str">
        <f>"5147055315"</f>
        <v>5147055315</v>
      </c>
      <c r="Y4319" s="2" t="str">
        <f>"4504524930"</f>
        <v>4504524930</v>
      </c>
      <c r="Z4319" s="2"/>
      <c r="AA4319" s="2" t="s">
        <v>456</v>
      </c>
      <c r="AB4319" s="2" t="s">
        <v>457</v>
      </c>
      <c r="AC4319" s="4" t="s">
        <v>44</v>
      </c>
    </row>
    <row r="4320" spans="1:29" x14ac:dyDescent="0.25">
      <c r="A4320" s="1">
        <v>125</v>
      </c>
      <c r="B4320" s="17" t="s">
        <v>18205</v>
      </c>
      <c r="C4320" s="2" t="s">
        <v>18206</v>
      </c>
      <c r="D4320" s="15" t="s">
        <v>3137</v>
      </c>
      <c r="E4320" s="9" t="s">
        <v>92</v>
      </c>
      <c r="F4320" s="9" t="s">
        <v>944</v>
      </c>
      <c r="G4320" s="9" t="s">
        <v>341</v>
      </c>
      <c r="H4320" s="2" t="s">
        <v>60</v>
      </c>
      <c r="I4320" s="3">
        <v>37443</v>
      </c>
      <c r="J4320" s="9" t="str">
        <f t="shared" ca="1" si="74"/>
        <v>21 ans</v>
      </c>
      <c r="K4320" s="2" t="s">
        <v>262</v>
      </c>
      <c r="L4320" s="2" t="str">
        <f>"13600"</f>
        <v>13600</v>
      </c>
      <c r="M4320" s="2" t="str">
        <f>"235"</f>
        <v>235</v>
      </c>
      <c r="N4320" s="2" t="str">
        <f>"RUE SAINT-EUSTACHE"</f>
        <v>RUE SAINT-EUSTACHE</v>
      </c>
      <c r="O4320" s="2" t="s">
        <v>18155</v>
      </c>
      <c r="P4320" s="9" t="str">
        <f>VLOOKUP($O4320,'Liste des Villes'!$B$2:$B$1128,1,FALSE)</f>
        <v>Blainville</v>
      </c>
      <c r="Q4320" s="9" t="str">
        <f>IFERROR($P4320,PROPER(VLOOKUP($O4320,'Villes en erreur'!$A$2:$B$72,2,FALSE)))</f>
        <v>Blainville</v>
      </c>
      <c r="R4320" s="9" t="s">
        <v>18156</v>
      </c>
      <c r="S4320" s="9" t="str">
        <f>IF(ISBLANK($R4320),"",VLOOKUP($R4320,'Liste des Villes'!$B$2:$H$1128,4,FALSE))</f>
        <v>Laurentides</v>
      </c>
      <c r="T4320" s="2" t="s">
        <v>18207</v>
      </c>
      <c r="U4320" s="2" t="s">
        <v>39</v>
      </c>
      <c r="V4320" s="2" t="s">
        <v>40</v>
      </c>
      <c r="W4320" s="2" t="s">
        <v>18208</v>
      </c>
      <c r="X4320" s="2" t="str">
        <f>"5145138720"</f>
        <v>5145138720</v>
      </c>
      <c r="Y4320" s="2" t="str">
        <f>"4505650552"</f>
        <v>4505650552</v>
      </c>
      <c r="Z4320" s="2"/>
      <c r="AA4320" s="2" t="s">
        <v>456</v>
      </c>
      <c r="AB4320" s="2" t="s">
        <v>457</v>
      </c>
      <c r="AC4320" s="4" t="s">
        <v>44</v>
      </c>
    </row>
    <row r="4321" spans="1:29" x14ac:dyDescent="0.25">
      <c r="A4321" s="1">
        <v>902</v>
      </c>
      <c r="B4321" s="17" t="s">
        <v>18209</v>
      </c>
      <c r="C4321" s="2" t="s">
        <v>576</v>
      </c>
      <c r="D4321" s="15" t="s">
        <v>203</v>
      </c>
      <c r="E4321" s="9" t="s">
        <v>577</v>
      </c>
      <c r="F4321" s="9" t="s">
        <v>11652</v>
      </c>
      <c r="G4321" s="9" t="s">
        <v>2381</v>
      </c>
      <c r="H4321" s="2" t="s">
        <v>35</v>
      </c>
      <c r="I4321" s="3">
        <v>37503</v>
      </c>
      <c r="J4321" s="9" t="str">
        <f t="shared" ca="1" si="74"/>
        <v>20 ans</v>
      </c>
      <c r="K4321" s="2" t="s">
        <v>262</v>
      </c>
      <c r="L4321" s="2" t="str">
        <f>"16865"</f>
        <v>16865</v>
      </c>
      <c r="M4321" s="2" t="str">
        <f>"4"</f>
        <v>4</v>
      </c>
      <c r="N4321" s="2" t="str">
        <f>"RUE WILFRID"</f>
        <v>RUE WILFRID</v>
      </c>
      <c r="O4321" s="2" t="s">
        <v>18155</v>
      </c>
      <c r="P4321" s="9" t="str">
        <f>VLOOKUP($O4321,'Liste des Villes'!$B$2:$B$1128,1,FALSE)</f>
        <v>Blainville</v>
      </c>
      <c r="Q4321" s="9" t="str">
        <f>IFERROR($P4321,PROPER(VLOOKUP($O4321,'Villes en erreur'!$A$2:$B$72,2,FALSE)))</f>
        <v>Blainville</v>
      </c>
      <c r="R4321" s="9" t="s">
        <v>18156</v>
      </c>
      <c r="S4321" s="9" t="str">
        <f>IF(ISBLANK($R4321),"",VLOOKUP($R4321,'Liste des Villes'!$B$2:$H$1128,4,FALSE))</f>
        <v>Laurentides</v>
      </c>
      <c r="T4321" s="2" t="s">
        <v>18210</v>
      </c>
      <c r="U4321" s="2" t="s">
        <v>39</v>
      </c>
      <c r="V4321" s="2" t="s">
        <v>40</v>
      </c>
      <c r="W4321" s="2" t="s">
        <v>18211</v>
      </c>
      <c r="X4321" s="2" t="str">
        <f>"5149750768"</f>
        <v>5149750768</v>
      </c>
      <c r="Y4321" s="2" t="str">
        <f>"4502248757"</f>
        <v>4502248757</v>
      </c>
      <c r="Z4321" s="2"/>
      <c r="AA4321" s="2" t="s">
        <v>456</v>
      </c>
      <c r="AB4321" s="2" t="s">
        <v>457</v>
      </c>
      <c r="AC4321" s="4" t="s">
        <v>44</v>
      </c>
    </row>
    <row r="4322" spans="1:29" x14ac:dyDescent="0.25">
      <c r="A4322" s="1">
        <v>1448</v>
      </c>
      <c r="B4322" s="17" t="s">
        <v>18212</v>
      </c>
      <c r="C4322" s="2" t="s">
        <v>10701</v>
      </c>
      <c r="D4322" s="15" t="s">
        <v>2580</v>
      </c>
      <c r="E4322" s="9" t="s">
        <v>396</v>
      </c>
      <c r="F4322" s="9" t="s">
        <v>34</v>
      </c>
      <c r="G4322" s="9" t="s">
        <v>2381</v>
      </c>
      <c r="H4322" s="2" t="s">
        <v>35</v>
      </c>
      <c r="I4322" s="3">
        <v>37498</v>
      </c>
      <c r="J4322" s="9" t="str">
        <f t="shared" ca="1" si="74"/>
        <v>20 ans</v>
      </c>
      <c r="K4322" s="2" t="s">
        <v>262</v>
      </c>
      <c r="L4322" s="2" t="str">
        <f>"16730"</f>
        <v>16730</v>
      </c>
      <c r="M4322" s="2" t="str">
        <f>"5"</f>
        <v>5</v>
      </c>
      <c r="N4322" s="2" t="str">
        <f>"RUE VAUDRY"</f>
        <v>RUE VAUDRY</v>
      </c>
      <c r="O4322" s="2" t="s">
        <v>18155</v>
      </c>
      <c r="P4322" s="9" t="str">
        <f>VLOOKUP($O4322,'Liste des Villes'!$B$2:$B$1128,1,FALSE)</f>
        <v>Blainville</v>
      </c>
      <c r="Q4322" s="9" t="str">
        <f>IFERROR($P4322,PROPER(VLOOKUP($O4322,'Villes en erreur'!$A$2:$B$72,2,FALSE)))</f>
        <v>Blainville</v>
      </c>
      <c r="R4322" s="9" t="s">
        <v>18156</v>
      </c>
      <c r="S4322" s="9" t="str">
        <f>IF(ISBLANK($R4322),"",VLOOKUP($R4322,'Liste des Villes'!$B$2:$H$1128,4,FALSE))</f>
        <v>Laurentides</v>
      </c>
      <c r="T4322" s="2" t="s">
        <v>18213</v>
      </c>
      <c r="U4322" s="2" t="s">
        <v>39</v>
      </c>
      <c r="V4322" s="2" t="s">
        <v>40</v>
      </c>
      <c r="W4322" s="2" t="s">
        <v>18214</v>
      </c>
      <c r="X4322" s="2" t="str">
        <f>"5149454707"</f>
        <v>5149454707</v>
      </c>
      <c r="Y4322" s="2" t="str">
        <f>"4502752081"</f>
        <v>4502752081</v>
      </c>
      <c r="Z4322" s="2"/>
      <c r="AA4322" s="2" t="s">
        <v>456</v>
      </c>
      <c r="AB4322" s="2" t="s">
        <v>457</v>
      </c>
      <c r="AC4322" s="4" t="s">
        <v>44</v>
      </c>
    </row>
    <row r="4323" spans="1:29" x14ac:dyDescent="0.25">
      <c r="A4323" s="1">
        <v>2224</v>
      </c>
      <c r="B4323" s="17" t="s">
        <v>18215</v>
      </c>
      <c r="C4323" s="2" t="s">
        <v>18216</v>
      </c>
      <c r="D4323" s="15" t="s">
        <v>13706</v>
      </c>
      <c r="E4323" s="9" t="s">
        <v>1410</v>
      </c>
      <c r="F4323" s="9" t="s">
        <v>13705</v>
      </c>
      <c r="G4323" s="9" t="s">
        <v>5511</v>
      </c>
      <c r="H4323" s="2" t="s">
        <v>60</v>
      </c>
      <c r="I4323" s="3">
        <v>37427</v>
      </c>
      <c r="J4323" s="9" t="str">
        <f t="shared" ca="1" si="74"/>
        <v>21 ans</v>
      </c>
      <c r="K4323" s="2" t="s">
        <v>262</v>
      </c>
      <c r="L4323" s="2" t="str">
        <f>"12840"</f>
        <v>12840</v>
      </c>
      <c r="M4323" s="2" t="str">
        <f>"863"</f>
        <v>863</v>
      </c>
      <c r="N4323" s="2" t="str">
        <f>"RUE ROSE-ALMA"</f>
        <v>RUE ROSE-ALMA</v>
      </c>
      <c r="O4323" s="2" t="s">
        <v>18155</v>
      </c>
      <c r="P4323" s="9" t="str">
        <f>VLOOKUP($O4323,'Liste des Villes'!$B$2:$B$1128,1,FALSE)</f>
        <v>Blainville</v>
      </c>
      <c r="Q4323" s="9" t="str">
        <f>IFERROR($P4323,PROPER(VLOOKUP($O4323,'Villes en erreur'!$A$2:$B$72,2,FALSE)))</f>
        <v>Blainville</v>
      </c>
      <c r="R4323" s="9" t="s">
        <v>18156</v>
      </c>
      <c r="S4323" s="9" t="str">
        <f>IF(ISBLANK($R4323),"",VLOOKUP($R4323,'Liste des Villes'!$B$2:$H$1128,4,FALSE))</f>
        <v>Laurentides</v>
      </c>
      <c r="T4323" s="2" t="s">
        <v>18217</v>
      </c>
      <c r="U4323" s="2" t="s">
        <v>39</v>
      </c>
      <c r="V4323" s="2" t="s">
        <v>40</v>
      </c>
      <c r="W4323" s="2" t="s">
        <v>18218</v>
      </c>
      <c r="X4323" s="2" t="str">
        <f>"5142292341"</f>
        <v>5142292341</v>
      </c>
      <c r="Y4323" s="2" t="str">
        <f>"4506752156"</f>
        <v>4506752156</v>
      </c>
      <c r="Z4323" s="2"/>
      <c r="AA4323" s="2" t="s">
        <v>456</v>
      </c>
      <c r="AB4323" s="2" t="s">
        <v>457</v>
      </c>
      <c r="AC4323" s="4" t="s">
        <v>44</v>
      </c>
    </row>
    <row r="4324" spans="1:29" x14ac:dyDescent="0.25">
      <c r="A4324" s="1">
        <v>3239</v>
      </c>
      <c r="B4324" s="17" t="s">
        <v>18219</v>
      </c>
      <c r="C4324" s="2" t="s">
        <v>18220</v>
      </c>
      <c r="D4324" s="15" t="s">
        <v>7832</v>
      </c>
      <c r="E4324" s="9" t="s">
        <v>114</v>
      </c>
      <c r="F4324" s="9" t="s">
        <v>115</v>
      </c>
      <c r="G4324" s="9" t="s">
        <v>370</v>
      </c>
      <c r="H4324" s="2" t="s">
        <v>60</v>
      </c>
      <c r="I4324" s="3">
        <v>37509</v>
      </c>
      <c r="J4324" s="9" t="str">
        <f t="shared" ca="1" si="74"/>
        <v>20 ans</v>
      </c>
      <c r="K4324" s="2" t="s">
        <v>262</v>
      </c>
      <c r="L4324" s="2" t="str">
        <f>"17165"</f>
        <v>17165</v>
      </c>
      <c r="M4324" s="2" t="str">
        <f>"3"</f>
        <v>3</v>
      </c>
      <c r="N4324" s="2" t="str">
        <f>"RUE YVES THÉRIAULT"</f>
        <v>RUE YVES THÉRIAULT</v>
      </c>
      <c r="O4324" s="2" t="s">
        <v>18155</v>
      </c>
      <c r="P4324" s="9" t="str">
        <f>VLOOKUP($O4324,'Liste des Villes'!$B$2:$B$1128,1,FALSE)</f>
        <v>Blainville</v>
      </c>
      <c r="Q4324" s="9" t="str">
        <f>IFERROR($P4324,PROPER(VLOOKUP($O4324,'Villes en erreur'!$A$2:$B$72,2,FALSE)))</f>
        <v>Blainville</v>
      </c>
      <c r="R4324" s="9" t="s">
        <v>18156</v>
      </c>
      <c r="S4324" s="9" t="str">
        <f>IF(ISBLANK($R4324),"",VLOOKUP($R4324,'Liste des Villes'!$B$2:$H$1128,4,FALSE))</f>
        <v>Laurentides</v>
      </c>
      <c r="T4324" s="2" t="s">
        <v>18221</v>
      </c>
      <c r="U4324" s="2" t="s">
        <v>39</v>
      </c>
      <c r="V4324" s="2" t="s">
        <v>40</v>
      </c>
      <c r="W4324" s="2" t="s">
        <v>18222</v>
      </c>
      <c r="X4324" s="2" t="str">
        <f>"5798880467"</f>
        <v>5798880467</v>
      </c>
      <c r="Y4324" s="2" t="str">
        <f>"4389892306"</f>
        <v>4389892306</v>
      </c>
      <c r="Z4324" s="2"/>
      <c r="AA4324" s="2" t="s">
        <v>456</v>
      </c>
      <c r="AB4324" s="2" t="s">
        <v>457</v>
      </c>
      <c r="AC4324" s="4" t="s">
        <v>44</v>
      </c>
    </row>
    <row r="4325" spans="1:29" x14ac:dyDescent="0.25">
      <c r="A4325" s="1">
        <v>728</v>
      </c>
      <c r="B4325" s="17" t="s">
        <v>18223</v>
      </c>
      <c r="C4325" s="2" t="s">
        <v>18224</v>
      </c>
      <c r="D4325" s="15" t="s">
        <v>3073</v>
      </c>
      <c r="E4325" s="9" t="s">
        <v>4443</v>
      </c>
      <c r="F4325" s="9" t="s">
        <v>10916</v>
      </c>
      <c r="G4325" s="9" t="s">
        <v>2404</v>
      </c>
      <c r="H4325" s="2" t="s">
        <v>35</v>
      </c>
      <c r="I4325" s="3">
        <v>37483</v>
      </c>
      <c r="J4325" s="9" t="str">
        <f t="shared" ca="1" si="74"/>
        <v>21 ans</v>
      </c>
      <c r="K4325" s="2" t="s">
        <v>262</v>
      </c>
      <c r="L4325" s="2" t="str">
        <f>"14755"</f>
        <v>14755</v>
      </c>
      <c r="M4325" s="2" t="str">
        <f>"8"</f>
        <v>8</v>
      </c>
      <c r="N4325" s="2" t="str">
        <f>"RUE THERRIEN"</f>
        <v>RUE THERRIEN</v>
      </c>
      <c r="O4325" s="2" t="s">
        <v>18155</v>
      </c>
      <c r="P4325" s="9" t="str">
        <f>VLOOKUP($O4325,'Liste des Villes'!$B$2:$B$1128,1,FALSE)</f>
        <v>Blainville</v>
      </c>
      <c r="Q4325" s="9" t="str">
        <f>IFERROR($P4325,PROPER(VLOOKUP($O4325,'Villes en erreur'!$A$2:$B$72,2,FALSE)))</f>
        <v>Blainville</v>
      </c>
      <c r="R4325" s="9" t="s">
        <v>18156</v>
      </c>
      <c r="S4325" s="9" t="str">
        <f>IF(ISBLANK($R4325),"",VLOOKUP($R4325,'Liste des Villes'!$B$2:$H$1128,4,FALSE))</f>
        <v>Laurentides</v>
      </c>
      <c r="T4325" s="2" t="s">
        <v>18225</v>
      </c>
      <c r="U4325" s="2" t="s">
        <v>39</v>
      </c>
      <c r="V4325" s="2" t="s">
        <v>40</v>
      </c>
      <c r="W4325" s="2" t="s">
        <v>18226</v>
      </c>
      <c r="X4325" s="2" t="str">
        <f>"5148088984"</f>
        <v>5148088984</v>
      </c>
      <c r="Y4325" s="2" t="str">
        <f>"4504329283"</f>
        <v>4504329283</v>
      </c>
      <c r="Z4325" s="2"/>
      <c r="AA4325" s="2" t="s">
        <v>456</v>
      </c>
      <c r="AB4325" s="2" t="s">
        <v>457</v>
      </c>
      <c r="AC4325" s="4" t="s">
        <v>44</v>
      </c>
    </row>
    <row r="4326" spans="1:29" x14ac:dyDescent="0.25">
      <c r="A4326" s="1">
        <v>2907</v>
      </c>
      <c r="B4326" s="17" t="s">
        <v>18227</v>
      </c>
      <c r="C4326" s="2" t="s">
        <v>18228</v>
      </c>
      <c r="D4326" s="15" t="s">
        <v>7658</v>
      </c>
      <c r="E4326" s="9" t="s">
        <v>495</v>
      </c>
      <c r="F4326" s="9" t="s">
        <v>195</v>
      </c>
      <c r="G4326" s="9" t="s">
        <v>7623</v>
      </c>
      <c r="H4326" s="2" t="s">
        <v>35</v>
      </c>
      <c r="I4326" s="3">
        <v>37477</v>
      </c>
      <c r="J4326" s="9" t="str">
        <f t="shared" ca="1" si="74"/>
        <v>21 ans</v>
      </c>
      <c r="K4326" s="2" t="s">
        <v>262</v>
      </c>
      <c r="L4326" s="2" t="str">
        <f>"14510"</f>
        <v>14510</v>
      </c>
      <c r="M4326" s="2" t="str">
        <f>"10"</f>
        <v>10</v>
      </c>
      <c r="N4326" s="2" t="str">
        <f>"RUE TÉTREAULT"</f>
        <v>RUE TÉTREAULT</v>
      </c>
      <c r="O4326" s="2" t="s">
        <v>18155</v>
      </c>
      <c r="P4326" s="9" t="str">
        <f>VLOOKUP($O4326,'Liste des Villes'!$B$2:$B$1128,1,FALSE)</f>
        <v>Blainville</v>
      </c>
      <c r="Q4326" s="9" t="str">
        <f>IFERROR($P4326,PROPER(VLOOKUP($O4326,'Villes en erreur'!$A$2:$B$72,2,FALSE)))</f>
        <v>Blainville</v>
      </c>
      <c r="R4326" s="9" t="s">
        <v>18156</v>
      </c>
      <c r="S4326" s="9" t="str">
        <f>IF(ISBLANK($R4326),"",VLOOKUP($R4326,'Liste des Villes'!$B$2:$H$1128,4,FALSE))</f>
        <v>Laurentides</v>
      </c>
      <c r="T4326" s="2" t="s">
        <v>18229</v>
      </c>
      <c r="U4326" s="2" t="s">
        <v>39</v>
      </c>
      <c r="V4326" s="2" t="s">
        <v>40</v>
      </c>
      <c r="W4326" s="2" t="s">
        <v>18230</v>
      </c>
      <c r="X4326" s="2" t="str">
        <f>"5147916687"</f>
        <v>5147916687</v>
      </c>
      <c r="Y4326" s="2" t="str">
        <f>"4504348995"</f>
        <v>4504348995</v>
      </c>
      <c r="Z4326" s="2"/>
      <c r="AA4326" s="2" t="s">
        <v>456</v>
      </c>
      <c r="AB4326" s="2" t="s">
        <v>457</v>
      </c>
      <c r="AC4326" s="4" t="s">
        <v>44</v>
      </c>
    </row>
    <row r="4327" spans="1:29" x14ac:dyDescent="0.25">
      <c r="A4327" s="1">
        <v>3687</v>
      </c>
      <c r="B4327" s="17" t="s">
        <v>18231</v>
      </c>
      <c r="C4327" s="2" t="s">
        <v>598</v>
      </c>
      <c r="D4327" s="15" t="s">
        <v>599</v>
      </c>
      <c r="E4327" s="9" t="s">
        <v>600</v>
      </c>
      <c r="F4327" s="9" t="s">
        <v>10735</v>
      </c>
      <c r="G4327" s="9" t="s">
        <v>2404</v>
      </c>
      <c r="H4327" s="2" t="s">
        <v>35</v>
      </c>
      <c r="I4327" s="3">
        <v>37486</v>
      </c>
      <c r="J4327" s="9" t="str">
        <f t="shared" ca="1" si="74"/>
        <v>21 ans</v>
      </c>
      <c r="K4327" s="2" t="s">
        <v>262</v>
      </c>
      <c r="L4327" s="2" t="str">
        <f>"14965"</f>
        <v>14965</v>
      </c>
      <c r="M4327" s="2" t="str">
        <f>"7"</f>
        <v>7</v>
      </c>
      <c r="N4327" s="2" t="str">
        <f>"RUE TOM CARIBOU"</f>
        <v>RUE TOM CARIBOU</v>
      </c>
      <c r="O4327" s="2" t="s">
        <v>18155</v>
      </c>
      <c r="P4327" s="9" t="str">
        <f>VLOOKUP($O4327,'Liste des Villes'!$B$2:$B$1128,1,FALSE)</f>
        <v>Blainville</v>
      </c>
      <c r="Q4327" s="9" t="str">
        <f>IFERROR($P4327,PROPER(VLOOKUP($O4327,'Villes en erreur'!$A$2:$B$72,2,FALSE)))</f>
        <v>Blainville</v>
      </c>
      <c r="R4327" s="9" t="s">
        <v>18156</v>
      </c>
      <c r="S4327" s="9" t="str">
        <f>IF(ISBLANK($R4327),"",VLOOKUP($R4327,'Liste des Villes'!$B$2:$H$1128,4,FALSE))</f>
        <v>Laurentides</v>
      </c>
      <c r="T4327" s="2" t="s">
        <v>18232</v>
      </c>
      <c r="U4327" s="2" t="s">
        <v>39</v>
      </c>
      <c r="V4327" s="2" t="s">
        <v>40</v>
      </c>
      <c r="W4327" s="2" t="s">
        <v>18233</v>
      </c>
      <c r="X4327" s="2" t="str">
        <f>"5148293161"</f>
        <v>5148293161</v>
      </c>
      <c r="Y4327" s="2" t="str">
        <f>"4504322838"</f>
        <v>4504322838</v>
      </c>
      <c r="Z4327" s="2"/>
      <c r="AA4327" s="2" t="s">
        <v>456</v>
      </c>
      <c r="AB4327" s="2" t="s">
        <v>457</v>
      </c>
      <c r="AC4327" s="4" t="s">
        <v>44</v>
      </c>
    </row>
    <row r="4328" spans="1:29" x14ac:dyDescent="0.25">
      <c r="A4328" s="1">
        <v>422</v>
      </c>
      <c r="B4328" s="17" t="s">
        <v>18234</v>
      </c>
      <c r="C4328" s="2" t="s">
        <v>8030</v>
      </c>
      <c r="D4328" s="15" t="s">
        <v>4330</v>
      </c>
      <c r="E4328" s="9" t="s">
        <v>3485</v>
      </c>
      <c r="F4328" s="9" t="s">
        <v>8495</v>
      </c>
      <c r="G4328" s="9" t="s">
        <v>7687</v>
      </c>
      <c r="H4328" s="2" t="s">
        <v>60</v>
      </c>
      <c r="I4328" s="3">
        <v>37551</v>
      </c>
      <c r="J4328" s="9" t="str">
        <f t="shared" ca="1" si="74"/>
        <v>20 ans</v>
      </c>
      <c r="K4328" s="2" t="s">
        <v>262</v>
      </c>
      <c r="L4328" s="2" t="str">
        <f>"315A"</f>
        <v>315A</v>
      </c>
      <c r="M4328" s="2" t="str">
        <f>"1"</f>
        <v>1</v>
      </c>
      <c r="N4328" s="2" t="str">
        <f>"TSSE RIOPEL"</f>
        <v>TSSE RIOPEL</v>
      </c>
      <c r="O4328" s="2" t="s">
        <v>18155</v>
      </c>
      <c r="P4328" s="9" t="str">
        <f>VLOOKUP($O4328,'Liste des Villes'!$B$2:$B$1128,1,FALSE)</f>
        <v>Blainville</v>
      </c>
      <c r="Q4328" s="9" t="str">
        <f>IFERROR($P4328,PROPER(VLOOKUP($O4328,'Villes en erreur'!$A$2:$B$72,2,FALSE)))</f>
        <v>Blainville</v>
      </c>
      <c r="R4328" s="9" t="s">
        <v>18156</v>
      </c>
      <c r="S4328" s="9" t="str">
        <f>IF(ISBLANK($R4328),"",VLOOKUP($R4328,'Liste des Villes'!$B$2:$H$1128,4,FALSE))</f>
        <v>Laurentides</v>
      </c>
      <c r="T4328" s="2" t="s">
        <v>18235</v>
      </c>
      <c r="U4328" s="2" t="s">
        <v>39</v>
      </c>
      <c r="V4328" s="2" t="s">
        <v>40</v>
      </c>
      <c r="W4328" s="2" t="s">
        <v>18236</v>
      </c>
      <c r="X4328" s="2" t="str">
        <f>"4506757210 x1229997"</f>
        <v>4506757210 x1229997</v>
      </c>
      <c r="Y4328" s="2" t="str">
        <f>"4383508599"</f>
        <v>4383508599</v>
      </c>
      <c r="Z4328" s="2" t="str">
        <f>"5147173287"</f>
        <v>5147173287</v>
      </c>
      <c r="AA4328" s="2" t="s">
        <v>456</v>
      </c>
      <c r="AB4328" s="2" t="s">
        <v>457</v>
      </c>
      <c r="AC4328" s="4" t="s">
        <v>44</v>
      </c>
    </row>
    <row r="4329" spans="1:29" x14ac:dyDescent="0.25">
      <c r="A4329" s="1">
        <v>1863</v>
      </c>
      <c r="B4329" s="17" t="s">
        <v>18237</v>
      </c>
      <c r="C4329" s="2" t="s">
        <v>18238</v>
      </c>
      <c r="D4329" s="15" t="s">
        <v>8966</v>
      </c>
      <c r="E4329" s="9" t="s">
        <v>3218</v>
      </c>
      <c r="F4329" s="9" t="s">
        <v>8965</v>
      </c>
      <c r="G4329" s="9" t="s">
        <v>503</v>
      </c>
      <c r="H4329" s="2" t="s">
        <v>35</v>
      </c>
      <c r="I4329" s="3">
        <v>37519</v>
      </c>
      <c r="J4329" s="9" t="str">
        <f t="shared" ca="1" si="74"/>
        <v>20 ans</v>
      </c>
      <c r="K4329" s="2" t="s">
        <v>262</v>
      </c>
      <c r="L4329" s="2" t="str">
        <f>"18212"</f>
        <v>18212</v>
      </c>
      <c r="M4329" s="2" t="str">
        <f>"2"</f>
        <v>2</v>
      </c>
      <c r="N4329" s="2" t="str">
        <f>"ST-GEORGE"</f>
        <v>ST-GEORGE</v>
      </c>
      <c r="O4329" s="2" t="s">
        <v>18155</v>
      </c>
      <c r="P4329" s="9" t="str">
        <f>VLOOKUP($O4329,'Liste des Villes'!$B$2:$B$1128,1,FALSE)</f>
        <v>Blainville</v>
      </c>
      <c r="Q4329" s="9" t="str">
        <f>IFERROR($P4329,PROPER(VLOOKUP($O4329,'Villes en erreur'!$A$2:$B$72,2,FALSE)))</f>
        <v>Blainville</v>
      </c>
      <c r="R4329" s="9" t="s">
        <v>18156</v>
      </c>
      <c r="S4329" s="9" t="str">
        <f>IF(ISBLANK($R4329),"",VLOOKUP($R4329,'Liste des Villes'!$B$2:$H$1128,4,FALSE))</f>
        <v>Laurentides</v>
      </c>
      <c r="T4329" s="2" t="s">
        <v>18239</v>
      </c>
      <c r="U4329" s="2" t="s">
        <v>39</v>
      </c>
      <c r="V4329" s="2" t="s">
        <v>40</v>
      </c>
      <c r="W4329" s="2" t="s">
        <v>18240</v>
      </c>
      <c r="X4329" s="2" t="str">
        <f>"8193264930"</f>
        <v>8193264930</v>
      </c>
      <c r="Y4329" s="2" t="str">
        <f>"4386807934"</f>
        <v>4386807934</v>
      </c>
      <c r="Z4329" s="2"/>
      <c r="AA4329" s="2" t="s">
        <v>456</v>
      </c>
      <c r="AB4329" s="2" t="s">
        <v>457</v>
      </c>
      <c r="AC4329" s="4" t="s">
        <v>44</v>
      </c>
    </row>
    <row r="4330" spans="1:29" x14ac:dyDescent="0.25">
      <c r="A4330" s="1">
        <v>2591</v>
      </c>
      <c r="B4330" s="17" t="s">
        <v>18241</v>
      </c>
      <c r="C4330" s="2" t="s">
        <v>5137</v>
      </c>
      <c r="D4330" s="15" t="s">
        <v>861</v>
      </c>
      <c r="E4330" s="9" t="s">
        <v>332</v>
      </c>
      <c r="F4330" s="9" t="s">
        <v>6314</v>
      </c>
      <c r="G4330" s="9" t="s">
        <v>341</v>
      </c>
      <c r="H4330" s="2" t="s">
        <v>60</v>
      </c>
      <c r="I4330" s="3">
        <v>37451</v>
      </c>
      <c r="J4330" s="9" t="str">
        <f t="shared" ca="1" si="74"/>
        <v>21 ans</v>
      </c>
      <c r="K4330" s="2" t="s">
        <v>262</v>
      </c>
      <c r="L4330" s="2" t="str">
        <f>"13735"</f>
        <v>13735</v>
      </c>
      <c r="M4330" s="2" t="str">
        <f>"201"</f>
        <v>201</v>
      </c>
      <c r="N4330" s="2" t="str">
        <f>"RUE SAINT-LAURENT"</f>
        <v>RUE SAINT-LAURENT</v>
      </c>
      <c r="O4330" s="2" t="s">
        <v>18155</v>
      </c>
      <c r="P4330" s="9" t="str">
        <f>VLOOKUP($O4330,'Liste des Villes'!$B$2:$B$1128,1,FALSE)</f>
        <v>Blainville</v>
      </c>
      <c r="Q4330" s="9" t="str">
        <f>IFERROR($P4330,PROPER(VLOOKUP($O4330,'Villes en erreur'!$A$2:$B$72,2,FALSE)))</f>
        <v>Blainville</v>
      </c>
      <c r="R4330" s="9" t="s">
        <v>18156</v>
      </c>
      <c r="S4330" s="9" t="str">
        <f>IF(ISBLANK($R4330),"",VLOOKUP($R4330,'Liste des Villes'!$B$2:$H$1128,4,FALSE))</f>
        <v>Laurentides</v>
      </c>
      <c r="T4330" s="2" t="s">
        <v>18242</v>
      </c>
      <c r="U4330" s="2" t="s">
        <v>39</v>
      </c>
      <c r="V4330" s="2" t="s">
        <v>40</v>
      </c>
      <c r="W4330" s="2" t="s">
        <v>18243</v>
      </c>
      <c r="X4330" s="2" t="str">
        <f>"5145896086"</f>
        <v>5145896086</v>
      </c>
      <c r="Y4330" s="2" t="str">
        <f>"4505309366"</f>
        <v>4505309366</v>
      </c>
      <c r="Z4330" s="2"/>
      <c r="AA4330" s="2" t="s">
        <v>456</v>
      </c>
      <c r="AB4330" s="2" t="s">
        <v>457</v>
      </c>
      <c r="AC4330" s="4" t="s">
        <v>44</v>
      </c>
    </row>
    <row r="4331" spans="1:29" x14ac:dyDescent="0.25">
      <c r="A4331" s="1">
        <v>3784</v>
      </c>
      <c r="B4331" s="17" t="s">
        <v>18244</v>
      </c>
      <c r="C4331" s="2" t="s">
        <v>18245</v>
      </c>
      <c r="D4331" s="15" t="s">
        <v>9888</v>
      </c>
      <c r="E4331" s="9" t="s">
        <v>17474</v>
      </c>
      <c r="F4331" s="9" t="s">
        <v>2099</v>
      </c>
      <c r="G4331" s="9" t="s">
        <v>11155</v>
      </c>
      <c r="H4331" s="2" t="s">
        <v>60</v>
      </c>
      <c r="I4331" s="3">
        <v>37528</v>
      </c>
      <c r="J4331" s="9" t="str">
        <f t="shared" ca="1" si="74"/>
        <v>20 ans</v>
      </c>
      <c r="K4331" s="2" t="s">
        <v>262</v>
      </c>
      <c r="L4331" s="2" t="str">
        <f>"18921"</f>
        <v>18921</v>
      </c>
      <c r="M4331" s="2" t="str">
        <f>"1"</f>
        <v>1</v>
      </c>
      <c r="N4331" s="2" t="str">
        <f>"TSSE DU JARDIN"</f>
        <v>TSSE DU JARDIN</v>
      </c>
      <c r="O4331" s="2" t="s">
        <v>18155</v>
      </c>
      <c r="P4331" s="9" t="str">
        <f>VLOOKUP($O4331,'Liste des Villes'!$B$2:$B$1128,1,FALSE)</f>
        <v>Blainville</v>
      </c>
      <c r="Q4331" s="9" t="str">
        <f>IFERROR($P4331,PROPER(VLOOKUP($O4331,'Villes en erreur'!$A$2:$B$72,2,FALSE)))</f>
        <v>Blainville</v>
      </c>
      <c r="R4331" s="9" t="s">
        <v>18156</v>
      </c>
      <c r="S4331" s="9" t="str">
        <f>IF(ISBLANK($R4331),"",VLOOKUP($R4331,'Liste des Villes'!$B$2:$H$1128,4,FALSE))</f>
        <v>Laurentides</v>
      </c>
      <c r="T4331" s="2" t="s">
        <v>18246</v>
      </c>
      <c r="U4331" s="2" t="s">
        <v>39</v>
      </c>
      <c r="V4331" s="2" t="s">
        <v>40</v>
      </c>
      <c r="W4331" s="2" t="s">
        <v>18247</v>
      </c>
      <c r="X4331" s="2" t="str">
        <f>"8198330209"</f>
        <v>8198330209</v>
      </c>
      <c r="Y4331" s="2" t="str">
        <f>"4383961079"</f>
        <v>4383961079</v>
      </c>
      <c r="Z4331" s="2" t="str">
        <f>"4508227172"</f>
        <v>4508227172</v>
      </c>
      <c r="AA4331" s="2" t="s">
        <v>456</v>
      </c>
      <c r="AB4331" s="2" t="s">
        <v>457</v>
      </c>
      <c r="AC4331" s="4" t="s">
        <v>44</v>
      </c>
    </row>
    <row r="4332" spans="1:29" x14ac:dyDescent="0.25">
      <c r="A4332" s="1">
        <v>1247</v>
      </c>
      <c r="B4332" s="17" t="s">
        <v>18248</v>
      </c>
      <c r="C4332" s="2" t="s">
        <v>18249</v>
      </c>
      <c r="D4332" s="15" t="s">
        <v>3313</v>
      </c>
      <c r="E4332" s="9" t="s">
        <v>622</v>
      </c>
      <c r="F4332" s="9" t="s">
        <v>18250</v>
      </c>
      <c r="G4332" s="9" t="s">
        <v>341</v>
      </c>
      <c r="H4332" s="2" t="s">
        <v>60</v>
      </c>
      <c r="I4332" s="3">
        <v>37451</v>
      </c>
      <c r="J4332" s="9" t="str">
        <f t="shared" ca="1" si="74"/>
        <v>21 ans</v>
      </c>
      <c r="K4332" s="2" t="s">
        <v>262</v>
      </c>
      <c r="L4332" s="2" t="str">
        <f>"13720"</f>
        <v>13720</v>
      </c>
      <c r="M4332" s="2" t="str">
        <f>"201"</f>
        <v>201</v>
      </c>
      <c r="N4332" s="2" t="str">
        <f>"RUE SAINT-JOSEPH"</f>
        <v>RUE SAINT-JOSEPH</v>
      </c>
      <c r="O4332" s="2" t="s">
        <v>18155</v>
      </c>
      <c r="P4332" s="9" t="str">
        <f>VLOOKUP($O4332,'Liste des Villes'!$B$2:$B$1128,1,FALSE)</f>
        <v>Blainville</v>
      </c>
      <c r="Q4332" s="9" t="str">
        <f>IFERROR($P4332,PROPER(VLOOKUP($O4332,'Villes en erreur'!$A$2:$B$72,2,FALSE)))</f>
        <v>Blainville</v>
      </c>
      <c r="R4332" s="9" t="s">
        <v>18156</v>
      </c>
      <c r="S4332" s="9" t="str">
        <f>IF(ISBLANK($R4332),"",VLOOKUP($R4332,'Liste des Villes'!$B$2:$H$1128,4,FALSE))</f>
        <v>Laurentides</v>
      </c>
      <c r="T4332" s="2" t="s">
        <v>18251</v>
      </c>
      <c r="U4332" s="2" t="s">
        <v>39</v>
      </c>
      <c r="V4332" s="2" t="s">
        <v>40</v>
      </c>
      <c r="W4332" s="2" t="s">
        <v>18252</v>
      </c>
      <c r="X4332" s="2" t="str">
        <f>"5145827353"</f>
        <v>5145827353</v>
      </c>
      <c r="Y4332" s="2" t="str">
        <f>"4505309732"</f>
        <v>4505309732</v>
      </c>
      <c r="Z4332" s="2"/>
      <c r="AA4332" s="2" t="s">
        <v>456</v>
      </c>
      <c r="AB4332" s="2" t="s">
        <v>457</v>
      </c>
      <c r="AC4332" s="4" t="s">
        <v>44</v>
      </c>
    </row>
    <row r="4333" spans="1:29" x14ac:dyDescent="0.25">
      <c r="A4333" s="1">
        <v>1868</v>
      </c>
      <c r="B4333" s="17" t="s">
        <v>18253</v>
      </c>
      <c r="C4333" s="2" t="s">
        <v>1174</v>
      </c>
      <c r="D4333" s="15" t="s">
        <v>1175</v>
      </c>
      <c r="E4333" s="9" t="s">
        <v>1176</v>
      </c>
      <c r="F4333" s="9" t="s">
        <v>1489</v>
      </c>
      <c r="G4333" s="9" t="s">
        <v>370</v>
      </c>
      <c r="H4333" s="2" t="s">
        <v>60</v>
      </c>
      <c r="I4333" s="3">
        <v>37517</v>
      </c>
      <c r="J4333" s="9" t="str">
        <f t="shared" ca="1" si="74"/>
        <v>20 ans</v>
      </c>
      <c r="K4333" s="2" t="s">
        <v>262</v>
      </c>
      <c r="L4333" s="2" t="str">
        <f>"17759"</f>
        <v>17759</v>
      </c>
      <c r="M4333" s="2" t="str">
        <f>"2"</f>
        <v>2</v>
      </c>
      <c r="N4333" s="2" t="str">
        <f>"SAINT-GEORGES"</f>
        <v>SAINT-GEORGES</v>
      </c>
      <c r="O4333" s="2" t="s">
        <v>18155</v>
      </c>
      <c r="P4333" s="9" t="str">
        <f>VLOOKUP($O4333,'Liste des Villes'!$B$2:$B$1128,1,FALSE)</f>
        <v>Blainville</v>
      </c>
      <c r="Q4333" s="9" t="str">
        <f>IFERROR($P4333,PROPER(VLOOKUP($O4333,'Villes en erreur'!$A$2:$B$72,2,FALSE)))</f>
        <v>Blainville</v>
      </c>
      <c r="R4333" s="9" t="s">
        <v>18156</v>
      </c>
      <c r="S4333" s="9" t="str">
        <f>IF(ISBLANK($R4333),"",VLOOKUP($R4333,'Liste des Villes'!$B$2:$H$1128,4,FALSE))</f>
        <v>Laurentides</v>
      </c>
      <c r="T4333" s="2" t="s">
        <v>18254</v>
      </c>
      <c r="U4333" s="2" t="s">
        <v>39</v>
      </c>
      <c r="V4333" s="2" t="s">
        <v>40</v>
      </c>
      <c r="W4333" s="2" t="s">
        <v>18255</v>
      </c>
      <c r="X4333" s="2" t="str">
        <f>"8193231651"</f>
        <v>8193231651</v>
      </c>
      <c r="Y4333" s="2" t="str">
        <f>"4388335972"</f>
        <v>4388335972</v>
      </c>
      <c r="Z4333" s="2"/>
      <c r="AA4333" s="2" t="s">
        <v>456</v>
      </c>
      <c r="AB4333" s="2" t="s">
        <v>457</v>
      </c>
      <c r="AC4333" s="4" t="s">
        <v>44</v>
      </c>
    </row>
    <row r="4334" spans="1:29" x14ac:dyDescent="0.25">
      <c r="A4334" s="1">
        <v>1880</v>
      </c>
      <c r="B4334" s="17" t="s">
        <v>18256</v>
      </c>
      <c r="C4334" s="2" t="s">
        <v>18257</v>
      </c>
      <c r="D4334" s="15" t="s">
        <v>18258</v>
      </c>
      <c r="E4334" s="9" t="s">
        <v>6931</v>
      </c>
      <c r="F4334" s="9" t="s">
        <v>18259</v>
      </c>
      <c r="G4334" s="9" t="s">
        <v>4517</v>
      </c>
      <c r="H4334" s="2" t="s">
        <v>60</v>
      </c>
      <c r="I4334" s="3">
        <v>37462</v>
      </c>
      <c r="J4334" s="9" t="str">
        <f t="shared" ca="1" si="74"/>
        <v>21 ans</v>
      </c>
      <c r="K4334" s="2" t="s">
        <v>262</v>
      </c>
      <c r="L4334" s="2" t="str">
        <f>"13980"</f>
        <v>13980</v>
      </c>
      <c r="M4334" s="2" t="str">
        <f>"101"</f>
        <v>101</v>
      </c>
      <c r="N4334" s="2" t="str">
        <f>"RUE SCHULZ"</f>
        <v>RUE SCHULZ</v>
      </c>
      <c r="O4334" s="2" t="s">
        <v>18155</v>
      </c>
      <c r="P4334" s="9" t="str">
        <f>VLOOKUP($O4334,'Liste des Villes'!$B$2:$B$1128,1,FALSE)</f>
        <v>Blainville</v>
      </c>
      <c r="Q4334" s="9" t="str">
        <f>IFERROR($P4334,PROPER(VLOOKUP($O4334,'Villes en erreur'!$A$2:$B$72,2,FALSE)))</f>
        <v>Blainville</v>
      </c>
      <c r="R4334" s="9" t="s">
        <v>18156</v>
      </c>
      <c r="S4334" s="9" t="str">
        <f>IF(ISBLANK($R4334),"",VLOOKUP($R4334,'Liste des Villes'!$B$2:$H$1128,4,FALSE))</f>
        <v>Laurentides</v>
      </c>
      <c r="T4334" s="2" t="s">
        <v>18260</v>
      </c>
      <c r="U4334" s="2" t="s">
        <v>39</v>
      </c>
      <c r="V4334" s="2" t="s">
        <v>40</v>
      </c>
      <c r="W4334" s="2" t="s">
        <v>18261</v>
      </c>
      <c r="X4334" s="2" t="str">
        <f>"5146688839"</f>
        <v>5146688839</v>
      </c>
      <c r="Y4334" s="2" t="str">
        <f>"4504912469"</f>
        <v>4504912469</v>
      </c>
      <c r="Z4334" s="2"/>
      <c r="AA4334" s="2" t="s">
        <v>456</v>
      </c>
      <c r="AB4334" s="2" t="s">
        <v>457</v>
      </c>
      <c r="AC4334" s="4" t="s">
        <v>44</v>
      </c>
    </row>
    <row r="4335" spans="1:29" x14ac:dyDescent="0.25">
      <c r="A4335" s="1">
        <v>1266</v>
      </c>
      <c r="B4335" s="17" t="s">
        <v>18262</v>
      </c>
      <c r="C4335" s="2" t="s">
        <v>18263</v>
      </c>
      <c r="D4335" s="15" t="s">
        <v>14142</v>
      </c>
      <c r="E4335" s="9" t="s">
        <v>2223</v>
      </c>
      <c r="F4335" s="9" t="s">
        <v>17680</v>
      </c>
      <c r="G4335" s="9" t="s">
        <v>341</v>
      </c>
      <c r="H4335" s="2" t="s">
        <v>60</v>
      </c>
      <c r="I4335" s="3">
        <v>37454</v>
      </c>
      <c r="J4335" s="9" t="str">
        <f t="shared" ca="1" si="74"/>
        <v>21 ans</v>
      </c>
      <c r="K4335" s="2" t="s">
        <v>262</v>
      </c>
      <c r="L4335" s="2" t="str">
        <f>"13831"</f>
        <v>13831</v>
      </c>
      <c r="M4335" s="2" t="str">
        <f>"105"</f>
        <v>105</v>
      </c>
      <c r="N4335" s="2" t="str">
        <f>"RUE SAINT-PIERRE"</f>
        <v>RUE SAINT-PIERRE</v>
      </c>
      <c r="O4335" s="2" t="s">
        <v>18155</v>
      </c>
      <c r="P4335" s="9" t="str">
        <f>VLOOKUP($O4335,'Liste des Villes'!$B$2:$B$1128,1,FALSE)</f>
        <v>Blainville</v>
      </c>
      <c r="Q4335" s="9" t="str">
        <f>IFERROR($P4335,PROPER(VLOOKUP($O4335,'Villes en erreur'!$A$2:$B$72,2,FALSE)))</f>
        <v>Blainville</v>
      </c>
      <c r="R4335" s="9" t="s">
        <v>18156</v>
      </c>
      <c r="S4335" s="9" t="str">
        <f>IF(ISBLANK($R4335),"",VLOOKUP($R4335,'Liste des Villes'!$B$2:$H$1128,4,FALSE))</f>
        <v>Laurentides</v>
      </c>
      <c r="T4335" s="2" t="s">
        <v>18264</v>
      </c>
      <c r="U4335" s="2" t="s">
        <v>39</v>
      </c>
      <c r="V4335" s="2" t="s">
        <v>40</v>
      </c>
      <c r="W4335" s="2" t="s">
        <v>18265</v>
      </c>
      <c r="X4335" s="2" t="str">
        <f>"5146094120"</f>
        <v>5146094120</v>
      </c>
      <c r="Y4335" s="2" t="str">
        <f>"4505161089"</f>
        <v>4505161089</v>
      </c>
      <c r="Z4335" s="2"/>
      <c r="AA4335" s="2" t="s">
        <v>456</v>
      </c>
      <c r="AB4335" s="2" t="s">
        <v>457</v>
      </c>
      <c r="AC4335" s="4" t="s">
        <v>44</v>
      </c>
    </row>
    <row r="4336" spans="1:29" x14ac:dyDescent="0.25">
      <c r="A4336" s="1">
        <v>4305</v>
      </c>
      <c r="B4336" s="17" t="s">
        <v>18266</v>
      </c>
      <c r="C4336" s="2" t="s">
        <v>18267</v>
      </c>
      <c r="D4336" s="15" t="s">
        <v>14003</v>
      </c>
      <c r="E4336" s="9" t="s">
        <v>101</v>
      </c>
      <c r="F4336" s="9" t="s">
        <v>2018</v>
      </c>
      <c r="G4336" s="9" t="s">
        <v>11647</v>
      </c>
      <c r="H4336" s="2" t="s">
        <v>60</v>
      </c>
      <c r="I4336" s="3">
        <v>37476</v>
      </c>
      <c r="J4336" s="9" t="str">
        <f t="shared" ca="1" si="74"/>
        <v>21 ans</v>
      </c>
      <c r="K4336" s="2" t="s">
        <v>262</v>
      </c>
      <c r="L4336" s="2" t="str">
        <f>"14434"</f>
        <v>14434</v>
      </c>
      <c r="M4336" s="2" t="str">
        <f>"10"</f>
        <v>10</v>
      </c>
      <c r="N4336" s="2" t="str">
        <f>"RUE SYDNEY"</f>
        <v>RUE SYDNEY</v>
      </c>
      <c r="O4336" s="2" t="s">
        <v>18155</v>
      </c>
      <c r="P4336" s="9" t="str">
        <f>VLOOKUP($O4336,'Liste des Villes'!$B$2:$B$1128,1,FALSE)</f>
        <v>Blainville</v>
      </c>
      <c r="Q4336" s="9" t="str">
        <f>IFERROR($P4336,PROPER(VLOOKUP($O4336,'Villes en erreur'!$A$2:$B$72,2,FALSE)))</f>
        <v>Blainville</v>
      </c>
      <c r="R4336" s="9" t="s">
        <v>18156</v>
      </c>
      <c r="S4336" s="9" t="str">
        <f>IF(ISBLANK($R4336),"",VLOOKUP($R4336,'Liste des Villes'!$B$2:$H$1128,4,FALSE))</f>
        <v>Laurentides</v>
      </c>
      <c r="T4336" s="2" t="s">
        <v>18268</v>
      </c>
      <c r="U4336" s="2" t="s">
        <v>39</v>
      </c>
      <c r="V4336" s="2" t="s">
        <v>40</v>
      </c>
      <c r="W4336" s="2" t="s">
        <v>18269</v>
      </c>
      <c r="X4336" s="2" t="str">
        <f>"5147785494"</f>
        <v>5147785494</v>
      </c>
      <c r="Y4336" s="2" t="str">
        <f>"4504355165"</f>
        <v>4504355165</v>
      </c>
      <c r="Z4336" s="2"/>
      <c r="AA4336" s="2" t="s">
        <v>456</v>
      </c>
      <c r="AB4336" s="2" t="s">
        <v>457</v>
      </c>
      <c r="AC4336" s="4" t="s">
        <v>44</v>
      </c>
    </row>
    <row r="4337" spans="1:29" x14ac:dyDescent="0.25">
      <c r="A4337" s="1">
        <v>672</v>
      </c>
      <c r="B4337" s="17" t="s">
        <v>18270</v>
      </c>
      <c r="C4337" s="2" t="s">
        <v>485</v>
      </c>
      <c r="D4337" s="15" t="s">
        <v>486</v>
      </c>
      <c r="E4337" s="9" t="s">
        <v>487</v>
      </c>
      <c r="F4337" s="9" t="s">
        <v>488</v>
      </c>
      <c r="G4337" s="9" t="s">
        <v>18271</v>
      </c>
      <c r="H4337" s="2" t="s">
        <v>60</v>
      </c>
      <c r="I4337" s="3">
        <v>37471</v>
      </c>
      <c r="J4337" s="9" t="str">
        <f t="shared" ca="1" si="74"/>
        <v>21 ans</v>
      </c>
      <c r="K4337" s="2" t="s">
        <v>262</v>
      </c>
      <c r="L4337" s="2" t="str">
        <f>"14230"</f>
        <v>14230</v>
      </c>
      <c r="M4337" s="2" t="str">
        <f>"12"</f>
        <v>12</v>
      </c>
      <c r="N4337" s="2" t="str">
        <f>"RUE ST LOUIS"</f>
        <v>RUE ST LOUIS</v>
      </c>
      <c r="O4337" s="2" t="s">
        <v>18155</v>
      </c>
      <c r="P4337" s="9" t="str">
        <f>VLOOKUP($O4337,'Liste des Villes'!$B$2:$B$1128,1,FALSE)</f>
        <v>Blainville</v>
      </c>
      <c r="Q4337" s="9" t="str">
        <f>IFERROR($P4337,PROPER(VLOOKUP($O4337,'Villes en erreur'!$A$2:$B$72,2,FALSE)))</f>
        <v>Blainville</v>
      </c>
      <c r="R4337" s="9" t="s">
        <v>18156</v>
      </c>
      <c r="S4337" s="9" t="str">
        <f>IF(ISBLANK($R4337),"",VLOOKUP($R4337,'Liste des Villes'!$B$2:$H$1128,4,FALSE))</f>
        <v>Laurentides</v>
      </c>
      <c r="T4337" s="2" t="s">
        <v>18272</v>
      </c>
      <c r="U4337" s="2" t="s">
        <v>39</v>
      </c>
      <c r="V4337" s="2" t="s">
        <v>40</v>
      </c>
      <c r="W4337" s="2" t="s">
        <v>18273</v>
      </c>
      <c r="X4337" s="2" t="str">
        <f>"5147172023"</f>
        <v>5147172023</v>
      </c>
      <c r="Y4337" s="2" t="str">
        <f>"4504379739"</f>
        <v>4504379739</v>
      </c>
      <c r="Z4337" s="2"/>
      <c r="AA4337" s="2" t="s">
        <v>456</v>
      </c>
      <c r="AB4337" s="2" t="s">
        <v>457</v>
      </c>
      <c r="AC4337" s="4" t="s">
        <v>44</v>
      </c>
    </row>
    <row r="4338" spans="1:29" x14ac:dyDescent="0.25">
      <c r="A4338" s="1">
        <v>293</v>
      </c>
      <c r="B4338" s="17" t="s">
        <v>18274</v>
      </c>
      <c r="C4338" s="2" t="s">
        <v>5670</v>
      </c>
      <c r="D4338" s="15" t="s">
        <v>2321</v>
      </c>
      <c r="E4338" s="9" t="s">
        <v>5671</v>
      </c>
      <c r="F4338" s="9" t="s">
        <v>13008</v>
      </c>
      <c r="G4338" s="9" t="s">
        <v>341</v>
      </c>
      <c r="H4338" s="2" t="s">
        <v>60</v>
      </c>
      <c r="I4338" s="3">
        <v>37454</v>
      </c>
      <c r="J4338" s="9" t="str">
        <f t="shared" ca="1" si="74"/>
        <v>21 ans</v>
      </c>
      <c r="K4338" s="2" t="s">
        <v>262</v>
      </c>
      <c r="L4338" s="2" t="str">
        <f>"13775"</f>
        <v>13775</v>
      </c>
      <c r="M4338" s="2" t="str">
        <f>"108"</f>
        <v>108</v>
      </c>
      <c r="N4338" s="2" t="str">
        <f>"RUE SAINT-LOUIS"</f>
        <v>RUE SAINT-LOUIS</v>
      </c>
      <c r="O4338" s="2" t="s">
        <v>18155</v>
      </c>
      <c r="P4338" s="9" t="str">
        <f>VLOOKUP($O4338,'Liste des Villes'!$B$2:$B$1128,1,FALSE)</f>
        <v>Blainville</v>
      </c>
      <c r="Q4338" s="9" t="str">
        <f>IFERROR($P4338,PROPER(VLOOKUP($O4338,'Villes en erreur'!$A$2:$B$72,2,FALSE)))</f>
        <v>Blainville</v>
      </c>
      <c r="R4338" s="9" t="s">
        <v>18156</v>
      </c>
      <c r="S4338" s="9" t="str">
        <f>IF(ISBLANK($R4338),"",VLOOKUP($R4338,'Liste des Villes'!$B$2:$H$1128,4,FALSE))</f>
        <v>Laurentides</v>
      </c>
      <c r="T4338" s="2" t="s">
        <v>18275</v>
      </c>
      <c r="U4338" s="2" t="s">
        <v>39</v>
      </c>
      <c r="V4338" s="2" t="s">
        <v>40</v>
      </c>
      <c r="W4338" s="2" t="s">
        <v>18276</v>
      </c>
      <c r="X4338" s="2" t="str">
        <f>"5146070730"</f>
        <v>5146070730</v>
      </c>
      <c r="Y4338" s="2" t="str">
        <f>"4505164660"</f>
        <v>4505164660</v>
      </c>
      <c r="Z4338" s="2"/>
      <c r="AA4338" s="2" t="s">
        <v>456</v>
      </c>
      <c r="AB4338" s="2" t="s">
        <v>457</v>
      </c>
      <c r="AC4338" s="4" t="s">
        <v>44</v>
      </c>
    </row>
    <row r="4339" spans="1:29" x14ac:dyDescent="0.25">
      <c r="A4339" s="1">
        <v>1570</v>
      </c>
      <c r="B4339" s="17" t="s">
        <v>18277</v>
      </c>
      <c r="C4339" s="2" t="s">
        <v>4342</v>
      </c>
      <c r="D4339" s="15" t="s">
        <v>867</v>
      </c>
      <c r="E4339" s="9" t="s">
        <v>4343</v>
      </c>
      <c r="F4339" s="9" t="s">
        <v>4344</v>
      </c>
      <c r="G4339" s="9" t="s">
        <v>2381</v>
      </c>
      <c r="H4339" s="2" t="s">
        <v>35</v>
      </c>
      <c r="I4339" s="3">
        <v>37497</v>
      </c>
      <c r="J4339" s="9" t="str">
        <f t="shared" ca="1" si="74"/>
        <v>20 ans</v>
      </c>
      <c r="K4339" s="2" t="s">
        <v>262</v>
      </c>
      <c r="L4339" s="2" t="str">
        <f>"16650"</f>
        <v>16650</v>
      </c>
      <c r="M4339" s="2" t="str">
        <f>"5"</f>
        <v>5</v>
      </c>
      <c r="N4339" s="2" t="str">
        <f>"RUE VANIER"</f>
        <v>RUE VANIER</v>
      </c>
      <c r="O4339" s="2" t="s">
        <v>18155</v>
      </c>
      <c r="P4339" s="9" t="str">
        <f>VLOOKUP($O4339,'Liste des Villes'!$B$2:$B$1128,1,FALSE)</f>
        <v>Blainville</v>
      </c>
      <c r="Q4339" s="9" t="str">
        <f>IFERROR($P4339,PROPER(VLOOKUP($O4339,'Villes en erreur'!$A$2:$B$72,2,FALSE)))</f>
        <v>Blainville</v>
      </c>
      <c r="R4339" s="9" t="s">
        <v>18156</v>
      </c>
      <c r="S4339" s="9" t="str">
        <f>IF(ISBLANK($R4339),"",VLOOKUP($R4339,'Liste des Villes'!$B$2:$H$1128,4,FALSE))</f>
        <v>Laurentides</v>
      </c>
      <c r="T4339" s="2" t="s">
        <v>18278</v>
      </c>
      <c r="U4339" s="2" t="s">
        <v>39</v>
      </c>
      <c r="V4339" s="2" t="s">
        <v>40</v>
      </c>
      <c r="W4339" s="2" t="s">
        <v>18279</v>
      </c>
      <c r="X4339" s="2" t="str">
        <f>"5149410671"</f>
        <v>5149410671</v>
      </c>
      <c r="Y4339" s="2" t="str">
        <f>"4502757015"</f>
        <v>4502757015</v>
      </c>
      <c r="Z4339" s="2"/>
      <c r="AA4339" s="2" t="s">
        <v>456</v>
      </c>
      <c r="AB4339" s="2" t="s">
        <v>457</v>
      </c>
      <c r="AC4339" s="4" t="s">
        <v>44</v>
      </c>
    </row>
    <row r="4340" spans="1:29" x14ac:dyDescent="0.25">
      <c r="A4340" s="1">
        <v>4568</v>
      </c>
      <c r="B4340" s="17" t="s">
        <v>18280</v>
      </c>
      <c r="C4340" s="2" t="s">
        <v>18281</v>
      </c>
      <c r="D4340" s="15" t="s">
        <v>1016</v>
      </c>
      <c r="E4340" s="9" t="s">
        <v>10585</v>
      </c>
      <c r="F4340" s="9" t="s">
        <v>18282</v>
      </c>
      <c r="G4340" s="9" t="s">
        <v>370</v>
      </c>
      <c r="H4340" s="2" t="s">
        <v>60</v>
      </c>
      <c r="I4340" s="3">
        <v>37516</v>
      </c>
      <c r="J4340" s="9" t="str">
        <f t="shared" ca="1" si="74"/>
        <v>20 ans</v>
      </c>
      <c r="K4340" s="2" t="s">
        <v>262</v>
      </c>
      <c r="L4340" s="2" t="str">
        <f>"17603"</f>
        <v>17603</v>
      </c>
      <c r="M4340" s="2" t="str">
        <f>"2"</f>
        <v>2</v>
      </c>
      <c r="N4340" s="2" t="str">
        <f>"SAINTE-PAULE"</f>
        <v>SAINTE-PAULE</v>
      </c>
      <c r="O4340" s="2" t="s">
        <v>18155</v>
      </c>
      <c r="P4340" s="9" t="str">
        <f>VLOOKUP($O4340,'Liste des Villes'!$B$2:$B$1128,1,FALSE)</f>
        <v>Blainville</v>
      </c>
      <c r="Q4340" s="9" t="str">
        <f>IFERROR($P4340,PROPER(VLOOKUP($O4340,'Villes en erreur'!$A$2:$B$72,2,FALSE)))</f>
        <v>Blainville</v>
      </c>
      <c r="R4340" s="9" t="s">
        <v>18156</v>
      </c>
      <c r="S4340" s="9" t="str">
        <f>IF(ISBLANK($R4340),"",VLOOKUP($R4340,'Liste des Villes'!$B$2:$H$1128,4,FALSE))</f>
        <v>Laurentides</v>
      </c>
      <c r="T4340" s="2" t="s">
        <v>18183</v>
      </c>
      <c r="U4340" s="2" t="s">
        <v>39</v>
      </c>
      <c r="V4340" s="2" t="s">
        <v>40</v>
      </c>
      <c r="W4340" s="2" t="s">
        <v>18283</v>
      </c>
      <c r="X4340" s="2" t="str">
        <f>"8192167441"</f>
        <v>8192167441</v>
      </c>
      <c r="Y4340" s="2" t="str">
        <f>"4388721204"</f>
        <v>4388721204</v>
      </c>
      <c r="Z4340" s="2"/>
      <c r="AA4340" s="2" t="s">
        <v>456</v>
      </c>
      <c r="AB4340" s="2" t="s">
        <v>457</v>
      </c>
      <c r="AC4340" s="4" t="s">
        <v>44</v>
      </c>
    </row>
    <row r="4341" spans="1:29" x14ac:dyDescent="0.25">
      <c r="A4341" s="1">
        <v>2562</v>
      </c>
      <c r="B4341" s="17" t="s">
        <v>18284</v>
      </c>
      <c r="C4341" s="2" t="s">
        <v>4690</v>
      </c>
      <c r="D4341" s="15" t="s">
        <v>1076</v>
      </c>
      <c r="E4341" s="9" t="s">
        <v>4691</v>
      </c>
      <c r="F4341" s="9" t="s">
        <v>839</v>
      </c>
      <c r="G4341" s="9" t="s">
        <v>341</v>
      </c>
      <c r="H4341" s="2" t="s">
        <v>60</v>
      </c>
      <c r="I4341" s="3">
        <v>37448</v>
      </c>
      <c r="J4341" s="9" t="str">
        <f t="shared" ca="1" si="74"/>
        <v>21 ans</v>
      </c>
      <c r="K4341" s="2" t="s">
        <v>262</v>
      </c>
      <c r="L4341" s="2" t="str">
        <f>"13707"</f>
        <v>13707</v>
      </c>
      <c r="M4341" s="2" t="str">
        <f>"201"</f>
        <v>201</v>
      </c>
      <c r="N4341" s="2" t="str">
        <f>"RUE SAINT-JEAN"</f>
        <v>RUE SAINT-JEAN</v>
      </c>
      <c r="O4341" s="2" t="s">
        <v>18155</v>
      </c>
      <c r="P4341" s="9" t="str">
        <f>VLOOKUP($O4341,'Liste des Villes'!$B$2:$B$1128,1,FALSE)</f>
        <v>Blainville</v>
      </c>
      <c r="Q4341" s="9" t="str">
        <f>IFERROR($P4341,PROPER(VLOOKUP($O4341,'Villes en erreur'!$A$2:$B$72,2,FALSE)))</f>
        <v>Blainville</v>
      </c>
      <c r="R4341" s="9" t="s">
        <v>18156</v>
      </c>
      <c r="S4341" s="9" t="str">
        <f>IF(ISBLANK($R4341),"",VLOOKUP($R4341,'Liste des Villes'!$B$2:$H$1128,4,FALSE))</f>
        <v>Laurentides</v>
      </c>
      <c r="T4341" s="2" t="s">
        <v>18285</v>
      </c>
      <c r="U4341" s="2" t="s">
        <v>39</v>
      </c>
      <c r="V4341" s="2" t="s">
        <v>40</v>
      </c>
      <c r="W4341" s="2" t="s">
        <v>18286</v>
      </c>
      <c r="X4341" s="2" t="str">
        <f>"5145731487"</f>
        <v>5145731487</v>
      </c>
      <c r="Y4341" s="2" t="str">
        <f>"4505335376"</f>
        <v>4505335376</v>
      </c>
      <c r="Z4341" s="2"/>
      <c r="AA4341" s="2" t="s">
        <v>456</v>
      </c>
      <c r="AB4341" s="2" t="s">
        <v>457</v>
      </c>
      <c r="AC4341" s="4" t="s">
        <v>44</v>
      </c>
    </row>
    <row r="4342" spans="1:29" x14ac:dyDescent="0.25">
      <c r="A4342" s="1">
        <v>2719</v>
      </c>
      <c r="B4342" s="17" t="s">
        <v>18287</v>
      </c>
      <c r="C4342" s="2" t="s">
        <v>6164</v>
      </c>
      <c r="D4342" s="15" t="s">
        <v>2252</v>
      </c>
      <c r="E4342" s="9" t="s">
        <v>6165</v>
      </c>
      <c r="F4342" s="9" t="s">
        <v>15454</v>
      </c>
      <c r="G4342" s="9" t="s">
        <v>2274</v>
      </c>
      <c r="H4342" s="2" t="s">
        <v>60</v>
      </c>
      <c r="I4342" s="3">
        <v>37468</v>
      </c>
      <c r="J4342" s="9" t="str">
        <f t="shared" ca="1" si="74"/>
        <v>21 ans</v>
      </c>
      <c r="K4342" s="2" t="s">
        <v>262</v>
      </c>
      <c r="L4342" s="2" t="str">
        <f>"14105"</f>
        <v>14105</v>
      </c>
      <c r="M4342" s="2" t="str">
        <f>"25"</f>
        <v>25</v>
      </c>
      <c r="N4342" s="2" t="str">
        <f>"RUE SÉGUIN"</f>
        <v>RUE SÉGUIN</v>
      </c>
      <c r="O4342" s="2" t="s">
        <v>18155</v>
      </c>
      <c r="P4342" s="9" t="str">
        <f>VLOOKUP($O4342,'Liste des Villes'!$B$2:$B$1128,1,FALSE)</f>
        <v>Blainville</v>
      </c>
      <c r="Q4342" s="9" t="str">
        <f>IFERROR($P4342,PROPER(VLOOKUP($O4342,'Villes en erreur'!$A$2:$B$72,2,FALSE)))</f>
        <v>Blainville</v>
      </c>
      <c r="R4342" s="9" t="s">
        <v>18156</v>
      </c>
      <c r="S4342" s="9" t="str">
        <f>IF(ISBLANK($R4342),"",VLOOKUP($R4342,'Liste des Villes'!$B$2:$H$1128,4,FALSE))</f>
        <v>Laurentides</v>
      </c>
      <c r="T4342" s="2" t="s">
        <v>18197</v>
      </c>
      <c r="U4342" s="2" t="s">
        <v>39</v>
      </c>
      <c r="V4342" s="2" t="s">
        <v>40</v>
      </c>
      <c r="W4342" s="2" t="s">
        <v>18288</v>
      </c>
      <c r="X4342" s="2" t="str">
        <f>"5147065341"</f>
        <v>5147065341</v>
      </c>
      <c r="Y4342" s="2" t="str">
        <f>"4504466660"</f>
        <v>4504466660</v>
      </c>
      <c r="Z4342" s="2"/>
      <c r="AA4342" s="2" t="s">
        <v>456</v>
      </c>
      <c r="AB4342" s="2" t="s">
        <v>457</v>
      </c>
      <c r="AC4342" s="4" t="s">
        <v>44</v>
      </c>
    </row>
    <row r="4343" spans="1:29" x14ac:dyDescent="0.25">
      <c r="A4343" s="1">
        <v>2382</v>
      </c>
      <c r="B4343" s="17" t="s">
        <v>18289</v>
      </c>
      <c r="C4343" s="2" t="s">
        <v>18290</v>
      </c>
      <c r="D4343" s="15" t="s">
        <v>1845</v>
      </c>
      <c r="E4343" s="9" t="s">
        <v>13581</v>
      </c>
      <c r="F4343" s="9" t="s">
        <v>6676</v>
      </c>
      <c r="G4343" s="9" t="s">
        <v>6458</v>
      </c>
      <c r="H4343" s="2" t="s">
        <v>35</v>
      </c>
      <c r="I4343" s="3">
        <v>37526</v>
      </c>
      <c r="J4343" s="9" t="str">
        <f t="shared" ca="1" si="74"/>
        <v>20 ans</v>
      </c>
      <c r="K4343" s="2" t="s">
        <v>262</v>
      </c>
      <c r="L4343" s="2" t="str">
        <f>"18730"</f>
        <v>18730</v>
      </c>
      <c r="M4343" s="2" t="str">
        <f>"1"</f>
        <v>1</v>
      </c>
      <c r="N4343" s="2" t="str">
        <f>"TSSE BELLEVUE"</f>
        <v>TSSE BELLEVUE</v>
      </c>
      <c r="O4343" s="2" t="s">
        <v>18155</v>
      </c>
      <c r="P4343" s="9" t="str">
        <f>VLOOKUP($O4343,'Liste des Villes'!$B$2:$B$1128,1,FALSE)</f>
        <v>Blainville</v>
      </c>
      <c r="Q4343" s="9" t="str">
        <f>IFERROR($P4343,PROPER(VLOOKUP($O4343,'Villes en erreur'!$A$2:$B$72,2,FALSE)))</f>
        <v>Blainville</v>
      </c>
      <c r="R4343" s="9" t="s">
        <v>18156</v>
      </c>
      <c r="S4343" s="9" t="str">
        <f>IF(ISBLANK($R4343),"",VLOOKUP($R4343,'Liste des Villes'!$B$2:$H$1128,4,FALSE))</f>
        <v>Laurentides</v>
      </c>
      <c r="T4343" s="2" t="s">
        <v>18291</v>
      </c>
      <c r="U4343" s="2" t="s">
        <v>39</v>
      </c>
      <c r="V4343" s="2" t="s">
        <v>40</v>
      </c>
      <c r="W4343" s="2" t="s">
        <v>18292</v>
      </c>
      <c r="X4343" s="2" t="str">
        <f>"8195989031"</f>
        <v>8195989031</v>
      </c>
      <c r="Y4343" s="2" t="str">
        <f>"4383999763"</f>
        <v>4383999763</v>
      </c>
      <c r="Z4343" s="2" t="str">
        <f>"4506941535"</f>
        <v>4506941535</v>
      </c>
      <c r="AA4343" s="2" t="s">
        <v>456</v>
      </c>
      <c r="AB4343" s="2" t="s">
        <v>457</v>
      </c>
      <c r="AC4343" s="4" t="s">
        <v>44</v>
      </c>
    </row>
    <row r="4344" spans="1:29" x14ac:dyDescent="0.25">
      <c r="A4344" s="1">
        <v>1169</v>
      </c>
      <c r="B4344" s="17" t="s">
        <v>18293</v>
      </c>
      <c r="C4344" s="2" t="s">
        <v>18294</v>
      </c>
      <c r="D4344" s="15" t="s">
        <v>4087</v>
      </c>
      <c r="E4344" s="9" t="s">
        <v>5779</v>
      </c>
      <c r="F4344" s="9" t="s">
        <v>4085</v>
      </c>
      <c r="G4344" s="9" t="s">
        <v>503</v>
      </c>
      <c r="H4344" s="2" t="s">
        <v>35</v>
      </c>
      <c r="I4344" s="3">
        <v>37520</v>
      </c>
      <c r="J4344" s="9" t="str">
        <f t="shared" ca="1" si="74"/>
        <v>20 ans</v>
      </c>
      <c r="K4344" s="2" t="s">
        <v>262</v>
      </c>
      <c r="L4344" s="2" t="str">
        <f>"18220"</f>
        <v>18220</v>
      </c>
      <c r="M4344" s="2" t="str">
        <f>"2"</f>
        <v>2</v>
      </c>
      <c r="N4344" s="2" t="str">
        <f>"ST-HILAIRE"</f>
        <v>ST-HILAIRE</v>
      </c>
      <c r="O4344" s="2" t="s">
        <v>18155</v>
      </c>
      <c r="P4344" s="9" t="str">
        <f>VLOOKUP($O4344,'Liste des Villes'!$B$2:$B$1128,1,FALSE)</f>
        <v>Blainville</v>
      </c>
      <c r="Q4344" s="9" t="str">
        <f>IFERROR($P4344,PROPER(VLOOKUP($O4344,'Villes en erreur'!$A$2:$B$72,2,FALSE)))</f>
        <v>Blainville</v>
      </c>
      <c r="R4344" s="9" t="s">
        <v>18156</v>
      </c>
      <c r="S4344" s="9" t="str">
        <f>IF(ISBLANK($R4344),"",VLOOKUP($R4344,'Liste des Villes'!$B$2:$H$1128,4,FALSE))</f>
        <v>Laurentides</v>
      </c>
      <c r="T4344" s="2" t="s">
        <v>18295</v>
      </c>
      <c r="U4344" s="2" t="s">
        <v>39</v>
      </c>
      <c r="V4344" s="2" t="s">
        <v>40</v>
      </c>
      <c r="W4344" s="2" t="s">
        <v>18296</v>
      </c>
      <c r="X4344" s="2" t="str">
        <f>"8193396318"</f>
        <v>8193396318</v>
      </c>
      <c r="Y4344" s="2" t="str">
        <f>"4385226601"</f>
        <v>4385226601</v>
      </c>
      <c r="Z4344" s="2"/>
      <c r="AA4344" s="2" t="s">
        <v>456</v>
      </c>
      <c r="AB4344" s="2" t="s">
        <v>457</v>
      </c>
      <c r="AC4344" s="4" t="s">
        <v>44</v>
      </c>
    </row>
    <row r="4345" spans="1:29" x14ac:dyDescent="0.25">
      <c r="A4345" s="1">
        <v>822</v>
      </c>
      <c r="B4345" s="17" t="s">
        <v>18297</v>
      </c>
      <c r="C4345" s="2" t="s">
        <v>18298</v>
      </c>
      <c r="D4345" s="15" t="s">
        <v>13227</v>
      </c>
      <c r="E4345" s="9" t="s">
        <v>305</v>
      </c>
      <c r="F4345" s="9" t="s">
        <v>13226</v>
      </c>
      <c r="G4345" s="9" t="s">
        <v>8752</v>
      </c>
      <c r="H4345" s="2" t="s">
        <v>60</v>
      </c>
      <c r="I4345" s="3">
        <v>37441</v>
      </c>
      <c r="J4345" s="9" t="str">
        <f t="shared" ca="1" si="74"/>
        <v>21 ans</v>
      </c>
      <c r="K4345" s="2" t="s">
        <v>262</v>
      </c>
      <c r="L4345" s="2" t="str">
        <f>"13520"</f>
        <v>13520</v>
      </c>
      <c r="M4345" s="2" t="str">
        <f>"302"</f>
        <v>302</v>
      </c>
      <c r="N4345" s="2" t="str">
        <f>"RUE SAINT-CAMILLE"</f>
        <v>RUE SAINT-CAMILLE</v>
      </c>
      <c r="O4345" s="2" t="s">
        <v>18155</v>
      </c>
      <c r="P4345" s="9" t="str">
        <f>VLOOKUP($O4345,'Liste des Villes'!$B$2:$B$1128,1,FALSE)</f>
        <v>Blainville</v>
      </c>
      <c r="Q4345" s="9" t="str">
        <f>IFERROR($P4345,PROPER(VLOOKUP($O4345,'Villes en erreur'!$A$2:$B$72,2,FALSE)))</f>
        <v>Blainville</v>
      </c>
      <c r="R4345" s="9" t="s">
        <v>18156</v>
      </c>
      <c r="S4345" s="9" t="str">
        <f>IF(ISBLANK($R4345),"",VLOOKUP($R4345,'Liste des Villes'!$B$2:$H$1128,4,FALSE))</f>
        <v>Laurentides</v>
      </c>
      <c r="T4345" s="2" t="s">
        <v>18299</v>
      </c>
      <c r="U4345" s="2" t="s">
        <v>39</v>
      </c>
      <c r="V4345" s="2" t="s">
        <v>40</v>
      </c>
      <c r="W4345" s="2" t="s">
        <v>18300</v>
      </c>
      <c r="X4345" s="2" t="str">
        <f>"5144667436"</f>
        <v>5144667436</v>
      </c>
      <c r="Y4345" s="2" t="str">
        <f>"4505659933"</f>
        <v>4505659933</v>
      </c>
      <c r="Z4345" s="2"/>
      <c r="AA4345" s="2" t="s">
        <v>456</v>
      </c>
      <c r="AB4345" s="2" t="s">
        <v>457</v>
      </c>
      <c r="AC4345" s="4" t="s">
        <v>44</v>
      </c>
    </row>
    <row r="4346" spans="1:29" x14ac:dyDescent="0.25">
      <c r="A4346" s="1">
        <v>3137</v>
      </c>
      <c r="B4346" s="17" t="s">
        <v>18301</v>
      </c>
      <c r="C4346" s="2" t="s">
        <v>18302</v>
      </c>
      <c r="D4346" s="15" t="s">
        <v>17584</v>
      </c>
      <c r="E4346" s="9" t="s">
        <v>370</v>
      </c>
      <c r="F4346" s="9" t="s">
        <v>808</v>
      </c>
      <c r="G4346" s="9" t="s">
        <v>341</v>
      </c>
      <c r="H4346" s="2" t="s">
        <v>60</v>
      </c>
      <c r="I4346" s="3">
        <v>37442</v>
      </c>
      <c r="J4346" s="9" t="str">
        <f t="shared" ca="1" si="74"/>
        <v>21 ans</v>
      </c>
      <c r="K4346" s="2" t="s">
        <v>262</v>
      </c>
      <c r="L4346" s="2" t="str">
        <f>"13565"</f>
        <v>13565</v>
      </c>
      <c r="M4346" s="2" t="str">
        <f>"301"</f>
        <v>301</v>
      </c>
      <c r="N4346" s="2" t="str">
        <f>"RUE SAINT-DONAT"</f>
        <v>RUE SAINT-DONAT</v>
      </c>
      <c r="O4346" s="2" t="s">
        <v>18155</v>
      </c>
      <c r="P4346" s="9" t="str">
        <f>VLOOKUP($O4346,'Liste des Villes'!$B$2:$B$1128,1,FALSE)</f>
        <v>Blainville</v>
      </c>
      <c r="Q4346" s="9" t="str">
        <f>IFERROR($P4346,PROPER(VLOOKUP($O4346,'Villes en erreur'!$A$2:$B$72,2,FALSE)))</f>
        <v>Blainville</v>
      </c>
      <c r="R4346" s="9" t="s">
        <v>18156</v>
      </c>
      <c r="S4346" s="9" t="str">
        <f>IF(ISBLANK($R4346),"",VLOOKUP($R4346,'Liste des Villes'!$B$2:$H$1128,4,FALSE))</f>
        <v>Laurentides</v>
      </c>
      <c r="T4346" s="2" t="s">
        <v>18303</v>
      </c>
      <c r="U4346" s="2" t="s">
        <v>39</v>
      </c>
      <c r="V4346" s="2" t="s">
        <v>40</v>
      </c>
      <c r="W4346" s="2" t="s">
        <v>18304</v>
      </c>
      <c r="X4346" s="2" t="str">
        <f>"5144736107"</f>
        <v>5144736107</v>
      </c>
      <c r="Y4346" s="2" t="str">
        <f>"4505656803"</f>
        <v>4505656803</v>
      </c>
      <c r="Z4346" s="2"/>
      <c r="AA4346" s="2" t="s">
        <v>456</v>
      </c>
      <c r="AB4346" s="2" t="s">
        <v>457</v>
      </c>
      <c r="AC4346" s="4" t="s">
        <v>44</v>
      </c>
    </row>
    <row r="4347" spans="1:29" x14ac:dyDescent="0.25">
      <c r="A4347" s="1">
        <v>2004</v>
      </c>
      <c r="B4347" s="17" t="s">
        <v>18305</v>
      </c>
      <c r="C4347" s="2" t="s">
        <v>18306</v>
      </c>
      <c r="D4347" s="15" t="s">
        <v>9164</v>
      </c>
      <c r="E4347" s="9" t="s">
        <v>12347</v>
      </c>
      <c r="F4347" s="9" t="s">
        <v>9162</v>
      </c>
      <c r="G4347" s="9" t="s">
        <v>370</v>
      </c>
      <c r="H4347" s="2" t="s">
        <v>60</v>
      </c>
      <c r="I4347" s="3">
        <v>37516</v>
      </c>
      <c r="J4347" s="9" t="str">
        <f t="shared" ca="1" si="74"/>
        <v>20 ans</v>
      </c>
      <c r="K4347" s="2" t="s">
        <v>262</v>
      </c>
      <c r="L4347" s="2" t="str">
        <f>"17726"</f>
        <v>17726</v>
      </c>
      <c r="M4347" s="2" t="str">
        <f>"2"</f>
        <v>2</v>
      </c>
      <c r="N4347" s="2" t="str">
        <f>"SAINTE-SOPHIE BLVD"</f>
        <v>SAINTE-SOPHIE BLVD</v>
      </c>
      <c r="O4347" s="2" t="s">
        <v>18155</v>
      </c>
      <c r="P4347" s="9" t="str">
        <f>VLOOKUP($O4347,'Liste des Villes'!$B$2:$B$1128,1,FALSE)</f>
        <v>Blainville</v>
      </c>
      <c r="Q4347" s="9" t="str">
        <f>IFERROR($P4347,PROPER(VLOOKUP($O4347,'Villes en erreur'!$A$2:$B$72,2,FALSE)))</f>
        <v>Blainville</v>
      </c>
      <c r="R4347" s="9" t="s">
        <v>18156</v>
      </c>
      <c r="S4347" s="9" t="str">
        <f>IF(ISBLANK($R4347),"",VLOOKUP($R4347,'Liste des Villes'!$B$2:$H$1128,4,FALSE))</f>
        <v>Laurentides</v>
      </c>
      <c r="T4347" s="2" t="s">
        <v>18183</v>
      </c>
      <c r="U4347" s="2" t="s">
        <v>39</v>
      </c>
      <c r="V4347" s="2" t="s">
        <v>40</v>
      </c>
      <c r="W4347" s="2" t="s">
        <v>18307</v>
      </c>
      <c r="X4347" s="2" t="str">
        <f>"8192757896"</f>
        <v>8192757896</v>
      </c>
      <c r="Y4347" s="2" t="str">
        <f>"4388639889"</f>
        <v>4388639889</v>
      </c>
      <c r="Z4347" s="2"/>
      <c r="AA4347" s="2" t="s">
        <v>456</v>
      </c>
      <c r="AB4347" s="2" t="s">
        <v>457</v>
      </c>
      <c r="AC4347" s="4" t="s">
        <v>44</v>
      </c>
    </row>
    <row r="4348" spans="1:29" x14ac:dyDescent="0.25">
      <c r="A4348" s="1">
        <v>4339</v>
      </c>
      <c r="B4348" s="17" t="s">
        <v>18308</v>
      </c>
      <c r="C4348" s="2" t="s">
        <v>18309</v>
      </c>
      <c r="D4348" s="15" t="s">
        <v>2729</v>
      </c>
      <c r="E4348" s="9" t="s">
        <v>2848</v>
      </c>
      <c r="F4348" s="9" t="s">
        <v>2728</v>
      </c>
      <c r="G4348" s="9" t="s">
        <v>10438</v>
      </c>
      <c r="H4348" s="2" t="s">
        <v>60</v>
      </c>
      <c r="I4348" s="3">
        <v>37476</v>
      </c>
      <c r="J4348" s="9" t="str">
        <f t="shared" ca="1" si="74"/>
        <v>21 ans</v>
      </c>
      <c r="K4348" s="2" t="s">
        <v>262</v>
      </c>
      <c r="L4348" s="2" t="str">
        <f>"14470"</f>
        <v>14470</v>
      </c>
      <c r="M4348" s="2" t="str">
        <f>"10"</f>
        <v>10</v>
      </c>
      <c r="N4348" s="2" t="str">
        <f>"RUE SYLVIANNE"</f>
        <v>RUE SYLVIANNE</v>
      </c>
      <c r="O4348" s="2" t="s">
        <v>18155</v>
      </c>
      <c r="P4348" s="9" t="str">
        <f>VLOOKUP($O4348,'Liste des Villes'!$B$2:$B$1128,1,FALSE)</f>
        <v>Blainville</v>
      </c>
      <c r="Q4348" s="9" t="str">
        <f>IFERROR($P4348,PROPER(VLOOKUP($O4348,'Villes en erreur'!$A$2:$B$72,2,FALSE)))</f>
        <v>Blainville</v>
      </c>
      <c r="R4348" s="9" t="s">
        <v>18156</v>
      </c>
      <c r="S4348" s="9" t="str">
        <f>IF(ISBLANK($R4348),"",VLOOKUP($R4348,'Liste des Villes'!$B$2:$H$1128,4,FALSE))</f>
        <v>Laurentides</v>
      </c>
      <c r="T4348" s="2" t="s">
        <v>18310</v>
      </c>
      <c r="U4348" s="2" t="s">
        <v>39</v>
      </c>
      <c r="V4348" s="2" t="s">
        <v>40</v>
      </c>
      <c r="W4348" s="2" t="s">
        <v>18311</v>
      </c>
      <c r="X4348" s="2" t="str">
        <f>"5147786281"</f>
        <v>5147786281</v>
      </c>
      <c r="Y4348" s="2" t="str">
        <f>"4504353797"</f>
        <v>4504353797</v>
      </c>
      <c r="Z4348" s="2"/>
      <c r="AA4348" s="2" t="s">
        <v>456</v>
      </c>
      <c r="AB4348" s="2" t="s">
        <v>457</v>
      </c>
      <c r="AC4348" s="4" t="s">
        <v>44</v>
      </c>
    </row>
    <row r="4349" spans="1:29" x14ac:dyDescent="0.25">
      <c r="A4349" s="1">
        <v>425</v>
      </c>
      <c r="B4349" s="17" t="s">
        <v>18312</v>
      </c>
      <c r="C4349" s="2" t="s">
        <v>18313</v>
      </c>
      <c r="D4349" s="15" t="s">
        <v>13333</v>
      </c>
      <c r="E4349" s="9" t="s">
        <v>5070</v>
      </c>
      <c r="F4349" s="9" t="s">
        <v>13331</v>
      </c>
      <c r="G4349" s="9" t="s">
        <v>781</v>
      </c>
      <c r="H4349" s="2" t="s">
        <v>60</v>
      </c>
      <c r="I4349" s="3">
        <v>37438</v>
      </c>
      <c r="J4349" s="9" t="str">
        <f t="shared" ca="1" si="74"/>
        <v>21 ans</v>
      </c>
      <c r="K4349" s="2" t="s">
        <v>262</v>
      </c>
      <c r="L4349" s="2" t="str">
        <f>"13380"</f>
        <v>13380</v>
      </c>
      <c r="M4349" s="2" t="str">
        <f>"401"</f>
        <v>401</v>
      </c>
      <c r="N4349" s="2" t="str">
        <f>"RUE SAINT GEORGES"</f>
        <v>RUE SAINT GEORGES</v>
      </c>
      <c r="O4349" s="2" t="s">
        <v>18155</v>
      </c>
      <c r="P4349" s="9" t="str">
        <f>VLOOKUP($O4349,'Liste des Villes'!$B$2:$B$1128,1,FALSE)</f>
        <v>Blainville</v>
      </c>
      <c r="Q4349" s="9" t="str">
        <f>IFERROR($P4349,PROPER(VLOOKUP($O4349,'Villes en erreur'!$A$2:$B$72,2,FALSE)))</f>
        <v>Blainville</v>
      </c>
      <c r="R4349" s="9" t="s">
        <v>18156</v>
      </c>
      <c r="S4349" s="9" t="str">
        <f>IF(ISBLANK($R4349),"",VLOOKUP($R4349,'Liste des Villes'!$B$2:$H$1128,4,FALSE))</f>
        <v>Laurentides</v>
      </c>
      <c r="T4349" s="2" t="s">
        <v>18314</v>
      </c>
      <c r="U4349" s="2" t="s">
        <v>39</v>
      </c>
      <c r="V4349" s="2" t="s">
        <v>40</v>
      </c>
      <c r="W4349" s="2" t="s">
        <v>18315</v>
      </c>
      <c r="X4349" s="2" t="str">
        <f>"5142972238"</f>
        <v>5142972238</v>
      </c>
      <c r="Y4349" s="2" t="str">
        <f>"4506021792"</f>
        <v>4506021792</v>
      </c>
      <c r="Z4349" s="2"/>
      <c r="AA4349" s="2" t="s">
        <v>456</v>
      </c>
      <c r="AB4349" s="2" t="s">
        <v>457</v>
      </c>
      <c r="AC4349" s="4" t="s">
        <v>44</v>
      </c>
    </row>
    <row r="4350" spans="1:29" x14ac:dyDescent="0.25">
      <c r="A4350" s="1">
        <v>639</v>
      </c>
      <c r="B4350" s="17" t="s">
        <v>18316</v>
      </c>
      <c r="C4350" s="2" t="s">
        <v>18317</v>
      </c>
      <c r="D4350" s="15" t="s">
        <v>2010</v>
      </c>
      <c r="E4350" s="9" t="s">
        <v>14768</v>
      </c>
      <c r="F4350" s="9" t="s">
        <v>1076</v>
      </c>
      <c r="G4350" s="9" t="s">
        <v>781</v>
      </c>
      <c r="H4350" s="2" t="s">
        <v>60</v>
      </c>
      <c r="I4350" s="3">
        <v>37439</v>
      </c>
      <c r="J4350" s="9" t="str">
        <f t="shared" ca="1" si="74"/>
        <v>21 ans</v>
      </c>
      <c r="K4350" s="2" t="s">
        <v>262</v>
      </c>
      <c r="L4350" s="2" t="str">
        <f>"13395"</f>
        <v>13395</v>
      </c>
      <c r="M4350" s="2" t="str">
        <f>"373"</f>
        <v>373</v>
      </c>
      <c r="N4350" s="2" t="str">
        <f>"RUE SAINT LAMBERT"</f>
        <v>RUE SAINT LAMBERT</v>
      </c>
      <c r="O4350" s="2" t="s">
        <v>18155</v>
      </c>
      <c r="P4350" s="9" t="str">
        <f>VLOOKUP($O4350,'Liste des Villes'!$B$2:$B$1128,1,FALSE)</f>
        <v>Blainville</v>
      </c>
      <c r="Q4350" s="9" t="str">
        <f>IFERROR($P4350,PROPER(VLOOKUP($O4350,'Villes en erreur'!$A$2:$B$72,2,FALSE)))</f>
        <v>Blainville</v>
      </c>
      <c r="R4350" s="9" t="s">
        <v>18156</v>
      </c>
      <c r="S4350" s="9" t="str">
        <f>IF(ISBLANK($R4350),"",VLOOKUP($R4350,'Liste des Villes'!$B$2:$H$1128,4,FALSE))</f>
        <v>Laurentides</v>
      </c>
      <c r="T4350" s="2" t="s">
        <v>18318</v>
      </c>
      <c r="U4350" s="2" t="s">
        <v>39</v>
      </c>
      <c r="V4350" s="2" t="s">
        <v>40</v>
      </c>
      <c r="W4350" s="2" t="s">
        <v>18319</v>
      </c>
      <c r="X4350" s="2" t="str">
        <f>"5143488808"</f>
        <v>5143488808</v>
      </c>
      <c r="Y4350" s="2" t="str">
        <f>"4505986022"</f>
        <v>4505986022</v>
      </c>
      <c r="Z4350" s="2"/>
      <c r="AA4350" s="2" t="s">
        <v>456</v>
      </c>
      <c r="AB4350" s="2" t="s">
        <v>457</v>
      </c>
      <c r="AC4350" s="4" t="s">
        <v>44</v>
      </c>
    </row>
    <row r="4351" spans="1:29" x14ac:dyDescent="0.25">
      <c r="A4351" s="1">
        <v>2159</v>
      </c>
      <c r="B4351" s="17" t="s">
        <v>18320</v>
      </c>
      <c r="C4351" s="2" t="s">
        <v>18321</v>
      </c>
      <c r="D4351" s="15" t="s">
        <v>9325</v>
      </c>
      <c r="E4351" s="9" t="s">
        <v>610</v>
      </c>
      <c r="F4351" s="9" t="s">
        <v>2706</v>
      </c>
      <c r="G4351" s="9" t="s">
        <v>7552</v>
      </c>
      <c r="H4351" s="2" t="s">
        <v>60</v>
      </c>
      <c r="I4351" s="3">
        <v>37494</v>
      </c>
      <c r="J4351" s="9" t="str">
        <f t="shared" ca="1" si="74"/>
        <v>20 ans</v>
      </c>
      <c r="K4351" s="2" t="s">
        <v>262</v>
      </c>
      <c r="L4351" s="2" t="str">
        <f>"16300"</f>
        <v>16300</v>
      </c>
      <c r="M4351" s="2" t="str">
        <f>"6"</f>
        <v>6</v>
      </c>
      <c r="N4351" s="2" t="str">
        <f>"RUE VALIQUETTE"</f>
        <v>RUE VALIQUETTE</v>
      </c>
      <c r="O4351" s="2" t="s">
        <v>18155</v>
      </c>
      <c r="P4351" s="9" t="str">
        <f>VLOOKUP($O4351,'Liste des Villes'!$B$2:$B$1128,1,FALSE)</f>
        <v>Blainville</v>
      </c>
      <c r="Q4351" s="9" t="str">
        <f>IFERROR($P4351,PROPER(VLOOKUP($O4351,'Villes en erreur'!$A$2:$B$72,2,FALSE)))</f>
        <v>Blainville</v>
      </c>
      <c r="R4351" s="9" t="s">
        <v>18156</v>
      </c>
      <c r="S4351" s="9" t="str">
        <f>IF(ISBLANK($R4351),"",VLOOKUP($R4351,'Liste des Villes'!$B$2:$H$1128,4,FALSE))</f>
        <v>Laurentides</v>
      </c>
      <c r="T4351" s="2" t="s">
        <v>18322</v>
      </c>
      <c r="U4351" s="2" t="s">
        <v>39</v>
      </c>
      <c r="V4351" s="2" t="s">
        <v>40</v>
      </c>
      <c r="W4351" s="2" t="s">
        <v>18323</v>
      </c>
      <c r="X4351" s="2" t="str">
        <f>"5149197878"</f>
        <v>5149197878</v>
      </c>
      <c r="Y4351" s="2" t="str">
        <f>"4503351755"</f>
        <v>4503351755</v>
      </c>
      <c r="Z4351" s="2"/>
      <c r="AA4351" s="2" t="s">
        <v>456</v>
      </c>
      <c r="AB4351" s="2" t="s">
        <v>457</v>
      </c>
      <c r="AC4351" s="4" t="s">
        <v>44</v>
      </c>
    </row>
    <row r="4352" spans="1:29" x14ac:dyDescent="0.25">
      <c r="A4352" s="1">
        <v>493</v>
      </c>
      <c r="B4352" s="17" t="s">
        <v>18324</v>
      </c>
      <c r="C4352" s="2" t="s">
        <v>18325</v>
      </c>
      <c r="D4352" s="15" t="s">
        <v>9747</v>
      </c>
      <c r="E4352" s="9" t="s">
        <v>2807</v>
      </c>
      <c r="F4352" s="9" t="s">
        <v>56</v>
      </c>
      <c r="G4352" s="9" t="s">
        <v>5511</v>
      </c>
      <c r="H4352" s="2" t="s">
        <v>60</v>
      </c>
      <c r="I4352" s="3">
        <v>37430</v>
      </c>
      <c r="J4352" s="9" t="str">
        <f t="shared" ca="1" si="74"/>
        <v>21 ans</v>
      </c>
      <c r="K4352" s="2" t="s">
        <v>262</v>
      </c>
      <c r="L4352" s="2" t="str">
        <f>"13070"</f>
        <v>13070</v>
      </c>
      <c r="M4352" s="2" t="str">
        <f>"631"</f>
        <v>631</v>
      </c>
      <c r="N4352" s="2" t="str">
        <f>"RUE ROY"</f>
        <v>RUE ROY</v>
      </c>
      <c r="O4352" s="2" t="s">
        <v>18155</v>
      </c>
      <c r="P4352" s="9" t="str">
        <f>VLOOKUP($O4352,'Liste des Villes'!$B$2:$B$1128,1,FALSE)</f>
        <v>Blainville</v>
      </c>
      <c r="Q4352" s="9" t="str">
        <f>IFERROR($P4352,PROPER(VLOOKUP($O4352,'Villes en erreur'!$A$2:$B$72,2,FALSE)))</f>
        <v>Blainville</v>
      </c>
      <c r="R4352" s="9" t="s">
        <v>18156</v>
      </c>
      <c r="S4352" s="9" t="str">
        <f>IF(ISBLANK($R4352),"",VLOOKUP($R4352,'Liste des Villes'!$B$2:$H$1128,4,FALSE))</f>
        <v>Laurentides</v>
      </c>
      <c r="T4352" s="2" t="s">
        <v>18326</v>
      </c>
      <c r="U4352" s="2" t="s">
        <v>39</v>
      </c>
      <c r="V4352" s="2" t="s">
        <v>40</v>
      </c>
      <c r="W4352" s="2" t="s">
        <v>18327</v>
      </c>
      <c r="X4352" s="2" t="str">
        <f>"5142417052"</f>
        <v>5142417052</v>
      </c>
      <c r="Y4352" s="2" t="str">
        <f>"4506237902"</f>
        <v>4506237902</v>
      </c>
      <c r="Z4352" s="2"/>
      <c r="AA4352" s="2" t="s">
        <v>456</v>
      </c>
      <c r="AB4352" s="2" t="s">
        <v>457</v>
      </c>
      <c r="AC4352" s="4" t="s">
        <v>44</v>
      </c>
    </row>
    <row r="4353" spans="1:29" x14ac:dyDescent="0.25">
      <c r="A4353" s="1">
        <v>2384</v>
      </c>
      <c r="B4353" s="17" t="s">
        <v>18328</v>
      </c>
      <c r="C4353" s="2" t="s">
        <v>18329</v>
      </c>
      <c r="D4353" s="15" t="s">
        <v>17250</v>
      </c>
      <c r="E4353" s="9" t="s">
        <v>2614</v>
      </c>
      <c r="F4353" s="9" t="s">
        <v>113</v>
      </c>
      <c r="G4353" s="9" t="s">
        <v>6458</v>
      </c>
      <c r="H4353" s="2" t="s">
        <v>35</v>
      </c>
      <c r="I4353" s="3">
        <v>37526</v>
      </c>
      <c r="J4353" s="9" t="str">
        <f t="shared" ca="1" si="74"/>
        <v>20 ans</v>
      </c>
      <c r="K4353" s="2" t="s">
        <v>262</v>
      </c>
      <c r="L4353" s="2" t="str">
        <f>"18705"</f>
        <v>18705</v>
      </c>
      <c r="M4353" s="2" t="str">
        <f>"1"</f>
        <v>1</v>
      </c>
      <c r="N4353" s="2" t="str">
        <f>"TSSE ALBERT"</f>
        <v>TSSE ALBERT</v>
      </c>
      <c r="O4353" s="2" t="s">
        <v>18155</v>
      </c>
      <c r="P4353" s="9" t="str">
        <f>VLOOKUP($O4353,'Liste des Villes'!$B$2:$B$1128,1,FALSE)</f>
        <v>Blainville</v>
      </c>
      <c r="Q4353" s="9" t="str">
        <f>IFERROR($P4353,PROPER(VLOOKUP($O4353,'Villes en erreur'!$A$2:$B$72,2,FALSE)))</f>
        <v>Blainville</v>
      </c>
      <c r="R4353" s="9" t="s">
        <v>18156</v>
      </c>
      <c r="S4353" s="9" t="str">
        <f>IF(ISBLANK($R4353),"",VLOOKUP($R4353,'Liste des Villes'!$B$2:$H$1128,4,FALSE))</f>
        <v>Laurentides</v>
      </c>
      <c r="T4353" s="2" t="s">
        <v>18330</v>
      </c>
      <c r="U4353" s="2" t="s">
        <v>39</v>
      </c>
      <c r="V4353" s="2" t="s">
        <v>40</v>
      </c>
      <c r="W4353" s="2" t="s">
        <v>18331</v>
      </c>
      <c r="X4353" s="2" t="str">
        <f>"8195934725"</f>
        <v>8195934725</v>
      </c>
      <c r="Y4353" s="2" t="str">
        <f>"4384046988"</f>
        <v>4384046988</v>
      </c>
      <c r="Z4353" s="2" t="str">
        <f>"4506941278"</f>
        <v>4506941278</v>
      </c>
      <c r="AA4353" s="2" t="s">
        <v>456</v>
      </c>
      <c r="AB4353" s="2" t="s">
        <v>457</v>
      </c>
      <c r="AC4353" s="4" t="s">
        <v>44</v>
      </c>
    </row>
    <row r="4354" spans="1:29" x14ac:dyDescent="0.25">
      <c r="A4354" s="1">
        <v>2806</v>
      </c>
      <c r="B4354" s="17" t="s">
        <v>18332</v>
      </c>
      <c r="C4354" s="2" t="s">
        <v>8156</v>
      </c>
      <c r="D4354" s="15" t="s">
        <v>86</v>
      </c>
      <c r="E4354" s="9" t="s">
        <v>4053</v>
      </c>
      <c r="F4354" s="9" t="s">
        <v>84</v>
      </c>
      <c r="G4354" s="9" t="s">
        <v>2381</v>
      </c>
      <c r="H4354" s="2" t="s">
        <v>35</v>
      </c>
      <c r="I4354" s="3">
        <v>37505</v>
      </c>
      <c r="J4354" s="9" t="str">
        <f t="shared" ref="J4354:J4417" ca="1" si="77">_xlfn.CONCAT(INT((TODAY()-$I4354)/365.25)," ans")</f>
        <v>20 ans</v>
      </c>
      <c r="K4354" s="2" t="s">
        <v>262</v>
      </c>
      <c r="L4354" s="2" t="str">
        <f>"17005"</f>
        <v>17005</v>
      </c>
      <c r="M4354" s="2" t="str">
        <f>"4"</f>
        <v>4</v>
      </c>
      <c r="N4354" s="2" t="str">
        <f>"RUE WILLIAMS"</f>
        <v>RUE WILLIAMS</v>
      </c>
      <c r="O4354" s="2" t="s">
        <v>18155</v>
      </c>
      <c r="P4354" s="9" t="str">
        <f>VLOOKUP($O4354,'Liste des Villes'!$B$2:$B$1128,1,FALSE)</f>
        <v>Blainville</v>
      </c>
      <c r="Q4354" s="9" t="str">
        <f>IFERROR($P4354,PROPER(VLOOKUP($O4354,'Villes en erreur'!$A$2:$B$72,2,FALSE)))</f>
        <v>Blainville</v>
      </c>
      <c r="R4354" s="9" t="s">
        <v>18156</v>
      </c>
      <c r="S4354" s="9" t="str">
        <f>IF(ISBLANK($R4354),"",VLOOKUP($R4354,'Liste des Villes'!$B$2:$H$1128,4,FALSE))</f>
        <v>Laurentides</v>
      </c>
      <c r="T4354" s="2" t="s">
        <v>18333</v>
      </c>
      <c r="U4354" s="2" t="s">
        <v>39</v>
      </c>
      <c r="V4354" s="2" t="s">
        <v>40</v>
      </c>
      <c r="W4354" s="2" t="s">
        <v>18334</v>
      </c>
      <c r="X4354" s="2" t="str">
        <f>"5149938653"</f>
        <v>5149938653</v>
      </c>
      <c r="Y4354" s="2" t="str">
        <f>"4502241131"</f>
        <v>4502241131</v>
      </c>
      <c r="Z4354" s="2"/>
      <c r="AA4354" s="2" t="s">
        <v>456</v>
      </c>
      <c r="AB4354" s="2" t="s">
        <v>457</v>
      </c>
      <c r="AC4354" s="4" t="s">
        <v>44</v>
      </c>
    </row>
    <row r="4355" spans="1:29" x14ac:dyDescent="0.25">
      <c r="A4355" s="1">
        <v>3045</v>
      </c>
      <c r="B4355" s="17" t="s">
        <v>18335</v>
      </c>
      <c r="C4355" s="2" t="s">
        <v>18336</v>
      </c>
      <c r="D4355" s="15" t="s">
        <v>7950</v>
      </c>
      <c r="E4355" s="9" t="s">
        <v>6931</v>
      </c>
      <c r="F4355" s="9" t="s">
        <v>1070</v>
      </c>
      <c r="G4355" s="9" t="s">
        <v>2381</v>
      </c>
      <c r="H4355" s="2" t="s">
        <v>35</v>
      </c>
      <c r="I4355" s="3">
        <v>37504</v>
      </c>
      <c r="J4355" s="9" t="str">
        <f t="shared" ca="1" si="77"/>
        <v>20 ans</v>
      </c>
      <c r="K4355" s="2" t="s">
        <v>262</v>
      </c>
      <c r="L4355" s="2" t="str">
        <f>"16950"</f>
        <v>16950</v>
      </c>
      <c r="M4355" s="2" t="str">
        <f>"4"</f>
        <v>4</v>
      </c>
      <c r="N4355" s="2" t="str">
        <f>"RUE WILFRID-PELLETIER"</f>
        <v>RUE WILFRID-PELLETIER</v>
      </c>
      <c r="O4355" s="2" t="s">
        <v>18155</v>
      </c>
      <c r="P4355" s="9" t="str">
        <f>VLOOKUP($O4355,'Liste des Villes'!$B$2:$B$1128,1,FALSE)</f>
        <v>Blainville</v>
      </c>
      <c r="Q4355" s="9" t="str">
        <f>IFERROR($P4355,PROPER(VLOOKUP($O4355,'Villes en erreur'!$A$2:$B$72,2,FALSE)))</f>
        <v>Blainville</v>
      </c>
      <c r="R4355" s="9" t="s">
        <v>18156</v>
      </c>
      <c r="S4355" s="9" t="str">
        <f>IF(ISBLANK($R4355),"",VLOOKUP($R4355,'Liste des Villes'!$B$2:$H$1128,4,FALSE))</f>
        <v>Laurentides</v>
      </c>
      <c r="T4355" s="2" t="s">
        <v>18337</v>
      </c>
      <c r="U4355" s="2" t="s">
        <v>39</v>
      </c>
      <c r="V4355" s="2" t="s">
        <v>40</v>
      </c>
      <c r="W4355" s="2" t="s">
        <v>18338</v>
      </c>
      <c r="X4355" s="2" t="str">
        <f>"5149801439"</f>
        <v>5149801439</v>
      </c>
      <c r="Y4355" s="2" t="str">
        <f>"4502242477"</f>
        <v>4502242477</v>
      </c>
      <c r="Z4355" s="2"/>
      <c r="AA4355" s="2" t="s">
        <v>456</v>
      </c>
      <c r="AB4355" s="2" t="s">
        <v>457</v>
      </c>
      <c r="AC4355" s="4" t="s">
        <v>44</v>
      </c>
    </row>
    <row r="4356" spans="1:29" x14ac:dyDescent="0.25">
      <c r="A4356" s="1">
        <v>1287</v>
      </c>
      <c r="B4356" s="17" t="s">
        <v>18339</v>
      </c>
      <c r="C4356" s="2" t="s">
        <v>18340</v>
      </c>
      <c r="D4356" s="15" t="s">
        <v>16695</v>
      </c>
      <c r="E4356" s="9" t="s">
        <v>541</v>
      </c>
      <c r="F4356" s="9" t="s">
        <v>3705</v>
      </c>
      <c r="G4356" s="9" t="s">
        <v>17390</v>
      </c>
      <c r="H4356" s="2" t="s">
        <v>60</v>
      </c>
      <c r="I4356" s="3">
        <v>37434</v>
      </c>
      <c r="J4356" s="9" t="str">
        <f t="shared" ca="1" si="77"/>
        <v>21 ans</v>
      </c>
      <c r="K4356" s="2" t="s">
        <v>262</v>
      </c>
      <c r="L4356" s="2" t="str">
        <f>"13300"</f>
        <v>13300</v>
      </c>
      <c r="M4356" s="2" t="str">
        <f>"458"</f>
        <v>458</v>
      </c>
      <c r="N4356" s="2" t="str">
        <f>"RUE RUDOLPH"</f>
        <v>RUE RUDOLPH</v>
      </c>
      <c r="O4356" s="2" t="s">
        <v>18155</v>
      </c>
      <c r="P4356" s="9" t="str">
        <f>VLOOKUP($O4356,'Liste des Villes'!$B$2:$B$1128,1,FALSE)</f>
        <v>Blainville</v>
      </c>
      <c r="Q4356" s="9" t="str">
        <f>IFERROR($P4356,PROPER(VLOOKUP($O4356,'Villes en erreur'!$A$2:$B$72,2,FALSE)))</f>
        <v>Blainville</v>
      </c>
      <c r="R4356" s="9" t="s">
        <v>18156</v>
      </c>
      <c r="S4356" s="9" t="str">
        <f>IF(ISBLANK($R4356),"",VLOOKUP($R4356,'Liste des Villes'!$B$2:$H$1128,4,FALSE))</f>
        <v>Laurentides</v>
      </c>
      <c r="T4356" s="2" t="s">
        <v>18200</v>
      </c>
      <c r="U4356" s="2" t="s">
        <v>39</v>
      </c>
      <c r="V4356" s="2" t="s">
        <v>40</v>
      </c>
      <c r="W4356" s="2" t="s">
        <v>18341</v>
      </c>
      <c r="X4356" s="2" t="str">
        <f>"5142646073"</f>
        <v>5142646073</v>
      </c>
      <c r="Y4356" s="2" t="str">
        <f>"4506130066"</f>
        <v>4506130066</v>
      </c>
      <c r="Z4356" s="2"/>
      <c r="AA4356" s="2" t="s">
        <v>456</v>
      </c>
      <c r="AB4356" s="2" t="s">
        <v>457</v>
      </c>
      <c r="AC4356" s="4" t="s">
        <v>44</v>
      </c>
    </row>
    <row r="4357" spans="1:29" x14ac:dyDescent="0.25">
      <c r="A4357" s="1">
        <v>2832</v>
      </c>
      <c r="B4357" s="17" t="s">
        <v>18342</v>
      </c>
      <c r="C4357" s="2" t="s">
        <v>17006</v>
      </c>
      <c r="D4357" s="15" t="s">
        <v>1632</v>
      </c>
      <c r="E4357" s="9" t="s">
        <v>7925</v>
      </c>
      <c r="F4357" s="9" t="s">
        <v>17228</v>
      </c>
      <c r="G4357" s="9" t="s">
        <v>6995</v>
      </c>
      <c r="H4357" s="2" t="s">
        <v>60</v>
      </c>
      <c r="I4357" s="3">
        <v>37506</v>
      </c>
      <c r="J4357" s="9" t="str">
        <f t="shared" ca="1" si="77"/>
        <v>20 ans</v>
      </c>
      <c r="K4357" s="2" t="s">
        <v>262</v>
      </c>
      <c r="L4357" s="2" t="str">
        <f>"17025"</f>
        <v>17025</v>
      </c>
      <c r="M4357" s="2" t="str">
        <f>"03"</f>
        <v>03</v>
      </c>
      <c r="N4357" s="2" t="str">
        <f>"RUE WOODBINE"</f>
        <v>RUE WOODBINE</v>
      </c>
      <c r="O4357" s="2" t="s">
        <v>18155</v>
      </c>
      <c r="P4357" s="9" t="str">
        <f>VLOOKUP($O4357,'Liste des Villes'!$B$2:$B$1128,1,FALSE)</f>
        <v>Blainville</v>
      </c>
      <c r="Q4357" s="9" t="str">
        <f>IFERROR($P4357,PROPER(VLOOKUP($O4357,'Villes en erreur'!$A$2:$B$72,2,FALSE)))</f>
        <v>Blainville</v>
      </c>
      <c r="R4357" s="9" t="s">
        <v>18156</v>
      </c>
      <c r="S4357" s="9" t="str">
        <f>IF(ISBLANK($R4357),"",VLOOKUP($R4357,'Liste des Villes'!$B$2:$H$1128,4,FALSE))</f>
        <v>Laurentides</v>
      </c>
      <c r="T4357" s="2" t="s">
        <v>18343</v>
      </c>
      <c r="U4357" s="2" t="s">
        <v>39</v>
      </c>
      <c r="V4357" s="2" t="s">
        <v>40</v>
      </c>
      <c r="W4357" s="2" t="s">
        <v>18344</v>
      </c>
      <c r="X4357" s="2" t="str">
        <f>"5149968105"</f>
        <v>5149968105</v>
      </c>
      <c r="Y4357" s="2" t="str">
        <f>"4502225172"</f>
        <v>4502225172</v>
      </c>
      <c r="Z4357" s="2"/>
      <c r="AA4357" s="2" t="s">
        <v>456</v>
      </c>
      <c r="AB4357" s="2" t="s">
        <v>457</v>
      </c>
      <c r="AC4357" s="4" t="s">
        <v>44</v>
      </c>
    </row>
    <row r="4358" spans="1:29" x14ac:dyDescent="0.25">
      <c r="A4358" s="1">
        <v>1177</v>
      </c>
      <c r="B4358" s="17" t="s">
        <v>18345</v>
      </c>
      <c r="C4358" s="2" t="s">
        <v>2836</v>
      </c>
      <c r="D4358" s="15" t="s">
        <v>2837</v>
      </c>
      <c r="E4358" s="9" t="s">
        <v>509</v>
      </c>
      <c r="F4358" s="9" t="s">
        <v>6840</v>
      </c>
      <c r="G4358" s="9" t="s">
        <v>757</v>
      </c>
      <c r="H4358" s="2" t="s">
        <v>60</v>
      </c>
      <c r="I4358" s="3">
        <v>37457</v>
      </c>
      <c r="J4358" s="9" t="str">
        <f t="shared" ca="1" si="77"/>
        <v>21 ans</v>
      </c>
      <c r="K4358" s="2" t="s">
        <v>262</v>
      </c>
      <c r="L4358" s="2" t="str">
        <f>"13895"</f>
        <v>13895</v>
      </c>
      <c r="M4358" s="2" t="str">
        <f>"103"</f>
        <v>103</v>
      </c>
      <c r="N4358" s="2" t="str">
        <f>"RUE SANDY"</f>
        <v>RUE SANDY</v>
      </c>
      <c r="O4358" s="2" t="s">
        <v>18155</v>
      </c>
      <c r="P4358" s="9" t="str">
        <f>VLOOKUP($O4358,'Liste des Villes'!$B$2:$B$1128,1,FALSE)</f>
        <v>Blainville</v>
      </c>
      <c r="Q4358" s="9" t="str">
        <f>IFERROR($P4358,PROPER(VLOOKUP($O4358,'Villes en erreur'!$A$2:$B$72,2,FALSE)))</f>
        <v>Blainville</v>
      </c>
      <c r="R4358" s="9" t="s">
        <v>18156</v>
      </c>
      <c r="S4358" s="9" t="str">
        <f>IF(ISBLANK($R4358),"",VLOOKUP($R4358,'Liste des Villes'!$B$2:$H$1128,4,FALSE))</f>
        <v>Laurentides</v>
      </c>
      <c r="T4358" s="2" t="s">
        <v>18346</v>
      </c>
      <c r="U4358" s="2" t="s">
        <v>39</v>
      </c>
      <c r="V4358" s="2" t="s">
        <v>40</v>
      </c>
      <c r="W4358" s="2" t="s">
        <v>18347</v>
      </c>
      <c r="X4358" s="2" t="str">
        <f>"5146215930"</f>
        <v>5146215930</v>
      </c>
      <c r="Y4358" s="2" t="str">
        <f>"4505126858"</f>
        <v>4505126858</v>
      </c>
      <c r="Z4358" s="2"/>
      <c r="AA4358" s="2" t="s">
        <v>456</v>
      </c>
      <c r="AB4358" s="2" t="s">
        <v>457</v>
      </c>
      <c r="AC4358" s="4" t="s">
        <v>44</v>
      </c>
    </row>
    <row r="4359" spans="1:29" x14ac:dyDescent="0.25">
      <c r="A4359" s="1">
        <v>4149</v>
      </c>
      <c r="B4359" s="17" t="s">
        <v>18348</v>
      </c>
      <c r="C4359" s="2" t="s">
        <v>18349</v>
      </c>
      <c r="D4359" s="15" t="s">
        <v>15772</v>
      </c>
      <c r="E4359" s="9" t="s">
        <v>3218</v>
      </c>
      <c r="F4359" s="9" t="s">
        <v>15771</v>
      </c>
      <c r="G4359" s="9" t="s">
        <v>5511</v>
      </c>
      <c r="H4359" s="2" t="s">
        <v>60</v>
      </c>
      <c r="I4359" s="3">
        <v>37428</v>
      </c>
      <c r="J4359" s="9" t="str">
        <f t="shared" ca="1" si="77"/>
        <v>21 ans</v>
      </c>
      <c r="K4359" s="2" t="s">
        <v>262</v>
      </c>
      <c r="L4359" s="2" t="str">
        <f>"12920"</f>
        <v>12920</v>
      </c>
      <c r="M4359" s="2" t="str">
        <f>"708"</f>
        <v>708</v>
      </c>
      <c r="N4359" s="2" t="str">
        <f>"RUE ROSE-MORIN"</f>
        <v>RUE ROSE-MORIN</v>
      </c>
      <c r="O4359" s="2" t="s">
        <v>18155</v>
      </c>
      <c r="P4359" s="9" t="str">
        <f>VLOOKUP($O4359,'Liste des Villes'!$B$2:$B$1128,1,FALSE)</f>
        <v>Blainville</v>
      </c>
      <c r="Q4359" s="9" t="str">
        <f>IFERROR($P4359,PROPER(VLOOKUP($O4359,'Villes en erreur'!$A$2:$B$72,2,FALSE)))</f>
        <v>Blainville</v>
      </c>
      <c r="R4359" s="9" t="s">
        <v>18156</v>
      </c>
      <c r="S4359" s="9" t="str">
        <f>IF(ISBLANK($R4359),"",VLOOKUP($R4359,'Liste des Villes'!$B$2:$H$1128,4,FALSE))</f>
        <v>Laurentides</v>
      </c>
      <c r="T4359" s="2" t="s">
        <v>18350</v>
      </c>
      <c r="U4359" s="2" t="s">
        <v>39</v>
      </c>
      <c r="V4359" s="2" t="s">
        <v>40</v>
      </c>
      <c r="W4359" s="2" t="s">
        <v>18351</v>
      </c>
      <c r="X4359" s="2" t="str">
        <f>"5142331621"</f>
        <v>5142331621</v>
      </c>
      <c r="Y4359" s="2" t="str">
        <f>"4506750185"</f>
        <v>4506750185</v>
      </c>
      <c r="Z4359" s="2"/>
      <c r="AA4359" s="2" t="s">
        <v>456</v>
      </c>
      <c r="AB4359" s="2" t="s">
        <v>457</v>
      </c>
      <c r="AC4359" s="4" t="s">
        <v>44</v>
      </c>
    </row>
    <row r="4360" spans="1:29" x14ac:dyDescent="0.25">
      <c r="A4360" s="1">
        <v>611</v>
      </c>
      <c r="B4360" s="17" t="s">
        <v>18352</v>
      </c>
      <c r="C4360" s="2" t="s">
        <v>5015</v>
      </c>
      <c r="D4360" s="15" t="s">
        <v>623</v>
      </c>
      <c r="E4360" s="9" t="s">
        <v>348</v>
      </c>
      <c r="F4360" s="9" t="s">
        <v>15935</v>
      </c>
      <c r="G4360" s="9" t="s">
        <v>7623</v>
      </c>
      <c r="H4360" s="2" t="s">
        <v>60</v>
      </c>
      <c r="I4360" s="3">
        <v>37477</v>
      </c>
      <c r="J4360" s="9" t="str">
        <f t="shared" ca="1" si="77"/>
        <v>21 ans</v>
      </c>
      <c r="K4360" s="2" t="s">
        <v>262</v>
      </c>
      <c r="L4360" s="2" t="str">
        <f>"14505"</f>
        <v>14505</v>
      </c>
      <c r="M4360" s="2" t="str">
        <f>"10"</f>
        <v>10</v>
      </c>
      <c r="N4360" s="2" t="str">
        <f>"RUE TAVIBOIS"</f>
        <v>RUE TAVIBOIS</v>
      </c>
      <c r="O4360" s="2" t="s">
        <v>18155</v>
      </c>
      <c r="P4360" s="9" t="str">
        <f>VLOOKUP($O4360,'Liste des Villes'!$B$2:$B$1128,1,FALSE)</f>
        <v>Blainville</v>
      </c>
      <c r="Q4360" s="9" t="str">
        <f>IFERROR($P4360,PROPER(VLOOKUP($O4360,'Villes en erreur'!$A$2:$B$72,2,FALSE)))</f>
        <v>Blainville</v>
      </c>
      <c r="R4360" s="9" t="s">
        <v>18156</v>
      </c>
      <c r="S4360" s="9" t="str">
        <f>IF(ISBLANK($R4360),"",VLOOKUP($R4360,'Liste des Villes'!$B$2:$H$1128,4,FALSE))</f>
        <v>Laurentides</v>
      </c>
      <c r="T4360" s="2" t="s">
        <v>18353</v>
      </c>
      <c r="U4360" s="2" t="s">
        <v>39</v>
      </c>
      <c r="V4360" s="2" t="s">
        <v>40</v>
      </c>
      <c r="W4360" s="2" t="s">
        <v>18354</v>
      </c>
      <c r="X4360" s="2" t="str">
        <f>"5147913266"</f>
        <v>5147913266</v>
      </c>
      <c r="Y4360" s="2" t="str">
        <f>"4504349428"</f>
        <v>4504349428</v>
      </c>
      <c r="Z4360" s="2"/>
      <c r="AA4360" s="2" t="s">
        <v>456</v>
      </c>
      <c r="AB4360" s="2" t="s">
        <v>457</v>
      </c>
      <c r="AC4360" s="4" t="s">
        <v>44</v>
      </c>
    </row>
    <row r="4361" spans="1:29" x14ac:dyDescent="0.25">
      <c r="A4361" s="1">
        <v>849</v>
      </c>
      <c r="B4361" s="17" t="s">
        <v>18355</v>
      </c>
      <c r="C4361" s="2" t="s">
        <v>8013</v>
      </c>
      <c r="D4361" s="15" t="s">
        <v>677</v>
      </c>
      <c r="E4361" s="9" t="s">
        <v>2381</v>
      </c>
      <c r="F4361" s="9" t="s">
        <v>928</v>
      </c>
      <c r="G4361" s="9" t="s">
        <v>370</v>
      </c>
      <c r="H4361" s="2" t="s">
        <v>60</v>
      </c>
      <c r="I4361" s="3">
        <v>37513</v>
      </c>
      <c r="J4361" s="9" t="str">
        <f t="shared" ca="1" si="77"/>
        <v>20 ans</v>
      </c>
      <c r="K4361" s="2" t="s">
        <v>262</v>
      </c>
      <c r="L4361" s="2" t="str">
        <f>"17400"</f>
        <v>17400</v>
      </c>
      <c r="M4361" s="2" t="str">
        <f>"3"</f>
        <v>3</v>
      </c>
      <c r="N4361" s="2" t="str">
        <f>"SAINT-CAMILLE"</f>
        <v>SAINT-CAMILLE</v>
      </c>
      <c r="O4361" s="2" t="s">
        <v>18155</v>
      </c>
      <c r="P4361" s="9" t="str">
        <f>VLOOKUP($O4361,'Liste des Villes'!$B$2:$B$1128,1,FALSE)</f>
        <v>Blainville</v>
      </c>
      <c r="Q4361" s="9" t="str">
        <f>IFERROR($P4361,PROPER(VLOOKUP($O4361,'Villes en erreur'!$A$2:$B$72,2,FALSE)))</f>
        <v>Blainville</v>
      </c>
      <c r="R4361" s="9" t="s">
        <v>18156</v>
      </c>
      <c r="S4361" s="9" t="str">
        <f>IF(ISBLANK($R4361),"",VLOOKUP($R4361,'Liste des Villes'!$B$2:$H$1128,4,FALSE))</f>
        <v>Laurentides</v>
      </c>
      <c r="T4361" s="2" t="s">
        <v>18356</v>
      </c>
      <c r="U4361" s="2" t="s">
        <v>39</v>
      </c>
      <c r="V4361" s="2" t="s">
        <v>40</v>
      </c>
      <c r="W4361" s="2" t="s">
        <v>18357</v>
      </c>
      <c r="X4361" s="2" t="str">
        <f>"5798885019"</f>
        <v>5798885019</v>
      </c>
      <c r="Y4361" s="2" t="str">
        <f>"4388841014"</f>
        <v>4388841014</v>
      </c>
      <c r="Z4361" s="2"/>
      <c r="AA4361" s="2" t="s">
        <v>456</v>
      </c>
      <c r="AB4361" s="2" t="s">
        <v>457</v>
      </c>
      <c r="AC4361" s="4" t="s">
        <v>44</v>
      </c>
    </row>
    <row r="4362" spans="1:29" x14ac:dyDescent="0.25">
      <c r="A4362" s="1">
        <v>2936</v>
      </c>
      <c r="B4362" s="17" t="s">
        <v>18358</v>
      </c>
      <c r="C4362" s="2" t="s">
        <v>18359</v>
      </c>
      <c r="D4362" s="15" t="s">
        <v>11581</v>
      </c>
      <c r="E4362" s="9" t="s">
        <v>354</v>
      </c>
      <c r="F4362" s="9" t="s">
        <v>11580</v>
      </c>
      <c r="G4362" s="9" t="s">
        <v>2355</v>
      </c>
      <c r="H4362" s="2" t="s">
        <v>60</v>
      </c>
      <c r="I4362" s="3">
        <v>37465</v>
      </c>
      <c r="J4362" s="9" t="str">
        <f t="shared" ca="1" si="77"/>
        <v>21 ans</v>
      </c>
      <c r="K4362" s="2" t="s">
        <v>262</v>
      </c>
      <c r="L4362" s="2" t="str">
        <f>"14043"</f>
        <v>14043</v>
      </c>
      <c r="M4362" s="2" t="str">
        <f>"101"</f>
        <v>101</v>
      </c>
      <c r="N4362" s="2" t="str">
        <f>"RUE SCHULZ"</f>
        <v>RUE SCHULZ</v>
      </c>
      <c r="O4362" s="2" t="s">
        <v>18155</v>
      </c>
      <c r="P4362" s="9" t="str">
        <f>VLOOKUP($O4362,'Liste des Villes'!$B$2:$B$1128,1,FALSE)</f>
        <v>Blainville</v>
      </c>
      <c r="Q4362" s="9" t="str">
        <f>IFERROR($P4362,PROPER(VLOOKUP($O4362,'Villes en erreur'!$A$2:$B$72,2,FALSE)))</f>
        <v>Blainville</v>
      </c>
      <c r="R4362" s="9" t="s">
        <v>18156</v>
      </c>
      <c r="S4362" s="9" t="str">
        <f>IF(ISBLANK($R4362),"",VLOOKUP($R4362,'Liste des Villes'!$B$2:$H$1128,4,FALSE))</f>
        <v>Laurentides</v>
      </c>
      <c r="T4362" s="2" t="s">
        <v>18360</v>
      </c>
      <c r="U4362" s="2" t="s">
        <v>39</v>
      </c>
      <c r="V4362" s="2" t="s">
        <v>40</v>
      </c>
      <c r="W4362" s="2" t="s">
        <v>18361</v>
      </c>
      <c r="X4362" s="2" t="str">
        <f>"5146902519"</f>
        <v>5146902519</v>
      </c>
      <c r="Y4362" s="2" t="str">
        <f>"4504773376"</f>
        <v>4504773376</v>
      </c>
      <c r="Z4362" s="2"/>
      <c r="AA4362" s="2" t="s">
        <v>456</v>
      </c>
      <c r="AB4362" s="2" t="s">
        <v>457</v>
      </c>
      <c r="AC4362" s="4" t="s">
        <v>44</v>
      </c>
    </row>
    <row r="4363" spans="1:29" x14ac:dyDescent="0.25">
      <c r="A4363" s="1">
        <v>4536</v>
      </c>
      <c r="B4363" s="17" t="s">
        <v>18362</v>
      </c>
      <c r="C4363" s="2" t="s">
        <v>3900</v>
      </c>
      <c r="D4363" s="15" t="s">
        <v>1489</v>
      </c>
      <c r="E4363" s="9" t="s">
        <v>3531</v>
      </c>
      <c r="F4363" s="9" t="s">
        <v>1175</v>
      </c>
      <c r="G4363" s="9" t="s">
        <v>14920</v>
      </c>
      <c r="H4363" s="2" t="s">
        <v>60</v>
      </c>
      <c r="I4363" s="3">
        <v>37437</v>
      </c>
      <c r="J4363" s="9" t="str">
        <f t="shared" ca="1" si="77"/>
        <v>21 ans</v>
      </c>
      <c r="K4363" s="2" t="s">
        <v>262</v>
      </c>
      <c r="L4363" s="2" t="str">
        <f>"13370"</f>
        <v>13370</v>
      </c>
      <c r="M4363" s="2" t="str">
        <f>"401"</f>
        <v>401</v>
      </c>
      <c r="N4363" s="2" t="str">
        <f>"RUE SAINT GEORGES"</f>
        <v>RUE SAINT GEORGES</v>
      </c>
      <c r="O4363" s="2" t="s">
        <v>18155</v>
      </c>
      <c r="P4363" s="9" t="str">
        <f>VLOOKUP($O4363,'Liste des Villes'!$B$2:$B$1128,1,FALSE)</f>
        <v>Blainville</v>
      </c>
      <c r="Q4363" s="9" t="str">
        <f>IFERROR($P4363,PROPER(VLOOKUP($O4363,'Villes en erreur'!$A$2:$B$72,2,FALSE)))</f>
        <v>Blainville</v>
      </c>
      <c r="R4363" s="9" t="s">
        <v>18156</v>
      </c>
      <c r="S4363" s="9" t="str">
        <f>IF(ISBLANK($R4363),"",VLOOKUP($R4363,'Liste des Villes'!$B$2:$H$1128,4,FALSE))</f>
        <v>Laurentides</v>
      </c>
      <c r="T4363" s="2" t="s">
        <v>18363</v>
      </c>
      <c r="U4363" s="2" t="s">
        <v>39</v>
      </c>
      <c r="V4363" s="2" t="s">
        <v>40</v>
      </c>
      <c r="W4363" s="2" t="s">
        <v>18364</v>
      </c>
      <c r="X4363" s="2" t="str">
        <f>"5142961237"</f>
        <v>5142961237</v>
      </c>
      <c r="Y4363" s="2" t="str">
        <f>"4506024190"</f>
        <v>4506024190</v>
      </c>
      <c r="Z4363" s="2"/>
      <c r="AA4363" s="2" t="s">
        <v>456</v>
      </c>
      <c r="AB4363" s="2" t="s">
        <v>457</v>
      </c>
      <c r="AC4363" s="4" t="s">
        <v>44</v>
      </c>
    </row>
    <row r="4364" spans="1:29" x14ac:dyDescent="0.25">
      <c r="A4364" s="1">
        <v>2226</v>
      </c>
      <c r="B4364" s="17" t="s">
        <v>18365</v>
      </c>
      <c r="C4364" s="2" t="s">
        <v>18366</v>
      </c>
      <c r="D4364" s="15" t="s">
        <v>16162</v>
      </c>
      <c r="E4364" s="9" t="s">
        <v>253</v>
      </c>
      <c r="F4364" s="9" t="s">
        <v>16161</v>
      </c>
      <c r="G4364" s="9" t="s">
        <v>9893</v>
      </c>
      <c r="H4364" s="2" t="s">
        <v>60</v>
      </c>
      <c r="I4364" s="3">
        <v>37469</v>
      </c>
      <c r="J4364" s="9" t="str">
        <f t="shared" ca="1" si="77"/>
        <v>21 ans</v>
      </c>
      <c r="K4364" s="2" t="s">
        <v>262</v>
      </c>
      <c r="L4364" s="2" t="str">
        <f>"14135"</f>
        <v>14135</v>
      </c>
      <c r="M4364" s="2" t="str">
        <f>"19"</f>
        <v>19</v>
      </c>
      <c r="N4364" s="2" t="str">
        <f>"RUE SIGOUIN"</f>
        <v>RUE SIGOUIN</v>
      </c>
      <c r="O4364" s="2" t="s">
        <v>18155</v>
      </c>
      <c r="P4364" s="9" t="str">
        <f>VLOOKUP($O4364,'Liste des Villes'!$B$2:$B$1128,1,FALSE)</f>
        <v>Blainville</v>
      </c>
      <c r="Q4364" s="9" t="str">
        <f>IFERROR($P4364,PROPER(VLOOKUP($O4364,'Villes en erreur'!$A$2:$B$72,2,FALSE)))</f>
        <v>Blainville</v>
      </c>
      <c r="R4364" s="9" t="s">
        <v>18156</v>
      </c>
      <c r="S4364" s="9" t="str">
        <f>IF(ISBLANK($R4364),"",VLOOKUP($R4364,'Liste des Villes'!$B$2:$H$1128,4,FALSE))</f>
        <v>Laurentides</v>
      </c>
      <c r="T4364" s="2" t="s">
        <v>18197</v>
      </c>
      <c r="U4364" s="2" t="s">
        <v>39</v>
      </c>
      <c r="V4364" s="2" t="s">
        <v>40</v>
      </c>
      <c r="W4364" s="2" t="s">
        <v>18367</v>
      </c>
      <c r="X4364" s="2" t="str">
        <f>"5147131473"</f>
        <v>5147131473</v>
      </c>
      <c r="Y4364" s="2" t="str">
        <f>"4504387937"</f>
        <v>4504387937</v>
      </c>
      <c r="Z4364" s="2"/>
      <c r="AA4364" s="2" t="s">
        <v>456</v>
      </c>
      <c r="AB4364" s="2" t="s">
        <v>457</v>
      </c>
      <c r="AC4364" s="4" t="s">
        <v>44</v>
      </c>
    </row>
    <row r="4365" spans="1:29" x14ac:dyDescent="0.25">
      <c r="A4365" s="1">
        <v>1752</v>
      </c>
      <c r="B4365" s="17" t="s">
        <v>18368</v>
      </c>
      <c r="C4365" s="2" t="s">
        <v>2360</v>
      </c>
      <c r="D4365" s="15" t="s">
        <v>2115</v>
      </c>
      <c r="E4365" s="9" t="s">
        <v>195</v>
      </c>
      <c r="F4365" s="9" t="s">
        <v>17946</v>
      </c>
      <c r="G4365" s="9" t="s">
        <v>341</v>
      </c>
      <c r="H4365" s="2" t="s">
        <v>60</v>
      </c>
      <c r="I4365" s="3">
        <v>37448</v>
      </c>
      <c r="J4365" s="9" t="str">
        <f t="shared" ca="1" si="77"/>
        <v>21 ans</v>
      </c>
      <c r="K4365" s="2" t="s">
        <v>262</v>
      </c>
      <c r="L4365" s="2" t="str">
        <f>"13700"</f>
        <v>13700</v>
      </c>
      <c r="M4365" s="2" t="str">
        <f>"201"</f>
        <v>201</v>
      </c>
      <c r="N4365" s="2" t="str">
        <f>"RUE SAINT-ISIDORE"</f>
        <v>RUE SAINT-ISIDORE</v>
      </c>
      <c r="O4365" s="2" t="s">
        <v>18155</v>
      </c>
      <c r="P4365" s="9" t="str">
        <f>VLOOKUP($O4365,'Liste des Villes'!$B$2:$B$1128,1,FALSE)</f>
        <v>Blainville</v>
      </c>
      <c r="Q4365" s="9" t="str">
        <f>IFERROR($P4365,PROPER(VLOOKUP($O4365,'Villes en erreur'!$A$2:$B$72,2,FALSE)))</f>
        <v>Blainville</v>
      </c>
      <c r="R4365" s="9" t="s">
        <v>18156</v>
      </c>
      <c r="S4365" s="9" t="str">
        <f>IF(ISBLANK($R4365),"",VLOOKUP($R4365,'Liste des Villes'!$B$2:$H$1128,4,FALSE))</f>
        <v>Laurentides</v>
      </c>
      <c r="T4365" s="2" t="s">
        <v>18369</v>
      </c>
      <c r="U4365" s="2" t="s">
        <v>39</v>
      </c>
      <c r="V4365" s="2" t="s">
        <v>40</v>
      </c>
      <c r="W4365" s="2" t="s">
        <v>18370</v>
      </c>
      <c r="X4365" s="2" t="str">
        <f>"5145679449"</f>
        <v>5145679449</v>
      </c>
      <c r="Y4365" s="2" t="str">
        <f>"4505431118"</f>
        <v>4505431118</v>
      </c>
      <c r="Z4365" s="2"/>
      <c r="AA4365" s="2" t="s">
        <v>456</v>
      </c>
      <c r="AB4365" s="2" t="s">
        <v>457</v>
      </c>
      <c r="AC4365" s="4" t="s">
        <v>44</v>
      </c>
    </row>
    <row r="4366" spans="1:29" x14ac:dyDescent="0.25">
      <c r="A4366" s="1">
        <v>4551</v>
      </c>
      <c r="B4366" s="17" t="s">
        <v>18371</v>
      </c>
      <c r="C4366" s="2" t="s">
        <v>9704</v>
      </c>
      <c r="D4366" s="15" t="s">
        <v>6293</v>
      </c>
      <c r="E4366" s="9" t="s">
        <v>635</v>
      </c>
      <c r="F4366" s="9" t="s">
        <v>411</v>
      </c>
      <c r="G4366" s="9" t="s">
        <v>2381</v>
      </c>
      <c r="H4366" s="2" t="s">
        <v>35</v>
      </c>
      <c r="I4366" s="3">
        <v>37497</v>
      </c>
      <c r="J4366" s="9" t="str">
        <f t="shared" ca="1" si="77"/>
        <v>20 ans</v>
      </c>
      <c r="K4366" s="2" t="s">
        <v>262</v>
      </c>
      <c r="L4366" s="2" t="str">
        <f>"16685"</f>
        <v>16685</v>
      </c>
      <c r="M4366" s="2" t="str">
        <f>"5"</f>
        <v>5</v>
      </c>
      <c r="N4366" s="2" t="str">
        <f>"RUE VANIER"</f>
        <v>RUE VANIER</v>
      </c>
      <c r="O4366" s="2" t="s">
        <v>18155</v>
      </c>
      <c r="P4366" s="9" t="str">
        <f>VLOOKUP($O4366,'Liste des Villes'!$B$2:$B$1128,1,FALSE)</f>
        <v>Blainville</v>
      </c>
      <c r="Q4366" s="9" t="str">
        <f>IFERROR($P4366,PROPER(VLOOKUP($O4366,'Villes en erreur'!$A$2:$B$72,2,FALSE)))</f>
        <v>Blainville</v>
      </c>
      <c r="R4366" s="9" t="s">
        <v>18156</v>
      </c>
      <c r="S4366" s="9" t="str">
        <f>IF(ISBLANK($R4366),"",VLOOKUP($R4366,'Liste des Villes'!$B$2:$H$1128,4,FALSE))</f>
        <v>Laurentides</v>
      </c>
      <c r="T4366" s="2" t="s">
        <v>18372</v>
      </c>
      <c r="U4366" s="2" t="s">
        <v>39</v>
      </c>
      <c r="V4366" s="2" t="s">
        <v>40</v>
      </c>
      <c r="W4366" s="2" t="s">
        <v>18373</v>
      </c>
      <c r="X4366" s="2" t="str">
        <f>"5149412306"</f>
        <v>5149412306</v>
      </c>
      <c r="Y4366" s="2" t="str">
        <f>"4502755323"</f>
        <v>4502755323</v>
      </c>
      <c r="Z4366" s="2"/>
      <c r="AA4366" s="2" t="s">
        <v>456</v>
      </c>
      <c r="AB4366" s="2" t="s">
        <v>457</v>
      </c>
      <c r="AC4366" s="4" t="s">
        <v>44</v>
      </c>
    </row>
    <row r="4367" spans="1:29" x14ac:dyDescent="0.25">
      <c r="A4367" s="1">
        <v>1908</v>
      </c>
      <c r="B4367" s="17" t="s">
        <v>18374</v>
      </c>
      <c r="C4367" s="2" t="s">
        <v>4157</v>
      </c>
      <c r="D4367" s="15" t="s">
        <v>788</v>
      </c>
      <c r="E4367" s="9" t="s">
        <v>4158</v>
      </c>
      <c r="F4367" s="9" t="s">
        <v>1466</v>
      </c>
      <c r="G4367" s="9" t="s">
        <v>12863</v>
      </c>
      <c r="H4367" s="2" t="s">
        <v>60</v>
      </c>
      <c r="I4367" s="3">
        <v>37527</v>
      </c>
      <c r="J4367" s="9" t="str">
        <f t="shared" ca="1" si="77"/>
        <v>20 ans</v>
      </c>
      <c r="K4367" s="2" t="s">
        <v>262</v>
      </c>
      <c r="L4367" s="2" t="str">
        <f>"18848"</f>
        <v>18848</v>
      </c>
      <c r="M4367" s="2" t="str">
        <f>"1"</f>
        <v>1</v>
      </c>
      <c r="N4367" s="2" t="str">
        <f>"TSSE DE LUCERNE"</f>
        <v>TSSE DE LUCERNE</v>
      </c>
      <c r="O4367" s="2" t="s">
        <v>18155</v>
      </c>
      <c r="P4367" s="9" t="str">
        <f>VLOOKUP($O4367,'Liste des Villes'!$B$2:$B$1128,1,FALSE)</f>
        <v>Blainville</v>
      </c>
      <c r="Q4367" s="9" t="str">
        <f>IFERROR($P4367,PROPER(VLOOKUP($O4367,'Villes en erreur'!$A$2:$B$72,2,FALSE)))</f>
        <v>Blainville</v>
      </c>
      <c r="R4367" s="9" t="s">
        <v>18156</v>
      </c>
      <c r="S4367" s="9" t="str">
        <f>IF(ISBLANK($R4367),"",VLOOKUP($R4367,'Liste des Villes'!$B$2:$H$1128,4,FALSE))</f>
        <v>Laurentides</v>
      </c>
      <c r="T4367" s="2" t="s">
        <v>18375</v>
      </c>
      <c r="U4367" s="2" t="s">
        <v>39</v>
      </c>
      <c r="V4367" s="2" t="s">
        <v>40</v>
      </c>
      <c r="W4367" s="2" t="s">
        <v>18376</v>
      </c>
      <c r="X4367" s="2" t="str">
        <f>"8196886090"</f>
        <v>8196886090</v>
      </c>
      <c r="Y4367" s="2" t="str">
        <f>"4383978425"</f>
        <v>4383978425</v>
      </c>
      <c r="Z4367" s="2" t="str">
        <f>"4508215437"</f>
        <v>4508215437</v>
      </c>
      <c r="AA4367" s="2" t="s">
        <v>456</v>
      </c>
      <c r="AB4367" s="2" t="s">
        <v>457</v>
      </c>
      <c r="AC4367" s="4" t="s">
        <v>44</v>
      </c>
    </row>
    <row r="4368" spans="1:29" x14ac:dyDescent="0.25">
      <c r="A4368" s="1">
        <v>2889</v>
      </c>
      <c r="B4368" s="17" t="s">
        <v>18377</v>
      </c>
      <c r="C4368" s="2" t="s">
        <v>18378</v>
      </c>
      <c r="D4368" s="15" t="s">
        <v>11062</v>
      </c>
      <c r="E4368" s="9" t="s">
        <v>4231</v>
      </c>
      <c r="F4368" s="9" t="s">
        <v>955</v>
      </c>
      <c r="G4368" s="9" t="s">
        <v>983</v>
      </c>
      <c r="H4368" s="2" t="s">
        <v>60</v>
      </c>
      <c r="I4368" s="3">
        <v>37518</v>
      </c>
      <c r="J4368" s="9" t="str">
        <f t="shared" ca="1" si="77"/>
        <v>20 ans</v>
      </c>
      <c r="K4368" s="2" t="s">
        <v>262</v>
      </c>
      <c r="L4368" s="2" t="str">
        <f>"17895"</f>
        <v>17895</v>
      </c>
      <c r="M4368" s="2" t="str">
        <f>"2"</f>
        <v>2</v>
      </c>
      <c r="N4368" s="2" t="str">
        <f>"SCHULZ"</f>
        <v>SCHULZ</v>
      </c>
      <c r="O4368" s="2" t="s">
        <v>18155</v>
      </c>
      <c r="P4368" s="9" t="str">
        <f>VLOOKUP($O4368,'Liste des Villes'!$B$2:$B$1128,1,FALSE)</f>
        <v>Blainville</v>
      </c>
      <c r="Q4368" s="9" t="str">
        <f>IFERROR($P4368,PROPER(VLOOKUP($O4368,'Villes en erreur'!$A$2:$B$72,2,FALSE)))</f>
        <v>Blainville</v>
      </c>
      <c r="R4368" s="9" t="s">
        <v>18156</v>
      </c>
      <c r="S4368" s="9" t="str">
        <f>IF(ISBLANK($R4368),"",VLOOKUP($R4368,'Liste des Villes'!$B$2:$H$1128,4,FALSE))</f>
        <v>Laurentides</v>
      </c>
      <c r="T4368" s="2" t="s">
        <v>18379</v>
      </c>
      <c r="U4368" s="2" t="s">
        <v>39</v>
      </c>
      <c r="V4368" s="2" t="s">
        <v>40</v>
      </c>
      <c r="W4368" s="2" t="s">
        <v>18380</v>
      </c>
      <c r="X4368" s="2" t="str">
        <f>"8193238088"</f>
        <v>8193238088</v>
      </c>
      <c r="Y4368" s="2" t="str">
        <f>"4388265054"</f>
        <v>4388265054</v>
      </c>
      <c r="Z4368" s="2"/>
      <c r="AA4368" s="2" t="s">
        <v>456</v>
      </c>
      <c r="AB4368" s="2" t="s">
        <v>457</v>
      </c>
      <c r="AC4368" s="4" t="s">
        <v>44</v>
      </c>
    </row>
    <row r="4369" spans="1:29" x14ac:dyDescent="0.25">
      <c r="A4369" s="1">
        <v>1453</v>
      </c>
      <c r="B4369" s="17" t="s">
        <v>18381</v>
      </c>
      <c r="C4369" s="2" t="s">
        <v>1089</v>
      </c>
      <c r="D4369" s="15" t="s">
        <v>1090</v>
      </c>
      <c r="E4369" s="9" t="s">
        <v>1091</v>
      </c>
      <c r="F4369" s="9" t="s">
        <v>1092</v>
      </c>
      <c r="G4369" s="9" t="s">
        <v>3171</v>
      </c>
      <c r="H4369" s="2" t="s">
        <v>60</v>
      </c>
      <c r="I4369" s="3">
        <v>37497</v>
      </c>
      <c r="J4369" s="9" t="str">
        <f t="shared" ca="1" si="77"/>
        <v>20 ans</v>
      </c>
      <c r="K4369" s="2" t="s">
        <v>262</v>
      </c>
      <c r="L4369" s="2" t="str">
        <f>"16570"</f>
        <v>16570</v>
      </c>
      <c r="M4369" s="2" t="str">
        <f>"5"</f>
        <v>5</v>
      </c>
      <c r="N4369" s="2" t="str">
        <f>"RUE VANIER"</f>
        <v>RUE VANIER</v>
      </c>
      <c r="O4369" s="2" t="s">
        <v>18155</v>
      </c>
      <c r="P4369" s="9" t="str">
        <f>VLOOKUP($O4369,'Liste des Villes'!$B$2:$B$1128,1,FALSE)</f>
        <v>Blainville</v>
      </c>
      <c r="Q4369" s="9" t="str">
        <f>IFERROR($P4369,PROPER(VLOOKUP($O4369,'Villes en erreur'!$A$2:$B$72,2,FALSE)))</f>
        <v>Blainville</v>
      </c>
      <c r="R4369" s="9" t="s">
        <v>18156</v>
      </c>
      <c r="S4369" s="9" t="str">
        <f>IF(ISBLANK($R4369),"",VLOOKUP($R4369,'Liste des Villes'!$B$2:$H$1128,4,FALSE))</f>
        <v>Laurentides</v>
      </c>
      <c r="T4369" s="2" t="s">
        <v>18175</v>
      </c>
      <c r="U4369" s="2" t="s">
        <v>39</v>
      </c>
      <c r="V4369" s="2" t="s">
        <v>40</v>
      </c>
      <c r="W4369" s="2" t="s">
        <v>18382</v>
      </c>
      <c r="X4369" s="2" t="str">
        <f>"5149291377"</f>
        <v>5149291377</v>
      </c>
      <c r="Y4369" s="2" t="str">
        <f>"4502801361"</f>
        <v>4502801361</v>
      </c>
      <c r="Z4369" s="2"/>
      <c r="AA4369" s="2" t="s">
        <v>456</v>
      </c>
      <c r="AB4369" s="2" t="s">
        <v>457</v>
      </c>
      <c r="AC4369" s="4" t="s">
        <v>44</v>
      </c>
    </row>
    <row r="4370" spans="1:29" x14ac:dyDescent="0.25">
      <c r="A4370" s="1">
        <v>1276</v>
      </c>
      <c r="B4370" s="17" t="s">
        <v>18383</v>
      </c>
      <c r="C4370" s="2" t="s">
        <v>2584</v>
      </c>
      <c r="D4370" s="15" t="s">
        <v>2161</v>
      </c>
      <c r="E4370" s="9" t="s">
        <v>775</v>
      </c>
      <c r="F4370" s="9" t="s">
        <v>17063</v>
      </c>
      <c r="G4370" s="9" t="s">
        <v>2404</v>
      </c>
      <c r="H4370" s="2" t="s">
        <v>35</v>
      </c>
      <c r="I4370" s="3">
        <v>37485</v>
      </c>
      <c r="J4370" s="9" t="str">
        <f t="shared" ca="1" si="77"/>
        <v>21 ans</v>
      </c>
      <c r="K4370" s="2" t="s">
        <v>262</v>
      </c>
      <c r="L4370" s="2" t="str">
        <f>"14845"</f>
        <v>14845</v>
      </c>
      <c r="M4370" s="2" t="str">
        <f>"8"</f>
        <v>8</v>
      </c>
      <c r="N4370" s="2" t="str">
        <f>"RUE THOMAS"</f>
        <v>RUE THOMAS</v>
      </c>
      <c r="O4370" s="2" t="s">
        <v>18155</v>
      </c>
      <c r="P4370" s="9" t="str">
        <f>VLOOKUP($O4370,'Liste des Villes'!$B$2:$B$1128,1,FALSE)</f>
        <v>Blainville</v>
      </c>
      <c r="Q4370" s="9" t="str">
        <f>IFERROR($P4370,PROPER(VLOOKUP($O4370,'Villes en erreur'!$A$2:$B$72,2,FALSE)))</f>
        <v>Blainville</v>
      </c>
      <c r="R4370" s="9" t="s">
        <v>18156</v>
      </c>
      <c r="S4370" s="9" t="str">
        <f>IF(ISBLANK($R4370),"",VLOOKUP($R4370,'Liste des Villes'!$B$2:$H$1128,4,FALSE))</f>
        <v>Laurentides</v>
      </c>
      <c r="T4370" s="2" t="s">
        <v>18384</v>
      </c>
      <c r="U4370" s="2" t="s">
        <v>39</v>
      </c>
      <c r="V4370" s="2" t="s">
        <v>40</v>
      </c>
      <c r="W4370" s="2" t="s">
        <v>18385</v>
      </c>
      <c r="X4370" s="2" t="str">
        <f>"5148246804"</f>
        <v>5148246804</v>
      </c>
      <c r="Y4370" s="2" t="str">
        <f>"4504326243"</f>
        <v>4504326243</v>
      </c>
      <c r="Z4370" s="2"/>
      <c r="AA4370" s="2" t="s">
        <v>456</v>
      </c>
      <c r="AB4370" s="2" t="s">
        <v>457</v>
      </c>
      <c r="AC4370" s="4" t="s">
        <v>44</v>
      </c>
    </row>
    <row r="4371" spans="1:29" x14ac:dyDescent="0.25">
      <c r="A4371" s="1">
        <v>2027</v>
      </c>
      <c r="B4371" s="17" t="s">
        <v>18386</v>
      </c>
      <c r="C4371" s="2" t="s">
        <v>18387</v>
      </c>
      <c r="D4371" s="15" t="s">
        <v>13932</v>
      </c>
      <c r="E4371" s="9" t="s">
        <v>509</v>
      </c>
      <c r="F4371" s="9" t="s">
        <v>13931</v>
      </c>
      <c r="G4371" s="9" t="s">
        <v>341</v>
      </c>
      <c r="H4371" s="2" t="s">
        <v>60</v>
      </c>
      <c r="I4371" s="3">
        <v>37452</v>
      </c>
      <c r="J4371" s="9" t="str">
        <f t="shared" ca="1" si="77"/>
        <v>21 ans</v>
      </c>
      <c r="K4371" s="2" t="s">
        <v>262</v>
      </c>
      <c r="L4371" s="2" t="str">
        <f>"13755"</f>
        <v>13755</v>
      </c>
      <c r="M4371" s="2" t="str">
        <f>"136"</f>
        <v>136</v>
      </c>
      <c r="N4371" s="2" t="str">
        <f>"RUE SAINT-LOUIS"</f>
        <v>RUE SAINT-LOUIS</v>
      </c>
      <c r="O4371" s="2" t="s">
        <v>18155</v>
      </c>
      <c r="P4371" s="9" t="str">
        <f>VLOOKUP($O4371,'Liste des Villes'!$B$2:$B$1128,1,FALSE)</f>
        <v>Blainville</v>
      </c>
      <c r="Q4371" s="9" t="str">
        <f>IFERROR($P4371,PROPER(VLOOKUP($O4371,'Villes en erreur'!$A$2:$B$72,2,FALSE)))</f>
        <v>Blainville</v>
      </c>
      <c r="R4371" s="9" t="s">
        <v>18156</v>
      </c>
      <c r="S4371" s="9" t="str">
        <f>IF(ISBLANK($R4371),"",VLOOKUP($R4371,'Liste des Villes'!$B$2:$H$1128,4,FALSE))</f>
        <v>Laurentides</v>
      </c>
      <c r="T4371" s="2" t="s">
        <v>18388</v>
      </c>
      <c r="U4371" s="2" t="s">
        <v>39</v>
      </c>
      <c r="V4371" s="2" t="s">
        <v>40</v>
      </c>
      <c r="W4371" s="2" t="s">
        <v>18389</v>
      </c>
      <c r="X4371" s="2" t="str">
        <f>"5146027755"</f>
        <v>5146027755</v>
      </c>
      <c r="Y4371" s="2" t="str">
        <f>"4505305394"</f>
        <v>4505305394</v>
      </c>
      <c r="Z4371" s="2"/>
      <c r="AA4371" s="2" t="s">
        <v>456</v>
      </c>
      <c r="AB4371" s="2" t="s">
        <v>457</v>
      </c>
      <c r="AC4371" s="4" t="s">
        <v>44</v>
      </c>
    </row>
    <row r="4372" spans="1:29" x14ac:dyDescent="0.25">
      <c r="A4372" s="1">
        <v>636</v>
      </c>
      <c r="B4372" s="17" t="s">
        <v>18390</v>
      </c>
      <c r="C4372" s="2" t="s">
        <v>30</v>
      </c>
      <c r="D4372" s="15" t="s">
        <v>31</v>
      </c>
      <c r="E4372" s="9" t="s">
        <v>32</v>
      </c>
      <c r="F4372" s="9" t="s">
        <v>7430</v>
      </c>
      <c r="G4372" s="9" t="s">
        <v>2404</v>
      </c>
      <c r="H4372" s="2" t="s">
        <v>35</v>
      </c>
      <c r="I4372" s="3">
        <v>37487</v>
      </c>
      <c r="J4372" s="9" t="str">
        <f t="shared" ca="1" si="77"/>
        <v>21 ans</v>
      </c>
      <c r="K4372" s="2" t="s">
        <v>262</v>
      </c>
      <c r="L4372" s="2" t="str">
        <f>"15203"</f>
        <v>15203</v>
      </c>
      <c r="M4372" s="2" t="str">
        <f>"7"</f>
        <v>7</v>
      </c>
      <c r="N4372" s="2" t="str">
        <f>"RUE TOUCHETTE"</f>
        <v>RUE TOUCHETTE</v>
      </c>
      <c r="O4372" s="2" t="s">
        <v>18155</v>
      </c>
      <c r="P4372" s="9" t="str">
        <f>VLOOKUP($O4372,'Liste des Villes'!$B$2:$B$1128,1,FALSE)</f>
        <v>Blainville</v>
      </c>
      <c r="Q4372" s="9" t="str">
        <f>IFERROR($P4372,PROPER(VLOOKUP($O4372,'Villes en erreur'!$A$2:$B$72,2,FALSE)))</f>
        <v>Blainville</v>
      </c>
      <c r="R4372" s="9" t="s">
        <v>18156</v>
      </c>
      <c r="S4372" s="9" t="str">
        <f>IF(ISBLANK($R4372),"",VLOOKUP($R4372,'Liste des Villes'!$B$2:$H$1128,4,FALSE))</f>
        <v>Laurentides</v>
      </c>
      <c r="T4372" s="2" t="s">
        <v>18391</v>
      </c>
      <c r="U4372" s="2" t="s">
        <v>39</v>
      </c>
      <c r="V4372" s="2" t="s">
        <v>40</v>
      </c>
      <c r="W4372" s="2" t="s">
        <v>18392</v>
      </c>
      <c r="X4372" s="2" t="str">
        <f>"5148390437"</f>
        <v>5148390437</v>
      </c>
      <c r="Y4372" s="2" t="str">
        <f>"4504319342"</f>
        <v>4504319342</v>
      </c>
      <c r="Z4372" s="2"/>
      <c r="AA4372" s="2" t="s">
        <v>456</v>
      </c>
      <c r="AB4372" s="2" t="s">
        <v>457</v>
      </c>
      <c r="AC4372" s="4" t="s">
        <v>44</v>
      </c>
    </row>
    <row r="4373" spans="1:29" x14ac:dyDescent="0.25">
      <c r="A4373" s="1">
        <v>648</v>
      </c>
      <c r="B4373" s="17" t="s">
        <v>18393</v>
      </c>
      <c r="C4373" s="2" t="s">
        <v>3344</v>
      </c>
      <c r="D4373" s="15" t="s">
        <v>1191</v>
      </c>
      <c r="E4373" s="9" t="s">
        <v>1037</v>
      </c>
      <c r="F4373" s="9" t="s">
        <v>1189</v>
      </c>
      <c r="G4373" s="9" t="s">
        <v>2349</v>
      </c>
      <c r="H4373" s="2" t="s">
        <v>35</v>
      </c>
      <c r="I4373" s="3">
        <v>37491</v>
      </c>
      <c r="J4373" s="9" t="str">
        <f t="shared" ca="1" si="77"/>
        <v>21 ans</v>
      </c>
      <c r="K4373" s="2" t="s">
        <v>262</v>
      </c>
      <c r="L4373" s="2" t="str">
        <f>"15910"</f>
        <v>15910</v>
      </c>
      <c r="M4373" s="2" t="str">
        <f>"6"</f>
        <v>6</v>
      </c>
      <c r="N4373" s="2" t="str">
        <f>"RUE TURCOT"</f>
        <v>RUE TURCOT</v>
      </c>
      <c r="O4373" s="2" t="s">
        <v>18155</v>
      </c>
      <c r="P4373" s="9" t="str">
        <f>VLOOKUP($O4373,'Liste des Villes'!$B$2:$B$1128,1,FALSE)</f>
        <v>Blainville</v>
      </c>
      <c r="Q4373" s="9" t="str">
        <f>IFERROR($P4373,PROPER(VLOOKUP($O4373,'Villes en erreur'!$A$2:$B$72,2,FALSE)))</f>
        <v>Blainville</v>
      </c>
      <c r="R4373" s="9" t="s">
        <v>18156</v>
      </c>
      <c r="S4373" s="9" t="str">
        <f>IF(ISBLANK($R4373),"",VLOOKUP($R4373,'Liste des Villes'!$B$2:$H$1128,4,FALSE))</f>
        <v>Laurentides</v>
      </c>
      <c r="T4373" s="2" t="s">
        <v>18394</v>
      </c>
      <c r="U4373" s="2" t="s">
        <v>39</v>
      </c>
      <c r="V4373" s="2" t="s">
        <v>40</v>
      </c>
      <c r="W4373" s="2" t="s">
        <v>18395</v>
      </c>
      <c r="X4373" s="2" t="str">
        <f>"5149104541"</f>
        <v>5149104541</v>
      </c>
      <c r="Y4373" s="2" t="str">
        <f>"4504304512"</f>
        <v>4504304512</v>
      </c>
      <c r="Z4373" s="2"/>
      <c r="AA4373" s="2" t="s">
        <v>456</v>
      </c>
      <c r="AB4373" s="2" t="s">
        <v>457</v>
      </c>
      <c r="AC4373" s="4" t="s">
        <v>44</v>
      </c>
    </row>
    <row r="4374" spans="1:29" x14ac:dyDescent="0.25">
      <c r="A4374" s="1">
        <v>1133</v>
      </c>
      <c r="B4374" s="17" t="s">
        <v>18396</v>
      </c>
      <c r="C4374" s="2" t="s">
        <v>18397</v>
      </c>
      <c r="D4374" s="15" t="s">
        <v>6616</v>
      </c>
      <c r="E4374" s="9" t="s">
        <v>1037</v>
      </c>
      <c r="F4374" s="9" t="s">
        <v>285</v>
      </c>
      <c r="G4374" s="9" t="s">
        <v>3755</v>
      </c>
      <c r="H4374" s="2" t="s">
        <v>60</v>
      </c>
      <c r="I4374" s="3">
        <v>37507</v>
      </c>
      <c r="J4374" s="9" t="str">
        <f t="shared" ca="1" si="77"/>
        <v>20 ans</v>
      </c>
      <c r="K4374" s="2" t="s">
        <v>262</v>
      </c>
      <c r="L4374" s="2" t="str">
        <f>"17030"</f>
        <v>17030</v>
      </c>
      <c r="M4374" s="2" t="str">
        <f>"3"</f>
        <v>3</v>
      </c>
      <c r="N4374" s="2" t="str">
        <f>"RUE YANICK"</f>
        <v>RUE YANICK</v>
      </c>
      <c r="O4374" s="2" t="s">
        <v>18155</v>
      </c>
      <c r="P4374" s="9" t="str">
        <f>VLOOKUP($O4374,'Liste des Villes'!$B$2:$B$1128,1,FALSE)</f>
        <v>Blainville</v>
      </c>
      <c r="Q4374" s="9" t="str">
        <f>IFERROR($P4374,PROPER(VLOOKUP($O4374,'Villes en erreur'!$A$2:$B$72,2,FALSE)))</f>
        <v>Blainville</v>
      </c>
      <c r="R4374" s="9" t="s">
        <v>18156</v>
      </c>
      <c r="S4374" s="9" t="str">
        <f>IF(ISBLANK($R4374),"",VLOOKUP($R4374,'Liste des Villes'!$B$2:$H$1128,4,FALSE))</f>
        <v>Laurentides</v>
      </c>
      <c r="T4374" s="2" t="s">
        <v>18398</v>
      </c>
      <c r="U4374" s="2" t="s">
        <v>39</v>
      </c>
      <c r="V4374" s="2" t="s">
        <v>40</v>
      </c>
      <c r="W4374" s="2" t="s">
        <v>18399</v>
      </c>
      <c r="X4374" s="2" t="str">
        <f>"5793682002"</f>
        <v>5793682002</v>
      </c>
      <c r="Y4374" s="2" t="str">
        <f>"4502222043"</f>
        <v>4502222043</v>
      </c>
      <c r="Z4374" s="2"/>
      <c r="AA4374" s="2" t="s">
        <v>456</v>
      </c>
      <c r="AB4374" s="2" t="s">
        <v>457</v>
      </c>
      <c r="AC4374" s="4" t="s">
        <v>44</v>
      </c>
    </row>
    <row r="4375" spans="1:29" x14ac:dyDescent="0.25">
      <c r="A4375" s="1">
        <v>381</v>
      </c>
      <c r="B4375" s="17" t="s">
        <v>18400</v>
      </c>
      <c r="C4375" s="2" t="s">
        <v>18401</v>
      </c>
      <c r="D4375" s="15" t="s">
        <v>2018</v>
      </c>
      <c r="E4375" s="9" t="s">
        <v>18102</v>
      </c>
      <c r="F4375" s="9" t="s">
        <v>13147</v>
      </c>
      <c r="G4375" s="9" t="s">
        <v>13269</v>
      </c>
      <c r="H4375" s="2" t="s">
        <v>60</v>
      </c>
      <c r="I4375" s="3">
        <v>37469</v>
      </c>
      <c r="J4375" s="9" t="str">
        <f t="shared" ca="1" si="77"/>
        <v>21 ans</v>
      </c>
      <c r="K4375" s="2" t="s">
        <v>262</v>
      </c>
      <c r="L4375" s="2" t="str">
        <f>"14200"</f>
        <v>14200</v>
      </c>
      <c r="M4375" s="2" t="str">
        <f>"15"</f>
        <v>15</v>
      </c>
      <c r="N4375" s="2" t="str">
        <f>"RUE SIR WILFRID LAURIER"</f>
        <v>RUE SIR WILFRID LAURIER</v>
      </c>
      <c r="O4375" s="2" t="s">
        <v>18155</v>
      </c>
      <c r="P4375" s="9" t="str">
        <f>VLOOKUP($O4375,'Liste des Villes'!$B$2:$B$1128,1,FALSE)</f>
        <v>Blainville</v>
      </c>
      <c r="Q4375" s="9" t="str">
        <f>IFERROR($P4375,PROPER(VLOOKUP($O4375,'Villes en erreur'!$A$2:$B$72,2,FALSE)))</f>
        <v>Blainville</v>
      </c>
      <c r="R4375" s="9" t="s">
        <v>18156</v>
      </c>
      <c r="S4375" s="9" t="str">
        <f>IF(ISBLANK($R4375),"",VLOOKUP($R4375,'Liste des Villes'!$B$2:$H$1128,4,FALSE))</f>
        <v>Laurentides</v>
      </c>
      <c r="T4375" s="2" t="s">
        <v>18272</v>
      </c>
      <c r="U4375" s="2" t="s">
        <v>39</v>
      </c>
      <c r="V4375" s="2" t="s">
        <v>40</v>
      </c>
      <c r="W4375" s="2" t="s">
        <v>18402</v>
      </c>
      <c r="X4375" s="2" t="str">
        <f>"5147149388"</f>
        <v>5147149388</v>
      </c>
      <c r="Y4375" s="2" t="str">
        <f>"4504383033"</f>
        <v>4504383033</v>
      </c>
      <c r="Z4375" s="2"/>
      <c r="AA4375" s="2" t="s">
        <v>456</v>
      </c>
      <c r="AB4375" s="2" t="s">
        <v>457</v>
      </c>
      <c r="AC4375" s="4" t="s">
        <v>44</v>
      </c>
    </row>
    <row r="4376" spans="1:29" x14ac:dyDescent="0.25">
      <c r="A4376" s="1">
        <v>1676</v>
      </c>
      <c r="B4376" s="17" t="s">
        <v>18403</v>
      </c>
      <c r="C4376" s="2" t="s">
        <v>18404</v>
      </c>
      <c r="D4376" s="15" t="s">
        <v>738</v>
      </c>
      <c r="E4376" s="9" t="s">
        <v>4053</v>
      </c>
      <c r="F4376" s="9" t="s">
        <v>12414</v>
      </c>
      <c r="G4376" s="9" t="s">
        <v>1898</v>
      </c>
      <c r="H4376" s="2" t="s">
        <v>60</v>
      </c>
      <c r="I4376" s="3">
        <v>37488</v>
      </c>
      <c r="J4376" s="9" t="str">
        <f t="shared" ca="1" si="77"/>
        <v>21 ans</v>
      </c>
      <c r="K4376" s="2" t="s">
        <v>262</v>
      </c>
      <c r="L4376" s="2" t="str">
        <f>"15314"</f>
        <v>15314</v>
      </c>
      <c r="M4376" s="2" t="str">
        <f>"7"</f>
        <v>7</v>
      </c>
      <c r="N4376" s="2" t="str">
        <f>"RUE TOUTANT"</f>
        <v>RUE TOUTANT</v>
      </c>
      <c r="O4376" s="2" t="s">
        <v>18155</v>
      </c>
      <c r="P4376" s="9" t="str">
        <f>VLOOKUP($O4376,'Liste des Villes'!$B$2:$B$1128,1,FALSE)</f>
        <v>Blainville</v>
      </c>
      <c r="Q4376" s="9" t="str">
        <f>IFERROR($P4376,PROPER(VLOOKUP($O4376,'Villes en erreur'!$A$2:$B$72,2,FALSE)))</f>
        <v>Blainville</v>
      </c>
      <c r="R4376" s="9" t="s">
        <v>18156</v>
      </c>
      <c r="S4376" s="9" t="str">
        <f>IF(ISBLANK($R4376),"",VLOOKUP($R4376,'Liste des Villes'!$B$2:$H$1128,4,FALSE))</f>
        <v>Laurentides</v>
      </c>
      <c r="T4376" s="2" t="s">
        <v>18405</v>
      </c>
      <c r="U4376" s="2" t="s">
        <v>39</v>
      </c>
      <c r="V4376" s="2" t="s">
        <v>40</v>
      </c>
      <c r="W4376" s="2" t="s">
        <v>18406</v>
      </c>
      <c r="X4376" s="2" t="str">
        <f>"5148849250"</f>
        <v>5148849250</v>
      </c>
      <c r="Y4376" s="2" t="str">
        <f>"4504317375"</f>
        <v>4504317375</v>
      </c>
      <c r="Z4376" s="2"/>
      <c r="AA4376" s="2" t="s">
        <v>456</v>
      </c>
      <c r="AB4376" s="2" t="s">
        <v>457</v>
      </c>
      <c r="AC4376" s="4" t="s">
        <v>44</v>
      </c>
    </row>
    <row r="4377" spans="1:29" x14ac:dyDescent="0.25">
      <c r="A4377" s="1">
        <v>927</v>
      </c>
      <c r="B4377" s="17" t="s">
        <v>18407</v>
      </c>
      <c r="C4377" s="2" t="s">
        <v>2851</v>
      </c>
      <c r="D4377" s="15" t="s">
        <v>825</v>
      </c>
      <c r="E4377" s="9" t="s">
        <v>271</v>
      </c>
      <c r="F4377" s="9" t="s">
        <v>766</v>
      </c>
      <c r="G4377" s="9" t="s">
        <v>5511</v>
      </c>
      <c r="H4377" s="2" t="s">
        <v>60</v>
      </c>
      <c r="I4377" s="3">
        <v>37432</v>
      </c>
      <c r="J4377" s="9" t="str">
        <f t="shared" ca="1" si="77"/>
        <v>21 ans</v>
      </c>
      <c r="K4377" s="2" t="s">
        <v>262</v>
      </c>
      <c r="L4377" s="2" t="str">
        <f>"13190"</f>
        <v>13190</v>
      </c>
      <c r="M4377" s="2" t="str">
        <f>"511"</f>
        <v>511</v>
      </c>
      <c r="N4377" s="2" t="str">
        <f>"RUE ROY"</f>
        <v>RUE ROY</v>
      </c>
      <c r="O4377" s="2" t="s">
        <v>18155</v>
      </c>
      <c r="P4377" s="9" t="str">
        <f>VLOOKUP($O4377,'Liste des Villes'!$B$2:$B$1128,1,FALSE)</f>
        <v>Blainville</v>
      </c>
      <c r="Q4377" s="9" t="str">
        <f>IFERROR($P4377,PROPER(VLOOKUP($O4377,'Villes en erreur'!$A$2:$B$72,2,FALSE)))</f>
        <v>Blainville</v>
      </c>
      <c r="R4377" s="9" t="s">
        <v>18156</v>
      </c>
      <c r="S4377" s="9" t="str">
        <f>IF(ISBLANK($R4377),"",VLOOKUP($R4377,'Liste des Villes'!$B$2:$H$1128,4,FALSE))</f>
        <v>Laurentides</v>
      </c>
      <c r="T4377" s="2" t="s">
        <v>18408</v>
      </c>
      <c r="U4377" s="2" t="s">
        <v>39</v>
      </c>
      <c r="V4377" s="2" t="s">
        <v>40</v>
      </c>
      <c r="W4377" s="2" t="s">
        <v>18409</v>
      </c>
      <c r="X4377" s="2" t="str">
        <f>"5142491404"</f>
        <v>5142491404</v>
      </c>
      <c r="Y4377" s="2" t="str">
        <f>"4506132014"</f>
        <v>4506132014</v>
      </c>
      <c r="Z4377" s="2"/>
      <c r="AA4377" s="2" t="s">
        <v>456</v>
      </c>
      <c r="AB4377" s="2" t="s">
        <v>457</v>
      </c>
      <c r="AC4377" s="4" t="s">
        <v>44</v>
      </c>
    </row>
    <row r="4378" spans="1:29" x14ac:dyDescent="0.25">
      <c r="A4378" s="1">
        <v>1155</v>
      </c>
      <c r="B4378" s="17" t="s">
        <v>18410</v>
      </c>
      <c r="C4378" s="2" t="s">
        <v>18411</v>
      </c>
      <c r="D4378" s="15" t="s">
        <v>13253</v>
      </c>
      <c r="E4378" s="9" t="s">
        <v>698</v>
      </c>
      <c r="F4378" s="9" t="s">
        <v>3042</v>
      </c>
      <c r="G4378" s="9" t="s">
        <v>10781</v>
      </c>
      <c r="H4378" s="2" t="s">
        <v>60</v>
      </c>
      <c r="I4378" s="3">
        <v>37524</v>
      </c>
      <c r="J4378" s="9" t="str">
        <f t="shared" ca="1" si="77"/>
        <v>20 ans</v>
      </c>
      <c r="K4378" s="2" t="s">
        <v>262</v>
      </c>
      <c r="L4378" s="2" t="str">
        <f>"18660"</f>
        <v>18660</v>
      </c>
      <c r="M4378" s="2" t="str">
        <f>"1"</f>
        <v>1</v>
      </c>
      <c r="N4378" s="2" t="str">
        <f>"TERRASSE MARCOUX"</f>
        <v>TERRASSE MARCOUX</v>
      </c>
      <c r="O4378" s="2" t="s">
        <v>18155</v>
      </c>
      <c r="P4378" s="9" t="str">
        <f>VLOOKUP($O4378,'Liste des Villes'!$B$2:$B$1128,1,FALSE)</f>
        <v>Blainville</v>
      </c>
      <c r="Q4378" s="9" t="str">
        <f>IFERROR($P4378,PROPER(VLOOKUP($O4378,'Villes en erreur'!$A$2:$B$72,2,FALSE)))</f>
        <v>Blainville</v>
      </c>
      <c r="R4378" s="9" t="s">
        <v>18156</v>
      </c>
      <c r="S4378" s="9" t="str">
        <f>IF(ISBLANK($R4378),"",VLOOKUP($R4378,'Liste des Villes'!$B$2:$H$1128,4,FALSE))</f>
        <v>Laurentides</v>
      </c>
      <c r="T4378" s="2" t="s">
        <v>18412</v>
      </c>
      <c r="U4378" s="2" t="s">
        <v>39</v>
      </c>
      <c r="V4378" s="2" t="s">
        <v>40</v>
      </c>
      <c r="W4378" s="2" t="s">
        <v>18413</v>
      </c>
      <c r="X4378" s="2" t="str">
        <f>"8194406222"</f>
        <v>8194406222</v>
      </c>
      <c r="Y4378" s="2" t="str">
        <f>"4384945396"</f>
        <v>4384945396</v>
      </c>
      <c r="Z4378" s="2" t="str">
        <f>"4505160131"</f>
        <v>4505160131</v>
      </c>
      <c r="AA4378" s="2" t="s">
        <v>456</v>
      </c>
      <c r="AB4378" s="2" t="s">
        <v>457</v>
      </c>
      <c r="AC4378" s="4" t="s">
        <v>44</v>
      </c>
    </row>
    <row r="4379" spans="1:29" x14ac:dyDescent="0.25">
      <c r="A4379" s="1">
        <v>3069</v>
      </c>
      <c r="B4379" s="17" t="s">
        <v>18414</v>
      </c>
      <c r="C4379" s="2" t="s">
        <v>13049</v>
      </c>
      <c r="D4379" s="15" t="s">
        <v>923</v>
      </c>
      <c r="E4379" s="9" t="s">
        <v>348</v>
      </c>
      <c r="F4379" s="9" t="s">
        <v>762</v>
      </c>
      <c r="G4379" s="9" t="s">
        <v>2812</v>
      </c>
      <c r="H4379" s="2" t="s">
        <v>35</v>
      </c>
      <c r="I4379" s="3">
        <v>37460</v>
      </c>
      <c r="J4379" s="9" t="str">
        <f t="shared" ca="1" si="77"/>
        <v>21 ans</v>
      </c>
      <c r="K4379" s="2" t="s">
        <v>262</v>
      </c>
      <c r="L4379" s="2" t="str">
        <f>"13930"</f>
        <v>13930</v>
      </c>
      <c r="M4379" s="2" t="str">
        <f>"102"</f>
        <v>102</v>
      </c>
      <c r="N4379" s="2" t="str">
        <f>"RUE SARAH-GARTH"</f>
        <v>RUE SARAH-GARTH</v>
      </c>
      <c r="O4379" s="2" t="s">
        <v>18156</v>
      </c>
      <c r="P4379" s="9" t="str">
        <f>VLOOKUP($O4379,'Liste des Villes'!$B$2:$B$1128,1,FALSE)</f>
        <v>Blainville</v>
      </c>
      <c r="Q4379" s="9" t="str">
        <f>IFERROR($P4379,PROPER(VLOOKUP($O4379,'Villes en erreur'!$A$2:$B$72,2,FALSE)))</f>
        <v>Blainville</v>
      </c>
      <c r="R4379" s="9" t="s">
        <v>18156</v>
      </c>
      <c r="S4379" s="9" t="str">
        <f>IF(ISBLANK($R4379),"",VLOOKUP($R4379,'Liste des Villes'!$B$2:$H$1128,4,FALSE))</f>
        <v>Laurentides</v>
      </c>
      <c r="T4379" s="2" t="s">
        <v>18415</v>
      </c>
      <c r="U4379" s="2" t="s">
        <v>39</v>
      </c>
      <c r="V4379" s="2" t="s">
        <v>40</v>
      </c>
      <c r="W4379" s="2" t="s">
        <v>18416</v>
      </c>
      <c r="X4379" s="2" t="str">
        <f>"5146526308"</f>
        <v>5146526308</v>
      </c>
      <c r="Y4379" s="2" t="str">
        <f>"4505120841"</f>
        <v>4505120841</v>
      </c>
      <c r="Z4379" s="2"/>
      <c r="AA4379" s="2" t="s">
        <v>456</v>
      </c>
      <c r="AB4379" s="2" t="s">
        <v>457</v>
      </c>
      <c r="AC4379" s="4" t="s">
        <v>44</v>
      </c>
    </row>
    <row r="4380" spans="1:29" x14ac:dyDescent="0.25">
      <c r="A4380" s="1">
        <v>4574</v>
      </c>
      <c r="B4380" s="17" t="s">
        <v>18417</v>
      </c>
      <c r="C4380" s="2" t="s">
        <v>18418</v>
      </c>
      <c r="D4380" s="15" t="s">
        <v>2282</v>
      </c>
      <c r="E4380" s="9" t="s">
        <v>3265</v>
      </c>
      <c r="F4380" s="9" t="s">
        <v>2280</v>
      </c>
      <c r="G4380" s="9" t="s">
        <v>503</v>
      </c>
      <c r="H4380" s="2" t="s">
        <v>60</v>
      </c>
      <c r="I4380" s="3">
        <v>37522</v>
      </c>
      <c r="J4380" s="9" t="str">
        <f t="shared" ca="1" si="77"/>
        <v>20 ans</v>
      </c>
      <c r="K4380" s="2" t="s">
        <v>262</v>
      </c>
      <c r="L4380" s="2" t="str">
        <f>"18363"</f>
        <v>18363</v>
      </c>
      <c r="M4380" s="2" t="str">
        <f>"2"</f>
        <v>2</v>
      </c>
      <c r="N4380" s="2" t="str">
        <f>"ST-JACQUES OUEST"</f>
        <v>ST-JACQUES OUEST</v>
      </c>
      <c r="O4380" s="2" t="s">
        <v>18155</v>
      </c>
      <c r="P4380" s="9" t="str">
        <f>VLOOKUP($O4380,'Liste des Villes'!$B$2:$B$1128,1,FALSE)</f>
        <v>Blainville</v>
      </c>
      <c r="Q4380" s="9" t="str">
        <f>IFERROR($P4380,PROPER(VLOOKUP($O4380,'Villes en erreur'!$A$2:$B$72,2,FALSE)))</f>
        <v>Blainville</v>
      </c>
      <c r="R4380" s="9" t="s">
        <v>18156</v>
      </c>
      <c r="S4380" s="9" t="str">
        <f>IF(ISBLANK($R4380),"",VLOOKUP($R4380,'Liste des Villes'!$B$2:$H$1128,4,FALSE))</f>
        <v>Laurentides</v>
      </c>
      <c r="T4380" s="2" t="s">
        <v>18419</v>
      </c>
      <c r="U4380" s="2" t="s">
        <v>39</v>
      </c>
      <c r="V4380" s="2" t="s">
        <v>40</v>
      </c>
      <c r="W4380" s="2" t="s">
        <v>18420</v>
      </c>
      <c r="X4380" s="2" t="str">
        <f>"8194244555"</f>
        <v>8194244555</v>
      </c>
      <c r="Y4380" s="2" t="str">
        <f>"4385019335"</f>
        <v>4385019335</v>
      </c>
      <c r="Z4380" s="2" t="str">
        <f>"4183284433"</f>
        <v>4183284433</v>
      </c>
      <c r="AA4380" s="2" t="s">
        <v>456</v>
      </c>
      <c r="AB4380" s="2" t="s">
        <v>457</v>
      </c>
      <c r="AC4380" s="4" t="s">
        <v>44</v>
      </c>
    </row>
    <row r="4381" spans="1:29" x14ac:dyDescent="0.25">
      <c r="A4381" s="1">
        <v>3690</v>
      </c>
      <c r="B4381" s="17" t="s">
        <v>18421</v>
      </c>
      <c r="C4381" s="2" t="s">
        <v>7162</v>
      </c>
      <c r="D4381" s="15" t="s">
        <v>225</v>
      </c>
      <c r="E4381" s="9" t="s">
        <v>7163</v>
      </c>
      <c r="F4381" s="9" t="s">
        <v>17247</v>
      </c>
      <c r="G4381" s="9" t="s">
        <v>370</v>
      </c>
      <c r="H4381" s="2" t="s">
        <v>60</v>
      </c>
      <c r="I4381" s="3">
        <v>37517</v>
      </c>
      <c r="J4381" s="9" t="str">
        <f t="shared" ca="1" si="77"/>
        <v>20 ans</v>
      </c>
      <c r="K4381" s="2" t="s">
        <v>262</v>
      </c>
      <c r="L4381" s="2" t="str">
        <f>"17795"</f>
        <v>17795</v>
      </c>
      <c r="M4381" s="2" t="str">
        <f>"2"</f>
        <v>2</v>
      </c>
      <c r="N4381" s="2" t="str">
        <f>"SAINT-GERMAIN"</f>
        <v>SAINT-GERMAIN</v>
      </c>
      <c r="O4381" s="2" t="s">
        <v>18155</v>
      </c>
      <c r="P4381" s="9" t="str">
        <f>VLOOKUP($O4381,'Liste des Villes'!$B$2:$B$1128,1,FALSE)</f>
        <v>Blainville</v>
      </c>
      <c r="Q4381" s="9" t="str">
        <f>IFERROR($P4381,PROPER(VLOOKUP($O4381,'Villes en erreur'!$A$2:$B$72,2,FALSE)))</f>
        <v>Blainville</v>
      </c>
      <c r="R4381" s="9" t="s">
        <v>18156</v>
      </c>
      <c r="S4381" s="9" t="str">
        <f>IF(ISBLANK($R4381),"",VLOOKUP($R4381,'Liste des Villes'!$B$2:$H$1128,4,FALSE))</f>
        <v>Laurentides</v>
      </c>
      <c r="T4381" s="2" t="s">
        <v>18422</v>
      </c>
      <c r="U4381" s="2" t="s">
        <v>39</v>
      </c>
      <c r="V4381" s="2" t="s">
        <v>40</v>
      </c>
      <c r="W4381" s="2" t="s">
        <v>18423</v>
      </c>
      <c r="X4381" s="2" t="str">
        <f>"8193231660"</f>
        <v>8193231660</v>
      </c>
      <c r="Y4381" s="2" t="str">
        <f>"4388321218"</f>
        <v>4388321218</v>
      </c>
      <c r="Z4381" s="2"/>
      <c r="AA4381" s="2" t="s">
        <v>456</v>
      </c>
      <c r="AB4381" s="2" t="s">
        <v>457</v>
      </c>
      <c r="AC4381" s="4" t="s">
        <v>44</v>
      </c>
    </row>
    <row r="4382" spans="1:29" x14ac:dyDescent="0.25">
      <c r="A4382" s="1">
        <v>1836</v>
      </c>
      <c r="B4382" s="17" t="s">
        <v>18424</v>
      </c>
      <c r="C4382" s="2" t="s">
        <v>18425</v>
      </c>
      <c r="D4382" s="15" t="s">
        <v>8118</v>
      </c>
      <c r="E4382" s="9" t="s">
        <v>2635</v>
      </c>
      <c r="F4382" s="9" t="s">
        <v>18426</v>
      </c>
      <c r="G4382" s="9" t="s">
        <v>4422</v>
      </c>
      <c r="H4382" s="2" t="s">
        <v>60</v>
      </c>
      <c r="I4382" s="3">
        <v>37491</v>
      </c>
      <c r="J4382" s="9" t="str">
        <f t="shared" ca="1" si="77"/>
        <v>21 ans</v>
      </c>
      <c r="K4382" s="2" t="s">
        <v>262</v>
      </c>
      <c r="L4382" s="2" t="str">
        <f>"15855"</f>
        <v>15855</v>
      </c>
      <c r="M4382" s="2" t="str">
        <f>"6"</f>
        <v>6</v>
      </c>
      <c r="N4382" s="2" t="str">
        <f>"RUE TRYVON"</f>
        <v>RUE TRYVON</v>
      </c>
      <c r="O4382" s="2" t="s">
        <v>18155</v>
      </c>
      <c r="P4382" s="9" t="str">
        <f>VLOOKUP($O4382,'Liste des Villes'!$B$2:$B$1128,1,FALSE)</f>
        <v>Blainville</v>
      </c>
      <c r="Q4382" s="9" t="str">
        <f>IFERROR($P4382,PROPER(VLOOKUP($O4382,'Villes en erreur'!$A$2:$B$72,2,FALSE)))</f>
        <v>Blainville</v>
      </c>
      <c r="R4382" s="9" t="s">
        <v>18156</v>
      </c>
      <c r="S4382" s="9" t="str">
        <f>IF(ISBLANK($R4382),"",VLOOKUP($R4382,'Liste des Villes'!$B$2:$H$1128,4,FALSE))</f>
        <v>Laurentides</v>
      </c>
      <c r="T4382" s="2" t="s">
        <v>18394</v>
      </c>
      <c r="U4382" s="2" t="s">
        <v>39</v>
      </c>
      <c r="V4382" s="2" t="s">
        <v>40</v>
      </c>
      <c r="W4382" s="2" t="s">
        <v>18427</v>
      </c>
      <c r="X4382" s="2" t="str">
        <f>"5149071128"</f>
        <v>5149071128</v>
      </c>
      <c r="Y4382" s="2" t="str">
        <f>"4504311297"</f>
        <v>4504311297</v>
      </c>
      <c r="Z4382" s="2"/>
      <c r="AA4382" s="2" t="s">
        <v>456</v>
      </c>
      <c r="AB4382" s="2" t="s">
        <v>457</v>
      </c>
      <c r="AC4382" s="4" t="s">
        <v>44</v>
      </c>
    </row>
    <row r="4383" spans="1:29" x14ac:dyDescent="0.25">
      <c r="A4383" s="1">
        <v>3476</v>
      </c>
      <c r="B4383" s="17" t="s">
        <v>18428</v>
      </c>
      <c r="C4383" s="2" t="s">
        <v>8038</v>
      </c>
      <c r="D4383" s="15" t="s">
        <v>6669</v>
      </c>
      <c r="E4383" s="9" t="s">
        <v>8039</v>
      </c>
      <c r="F4383" s="9" t="s">
        <v>449</v>
      </c>
      <c r="G4383" s="9" t="s">
        <v>3194</v>
      </c>
      <c r="H4383" s="2" t="s">
        <v>60</v>
      </c>
      <c r="I4383" s="3">
        <v>37469</v>
      </c>
      <c r="J4383" s="9" t="str">
        <f t="shared" ca="1" si="77"/>
        <v>21 ans</v>
      </c>
      <c r="K4383" s="2" t="s">
        <v>262</v>
      </c>
      <c r="L4383" s="2" t="str">
        <f>"14170"</f>
        <v>14170</v>
      </c>
      <c r="M4383" s="2" t="str">
        <f>"16"</f>
        <v>16</v>
      </c>
      <c r="N4383" s="2" t="str">
        <f>"RUE SIMETIN"</f>
        <v>RUE SIMETIN</v>
      </c>
      <c r="O4383" s="2" t="s">
        <v>18155</v>
      </c>
      <c r="P4383" s="9" t="str">
        <f>VLOOKUP($O4383,'Liste des Villes'!$B$2:$B$1128,1,FALSE)</f>
        <v>Blainville</v>
      </c>
      <c r="Q4383" s="9" t="str">
        <f>IFERROR($P4383,PROPER(VLOOKUP($O4383,'Villes en erreur'!$A$2:$B$72,2,FALSE)))</f>
        <v>Blainville</v>
      </c>
      <c r="R4383" s="9" t="s">
        <v>18156</v>
      </c>
      <c r="S4383" s="9" t="str">
        <f>IF(ISBLANK($R4383),"",VLOOKUP($R4383,'Liste des Villes'!$B$2:$H$1128,4,FALSE))</f>
        <v>Laurentides</v>
      </c>
      <c r="T4383" s="2" t="s">
        <v>18197</v>
      </c>
      <c r="U4383" s="2" t="s">
        <v>39</v>
      </c>
      <c r="V4383" s="2" t="s">
        <v>40</v>
      </c>
      <c r="W4383" s="2" t="s">
        <v>18429</v>
      </c>
      <c r="X4383" s="2" t="str">
        <f>"5147142526"</f>
        <v>5147142526</v>
      </c>
      <c r="Y4383" s="2" t="str">
        <f>"4504385595"</f>
        <v>4504385595</v>
      </c>
      <c r="Z4383" s="2"/>
      <c r="AA4383" s="2" t="s">
        <v>456</v>
      </c>
      <c r="AB4383" s="2" t="s">
        <v>457</v>
      </c>
      <c r="AC4383" s="4" t="s">
        <v>44</v>
      </c>
    </row>
    <row r="4384" spans="1:29" x14ac:dyDescent="0.25">
      <c r="A4384" s="1">
        <v>3092</v>
      </c>
      <c r="B4384" s="17" t="s">
        <v>18430</v>
      </c>
      <c r="C4384" s="2" t="s">
        <v>18431</v>
      </c>
      <c r="D4384" s="15" t="s">
        <v>219</v>
      </c>
      <c r="E4384" s="9" t="s">
        <v>18432</v>
      </c>
      <c r="F4384" s="9" t="s">
        <v>504</v>
      </c>
      <c r="G4384" s="9" t="s">
        <v>341</v>
      </c>
      <c r="H4384" s="2" t="s">
        <v>60</v>
      </c>
      <c r="I4384" s="3">
        <v>37441</v>
      </c>
      <c r="J4384" s="9" t="str">
        <f t="shared" ca="1" si="77"/>
        <v>21 ans</v>
      </c>
      <c r="K4384" s="2" t="s">
        <v>262</v>
      </c>
      <c r="L4384" s="2" t="str">
        <f>"13540"</f>
        <v>13540</v>
      </c>
      <c r="M4384" s="2" t="str">
        <f>"301"</f>
        <v>301</v>
      </c>
      <c r="N4384" s="2" t="str">
        <f>"RUE SAINT-DENIS"</f>
        <v>RUE SAINT-DENIS</v>
      </c>
      <c r="O4384" s="2" t="s">
        <v>18155</v>
      </c>
      <c r="P4384" s="9" t="str">
        <f>VLOOKUP($O4384,'Liste des Villes'!$B$2:$B$1128,1,FALSE)</f>
        <v>Blainville</v>
      </c>
      <c r="Q4384" s="9" t="str">
        <f>IFERROR($P4384,PROPER(VLOOKUP($O4384,'Villes en erreur'!$A$2:$B$72,2,FALSE)))</f>
        <v>Blainville</v>
      </c>
      <c r="R4384" s="9" t="s">
        <v>18156</v>
      </c>
      <c r="S4384" s="9" t="str">
        <f>IF(ISBLANK($R4384),"",VLOOKUP($R4384,'Liste des Villes'!$B$2:$H$1128,4,FALSE))</f>
        <v>Laurentides</v>
      </c>
      <c r="T4384" s="2" t="s">
        <v>18303</v>
      </c>
      <c r="U4384" s="2" t="s">
        <v>39</v>
      </c>
      <c r="V4384" s="2" t="s">
        <v>40</v>
      </c>
      <c r="W4384" s="2" t="s">
        <v>18433</v>
      </c>
      <c r="X4384" s="2" t="str">
        <f>"5144733218"</f>
        <v>5144733218</v>
      </c>
      <c r="Y4384" s="2" t="str">
        <f>"4505657931"</f>
        <v>4505657931</v>
      </c>
      <c r="Z4384" s="2"/>
      <c r="AA4384" s="2" t="s">
        <v>456</v>
      </c>
      <c r="AB4384" s="2" t="s">
        <v>457</v>
      </c>
      <c r="AC4384" s="4" t="s">
        <v>44</v>
      </c>
    </row>
    <row r="4385" spans="1:29" x14ac:dyDescent="0.25">
      <c r="A4385" s="1">
        <v>3456</v>
      </c>
      <c r="B4385" s="17" t="s">
        <v>18434</v>
      </c>
      <c r="C4385" s="2" t="s">
        <v>18435</v>
      </c>
      <c r="D4385" s="15" t="s">
        <v>782</v>
      </c>
      <c r="E4385" s="9" t="s">
        <v>2766</v>
      </c>
      <c r="F4385" s="9" t="s">
        <v>34</v>
      </c>
      <c r="G4385" s="9" t="s">
        <v>3451</v>
      </c>
      <c r="H4385" s="2" t="s">
        <v>60</v>
      </c>
      <c r="I4385" s="3">
        <v>37474</v>
      </c>
      <c r="J4385" s="9" t="str">
        <f t="shared" ca="1" si="77"/>
        <v>21 ans</v>
      </c>
      <c r="K4385" s="2" t="s">
        <v>262</v>
      </c>
      <c r="L4385" s="2" t="str">
        <f>"14315"</f>
        <v>14315</v>
      </c>
      <c r="M4385" s="2" t="str">
        <f>"11"</f>
        <v>11</v>
      </c>
      <c r="N4385" s="2" t="str">
        <f>"RUE ST-VINCENT"</f>
        <v>RUE ST-VINCENT</v>
      </c>
      <c r="O4385" s="2" t="s">
        <v>18155</v>
      </c>
      <c r="P4385" s="9" t="str">
        <f>VLOOKUP($O4385,'Liste des Villes'!$B$2:$B$1128,1,FALSE)</f>
        <v>Blainville</v>
      </c>
      <c r="Q4385" s="9" t="str">
        <f>IFERROR($P4385,PROPER(VLOOKUP($O4385,'Villes en erreur'!$A$2:$B$72,2,FALSE)))</f>
        <v>Blainville</v>
      </c>
      <c r="R4385" s="9" t="s">
        <v>18156</v>
      </c>
      <c r="S4385" s="9" t="str">
        <f>IF(ISBLANK($R4385),"",VLOOKUP($R4385,'Liste des Villes'!$B$2:$H$1128,4,FALSE))</f>
        <v>Laurentides</v>
      </c>
      <c r="T4385" s="2" t="s">
        <v>18436</v>
      </c>
      <c r="U4385" s="2" t="s">
        <v>39</v>
      </c>
      <c r="V4385" s="2" t="s">
        <v>40</v>
      </c>
      <c r="W4385" s="2" t="s">
        <v>18437</v>
      </c>
      <c r="X4385" s="2" t="str">
        <f>"5147751403"</f>
        <v>5147751403</v>
      </c>
      <c r="Y4385" s="2" t="str">
        <f>"4504365224"</f>
        <v>4504365224</v>
      </c>
      <c r="Z4385" s="2"/>
      <c r="AA4385" s="2" t="s">
        <v>456</v>
      </c>
      <c r="AB4385" s="2" t="s">
        <v>457</v>
      </c>
      <c r="AC4385" s="4" t="s">
        <v>44</v>
      </c>
    </row>
    <row r="4386" spans="1:29" x14ac:dyDescent="0.25">
      <c r="A4386" s="1">
        <v>2793</v>
      </c>
      <c r="B4386" s="17" t="s">
        <v>18438</v>
      </c>
      <c r="C4386" s="2" t="s">
        <v>18439</v>
      </c>
      <c r="D4386" s="15" t="s">
        <v>9025</v>
      </c>
      <c r="E4386" s="9" t="s">
        <v>10566</v>
      </c>
      <c r="F4386" s="9" t="s">
        <v>2486</v>
      </c>
      <c r="G4386" s="9" t="s">
        <v>4422</v>
      </c>
      <c r="H4386" s="2" t="s">
        <v>60</v>
      </c>
      <c r="I4386" s="3">
        <v>37489</v>
      </c>
      <c r="J4386" s="9" t="str">
        <f t="shared" ca="1" si="77"/>
        <v>21 ans</v>
      </c>
      <c r="K4386" s="2" t="s">
        <v>262</v>
      </c>
      <c r="L4386" s="2" t="str">
        <f>"15601"</f>
        <v>15601</v>
      </c>
      <c r="M4386" s="2" t="str">
        <f>"6"</f>
        <v>6</v>
      </c>
      <c r="N4386" s="2" t="str">
        <f>"RUE TREMBLAY"</f>
        <v>RUE TREMBLAY</v>
      </c>
      <c r="O4386" s="2" t="s">
        <v>18155</v>
      </c>
      <c r="P4386" s="9" t="str">
        <f>VLOOKUP($O4386,'Liste des Villes'!$B$2:$B$1128,1,FALSE)</f>
        <v>Blainville</v>
      </c>
      <c r="Q4386" s="9" t="str">
        <f>IFERROR($P4386,PROPER(VLOOKUP($O4386,'Villes en erreur'!$A$2:$B$72,2,FALSE)))</f>
        <v>Blainville</v>
      </c>
      <c r="R4386" s="9" t="s">
        <v>18156</v>
      </c>
      <c r="S4386" s="9" t="str">
        <f>IF(ISBLANK($R4386),"",VLOOKUP($R4386,'Liste des Villes'!$B$2:$H$1128,4,FALSE))</f>
        <v>Laurentides</v>
      </c>
      <c r="T4386" s="2" t="s">
        <v>18440</v>
      </c>
      <c r="U4386" s="2" t="s">
        <v>39</v>
      </c>
      <c r="V4386" s="2" t="s">
        <v>40</v>
      </c>
      <c r="W4386" s="2" t="s">
        <v>18441</v>
      </c>
      <c r="X4386" s="2" t="str">
        <f>"5148877332"</f>
        <v>5148877332</v>
      </c>
      <c r="Y4386" s="2" t="str">
        <f>"4504316653"</f>
        <v>4504316653</v>
      </c>
      <c r="Z4386" s="2"/>
      <c r="AA4386" s="2" t="s">
        <v>456</v>
      </c>
      <c r="AB4386" s="2" t="s">
        <v>457</v>
      </c>
      <c r="AC4386" s="4" t="s">
        <v>44</v>
      </c>
    </row>
    <row r="4387" spans="1:29" x14ac:dyDescent="0.25">
      <c r="A4387" s="1">
        <v>2612</v>
      </c>
      <c r="B4387" s="17" t="s">
        <v>18442</v>
      </c>
      <c r="C4387" s="2" t="s">
        <v>1806</v>
      </c>
      <c r="D4387" s="15" t="s">
        <v>1807</v>
      </c>
      <c r="E4387" s="9" t="s">
        <v>1410</v>
      </c>
      <c r="F4387" s="9" t="s">
        <v>7094</v>
      </c>
      <c r="G4387" s="9" t="s">
        <v>983</v>
      </c>
      <c r="H4387" s="2" t="s">
        <v>60</v>
      </c>
      <c r="I4387" s="3">
        <v>37518</v>
      </c>
      <c r="J4387" s="9" t="str">
        <f t="shared" ca="1" si="77"/>
        <v>20 ans</v>
      </c>
      <c r="K4387" s="2" t="s">
        <v>262</v>
      </c>
      <c r="L4387" s="2" t="str">
        <f>"18040"</f>
        <v>18040</v>
      </c>
      <c r="M4387" s="2" t="str">
        <f>"2"</f>
        <v>2</v>
      </c>
      <c r="N4387" s="2" t="str">
        <f>"ST -GEORGE"</f>
        <v>ST -GEORGE</v>
      </c>
      <c r="O4387" s="2" t="s">
        <v>18155</v>
      </c>
      <c r="P4387" s="9" t="str">
        <f>VLOOKUP($O4387,'Liste des Villes'!$B$2:$B$1128,1,FALSE)</f>
        <v>Blainville</v>
      </c>
      <c r="Q4387" s="9" t="str">
        <f>IFERROR($P4387,PROPER(VLOOKUP($O4387,'Villes en erreur'!$A$2:$B$72,2,FALSE)))</f>
        <v>Blainville</v>
      </c>
      <c r="R4387" s="9" t="s">
        <v>18156</v>
      </c>
      <c r="S4387" s="9" t="str">
        <f>IF(ISBLANK($R4387),"",VLOOKUP($R4387,'Liste des Villes'!$B$2:$H$1128,4,FALSE))</f>
        <v>Laurentides</v>
      </c>
      <c r="T4387" s="2" t="s">
        <v>18443</v>
      </c>
      <c r="U4387" s="2" t="s">
        <v>39</v>
      </c>
      <c r="V4387" s="2" t="s">
        <v>40</v>
      </c>
      <c r="W4387" s="2" t="s">
        <v>18444</v>
      </c>
      <c r="X4387" s="2" t="str">
        <f>"8193246495"</f>
        <v>8193246495</v>
      </c>
      <c r="Y4387" s="2" t="str">
        <f>"4388250107"</f>
        <v>4388250107</v>
      </c>
      <c r="Z4387" s="2"/>
      <c r="AA4387" s="2" t="s">
        <v>456</v>
      </c>
      <c r="AB4387" s="2" t="s">
        <v>457</v>
      </c>
      <c r="AC4387" s="4" t="s">
        <v>44</v>
      </c>
    </row>
    <row r="4388" spans="1:29" x14ac:dyDescent="0.25">
      <c r="A4388" s="1">
        <v>701</v>
      </c>
      <c r="B4388" s="17" t="s">
        <v>18445</v>
      </c>
      <c r="C4388" s="2" t="s">
        <v>18446</v>
      </c>
      <c r="D4388" s="15" t="s">
        <v>7566</v>
      </c>
      <c r="E4388" s="9" t="s">
        <v>277</v>
      </c>
      <c r="F4388" s="9" t="s">
        <v>7565</v>
      </c>
      <c r="G4388" s="9" t="s">
        <v>370</v>
      </c>
      <c r="H4388" s="2" t="s">
        <v>60</v>
      </c>
      <c r="I4388" s="3">
        <v>37512</v>
      </c>
      <c r="J4388" s="9" t="str">
        <f t="shared" ca="1" si="77"/>
        <v>20 ans</v>
      </c>
      <c r="K4388" s="2" t="s">
        <v>262</v>
      </c>
      <c r="L4388" s="2" t="str">
        <f>"17305"</f>
        <v>17305</v>
      </c>
      <c r="M4388" s="2" t="str">
        <f>"3"</f>
        <v>3</v>
      </c>
      <c r="N4388" s="2" t="str">
        <f>"SAINDON"</f>
        <v>SAINDON</v>
      </c>
      <c r="O4388" s="2" t="s">
        <v>18155</v>
      </c>
      <c r="P4388" s="9" t="str">
        <f>VLOOKUP($O4388,'Liste des Villes'!$B$2:$B$1128,1,FALSE)</f>
        <v>Blainville</v>
      </c>
      <c r="Q4388" s="9" t="str">
        <f>IFERROR($P4388,PROPER(VLOOKUP($O4388,'Villes en erreur'!$A$2:$B$72,2,FALSE)))</f>
        <v>Blainville</v>
      </c>
      <c r="R4388" s="9" t="s">
        <v>18156</v>
      </c>
      <c r="S4388" s="9" t="str">
        <f>IF(ISBLANK($R4388),"",VLOOKUP($R4388,'Liste des Villes'!$B$2:$H$1128,4,FALSE))</f>
        <v>Laurentides</v>
      </c>
      <c r="T4388" s="2" t="s">
        <v>18447</v>
      </c>
      <c r="U4388" s="2" t="s">
        <v>39</v>
      </c>
      <c r="V4388" s="2" t="s">
        <v>40</v>
      </c>
      <c r="W4388" s="2" t="s">
        <v>18448</v>
      </c>
      <c r="X4388" s="2" t="str">
        <f>"5798883532"</f>
        <v>5798883532</v>
      </c>
      <c r="Y4388" s="2" t="str">
        <f>"4388875204"</f>
        <v>4388875204</v>
      </c>
      <c r="Z4388" s="2"/>
      <c r="AA4388" s="2" t="s">
        <v>456</v>
      </c>
      <c r="AB4388" s="2" t="s">
        <v>457</v>
      </c>
      <c r="AC4388" s="4" t="s">
        <v>44</v>
      </c>
    </row>
    <row r="4389" spans="1:29" x14ac:dyDescent="0.25">
      <c r="A4389" s="1">
        <v>4045</v>
      </c>
      <c r="B4389" s="17" t="s">
        <v>18449</v>
      </c>
      <c r="C4389" s="2" t="s">
        <v>1604</v>
      </c>
      <c r="D4389" s="15" t="s">
        <v>936</v>
      </c>
      <c r="E4389" s="9" t="s">
        <v>1605</v>
      </c>
      <c r="F4389" s="9" t="s">
        <v>934</v>
      </c>
      <c r="G4389" s="9" t="s">
        <v>2404</v>
      </c>
      <c r="H4389" s="2" t="s">
        <v>35</v>
      </c>
      <c r="I4389" s="3">
        <v>37485</v>
      </c>
      <c r="J4389" s="9" t="str">
        <f t="shared" ca="1" si="77"/>
        <v>21 ans</v>
      </c>
      <c r="K4389" s="2" t="s">
        <v>262</v>
      </c>
      <c r="L4389" s="2" t="str">
        <f>"14865"</f>
        <v>14865</v>
      </c>
      <c r="M4389" s="2" t="str">
        <f>"7"</f>
        <v>7</v>
      </c>
      <c r="N4389" s="2" t="str">
        <f>"RUE TIMOTHÉE-KIMBER"</f>
        <v>RUE TIMOTHÉE-KIMBER</v>
      </c>
      <c r="O4389" s="2" t="s">
        <v>18155</v>
      </c>
      <c r="P4389" s="9" t="str">
        <f>VLOOKUP($O4389,'Liste des Villes'!$B$2:$B$1128,1,FALSE)</f>
        <v>Blainville</v>
      </c>
      <c r="Q4389" s="9" t="str">
        <f>IFERROR($P4389,PROPER(VLOOKUP($O4389,'Villes en erreur'!$A$2:$B$72,2,FALSE)))</f>
        <v>Blainville</v>
      </c>
      <c r="R4389" s="9" t="s">
        <v>18156</v>
      </c>
      <c r="S4389" s="9" t="str">
        <f>IF(ISBLANK($R4389),"",VLOOKUP($R4389,'Liste des Villes'!$B$2:$H$1128,4,FALSE))</f>
        <v>Laurentides</v>
      </c>
      <c r="T4389" s="2" t="s">
        <v>18450</v>
      </c>
      <c r="U4389" s="2" t="s">
        <v>39</v>
      </c>
      <c r="V4389" s="2" t="s">
        <v>40</v>
      </c>
      <c r="W4389" s="2" t="s">
        <v>18451</v>
      </c>
      <c r="X4389" s="2" t="str">
        <f>"5148261113"</f>
        <v>5148261113</v>
      </c>
      <c r="Y4389" s="2" t="str">
        <f>"4504325322"</f>
        <v>4504325322</v>
      </c>
      <c r="Z4389" s="2"/>
      <c r="AA4389" s="2" t="s">
        <v>456</v>
      </c>
      <c r="AB4389" s="2" t="s">
        <v>457</v>
      </c>
      <c r="AC4389" s="4" t="s">
        <v>44</v>
      </c>
    </row>
    <row r="4390" spans="1:29" x14ac:dyDescent="0.25">
      <c r="A4390" s="1">
        <v>586</v>
      </c>
      <c r="B4390" s="17" t="s">
        <v>18452</v>
      </c>
      <c r="C4390" s="2" t="s">
        <v>8353</v>
      </c>
      <c r="D4390" s="15" t="s">
        <v>6635</v>
      </c>
      <c r="E4390" s="9" t="s">
        <v>2086</v>
      </c>
      <c r="F4390" s="9" t="s">
        <v>6634</v>
      </c>
      <c r="G4390" s="9" t="s">
        <v>6328</v>
      </c>
      <c r="H4390" s="2" t="s">
        <v>60</v>
      </c>
      <c r="I4390" s="3">
        <v>37492</v>
      </c>
      <c r="J4390" s="9" t="str">
        <f t="shared" ca="1" si="77"/>
        <v>21 ans</v>
      </c>
      <c r="K4390" s="2" t="s">
        <v>262</v>
      </c>
      <c r="L4390" s="2" t="str">
        <f>"16045"</f>
        <v>16045</v>
      </c>
      <c r="M4390" s="2" t="str">
        <f>"6"</f>
        <v>6</v>
      </c>
      <c r="N4390" s="2" t="str">
        <f>"RUE VAILLANCOURT"</f>
        <v>RUE VAILLANCOURT</v>
      </c>
      <c r="O4390" s="2" t="s">
        <v>18155</v>
      </c>
      <c r="P4390" s="9" t="str">
        <f>VLOOKUP($O4390,'Liste des Villes'!$B$2:$B$1128,1,FALSE)</f>
        <v>Blainville</v>
      </c>
      <c r="Q4390" s="9" t="str">
        <f>IFERROR($P4390,PROPER(VLOOKUP($O4390,'Villes en erreur'!$A$2:$B$72,2,FALSE)))</f>
        <v>Blainville</v>
      </c>
      <c r="R4390" s="9" t="s">
        <v>18156</v>
      </c>
      <c r="S4390" s="9" t="str">
        <f>IF(ISBLANK($R4390),"",VLOOKUP($R4390,'Liste des Villes'!$B$2:$H$1128,4,FALSE))</f>
        <v>Laurentides</v>
      </c>
      <c r="T4390" s="2" t="s">
        <v>18453</v>
      </c>
      <c r="U4390" s="2" t="s">
        <v>39</v>
      </c>
      <c r="V4390" s="2" t="s">
        <v>40</v>
      </c>
      <c r="W4390" s="2" t="s">
        <v>18454</v>
      </c>
      <c r="X4390" s="2" t="str">
        <f>"5149156951"</f>
        <v>5149156951</v>
      </c>
      <c r="Y4390" s="2" t="str">
        <f>"4504194446"</f>
        <v>4504194446</v>
      </c>
      <c r="Z4390" s="2"/>
      <c r="AA4390" s="2" t="s">
        <v>456</v>
      </c>
      <c r="AB4390" s="2" t="s">
        <v>457</v>
      </c>
      <c r="AC4390" s="4" t="s">
        <v>44</v>
      </c>
    </row>
    <row r="4391" spans="1:29" x14ac:dyDescent="0.25">
      <c r="A4391" s="1">
        <v>3232</v>
      </c>
      <c r="B4391" s="17" t="s">
        <v>18455</v>
      </c>
      <c r="C4391" s="2" t="s">
        <v>954</v>
      </c>
      <c r="D4391" s="15" t="s">
        <v>955</v>
      </c>
      <c r="E4391" s="9" t="s">
        <v>956</v>
      </c>
      <c r="F4391" s="9" t="s">
        <v>957</v>
      </c>
      <c r="G4391" s="9" t="s">
        <v>11463</v>
      </c>
      <c r="H4391" s="2" t="s">
        <v>60</v>
      </c>
      <c r="I4391" s="3">
        <v>37488</v>
      </c>
      <c r="J4391" s="9" t="str">
        <f t="shared" ca="1" si="77"/>
        <v>21 ans</v>
      </c>
      <c r="K4391" s="2" t="s">
        <v>262</v>
      </c>
      <c r="L4391" s="2" t="str">
        <f>"15276"</f>
        <v>15276</v>
      </c>
      <c r="M4391" s="2" t="str">
        <f>"7"</f>
        <v>7</v>
      </c>
      <c r="N4391" s="2" t="str">
        <f>"RUE TOUCHETTE"</f>
        <v>RUE TOUCHETTE</v>
      </c>
      <c r="O4391" s="2" t="s">
        <v>18155</v>
      </c>
      <c r="P4391" s="9" t="str">
        <f>VLOOKUP($O4391,'Liste des Villes'!$B$2:$B$1128,1,FALSE)</f>
        <v>Blainville</v>
      </c>
      <c r="Q4391" s="9" t="str">
        <f>IFERROR($P4391,PROPER(VLOOKUP($O4391,'Villes en erreur'!$A$2:$B$72,2,FALSE)))</f>
        <v>Blainville</v>
      </c>
      <c r="R4391" s="9" t="s">
        <v>18156</v>
      </c>
      <c r="S4391" s="9" t="str">
        <f>IF(ISBLANK($R4391),"",VLOOKUP($R4391,'Liste des Villes'!$B$2:$H$1128,4,FALSE))</f>
        <v>Laurentides</v>
      </c>
      <c r="T4391" s="2" t="s">
        <v>18456</v>
      </c>
      <c r="U4391" s="2" t="s">
        <v>39</v>
      </c>
      <c r="V4391" s="2" t="s">
        <v>40</v>
      </c>
      <c r="W4391" s="2" t="s">
        <v>18457</v>
      </c>
      <c r="X4391" s="2" t="str">
        <f>"5148620042"</f>
        <v>5148620042</v>
      </c>
      <c r="Y4391" s="2" t="str">
        <f>"4504319092"</f>
        <v>4504319092</v>
      </c>
      <c r="Z4391" s="2"/>
      <c r="AA4391" s="2" t="s">
        <v>456</v>
      </c>
      <c r="AB4391" s="2" t="s">
        <v>457</v>
      </c>
      <c r="AC4391" s="4" t="s">
        <v>44</v>
      </c>
    </row>
    <row r="4392" spans="1:29" x14ac:dyDescent="0.25">
      <c r="A4392" s="1">
        <v>1981</v>
      </c>
      <c r="B4392" s="17" t="s">
        <v>18458</v>
      </c>
      <c r="C4392" s="2" t="s">
        <v>18459</v>
      </c>
      <c r="D4392" s="15" t="s">
        <v>15684</v>
      </c>
      <c r="E4392" s="9" t="s">
        <v>495</v>
      </c>
      <c r="F4392" s="9" t="s">
        <v>9272</v>
      </c>
      <c r="G4392" s="9" t="s">
        <v>3451</v>
      </c>
      <c r="H4392" s="2" t="s">
        <v>60</v>
      </c>
      <c r="I4392" s="3">
        <v>37474</v>
      </c>
      <c r="J4392" s="9" t="str">
        <f t="shared" ca="1" si="77"/>
        <v>21 ans</v>
      </c>
      <c r="K4392" s="2" t="s">
        <v>262</v>
      </c>
      <c r="L4392" s="2" t="str">
        <f>"14265"</f>
        <v>14265</v>
      </c>
      <c r="M4392" s="2" t="str">
        <f>"12"</f>
        <v>12</v>
      </c>
      <c r="N4392" s="2" t="str">
        <f>"RUE STELLA"</f>
        <v>RUE STELLA</v>
      </c>
      <c r="O4392" s="2" t="s">
        <v>18155</v>
      </c>
      <c r="P4392" s="9" t="str">
        <f>VLOOKUP($O4392,'Liste des Villes'!$B$2:$B$1128,1,FALSE)</f>
        <v>Blainville</v>
      </c>
      <c r="Q4392" s="9" t="str">
        <f>IFERROR($P4392,PROPER(VLOOKUP($O4392,'Villes en erreur'!$A$2:$B$72,2,FALSE)))</f>
        <v>Blainville</v>
      </c>
      <c r="R4392" s="9" t="s">
        <v>18156</v>
      </c>
      <c r="S4392" s="9" t="str">
        <f>IF(ISBLANK($R4392),"",VLOOKUP($R4392,'Liste des Villes'!$B$2:$H$1128,4,FALSE))</f>
        <v>Laurentides</v>
      </c>
      <c r="T4392" s="2" t="s">
        <v>18272</v>
      </c>
      <c r="U4392" s="2" t="s">
        <v>39</v>
      </c>
      <c r="V4392" s="2" t="s">
        <v>40</v>
      </c>
      <c r="W4392" s="2" t="s">
        <v>18460</v>
      </c>
      <c r="X4392" s="2" t="str">
        <f>"5147576761"</f>
        <v>5147576761</v>
      </c>
      <c r="Y4392" s="2" t="str">
        <f>"4504369593"</f>
        <v>4504369593</v>
      </c>
      <c r="Z4392" s="2"/>
      <c r="AA4392" s="2" t="s">
        <v>456</v>
      </c>
      <c r="AB4392" s="2" t="s">
        <v>457</v>
      </c>
      <c r="AC4392" s="4" t="s">
        <v>44</v>
      </c>
    </row>
    <row r="4393" spans="1:29" x14ac:dyDescent="0.25">
      <c r="A4393" s="1">
        <v>2769</v>
      </c>
      <c r="B4393" s="17" t="s">
        <v>18461</v>
      </c>
      <c r="C4393" s="2" t="s">
        <v>152</v>
      </c>
      <c r="D4393" s="15" t="s">
        <v>153</v>
      </c>
      <c r="E4393" s="9" t="s">
        <v>154</v>
      </c>
      <c r="F4393" s="9" t="s">
        <v>2806</v>
      </c>
      <c r="G4393" s="9" t="s">
        <v>2712</v>
      </c>
      <c r="H4393" s="2" t="s">
        <v>35</v>
      </c>
      <c r="I4393" s="3">
        <v>37529</v>
      </c>
      <c r="J4393" s="9" t="str">
        <f t="shared" ca="1" si="77"/>
        <v>20 ans</v>
      </c>
      <c r="K4393" s="2" t="s">
        <v>262</v>
      </c>
      <c r="L4393" s="2" t="str">
        <f>"19750"</f>
        <v>19750</v>
      </c>
      <c r="M4393" s="2" t="str">
        <f>"1"</f>
        <v>1</v>
      </c>
      <c r="N4393" s="2" t="str">
        <f>"TSSE DUBÉ"</f>
        <v>TSSE DUBÉ</v>
      </c>
      <c r="O4393" s="2" t="s">
        <v>18155</v>
      </c>
      <c r="P4393" s="9" t="str">
        <f>VLOOKUP($O4393,'Liste des Villes'!$B$2:$B$1128,1,FALSE)</f>
        <v>Blainville</v>
      </c>
      <c r="Q4393" s="9" t="str">
        <f>IFERROR($P4393,PROPER(VLOOKUP($O4393,'Villes en erreur'!$A$2:$B$72,2,FALSE)))</f>
        <v>Blainville</v>
      </c>
      <c r="R4393" s="9" t="s">
        <v>18156</v>
      </c>
      <c r="S4393" s="9" t="str">
        <f>IF(ISBLANK($R4393),"",VLOOKUP($R4393,'Liste des Villes'!$B$2:$H$1128,4,FALSE))</f>
        <v>Laurentides</v>
      </c>
      <c r="T4393" s="2" t="s">
        <v>18161</v>
      </c>
      <c r="U4393" s="2" t="s">
        <v>39</v>
      </c>
      <c r="V4393" s="2" t="s">
        <v>40</v>
      </c>
      <c r="W4393" s="2" t="s">
        <v>18462</v>
      </c>
      <c r="X4393" s="2" t="str">
        <f>"8198561343"</f>
        <v>8198561343</v>
      </c>
      <c r="Y4393" s="2" t="str">
        <f>"4383954042"</f>
        <v>4383954042</v>
      </c>
      <c r="Z4393" s="2" t="str">
        <f>"5142240658"</f>
        <v>5142240658</v>
      </c>
      <c r="AA4393" s="2" t="s">
        <v>456</v>
      </c>
      <c r="AB4393" s="2" t="s">
        <v>457</v>
      </c>
      <c r="AC4393" s="4" t="s">
        <v>44</v>
      </c>
    </row>
    <row r="4394" spans="1:29" x14ac:dyDescent="0.25">
      <c r="A4394" s="1">
        <v>2102</v>
      </c>
      <c r="B4394" s="17" t="s">
        <v>18463</v>
      </c>
      <c r="C4394" s="2" t="s">
        <v>13162</v>
      </c>
      <c r="D4394" s="15" t="s">
        <v>4643</v>
      </c>
      <c r="E4394" s="9" t="s">
        <v>1416</v>
      </c>
      <c r="F4394" s="9" t="s">
        <v>8761</v>
      </c>
      <c r="G4394" s="9" t="s">
        <v>3451</v>
      </c>
      <c r="H4394" s="2" t="s">
        <v>60</v>
      </c>
      <c r="I4394" s="3">
        <v>37474</v>
      </c>
      <c r="J4394" s="9" t="str">
        <f t="shared" ca="1" si="77"/>
        <v>21 ans</v>
      </c>
      <c r="K4394" s="2" t="s">
        <v>262</v>
      </c>
      <c r="L4394" s="2" t="str">
        <f>"14265"</f>
        <v>14265</v>
      </c>
      <c r="M4394" s="2" t="str">
        <f>"12"</f>
        <v>12</v>
      </c>
      <c r="N4394" s="2" t="str">
        <f>"RUE STÉPHANE"</f>
        <v>RUE STÉPHANE</v>
      </c>
      <c r="O4394" s="2" t="s">
        <v>18155</v>
      </c>
      <c r="P4394" s="9" t="str">
        <f>VLOOKUP($O4394,'Liste des Villes'!$B$2:$B$1128,1,FALSE)</f>
        <v>Blainville</v>
      </c>
      <c r="Q4394" s="9" t="str">
        <f>IFERROR($P4394,PROPER(VLOOKUP($O4394,'Villes en erreur'!$A$2:$B$72,2,FALSE)))</f>
        <v>Blainville</v>
      </c>
      <c r="R4394" s="9" t="s">
        <v>18156</v>
      </c>
      <c r="S4394" s="9" t="str">
        <f>IF(ISBLANK($R4394),"",VLOOKUP($R4394,'Liste des Villes'!$B$2:$H$1128,4,FALSE))</f>
        <v>Laurentides</v>
      </c>
      <c r="T4394" s="2" t="s">
        <v>18272</v>
      </c>
      <c r="U4394" s="2" t="s">
        <v>39</v>
      </c>
      <c r="V4394" s="2" t="s">
        <v>40</v>
      </c>
      <c r="W4394" s="2" t="s">
        <v>18464</v>
      </c>
      <c r="X4394" s="2" t="str">
        <f>"5147588261"</f>
        <v>5147588261</v>
      </c>
      <c r="Y4394" s="2" t="str">
        <f>"4504368978"</f>
        <v>4504368978</v>
      </c>
      <c r="Z4394" s="2"/>
      <c r="AA4394" s="2" t="s">
        <v>456</v>
      </c>
      <c r="AB4394" s="2" t="s">
        <v>457</v>
      </c>
      <c r="AC4394" s="4" t="s">
        <v>44</v>
      </c>
    </row>
    <row r="4395" spans="1:29" x14ac:dyDescent="0.25">
      <c r="A4395" s="1">
        <v>1897</v>
      </c>
      <c r="B4395" s="17" t="s">
        <v>18465</v>
      </c>
      <c r="C4395" s="2" t="s">
        <v>430</v>
      </c>
      <c r="D4395" s="15" t="s">
        <v>203</v>
      </c>
      <c r="E4395" s="9" t="s">
        <v>431</v>
      </c>
      <c r="F4395" s="9" t="s">
        <v>201</v>
      </c>
      <c r="G4395" s="9" t="s">
        <v>341</v>
      </c>
      <c r="H4395" s="2" t="s">
        <v>60</v>
      </c>
      <c r="I4395" s="3">
        <v>37445</v>
      </c>
      <c r="J4395" s="9" t="str">
        <f t="shared" ca="1" si="77"/>
        <v>21 ans</v>
      </c>
      <c r="K4395" s="2" t="s">
        <v>262</v>
      </c>
      <c r="L4395" s="2" t="str">
        <f>"13625"</f>
        <v>13625</v>
      </c>
      <c r="M4395" s="2" t="str">
        <f>"206"</f>
        <v>206</v>
      </c>
      <c r="N4395" s="2" t="str">
        <f>"RUE SAINT-GEORGES"</f>
        <v>RUE SAINT-GEORGES</v>
      </c>
      <c r="O4395" s="2" t="s">
        <v>18155</v>
      </c>
      <c r="P4395" s="9" t="str">
        <f>VLOOKUP($O4395,'Liste des Villes'!$B$2:$B$1128,1,FALSE)</f>
        <v>Blainville</v>
      </c>
      <c r="Q4395" s="9" t="str">
        <f>IFERROR($P4395,PROPER(VLOOKUP($O4395,'Villes en erreur'!$A$2:$B$72,2,FALSE)))</f>
        <v>Blainville</v>
      </c>
      <c r="R4395" s="9" t="s">
        <v>18156</v>
      </c>
      <c r="S4395" s="9" t="str">
        <f>IF(ISBLANK($R4395),"",VLOOKUP($R4395,'Liste des Villes'!$B$2:$H$1128,4,FALSE))</f>
        <v>Laurentides</v>
      </c>
      <c r="T4395" s="2" t="s">
        <v>18466</v>
      </c>
      <c r="U4395" s="2" t="s">
        <v>39</v>
      </c>
      <c r="V4395" s="2" t="s">
        <v>40</v>
      </c>
      <c r="W4395" s="2" t="s">
        <v>18467</v>
      </c>
      <c r="X4395" s="2" t="str">
        <f>"5145314796"</f>
        <v>5145314796</v>
      </c>
      <c r="Y4395" s="2" t="str">
        <f>"4505609391"</f>
        <v>4505609391</v>
      </c>
      <c r="Z4395" s="2"/>
      <c r="AA4395" s="2" t="s">
        <v>456</v>
      </c>
      <c r="AB4395" s="2" t="s">
        <v>457</v>
      </c>
      <c r="AC4395" s="4" t="s">
        <v>44</v>
      </c>
    </row>
    <row r="4396" spans="1:29" x14ac:dyDescent="0.25">
      <c r="A4396" s="1">
        <v>1149</v>
      </c>
      <c r="B4396" s="17" t="s">
        <v>18468</v>
      </c>
      <c r="C4396" s="2" t="s">
        <v>18469</v>
      </c>
      <c r="D4396" s="15" t="s">
        <v>2487</v>
      </c>
      <c r="E4396" s="9" t="s">
        <v>10608</v>
      </c>
      <c r="F4396" s="9" t="s">
        <v>2486</v>
      </c>
      <c r="G4396" s="9" t="s">
        <v>757</v>
      </c>
      <c r="H4396" s="2" t="s">
        <v>60</v>
      </c>
      <c r="I4396" s="3">
        <v>37456</v>
      </c>
      <c r="J4396" s="9" t="str">
        <f t="shared" ca="1" si="77"/>
        <v>21 ans</v>
      </c>
      <c r="K4396" s="2" t="s">
        <v>262</v>
      </c>
      <c r="L4396" s="2" t="str">
        <f>"13875"</f>
        <v>13875</v>
      </c>
      <c r="M4396" s="2" t="str">
        <f>"103"</f>
        <v>103</v>
      </c>
      <c r="N4396" s="2" t="str">
        <f>"RUE SANDY"</f>
        <v>RUE SANDY</v>
      </c>
      <c r="O4396" s="2" t="s">
        <v>18155</v>
      </c>
      <c r="P4396" s="9" t="str">
        <f>VLOOKUP($O4396,'Liste des Villes'!$B$2:$B$1128,1,FALSE)</f>
        <v>Blainville</v>
      </c>
      <c r="Q4396" s="9" t="str">
        <f>IFERROR($P4396,PROPER(VLOOKUP($O4396,'Villes en erreur'!$A$2:$B$72,2,FALSE)))</f>
        <v>Blainville</v>
      </c>
      <c r="R4396" s="9" t="s">
        <v>18156</v>
      </c>
      <c r="S4396" s="9" t="str">
        <f>IF(ISBLANK($R4396),"",VLOOKUP($R4396,'Liste des Villes'!$B$2:$H$1128,4,FALSE))</f>
        <v>Laurentides</v>
      </c>
      <c r="T4396" s="2" t="s">
        <v>18470</v>
      </c>
      <c r="U4396" s="2" t="s">
        <v>39</v>
      </c>
      <c r="V4396" s="2" t="s">
        <v>40</v>
      </c>
      <c r="W4396" s="2" t="s">
        <v>18471</v>
      </c>
      <c r="X4396" s="2" t="str">
        <f>"5146198545"</f>
        <v>5146198545</v>
      </c>
      <c r="Y4396" s="2" t="str">
        <f>"4505126867"</f>
        <v>4505126867</v>
      </c>
      <c r="Z4396" s="2"/>
      <c r="AA4396" s="2" t="s">
        <v>456</v>
      </c>
      <c r="AB4396" s="2" t="s">
        <v>457</v>
      </c>
      <c r="AC4396" s="4" t="s">
        <v>44</v>
      </c>
    </row>
    <row r="4397" spans="1:29" x14ac:dyDescent="0.25">
      <c r="A4397" s="1">
        <v>1588</v>
      </c>
      <c r="B4397" s="17" t="s">
        <v>18472</v>
      </c>
      <c r="C4397" s="2" t="s">
        <v>17846</v>
      </c>
      <c r="D4397" s="15" t="s">
        <v>3516</v>
      </c>
      <c r="E4397" s="9" t="s">
        <v>305</v>
      </c>
      <c r="F4397" s="9" t="s">
        <v>17597</v>
      </c>
      <c r="G4397" s="9" t="s">
        <v>6328</v>
      </c>
      <c r="H4397" s="2" t="s">
        <v>60</v>
      </c>
      <c r="I4397" s="3">
        <v>37492</v>
      </c>
      <c r="J4397" s="9" t="str">
        <f t="shared" ca="1" si="77"/>
        <v>21 ans</v>
      </c>
      <c r="K4397" s="2" t="s">
        <v>262</v>
      </c>
      <c r="L4397" s="2" t="str">
        <f>"16025"</f>
        <v>16025</v>
      </c>
      <c r="M4397" s="2" t="str">
        <f>"6"</f>
        <v>6</v>
      </c>
      <c r="N4397" s="2" t="str">
        <f>"RUE VAILLANCOURT"</f>
        <v>RUE VAILLANCOURT</v>
      </c>
      <c r="O4397" s="2" t="s">
        <v>18155</v>
      </c>
      <c r="P4397" s="9" t="str">
        <f>VLOOKUP($O4397,'Liste des Villes'!$B$2:$B$1128,1,FALSE)</f>
        <v>Blainville</v>
      </c>
      <c r="Q4397" s="9" t="str">
        <f>IFERROR($P4397,PROPER(VLOOKUP($O4397,'Villes en erreur'!$A$2:$B$72,2,FALSE)))</f>
        <v>Blainville</v>
      </c>
      <c r="R4397" s="9" t="s">
        <v>18156</v>
      </c>
      <c r="S4397" s="9" t="str">
        <f>IF(ISBLANK($R4397),"",VLOOKUP($R4397,'Liste des Villes'!$B$2:$H$1128,4,FALSE))</f>
        <v>Laurentides</v>
      </c>
      <c r="T4397" s="2" t="s">
        <v>18473</v>
      </c>
      <c r="U4397" s="2" t="s">
        <v>39</v>
      </c>
      <c r="V4397" s="2" t="s">
        <v>40</v>
      </c>
      <c r="W4397" s="2" t="s">
        <v>18474</v>
      </c>
      <c r="X4397" s="2" t="str">
        <f>"5149149645"</f>
        <v>5149149645</v>
      </c>
      <c r="Y4397" s="2" t="str">
        <f>"4504195346"</f>
        <v>4504195346</v>
      </c>
      <c r="Z4397" s="2"/>
      <c r="AA4397" s="2" t="s">
        <v>456</v>
      </c>
      <c r="AB4397" s="2" t="s">
        <v>457</v>
      </c>
      <c r="AC4397" s="4" t="s">
        <v>44</v>
      </c>
    </row>
    <row r="4398" spans="1:29" x14ac:dyDescent="0.25">
      <c r="A4398" s="1">
        <v>3060</v>
      </c>
      <c r="B4398" s="17" t="s">
        <v>18475</v>
      </c>
      <c r="C4398" s="2" t="s">
        <v>18476</v>
      </c>
      <c r="D4398" s="15" t="s">
        <v>17565</v>
      </c>
      <c r="E4398" s="9" t="s">
        <v>120</v>
      </c>
      <c r="F4398" s="9" t="s">
        <v>1913</v>
      </c>
      <c r="G4398" s="9" t="s">
        <v>370</v>
      </c>
      <c r="H4398" s="2" t="s">
        <v>60</v>
      </c>
      <c r="I4398" s="3">
        <v>37517</v>
      </c>
      <c r="J4398" s="9" t="str">
        <f t="shared" ca="1" si="77"/>
        <v>20 ans</v>
      </c>
      <c r="K4398" s="2" t="s">
        <v>262</v>
      </c>
      <c r="L4398" s="2" t="str">
        <f>"17822"</f>
        <v>17822</v>
      </c>
      <c r="M4398" s="2" t="str">
        <f>"2"</f>
        <v>2</v>
      </c>
      <c r="N4398" s="2" t="str">
        <f>"SAINT-LAURENT"</f>
        <v>SAINT-LAURENT</v>
      </c>
      <c r="O4398" s="2" t="s">
        <v>18155</v>
      </c>
      <c r="P4398" s="9" t="str">
        <f>VLOOKUP($O4398,'Liste des Villes'!$B$2:$B$1128,1,FALSE)</f>
        <v>Blainville</v>
      </c>
      <c r="Q4398" s="9" t="str">
        <f>IFERROR($P4398,PROPER(VLOOKUP($O4398,'Villes en erreur'!$A$2:$B$72,2,FALSE)))</f>
        <v>Blainville</v>
      </c>
      <c r="R4398" s="9" t="s">
        <v>18156</v>
      </c>
      <c r="S4398" s="9" t="str">
        <f>IF(ISBLANK($R4398),"",VLOOKUP($R4398,'Liste des Villes'!$B$2:$H$1128,4,FALSE))</f>
        <v>Laurentides</v>
      </c>
      <c r="T4398" s="2" t="s">
        <v>18477</v>
      </c>
      <c r="U4398" s="2" t="s">
        <v>39</v>
      </c>
      <c r="V4398" s="2" t="s">
        <v>40</v>
      </c>
      <c r="W4398" s="2" t="s">
        <v>18478</v>
      </c>
      <c r="X4398" s="2" t="str">
        <f>"8193236230"</f>
        <v>8193236230</v>
      </c>
      <c r="Y4398" s="2" t="str">
        <f>"4388301107"</f>
        <v>4388301107</v>
      </c>
      <c r="Z4398" s="2"/>
      <c r="AA4398" s="2" t="s">
        <v>456</v>
      </c>
      <c r="AB4398" s="2" t="s">
        <v>457</v>
      </c>
      <c r="AC4398" s="4" t="s">
        <v>44</v>
      </c>
    </row>
    <row r="4399" spans="1:29" x14ac:dyDescent="0.25">
      <c r="A4399" s="1">
        <v>2172</v>
      </c>
      <c r="B4399" s="17" t="s">
        <v>18479</v>
      </c>
      <c r="C4399" s="2" t="s">
        <v>6607</v>
      </c>
      <c r="D4399" s="15" t="s">
        <v>6608</v>
      </c>
      <c r="E4399" s="9" t="s">
        <v>5511</v>
      </c>
      <c r="F4399" s="9" t="s">
        <v>718</v>
      </c>
      <c r="G4399" s="9" t="s">
        <v>370</v>
      </c>
      <c r="H4399" s="2" t="s">
        <v>60</v>
      </c>
      <c r="I4399" s="3">
        <v>37515</v>
      </c>
      <c r="J4399" s="9" t="str">
        <f t="shared" ca="1" si="77"/>
        <v>20 ans</v>
      </c>
      <c r="K4399" s="2" t="s">
        <v>262</v>
      </c>
      <c r="L4399" s="2" t="str">
        <f>"17530"</f>
        <v>17530</v>
      </c>
      <c r="M4399" s="2" t="str">
        <f>"02"</f>
        <v>02</v>
      </c>
      <c r="N4399" s="2" t="str">
        <f>"SAINTE-HENRIETTE"</f>
        <v>SAINTE-HENRIETTE</v>
      </c>
      <c r="O4399" s="2" t="s">
        <v>18155</v>
      </c>
      <c r="P4399" s="9" t="str">
        <f>VLOOKUP($O4399,'Liste des Villes'!$B$2:$B$1128,1,FALSE)</f>
        <v>Blainville</v>
      </c>
      <c r="Q4399" s="9" t="str">
        <f>IFERROR($P4399,PROPER(VLOOKUP($O4399,'Villes en erreur'!$A$2:$B$72,2,FALSE)))</f>
        <v>Blainville</v>
      </c>
      <c r="R4399" s="9" t="s">
        <v>18156</v>
      </c>
      <c r="S4399" s="9" t="str">
        <f>IF(ISBLANK($R4399),"",VLOOKUP($R4399,'Liste des Villes'!$B$2:$H$1128,4,FALSE))</f>
        <v>Laurentides</v>
      </c>
      <c r="T4399" s="2" t="s">
        <v>18480</v>
      </c>
      <c r="U4399" s="2" t="s">
        <v>39</v>
      </c>
      <c r="V4399" s="2" t="s">
        <v>40</v>
      </c>
      <c r="W4399" s="2" t="s">
        <v>18481</v>
      </c>
      <c r="X4399" s="2" t="str">
        <f>"8192165525"</f>
        <v>8192165525</v>
      </c>
      <c r="Y4399" s="2" t="str">
        <f>"4388731096"</f>
        <v>4388731096</v>
      </c>
      <c r="Z4399" s="2"/>
      <c r="AA4399" s="2" t="s">
        <v>456</v>
      </c>
      <c r="AB4399" s="2" t="s">
        <v>457</v>
      </c>
      <c r="AC4399" s="4" t="s">
        <v>44</v>
      </c>
    </row>
    <row r="4400" spans="1:29" x14ac:dyDescent="0.25">
      <c r="A4400" s="1">
        <v>71</v>
      </c>
      <c r="B4400" s="17" t="s">
        <v>18482</v>
      </c>
      <c r="C4400" s="2" t="s">
        <v>18483</v>
      </c>
      <c r="D4400" s="15" t="s">
        <v>10960</v>
      </c>
      <c r="E4400" s="9" t="s">
        <v>2504</v>
      </c>
      <c r="F4400" s="9" t="s">
        <v>2139</v>
      </c>
      <c r="G4400" s="9" t="s">
        <v>1524</v>
      </c>
      <c r="H4400" s="2" t="s">
        <v>60</v>
      </c>
      <c r="I4400" s="3">
        <v>37495</v>
      </c>
      <c r="J4400" s="9" t="str">
        <f t="shared" ca="1" si="77"/>
        <v>20 ans</v>
      </c>
      <c r="K4400" s="2" t="s">
        <v>262</v>
      </c>
      <c r="L4400" s="2" t="str">
        <f>"16318"</f>
        <v>16318</v>
      </c>
      <c r="M4400" s="2" t="str">
        <f>"5"</f>
        <v>5</v>
      </c>
      <c r="N4400" s="2" t="str">
        <f>"RUE VALIQUETTE"</f>
        <v>RUE VALIQUETTE</v>
      </c>
      <c r="O4400" s="2" t="s">
        <v>18155</v>
      </c>
      <c r="P4400" s="9" t="str">
        <f>VLOOKUP($O4400,'Liste des Villes'!$B$2:$B$1128,1,FALSE)</f>
        <v>Blainville</v>
      </c>
      <c r="Q4400" s="9" t="str">
        <f>IFERROR($P4400,PROPER(VLOOKUP($O4400,'Villes en erreur'!$A$2:$B$72,2,FALSE)))</f>
        <v>Blainville</v>
      </c>
      <c r="R4400" s="9" t="s">
        <v>18156</v>
      </c>
      <c r="S4400" s="9" t="str">
        <f>IF(ISBLANK($R4400),"",VLOOKUP($R4400,'Liste des Villes'!$B$2:$H$1128,4,FALSE))</f>
        <v>Laurentides</v>
      </c>
      <c r="T4400" s="2" t="s">
        <v>18484</v>
      </c>
      <c r="U4400" s="2" t="s">
        <v>39</v>
      </c>
      <c r="V4400" s="2" t="s">
        <v>40</v>
      </c>
      <c r="W4400" s="2" t="s">
        <v>18485</v>
      </c>
      <c r="X4400" s="2" t="str">
        <f>"5149198939"</f>
        <v>5149198939</v>
      </c>
      <c r="Y4400" s="2" t="str">
        <f>"4503351530"</f>
        <v>4503351530</v>
      </c>
      <c r="Z4400" s="2"/>
      <c r="AA4400" s="2" t="s">
        <v>456</v>
      </c>
      <c r="AB4400" s="2" t="s">
        <v>457</v>
      </c>
      <c r="AC4400" s="4" t="s">
        <v>44</v>
      </c>
    </row>
    <row r="4401" spans="1:29" x14ac:dyDescent="0.25">
      <c r="A4401" s="1">
        <v>3356</v>
      </c>
      <c r="B4401" s="17" t="s">
        <v>18486</v>
      </c>
      <c r="C4401" s="2" t="s">
        <v>18487</v>
      </c>
      <c r="D4401" s="15" t="s">
        <v>18259</v>
      </c>
      <c r="E4401" s="9" t="s">
        <v>1236</v>
      </c>
      <c r="F4401" s="9" t="s">
        <v>18258</v>
      </c>
      <c r="G4401" s="9" t="s">
        <v>983</v>
      </c>
      <c r="H4401" s="2" t="s">
        <v>60</v>
      </c>
      <c r="I4401" s="3">
        <v>37518</v>
      </c>
      <c r="J4401" s="9" t="str">
        <f t="shared" ca="1" si="77"/>
        <v>20 ans</v>
      </c>
      <c r="K4401" s="2" t="s">
        <v>262</v>
      </c>
      <c r="L4401" s="2" t="str">
        <f>"17 908"</f>
        <v>17 908</v>
      </c>
      <c r="M4401" s="2" t="str">
        <f>"2"</f>
        <v>2</v>
      </c>
      <c r="N4401" s="2" t="str">
        <f>"SÉRAPHIN-BOUC"</f>
        <v>SÉRAPHIN-BOUC</v>
      </c>
      <c r="O4401" s="2" t="s">
        <v>18155</v>
      </c>
      <c r="P4401" s="9" t="str">
        <f>VLOOKUP($O4401,'Liste des Villes'!$B$2:$B$1128,1,FALSE)</f>
        <v>Blainville</v>
      </c>
      <c r="Q4401" s="9" t="str">
        <f>IFERROR($P4401,PROPER(VLOOKUP($O4401,'Villes en erreur'!$A$2:$B$72,2,FALSE)))</f>
        <v>Blainville</v>
      </c>
      <c r="R4401" s="9" t="s">
        <v>18156</v>
      </c>
      <c r="S4401" s="9" t="str">
        <f>IF(ISBLANK($R4401),"",VLOOKUP($R4401,'Liste des Villes'!$B$2:$H$1128,4,FALSE))</f>
        <v>Laurentides</v>
      </c>
      <c r="T4401" s="2" t="s">
        <v>18379</v>
      </c>
      <c r="U4401" s="2" t="s">
        <v>39</v>
      </c>
      <c r="V4401" s="2" t="s">
        <v>40</v>
      </c>
      <c r="W4401" s="2" t="s">
        <v>18488</v>
      </c>
      <c r="X4401" s="2" t="str">
        <f>"8193238099"</f>
        <v>8193238099</v>
      </c>
      <c r="Y4401" s="2" t="str">
        <f>"4388261536"</f>
        <v>4388261536</v>
      </c>
      <c r="Z4401" s="2"/>
      <c r="AA4401" s="2" t="s">
        <v>456</v>
      </c>
      <c r="AB4401" s="2" t="s">
        <v>457</v>
      </c>
      <c r="AC4401" s="4" t="s">
        <v>44</v>
      </c>
    </row>
    <row r="4402" spans="1:29" x14ac:dyDescent="0.25">
      <c r="A4402" s="1">
        <v>1498</v>
      </c>
      <c r="B4402" s="17" t="s">
        <v>18489</v>
      </c>
      <c r="C4402" s="2" t="s">
        <v>18325</v>
      </c>
      <c r="D4402" s="15" t="s">
        <v>9747</v>
      </c>
      <c r="E4402" s="9" t="s">
        <v>2807</v>
      </c>
      <c r="F4402" s="9" t="s">
        <v>56</v>
      </c>
      <c r="G4402" s="9" t="s">
        <v>2274</v>
      </c>
      <c r="H4402" s="2" t="s">
        <v>60</v>
      </c>
      <c r="I4402" s="3">
        <v>37468</v>
      </c>
      <c r="J4402" s="9" t="str">
        <f t="shared" ca="1" si="77"/>
        <v>21 ans</v>
      </c>
      <c r="K4402" s="2" t="s">
        <v>262</v>
      </c>
      <c r="L4402" s="2" t="str">
        <f>"14130"</f>
        <v>14130</v>
      </c>
      <c r="M4402" s="2" t="str">
        <f>"25"</f>
        <v>25</v>
      </c>
      <c r="N4402" s="2" t="str">
        <f>"RUE SÉGUIN"</f>
        <v>RUE SÉGUIN</v>
      </c>
      <c r="O4402" s="2" t="s">
        <v>18155</v>
      </c>
      <c r="P4402" s="9" t="str">
        <f>VLOOKUP($O4402,'Liste des Villes'!$B$2:$B$1128,1,FALSE)</f>
        <v>Blainville</v>
      </c>
      <c r="Q4402" s="9" t="str">
        <f>IFERROR($P4402,PROPER(VLOOKUP($O4402,'Villes en erreur'!$A$2:$B$72,2,FALSE)))</f>
        <v>Blainville</v>
      </c>
      <c r="R4402" s="9" t="s">
        <v>18156</v>
      </c>
      <c r="S4402" s="9" t="str">
        <f>IF(ISBLANK($R4402),"",VLOOKUP($R4402,'Liste des Villes'!$B$2:$H$1128,4,FALSE))</f>
        <v>Laurentides</v>
      </c>
      <c r="T4402" s="2" t="s">
        <v>18197</v>
      </c>
      <c r="U4402" s="2" t="s">
        <v>39</v>
      </c>
      <c r="V4402" s="2" t="s">
        <v>40</v>
      </c>
      <c r="W4402" s="2" t="s">
        <v>18490</v>
      </c>
      <c r="X4402" s="2" t="str">
        <f>"5147075234"</f>
        <v>5147075234</v>
      </c>
      <c r="Y4402" s="2" t="str">
        <f>"4504393654"</f>
        <v>4504393654</v>
      </c>
      <c r="Z4402" s="2"/>
      <c r="AA4402" s="2" t="s">
        <v>456</v>
      </c>
      <c r="AB4402" s="2" t="s">
        <v>457</v>
      </c>
      <c r="AC4402" s="4" t="s">
        <v>44</v>
      </c>
    </row>
    <row r="4403" spans="1:29" x14ac:dyDescent="0.25">
      <c r="A4403" s="1">
        <v>1918</v>
      </c>
      <c r="B4403" s="17" t="s">
        <v>18491</v>
      </c>
      <c r="C4403" s="2" t="s">
        <v>46</v>
      </c>
      <c r="D4403" s="15" t="s">
        <v>47</v>
      </c>
      <c r="E4403" s="9" t="s">
        <v>48</v>
      </c>
      <c r="F4403" s="9" t="s">
        <v>3729</v>
      </c>
      <c r="G4403" s="9" t="s">
        <v>341</v>
      </c>
      <c r="H4403" s="2" t="s">
        <v>60</v>
      </c>
      <c r="I4403" s="3">
        <v>37447</v>
      </c>
      <c r="J4403" s="9" t="str">
        <f t="shared" ca="1" si="77"/>
        <v>21 ans</v>
      </c>
      <c r="K4403" s="2" t="s">
        <v>262</v>
      </c>
      <c r="L4403" s="2" t="str">
        <f>"13650"</f>
        <v>13650</v>
      </c>
      <c r="M4403" s="2" t="str">
        <f>"202"</f>
        <v>202</v>
      </c>
      <c r="N4403" s="2" t="str">
        <f>"RUE SAINT-HENRI O"</f>
        <v>RUE SAINT-HENRI O</v>
      </c>
      <c r="O4403" s="2" t="s">
        <v>18155</v>
      </c>
      <c r="P4403" s="9" t="str">
        <f>VLOOKUP($O4403,'Liste des Villes'!$B$2:$B$1128,1,FALSE)</f>
        <v>Blainville</v>
      </c>
      <c r="Q4403" s="9" t="str">
        <f>IFERROR($P4403,PROPER(VLOOKUP($O4403,'Villes en erreur'!$A$2:$B$72,2,FALSE)))</f>
        <v>Blainville</v>
      </c>
      <c r="R4403" s="9" t="s">
        <v>18156</v>
      </c>
      <c r="S4403" s="9" t="str">
        <f>IF(ISBLANK($R4403),"",VLOOKUP($R4403,'Liste des Villes'!$B$2:$H$1128,4,FALSE))</f>
        <v>Laurentides</v>
      </c>
      <c r="T4403" s="2" t="s">
        <v>18492</v>
      </c>
      <c r="U4403" s="2" t="s">
        <v>39</v>
      </c>
      <c r="V4403" s="2" t="s">
        <v>40</v>
      </c>
      <c r="W4403" s="2" t="s">
        <v>18493</v>
      </c>
      <c r="X4403" s="2" t="str">
        <f>"5145596233"</f>
        <v>5145596233</v>
      </c>
      <c r="Y4403" s="2" t="str">
        <f>"4505437853"</f>
        <v>4505437853</v>
      </c>
      <c r="Z4403" s="2"/>
      <c r="AA4403" s="2" t="s">
        <v>456</v>
      </c>
      <c r="AB4403" s="2" t="s">
        <v>457</v>
      </c>
      <c r="AC4403" s="4" t="s">
        <v>44</v>
      </c>
    </row>
    <row r="4404" spans="1:29" x14ac:dyDescent="0.25">
      <c r="A4404" s="1">
        <v>2180</v>
      </c>
      <c r="B4404" s="17" t="s">
        <v>18494</v>
      </c>
      <c r="C4404" s="2" t="s">
        <v>7680</v>
      </c>
      <c r="D4404" s="15" t="s">
        <v>7681</v>
      </c>
      <c r="E4404" s="9" t="s">
        <v>1024</v>
      </c>
      <c r="F4404" s="9" t="s">
        <v>1452</v>
      </c>
      <c r="G4404" s="9" t="s">
        <v>2381</v>
      </c>
      <c r="H4404" s="2" t="s">
        <v>35</v>
      </c>
      <c r="I4404" s="3">
        <v>37501</v>
      </c>
      <c r="J4404" s="9" t="str">
        <f t="shared" ca="1" si="77"/>
        <v>20 ans</v>
      </c>
      <c r="K4404" s="2" t="s">
        <v>262</v>
      </c>
      <c r="L4404" s="2" t="str">
        <f>"16815"</f>
        <v>16815</v>
      </c>
      <c r="M4404" s="2" t="str">
        <f>"4"</f>
        <v>4</v>
      </c>
      <c r="N4404" s="2" t="str">
        <f>"RUE VICTOR"</f>
        <v>RUE VICTOR</v>
      </c>
      <c r="O4404" s="2" t="s">
        <v>18155</v>
      </c>
      <c r="P4404" s="9" t="str">
        <f>VLOOKUP($O4404,'Liste des Villes'!$B$2:$B$1128,1,FALSE)</f>
        <v>Blainville</v>
      </c>
      <c r="Q4404" s="9" t="str">
        <f>IFERROR($P4404,PROPER(VLOOKUP($O4404,'Villes en erreur'!$A$2:$B$72,2,FALSE)))</f>
        <v>Blainville</v>
      </c>
      <c r="R4404" s="9" t="s">
        <v>18156</v>
      </c>
      <c r="S4404" s="9" t="str">
        <f>IF(ISBLANK($R4404),"",VLOOKUP($R4404,'Liste des Villes'!$B$2:$H$1128,4,FALSE))</f>
        <v>Laurentides</v>
      </c>
      <c r="T4404" s="2" t="s">
        <v>18495</v>
      </c>
      <c r="U4404" s="2" t="s">
        <v>39</v>
      </c>
      <c r="V4404" s="2" t="s">
        <v>40</v>
      </c>
      <c r="W4404" s="2" t="s">
        <v>18496</v>
      </c>
      <c r="X4404" s="2" t="str">
        <f>"5149722879"</f>
        <v>5149722879</v>
      </c>
      <c r="Y4404" s="2" t="str">
        <f>"4502582591"</f>
        <v>4502582591</v>
      </c>
      <c r="Z4404" s="2"/>
      <c r="AA4404" s="2" t="s">
        <v>456</v>
      </c>
      <c r="AB4404" s="2" t="s">
        <v>457</v>
      </c>
      <c r="AC4404" s="4" t="s">
        <v>44</v>
      </c>
    </row>
    <row r="4405" spans="1:29" x14ac:dyDescent="0.25">
      <c r="A4405" s="1">
        <v>952</v>
      </c>
      <c r="B4405" s="17" t="s">
        <v>18497</v>
      </c>
      <c r="C4405" s="2" t="s">
        <v>2084</v>
      </c>
      <c r="D4405" s="15" t="s">
        <v>2085</v>
      </c>
      <c r="E4405" s="9" t="s">
        <v>2086</v>
      </c>
      <c r="F4405" s="9" t="s">
        <v>10565</v>
      </c>
      <c r="G4405" s="9" t="s">
        <v>341</v>
      </c>
      <c r="H4405" s="2" t="s">
        <v>60</v>
      </c>
      <c r="I4405" s="3">
        <v>37442</v>
      </c>
      <c r="J4405" s="9" t="str">
        <f t="shared" ca="1" si="77"/>
        <v>21 ans</v>
      </c>
      <c r="K4405" s="2" t="s">
        <v>262</v>
      </c>
      <c r="L4405" s="2" t="str">
        <f>"13582"</f>
        <v>13582</v>
      </c>
      <c r="M4405" s="2" t="str">
        <f>"301"</f>
        <v>301</v>
      </c>
      <c r="N4405" s="2" t="str">
        <f>"RUE SAINTE-MADELEINE"</f>
        <v>RUE SAINTE-MADELEINE</v>
      </c>
      <c r="O4405" s="2" t="s">
        <v>18155</v>
      </c>
      <c r="P4405" s="9" t="str">
        <f>VLOOKUP($O4405,'Liste des Villes'!$B$2:$B$1128,1,FALSE)</f>
        <v>Blainville</v>
      </c>
      <c r="Q4405" s="9" t="str">
        <f>IFERROR($P4405,PROPER(VLOOKUP($O4405,'Villes en erreur'!$A$2:$B$72,2,FALSE)))</f>
        <v>Blainville</v>
      </c>
      <c r="R4405" s="9" t="s">
        <v>18156</v>
      </c>
      <c r="S4405" s="9" t="str">
        <f>IF(ISBLANK($R4405),"",VLOOKUP($R4405,'Liste des Villes'!$B$2:$H$1128,4,FALSE))</f>
        <v>Laurentides</v>
      </c>
      <c r="T4405" s="2" t="s">
        <v>18498</v>
      </c>
      <c r="U4405" s="2" t="s">
        <v>39</v>
      </c>
      <c r="V4405" s="2" t="s">
        <v>40</v>
      </c>
      <c r="W4405" s="2" t="s">
        <v>18499</v>
      </c>
      <c r="X4405" s="2" t="str">
        <f>"5145039547"</f>
        <v>5145039547</v>
      </c>
      <c r="Y4405" s="2" t="str">
        <f>"4505651907"</f>
        <v>4505651907</v>
      </c>
      <c r="Z4405" s="2"/>
      <c r="AA4405" s="2" t="s">
        <v>456</v>
      </c>
      <c r="AB4405" s="2" t="s">
        <v>457</v>
      </c>
      <c r="AC4405" s="4" t="s">
        <v>44</v>
      </c>
    </row>
    <row r="4406" spans="1:29" x14ac:dyDescent="0.25">
      <c r="A4406" s="1">
        <v>4291</v>
      </c>
      <c r="B4406" s="17" t="s">
        <v>18500</v>
      </c>
      <c r="C4406" s="2" t="s">
        <v>18501</v>
      </c>
      <c r="D4406" s="15" t="s">
        <v>4877</v>
      </c>
      <c r="E4406" s="9" t="s">
        <v>685</v>
      </c>
      <c r="F4406" s="9" t="s">
        <v>1016</v>
      </c>
      <c r="G4406" s="9" t="s">
        <v>2591</v>
      </c>
      <c r="H4406" s="2" t="s">
        <v>60</v>
      </c>
      <c r="I4406" s="3">
        <v>37440</v>
      </c>
      <c r="J4406" s="9" t="str">
        <f t="shared" ca="1" si="77"/>
        <v>21 ans</v>
      </c>
      <c r="K4406" s="2" t="s">
        <v>262</v>
      </c>
      <c r="L4406" s="2" t="str">
        <f>"13490"</f>
        <v>13490</v>
      </c>
      <c r="M4406" s="2" t="str">
        <f>"304"</f>
        <v>304</v>
      </c>
      <c r="N4406" s="2" t="str">
        <f>"RUE SAINT-ANTOINE"</f>
        <v>RUE SAINT-ANTOINE</v>
      </c>
      <c r="O4406" s="2" t="s">
        <v>18155</v>
      </c>
      <c r="P4406" s="9" t="str">
        <f>VLOOKUP($O4406,'Liste des Villes'!$B$2:$B$1128,1,FALSE)</f>
        <v>Blainville</v>
      </c>
      <c r="Q4406" s="9" t="str">
        <f>IFERROR($P4406,PROPER(VLOOKUP($O4406,'Villes en erreur'!$A$2:$B$72,2,FALSE)))</f>
        <v>Blainville</v>
      </c>
      <c r="R4406" s="9" t="s">
        <v>18156</v>
      </c>
      <c r="S4406" s="9" t="str">
        <f>IF(ISBLANK($R4406),"",VLOOKUP($R4406,'Liste des Villes'!$B$2:$H$1128,4,FALSE))</f>
        <v>Laurentides</v>
      </c>
      <c r="T4406" s="2" t="s">
        <v>18502</v>
      </c>
      <c r="U4406" s="2" t="s">
        <v>39</v>
      </c>
      <c r="V4406" s="2" t="s">
        <v>40</v>
      </c>
      <c r="W4406" s="2" t="s">
        <v>18503</v>
      </c>
      <c r="X4406" s="2" t="str">
        <f>"5144492806"</f>
        <v>5144492806</v>
      </c>
      <c r="Y4406" s="2" t="str">
        <f>"4505692066"</f>
        <v>4505692066</v>
      </c>
      <c r="Z4406" s="2"/>
      <c r="AA4406" s="2" t="s">
        <v>456</v>
      </c>
      <c r="AB4406" s="2" t="s">
        <v>457</v>
      </c>
      <c r="AC4406" s="4" t="s">
        <v>44</v>
      </c>
    </row>
    <row r="4407" spans="1:29" x14ac:dyDescent="0.25">
      <c r="A4407" s="1">
        <v>903</v>
      </c>
      <c r="B4407" s="17" t="s">
        <v>18504</v>
      </c>
      <c r="C4407" s="2" t="s">
        <v>18505</v>
      </c>
      <c r="D4407" s="15" t="s">
        <v>1502</v>
      </c>
      <c r="E4407" s="9" t="s">
        <v>9425</v>
      </c>
      <c r="F4407" s="9" t="s">
        <v>292</v>
      </c>
      <c r="G4407" s="9" t="s">
        <v>3171</v>
      </c>
      <c r="H4407" s="2" t="s">
        <v>60</v>
      </c>
      <c r="I4407" s="3">
        <v>37496</v>
      </c>
      <c r="J4407" s="9" t="str">
        <f t="shared" ca="1" si="77"/>
        <v>20 ans</v>
      </c>
      <c r="K4407" s="2" t="s">
        <v>262</v>
      </c>
      <c r="L4407" s="2" t="str">
        <f>"16480"</f>
        <v>16480</v>
      </c>
      <c r="M4407" s="2" t="str">
        <f>"5"</f>
        <v>5</v>
      </c>
      <c r="N4407" s="2" t="str">
        <f>"RUE VANESSA"</f>
        <v>RUE VANESSA</v>
      </c>
      <c r="O4407" s="2" t="s">
        <v>18155</v>
      </c>
      <c r="P4407" s="9" t="str">
        <f>VLOOKUP($O4407,'Liste des Villes'!$B$2:$B$1128,1,FALSE)</f>
        <v>Blainville</v>
      </c>
      <c r="Q4407" s="9" t="str">
        <f>IFERROR($P4407,PROPER(VLOOKUP($O4407,'Villes en erreur'!$A$2:$B$72,2,FALSE)))</f>
        <v>Blainville</v>
      </c>
      <c r="R4407" s="9" t="s">
        <v>18156</v>
      </c>
      <c r="S4407" s="9" t="str">
        <f>IF(ISBLANK($R4407),"",VLOOKUP($R4407,'Liste des Villes'!$B$2:$H$1128,4,FALSE))</f>
        <v>Laurentides</v>
      </c>
      <c r="T4407" s="2" t="s">
        <v>18506</v>
      </c>
      <c r="U4407" s="2" t="s">
        <v>39</v>
      </c>
      <c r="V4407" s="2" t="s">
        <v>40</v>
      </c>
      <c r="W4407" s="2" t="s">
        <v>18507</v>
      </c>
      <c r="X4407" s="2" t="str">
        <f>"5149238574"</f>
        <v>5149238574</v>
      </c>
      <c r="Y4407" s="2" t="str">
        <f>"4503027115"</f>
        <v>4503027115</v>
      </c>
      <c r="Z4407" s="2"/>
      <c r="AA4407" s="2" t="s">
        <v>456</v>
      </c>
      <c r="AB4407" s="2" t="s">
        <v>457</v>
      </c>
      <c r="AC4407" s="4" t="s">
        <v>44</v>
      </c>
    </row>
    <row r="4408" spans="1:29" x14ac:dyDescent="0.25">
      <c r="A4408" s="1">
        <v>487</v>
      </c>
      <c r="B4408" s="17" t="s">
        <v>18508</v>
      </c>
      <c r="C4408" s="2" t="s">
        <v>18509</v>
      </c>
      <c r="D4408" s="15" t="s">
        <v>16500</v>
      </c>
      <c r="E4408" s="9" t="s">
        <v>775</v>
      </c>
      <c r="F4408" s="9" t="s">
        <v>6635</v>
      </c>
      <c r="G4408" s="9" t="s">
        <v>2381</v>
      </c>
      <c r="H4408" s="2" t="s">
        <v>35</v>
      </c>
      <c r="I4408" s="3">
        <v>37506</v>
      </c>
      <c r="J4408" s="9" t="str">
        <f t="shared" ca="1" si="77"/>
        <v>20 ans</v>
      </c>
      <c r="K4408" s="2" t="s">
        <v>262</v>
      </c>
      <c r="L4408" s="2" t="str">
        <f>"17020"</f>
        <v>17020</v>
      </c>
      <c r="M4408" s="2" t="str">
        <f>"4"</f>
        <v>4</v>
      </c>
      <c r="N4408" s="2" t="str">
        <f>"RUE WILSON"</f>
        <v>RUE WILSON</v>
      </c>
      <c r="O4408" s="2" t="s">
        <v>18155</v>
      </c>
      <c r="P4408" s="9" t="str">
        <f>VLOOKUP($O4408,'Liste des Villes'!$B$2:$B$1128,1,FALSE)</f>
        <v>Blainville</v>
      </c>
      <c r="Q4408" s="9" t="str">
        <f>IFERROR($P4408,PROPER(VLOOKUP($O4408,'Villes en erreur'!$A$2:$B$72,2,FALSE)))</f>
        <v>Blainville</v>
      </c>
      <c r="R4408" s="9" t="s">
        <v>18156</v>
      </c>
      <c r="S4408" s="9" t="str">
        <f>IF(ISBLANK($R4408),"",VLOOKUP($R4408,'Liste des Villes'!$B$2:$H$1128,4,FALSE))</f>
        <v>Laurentides</v>
      </c>
      <c r="T4408" s="2" t="s">
        <v>18510</v>
      </c>
      <c r="U4408" s="2" t="s">
        <v>39</v>
      </c>
      <c r="V4408" s="2" t="s">
        <v>40</v>
      </c>
      <c r="W4408" s="2" t="s">
        <v>18511</v>
      </c>
      <c r="X4408" s="2" t="str">
        <f>"5149959068"</f>
        <v>5149959068</v>
      </c>
      <c r="Y4408" s="2" t="str">
        <f>"4502240079"</f>
        <v>4502240079</v>
      </c>
      <c r="Z4408" s="2"/>
      <c r="AA4408" s="2" t="s">
        <v>456</v>
      </c>
      <c r="AB4408" s="2" t="s">
        <v>457</v>
      </c>
      <c r="AC4408" s="4" t="s">
        <v>44</v>
      </c>
    </row>
    <row r="4409" spans="1:29" x14ac:dyDescent="0.25">
      <c r="A4409" s="1">
        <v>3124</v>
      </c>
      <c r="B4409" s="17" t="s">
        <v>18512</v>
      </c>
      <c r="C4409" s="2" t="s">
        <v>5206</v>
      </c>
      <c r="D4409" s="15" t="s">
        <v>3035</v>
      </c>
      <c r="E4409" s="9" t="s">
        <v>59</v>
      </c>
      <c r="F4409" s="9" t="s">
        <v>657</v>
      </c>
      <c r="G4409" s="9" t="s">
        <v>583</v>
      </c>
      <c r="H4409" s="2" t="s">
        <v>60</v>
      </c>
      <c r="I4409" s="3">
        <v>37468</v>
      </c>
      <c r="J4409" s="9" t="str">
        <f t="shared" ca="1" si="77"/>
        <v>21 ans</v>
      </c>
      <c r="K4409" s="2" t="s">
        <v>262</v>
      </c>
      <c r="L4409" s="2" t="str">
        <f>"14130"</f>
        <v>14130</v>
      </c>
      <c r="M4409" s="2" t="str">
        <f>"23"</f>
        <v>23</v>
      </c>
      <c r="N4409" s="2" t="str">
        <f>"RUE SERVANT"</f>
        <v>RUE SERVANT</v>
      </c>
      <c r="O4409" s="2" t="s">
        <v>18155</v>
      </c>
      <c r="P4409" s="9" t="str">
        <f>VLOOKUP($O4409,'Liste des Villes'!$B$2:$B$1128,1,FALSE)</f>
        <v>Blainville</v>
      </c>
      <c r="Q4409" s="9" t="str">
        <f>IFERROR($P4409,PROPER(VLOOKUP($O4409,'Villes en erreur'!$A$2:$B$72,2,FALSE)))</f>
        <v>Blainville</v>
      </c>
      <c r="R4409" s="9" t="s">
        <v>18156</v>
      </c>
      <c r="S4409" s="9" t="str">
        <f>IF(ISBLANK($R4409),"",VLOOKUP($R4409,'Liste des Villes'!$B$2:$H$1128,4,FALSE))</f>
        <v>Laurentides</v>
      </c>
      <c r="T4409" s="2" t="s">
        <v>18197</v>
      </c>
      <c r="U4409" s="2" t="s">
        <v>39</v>
      </c>
      <c r="V4409" s="2" t="s">
        <v>40</v>
      </c>
      <c r="W4409" s="2" t="s">
        <v>18513</v>
      </c>
      <c r="X4409" s="2" t="str">
        <f>"5147091339"</f>
        <v>5147091339</v>
      </c>
      <c r="Y4409" s="2" t="str">
        <f>"4504389822"</f>
        <v>4504389822</v>
      </c>
      <c r="Z4409" s="2"/>
      <c r="AA4409" s="2" t="s">
        <v>456</v>
      </c>
      <c r="AB4409" s="2" t="s">
        <v>457</v>
      </c>
      <c r="AC4409" s="4" t="s">
        <v>44</v>
      </c>
    </row>
    <row r="4410" spans="1:29" x14ac:dyDescent="0.25">
      <c r="A4410" s="1">
        <v>2763</v>
      </c>
      <c r="B4410" s="17" t="s">
        <v>18514</v>
      </c>
      <c r="C4410" s="2" t="s">
        <v>16946</v>
      </c>
      <c r="D4410" s="15" t="s">
        <v>10029</v>
      </c>
      <c r="E4410" s="9" t="s">
        <v>5569</v>
      </c>
      <c r="F4410" s="9" t="s">
        <v>15231</v>
      </c>
      <c r="G4410" s="9" t="s">
        <v>2381</v>
      </c>
      <c r="H4410" s="2" t="s">
        <v>35</v>
      </c>
      <c r="I4410" s="3">
        <v>37504</v>
      </c>
      <c r="J4410" s="9" t="str">
        <f t="shared" ca="1" si="77"/>
        <v>20 ans</v>
      </c>
      <c r="K4410" s="2" t="s">
        <v>262</v>
      </c>
      <c r="L4410" s="2" t="str">
        <f>"16905"</f>
        <v>16905</v>
      </c>
      <c r="M4410" s="2" t="str">
        <f>"4"</f>
        <v>4</v>
      </c>
      <c r="N4410" s="2" t="str">
        <f>"RUE WILFRID-GAUTHIER"</f>
        <v>RUE WILFRID-GAUTHIER</v>
      </c>
      <c r="O4410" s="2" t="s">
        <v>18155</v>
      </c>
      <c r="P4410" s="9" t="str">
        <f>VLOOKUP($O4410,'Liste des Villes'!$B$2:$B$1128,1,FALSE)</f>
        <v>Blainville</v>
      </c>
      <c r="Q4410" s="9" t="str">
        <f>IFERROR($P4410,PROPER(VLOOKUP($O4410,'Villes en erreur'!$A$2:$B$72,2,FALSE)))</f>
        <v>Blainville</v>
      </c>
      <c r="R4410" s="9" t="s">
        <v>18156</v>
      </c>
      <c r="S4410" s="9" t="str">
        <f>IF(ISBLANK($R4410),"",VLOOKUP($R4410,'Liste des Villes'!$B$2:$H$1128,4,FALSE))</f>
        <v>Laurentides</v>
      </c>
      <c r="T4410" s="2" t="s">
        <v>18515</v>
      </c>
      <c r="U4410" s="2" t="s">
        <v>39</v>
      </c>
      <c r="V4410" s="2" t="s">
        <v>40</v>
      </c>
      <c r="W4410" s="2" t="s">
        <v>18516</v>
      </c>
      <c r="X4410" s="2" t="str">
        <f>"5149781739"</f>
        <v>5149781739</v>
      </c>
      <c r="Y4410" s="2" t="str">
        <f>"4502247941"</f>
        <v>4502247941</v>
      </c>
      <c r="Z4410" s="2"/>
      <c r="AA4410" s="2" t="s">
        <v>456</v>
      </c>
      <c r="AB4410" s="2" t="s">
        <v>457</v>
      </c>
      <c r="AC4410" s="4" t="s">
        <v>44</v>
      </c>
    </row>
    <row r="4411" spans="1:29" x14ac:dyDescent="0.25">
      <c r="A4411" s="1">
        <v>321</v>
      </c>
      <c r="B4411" s="17" t="s">
        <v>18517</v>
      </c>
      <c r="C4411" s="2" t="s">
        <v>5497</v>
      </c>
      <c r="D4411" s="15" t="s">
        <v>2263</v>
      </c>
      <c r="E4411" s="9" t="s">
        <v>1560</v>
      </c>
      <c r="F4411" s="9" t="s">
        <v>867</v>
      </c>
      <c r="G4411" s="9" t="s">
        <v>2381</v>
      </c>
      <c r="H4411" s="2" t="s">
        <v>35</v>
      </c>
      <c r="I4411" s="3">
        <v>37502</v>
      </c>
      <c r="J4411" s="9" t="str">
        <f t="shared" ca="1" si="77"/>
        <v>20 ans</v>
      </c>
      <c r="K4411" s="2" t="s">
        <v>262</v>
      </c>
      <c r="L4411" s="2" t="str">
        <f>"16835"</f>
        <v>16835</v>
      </c>
      <c r="M4411" s="2" t="str">
        <f>"4"</f>
        <v>4</v>
      </c>
      <c r="N4411" s="2" t="str">
        <f>"RUE VICTORIN"</f>
        <v>RUE VICTORIN</v>
      </c>
      <c r="O4411" s="2" t="s">
        <v>18155</v>
      </c>
      <c r="P4411" s="9" t="str">
        <f>VLOOKUP($O4411,'Liste des Villes'!$B$2:$B$1128,1,FALSE)</f>
        <v>Blainville</v>
      </c>
      <c r="Q4411" s="9" t="str">
        <f>IFERROR($P4411,PROPER(VLOOKUP($O4411,'Villes en erreur'!$A$2:$B$72,2,FALSE)))</f>
        <v>Blainville</v>
      </c>
      <c r="R4411" s="9" t="s">
        <v>18156</v>
      </c>
      <c r="S4411" s="9" t="str">
        <f>IF(ISBLANK($R4411),"",VLOOKUP($R4411,'Liste des Villes'!$B$2:$H$1128,4,FALSE))</f>
        <v>Laurentides</v>
      </c>
      <c r="T4411" s="2" t="s">
        <v>18518</v>
      </c>
      <c r="U4411" s="2" t="s">
        <v>39</v>
      </c>
      <c r="V4411" s="2" t="s">
        <v>40</v>
      </c>
      <c r="W4411" s="2" t="s">
        <v>18519</v>
      </c>
      <c r="X4411" s="2" t="str">
        <f>"5149728245"</f>
        <v>5149728245</v>
      </c>
      <c r="Y4411" s="2" t="str">
        <f>"4502291108"</f>
        <v>4502291108</v>
      </c>
      <c r="Z4411" s="2"/>
      <c r="AA4411" s="2" t="s">
        <v>456</v>
      </c>
      <c r="AB4411" s="2" t="s">
        <v>457</v>
      </c>
      <c r="AC4411" s="4" t="s">
        <v>44</v>
      </c>
    </row>
    <row r="4412" spans="1:29" x14ac:dyDescent="0.25">
      <c r="A4412" s="1">
        <v>2923</v>
      </c>
      <c r="B4412" s="17" t="s">
        <v>18520</v>
      </c>
      <c r="C4412" s="2" t="s">
        <v>18521</v>
      </c>
      <c r="D4412" s="15" t="s">
        <v>9991</v>
      </c>
      <c r="E4412" s="9" t="s">
        <v>1405</v>
      </c>
      <c r="F4412" s="9" t="s">
        <v>9990</v>
      </c>
      <c r="G4412" s="9" t="s">
        <v>11363</v>
      </c>
      <c r="H4412" s="2" t="s">
        <v>35</v>
      </c>
      <c r="I4412" s="3">
        <v>37527</v>
      </c>
      <c r="J4412" s="9" t="str">
        <f t="shared" ca="1" si="77"/>
        <v>20 ans</v>
      </c>
      <c r="K4412" s="2" t="s">
        <v>262</v>
      </c>
      <c r="L4412" s="2" t="str">
        <f>"18785"</f>
        <v>18785</v>
      </c>
      <c r="M4412" s="2" t="str">
        <f>"1"</f>
        <v>1</v>
      </c>
      <c r="N4412" s="2" t="str">
        <f>"TSSE CYR"</f>
        <v>TSSE CYR</v>
      </c>
      <c r="O4412" s="2" t="s">
        <v>18155</v>
      </c>
      <c r="P4412" s="9" t="str">
        <f>VLOOKUP($O4412,'Liste des Villes'!$B$2:$B$1128,1,FALSE)</f>
        <v>Blainville</v>
      </c>
      <c r="Q4412" s="9" t="str">
        <f>IFERROR($P4412,PROPER(VLOOKUP($O4412,'Villes en erreur'!$A$2:$B$72,2,FALSE)))</f>
        <v>Blainville</v>
      </c>
      <c r="R4412" s="9" t="s">
        <v>18156</v>
      </c>
      <c r="S4412" s="9" t="str">
        <f>IF(ISBLANK($R4412),"",VLOOKUP($R4412,'Liste des Villes'!$B$2:$H$1128,4,FALSE))</f>
        <v>Laurentides</v>
      </c>
      <c r="T4412" s="2" t="s">
        <v>18375</v>
      </c>
      <c r="U4412" s="2" t="s">
        <v>39</v>
      </c>
      <c r="V4412" s="2" t="s">
        <v>40</v>
      </c>
      <c r="W4412" s="2" t="s">
        <v>18522</v>
      </c>
      <c r="X4412" s="2" t="str">
        <f>"8196811777"</f>
        <v>8196811777</v>
      </c>
      <c r="Y4412" s="2" t="str">
        <f>"4383983859"</f>
        <v>4383983859</v>
      </c>
      <c r="Z4412" s="2" t="str">
        <f>"4507121989"</f>
        <v>4507121989</v>
      </c>
      <c r="AA4412" s="2" t="s">
        <v>456</v>
      </c>
      <c r="AB4412" s="2" t="s">
        <v>457</v>
      </c>
      <c r="AC4412" s="4" t="s">
        <v>44</v>
      </c>
    </row>
    <row r="4413" spans="1:29" x14ac:dyDescent="0.25">
      <c r="A4413" s="1">
        <v>2318</v>
      </c>
      <c r="B4413" s="17" t="s">
        <v>18523</v>
      </c>
      <c r="C4413" s="2" t="s">
        <v>18524</v>
      </c>
      <c r="D4413" s="15" t="s">
        <v>7339</v>
      </c>
      <c r="E4413" s="9" t="s">
        <v>13022</v>
      </c>
      <c r="F4413" s="9" t="s">
        <v>100</v>
      </c>
      <c r="G4413" s="9" t="s">
        <v>370</v>
      </c>
      <c r="H4413" s="2" t="s">
        <v>60</v>
      </c>
      <c r="I4413" s="3">
        <v>37512</v>
      </c>
      <c r="J4413" s="9" t="str">
        <f t="shared" ca="1" si="77"/>
        <v>20 ans</v>
      </c>
      <c r="K4413" s="2" t="s">
        <v>262</v>
      </c>
      <c r="L4413" s="2" t="str">
        <f>"17385"</f>
        <v>17385</v>
      </c>
      <c r="M4413" s="2" t="str">
        <f>"3"</f>
        <v>3</v>
      </c>
      <c r="N4413" s="2" t="str">
        <f>"SAINT-CAMILLE"</f>
        <v>SAINT-CAMILLE</v>
      </c>
      <c r="O4413" s="2" t="s">
        <v>18155</v>
      </c>
      <c r="P4413" s="9" t="str">
        <f>VLOOKUP($O4413,'Liste des Villes'!$B$2:$B$1128,1,FALSE)</f>
        <v>Blainville</v>
      </c>
      <c r="Q4413" s="9" t="str">
        <f>IFERROR($P4413,PROPER(VLOOKUP($O4413,'Villes en erreur'!$A$2:$B$72,2,FALSE)))</f>
        <v>Blainville</v>
      </c>
      <c r="R4413" s="9" t="s">
        <v>18156</v>
      </c>
      <c r="S4413" s="9" t="str">
        <f>IF(ISBLANK($R4413),"",VLOOKUP($R4413,'Liste des Villes'!$B$2:$H$1128,4,FALSE))</f>
        <v>Laurentides</v>
      </c>
      <c r="T4413" s="2" t="s">
        <v>18525</v>
      </c>
      <c r="U4413" s="2" t="s">
        <v>39</v>
      </c>
      <c r="V4413" s="2" t="s">
        <v>40</v>
      </c>
      <c r="W4413" s="2" t="s">
        <v>18526</v>
      </c>
      <c r="X4413" s="2" t="str">
        <f>"5798884900"</f>
        <v>5798884900</v>
      </c>
      <c r="Y4413" s="2" t="str">
        <f>"4388858613"</f>
        <v>4388858613</v>
      </c>
      <c r="Z4413" s="2"/>
      <c r="AA4413" s="2" t="s">
        <v>456</v>
      </c>
      <c r="AB4413" s="2" t="s">
        <v>457</v>
      </c>
      <c r="AC4413" s="4" t="s">
        <v>44</v>
      </c>
    </row>
    <row r="4414" spans="1:29" x14ac:dyDescent="0.25">
      <c r="A4414" s="1">
        <v>1947</v>
      </c>
      <c r="B4414" s="17" t="s">
        <v>18527</v>
      </c>
      <c r="C4414" s="2" t="s">
        <v>18528</v>
      </c>
      <c r="D4414" s="15" t="s">
        <v>2139</v>
      </c>
      <c r="E4414" s="9" t="s">
        <v>15206</v>
      </c>
      <c r="F4414" s="9" t="s">
        <v>14985</v>
      </c>
      <c r="G4414" s="9" t="s">
        <v>4517</v>
      </c>
      <c r="H4414" s="2" t="s">
        <v>60</v>
      </c>
      <c r="I4414" s="3">
        <v>37463</v>
      </c>
      <c r="J4414" s="9" t="str">
        <f t="shared" ca="1" si="77"/>
        <v>21 ans</v>
      </c>
      <c r="K4414" s="2" t="s">
        <v>262</v>
      </c>
      <c r="L4414" s="2" t="str">
        <f>"14029"</f>
        <v>14029</v>
      </c>
      <c r="M4414" s="2" t="str">
        <f>"101"</f>
        <v>101</v>
      </c>
      <c r="N4414" s="2" t="str">
        <f>"RUE SCHULZ"</f>
        <v>RUE SCHULZ</v>
      </c>
      <c r="O4414" s="2" t="s">
        <v>18155</v>
      </c>
      <c r="P4414" s="9" t="str">
        <f>VLOOKUP($O4414,'Liste des Villes'!$B$2:$B$1128,1,FALSE)</f>
        <v>Blainville</v>
      </c>
      <c r="Q4414" s="9" t="str">
        <f>IFERROR($P4414,PROPER(VLOOKUP($O4414,'Villes en erreur'!$A$2:$B$72,2,FALSE)))</f>
        <v>Blainville</v>
      </c>
      <c r="R4414" s="9" t="s">
        <v>18156</v>
      </c>
      <c r="S4414" s="9" t="str">
        <f>IF(ISBLANK($R4414),"",VLOOKUP($R4414,'Liste des Villes'!$B$2:$H$1128,4,FALSE))</f>
        <v>Laurentides</v>
      </c>
      <c r="T4414" s="2" t="s">
        <v>18529</v>
      </c>
      <c r="U4414" s="2" t="s">
        <v>39</v>
      </c>
      <c r="V4414" s="2" t="s">
        <v>40</v>
      </c>
      <c r="W4414" s="2" t="s">
        <v>18530</v>
      </c>
      <c r="X4414" s="2" t="str">
        <f>"5146795727"</f>
        <v>5146795727</v>
      </c>
      <c r="Y4414" s="2" t="str">
        <f>"4504784817"</f>
        <v>4504784817</v>
      </c>
      <c r="Z4414" s="2"/>
      <c r="AA4414" s="2" t="s">
        <v>456</v>
      </c>
      <c r="AB4414" s="2" t="s">
        <v>457</v>
      </c>
      <c r="AC4414" s="4" t="s">
        <v>44</v>
      </c>
    </row>
    <row r="4415" spans="1:29" x14ac:dyDescent="0.25">
      <c r="A4415" s="1">
        <v>2796</v>
      </c>
      <c r="B4415" s="17" t="s">
        <v>18531</v>
      </c>
      <c r="C4415" s="2" t="s">
        <v>4936</v>
      </c>
      <c r="D4415" s="15" t="s">
        <v>1802</v>
      </c>
      <c r="E4415" s="9" t="s">
        <v>3964</v>
      </c>
      <c r="F4415" s="9" t="s">
        <v>1800</v>
      </c>
      <c r="G4415" s="9" t="s">
        <v>370</v>
      </c>
      <c r="H4415" s="2" t="s">
        <v>60</v>
      </c>
      <c r="I4415" s="3">
        <v>37517</v>
      </c>
      <c r="J4415" s="9" t="str">
        <f t="shared" ca="1" si="77"/>
        <v>20 ans</v>
      </c>
      <c r="K4415" s="2" t="s">
        <v>262</v>
      </c>
      <c r="L4415" s="2" t="str">
        <f>"17755"</f>
        <v>17755</v>
      </c>
      <c r="M4415" s="2" t="str">
        <f>"2"</f>
        <v>2</v>
      </c>
      <c r="N4415" s="2" t="str">
        <f>"SAINT-FRANÇOIS BLVD"</f>
        <v>SAINT-FRANÇOIS BLVD</v>
      </c>
      <c r="O4415" s="2" t="s">
        <v>18155</v>
      </c>
      <c r="P4415" s="9" t="str">
        <f>VLOOKUP($O4415,'Liste des Villes'!$B$2:$B$1128,1,FALSE)</f>
        <v>Blainville</v>
      </c>
      <c r="Q4415" s="9" t="str">
        <f>IFERROR($P4415,PROPER(VLOOKUP($O4415,'Villes en erreur'!$A$2:$B$72,2,FALSE)))</f>
        <v>Blainville</v>
      </c>
      <c r="R4415" s="9" t="s">
        <v>18156</v>
      </c>
      <c r="S4415" s="9" t="str">
        <f>IF(ISBLANK($R4415),"",VLOOKUP($R4415,'Liste des Villes'!$B$2:$H$1128,4,FALSE))</f>
        <v>Laurentides</v>
      </c>
      <c r="T4415" s="2" t="s">
        <v>18183</v>
      </c>
      <c r="U4415" s="2" t="s">
        <v>39</v>
      </c>
      <c r="V4415" s="2" t="s">
        <v>40</v>
      </c>
      <c r="W4415" s="2" t="s">
        <v>18532</v>
      </c>
      <c r="X4415" s="2" t="str">
        <f>"8192785088"</f>
        <v>8192785088</v>
      </c>
      <c r="Y4415" s="2" t="str">
        <f>"4388383804"</f>
        <v>4388383804</v>
      </c>
      <c r="Z4415" s="2"/>
      <c r="AA4415" s="2" t="s">
        <v>456</v>
      </c>
      <c r="AB4415" s="2" t="s">
        <v>457</v>
      </c>
      <c r="AC4415" s="4" t="s">
        <v>44</v>
      </c>
    </row>
    <row r="4416" spans="1:29" x14ac:dyDescent="0.25">
      <c r="A4416" s="1">
        <v>1952</v>
      </c>
      <c r="B4416" s="17" t="s">
        <v>18533</v>
      </c>
      <c r="C4416" s="2" t="s">
        <v>8030</v>
      </c>
      <c r="D4416" s="15" t="s">
        <v>4330</v>
      </c>
      <c r="E4416" s="9" t="s">
        <v>3485</v>
      </c>
      <c r="F4416" s="9" t="s">
        <v>4870</v>
      </c>
      <c r="G4416" s="9" t="s">
        <v>2355</v>
      </c>
      <c r="H4416" s="2" t="s">
        <v>60</v>
      </c>
      <c r="I4416" s="3">
        <v>37465</v>
      </c>
      <c r="J4416" s="9" t="str">
        <f t="shared" ca="1" si="77"/>
        <v>21 ans</v>
      </c>
      <c r="K4416" s="2" t="s">
        <v>262</v>
      </c>
      <c r="L4416" s="2" t="str">
        <f>"14055"</f>
        <v>14055</v>
      </c>
      <c r="M4416" s="2" t="str">
        <f>"86"</f>
        <v>86</v>
      </c>
      <c r="N4416" s="2" t="str">
        <f>"RUE SCHULZ"</f>
        <v>RUE SCHULZ</v>
      </c>
      <c r="O4416" s="2" t="s">
        <v>18155</v>
      </c>
      <c r="P4416" s="9" t="str">
        <f>VLOOKUP($O4416,'Liste des Villes'!$B$2:$B$1128,1,FALSE)</f>
        <v>Blainville</v>
      </c>
      <c r="Q4416" s="9" t="str">
        <f>IFERROR($P4416,PROPER(VLOOKUP($O4416,'Villes en erreur'!$A$2:$B$72,2,FALSE)))</f>
        <v>Blainville</v>
      </c>
      <c r="R4416" s="9" t="s">
        <v>18156</v>
      </c>
      <c r="S4416" s="9" t="str">
        <f>IF(ISBLANK($R4416),"",VLOOKUP($R4416,'Liste des Villes'!$B$2:$H$1128,4,FALSE))</f>
        <v>Laurentides</v>
      </c>
      <c r="T4416" s="2" t="s">
        <v>18534</v>
      </c>
      <c r="U4416" s="2" t="s">
        <v>39</v>
      </c>
      <c r="V4416" s="2" t="s">
        <v>40</v>
      </c>
      <c r="W4416" s="2" t="s">
        <v>18535</v>
      </c>
      <c r="X4416" s="2" t="str">
        <f>"5147010320"</f>
        <v>5147010320</v>
      </c>
      <c r="Y4416" s="2" t="str">
        <f>"4504758893"</f>
        <v>4504758893</v>
      </c>
      <c r="Z4416" s="2"/>
      <c r="AA4416" s="2" t="s">
        <v>456</v>
      </c>
      <c r="AB4416" s="2" t="s">
        <v>457</v>
      </c>
      <c r="AC4416" s="4" t="s">
        <v>44</v>
      </c>
    </row>
    <row r="4417" spans="1:29" x14ac:dyDescent="0.25">
      <c r="A4417" s="1">
        <v>3659</v>
      </c>
      <c r="B4417" s="17" t="s">
        <v>18536</v>
      </c>
      <c r="C4417" s="2" t="s">
        <v>105</v>
      </c>
      <c r="D4417" s="15" t="s">
        <v>106</v>
      </c>
      <c r="E4417" s="9" t="s">
        <v>107</v>
      </c>
      <c r="F4417" s="9" t="s">
        <v>5266</v>
      </c>
      <c r="G4417" s="9" t="s">
        <v>503</v>
      </c>
      <c r="H4417" s="2" t="s">
        <v>35</v>
      </c>
      <c r="I4417" s="3">
        <v>37523</v>
      </c>
      <c r="J4417" s="9" t="str">
        <f t="shared" ca="1" si="77"/>
        <v>20 ans</v>
      </c>
      <c r="K4417" s="2" t="s">
        <v>262</v>
      </c>
      <c r="L4417" s="2" t="str">
        <f>"18500"</f>
        <v>18500</v>
      </c>
      <c r="M4417" s="2" t="str">
        <f>"2"</f>
        <v>2</v>
      </c>
      <c r="N4417" s="2" t="str">
        <f>"TERRASSE DES LILAS"</f>
        <v>TERRASSE DES LILAS</v>
      </c>
      <c r="O4417" s="2" t="s">
        <v>18155</v>
      </c>
      <c r="P4417" s="9" t="str">
        <f>VLOOKUP($O4417,'Liste des Villes'!$B$2:$B$1128,1,FALSE)</f>
        <v>Blainville</v>
      </c>
      <c r="Q4417" s="9" t="str">
        <f>IFERROR($P4417,PROPER(VLOOKUP($O4417,'Villes en erreur'!$A$2:$B$72,2,FALSE)))</f>
        <v>Blainville</v>
      </c>
      <c r="R4417" s="9" t="s">
        <v>18156</v>
      </c>
      <c r="S4417" s="9" t="str">
        <f>IF(ISBLANK($R4417),"",VLOOKUP($R4417,'Liste des Villes'!$B$2:$H$1128,4,FALSE))</f>
        <v>Laurentides</v>
      </c>
      <c r="T4417" s="2" t="s">
        <v>18537</v>
      </c>
      <c r="U4417" s="2" t="s">
        <v>39</v>
      </c>
      <c r="V4417" s="2" t="s">
        <v>40</v>
      </c>
      <c r="W4417" s="2" t="s">
        <v>18538</v>
      </c>
      <c r="X4417" s="2" t="str">
        <f>"8194308323"</f>
        <v>8194308323</v>
      </c>
      <c r="Y4417" s="2" t="str">
        <f>"4384966711"</f>
        <v>4384966711</v>
      </c>
      <c r="Z4417" s="2" t="str">
        <f>"4385201129"</f>
        <v>4385201129</v>
      </c>
      <c r="AA4417" s="2" t="s">
        <v>456</v>
      </c>
      <c r="AB4417" s="2" t="s">
        <v>457</v>
      </c>
      <c r="AC4417" s="4" t="s">
        <v>44</v>
      </c>
    </row>
    <row r="4418" spans="1:29" x14ac:dyDescent="0.25">
      <c r="A4418" s="1">
        <v>3937</v>
      </c>
      <c r="B4418" s="17" t="s">
        <v>18539</v>
      </c>
      <c r="C4418" s="2" t="s">
        <v>18540</v>
      </c>
      <c r="D4418" s="15" t="s">
        <v>11643</v>
      </c>
      <c r="E4418" s="9" t="s">
        <v>1591</v>
      </c>
      <c r="F4418" s="9" t="s">
        <v>1592</v>
      </c>
      <c r="G4418" s="9" t="s">
        <v>503</v>
      </c>
      <c r="H4418" s="2" t="s">
        <v>35</v>
      </c>
      <c r="I4418" s="3">
        <v>37523</v>
      </c>
      <c r="J4418" s="9" t="str">
        <f t="shared" ref="J4418:J4481" ca="1" si="78">_xlfn.CONCAT(INT((TODAY()-$I4418)/365.25)," ans")</f>
        <v>20 ans</v>
      </c>
      <c r="K4418" s="2" t="s">
        <v>262</v>
      </c>
      <c r="L4418" s="2" t="str">
        <f>"18545"</f>
        <v>18545</v>
      </c>
      <c r="M4418" s="2" t="str">
        <f>"1"</f>
        <v>1</v>
      </c>
      <c r="N4418" s="2" t="str">
        <f>"TERRASSE DUBÉ"</f>
        <v>TERRASSE DUBÉ</v>
      </c>
      <c r="O4418" s="2" t="s">
        <v>18155</v>
      </c>
      <c r="P4418" s="9" t="str">
        <f>VLOOKUP($O4418,'Liste des Villes'!$B$2:$B$1128,1,FALSE)</f>
        <v>Blainville</v>
      </c>
      <c r="Q4418" s="9" t="str">
        <f>IFERROR($P4418,PROPER(VLOOKUP($O4418,'Villes en erreur'!$A$2:$B$72,2,FALSE)))</f>
        <v>Blainville</v>
      </c>
      <c r="R4418" s="9" t="s">
        <v>18156</v>
      </c>
      <c r="S4418" s="9" t="str">
        <f>IF(ISBLANK($R4418),"",VLOOKUP($R4418,'Liste des Villes'!$B$2:$H$1128,4,FALSE))</f>
        <v>Laurentides</v>
      </c>
      <c r="T4418" s="2" t="s">
        <v>18537</v>
      </c>
      <c r="U4418" s="2" t="s">
        <v>39</v>
      </c>
      <c r="V4418" s="2" t="s">
        <v>40</v>
      </c>
      <c r="W4418" s="2" t="s">
        <v>18541</v>
      </c>
      <c r="X4418" s="2" t="str">
        <f>"8194308429"</f>
        <v>8194308429</v>
      </c>
      <c r="Y4418" s="2" t="str">
        <f>"4384957784"</f>
        <v>4384957784</v>
      </c>
      <c r="Z4418" s="2" t="str">
        <f>"4389313509"</f>
        <v>4389313509</v>
      </c>
      <c r="AA4418" s="2" t="s">
        <v>456</v>
      </c>
      <c r="AB4418" s="2" t="s">
        <v>457</v>
      </c>
      <c r="AC4418" s="4" t="s">
        <v>44</v>
      </c>
    </row>
    <row r="4419" spans="1:29" x14ac:dyDescent="0.25">
      <c r="A4419" s="1">
        <v>215</v>
      </c>
      <c r="B4419" s="17" t="s">
        <v>18542</v>
      </c>
      <c r="C4419" s="2" t="s">
        <v>18543</v>
      </c>
      <c r="D4419" s="15" t="s">
        <v>17775</v>
      </c>
      <c r="E4419" s="9" t="s">
        <v>15513</v>
      </c>
      <c r="F4419" s="9" t="s">
        <v>7202</v>
      </c>
      <c r="G4419" s="9" t="s">
        <v>370</v>
      </c>
      <c r="H4419" s="2" t="s">
        <v>60</v>
      </c>
      <c r="I4419" s="3">
        <v>37513</v>
      </c>
      <c r="J4419" s="9" t="str">
        <f t="shared" ca="1" si="78"/>
        <v>20 ans</v>
      </c>
      <c r="K4419" s="2" t="s">
        <v>262</v>
      </c>
      <c r="L4419" s="2" t="str">
        <f>"17410"</f>
        <v>17410</v>
      </c>
      <c r="M4419" s="2" t="str">
        <f>"2"</f>
        <v>2</v>
      </c>
      <c r="N4419" s="2" t="str">
        <f>"SAINTE-ANNE BLVD"</f>
        <v>SAINTE-ANNE BLVD</v>
      </c>
      <c r="O4419" s="2" t="s">
        <v>18155</v>
      </c>
      <c r="P4419" s="9" t="str">
        <f>VLOOKUP($O4419,'Liste des Villes'!$B$2:$B$1128,1,FALSE)</f>
        <v>Blainville</v>
      </c>
      <c r="Q4419" s="9" t="str">
        <f>IFERROR($P4419,PROPER(VLOOKUP($O4419,'Villes en erreur'!$A$2:$B$72,2,FALSE)))</f>
        <v>Blainville</v>
      </c>
      <c r="R4419" s="9" t="s">
        <v>18156</v>
      </c>
      <c r="S4419" s="9" t="str">
        <f>IF(ISBLANK($R4419),"",VLOOKUP($R4419,'Liste des Villes'!$B$2:$H$1128,4,FALSE))</f>
        <v>Laurentides</v>
      </c>
      <c r="T4419" s="2" t="s">
        <v>18356</v>
      </c>
      <c r="U4419" s="2" t="s">
        <v>39</v>
      </c>
      <c r="V4419" s="2" t="s">
        <v>40</v>
      </c>
      <c r="W4419" s="2" t="s">
        <v>18544</v>
      </c>
      <c r="X4419" s="2" t="str">
        <f>"5798885677"</f>
        <v>5798885677</v>
      </c>
      <c r="Y4419" s="2" t="str">
        <f>"4388837237"</f>
        <v>4388837237</v>
      </c>
      <c r="Z4419" s="2"/>
      <c r="AA4419" s="2" t="s">
        <v>456</v>
      </c>
      <c r="AB4419" s="2" t="s">
        <v>457</v>
      </c>
      <c r="AC4419" s="4" t="s">
        <v>44</v>
      </c>
    </row>
    <row r="4420" spans="1:29" x14ac:dyDescent="0.25">
      <c r="A4420" s="1">
        <v>2388</v>
      </c>
      <c r="B4420" s="17" t="s">
        <v>18545</v>
      </c>
      <c r="C4420" s="2" t="s">
        <v>12385</v>
      </c>
      <c r="D4420" s="15" t="s">
        <v>9794</v>
      </c>
      <c r="E4420" s="9" t="s">
        <v>1341</v>
      </c>
      <c r="F4420" s="9" t="s">
        <v>995</v>
      </c>
      <c r="G4420" s="9" t="s">
        <v>2579</v>
      </c>
      <c r="H4420" s="2" t="s">
        <v>60</v>
      </c>
      <c r="I4420" s="3">
        <v>37441</v>
      </c>
      <c r="J4420" s="9" t="str">
        <f t="shared" ca="1" si="78"/>
        <v>21 ans</v>
      </c>
      <c r="K4420" s="2" t="s">
        <v>262</v>
      </c>
      <c r="L4420" s="2" t="str">
        <f>"13520"</f>
        <v>13520</v>
      </c>
      <c r="M4420" s="2" t="str">
        <f>"302"</f>
        <v>302</v>
      </c>
      <c r="N4420" s="2" t="str">
        <f>"RUE SAINT-CAMILLE"</f>
        <v>RUE SAINT-CAMILLE</v>
      </c>
      <c r="O4420" s="2" t="s">
        <v>18155</v>
      </c>
      <c r="P4420" s="9" t="str">
        <f>VLOOKUP($O4420,'Liste des Villes'!$B$2:$B$1128,1,FALSE)</f>
        <v>Blainville</v>
      </c>
      <c r="Q4420" s="9" t="str">
        <f>IFERROR($P4420,PROPER(VLOOKUP($O4420,'Villes en erreur'!$A$2:$B$72,2,FALSE)))</f>
        <v>Blainville</v>
      </c>
      <c r="R4420" s="9" t="s">
        <v>18156</v>
      </c>
      <c r="S4420" s="9" t="str">
        <f>IF(ISBLANK($R4420),"",VLOOKUP($R4420,'Liste des Villes'!$B$2:$H$1128,4,FALSE))</f>
        <v>Laurentides</v>
      </c>
      <c r="T4420" s="2" t="s">
        <v>18546</v>
      </c>
      <c r="U4420" s="2" t="s">
        <v>39</v>
      </c>
      <c r="V4420" s="2" t="s">
        <v>40</v>
      </c>
      <c r="W4420" s="2" t="s">
        <v>18547</v>
      </c>
      <c r="X4420" s="2" t="str">
        <f>"5144633779"</f>
        <v>5144633779</v>
      </c>
      <c r="Y4420" s="2" t="str">
        <f>"4505662194"</f>
        <v>4505662194</v>
      </c>
      <c r="Z4420" s="2"/>
      <c r="AA4420" s="2" t="s">
        <v>456</v>
      </c>
      <c r="AB4420" s="2" t="s">
        <v>457</v>
      </c>
      <c r="AC4420" s="4" t="s">
        <v>44</v>
      </c>
    </row>
    <row r="4421" spans="1:29" x14ac:dyDescent="0.25">
      <c r="A4421" s="1">
        <v>3747</v>
      </c>
      <c r="B4421" s="17" t="s">
        <v>18548</v>
      </c>
      <c r="C4421" s="2" t="s">
        <v>18549</v>
      </c>
      <c r="D4421" s="15" t="s">
        <v>18192</v>
      </c>
      <c r="E4421" s="9" t="s">
        <v>2051</v>
      </c>
      <c r="F4421" s="9" t="s">
        <v>18191</v>
      </c>
      <c r="G4421" s="9" t="s">
        <v>341</v>
      </c>
      <c r="H4421" s="2" t="s">
        <v>60</v>
      </c>
      <c r="I4421" s="3">
        <v>37453</v>
      </c>
      <c r="J4421" s="9" t="str">
        <f t="shared" ca="1" si="78"/>
        <v>21 ans</v>
      </c>
      <c r="K4421" s="2" t="s">
        <v>262</v>
      </c>
      <c r="L4421" s="2" t="str">
        <f>"13764"</f>
        <v>13764</v>
      </c>
      <c r="M4421" s="2" t="str">
        <f>"116"</f>
        <v>116</v>
      </c>
      <c r="N4421" s="2" t="str">
        <f>"RUE SAINT-LOUIS"</f>
        <v>RUE SAINT-LOUIS</v>
      </c>
      <c r="O4421" s="2" t="s">
        <v>18155</v>
      </c>
      <c r="P4421" s="9" t="str">
        <f>VLOOKUP($O4421,'Liste des Villes'!$B$2:$B$1128,1,FALSE)</f>
        <v>Blainville</v>
      </c>
      <c r="Q4421" s="9" t="str">
        <f>IFERROR($P4421,PROPER(VLOOKUP($O4421,'Villes en erreur'!$A$2:$B$72,2,FALSE)))</f>
        <v>Blainville</v>
      </c>
      <c r="R4421" s="9" t="s">
        <v>18156</v>
      </c>
      <c r="S4421" s="9" t="str">
        <f>IF(ISBLANK($R4421),"",VLOOKUP($R4421,'Liste des Villes'!$B$2:$H$1128,4,FALSE))</f>
        <v>Laurentides</v>
      </c>
      <c r="T4421" s="2" t="s">
        <v>18550</v>
      </c>
      <c r="U4421" s="2" t="s">
        <v>39</v>
      </c>
      <c r="V4421" s="2" t="s">
        <v>40</v>
      </c>
      <c r="W4421" s="2" t="s">
        <v>18551</v>
      </c>
      <c r="X4421" s="2" t="str">
        <f>"5146044847"</f>
        <v>5146044847</v>
      </c>
      <c r="Y4421" s="2" t="str">
        <f>"4505303531"</f>
        <v>4505303531</v>
      </c>
      <c r="Z4421" s="2"/>
      <c r="AA4421" s="2" t="s">
        <v>456</v>
      </c>
      <c r="AB4421" s="2" t="s">
        <v>457</v>
      </c>
      <c r="AC4421" s="4" t="s">
        <v>44</v>
      </c>
    </row>
    <row r="4422" spans="1:29" x14ac:dyDescent="0.25">
      <c r="A4422" s="1">
        <v>4459</v>
      </c>
      <c r="B4422" s="17" t="s">
        <v>18552</v>
      </c>
      <c r="C4422" s="2" t="s">
        <v>4637</v>
      </c>
      <c r="D4422" s="15" t="s">
        <v>2780</v>
      </c>
      <c r="E4422" s="9" t="s">
        <v>172</v>
      </c>
      <c r="F4422" s="9" t="s">
        <v>165</v>
      </c>
      <c r="G4422" s="9" t="s">
        <v>2579</v>
      </c>
      <c r="H4422" s="2" t="s">
        <v>60</v>
      </c>
      <c r="I4422" s="3">
        <v>37441</v>
      </c>
      <c r="J4422" s="9" t="str">
        <f t="shared" ca="1" si="78"/>
        <v>21 ans</v>
      </c>
      <c r="K4422" s="2" t="s">
        <v>262</v>
      </c>
      <c r="L4422" s="2" t="str">
        <f>"13497"</f>
        <v>13497</v>
      </c>
      <c r="M4422" s="2" t="str">
        <f>"303"</f>
        <v>303</v>
      </c>
      <c r="N4422" s="2" t="str">
        <f>"RUE SAINT-CAMILLE"</f>
        <v>RUE SAINT-CAMILLE</v>
      </c>
      <c r="O4422" s="2" t="s">
        <v>18155</v>
      </c>
      <c r="P4422" s="9" t="str">
        <f>VLOOKUP($O4422,'Liste des Villes'!$B$2:$B$1128,1,FALSE)</f>
        <v>Blainville</v>
      </c>
      <c r="Q4422" s="9" t="str">
        <f>IFERROR($P4422,PROPER(VLOOKUP($O4422,'Villes en erreur'!$A$2:$B$72,2,FALSE)))</f>
        <v>Blainville</v>
      </c>
      <c r="R4422" s="9" t="s">
        <v>18156</v>
      </c>
      <c r="S4422" s="9" t="str">
        <f>IF(ISBLANK($R4422),"",VLOOKUP($R4422,'Liste des Villes'!$B$2:$H$1128,4,FALSE))</f>
        <v>Laurentides</v>
      </c>
      <c r="T4422" s="2" t="s">
        <v>18553</v>
      </c>
      <c r="U4422" s="2" t="s">
        <v>39</v>
      </c>
      <c r="V4422" s="2" t="s">
        <v>40</v>
      </c>
      <c r="W4422" s="2" t="s">
        <v>18554</v>
      </c>
      <c r="X4422" s="2" t="str">
        <f>"5144628170"</f>
        <v>5144628170</v>
      </c>
      <c r="Y4422" s="2" t="str">
        <f>"4505690383"</f>
        <v>4505690383</v>
      </c>
      <c r="Z4422" s="2"/>
      <c r="AA4422" s="2" t="s">
        <v>456</v>
      </c>
      <c r="AB4422" s="2" t="s">
        <v>457</v>
      </c>
      <c r="AC4422" s="4" t="s">
        <v>44</v>
      </c>
    </row>
    <row r="4423" spans="1:29" x14ac:dyDescent="0.25">
      <c r="A4423" s="1">
        <v>3198</v>
      </c>
      <c r="B4423" s="17" t="s">
        <v>18555</v>
      </c>
      <c r="C4423" s="2" t="s">
        <v>18556</v>
      </c>
      <c r="D4423" s="15" t="s">
        <v>750</v>
      </c>
      <c r="E4423" s="9" t="s">
        <v>120</v>
      </c>
      <c r="F4423" s="9" t="s">
        <v>788</v>
      </c>
      <c r="G4423" s="9" t="s">
        <v>341</v>
      </c>
      <c r="H4423" s="2" t="s">
        <v>60</v>
      </c>
      <c r="I4423" s="3">
        <v>37444</v>
      </c>
      <c r="J4423" s="9" t="str">
        <f t="shared" ca="1" si="78"/>
        <v>21 ans</v>
      </c>
      <c r="K4423" s="2" t="s">
        <v>262</v>
      </c>
      <c r="L4423" s="2" t="str">
        <f>"13617"</f>
        <v>13617</v>
      </c>
      <c r="M4423" s="2" t="str">
        <f>"208"</f>
        <v>208</v>
      </c>
      <c r="N4423" s="2" t="str">
        <f>"RUE SAINT-GABRIEL"</f>
        <v>RUE SAINT-GABRIEL</v>
      </c>
      <c r="O4423" s="2" t="s">
        <v>18155</v>
      </c>
      <c r="P4423" s="9" t="str">
        <f>VLOOKUP($O4423,'Liste des Villes'!$B$2:$B$1128,1,FALSE)</f>
        <v>Blainville</v>
      </c>
      <c r="Q4423" s="9" t="str">
        <f>IFERROR($P4423,PROPER(VLOOKUP($O4423,'Villes en erreur'!$A$2:$B$72,2,FALSE)))</f>
        <v>Blainville</v>
      </c>
      <c r="R4423" s="9" t="s">
        <v>18156</v>
      </c>
      <c r="S4423" s="9" t="str">
        <f>IF(ISBLANK($R4423),"",VLOOKUP($R4423,'Liste des Villes'!$B$2:$H$1128,4,FALSE))</f>
        <v>Laurentides</v>
      </c>
      <c r="T4423" s="2" t="s">
        <v>18557</v>
      </c>
      <c r="U4423" s="2" t="s">
        <v>39</v>
      </c>
      <c r="V4423" s="2" t="s">
        <v>40</v>
      </c>
      <c r="W4423" s="2" t="s">
        <v>18558</v>
      </c>
      <c r="X4423" s="2" t="str">
        <f>"5145183509"</f>
        <v>5145183509</v>
      </c>
      <c r="Y4423" s="2" t="str">
        <f>"4505625418"</f>
        <v>4505625418</v>
      </c>
      <c r="Z4423" s="2"/>
      <c r="AA4423" s="2" t="s">
        <v>456</v>
      </c>
      <c r="AB4423" s="2" t="s">
        <v>457</v>
      </c>
      <c r="AC4423" s="4" t="s">
        <v>44</v>
      </c>
    </row>
    <row r="4424" spans="1:29" x14ac:dyDescent="0.25">
      <c r="A4424" s="1">
        <v>4604</v>
      </c>
      <c r="B4424" s="17" t="s">
        <v>18559</v>
      </c>
      <c r="C4424" s="2" t="s">
        <v>3782</v>
      </c>
      <c r="D4424" s="15" t="s">
        <v>3783</v>
      </c>
      <c r="E4424" s="9" t="s">
        <v>179</v>
      </c>
      <c r="F4424" s="9" t="s">
        <v>6248</v>
      </c>
      <c r="G4424" s="9" t="s">
        <v>370</v>
      </c>
      <c r="H4424" s="2" t="s">
        <v>60</v>
      </c>
      <c r="I4424" s="3">
        <v>37509</v>
      </c>
      <c r="J4424" s="9" t="str">
        <f t="shared" ca="1" si="78"/>
        <v>20 ans</v>
      </c>
      <c r="K4424" s="2" t="s">
        <v>262</v>
      </c>
      <c r="L4424" s="2" t="str">
        <f>"17190"</f>
        <v>17190</v>
      </c>
      <c r="M4424" s="2" t="str">
        <f>"3"</f>
        <v>3</v>
      </c>
      <c r="N4424" s="2" t="str">
        <f>"RUE YVES THÉRIAULT"</f>
        <v>RUE YVES THÉRIAULT</v>
      </c>
      <c r="O4424" s="2" t="s">
        <v>18155</v>
      </c>
      <c r="P4424" s="9" t="str">
        <f>VLOOKUP($O4424,'Liste des Villes'!$B$2:$B$1128,1,FALSE)</f>
        <v>Blainville</v>
      </c>
      <c r="Q4424" s="9" t="str">
        <f>IFERROR($P4424,PROPER(VLOOKUP($O4424,'Villes en erreur'!$A$2:$B$72,2,FALSE)))</f>
        <v>Blainville</v>
      </c>
      <c r="R4424" s="9" t="s">
        <v>18156</v>
      </c>
      <c r="S4424" s="9" t="str">
        <f>IF(ISBLANK($R4424),"",VLOOKUP($R4424,'Liste des Villes'!$B$2:$H$1128,4,FALSE))</f>
        <v>Laurentides</v>
      </c>
      <c r="T4424" s="2" t="s">
        <v>18560</v>
      </c>
      <c r="U4424" s="2" t="s">
        <v>39</v>
      </c>
      <c r="V4424" s="2" t="s">
        <v>40</v>
      </c>
      <c r="W4424" s="2" t="s">
        <v>18561</v>
      </c>
      <c r="X4424" s="2" t="str">
        <f>"5798880623"</f>
        <v>5798880623</v>
      </c>
      <c r="Y4424" s="2" t="str">
        <f>"4389393938"</f>
        <v>4389393938</v>
      </c>
      <c r="Z4424" s="2"/>
      <c r="AA4424" s="2" t="s">
        <v>456</v>
      </c>
      <c r="AB4424" s="2" t="s">
        <v>457</v>
      </c>
      <c r="AC4424" s="4" t="s">
        <v>44</v>
      </c>
    </row>
    <row r="4425" spans="1:29" x14ac:dyDescent="0.25">
      <c r="A4425" s="1">
        <v>1663</v>
      </c>
      <c r="B4425" s="17" t="s">
        <v>18562</v>
      </c>
      <c r="C4425" s="2" t="s">
        <v>15962</v>
      </c>
      <c r="D4425" s="15" t="s">
        <v>867</v>
      </c>
      <c r="E4425" s="9" t="s">
        <v>743</v>
      </c>
      <c r="F4425" s="9" t="s">
        <v>1559</v>
      </c>
      <c r="G4425" s="9" t="s">
        <v>3451</v>
      </c>
      <c r="H4425" s="2" t="s">
        <v>60</v>
      </c>
      <c r="I4425" s="3">
        <v>37472</v>
      </c>
      <c r="J4425" s="9" t="str">
        <f t="shared" ca="1" si="78"/>
        <v>21 ans</v>
      </c>
      <c r="K4425" s="2" t="s">
        <v>262</v>
      </c>
      <c r="L4425" s="2" t="str">
        <f>"14260"</f>
        <v>14260</v>
      </c>
      <c r="M4425" s="2" t="str">
        <f>"12"</f>
        <v>12</v>
      </c>
      <c r="N4425" s="2" t="str">
        <f>"RUE ST-ANTOINE"</f>
        <v>RUE ST-ANTOINE</v>
      </c>
      <c r="O4425" s="2" t="s">
        <v>18155</v>
      </c>
      <c r="P4425" s="9" t="str">
        <f>VLOOKUP($O4425,'Liste des Villes'!$B$2:$B$1128,1,FALSE)</f>
        <v>Blainville</v>
      </c>
      <c r="Q4425" s="9" t="str">
        <f>IFERROR($P4425,PROPER(VLOOKUP($O4425,'Villes en erreur'!$A$2:$B$72,2,FALSE)))</f>
        <v>Blainville</v>
      </c>
      <c r="R4425" s="9" t="s">
        <v>18156</v>
      </c>
      <c r="S4425" s="9" t="str">
        <f>IF(ISBLANK($R4425),"",VLOOKUP($R4425,'Liste des Villes'!$B$2:$H$1128,4,FALSE))</f>
        <v>Laurentides</v>
      </c>
      <c r="T4425" s="2" t="s">
        <v>18272</v>
      </c>
      <c r="U4425" s="2" t="s">
        <v>39</v>
      </c>
      <c r="V4425" s="2" t="s">
        <v>40</v>
      </c>
      <c r="W4425" s="2" t="s">
        <v>18563</v>
      </c>
      <c r="X4425" s="2" t="str">
        <f>"5147567739"</f>
        <v>5147567739</v>
      </c>
      <c r="Y4425" s="2" t="str">
        <f>"4504375736"</f>
        <v>4504375736</v>
      </c>
      <c r="Z4425" s="2"/>
      <c r="AA4425" s="2" t="s">
        <v>456</v>
      </c>
      <c r="AB4425" s="2" t="s">
        <v>457</v>
      </c>
      <c r="AC4425" s="4" t="s">
        <v>44</v>
      </c>
    </row>
    <row r="4426" spans="1:29" x14ac:dyDescent="0.25">
      <c r="A4426" s="1">
        <v>2898</v>
      </c>
      <c r="B4426" s="17" t="s">
        <v>18564</v>
      </c>
      <c r="C4426" s="2" t="s">
        <v>14391</v>
      </c>
      <c r="D4426" s="15" t="s">
        <v>5999</v>
      </c>
      <c r="E4426" s="9" t="s">
        <v>253</v>
      </c>
      <c r="F4426" s="9" t="s">
        <v>5998</v>
      </c>
      <c r="G4426" s="9" t="s">
        <v>3194</v>
      </c>
      <c r="H4426" s="2" t="s">
        <v>60</v>
      </c>
      <c r="I4426" s="3">
        <v>37469</v>
      </c>
      <c r="J4426" s="9" t="str">
        <f t="shared" ca="1" si="78"/>
        <v>21 ans</v>
      </c>
      <c r="K4426" s="2" t="s">
        <v>262</v>
      </c>
      <c r="L4426" s="2" t="str">
        <f>"14160"</f>
        <v>14160</v>
      </c>
      <c r="M4426" s="2" t="str">
        <f>"16"</f>
        <v>16</v>
      </c>
      <c r="N4426" s="2" t="str">
        <f>"RUE SIGOUIN"</f>
        <v>RUE SIGOUIN</v>
      </c>
      <c r="O4426" s="2" t="s">
        <v>18155</v>
      </c>
      <c r="P4426" s="9" t="str">
        <f>VLOOKUP($O4426,'Liste des Villes'!$B$2:$B$1128,1,FALSE)</f>
        <v>Blainville</v>
      </c>
      <c r="Q4426" s="9" t="str">
        <f>IFERROR($P4426,PROPER(VLOOKUP($O4426,'Villes en erreur'!$A$2:$B$72,2,FALSE)))</f>
        <v>Blainville</v>
      </c>
      <c r="R4426" s="9" t="s">
        <v>18156</v>
      </c>
      <c r="S4426" s="9" t="str">
        <f>IF(ISBLANK($R4426),"",VLOOKUP($R4426,'Liste des Villes'!$B$2:$H$1128,4,FALSE))</f>
        <v>Laurentides</v>
      </c>
      <c r="T4426" s="2" t="s">
        <v>18197</v>
      </c>
      <c r="U4426" s="2" t="s">
        <v>39</v>
      </c>
      <c r="V4426" s="2" t="s">
        <v>40</v>
      </c>
      <c r="W4426" s="2" t="s">
        <v>18565</v>
      </c>
      <c r="X4426" s="2" t="str">
        <f>"5147135480"</f>
        <v>5147135480</v>
      </c>
      <c r="Y4426" s="2" t="str">
        <f>"4504387654"</f>
        <v>4504387654</v>
      </c>
      <c r="Z4426" s="2"/>
      <c r="AA4426" s="2" t="s">
        <v>456</v>
      </c>
      <c r="AB4426" s="2" t="s">
        <v>457</v>
      </c>
      <c r="AC4426" s="4" t="s">
        <v>44</v>
      </c>
    </row>
    <row r="4427" spans="1:29" x14ac:dyDescent="0.25">
      <c r="A4427" s="1">
        <v>1078</v>
      </c>
      <c r="B4427" s="17" t="s">
        <v>18566</v>
      </c>
      <c r="C4427" s="2" t="s">
        <v>3787</v>
      </c>
      <c r="D4427" s="15" t="s">
        <v>2474</v>
      </c>
      <c r="E4427" s="9" t="s">
        <v>293</v>
      </c>
      <c r="F4427" s="9" t="s">
        <v>4184</v>
      </c>
      <c r="G4427" s="9" t="s">
        <v>2381</v>
      </c>
      <c r="H4427" s="2" t="s">
        <v>35</v>
      </c>
      <c r="I4427" s="3">
        <v>37500</v>
      </c>
      <c r="J4427" s="9" t="str">
        <f t="shared" ca="1" si="78"/>
        <v>20 ans</v>
      </c>
      <c r="K4427" s="2" t="s">
        <v>262</v>
      </c>
      <c r="L4427" s="2" t="str">
        <f>"16785"</f>
        <v>16785</v>
      </c>
      <c r="M4427" s="2" t="str">
        <f>"5"</f>
        <v>5</v>
      </c>
      <c r="N4427" s="2" t="str">
        <f>"RUE VIANNEY"</f>
        <v>RUE VIANNEY</v>
      </c>
      <c r="O4427" s="2" t="s">
        <v>18155</v>
      </c>
      <c r="P4427" s="9" t="str">
        <f>VLOOKUP($O4427,'Liste des Villes'!$B$2:$B$1128,1,FALSE)</f>
        <v>Blainville</v>
      </c>
      <c r="Q4427" s="9" t="str">
        <f>IFERROR($P4427,PROPER(VLOOKUP($O4427,'Villes en erreur'!$A$2:$B$72,2,FALSE)))</f>
        <v>Blainville</v>
      </c>
      <c r="R4427" s="9" t="s">
        <v>18156</v>
      </c>
      <c r="S4427" s="9" t="str">
        <f>IF(ISBLANK($R4427),"",VLOOKUP($R4427,'Liste des Villes'!$B$2:$H$1128,4,FALSE))</f>
        <v>Laurentides</v>
      </c>
      <c r="T4427" s="2" t="s">
        <v>18567</v>
      </c>
      <c r="U4427" s="2" t="s">
        <v>39</v>
      </c>
      <c r="V4427" s="2" t="s">
        <v>40</v>
      </c>
      <c r="W4427" s="2" t="s">
        <v>18568</v>
      </c>
      <c r="X4427" s="2" t="str">
        <f>"5149677960"</f>
        <v>5149677960</v>
      </c>
      <c r="Y4427" s="2" t="str">
        <f>"4502750825"</f>
        <v>4502750825</v>
      </c>
      <c r="Z4427" s="2"/>
      <c r="AA4427" s="2" t="s">
        <v>456</v>
      </c>
      <c r="AB4427" s="2" t="s">
        <v>457</v>
      </c>
      <c r="AC4427" s="4" t="s">
        <v>44</v>
      </c>
    </row>
    <row r="4428" spans="1:29" x14ac:dyDescent="0.25">
      <c r="A4428" s="1">
        <v>86</v>
      </c>
      <c r="B4428" s="17" t="s">
        <v>18569</v>
      </c>
      <c r="C4428" s="2" t="s">
        <v>18570</v>
      </c>
      <c r="D4428" s="15" t="s">
        <v>6612</v>
      </c>
      <c r="E4428" s="9" t="s">
        <v>2787</v>
      </c>
      <c r="F4428" s="9" t="s">
        <v>10667</v>
      </c>
      <c r="G4428" s="9" t="s">
        <v>2274</v>
      </c>
      <c r="H4428" s="2" t="s">
        <v>60</v>
      </c>
      <c r="I4428" s="3">
        <v>37467</v>
      </c>
      <c r="J4428" s="9" t="str">
        <f t="shared" ca="1" si="78"/>
        <v>21 ans</v>
      </c>
      <c r="K4428" s="2" t="s">
        <v>262</v>
      </c>
      <c r="L4428" s="2" t="str">
        <f>"14100"</f>
        <v>14100</v>
      </c>
      <c r="M4428" s="2" t="str">
        <f>"32"</f>
        <v>32</v>
      </c>
      <c r="N4428" s="2" t="str">
        <f>"RUE SCOTT"</f>
        <v>RUE SCOTT</v>
      </c>
      <c r="O4428" s="2" t="s">
        <v>18155</v>
      </c>
      <c r="P4428" s="9" t="str">
        <f>VLOOKUP($O4428,'Liste des Villes'!$B$2:$B$1128,1,FALSE)</f>
        <v>Blainville</v>
      </c>
      <c r="Q4428" s="9" t="str">
        <f>IFERROR($P4428,PROPER(VLOOKUP($O4428,'Villes en erreur'!$A$2:$B$72,2,FALSE)))</f>
        <v>Blainville</v>
      </c>
      <c r="R4428" s="9" t="s">
        <v>18156</v>
      </c>
      <c r="S4428" s="9" t="str">
        <f>IF(ISBLANK($R4428),"",VLOOKUP($R4428,'Liste des Villes'!$B$2:$H$1128,4,FALSE))</f>
        <v>Laurentides</v>
      </c>
      <c r="T4428" s="2" t="s">
        <v>18571</v>
      </c>
      <c r="U4428" s="2" t="s">
        <v>39</v>
      </c>
      <c r="V4428" s="2" t="s">
        <v>40</v>
      </c>
      <c r="W4428" s="2" t="s">
        <v>18572</v>
      </c>
      <c r="X4428" s="2" t="str">
        <f>"5147044088"</f>
        <v>5147044088</v>
      </c>
      <c r="Y4428" s="2" t="str">
        <f>"4504569638"</f>
        <v>4504569638</v>
      </c>
      <c r="Z4428" s="2"/>
      <c r="AA4428" s="2" t="s">
        <v>456</v>
      </c>
      <c r="AB4428" s="2" t="s">
        <v>457</v>
      </c>
      <c r="AC4428" s="4" t="s">
        <v>44</v>
      </c>
    </row>
    <row r="4429" spans="1:29" x14ac:dyDescent="0.25">
      <c r="A4429" s="1">
        <v>3939</v>
      </c>
      <c r="B4429" s="17" t="s">
        <v>18573</v>
      </c>
      <c r="C4429" s="2" t="s">
        <v>2982</v>
      </c>
      <c r="D4429" s="15" t="s">
        <v>2983</v>
      </c>
      <c r="E4429" s="9" t="s">
        <v>370</v>
      </c>
      <c r="F4429" s="9" t="s">
        <v>9158</v>
      </c>
      <c r="G4429" s="9" t="s">
        <v>2305</v>
      </c>
      <c r="H4429" s="2" t="s">
        <v>60</v>
      </c>
      <c r="I4429" s="3">
        <v>37469</v>
      </c>
      <c r="J4429" s="9" t="str">
        <f t="shared" ca="1" si="78"/>
        <v>21 ans</v>
      </c>
      <c r="K4429" s="2" t="s">
        <v>262</v>
      </c>
      <c r="L4429" s="2" t="str">
        <f>"14180"</f>
        <v>14180</v>
      </c>
      <c r="M4429" s="2" t="str">
        <f>"15"</f>
        <v>15</v>
      </c>
      <c r="N4429" s="2" t="str">
        <f>"RUE SIMON"</f>
        <v>RUE SIMON</v>
      </c>
      <c r="O4429" s="2" t="s">
        <v>18155</v>
      </c>
      <c r="P4429" s="9" t="str">
        <f>VLOOKUP($O4429,'Liste des Villes'!$B$2:$B$1128,1,FALSE)</f>
        <v>Blainville</v>
      </c>
      <c r="Q4429" s="9" t="str">
        <f>IFERROR($P4429,PROPER(VLOOKUP($O4429,'Villes en erreur'!$A$2:$B$72,2,FALSE)))</f>
        <v>Blainville</v>
      </c>
      <c r="R4429" s="9" t="s">
        <v>18156</v>
      </c>
      <c r="S4429" s="9" t="str">
        <f>IF(ISBLANK($R4429),"",VLOOKUP($R4429,'Liste des Villes'!$B$2:$H$1128,4,FALSE))</f>
        <v>Laurentides</v>
      </c>
      <c r="T4429" s="2" t="s">
        <v>18272</v>
      </c>
      <c r="U4429" s="2" t="s">
        <v>39</v>
      </c>
      <c r="V4429" s="2" t="s">
        <v>40</v>
      </c>
      <c r="W4429" s="2" t="s">
        <v>18574</v>
      </c>
      <c r="X4429" s="2" t="str">
        <f>"5147147334"</f>
        <v>5147147334</v>
      </c>
      <c r="Y4429" s="2" t="str">
        <f>"4504384123"</f>
        <v>4504384123</v>
      </c>
      <c r="Z4429" s="2"/>
      <c r="AA4429" s="2" t="s">
        <v>456</v>
      </c>
      <c r="AB4429" s="2" t="s">
        <v>457</v>
      </c>
      <c r="AC4429" s="4" t="s">
        <v>44</v>
      </c>
    </row>
    <row r="4430" spans="1:29" x14ac:dyDescent="0.25">
      <c r="A4430" s="1">
        <v>4474</v>
      </c>
      <c r="B4430" s="17" t="s">
        <v>18575</v>
      </c>
      <c r="C4430" s="2" t="s">
        <v>18576</v>
      </c>
      <c r="D4430" s="15" t="s">
        <v>869</v>
      </c>
      <c r="E4430" s="9" t="s">
        <v>1560</v>
      </c>
      <c r="F4430" s="9" t="s">
        <v>867</v>
      </c>
      <c r="G4430" s="9" t="s">
        <v>341</v>
      </c>
      <c r="H4430" s="2" t="s">
        <v>60</v>
      </c>
      <c r="I4430" s="3">
        <v>37450</v>
      </c>
      <c r="J4430" s="9" t="str">
        <f t="shared" ca="1" si="78"/>
        <v>21 ans</v>
      </c>
      <c r="K4430" s="2" t="s">
        <v>262</v>
      </c>
      <c r="L4430" s="2" t="str">
        <f>"13715"</f>
        <v>13715</v>
      </c>
      <c r="M4430" s="2" t="str">
        <f>"201"</f>
        <v>201</v>
      </c>
      <c r="N4430" s="2" t="str">
        <f>"RUE SAINT-JOSEPH"</f>
        <v>RUE SAINT-JOSEPH</v>
      </c>
      <c r="O4430" s="2" t="s">
        <v>18155</v>
      </c>
      <c r="P4430" s="9" t="str">
        <f>VLOOKUP($O4430,'Liste des Villes'!$B$2:$B$1128,1,FALSE)</f>
        <v>Blainville</v>
      </c>
      <c r="Q4430" s="9" t="str">
        <f>IFERROR($P4430,PROPER(VLOOKUP($O4430,'Villes en erreur'!$A$2:$B$72,2,FALSE)))</f>
        <v>Blainville</v>
      </c>
      <c r="R4430" s="9" t="s">
        <v>18156</v>
      </c>
      <c r="S4430" s="9" t="str">
        <f>IF(ISBLANK($R4430),"",VLOOKUP($R4430,'Liste des Villes'!$B$2:$H$1128,4,FALSE))</f>
        <v>Laurentides</v>
      </c>
      <c r="T4430" s="2" t="s">
        <v>18251</v>
      </c>
      <c r="U4430" s="2" t="s">
        <v>39</v>
      </c>
      <c r="V4430" s="2" t="s">
        <v>40</v>
      </c>
      <c r="W4430" s="2" t="s">
        <v>18577</v>
      </c>
      <c r="X4430" s="2" t="str">
        <f>"5145786874"</f>
        <v>5145786874</v>
      </c>
      <c r="Y4430" s="2" t="str">
        <f>"4505309805"</f>
        <v>4505309805</v>
      </c>
      <c r="Z4430" s="2"/>
      <c r="AA4430" s="2" t="s">
        <v>456</v>
      </c>
      <c r="AB4430" s="2" t="s">
        <v>457</v>
      </c>
      <c r="AC4430" s="4" t="s">
        <v>44</v>
      </c>
    </row>
    <row r="4431" spans="1:29" x14ac:dyDescent="0.25">
      <c r="A4431" s="1">
        <v>3798</v>
      </c>
      <c r="B4431" s="17" t="s">
        <v>18578</v>
      </c>
      <c r="C4431" s="2" t="s">
        <v>163</v>
      </c>
      <c r="D4431" s="15" t="s">
        <v>164</v>
      </c>
      <c r="E4431" s="9" t="s">
        <v>165</v>
      </c>
      <c r="F4431" s="9" t="s">
        <v>3350</v>
      </c>
      <c r="G4431" s="9" t="s">
        <v>8482</v>
      </c>
      <c r="H4431" s="2" t="s">
        <v>60</v>
      </c>
      <c r="I4431" s="3">
        <v>37440</v>
      </c>
      <c r="J4431" s="9" t="str">
        <f t="shared" ca="1" si="78"/>
        <v>21 ans</v>
      </c>
      <c r="K4431" s="2" t="s">
        <v>262</v>
      </c>
      <c r="L4431" s="2" t="str">
        <f>"13482"</f>
        <v>13482</v>
      </c>
      <c r="M4431" s="2" t="str">
        <f>"304"</f>
        <v>304</v>
      </c>
      <c r="N4431" s="2" t="str">
        <f>"RUE SAINT-ANTOINE"</f>
        <v>RUE SAINT-ANTOINE</v>
      </c>
      <c r="O4431" s="2" t="s">
        <v>18155</v>
      </c>
      <c r="P4431" s="9" t="str">
        <f>VLOOKUP($O4431,'Liste des Villes'!$B$2:$B$1128,1,FALSE)</f>
        <v>Blainville</v>
      </c>
      <c r="Q4431" s="9" t="str">
        <f>IFERROR($P4431,PROPER(VLOOKUP($O4431,'Villes en erreur'!$A$2:$B$72,2,FALSE)))</f>
        <v>Blainville</v>
      </c>
      <c r="R4431" s="9" t="s">
        <v>18156</v>
      </c>
      <c r="S4431" s="9" t="str">
        <f>IF(ISBLANK($R4431),"",VLOOKUP($R4431,'Liste des Villes'!$B$2:$H$1128,4,FALSE))</f>
        <v>Laurentides</v>
      </c>
      <c r="T4431" s="2" t="s">
        <v>18502</v>
      </c>
      <c r="U4431" s="2" t="s">
        <v>39</v>
      </c>
      <c r="V4431" s="2" t="s">
        <v>40</v>
      </c>
      <c r="W4431" s="2" t="s">
        <v>18579</v>
      </c>
      <c r="X4431" s="2" t="str">
        <f>"5144426128"</f>
        <v>5144426128</v>
      </c>
      <c r="Y4431" s="2" t="str">
        <f>"4505693835"</f>
        <v>4505693835</v>
      </c>
      <c r="Z4431" s="2"/>
      <c r="AA4431" s="2" t="s">
        <v>456</v>
      </c>
      <c r="AB4431" s="2" t="s">
        <v>457</v>
      </c>
      <c r="AC4431" s="4" t="s">
        <v>44</v>
      </c>
    </row>
    <row r="4432" spans="1:29" x14ac:dyDescent="0.25">
      <c r="A4432" s="1">
        <v>1553</v>
      </c>
      <c r="B4432" s="17" t="s">
        <v>18580</v>
      </c>
      <c r="C4432" s="2" t="s">
        <v>7680</v>
      </c>
      <c r="D4432" s="15" t="s">
        <v>7681</v>
      </c>
      <c r="E4432" s="9" t="s">
        <v>1024</v>
      </c>
      <c r="F4432" s="9" t="s">
        <v>1452</v>
      </c>
      <c r="G4432" s="9" t="s">
        <v>503</v>
      </c>
      <c r="H4432" s="2" t="s">
        <v>35</v>
      </c>
      <c r="I4432" s="3">
        <v>37519</v>
      </c>
      <c r="J4432" s="9" t="str">
        <f t="shared" ca="1" si="78"/>
        <v>20 ans</v>
      </c>
      <c r="K4432" s="2" t="s">
        <v>262</v>
      </c>
      <c r="L4432" s="2" t="str">
        <f>"18164"</f>
        <v>18164</v>
      </c>
      <c r="M4432" s="2" t="str">
        <f>"2"</f>
        <v>2</v>
      </c>
      <c r="N4432" s="2" t="str">
        <f>"STE-MARGUERITE"</f>
        <v>STE-MARGUERITE</v>
      </c>
      <c r="O4432" s="2" t="s">
        <v>18155</v>
      </c>
      <c r="P4432" s="9" t="str">
        <f>VLOOKUP($O4432,'Liste des Villes'!$B$2:$B$1128,1,FALSE)</f>
        <v>Blainville</v>
      </c>
      <c r="Q4432" s="9" t="str">
        <f>IFERROR($P4432,PROPER(VLOOKUP($O4432,'Villes en erreur'!$A$2:$B$72,2,FALSE)))</f>
        <v>Blainville</v>
      </c>
      <c r="R4432" s="9" t="s">
        <v>18156</v>
      </c>
      <c r="S4432" s="9" t="str">
        <f>IF(ISBLANK($R4432),"",VLOOKUP($R4432,'Liste des Villes'!$B$2:$H$1128,4,FALSE))</f>
        <v>Laurentides</v>
      </c>
      <c r="T4432" s="2" t="s">
        <v>18581</v>
      </c>
      <c r="U4432" s="2" t="s">
        <v>39</v>
      </c>
      <c r="V4432" s="2" t="s">
        <v>40</v>
      </c>
      <c r="W4432" s="2" t="s">
        <v>18582</v>
      </c>
      <c r="X4432" s="2" t="str">
        <f>"8193252232"</f>
        <v>8193252232</v>
      </c>
      <c r="Y4432" s="2" t="str">
        <f>"4387658231"</f>
        <v>4387658231</v>
      </c>
      <c r="Z4432" s="2"/>
      <c r="AA4432" s="2" t="s">
        <v>456</v>
      </c>
      <c r="AB4432" s="2" t="s">
        <v>457</v>
      </c>
      <c r="AC4432" s="4" t="s">
        <v>44</v>
      </c>
    </row>
    <row r="4433" spans="1:29" x14ac:dyDescent="0.25">
      <c r="A4433" s="1">
        <v>3678</v>
      </c>
      <c r="B4433" s="17" t="s">
        <v>18583</v>
      </c>
      <c r="C4433" s="2" t="s">
        <v>749</v>
      </c>
      <c r="D4433" s="15" t="s">
        <v>750</v>
      </c>
      <c r="E4433" s="9" t="s">
        <v>751</v>
      </c>
      <c r="F4433" s="9" t="s">
        <v>121</v>
      </c>
      <c r="G4433" s="9" t="s">
        <v>2579</v>
      </c>
      <c r="H4433" s="2" t="s">
        <v>60</v>
      </c>
      <c r="I4433" s="3">
        <v>37441</v>
      </c>
      <c r="J4433" s="9" t="str">
        <f t="shared" ca="1" si="78"/>
        <v>21 ans</v>
      </c>
      <c r="K4433" s="2" t="s">
        <v>262</v>
      </c>
      <c r="L4433" s="2" t="str">
        <f>"13505"</f>
        <v>13505</v>
      </c>
      <c r="M4433" s="2" t="str">
        <f>"303"</f>
        <v>303</v>
      </c>
      <c r="N4433" s="2" t="str">
        <f>"RUE SAINT-CAMILLE"</f>
        <v>RUE SAINT-CAMILLE</v>
      </c>
      <c r="O4433" s="2" t="s">
        <v>18155</v>
      </c>
      <c r="P4433" s="9" t="str">
        <f>VLOOKUP($O4433,'Liste des Villes'!$B$2:$B$1128,1,FALSE)</f>
        <v>Blainville</v>
      </c>
      <c r="Q4433" s="9" t="str">
        <f>IFERROR($P4433,PROPER(VLOOKUP($O4433,'Villes en erreur'!$A$2:$B$72,2,FALSE)))</f>
        <v>Blainville</v>
      </c>
      <c r="R4433" s="9" t="s">
        <v>18156</v>
      </c>
      <c r="S4433" s="9" t="str">
        <f>IF(ISBLANK($R4433),"",VLOOKUP($R4433,'Liste des Villes'!$B$2:$H$1128,4,FALSE))</f>
        <v>Laurentides</v>
      </c>
      <c r="T4433" s="2" t="s">
        <v>18584</v>
      </c>
      <c r="U4433" s="2" t="s">
        <v>39</v>
      </c>
      <c r="V4433" s="2" t="s">
        <v>40</v>
      </c>
      <c r="W4433" s="2" t="s">
        <v>18585</v>
      </c>
      <c r="X4433" s="2" t="str">
        <f>"5144628685"</f>
        <v>5144628685</v>
      </c>
      <c r="Y4433" s="2" t="str">
        <f>"4505663654"</f>
        <v>4505663654</v>
      </c>
      <c r="Z4433" s="2"/>
      <c r="AA4433" s="2" t="s">
        <v>456</v>
      </c>
      <c r="AB4433" s="2" t="s">
        <v>457</v>
      </c>
      <c r="AC4433" s="4" t="s">
        <v>44</v>
      </c>
    </row>
    <row r="4434" spans="1:29" x14ac:dyDescent="0.25">
      <c r="A4434" s="1">
        <v>883</v>
      </c>
      <c r="B4434" s="17" t="s">
        <v>18586</v>
      </c>
      <c r="C4434" s="2" t="s">
        <v>8013</v>
      </c>
      <c r="D4434" s="15" t="s">
        <v>677</v>
      </c>
      <c r="E4434" s="9" t="s">
        <v>2381</v>
      </c>
      <c r="F4434" s="9" t="s">
        <v>4745</v>
      </c>
      <c r="G4434" s="9" t="s">
        <v>2404</v>
      </c>
      <c r="H4434" s="2" t="s">
        <v>35</v>
      </c>
      <c r="I4434" s="3">
        <v>37483</v>
      </c>
      <c r="J4434" s="9" t="str">
        <f t="shared" ca="1" si="78"/>
        <v>21 ans</v>
      </c>
      <c r="K4434" s="2" t="s">
        <v>262</v>
      </c>
      <c r="L4434" s="2" t="str">
        <f>"14722"</f>
        <v>14722</v>
      </c>
      <c r="M4434" s="2" t="str">
        <f>"8"</f>
        <v>8</v>
      </c>
      <c r="N4434" s="2" t="str">
        <f>"RUE THERRIEN"</f>
        <v>RUE THERRIEN</v>
      </c>
      <c r="O4434" s="2" t="s">
        <v>18155</v>
      </c>
      <c r="P4434" s="9" t="str">
        <f>VLOOKUP($O4434,'Liste des Villes'!$B$2:$B$1128,1,FALSE)</f>
        <v>Blainville</v>
      </c>
      <c r="Q4434" s="9" t="str">
        <f>IFERROR($P4434,PROPER(VLOOKUP($O4434,'Villes en erreur'!$A$2:$B$72,2,FALSE)))</f>
        <v>Blainville</v>
      </c>
      <c r="R4434" s="9" t="s">
        <v>18156</v>
      </c>
      <c r="S4434" s="9" t="str">
        <f>IF(ISBLANK($R4434),"",VLOOKUP($R4434,'Liste des Villes'!$B$2:$H$1128,4,FALSE))</f>
        <v>Laurentides</v>
      </c>
      <c r="T4434" s="2" t="s">
        <v>18587</v>
      </c>
      <c r="U4434" s="2" t="s">
        <v>39</v>
      </c>
      <c r="V4434" s="2" t="s">
        <v>40</v>
      </c>
      <c r="W4434" s="2" t="s">
        <v>18588</v>
      </c>
      <c r="X4434" s="2" t="str">
        <f>"5147997499"</f>
        <v>5147997499</v>
      </c>
      <c r="Y4434" s="2" t="str">
        <f>"4504330344"</f>
        <v>4504330344</v>
      </c>
      <c r="Z4434" s="2"/>
      <c r="AA4434" s="2" t="s">
        <v>456</v>
      </c>
      <c r="AB4434" s="2" t="s">
        <v>457</v>
      </c>
      <c r="AC4434" s="4" t="s">
        <v>44</v>
      </c>
    </row>
    <row r="4435" spans="1:29" x14ac:dyDescent="0.25">
      <c r="A4435" s="1">
        <v>2577</v>
      </c>
      <c r="B4435" s="17" t="s">
        <v>18589</v>
      </c>
      <c r="C4435" s="2" t="s">
        <v>18590</v>
      </c>
      <c r="D4435" s="15" t="s">
        <v>7730</v>
      </c>
      <c r="E4435" s="9" t="s">
        <v>4191</v>
      </c>
      <c r="F4435" s="9" t="s">
        <v>7729</v>
      </c>
      <c r="G4435" s="9" t="s">
        <v>6058</v>
      </c>
      <c r="H4435" s="2" t="s">
        <v>60</v>
      </c>
      <c r="I4435" s="3">
        <v>37468</v>
      </c>
      <c r="J4435" s="9" t="str">
        <f t="shared" ca="1" si="78"/>
        <v>21 ans</v>
      </c>
      <c r="K4435" s="2" t="s">
        <v>262</v>
      </c>
      <c r="L4435" s="2" t="str">
        <f>"14135"</f>
        <v>14135</v>
      </c>
      <c r="M4435" s="2" t="str">
        <f>"21"</f>
        <v>21</v>
      </c>
      <c r="N4435" s="2" t="str">
        <f>"RUE SIGOUIN"</f>
        <v>RUE SIGOUIN</v>
      </c>
      <c r="O4435" s="2" t="s">
        <v>18155</v>
      </c>
      <c r="P4435" s="9" t="str">
        <f>VLOOKUP($O4435,'Liste des Villes'!$B$2:$B$1128,1,FALSE)</f>
        <v>Blainville</v>
      </c>
      <c r="Q4435" s="9" t="str">
        <f>IFERROR($P4435,PROPER(VLOOKUP($O4435,'Villes en erreur'!$A$2:$B$72,2,FALSE)))</f>
        <v>Blainville</v>
      </c>
      <c r="R4435" s="9" t="s">
        <v>18156</v>
      </c>
      <c r="S4435" s="9" t="str">
        <f>IF(ISBLANK($R4435),"",VLOOKUP($R4435,'Liste des Villes'!$B$2:$H$1128,4,FALSE))</f>
        <v>Laurentides</v>
      </c>
      <c r="T4435" s="2" t="s">
        <v>18197</v>
      </c>
      <c r="U4435" s="2" t="s">
        <v>39</v>
      </c>
      <c r="V4435" s="2" t="s">
        <v>40</v>
      </c>
      <c r="W4435" s="2" t="s">
        <v>18591</v>
      </c>
      <c r="X4435" s="2" t="str">
        <f>"5147112917"</f>
        <v>5147112917</v>
      </c>
      <c r="Y4435" s="2" t="str">
        <f>"4504388823"</f>
        <v>4504388823</v>
      </c>
      <c r="Z4435" s="2"/>
      <c r="AA4435" s="2" t="s">
        <v>456</v>
      </c>
      <c r="AB4435" s="2" t="s">
        <v>457</v>
      </c>
      <c r="AC4435" s="4" t="s">
        <v>44</v>
      </c>
    </row>
    <row r="4436" spans="1:29" x14ac:dyDescent="0.25">
      <c r="A4436" s="1">
        <v>2167</v>
      </c>
      <c r="B4436" s="17" t="s">
        <v>18592</v>
      </c>
      <c r="C4436" s="2" t="s">
        <v>6243</v>
      </c>
      <c r="D4436" s="15" t="s">
        <v>2010</v>
      </c>
      <c r="E4436" s="9" t="s">
        <v>6244</v>
      </c>
      <c r="F4436" s="9" t="s">
        <v>1076</v>
      </c>
      <c r="G4436" s="9" t="s">
        <v>4517</v>
      </c>
      <c r="H4436" s="2" t="s">
        <v>60</v>
      </c>
      <c r="I4436" s="3">
        <v>37462</v>
      </c>
      <c r="J4436" s="9" t="str">
        <f t="shared" ca="1" si="78"/>
        <v>21 ans</v>
      </c>
      <c r="K4436" s="2" t="s">
        <v>262</v>
      </c>
      <c r="L4436" s="2" t="str">
        <f>"13975"</f>
        <v>13975</v>
      </c>
      <c r="M4436" s="2" t="str">
        <f>"101"</f>
        <v>101</v>
      </c>
      <c r="N4436" s="2" t="str">
        <f>"RUE SCHULZ"</f>
        <v>RUE SCHULZ</v>
      </c>
      <c r="O4436" s="2" t="s">
        <v>18155</v>
      </c>
      <c r="P4436" s="9" t="str">
        <f>VLOOKUP($O4436,'Liste des Villes'!$B$2:$B$1128,1,FALSE)</f>
        <v>Blainville</v>
      </c>
      <c r="Q4436" s="9" t="str">
        <f>IFERROR($P4436,PROPER(VLOOKUP($O4436,'Villes en erreur'!$A$2:$B$72,2,FALSE)))</f>
        <v>Blainville</v>
      </c>
      <c r="R4436" s="9" t="s">
        <v>18156</v>
      </c>
      <c r="S4436" s="9" t="str">
        <f>IF(ISBLANK($R4436),"",VLOOKUP($R4436,'Liste des Villes'!$B$2:$H$1128,4,FALSE))</f>
        <v>Laurentides</v>
      </c>
      <c r="T4436" s="2" t="s">
        <v>18593</v>
      </c>
      <c r="U4436" s="2" t="s">
        <v>39</v>
      </c>
      <c r="V4436" s="2" t="s">
        <v>40</v>
      </c>
      <c r="W4436" s="2" t="s">
        <v>18594</v>
      </c>
      <c r="X4436" s="2" t="str">
        <f>"5146685613"</f>
        <v>5146685613</v>
      </c>
      <c r="Y4436" s="2" t="str">
        <f>"4504915031"</f>
        <v>4504915031</v>
      </c>
      <c r="Z4436" s="2"/>
      <c r="AA4436" s="2" t="s">
        <v>456</v>
      </c>
      <c r="AB4436" s="2" t="s">
        <v>457</v>
      </c>
      <c r="AC4436" s="4" t="s">
        <v>44</v>
      </c>
    </row>
    <row r="4437" spans="1:29" x14ac:dyDescent="0.25">
      <c r="A4437" s="1">
        <v>2665</v>
      </c>
      <c r="B4437" s="17" t="s">
        <v>18595</v>
      </c>
      <c r="C4437" s="2" t="s">
        <v>7316</v>
      </c>
      <c r="D4437" s="15" t="s">
        <v>7317</v>
      </c>
      <c r="E4437" s="9" t="s">
        <v>737</v>
      </c>
      <c r="F4437" s="9" t="s">
        <v>738</v>
      </c>
      <c r="G4437" s="9" t="s">
        <v>8482</v>
      </c>
      <c r="H4437" s="2" t="s">
        <v>60</v>
      </c>
      <c r="I4437" s="3">
        <v>37440</v>
      </c>
      <c r="J4437" s="9" t="str">
        <f t="shared" ca="1" si="78"/>
        <v>21 ans</v>
      </c>
      <c r="K4437" s="2" t="s">
        <v>262</v>
      </c>
      <c r="L4437" s="2" t="str">
        <f>"13471"</f>
        <v>13471</v>
      </c>
      <c r="M4437" s="2" t="str">
        <f>"305"</f>
        <v>305</v>
      </c>
      <c r="N4437" s="2" t="str">
        <f>"RUE SAINT-ANTOINE"</f>
        <v>RUE SAINT-ANTOINE</v>
      </c>
      <c r="O4437" s="2" t="s">
        <v>18155</v>
      </c>
      <c r="P4437" s="9" t="str">
        <f>VLOOKUP($O4437,'Liste des Villes'!$B$2:$B$1128,1,FALSE)</f>
        <v>Blainville</v>
      </c>
      <c r="Q4437" s="9" t="str">
        <f>IFERROR($P4437,PROPER(VLOOKUP($O4437,'Villes en erreur'!$A$2:$B$72,2,FALSE)))</f>
        <v>Blainville</v>
      </c>
      <c r="R4437" s="9" t="s">
        <v>18156</v>
      </c>
      <c r="S4437" s="9" t="str">
        <f>IF(ISBLANK($R4437),"",VLOOKUP($R4437,'Liste des Villes'!$B$2:$H$1128,4,FALSE))</f>
        <v>Laurentides</v>
      </c>
      <c r="T4437" s="2" t="s">
        <v>18596</v>
      </c>
      <c r="U4437" s="2" t="s">
        <v>39</v>
      </c>
      <c r="V4437" s="2" t="s">
        <v>40</v>
      </c>
      <c r="W4437" s="2" t="s">
        <v>18597</v>
      </c>
      <c r="X4437" s="2" t="str">
        <f>"5144346790"</f>
        <v>5144346790</v>
      </c>
      <c r="Y4437" s="2" t="str">
        <f>"4505698247"</f>
        <v>4505698247</v>
      </c>
      <c r="Z4437" s="2"/>
      <c r="AA4437" s="2" t="s">
        <v>456</v>
      </c>
      <c r="AB4437" s="2" t="s">
        <v>457</v>
      </c>
      <c r="AC4437" s="4" t="s">
        <v>44</v>
      </c>
    </row>
    <row r="4438" spans="1:29" x14ac:dyDescent="0.25">
      <c r="A4438" s="1">
        <v>2885</v>
      </c>
      <c r="B4438" s="17" t="s">
        <v>18598</v>
      </c>
      <c r="C4438" s="2" t="s">
        <v>18599</v>
      </c>
      <c r="D4438" s="15" t="s">
        <v>9973</v>
      </c>
      <c r="E4438" s="9" t="s">
        <v>1410</v>
      </c>
      <c r="F4438" s="9" t="s">
        <v>9972</v>
      </c>
      <c r="G4438" s="9" t="s">
        <v>4517</v>
      </c>
      <c r="H4438" s="2" t="s">
        <v>60</v>
      </c>
      <c r="I4438" s="3">
        <v>37462</v>
      </c>
      <c r="J4438" s="9" t="str">
        <f t="shared" ca="1" si="78"/>
        <v>21 ans</v>
      </c>
      <c r="K4438" s="2" t="s">
        <v>262</v>
      </c>
      <c r="L4438" s="2" t="str">
        <f>"13974"</f>
        <v>13974</v>
      </c>
      <c r="M4438" s="2" t="str">
        <f>"101"</f>
        <v>101</v>
      </c>
      <c r="N4438" s="2" t="str">
        <f>"RUE SCHULZ"</f>
        <v>RUE SCHULZ</v>
      </c>
      <c r="O4438" s="2" t="s">
        <v>18155</v>
      </c>
      <c r="P4438" s="9" t="str">
        <f>VLOOKUP($O4438,'Liste des Villes'!$B$2:$B$1128,1,FALSE)</f>
        <v>Blainville</v>
      </c>
      <c r="Q4438" s="9" t="str">
        <f>IFERROR($P4438,PROPER(VLOOKUP($O4438,'Villes en erreur'!$A$2:$B$72,2,FALSE)))</f>
        <v>Blainville</v>
      </c>
      <c r="R4438" s="9" t="s">
        <v>18156</v>
      </c>
      <c r="S4438" s="9" t="str">
        <f>IF(ISBLANK($R4438),"",VLOOKUP($R4438,'Liste des Villes'!$B$2:$H$1128,4,FALSE))</f>
        <v>Laurentides</v>
      </c>
      <c r="T4438" s="2" t="s">
        <v>18600</v>
      </c>
      <c r="U4438" s="2" t="s">
        <v>39</v>
      </c>
      <c r="V4438" s="2" t="s">
        <v>40</v>
      </c>
      <c r="W4438" s="2" t="s">
        <v>18601</v>
      </c>
      <c r="X4438" s="2" t="str">
        <f>"5146670806"</f>
        <v>5146670806</v>
      </c>
      <c r="Y4438" s="2" t="str">
        <f>"4504917178"</f>
        <v>4504917178</v>
      </c>
      <c r="Z4438" s="2"/>
      <c r="AA4438" s="2" t="s">
        <v>456</v>
      </c>
      <c r="AB4438" s="2" t="s">
        <v>457</v>
      </c>
      <c r="AC4438" s="4" t="s">
        <v>44</v>
      </c>
    </row>
    <row r="4439" spans="1:29" x14ac:dyDescent="0.25">
      <c r="A4439" s="1">
        <v>1468</v>
      </c>
      <c r="B4439" s="17" t="s">
        <v>18602</v>
      </c>
      <c r="C4439" s="2" t="s">
        <v>18603</v>
      </c>
      <c r="D4439" s="15" t="s">
        <v>18604</v>
      </c>
      <c r="E4439" s="9" t="s">
        <v>15605</v>
      </c>
      <c r="F4439" s="9" t="s">
        <v>18605</v>
      </c>
      <c r="G4439" s="9" t="s">
        <v>2381</v>
      </c>
      <c r="H4439" s="2" t="s">
        <v>35</v>
      </c>
      <c r="I4439" s="3">
        <v>37505</v>
      </c>
      <c r="J4439" s="9" t="str">
        <f t="shared" ca="1" si="78"/>
        <v>20 ans</v>
      </c>
      <c r="K4439" s="2" t="s">
        <v>262</v>
      </c>
      <c r="L4439" s="2" t="str">
        <f>"16984"</f>
        <v>16984</v>
      </c>
      <c r="M4439" s="2" t="str">
        <f>"4"</f>
        <v>4</v>
      </c>
      <c r="N4439" s="2" t="str">
        <f>"RUE WILFRID-PELLETIER"</f>
        <v>RUE WILFRID-PELLETIER</v>
      </c>
      <c r="O4439" s="2" t="s">
        <v>18155</v>
      </c>
      <c r="P4439" s="9" t="str">
        <f>VLOOKUP($O4439,'Liste des Villes'!$B$2:$B$1128,1,FALSE)</f>
        <v>Blainville</v>
      </c>
      <c r="Q4439" s="9" t="str">
        <f>IFERROR($P4439,PROPER(VLOOKUP($O4439,'Villes en erreur'!$A$2:$B$72,2,FALSE)))</f>
        <v>Blainville</v>
      </c>
      <c r="R4439" s="9" t="s">
        <v>18156</v>
      </c>
      <c r="S4439" s="9" t="str">
        <f>IF(ISBLANK($R4439),"",VLOOKUP($R4439,'Liste des Villes'!$B$2:$H$1128,4,FALSE))</f>
        <v>Laurentides</v>
      </c>
      <c r="T4439" s="2" t="s">
        <v>18333</v>
      </c>
      <c r="U4439" s="2" t="s">
        <v>39</v>
      </c>
      <c r="V4439" s="2" t="s">
        <v>40</v>
      </c>
      <c r="W4439" s="2" t="s">
        <v>18606</v>
      </c>
      <c r="X4439" s="2" t="str">
        <f>"5149932906"</f>
        <v>5149932906</v>
      </c>
      <c r="Y4439" s="2" t="str">
        <f>"4502241343"</f>
        <v>4502241343</v>
      </c>
      <c r="Z4439" s="2"/>
      <c r="AA4439" s="2" t="s">
        <v>456</v>
      </c>
      <c r="AB4439" s="2" t="s">
        <v>457</v>
      </c>
      <c r="AC4439" s="4" t="s">
        <v>44</v>
      </c>
    </row>
    <row r="4440" spans="1:29" x14ac:dyDescent="0.25">
      <c r="A4440" s="1">
        <v>3594</v>
      </c>
      <c r="B4440" s="17" t="s">
        <v>18607</v>
      </c>
      <c r="C4440" s="2" t="s">
        <v>18608</v>
      </c>
      <c r="D4440" s="15" t="s">
        <v>4256</v>
      </c>
      <c r="E4440" s="9" t="s">
        <v>11478</v>
      </c>
      <c r="F4440" s="9" t="s">
        <v>12732</v>
      </c>
      <c r="G4440" s="9" t="s">
        <v>341</v>
      </c>
      <c r="H4440" s="2" t="s">
        <v>60</v>
      </c>
      <c r="I4440" s="3">
        <v>37445</v>
      </c>
      <c r="J4440" s="9" t="str">
        <f t="shared" ca="1" si="78"/>
        <v>21 ans</v>
      </c>
      <c r="K4440" s="2" t="s">
        <v>262</v>
      </c>
      <c r="L4440" s="2" t="str">
        <f>"13625"</f>
        <v>13625</v>
      </c>
      <c r="M4440" s="2" t="str">
        <f>"206"</f>
        <v>206</v>
      </c>
      <c r="N4440" s="2" t="str">
        <f>"RUE SAINT-GEORGES"</f>
        <v>RUE SAINT-GEORGES</v>
      </c>
      <c r="O4440" s="2" t="s">
        <v>18155</v>
      </c>
      <c r="P4440" s="9" t="str">
        <f>VLOOKUP($O4440,'Liste des Villes'!$B$2:$B$1128,1,FALSE)</f>
        <v>Blainville</v>
      </c>
      <c r="Q4440" s="9" t="str">
        <f>IFERROR($P4440,PROPER(VLOOKUP($O4440,'Villes en erreur'!$A$2:$B$72,2,FALSE)))</f>
        <v>Blainville</v>
      </c>
      <c r="R4440" s="9" t="s">
        <v>18156</v>
      </c>
      <c r="S4440" s="9" t="str">
        <f>IF(ISBLANK($R4440),"",VLOOKUP($R4440,'Liste des Villes'!$B$2:$H$1128,4,FALSE))</f>
        <v>Laurentides</v>
      </c>
      <c r="T4440" s="2" t="s">
        <v>18609</v>
      </c>
      <c r="U4440" s="2" t="s">
        <v>39</v>
      </c>
      <c r="V4440" s="2" t="s">
        <v>40</v>
      </c>
      <c r="W4440" s="2" t="s">
        <v>18610</v>
      </c>
      <c r="X4440" s="2" t="str">
        <f>"5145492242"</f>
        <v>5145492242</v>
      </c>
      <c r="Y4440" s="2" t="str">
        <f>"4505609059"</f>
        <v>4505609059</v>
      </c>
      <c r="Z4440" s="2"/>
      <c r="AA4440" s="2" t="s">
        <v>456</v>
      </c>
      <c r="AB4440" s="2" t="s">
        <v>457</v>
      </c>
      <c r="AC4440" s="4" t="s">
        <v>44</v>
      </c>
    </row>
    <row r="4441" spans="1:29" x14ac:dyDescent="0.25">
      <c r="A4441" s="1">
        <v>4297</v>
      </c>
      <c r="B4441" s="17" t="s">
        <v>18611</v>
      </c>
      <c r="C4441" s="2" t="s">
        <v>3102</v>
      </c>
      <c r="D4441" s="15" t="s">
        <v>657</v>
      </c>
      <c r="E4441" s="9" t="s">
        <v>452</v>
      </c>
      <c r="F4441" s="9" t="s">
        <v>656</v>
      </c>
      <c r="G4441" s="9" t="s">
        <v>2404</v>
      </c>
      <c r="H4441" s="2" t="s">
        <v>35</v>
      </c>
      <c r="I4441" s="3">
        <v>37487</v>
      </c>
      <c r="J4441" s="9" t="str">
        <f t="shared" ca="1" si="78"/>
        <v>21 ans</v>
      </c>
      <c r="K4441" s="2" t="s">
        <v>262</v>
      </c>
      <c r="L4441" s="2" t="str">
        <f>"15103"</f>
        <v>15103</v>
      </c>
      <c r="M4441" s="2" t="str">
        <f>"7"</f>
        <v>7</v>
      </c>
      <c r="N4441" s="2" t="str">
        <f>"RUE TOUCHETTE"</f>
        <v>RUE TOUCHETTE</v>
      </c>
      <c r="O4441" s="2" t="s">
        <v>18155</v>
      </c>
      <c r="P4441" s="9" t="str">
        <f>VLOOKUP($O4441,'Liste des Villes'!$B$2:$B$1128,1,FALSE)</f>
        <v>Blainville</v>
      </c>
      <c r="Q4441" s="9" t="str">
        <f>IFERROR($P4441,PROPER(VLOOKUP($O4441,'Villes en erreur'!$A$2:$B$72,2,FALSE)))</f>
        <v>Blainville</v>
      </c>
      <c r="R4441" s="9" t="s">
        <v>18156</v>
      </c>
      <c r="S4441" s="9" t="str">
        <f>IF(ISBLANK($R4441),"",VLOOKUP($R4441,'Liste des Villes'!$B$2:$H$1128,4,FALSE))</f>
        <v>Laurentides</v>
      </c>
      <c r="T4441" s="2" t="s">
        <v>18612</v>
      </c>
      <c r="U4441" s="2" t="s">
        <v>39</v>
      </c>
      <c r="V4441" s="2" t="s">
        <v>40</v>
      </c>
      <c r="W4441" s="2" t="s">
        <v>18613</v>
      </c>
      <c r="X4441" s="2" t="str">
        <f>"5148316513"</f>
        <v>5148316513</v>
      </c>
      <c r="Y4441" s="2" t="str">
        <f>"4504321083"</f>
        <v>4504321083</v>
      </c>
      <c r="Z4441" s="2"/>
      <c r="AA4441" s="2" t="s">
        <v>456</v>
      </c>
      <c r="AB4441" s="2" t="s">
        <v>457</v>
      </c>
      <c r="AC4441" s="4" t="s">
        <v>44</v>
      </c>
    </row>
    <row r="4442" spans="1:29" x14ac:dyDescent="0.25">
      <c r="A4442" s="1">
        <v>2794</v>
      </c>
      <c r="B4442" s="17" t="s">
        <v>18614</v>
      </c>
      <c r="C4442" s="2" t="s">
        <v>18615</v>
      </c>
      <c r="D4442" s="15" t="s">
        <v>18426</v>
      </c>
      <c r="E4442" s="9" t="s">
        <v>15864</v>
      </c>
      <c r="F4442" s="9" t="s">
        <v>8118</v>
      </c>
      <c r="G4442" s="9" t="s">
        <v>4517</v>
      </c>
      <c r="H4442" s="2" t="s">
        <v>60</v>
      </c>
      <c r="I4442" s="3">
        <v>37463</v>
      </c>
      <c r="J4442" s="9" t="str">
        <f t="shared" ca="1" si="78"/>
        <v>21 ans</v>
      </c>
      <c r="K4442" s="2" t="s">
        <v>262</v>
      </c>
      <c r="L4442" s="2" t="str">
        <f>"13985"</f>
        <v>13985</v>
      </c>
      <c r="M4442" s="2" t="str">
        <f>"101"</f>
        <v>101</v>
      </c>
      <c r="N4442" s="2" t="str">
        <f>"RUE SCHULZ"</f>
        <v>RUE SCHULZ</v>
      </c>
      <c r="O4442" s="2" t="s">
        <v>18155</v>
      </c>
      <c r="P4442" s="9" t="str">
        <f>VLOOKUP($O4442,'Liste des Villes'!$B$2:$B$1128,1,FALSE)</f>
        <v>Blainville</v>
      </c>
      <c r="Q4442" s="9" t="str">
        <f>IFERROR($P4442,PROPER(VLOOKUP($O4442,'Villes en erreur'!$A$2:$B$72,2,FALSE)))</f>
        <v>Blainville</v>
      </c>
      <c r="R4442" s="9" t="s">
        <v>18156</v>
      </c>
      <c r="S4442" s="9" t="str">
        <f>IF(ISBLANK($R4442),"",VLOOKUP($R4442,'Liste des Villes'!$B$2:$H$1128,4,FALSE))</f>
        <v>Laurentides</v>
      </c>
      <c r="T4442" s="2" t="s">
        <v>18616</v>
      </c>
      <c r="U4442" s="2" t="s">
        <v>39</v>
      </c>
      <c r="V4442" s="2" t="s">
        <v>40</v>
      </c>
      <c r="W4442" s="2" t="s">
        <v>18617</v>
      </c>
      <c r="X4442" s="2" t="str">
        <f>"5146790257"</f>
        <v>5146790257</v>
      </c>
      <c r="Y4442" s="2" t="str">
        <f>"4504911021"</f>
        <v>4504911021</v>
      </c>
      <c r="Z4442" s="2"/>
      <c r="AA4442" s="2" t="s">
        <v>456</v>
      </c>
      <c r="AB4442" s="2" t="s">
        <v>457</v>
      </c>
      <c r="AC4442" s="4" t="s">
        <v>44</v>
      </c>
    </row>
    <row r="4443" spans="1:29" x14ac:dyDescent="0.25">
      <c r="A4443" s="1">
        <v>302</v>
      </c>
      <c r="B4443" s="17" t="s">
        <v>18618</v>
      </c>
      <c r="C4443" s="2" t="s">
        <v>8757</v>
      </c>
      <c r="D4443" s="15" t="s">
        <v>3133</v>
      </c>
      <c r="E4443" s="9" t="s">
        <v>354</v>
      </c>
      <c r="F4443" s="9" t="s">
        <v>355</v>
      </c>
      <c r="G4443" s="9" t="s">
        <v>341</v>
      </c>
      <c r="H4443" s="2" t="s">
        <v>60</v>
      </c>
      <c r="I4443" s="3">
        <v>37455</v>
      </c>
      <c r="J4443" s="9" t="str">
        <f t="shared" ca="1" si="78"/>
        <v>21 ans</v>
      </c>
      <c r="K4443" s="2" t="s">
        <v>262</v>
      </c>
      <c r="L4443" s="2" t="str">
        <f>"13850"</f>
        <v>13850</v>
      </c>
      <c r="M4443" s="2" t="str">
        <f>"105"</f>
        <v>105</v>
      </c>
      <c r="N4443" s="2" t="str">
        <f>"RUE SAINT-STANISLAS"</f>
        <v>RUE SAINT-STANISLAS</v>
      </c>
      <c r="O4443" s="2" t="s">
        <v>18155</v>
      </c>
      <c r="P4443" s="9" t="str">
        <f>VLOOKUP($O4443,'Liste des Villes'!$B$2:$B$1128,1,FALSE)</f>
        <v>Blainville</v>
      </c>
      <c r="Q4443" s="9" t="str">
        <f>IFERROR($P4443,PROPER(VLOOKUP($O4443,'Villes en erreur'!$A$2:$B$72,2,FALSE)))</f>
        <v>Blainville</v>
      </c>
      <c r="R4443" s="9" t="s">
        <v>18156</v>
      </c>
      <c r="S4443" s="9" t="str">
        <f>IF(ISBLANK($R4443),"",VLOOKUP($R4443,'Liste des Villes'!$B$2:$H$1128,4,FALSE))</f>
        <v>Laurentides</v>
      </c>
      <c r="T4443" s="2" t="s">
        <v>18619</v>
      </c>
      <c r="U4443" s="2" t="s">
        <v>39</v>
      </c>
      <c r="V4443" s="2" t="s">
        <v>40</v>
      </c>
      <c r="W4443" s="2" t="s">
        <v>18620</v>
      </c>
      <c r="X4443" s="2" t="str">
        <f>"5146182204"</f>
        <v>5146182204</v>
      </c>
      <c r="Y4443" s="2" t="str">
        <f>"4505128817"</f>
        <v>4505128817</v>
      </c>
      <c r="Z4443" s="2"/>
      <c r="AA4443" s="2" t="s">
        <v>456</v>
      </c>
      <c r="AB4443" s="2" t="s">
        <v>457</v>
      </c>
      <c r="AC4443" s="4" t="s">
        <v>44</v>
      </c>
    </row>
    <row r="4444" spans="1:29" x14ac:dyDescent="0.25">
      <c r="A4444" s="1">
        <v>396</v>
      </c>
      <c r="B4444" s="17" t="s">
        <v>18621</v>
      </c>
      <c r="C4444" s="2" t="s">
        <v>1359</v>
      </c>
      <c r="D4444" s="15" t="s">
        <v>1360</v>
      </c>
      <c r="E4444" s="9" t="s">
        <v>1361</v>
      </c>
      <c r="F4444" s="9" t="s">
        <v>1362</v>
      </c>
      <c r="G4444" s="9" t="s">
        <v>2404</v>
      </c>
      <c r="H4444" s="2" t="s">
        <v>35</v>
      </c>
      <c r="I4444" s="3">
        <v>37483</v>
      </c>
      <c r="J4444" s="9" t="str">
        <f t="shared" ca="1" si="78"/>
        <v>21 ans</v>
      </c>
      <c r="K4444" s="2" t="s">
        <v>262</v>
      </c>
      <c r="L4444" s="2" t="str">
        <f>"14725"</f>
        <v>14725</v>
      </c>
      <c r="M4444" s="2" t="str">
        <f>"8"</f>
        <v>8</v>
      </c>
      <c r="N4444" s="2" t="str">
        <f>"RUE THERRIEN"</f>
        <v>RUE THERRIEN</v>
      </c>
      <c r="O4444" s="2" t="s">
        <v>18155</v>
      </c>
      <c r="P4444" s="9" t="str">
        <f>VLOOKUP($O4444,'Liste des Villes'!$B$2:$B$1128,1,FALSE)</f>
        <v>Blainville</v>
      </c>
      <c r="Q4444" s="9" t="str">
        <f>IFERROR($P4444,PROPER(VLOOKUP($O4444,'Villes en erreur'!$A$2:$B$72,2,FALSE)))</f>
        <v>Blainville</v>
      </c>
      <c r="R4444" s="9" t="s">
        <v>18156</v>
      </c>
      <c r="S4444" s="9" t="str">
        <f>IF(ISBLANK($R4444),"",VLOOKUP($R4444,'Liste des Villes'!$B$2:$H$1128,4,FALSE))</f>
        <v>Laurentides</v>
      </c>
      <c r="T4444" s="2" t="s">
        <v>18225</v>
      </c>
      <c r="U4444" s="2" t="s">
        <v>39</v>
      </c>
      <c r="V4444" s="2" t="s">
        <v>40</v>
      </c>
      <c r="W4444" s="2" t="s">
        <v>18622</v>
      </c>
      <c r="X4444" s="2" t="str">
        <f>"5148044244"</f>
        <v>5148044244</v>
      </c>
      <c r="Y4444" s="2" t="str">
        <f>"4504329887"</f>
        <v>4504329887</v>
      </c>
      <c r="Z4444" s="2"/>
      <c r="AA4444" s="2" t="s">
        <v>456</v>
      </c>
      <c r="AB4444" s="2" t="s">
        <v>457</v>
      </c>
      <c r="AC4444" s="4" t="s">
        <v>44</v>
      </c>
    </row>
    <row r="4445" spans="1:29" x14ac:dyDescent="0.25">
      <c r="A4445" s="1">
        <v>2607</v>
      </c>
      <c r="B4445" s="17" t="s">
        <v>18623</v>
      </c>
      <c r="C4445" s="2" t="s">
        <v>568</v>
      </c>
      <c r="D4445" s="15" t="s">
        <v>569</v>
      </c>
      <c r="E4445" s="9" t="s">
        <v>570</v>
      </c>
      <c r="F4445" s="9" t="s">
        <v>4967</v>
      </c>
      <c r="G4445" s="9" t="s">
        <v>1524</v>
      </c>
      <c r="H4445" s="2" t="s">
        <v>60</v>
      </c>
      <c r="I4445" s="3">
        <v>37495</v>
      </c>
      <c r="J4445" s="9" t="str">
        <f t="shared" ca="1" si="78"/>
        <v>20 ans</v>
      </c>
      <c r="K4445" s="2" t="s">
        <v>262</v>
      </c>
      <c r="L4445" s="2" t="str">
        <f>"16360"</f>
        <v>16360</v>
      </c>
      <c r="M4445" s="2" t="str">
        <f>"5"</f>
        <v>5</v>
      </c>
      <c r="N4445" s="2" t="str">
        <f>"RUE VALIQUETTE"</f>
        <v>RUE VALIQUETTE</v>
      </c>
      <c r="O4445" s="2" t="s">
        <v>18155</v>
      </c>
      <c r="P4445" s="9" t="str">
        <f>VLOOKUP($O4445,'Liste des Villes'!$B$2:$B$1128,1,FALSE)</f>
        <v>Blainville</v>
      </c>
      <c r="Q4445" s="9" t="str">
        <f>IFERROR($P4445,PROPER(VLOOKUP($O4445,'Villes en erreur'!$A$2:$B$72,2,FALSE)))</f>
        <v>Blainville</v>
      </c>
      <c r="R4445" s="9" t="s">
        <v>18156</v>
      </c>
      <c r="S4445" s="9" t="str">
        <f>IF(ISBLANK($R4445),"",VLOOKUP($R4445,'Liste des Villes'!$B$2:$H$1128,4,FALSE))</f>
        <v>Laurentides</v>
      </c>
      <c r="T4445" s="2" t="s">
        <v>18484</v>
      </c>
      <c r="U4445" s="2" t="s">
        <v>39</v>
      </c>
      <c r="V4445" s="2" t="s">
        <v>40</v>
      </c>
      <c r="W4445" s="2" t="s">
        <v>18624</v>
      </c>
      <c r="X4445" s="2" t="str">
        <f>"5149199005"</f>
        <v>5149199005</v>
      </c>
      <c r="Y4445" s="2" t="str">
        <f>"4503042728"</f>
        <v>4503042728</v>
      </c>
      <c r="Z4445" s="2"/>
      <c r="AA4445" s="2" t="s">
        <v>456</v>
      </c>
      <c r="AB4445" s="2" t="s">
        <v>457</v>
      </c>
      <c r="AC4445" s="4" t="s">
        <v>44</v>
      </c>
    </row>
    <row r="4446" spans="1:29" x14ac:dyDescent="0.25">
      <c r="A4446" s="1">
        <v>1046</v>
      </c>
      <c r="B4446" s="17" t="s">
        <v>18625</v>
      </c>
      <c r="C4446" s="2" t="s">
        <v>18626</v>
      </c>
      <c r="D4446" s="15" t="s">
        <v>14863</v>
      </c>
      <c r="E4446" s="9" t="s">
        <v>380</v>
      </c>
      <c r="F4446" s="9" t="s">
        <v>304</v>
      </c>
      <c r="G4446" s="9" t="s">
        <v>341</v>
      </c>
      <c r="H4446" s="2" t="s">
        <v>60</v>
      </c>
      <c r="I4446" s="3">
        <v>37445</v>
      </c>
      <c r="J4446" s="9" t="str">
        <f t="shared" ca="1" si="78"/>
        <v>21 ans</v>
      </c>
      <c r="K4446" s="2" t="s">
        <v>262</v>
      </c>
      <c r="L4446" s="2" t="str">
        <f>"13630"</f>
        <v>13630</v>
      </c>
      <c r="M4446" s="2" t="str">
        <f>"204"</f>
        <v>204</v>
      </c>
      <c r="N4446" s="2" t="str">
        <f>"RUE SAINT-GEORGES"</f>
        <v>RUE SAINT-GEORGES</v>
      </c>
      <c r="O4446" s="2" t="s">
        <v>18155</v>
      </c>
      <c r="P4446" s="9" t="str">
        <f>VLOOKUP($O4446,'Liste des Villes'!$B$2:$B$1128,1,FALSE)</f>
        <v>Blainville</v>
      </c>
      <c r="Q4446" s="9" t="str">
        <f>IFERROR($P4446,PROPER(VLOOKUP($O4446,'Villes en erreur'!$A$2:$B$72,2,FALSE)))</f>
        <v>Blainville</v>
      </c>
      <c r="R4446" s="9" t="s">
        <v>18156</v>
      </c>
      <c r="S4446" s="9" t="str">
        <f>IF(ISBLANK($R4446),"",VLOOKUP($R4446,'Liste des Villes'!$B$2:$H$1128,4,FALSE))</f>
        <v>Laurentides</v>
      </c>
      <c r="T4446" s="2" t="s">
        <v>18627</v>
      </c>
      <c r="U4446" s="2" t="s">
        <v>39</v>
      </c>
      <c r="V4446" s="2" t="s">
        <v>40</v>
      </c>
      <c r="W4446" s="2" t="s">
        <v>18628</v>
      </c>
      <c r="X4446" s="2" t="str">
        <f>"5145531156"</f>
        <v>5145531156</v>
      </c>
      <c r="Y4446" s="2" t="str">
        <f>"4505604913"</f>
        <v>4505604913</v>
      </c>
      <c r="Z4446" s="2"/>
      <c r="AA4446" s="2" t="s">
        <v>456</v>
      </c>
      <c r="AB4446" s="2" t="s">
        <v>457</v>
      </c>
      <c r="AC4446" s="4" t="s">
        <v>44</v>
      </c>
    </row>
    <row r="4447" spans="1:29" x14ac:dyDescent="0.25">
      <c r="A4447" s="1">
        <v>538</v>
      </c>
      <c r="B4447" s="17" t="s">
        <v>18629</v>
      </c>
      <c r="C4447" s="2" t="s">
        <v>18630</v>
      </c>
      <c r="D4447" s="15" t="s">
        <v>10415</v>
      </c>
      <c r="E4447" s="9" t="s">
        <v>2822</v>
      </c>
      <c r="F4447" s="9" t="s">
        <v>10414</v>
      </c>
      <c r="G4447" s="9" t="s">
        <v>10438</v>
      </c>
      <c r="H4447" s="2" t="s">
        <v>60</v>
      </c>
      <c r="I4447" s="3">
        <v>37476</v>
      </c>
      <c r="J4447" s="9" t="str">
        <f t="shared" ca="1" si="78"/>
        <v>21 ans</v>
      </c>
      <c r="K4447" s="2" t="s">
        <v>262</v>
      </c>
      <c r="L4447" s="2" t="str">
        <f>"14470"</f>
        <v>14470</v>
      </c>
      <c r="M4447" s="2" t="str">
        <f>"10"</f>
        <v>10</v>
      </c>
      <c r="N4447" s="2" t="str">
        <f>"RUE SYLVIE"</f>
        <v>RUE SYLVIE</v>
      </c>
      <c r="O4447" s="2" t="s">
        <v>18155</v>
      </c>
      <c r="P4447" s="9" t="str">
        <f>VLOOKUP($O4447,'Liste des Villes'!$B$2:$B$1128,1,FALSE)</f>
        <v>Blainville</v>
      </c>
      <c r="Q4447" s="9" t="str">
        <f>IFERROR($P4447,PROPER(VLOOKUP($O4447,'Villes en erreur'!$A$2:$B$72,2,FALSE)))</f>
        <v>Blainville</v>
      </c>
      <c r="R4447" s="9" t="s">
        <v>18156</v>
      </c>
      <c r="S4447" s="9" t="str">
        <f>IF(ISBLANK($R4447),"",VLOOKUP($R4447,'Liste des Villes'!$B$2:$H$1128,4,FALSE))</f>
        <v>Laurentides</v>
      </c>
      <c r="T4447" s="2" t="s">
        <v>18631</v>
      </c>
      <c r="U4447" s="2" t="s">
        <v>39</v>
      </c>
      <c r="V4447" s="2" t="s">
        <v>40</v>
      </c>
      <c r="W4447" s="2" t="s">
        <v>18632</v>
      </c>
      <c r="X4447" s="2" t="str">
        <f>"5147791699"</f>
        <v>5147791699</v>
      </c>
      <c r="Y4447" s="2" t="str">
        <f>"4504352743"</f>
        <v>4504352743</v>
      </c>
      <c r="Z4447" s="2"/>
      <c r="AA4447" s="2" t="s">
        <v>456</v>
      </c>
      <c r="AB4447" s="2" t="s">
        <v>457</v>
      </c>
      <c r="AC4447" s="4" t="s">
        <v>44</v>
      </c>
    </row>
    <row r="4448" spans="1:29" x14ac:dyDescent="0.25">
      <c r="A4448" s="1">
        <v>3324</v>
      </c>
      <c r="B4448" s="17" t="s">
        <v>18633</v>
      </c>
      <c r="C4448" s="2" t="s">
        <v>16694</v>
      </c>
      <c r="D4448" s="15" t="s">
        <v>3705</v>
      </c>
      <c r="E4448" s="9" t="s">
        <v>10629</v>
      </c>
      <c r="F4448" s="9" t="s">
        <v>7351</v>
      </c>
      <c r="G4448" s="9" t="s">
        <v>6453</v>
      </c>
      <c r="H4448" s="2" t="s">
        <v>60</v>
      </c>
      <c r="I4448" s="3">
        <v>37441</v>
      </c>
      <c r="J4448" s="9" t="str">
        <f t="shared" ca="1" si="78"/>
        <v>21 ans</v>
      </c>
      <c r="K4448" s="2" t="s">
        <v>262</v>
      </c>
      <c r="L4448" s="2" t="str">
        <f>"13495"</f>
        <v>13495</v>
      </c>
      <c r="M4448" s="2" t="str">
        <f>"303"</f>
        <v>303</v>
      </c>
      <c r="N4448" s="2" t="str">
        <f>"RUE SAINT-AUBIN"</f>
        <v>RUE SAINT-AUBIN</v>
      </c>
      <c r="O4448" s="2" t="s">
        <v>18155</v>
      </c>
      <c r="P4448" s="9" t="str">
        <f>VLOOKUP($O4448,'Liste des Villes'!$B$2:$B$1128,1,FALSE)</f>
        <v>Blainville</v>
      </c>
      <c r="Q4448" s="9" t="str">
        <f>IFERROR($P4448,PROPER(VLOOKUP($O4448,'Villes en erreur'!$A$2:$B$72,2,FALSE)))</f>
        <v>Blainville</v>
      </c>
      <c r="R4448" s="9" t="s">
        <v>18156</v>
      </c>
      <c r="S4448" s="9" t="str">
        <f>IF(ISBLANK($R4448),"",VLOOKUP($R4448,'Liste des Villes'!$B$2:$H$1128,4,FALSE))</f>
        <v>Laurentides</v>
      </c>
      <c r="T4448" s="2" t="s">
        <v>18634</v>
      </c>
      <c r="U4448" s="2" t="s">
        <v>39</v>
      </c>
      <c r="V4448" s="2" t="s">
        <v>40</v>
      </c>
      <c r="W4448" s="2" t="s">
        <v>18635</v>
      </c>
      <c r="X4448" s="2" t="str">
        <f>"5144522509"</f>
        <v>5144522509</v>
      </c>
      <c r="Y4448" s="2" t="str">
        <f>"4505690865"</f>
        <v>4505690865</v>
      </c>
      <c r="Z4448" s="2"/>
      <c r="AA4448" s="2" t="s">
        <v>456</v>
      </c>
      <c r="AB4448" s="2" t="s">
        <v>457</v>
      </c>
      <c r="AC4448" s="4" t="s">
        <v>44</v>
      </c>
    </row>
    <row r="4449" spans="1:29" x14ac:dyDescent="0.25">
      <c r="A4449" s="1">
        <v>932</v>
      </c>
      <c r="B4449" s="17" t="s">
        <v>18636</v>
      </c>
      <c r="C4449" s="2" t="s">
        <v>18637</v>
      </c>
      <c r="D4449" s="15" t="s">
        <v>1479</v>
      </c>
      <c r="E4449" s="9" t="s">
        <v>9515</v>
      </c>
      <c r="F4449" s="9" t="s">
        <v>1477</v>
      </c>
      <c r="G4449" s="9" t="s">
        <v>2404</v>
      </c>
      <c r="H4449" s="2" t="s">
        <v>35</v>
      </c>
      <c r="I4449" s="3">
        <v>37481</v>
      </c>
      <c r="J4449" s="9" t="str">
        <f t="shared" ca="1" si="78"/>
        <v>21 ans</v>
      </c>
      <c r="K4449" s="2" t="s">
        <v>262</v>
      </c>
      <c r="L4449" s="2" t="str">
        <f>"14540"</f>
        <v>14540</v>
      </c>
      <c r="M4449" s="2" t="str">
        <f>"9"</f>
        <v>9</v>
      </c>
      <c r="N4449" s="2" t="str">
        <f>"RUE THÉOPHILE-HAMEL"</f>
        <v>RUE THÉOPHILE-HAMEL</v>
      </c>
      <c r="O4449" s="2" t="s">
        <v>18155</v>
      </c>
      <c r="P4449" s="9" t="str">
        <f>VLOOKUP($O4449,'Liste des Villes'!$B$2:$B$1128,1,FALSE)</f>
        <v>Blainville</v>
      </c>
      <c r="Q4449" s="9" t="str">
        <f>IFERROR($P4449,PROPER(VLOOKUP($O4449,'Villes en erreur'!$A$2:$B$72,2,FALSE)))</f>
        <v>Blainville</v>
      </c>
      <c r="R4449" s="9" t="s">
        <v>18156</v>
      </c>
      <c r="S4449" s="9" t="str">
        <f>IF(ISBLANK($R4449),"",VLOOKUP($R4449,'Liste des Villes'!$B$2:$H$1128,4,FALSE))</f>
        <v>Laurentides</v>
      </c>
      <c r="T4449" s="2" t="s">
        <v>18638</v>
      </c>
      <c r="U4449" s="2" t="s">
        <v>39</v>
      </c>
      <c r="V4449" s="2" t="s">
        <v>40</v>
      </c>
      <c r="W4449" s="2" t="s">
        <v>18639</v>
      </c>
      <c r="X4449" s="2" t="str">
        <f>"5147939503"</f>
        <v>5147939503</v>
      </c>
      <c r="Y4449" s="2" t="str">
        <f>"4504347909"</f>
        <v>4504347909</v>
      </c>
      <c r="Z4449" s="2"/>
      <c r="AA4449" s="2" t="s">
        <v>456</v>
      </c>
      <c r="AB4449" s="2" t="s">
        <v>457</v>
      </c>
      <c r="AC4449" s="4" t="s">
        <v>44</v>
      </c>
    </row>
    <row r="4450" spans="1:29" x14ac:dyDescent="0.25">
      <c r="A4450" s="1">
        <v>3557</v>
      </c>
      <c r="B4450" s="17" t="s">
        <v>18640</v>
      </c>
      <c r="C4450" s="2" t="s">
        <v>2290</v>
      </c>
      <c r="D4450" s="15" t="s">
        <v>2291</v>
      </c>
      <c r="E4450" s="9" t="s">
        <v>635</v>
      </c>
      <c r="F4450" s="9" t="s">
        <v>13755</v>
      </c>
      <c r="G4450" s="9" t="s">
        <v>8424</v>
      </c>
      <c r="H4450" s="2" t="s">
        <v>60</v>
      </c>
      <c r="I4450" s="3">
        <v>37462</v>
      </c>
      <c r="J4450" s="9" t="str">
        <f t="shared" ca="1" si="78"/>
        <v>21 ans</v>
      </c>
      <c r="K4450" s="2" t="s">
        <v>262</v>
      </c>
      <c r="L4450" s="2" t="str">
        <f>"13952"</f>
        <v>13952</v>
      </c>
      <c r="M4450" s="2" t="str">
        <f>"102"</f>
        <v>102</v>
      </c>
      <c r="N4450" s="2" t="str">
        <f>"RUE SAUVÉ"</f>
        <v>RUE SAUVÉ</v>
      </c>
      <c r="O4450" s="2" t="s">
        <v>18155</v>
      </c>
      <c r="P4450" s="9" t="str">
        <f>VLOOKUP($O4450,'Liste des Villes'!$B$2:$B$1128,1,FALSE)</f>
        <v>Blainville</v>
      </c>
      <c r="Q4450" s="9" t="str">
        <f>IFERROR($P4450,PROPER(VLOOKUP($O4450,'Villes en erreur'!$A$2:$B$72,2,FALSE)))</f>
        <v>Blainville</v>
      </c>
      <c r="R4450" s="9" t="s">
        <v>18156</v>
      </c>
      <c r="S4450" s="9" t="str">
        <f>IF(ISBLANK($R4450),"",VLOOKUP($R4450,'Liste des Villes'!$B$2:$H$1128,4,FALSE))</f>
        <v>Laurentides</v>
      </c>
      <c r="T4450" s="2" t="s">
        <v>18641</v>
      </c>
      <c r="U4450" s="2" t="s">
        <v>39</v>
      </c>
      <c r="V4450" s="2" t="s">
        <v>40</v>
      </c>
      <c r="W4450" s="2" t="s">
        <v>18642</v>
      </c>
      <c r="X4450" s="2" t="str">
        <f>"5146639164"</f>
        <v>5146639164</v>
      </c>
      <c r="Y4450" s="2" t="str">
        <f>"4505045347"</f>
        <v>4505045347</v>
      </c>
      <c r="Z4450" s="2"/>
      <c r="AA4450" s="2" t="s">
        <v>456</v>
      </c>
      <c r="AB4450" s="2" t="s">
        <v>457</v>
      </c>
      <c r="AC4450" s="4" t="s">
        <v>44</v>
      </c>
    </row>
    <row r="4451" spans="1:29" x14ac:dyDescent="0.25">
      <c r="A4451" s="1">
        <v>803</v>
      </c>
      <c r="B4451" s="17" t="s">
        <v>18643</v>
      </c>
      <c r="C4451" s="2" t="s">
        <v>430</v>
      </c>
      <c r="D4451" s="15" t="s">
        <v>203</v>
      </c>
      <c r="E4451" s="9" t="s">
        <v>431</v>
      </c>
      <c r="F4451" s="9" t="s">
        <v>7374</v>
      </c>
      <c r="G4451" s="9" t="s">
        <v>341</v>
      </c>
      <c r="H4451" s="2" t="s">
        <v>60</v>
      </c>
      <c r="I4451" s="3">
        <v>37453</v>
      </c>
      <c r="J4451" s="9" t="str">
        <f t="shared" ca="1" si="78"/>
        <v>21 ans</v>
      </c>
      <c r="K4451" s="2" t="s">
        <v>262</v>
      </c>
      <c r="L4451" s="2" t="str">
        <f>"13755"</f>
        <v>13755</v>
      </c>
      <c r="M4451" s="2" t="str">
        <f>"135"</f>
        <v>135</v>
      </c>
      <c r="N4451" s="2" t="str">
        <f>"RUE SAINT-LOUIS"</f>
        <v>RUE SAINT-LOUIS</v>
      </c>
      <c r="O4451" s="2" t="s">
        <v>18155</v>
      </c>
      <c r="P4451" s="9" t="str">
        <f>VLOOKUP($O4451,'Liste des Villes'!$B$2:$B$1128,1,FALSE)</f>
        <v>Blainville</v>
      </c>
      <c r="Q4451" s="9" t="str">
        <f>IFERROR($P4451,PROPER(VLOOKUP($O4451,'Villes en erreur'!$A$2:$B$72,2,FALSE)))</f>
        <v>Blainville</v>
      </c>
      <c r="R4451" s="9" t="s">
        <v>18156</v>
      </c>
      <c r="S4451" s="9" t="str">
        <f>IF(ISBLANK($R4451),"",VLOOKUP($R4451,'Liste des Villes'!$B$2:$H$1128,4,FALSE))</f>
        <v>Laurentides</v>
      </c>
      <c r="T4451" s="2" t="s">
        <v>18644</v>
      </c>
      <c r="U4451" s="2" t="s">
        <v>39</v>
      </c>
      <c r="V4451" s="2" t="s">
        <v>40</v>
      </c>
      <c r="W4451" s="2" t="s">
        <v>18645</v>
      </c>
      <c r="X4451" s="2" t="str">
        <f>"5146036345"</f>
        <v>5146036345</v>
      </c>
      <c r="Y4451" s="2" t="str">
        <f>"4505304635"</f>
        <v>4505304635</v>
      </c>
      <c r="Z4451" s="2"/>
      <c r="AA4451" s="2" t="s">
        <v>456</v>
      </c>
      <c r="AB4451" s="2" t="s">
        <v>457</v>
      </c>
      <c r="AC4451" s="4" t="s">
        <v>44</v>
      </c>
    </row>
    <row r="4452" spans="1:29" x14ac:dyDescent="0.25">
      <c r="A4452" s="1">
        <v>1420</v>
      </c>
      <c r="B4452" s="17" t="s">
        <v>18646</v>
      </c>
      <c r="C4452" s="2" t="s">
        <v>18647</v>
      </c>
      <c r="D4452" s="15" t="s">
        <v>957</v>
      </c>
      <c r="E4452" s="9" t="s">
        <v>8598</v>
      </c>
      <c r="F4452" s="9" t="s">
        <v>955</v>
      </c>
      <c r="G4452" s="9" t="s">
        <v>341</v>
      </c>
      <c r="H4452" s="2" t="s">
        <v>60</v>
      </c>
      <c r="I4452" s="3">
        <v>37444</v>
      </c>
      <c r="J4452" s="9" t="str">
        <f t="shared" ca="1" si="78"/>
        <v>21 ans</v>
      </c>
      <c r="K4452" s="2" t="s">
        <v>262</v>
      </c>
      <c r="L4452" s="2" t="str">
        <f>"13610"</f>
        <v>13610</v>
      </c>
      <c r="M4452" s="2" t="str">
        <f>"211"</f>
        <v>211</v>
      </c>
      <c r="N4452" s="2" t="str">
        <f>"RUE SAINT-FAUSTIN"</f>
        <v>RUE SAINT-FAUSTIN</v>
      </c>
      <c r="O4452" s="2" t="s">
        <v>18155</v>
      </c>
      <c r="P4452" s="9" t="str">
        <f>VLOOKUP($O4452,'Liste des Villes'!$B$2:$B$1128,1,FALSE)</f>
        <v>Blainville</v>
      </c>
      <c r="Q4452" s="9" t="str">
        <f>IFERROR($P4452,PROPER(VLOOKUP($O4452,'Villes en erreur'!$A$2:$B$72,2,FALSE)))</f>
        <v>Blainville</v>
      </c>
      <c r="R4452" s="9" t="s">
        <v>18156</v>
      </c>
      <c r="S4452" s="9" t="str">
        <f>IF(ISBLANK($R4452),"",VLOOKUP($R4452,'Liste des Villes'!$B$2:$H$1128,4,FALSE))</f>
        <v>Laurentides</v>
      </c>
      <c r="T4452" s="2" t="s">
        <v>18557</v>
      </c>
      <c r="U4452" s="2" t="s">
        <v>39</v>
      </c>
      <c r="V4452" s="2" t="s">
        <v>40</v>
      </c>
      <c r="W4452" s="2" t="s">
        <v>18648</v>
      </c>
      <c r="X4452" s="2" t="str">
        <f>"5145155935"</f>
        <v>5145155935</v>
      </c>
      <c r="Y4452" s="2" t="str">
        <f>"4505650449"</f>
        <v>4505650449</v>
      </c>
      <c r="Z4452" s="2"/>
      <c r="AA4452" s="2" t="s">
        <v>456</v>
      </c>
      <c r="AB4452" s="2" t="s">
        <v>457</v>
      </c>
      <c r="AC4452" s="4" t="s">
        <v>44</v>
      </c>
    </row>
    <row r="4453" spans="1:29" x14ac:dyDescent="0.25">
      <c r="A4453" s="1">
        <v>2756</v>
      </c>
      <c r="B4453" s="17" t="s">
        <v>18649</v>
      </c>
      <c r="C4453" s="2" t="s">
        <v>18650</v>
      </c>
      <c r="D4453" s="15" t="s">
        <v>12929</v>
      </c>
      <c r="E4453" s="9" t="s">
        <v>3265</v>
      </c>
      <c r="F4453" s="9" t="s">
        <v>10826</v>
      </c>
      <c r="G4453" s="9" t="s">
        <v>2381</v>
      </c>
      <c r="H4453" s="2" t="s">
        <v>35</v>
      </c>
      <c r="I4453" s="3">
        <v>37498</v>
      </c>
      <c r="J4453" s="9" t="str">
        <f t="shared" ca="1" si="78"/>
        <v>20 ans</v>
      </c>
      <c r="K4453" s="2" t="s">
        <v>262</v>
      </c>
      <c r="L4453" s="2" t="str">
        <f>"16705"</f>
        <v>16705</v>
      </c>
      <c r="M4453" s="2" t="str">
        <f>"5"</f>
        <v>5</v>
      </c>
      <c r="N4453" s="2" t="str">
        <f>"RUE VAUDRY"</f>
        <v>RUE VAUDRY</v>
      </c>
      <c r="O4453" s="2" t="s">
        <v>18155</v>
      </c>
      <c r="P4453" s="9" t="str">
        <f>VLOOKUP($O4453,'Liste des Villes'!$B$2:$B$1128,1,FALSE)</f>
        <v>Blainville</v>
      </c>
      <c r="Q4453" s="9" t="str">
        <f>IFERROR($P4453,PROPER(VLOOKUP($O4453,'Villes en erreur'!$A$2:$B$72,2,FALSE)))</f>
        <v>Blainville</v>
      </c>
      <c r="R4453" s="9" t="s">
        <v>18156</v>
      </c>
      <c r="S4453" s="9" t="str">
        <f>IF(ISBLANK($R4453),"",VLOOKUP($R4453,'Liste des Villes'!$B$2:$H$1128,4,FALSE))</f>
        <v>Laurentides</v>
      </c>
      <c r="T4453" s="2" t="s">
        <v>18651</v>
      </c>
      <c r="U4453" s="2" t="s">
        <v>39</v>
      </c>
      <c r="V4453" s="2" t="s">
        <v>40</v>
      </c>
      <c r="W4453" s="2" t="s">
        <v>18652</v>
      </c>
      <c r="X4453" s="2" t="str">
        <f>"5149417624"</f>
        <v>5149417624</v>
      </c>
      <c r="Y4453" s="2" t="str">
        <f>"4502753404"</f>
        <v>4502753404</v>
      </c>
      <c r="Z4453" s="2"/>
      <c r="AA4453" s="2" t="s">
        <v>456</v>
      </c>
      <c r="AB4453" s="2" t="s">
        <v>457</v>
      </c>
      <c r="AC4453" s="4" t="s">
        <v>44</v>
      </c>
    </row>
    <row r="4454" spans="1:29" x14ac:dyDescent="0.25">
      <c r="A4454" s="1">
        <v>3960</v>
      </c>
      <c r="B4454" s="17" t="s">
        <v>18653</v>
      </c>
      <c r="C4454" s="2" t="s">
        <v>18654</v>
      </c>
      <c r="D4454" s="15" t="s">
        <v>18250</v>
      </c>
      <c r="E4454" s="9" t="s">
        <v>120</v>
      </c>
      <c r="F4454" s="9" t="s">
        <v>1913</v>
      </c>
      <c r="G4454" s="9" t="s">
        <v>14916</v>
      </c>
      <c r="H4454" s="2" t="s">
        <v>60</v>
      </c>
      <c r="I4454" s="3">
        <v>37435</v>
      </c>
      <c r="J4454" s="9" t="str">
        <f t="shared" ca="1" si="78"/>
        <v>21 ans</v>
      </c>
      <c r="K4454" s="2" t="s">
        <v>262</v>
      </c>
      <c r="L4454" s="2" t="str">
        <f>"13347"</f>
        <v>13347</v>
      </c>
      <c r="M4454" s="2" t="str">
        <f>"403"</f>
        <v>403</v>
      </c>
      <c r="N4454" s="2" t="str">
        <f>"RUE SAINT CAMILLE"</f>
        <v>RUE SAINT CAMILLE</v>
      </c>
      <c r="O4454" s="2" t="s">
        <v>18155</v>
      </c>
      <c r="P4454" s="9" t="str">
        <f>VLOOKUP($O4454,'Liste des Villes'!$B$2:$B$1128,1,FALSE)</f>
        <v>Blainville</v>
      </c>
      <c r="Q4454" s="9" t="str">
        <f>IFERROR($P4454,PROPER(VLOOKUP($O4454,'Villes en erreur'!$A$2:$B$72,2,FALSE)))</f>
        <v>Blainville</v>
      </c>
      <c r="R4454" s="9" t="s">
        <v>18156</v>
      </c>
      <c r="S4454" s="9" t="str">
        <f>IF(ISBLANK($R4454),"",VLOOKUP($R4454,'Liste des Villes'!$B$2:$H$1128,4,FALSE))</f>
        <v>Laurentides</v>
      </c>
      <c r="T4454" s="2" t="s">
        <v>18655</v>
      </c>
      <c r="U4454" s="2" t="s">
        <v>39</v>
      </c>
      <c r="V4454" s="2" t="s">
        <v>40</v>
      </c>
      <c r="W4454" s="2" t="s">
        <v>18656</v>
      </c>
      <c r="X4454" s="2" t="str">
        <f>"5142917966"</f>
        <v>5142917966</v>
      </c>
      <c r="Y4454" s="2" t="str">
        <f>"4506028652"</f>
        <v>4506028652</v>
      </c>
      <c r="Z4454" s="2"/>
      <c r="AA4454" s="2" t="s">
        <v>456</v>
      </c>
      <c r="AB4454" s="2" t="s">
        <v>457</v>
      </c>
      <c r="AC4454" s="4" t="s">
        <v>44</v>
      </c>
    </row>
    <row r="4455" spans="1:29" x14ac:dyDescent="0.25">
      <c r="A4455" s="1">
        <v>1236</v>
      </c>
      <c r="B4455" s="17" t="s">
        <v>18657</v>
      </c>
      <c r="C4455" s="2" t="s">
        <v>3320</v>
      </c>
      <c r="D4455" s="15" t="s">
        <v>1371</v>
      </c>
      <c r="E4455" s="9" t="s">
        <v>1091</v>
      </c>
      <c r="F4455" s="9" t="s">
        <v>1092</v>
      </c>
      <c r="G4455" s="9" t="s">
        <v>6328</v>
      </c>
      <c r="H4455" s="2" t="s">
        <v>60</v>
      </c>
      <c r="I4455" s="3">
        <v>37492</v>
      </c>
      <c r="J4455" s="9" t="str">
        <f t="shared" ca="1" si="78"/>
        <v>21 ans</v>
      </c>
      <c r="K4455" s="2" t="s">
        <v>262</v>
      </c>
      <c r="L4455" s="2" t="str">
        <f>"16 065"</f>
        <v>16 065</v>
      </c>
      <c r="M4455" s="2" t="str">
        <f>"6"</f>
        <v>6</v>
      </c>
      <c r="N4455" s="2" t="str">
        <f>"RUE VAILLANCOURT"</f>
        <v>RUE VAILLANCOURT</v>
      </c>
      <c r="O4455" s="2" t="s">
        <v>18155</v>
      </c>
      <c r="P4455" s="9" t="str">
        <f>VLOOKUP($O4455,'Liste des Villes'!$B$2:$B$1128,1,FALSE)</f>
        <v>Blainville</v>
      </c>
      <c r="Q4455" s="9" t="str">
        <f>IFERROR($P4455,PROPER(VLOOKUP($O4455,'Villes en erreur'!$A$2:$B$72,2,FALSE)))</f>
        <v>Blainville</v>
      </c>
      <c r="R4455" s="9" t="s">
        <v>18156</v>
      </c>
      <c r="S4455" s="9" t="str">
        <f>IF(ISBLANK($R4455),"",VLOOKUP($R4455,'Liste des Villes'!$B$2:$H$1128,4,FALSE))</f>
        <v>Laurentides</v>
      </c>
      <c r="T4455" s="2" t="s">
        <v>18658</v>
      </c>
      <c r="U4455" s="2" t="s">
        <v>39</v>
      </c>
      <c r="V4455" s="2" t="s">
        <v>40</v>
      </c>
      <c r="W4455" s="2" t="s">
        <v>18659</v>
      </c>
      <c r="X4455" s="2" t="str">
        <f>"5149176883"</f>
        <v>5149176883</v>
      </c>
      <c r="Y4455" s="2" t="str">
        <f>"4504091716"</f>
        <v>4504091716</v>
      </c>
      <c r="Z4455" s="2"/>
      <c r="AA4455" s="2" t="s">
        <v>456</v>
      </c>
      <c r="AB4455" s="2" t="s">
        <v>457</v>
      </c>
      <c r="AC4455" s="4" t="s">
        <v>44</v>
      </c>
    </row>
    <row r="4456" spans="1:29" x14ac:dyDescent="0.25">
      <c r="A4456" s="1">
        <v>1845</v>
      </c>
      <c r="B4456" s="17" t="s">
        <v>18660</v>
      </c>
      <c r="C4456" s="2" t="s">
        <v>13493</v>
      </c>
      <c r="D4456" s="15" t="s">
        <v>13494</v>
      </c>
      <c r="E4456" s="9" t="s">
        <v>277</v>
      </c>
      <c r="F4456" s="9" t="s">
        <v>1951</v>
      </c>
      <c r="G4456" s="9" t="s">
        <v>370</v>
      </c>
      <c r="H4456" s="2" t="s">
        <v>60</v>
      </c>
      <c r="I4456" s="3">
        <v>37510</v>
      </c>
      <c r="J4456" s="9" t="str">
        <f t="shared" ca="1" si="78"/>
        <v>20 ans</v>
      </c>
      <c r="K4456" s="2" t="s">
        <v>262</v>
      </c>
      <c r="L4456" s="2" t="str">
        <f>"17235"</f>
        <v>17235</v>
      </c>
      <c r="M4456" s="2" t="str">
        <f>"3"</f>
        <v>3</v>
      </c>
      <c r="N4456" s="2" t="str">
        <f>"RUE YVONNE-VANIER"</f>
        <v>RUE YVONNE-VANIER</v>
      </c>
      <c r="O4456" s="2" t="s">
        <v>18155</v>
      </c>
      <c r="P4456" s="9" t="str">
        <f>VLOOKUP($O4456,'Liste des Villes'!$B$2:$B$1128,1,FALSE)</f>
        <v>Blainville</v>
      </c>
      <c r="Q4456" s="9" t="str">
        <f>IFERROR($P4456,PROPER(VLOOKUP($O4456,'Villes en erreur'!$A$2:$B$72,2,FALSE)))</f>
        <v>Blainville</v>
      </c>
      <c r="R4456" s="9" t="s">
        <v>18156</v>
      </c>
      <c r="S4456" s="9" t="str">
        <f>IF(ISBLANK($R4456),"",VLOOKUP($R4456,'Liste des Villes'!$B$2:$H$1128,4,FALSE))</f>
        <v>Laurentides</v>
      </c>
      <c r="T4456" s="2" t="s">
        <v>18661</v>
      </c>
      <c r="U4456" s="2" t="s">
        <v>39</v>
      </c>
      <c r="V4456" s="2" t="s">
        <v>40</v>
      </c>
      <c r="W4456" s="2" t="s">
        <v>18662</v>
      </c>
      <c r="X4456" s="2" t="str">
        <f>"5798883001"</f>
        <v>5798883001</v>
      </c>
      <c r="Y4456" s="2" t="str">
        <f>"4389262342"</f>
        <v>4389262342</v>
      </c>
      <c r="Z4456" s="2"/>
      <c r="AA4456" s="2" t="s">
        <v>456</v>
      </c>
      <c r="AB4456" s="2" t="s">
        <v>457</v>
      </c>
      <c r="AC4456" s="4" t="s">
        <v>44</v>
      </c>
    </row>
    <row r="4457" spans="1:29" x14ac:dyDescent="0.25">
      <c r="A4457" s="1">
        <v>3111</v>
      </c>
      <c r="B4457" s="17" t="s">
        <v>18663</v>
      </c>
      <c r="C4457" s="2" t="s">
        <v>3900</v>
      </c>
      <c r="D4457" s="15" t="s">
        <v>1489</v>
      </c>
      <c r="E4457" s="9" t="s">
        <v>3531</v>
      </c>
      <c r="F4457" s="9" t="s">
        <v>1175</v>
      </c>
      <c r="G4457" s="9" t="s">
        <v>2274</v>
      </c>
      <c r="H4457" s="2" t="s">
        <v>60</v>
      </c>
      <c r="I4457" s="3">
        <v>37466</v>
      </c>
      <c r="J4457" s="9" t="str">
        <f t="shared" ca="1" si="78"/>
        <v>21 ans</v>
      </c>
      <c r="K4457" s="2" t="s">
        <v>262</v>
      </c>
      <c r="L4457" s="2" t="str">
        <f>"14100"</f>
        <v>14100</v>
      </c>
      <c r="M4457" s="2" t="str">
        <f>"39"</f>
        <v>39</v>
      </c>
      <c r="N4457" s="2" t="str">
        <f>"RUE SCHULZ"</f>
        <v>RUE SCHULZ</v>
      </c>
      <c r="O4457" s="2" t="s">
        <v>18155</v>
      </c>
      <c r="P4457" s="9" t="str">
        <f>VLOOKUP($O4457,'Liste des Villes'!$B$2:$B$1128,1,FALSE)</f>
        <v>Blainville</v>
      </c>
      <c r="Q4457" s="9" t="str">
        <f>IFERROR($P4457,PROPER(VLOOKUP($O4457,'Villes en erreur'!$A$2:$B$72,2,FALSE)))</f>
        <v>Blainville</v>
      </c>
      <c r="R4457" s="9" t="s">
        <v>18156</v>
      </c>
      <c r="S4457" s="9" t="str">
        <f>IF(ISBLANK($R4457),"",VLOOKUP($R4457,'Liste des Villes'!$B$2:$H$1128,4,FALSE))</f>
        <v>Laurentides</v>
      </c>
      <c r="T4457" s="2" t="s">
        <v>18664</v>
      </c>
      <c r="U4457" s="2" t="s">
        <v>39</v>
      </c>
      <c r="V4457" s="2" t="s">
        <v>40</v>
      </c>
      <c r="W4457" s="2" t="s">
        <v>18665</v>
      </c>
      <c r="X4457" s="2" t="str">
        <f>"5147035234"</f>
        <v>5147035234</v>
      </c>
      <c r="Y4457" s="2" t="str">
        <f>"4504725939"</f>
        <v>4504725939</v>
      </c>
      <c r="Z4457" s="2"/>
      <c r="AA4457" s="2" t="s">
        <v>456</v>
      </c>
      <c r="AB4457" s="2" t="s">
        <v>457</v>
      </c>
      <c r="AC4457" s="4" t="s">
        <v>44</v>
      </c>
    </row>
    <row r="4458" spans="1:29" x14ac:dyDescent="0.25">
      <c r="A4458" s="1">
        <v>2082</v>
      </c>
      <c r="B4458" s="17" t="s">
        <v>18666</v>
      </c>
      <c r="C4458" s="2" t="s">
        <v>18667</v>
      </c>
      <c r="D4458" s="15" t="s">
        <v>11434</v>
      </c>
      <c r="E4458" s="9" t="s">
        <v>186</v>
      </c>
      <c r="F4458" s="9" t="s">
        <v>3402</v>
      </c>
      <c r="G4458" s="9" t="s">
        <v>341</v>
      </c>
      <c r="H4458" s="2" t="s">
        <v>60</v>
      </c>
      <c r="I4458" s="3">
        <v>37450</v>
      </c>
      <c r="J4458" s="9" t="str">
        <f t="shared" ca="1" si="78"/>
        <v>21 ans</v>
      </c>
      <c r="K4458" s="2" t="s">
        <v>262</v>
      </c>
      <c r="L4458" s="2" t="str">
        <f>"13709"</f>
        <v>13709</v>
      </c>
      <c r="M4458" s="2" t="str">
        <f>"201"</f>
        <v>201</v>
      </c>
      <c r="N4458" s="2" t="str">
        <f>"RUE SAINT-JEAN-BAPTISTE"</f>
        <v>RUE SAINT-JEAN-BAPTISTE</v>
      </c>
      <c r="O4458" s="2" t="s">
        <v>18155</v>
      </c>
      <c r="P4458" s="9" t="str">
        <f>VLOOKUP($O4458,'Liste des Villes'!$B$2:$B$1128,1,FALSE)</f>
        <v>Blainville</v>
      </c>
      <c r="Q4458" s="9" t="str">
        <f>IFERROR($P4458,PROPER(VLOOKUP($O4458,'Villes en erreur'!$A$2:$B$72,2,FALSE)))</f>
        <v>Blainville</v>
      </c>
      <c r="R4458" s="9" t="s">
        <v>18156</v>
      </c>
      <c r="S4458" s="9" t="str">
        <f>IF(ISBLANK($R4458),"",VLOOKUP($R4458,'Liste des Villes'!$B$2:$H$1128,4,FALSE))</f>
        <v>Laurentides</v>
      </c>
      <c r="T4458" s="2" t="s">
        <v>18251</v>
      </c>
      <c r="U4458" s="2" t="s">
        <v>39</v>
      </c>
      <c r="V4458" s="2" t="s">
        <v>40</v>
      </c>
      <c r="W4458" s="2" t="s">
        <v>18668</v>
      </c>
      <c r="X4458" s="2" t="str">
        <f>"5145777484"</f>
        <v>5145777484</v>
      </c>
      <c r="Y4458" s="2" t="str">
        <f>"4505334833"</f>
        <v>4505334833</v>
      </c>
      <c r="Z4458" s="2"/>
      <c r="AA4458" s="2" t="s">
        <v>456</v>
      </c>
      <c r="AB4458" s="2" t="s">
        <v>457</v>
      </c>
      <c r="AC4458" s="4" t="s">
        <v>44</v>
      </c>
    </row>
    <row r="4459" spans="1:29" x14ac:dyDescent="0.25">
      <c r="A4459" s="1">
        <v>1760</v>
      </c>
      <c r="B4459" s="17" t="s">
        <v>18669</v>
      </c>
      <c r="C4459" s="2" t="s">
        <v>18670</v>
      </c>
      <c r="D4459" s="15" t="s">
        <v>571</v>
      </c>
      <c r="E4459" s="9" t="s">
        <v>4968</v>
      </c>
      <c r="F4459" s="9" t="s">
        <v>569</v>
      </c>
      <c r="G4459" s="9" t="s">
        <v>4422</v>
      </c>
      <c r="H4459" s="2" t="s">
        <v>60</v>
      </c>
      <c r="I4459" s="3">
        <v>37490</v>
      </c>
      <c r="J4459" s="9" t="str">
        <f t="shared" ca="1" si="78"/>
        <v>21 ans</v>
      </c>
      <c r="K4459" s="2" t="s">
        <v>262</v>
      </c>
      <c r="L4459" s="2" t="str">
        <f>"15770"</f>
        <v>15770</v>
      </c>
      <c r="M4459" s="2" t="str">
        <f>"6"</f>
        <v>6</v>
      </c>
      <c r="N4459" s="2" t="str">
        <f>"RUE TRYVON"</f>
        <v>RUE TRYVON</v>
      </c>
      <c r="O4459" s="2" t="s">
        <v>18155</v>
      </c>
      <c r="P4459" s="9" t="str">
        <f>VLOOKUP($O4459,'Liste des Villes'!$B$2:$B$1128,1,FALSE)</f>
        <v>Blainville</v>
      </c>
      <c r="Q4459" s="9" t="str">
        <f>IFERROR($P4459,PROPER(VLOOKUP($O4459,'Villes en erreur'!$A$2:$B$72,2,FALSE)))</f>
        <v>Blainville</v>
      </c>
      <c r="R4459" s="9" t="s">
        <v>18156</v>
      </c>
      <c r="S4459" s="9" t="str">
        <f>IF(ISBLANK($R4459),"",VLOOKUP($R4459,'Liste des Villes'!$B$2:$H$1128,4,FALSE))</f>
        <v>Laurentides</v>
      </c>
      <c r="T4459" s="2" t="s">
        <v>18671</v>
      </c>
      <c r="U4459" s="2" t="s">
        <v>39</v>
      </c>
      <c r="V4459" s="2" t="s">
        <v>40</v>
      </c>
      <c r="W4459" s="2" t="s">
        <v>18672</v>
      </c>
      <c r="X4459" s="2" t="str">
        <f>"5148942112"</f>
        <v>5148942112</v>
      </c>
      <c r="Y4459" s="2" t="str">
        <f>"4504312115"</f>
        <v>4504312115</v>
      </c>
      <c r="Z4459" s="2"/>
      <c r="AA4459" s="2" t="s">
        <v>456</v>
      </c>
      <c r="AB4459" s="2" t="s">
        <v>457</v>
      </c>
      <c r="AC4459" s="4" t="s">
        <v>44</v>
      </c>
    </row>
    <row r="4460" spans="1:29" x14ac:dyDescent="0.25">
      <c r="A4460" s="1">
        <v>2356</v>
      </c>
      <c r="B4460" s="17" t="s">
        <v>18673</v>
      </c>
      <c r="C4460" s="2" t="s">
        <v>18674</v>
      </c>
      <c r="D4460" s="15" t="s">
        <v>16087</v>
      </c>
      <c r="E4460" s="9" t="s">
        <v>495</v>
      </c>
      <c r="F4460" s="9" t="s">
        <v>4081</v>
      </c>
      <c r="G4460" s="9" t="s">
        <v>6257</v>
      </c>
      <c r="H4460" s="2" t="s">
        <v>60</v>
      </c>
      <c r="I4460" s="3">
        <v>37427</v>
      </c>
      <c r="J4460" s="9" t="str">
        <f t="shared" ca="1" si="78"/>
        <v>21 ans</v>
      </c>
      <c r="K4460" s="2" t="s">
        <v>262</v>
      </c>
      <c r="L4460" s="2" t="str">
        <f>"12825"</f>
        <v>12825</v>
      </c>
      <c r="M4460" s="2" t="str">
        <f>"1044"</f>
        <v>1044</v>
      </c>
      <c r="N4460" s="2" t="str">
        <f>"RUE ROSA"</f>
        <v>RUE ROSA</v>
      </c>
      <c r="O4460" s="2" t="s">
        <v>18155</v>
      </c>
      <c r="P4460" s="9" t="str">
        <f>VLOOKUP($O4460,'Liste des Villes'!$B$2:$B$1128,1,FALSE)</f>
        <v>Blainville</v>
      </c>
      <c r="Q4460" s="9" t="str">
        <f>IFERROR($P4460,PROPER(VLOOKUP($O4460,'Villes en erreur'!$A$2:$B$72,2,FALSE)))</f>
        <v>Blainville</v>
      </c>
      <c r="R4460" s="9" t="s">
        <v>18156</v>
      </c>
      <c r="S4460" s="9" t="str">
        <f>IF(ISBLANK($R4460),"",VLOOKUP($R4460,'Liste des Villes'!$B$2:$H$1128,4,FALSE))</f>
        <v>Laurentides</v>
      </c>
      <c r="T4460" s="2" t="s">
        <v>18217</v>
      </c>
      <c r="U4460" s="2" t="s">
        <v>39</v>
      </c>
      <c r="V4460" s="2" t="s">
        <v>40</v>
      </c>
      <c r="W4460" s="2" t="s">
        <v>18675</v>
      </c>
      <c r="X4460" s="2" t="str">
        <f>"5142242204"</f>
        <v>5142242204</v>
      </c>
      <c r="Y4460" s="2" t="str">
        <f>"4506752424"</f>
        <v>4506752424</v>
      </c>
      <c r="Z4460" s="2"/>
      <c r="AA4460" s="2" t="s">
        <v>456</v>
      </c>
      <c r="AB4460" s="2" t="s">
        <v>457</v>
      </c>
      <c r="AC4460" s="4" t="s">
        <v>44</v>
      </c>
    </row>
    <row r="4461" spans="1:29" x14ac:dyDescent="0.25">
      <c r="A4461" s="1">
        <v>3896</v>
      </c>
      <c r="B4461" s="17" t="s">
        <v>18676</v>
      </c>
      <c r="C4461" s="2" t="s">
        <v>12815</v>
      </c>
      <c r="D4461" s="15" t="s">
        <v>12816</v>
      </c>
      <c r="E4461" s="9" t="s">
        <v>495</v>
      </c>
      <c r="F4461" s="9" t="s">
        <v>5021</v>
      </c>
      <c r="G4461" s="9" t="s">
        <v>370</v>
      </c>
      <c r="H4461" s="2" t="s">
        <v>60</v>
      </c>
      <c r="I4461" s="3">
        <v>37516</v>
      </c>
      <c r="J4461" s="9" t="str">
        <f t="shared" ca="1" si="78"/>
        <v>20 ans</v>
      </c>
      <c r="K4461" s="2" t="s">
        <v>262</v>
      </c>
      <c r="L4461" s="2" t="str">
        <f>"17678"</f>
        <v>17678</v>
      </c>
      <c r="M4461" s="2" t="str">
        <f>"2"</f>
        <v>2</v>
      </c>
      <c r="N4461" s="2" t="str">
        <f>"SAINTE-ROSE BLVD"</f>
        <v>SAINTE-ROSE BLVD</v>
      </c>
      <c r="O4461" s="2" t="s">
        <v>18155</v>
      </c>
      <c r="P4461" s="9" t="str">
        <f>VLOOKUP($O4461,'Liste des Villes'!$B$2:$B$1128,1,FALSE)</f>
        <v>Blainville</v>
      </c>
      <c r="Q4461" s="9" t="str">
        <f>IFERROR($P4461,PROPER(VLOOKUP($O4461,'Villes en erreur'!$A$2:$B$72,2,FALSE)))</f>
        <v>Blainville</v>
      </c>
      <c r="R4461" s="9" t="s">
        <v>18156</v>
      </c>
      <c r="S4461" s="9" t="str">
        <f>IF(ISBLANK($R4461),"",VLOOKUP($R4461,'Liste des Villes'!$B$2:$H$1128,4,FALSE))</f>
        <v>Laurentides</v>
      </c>
      <c r="T4461" s="2" t="s">
        <v>18183</v>
      </c>
      <c r="U4461" s="2" t="s">
        <v>39</v>
      </c>
      <c r="V4461" s="2" t="s">
        <v>40</v>
      </c>
      <c r="W4461" s="2" t="s">
        <v>18677</v>
      </c>
      <c r="X4461" s="2" t="str">
        <f>"8192175242"</f>
        <v>8192175242</v>
      </c>
      <c r="Y4461" s="2" t="str">
        <f>"4388682495"</f>
        <v>4388682495</v>
      </c>
      <c r="Z4461" s="2"/>
      <c r="AA4461" s="2" t="s">
        <v>456</v>
      </c>
      <c r="AB4461" s="2" t="s">
        <v>457</v>
      </c>
      <c r="AC4461" s="4" t="s">
        <v>44</v>
      </c>
    </row>
    <row r="4462" spans="1:29" x14ac:dyDescent="0.25">
      <c r="A4462" s="1">
        <v>1828</v>
      </c>
      <c r="B4462" s="17" t="s">
        <v>18678</v>
      </c>
      <c r="C4462" s="2" t="s">
        <v>18679</v>
      </c>
      <c r="D4462" s="15" t="s">
        <v>5055</v>
      </c>
      <c r="E4462" s="9" t="s">
        <v>495</v>
      </c>
      <c r="F4462" s="9" t="s">
        <v>5054</v>
      </c>
      <c r="G4462" s="9" t="s">
        <v>2404</v>
      </c>
      <c r="H4462" s="2" t="s">
        <v>35</v>
      </c>
      <c r="I4462" s="3">
        <v>37483</v>
      </c>
      <c r="J4462" s="9" t="str">
        <f t="shared" ca="1" si="78"/>
        <v>21 ans</v>
      </c>
      <c r="K4462" s="2" t="s">
        <v>262</v>
      </c>
      <c r="L4462" s="2" t="str">
        <f>"14705"</f>
        <v>14705</v>
      </c>
      <c r="M4462" s="2" t="str">
        <f>"8"</f>
        <v>8</v>
      </c>
      <c r="N4462" s="2" t="str">
        <f>"RUE THERRIEN"</f>
        <v>RUE THERRIEN</v>
      </c>
      <c r="O4462" s="2" t="s">
        <v>18155</v>
      </c>
      <c r="P4462" s="9" t="str">
        <f>VLOOKUP($O4462,'Liste des Villes'!$B$2:$B$1128,1,FALSE)</f>
        <v>Blainville</v>
      </c>
      <c r="Q4462" s="9" t="str">
        <f>IFERROR($P4462,PROPER(VLOOKUP($O4462,'Villes en erreur'!$A$2:$B$72,2,FALSE)))</f>
        <v>Blainville</v>
      </c>
      <c r="R4462" s="9" t="s">
        <v>18156</v>
      </c>
      <c r="S4462" s="9" t="str">
        <f>IF(ISBLANK($R4462),"",VLOOKUP($R4462,'Liste des Villes'!$B$2:$H$1128,4,FALSE))</f>
        <v>Laurentides</v>
      </c>
      <c r="T4462" s="2" t="s">
        <v>18587</v>
      </c>
      <c r="U4462" s="2" t="s">
        <v>39</v>
      </c>
      <c r="V4462" s="2" t="s">
        <v>40</v>
      </c>
      <c r="W4462" s="2" t="s">
        <v>18680</v>
      </c>
      <c r="X4462" s="2" t="str">
        <f>"5147995816"</f>
        <v>5147995816</v>
      </c>
      <c r="Y4462" s="2" t="str">
        <f>"4504330449"</f>
        <v>4504330449</v>
      </c>
      <c r="Z4462" s="2"/>
      <c r="AA4462" s="2" t="s">
        <v>456</v>
      </c>
      <c r="AB4462" s="2" t="s">
        <v>457</v>
      </c>
      <c r="AC4462" s="4" t="s">
        <v>44</v>
      </c>
    </row>
    <row r="4463" spans="1:29" x14ac:dyDescent="0.25">
      <c r="A4463" s="1">
        <v>3296</v>
      </c>
      <c r="B4463" s="17" t="s">
        <v>18681</v>
      </c>
      <c r="C4463" s="2" t="s">
        <v>12304</v>
      </c>
      <c r="D4463" s="15" t="s">
        <v>1479</v>
      </c>
      <c r="E4463" s="9" t="s">
        <v>9308</v>
      </c>
      <c r="F4463" s="9" t="s">
        <v>1477</v>
      </c>
      <c r="G4463" s="9" t="s">
        <v>5511</v>
      </c>
      <c r="H4463" s="2" t="s">
        <v>60</v>
      </c>
      <c r="I4463" s="3">
        <v>37429</v>
      </c>
      <c r="J4463" s="9" t="str">
        <f t="shared" ca="1" si="78"/>
        <v>21 ans</v>
      </c>
      <c r="K4463" s="2" t="s">
        <v>262</v>
      </c>
      <c r="L4463" s="2" t="str">
        <f>"13040"</f>
        <v>13040</v>
      </c>
      <c r="M4463" s="2" t="str">
        <f>"702"</f>
        <v>702</v>
      </c>
      <c r="N4463" s="2" t="str">
        <f>"RUE ROSINE"</f>
        <v>RUE ROSINE</v>
      </c>
      <c r="O4463" s="2" t="s">
        <v>18155</v>
      </c>
      <c r="P4463" s="9" t="str">
        <f>VLOOKUP($O4463,'Liste des Villes'!$B$2:$B$1128,1,FALSE)</f>
        <v>Blainville</v>
      </c>
      <c r="Q4463" s="9" t="str">
        <f>IFERROR($P4463,PROPER(VLOOKUP($O4463,'Villes en erreur'!$A$2:$B$72,2,FALSE)))</f>
        <v>Blainville</v>
      </c>
      <c r="R4463" s="9" t="s">
        <v>18156</v>
      </c>
      <c r="S4463" s="9" t="str">
        <f>IF(ISBLANK($R4463),"",VLOOKUP($R4463,'Liste des Villes'!$B$2:$H$1128,4,FALSE))</f>
        <v>Laurentides</v>
      </c>
      <c r="T4463" s="2" t="s">
        <v>18682</v>
      </c>
      <c r="U4463" s="2" t="s">
        <v>39</v>
      </c>
      <c r="V4463" s="2" t="s">
        <v>40</v>
      </c>
      <c r="W4463" s="2" t="s">
        <v>18683</v>
      </c>
      <c r="X4463" s="2" t="str">
        <f>"5142396201"</f>
        <v>5142396201</v>
      </c>
      <c r="Y4463" s="2" t="str">
        <f>"4506601626"</f>
        <v>4506601626</v>
      </c>
      <c r="Z4463" s="2"/>
      <c r="AA4463" s="2" t="s">
        <v>456</v>
      </c>
      <c r="AB4463" s="2" t="s">
        <v>457</v>
      </c>
      <c r="AC4463" s="4" t="s">
        <v>44</v>
      </c>
    </row>
    <row r="4464" spans="1:29" x14ac:dyDescent="0.25">
      <c r="A4464" s="1">
        <v>3246</v>
      </c>
      <c r="B4464" s="17" t="s">
        <v>18684</v>
      </c>
      <c r="C4464" s="2" t="s">
        <v>18685</v>
      </c>
      <c r="D4464" s="15" t="s">
        <v>7295</v>
      </c>
      <c r="E4464" s="9" t="s">
        <v>1754</v>
      </c>
      <c r="F4464" s="9" t="s">
        <v>2724</v>
      </c>
      <c r="G4464" s="9" t="s">
        <v>341</v>
      </c>
      <c r="H4464" s="2" t="s">
        <v>60</v>
      </c>
      <c r="I4464" s="3">
        <v>37455</v>
      </c>
      <c r="J4464" s="9" t="str">
        <f t="shared" ca="1" si="78"/>
        <v>21 ans</v>
      </c>
      <c r="K4464" s="2" t="s">
        <v>262</v>
      </c>
      <c r="L4464" s="2" t="str">
        <f>"13836"</f>
        <v>13836</v>
      </c>
      <c r="M4464" s="2" t="str">
        <f>"105"</f>
        <v>105</v>
      </c>
      <c r="N4464" s="2" t="str">
        <f>"RUE SAINT-PIERRE"</f>
        <v>RUE SAINT-PIERRE</v>
      </c>
      <c r="O4464" s="2" t="s">
        <v>18155</v>
      </c>
      <c r="P4464" s="9" t="str">
        <f>VLOOKUP($O4464,'Liste des Villes'!$B$2:$B$1128,1,FALSE)</f>
        <v>Blainville</v>
      </c>
      <c r="Q4464" s="9" t="str">
        <f>IFERROR($P4464,PROPER(VLOOKUP($O4464,'Villes en erreur'!$A$2:$B$72,2,FALSE)))</f>
        <v>Blainville</v>
      </c>
      <c r="R4464" s="9" t="s">
        <v>18156</v>
      </c>
      <c r="S4464" s="9" t="str">
        <f>IF(ISBLANK($R4464),"",VLOOKUP($R4464,'Liste des Villes'!$B$2:$H$1128,4,FALSE))</f>
        <v>Laurentides</v>
      </c>
      <c r="T4464" s="2" t="s">
        <v>18686</v>
      </c>
      <c r="U4464" s="2" t="s">
        <v>39</v>
      </c>
      <c r="V4464" s="2" t="s">
        <v>40</v>
      </c>
      <c r="W4464" s="2" t="s">
        <v>18687</v>
      </c>
      <c r="X4464" s="2" t="str">
        <f>"5146161114"</f>
        <v>5146161114</v>
      </c>
      <c r="Y4464" s="2" t="str">
        <f>"4505160395"</f>
        <v>4505160395</v>
      </c>
      <c r="Z4464" s="2"/>
      <c r="AA4464" s="2" t="s">
        <v>456</v>
      </c>
      <c r="AB4464" s="2" t="s">
        <v>457</v>
      </c>
      <c r="AC4464" s="4" t="s">
        <v>44</v>
      </c>
    </row>
    <row r="4465" spans="1:29" x14ac:dyDescent="0.25">
      <c r="A4465" s="1">
        <v>4607</v>
      </c>
      <c r="B4465" s="17" t="s">
        <v>18688</v>
      </c>
      <c r="C4465" s="2" t="s">
        <v>18689</v>
      </c>
      <c r="D4465" s="15" t="s">
        <v>15797</v>
      </c>
      <c r="E4465" s="9" t="s">
        <v>743</v>
      </c>
      <c r="F4465" s="9" t="s">
        <v>15796</v>
      </c>
      <c r="G4465" s="9" t="s">
        <v>1788</v>
      </c>
      <c r="H4465" s="2" t="s">
        <v>60</v>
      </c>
      <c r="I4465" s="3">
        <v>37527</v>
      </c>
      <c r="J4465" s="9" t="str">
        <f t="shared" ca="1" si="78"/>
        <v>20 ans</v>
      </c>
      <c r="K4465" s="2" t="s">
        <v>262</v>
      </c>
      <c r="L4465" s="2" t="str">
        <f>"18748"</f>
        <v>18748</v>
      </c>
      <c r="M4465" s="2" t="str">
        <f>"1"</f>
        <v>1</v>
      </c>
      <c r="N4465" s="2" t="str">
        <f>"TSSE COLONIA"</f>
        <v>TSSE COLONIA</v>
      </c>
      <c r="O4465" s="2" t="s">
        <v>18155</v>
      </c>
      <c r="P4465" s="9" t="str">
        <f>VLOOKUP($O4465,'Liste des Villes'!$B$2:$B$1128,1,FALSE)</f>
        <v>Blainville</v>
      </c>
      <c r="Q4465" s="9" t="str">
        <f>IFERROR($P4465,PROPER(VLOOKUP($O4465,'Villes en erreur'!$A$2:$B$72,2,FALSE)))</f>
        <v>Blainville</v>
      </c>
      <c r="R4465" s="9" t="s">
        <v>18156</v>
      </c>
      <c r="S4465" s="9" t="str">
        <f>IF(ISBLANK($R4465),"",VLOOKUP($R4465,'Liste des Villes'!$B$2:$H$1128,4,FALSE))</f>
        <v>Laurentides</v>
      </c>
      <c r="T4465" s="2" t="s">
        <v>18690</v>
      </c>
      <c r="U4465" s="2" t="s">
        <v>39</v>
      </c>
      <c r="V4465" s="2" t="s">
        <v>40</v>
      </c>
      <c r="W4465" s="2" t="s">
        <v>18691</v>
      </c>
      <c r="X4465" s="2" t="str">
        <f>"8196646611"</f>
        <v>8196646611</v>
      </c>
      <c r="Y4465" s="2" t="str">
        <f>"4383998207"</f>
        <v>4383998207</v>
      </c>
      <c r="Z4465" s="2" t="str">
        <f>"4507121574"</f>
        <v>4507121574</v>
      </c>
      <c r="AA4465" s="2" t="s">
        <v>456</v>
      </c>
      <c r="AB4465" s="2" t="s">
        <v>457</v>
      </c>
      <c r="AC4465" s="4" t="s">
        <v>44</v>
      </c>
    </row>
    <row r="4466" spans="1:29" x14ac:dyDescent="0.25">
      <c r="A4466" s="1">
        <v>4586</v>
      </c>
      <c r="B4466" s="17" t="s">
        <v>18692</v>
      </c>
      <c r="C4466" s="2" t="s">
        <v>18693</v>
      </c>
      <c r="D4466" s="15" t="s">
        <v>16766</v>
      </c>
      <c r="E4466" s="9" t="s">
        <v>3595</v>
      </c>
      <c r="F4466" s="9" t="s">
        <v>3596</v>
      </c>
      <c r="G4466" s="9" t="s">
        <v>2381</v>
      </c>
      <c r="H4466" s="2" t="s">
        <v>35</v>
      </c>
      <c r="I4466" s="3">
        <v>37498</v>
      </c>
      <c r="J4466" s="9" t="str">
        <f t="shared" ca="1" si="78"/>
        <v>20 ans</v>
      </c>
      <c r="K4466" s="2" t="s">
        <v>262</v>
      </c>
      <c r="L4466" s="2" t="str">
        <f>"16730"</f>
        <v>16730</v>
      </c>
      <c r="M4466" s="2" t="str">
        <f>"5"</f>
        <v>5</v>
      </c>
      <c r="N4466" s="2" t="str">
        <f>"RUE VEILLEUX"</f>
        <v>RUE VEILLEUX</v>
      </c>
      <c r="O4466" s="2" t="s">
        <v>18155</v>
      </c>
      <c r="P4466" s="9" t="str">
        <f>VLOOKUP($O4466,'Liste des Villes'!$B$2:$B$1128,1,FALSE)</f>
        <v>Blainville</v>
      </c>
      <c r="Q4466" s="9" t="str">
        <f>IFERROR($P4466,PROPER(VLOOKUP($O4466,'Villes en erreur'!$A$2:$B$72,2,FALSE)))</f>
        <v>Blainville</v>
      </c>
      <c r="R4466" s="9" t="s">
        <v>18156</v>
      </c>
      <c r="S4466" s="9" t="str">
        <f>IF(ISBLANK($R4466),"",VLOOKUP($R4466,'Liste des Villes'!$B$2:$H$1128,4,FALSE))</f>
        <v>Laurentides</v>
      </c>
      <c r="T4466" s="2" t="s">
        <v>18694</v>
      </c>
      <c r="U4466" s="2" t="s">
        <v>39</v>
      </c>
      <c r="V4466" s="2" t="s">
        <v>40</v>
      </c>
      <c r="W4466" s="2" t="s">
        <v>18695</v>
      </c>
      <c r="X4466" s="2" t="str">
        <f>"5149463761"</f>
        <v>5149463761</v>
      </c>
      <c r="Y4466" s="2" t="str">
        <f>"4502752063"</f>
        <v>4502752063</v>
      </c>
      <c r="Z4466" s="2"/>
      <c r="AA4466" s="2" t="s">
        <v>456</v>
      </c>
      <c r="AB4466" s="2" t="s">
        <v>457</v>
      </c>
      <c r="AC4466" s="4" t="s">
        <v>44</v>
      </c>
    </row>
    <row r="4467" spans="1:29" x14ac:dyDescent="0.25">
      <c r="A4467" s="1">
        <v>565</v>
      </c>
      <c r="B4467" s="17" t="s">
        <v>18696</v>
      </c>
      <c r="C4467" s="2" t="s">
        <v>18697</v>
      </c>
      <c r="D4467" s="15" t="s">
        <v>7561</v>
      </c>
      <c r="E4467" s="9" t="s">
        <v>6703</v>
      </c>
      <c r="F4467" s="9" t="s">
        <v>7560</v>
      </c>
      <c r="G4467" s="9" t="s">
        <v>2381</v>
      </c>
      <c r="H4467" s="2" t="s">
        <v>35</v>
      </c>
      <c r="I4467" s="3">
        <v>37499</v>
      </c>
      <c r="J4467" s="9" t="str">
        <f t="shared" ca="1" si="78"/>
        <v>20 ans</v>
      </c>
      <c r="K4467" s="2" t="s">
        <v>262</v>
      </c>
      <c r="L4467" s="2" t="str">
        <f>"16740"</f>
        <v>16740</v>
      </c>
      <c r="M4467" s="2" t="str">
        <f>"5"</f>
        <v>5</v>
      </c>
      <c r="N4467" s="2" t="str">
        <f>"RUE VERSCHELDEN"</f>
        <v>RUE VERSCHELDEN</v>
      </c>
      <c r="O4467" s="2" t="s">
        <v>18155</v>
      </c>
      <c r="P4467" s="9" t="str">
        <f>VLOOKUP($O4467,'Liste des Villes'!$B$2:$B$1128,1,FALSE)</f>
        <v>Blainville</v>
      </c>
      <c r="Q4467" s="9" t="str">
        <f>IFERROR($P4467,PROPER(VLOOKUP($O4467,'Villes en erreur'!$A$2:$B$72,2,FALSE)))</f>
        <v>Blainville</v>
      </c>
      <c r="R4467" s="9" t="s">
        <v>18156</v>
      </c>
      <c r="S4467" s="9" t="str">
        <f>IF(ISBLANK($R4467),"",VLOOKUP($R4467,'Liste des Villes'!$B$2:$H$1128,4,FALSE))</f>
        <v>Laurentides</v>
      </c>
      <c r="T4467" s="2" t="s">
        <v>18698</v>
      </c>
      <c r="U4467" s="2" t="s">
        <v>39</v>
      </c>
      <c r="V4467" s="2" t="s">
        <v>40</v>
      </c>
      <c r="W4467" s="2" t="s">
        <v>18699</v>
      </c>
      <c r="X4467" s="2" t="str">
        <f>"5149622643"</f>
        <v>5149622643</v>
      </c>
      <c r="Y4467" s="2" t="str">
        <f>"4502751579"</f>
        <v>4502751579</v>
      </c>
      <c r="Z4467" s="2"/>
      <c r="AA4467" s="2" t="s">
        <v>456</v>
      </c>
      <c r="AB4467" s="2" t="s">
        <v>457</v>
      </c>
      <c r="AC4467" s="4" t="s">
        <v>44</v>
      </c>
    </row>
    <row r="4468" spans="1:29" x14ac:dyDescent="0.25">
      <c r="A4468" s="1">
        <v>3394</v>
      </c>
      <c r="B4468" s="17" t="s">
        <v>18700</v>
      </c>
      <c r="C4468" s="2" t="s">
        <v>18701</v>
      </c>
      <c r="D4468" s="15" t="s">
        <v>12180</v>
      </c>
      <c r="E4468" s="9" t="s">
        <v>2217</v>
      </c>
      <c r="F4468" s="9" t="s">
        <v>12179</v>
      </c>
      <c r="G4468" s="9" t="s">
        <v>2381</v>
      </c>
      <c r="H4468" s="2" t="s">
        <v>35</v>
      </c>
      <c r="I4468" s="3">
        <v>37504</v>
      </c>
      <c r="J4468" s="9" t="str">
        <f t="shared" ca="1" si="78"/>
        <v>20 ans</v>
      </c>
      <c r="K4468" s="2" t="s">
        <v>262</v>
      </c>
      <c r="L4468" s="2" t="str">
        <f>"16920"</f>
        <v>16920</v>
      </c>
      <c r="M4468" s="2" t="str">
        <f>"4"</f>
        <v>4</v>
      </c>
      <c r="N4468" s="2" t="str">
        <f>"RUE WILFRID-PELLETIER"</f>
        <v>RUE WILFRID-PELLETIER</v>
      </c>
      <c r="O4468" s="2" t="s">
        <v>18155</v>
      </c>
      <c r="P4468" s="9" t="str">
        <f>VLOOKUP($O4468,'Liste des Villes'!$B$2:$B$1128,1,FALSE)</f>
        <v>Blainville</v>
      </c>
      <c r="Q4468" s="9" t="str">
        <f>IFERROR($P4468,PROPER(VLOOKUP($O4468,'Villes en erreur'!$A$2:$B$72,2,FALSE)))</f>
        <v>Blainville</v>
      </c>
      <c r="R4468" s="9" t="s">
        <v>18156</v>
      </c>
      <c r="S4468" s="9" t="str">
        <f>IF(ISBLANK($R4468),"",VLOOKUP($R4468,'Liste des Villes'!$B$2:$H$1128,4,FALSE))</f>
        <v>Laurentides</v>
      </c>
      <c r="T4468" s="2" t="s">
        <v>18702</v>
      </c>
      <c r="U4468" s="2" t="s">
        <v>39</v>
      </c>
      <c r="V4468" s="2" t="s">
        <v>40</v>
      </c>
      <c r="W4468" s="2" t="s">
        <v>18703</v>
      </c>
      <c r="X4468" s="2" t="str">
        <f>"5149784615"</f>
        <v>5149784615</v>
      </c>
      <c r="Y4468" s="2" t="str">
        <f>"4502244297"</f>
        <v>4502244297</v>
      </c>
      <c r="Z4468" s="2"/>
      <c r="AA4468" s="2" t="s">
        <v>456</v>
      </c>
      <c r="AB4468" s="2" t="s">
        <v>457</v>
      </c>
      <c r="AC4468" s="4" t="s">
        <v>44</v>
      </c>
    </row>
    <row r="4469" spans="1:29" x14ac:dyDescent="0.25">
      <c r="A4469" s="1">
        <v>3543</v>
      </c>
      <c r="B4469" s="17" t="s">
        <v>18704</v>
      </c>
      <c r="C4469" s="2" t="s">
        <v>18705</v>
      </c>
      <c r="D4469" s="15" t="s">
        <v>3767</v>
      </c>
      <c r="E4469" s="9" t="s">
        <v>775</v>
      </c>
      <c r="F4469" s="9" t="s">
        <v>3765</v>
      </c>
      <c r="G4469" s="9" t="s">
        <v>341</v>
      </c>
      <c r="H4469" s="2" t="s">
        <v>60</v>
      </c>
      <c r="I4469" s="3">
        <v>37443</v>
      </c>
      <c r="J4469" s="9" t="str">
        <f t="shared" ca="1" si="78"/>
        <v>21 ans</v>
      </c>
      <c r="K4469" s="2" t="s">
        <v>262</v>
      </c>
      <c r="L4469" s="2" t="str">
        <f>"13595"</f>
        <v>13595</v>
      </c>
      <c r="M4469" s="2" t="str">
        <f>"301"</f>
        <v>301</v>
      </c>
      <c r="N4469" s="2" t="str">
        <f>"RUE SAINT-ÉMILION"</f>
        <v>RUE SAINT-ÉMILION</v>
      </c>
      <c r="O4469" s="2" t="s">
        <v>18155</v>
      </c>
      <c r="P4469" s="9" t="str">
        <f>VLOOKUP($O4469,'Liste des Villes'!$B$2:$B$1128,1,FALSE)</f>
        <v>Blainville</v>
      </c>
      <c r="Q4469" s="9" t="str">
        <f>IFERROR($P4469,PROPER(VLOOKUP($O4469,'Villes en erreur'!$A$2:$B$72,2,FALSE)))</f>
        <v>Blainville</v>
      </c>
      <c r="R4469" s="9" t="s">
        <v>18156</v>
      </c>
      <c r="S4469" s="9" t="str">
        <f>IF(ISBLANK($R4469),"",VLOOKUP($R4469,'Liste des Villes'!$B$2:$H$1128,4,FALSE))</f>
        <v>Laurentides</v>
      </c>
      <c r="T4469" s="2" t="s">
        <v>18706</v>
      </c>
      <c r="U4469" s="2" t="s">
        <v>39</v>
      </c>
      <c r="V4469" s="2" t="s">
        <v>40</v>
      </c>
      <c r="W4469" s="2" t="s">
        <v>18707</v>
      </c>
      <c r="X4469" s="2" t="str">
        <f>"5145065615"</f>
        <v>5145065615</v>
      </c>
      <c r="Y4469" s="2" t="str">
        <f>"4505651324"</f>
        <v>4505651324</v>
      </c>
      <c r="Z4469" s="2"/>
      <c r="AA4469" s="2" t="s">
        <v>456</v>
      </c>
      <c r="AB4469" s="2" t="s">
        <v>457</v>
      </c>
      <c r="AC4469" s="4" t="s">
        <v>44</v>
      </c>
    </row>
    <row r="4470" spans="1:29" x14ac:dyDescent="0.25">
      <c r="A4470" s="1">
        <v>2044</v>
      </c>
      <c r="B4470" s="17" t="s">
        <v>18708</v>
      </c>
      <c r="C4470" s="2" t="s">
        <v>18709</v>
      </c>
      <c r="D4470" s="15" t="s">
        <v>14336</v>
      </c>
      <c r="E4470" s="9" t="s">
        <v>15620</v>
      </c>
      <c r="F4470" s="9" t="s">
        <v>363</v>
      </c>
      <c r="G4470" s="9" t="s">
        <v>757</v>
      </c>
      <c r="H4470" s="2" t="s">
        <v>60</v>
      </c>
      <c r="I4470" s="3">
        <v>37459</v>
      </c>
      <c r="J4470" s="9" t="str">
        <f t="shared" ca="1" si="78"/>
        <v>21 ans</v>
      </c>
      <c r="K4470" s="2" t="s">
        <v>262</v>
      </c>
      <c r="L4470" s="2" t="str">
        <f>"13915"</f>
        <v>13915</v>
      </c>
      <c r="M4470" s="2" t="str">
        <f>"103"</f>
        <v>103</v>
      </c>
      <c r="N4470" s="2" t="str">
        <f>"RUE SANSCARTIER"</f>
        <v>RUE SANSCARTIER</v>
      </c>
      <c r="O4470" s="2" t="s">
        <v>18155</v>
      </c>
      <c r="P4470" s="9" t="str">
        <f>VLOOKUP($O4470,'Liste des Villes'!$B$2:$B$1128,1,FALSE)</f>
        <v>Blainville</v>
      </c>
      <c r="Q4470" s="9" t="str">
        <f>IFERROR($P4470,PROPER(VLOOKUP($O4470,'Villes en erreur'!$A$2:$B$72,2,FALSE)))</f>
        <v>Blainville</v>
      </c>
      <c r="R4470" s="9" t="s">
        <v>18156</v>
      </c>
      <c r="S4470" s="9" t="str">
        <f>IF(ISBLANK($R4470),"",VLOOKUP($R4470,'Liste des Villes'!$B$2:$H$1128,4,FALSE))</f>
        <v>Laurentides</v>
      </c>
      <c r="T4470" s="2" t="s">
        <v>18710</v>
      </c>
      <c r="U4470" s="2" t="s">
        <v>39</v>
      </c>
      <c r="V4470" s="2" t="s">
        <v>40</v>
      </c>
      <c r="W4470" s="2" t="s">
        <v>18711</v>
      </c>
      <c r="X4470" s="2" t="str">
        <f>"5146275844"</f>
        <v>5146275844</v>
      </c>
      <c r="Y4470" s="2" t="str">
        <f>"4505123801"</f>
        <v>4505123801</v>
      </c>
      <c r="Z4470" s="2"/>
      <c r="AA4470" s="2" t="s">
        <v>456</v>
      </c>
      <c r="AB4470" s="2" t="s">
        <v>457</v>
      </c>
      <c r="AC4470" s="4" t="s">
        <v>44</v>
      </c>
    </row>
    <row r="4471" spans="1:29" x14ac:dyDescent="0.25">
      <c r="A4471" s="1">
        <v>2637</v>
      </c>
      <c r="B4471" s="17" t="s">
        <v>18712</v>
      </c>
      <c r="C4471" s="2" t="s">
        <v>4171</v>
      </c>
      <c r="D4471" s="15" t="s">
        <v>1398</v>
      </c>
      <c r="E4471" s="9" t="s">
        <v>698</v>
      </c>
      <c r="F4471" s="9" t="s">
        <v>15701</v>
      </c>
      <c r="G4471" s="9" t="s">
        <v>2404</v>
      </c>
      <c r="H4471" s="2" t="s">
        <v>35</v>
      </c>
      <c r="I4471" s="3">
        <v>37487</v>
      </c>
      <c r="J4471" s="9" t="str">
        <f t="shared" ca="1" si="78"/>
        <v>21 ans</v>
      </c>
      <c r="K4471" s="2" t="s">
        <v>262</v>
      </c>
      <c r="L4471" s="2" t="str">
        <f>"15085"</f>
        <v>15085</v>
      </c>
      <c r="M4471" s="2" t="str">
        <f>"7"</f>
        <v>7</v>
      </c>
      <c r="N4471" s="2" t="str">
        <f>"RUE TOUCHETTE"</f>
        <v>RUE TOUCHETTE</v>
      </c>
      <c r="O4471" s="2" t="s">
        <v>18155</v>
      </c>
      <c r="P4471" s="9" t="str">
        <f>VLOOKUP($O4471,'Liste des Villes'!$B$2:$B$1128,1,FALSE)</f>
        <v>Blainville</v>
      </c>
      <c r="Q4471" s="9" t="str">
        <f>IFERROR($P4471,PROPER(VLOOKUP($O4471,'Villes en erreur'!$A$2:$B$72,2,FALSE)))</f>
        <v>Blainville</v>
      </c>
      <c r="R4471" s="9" t="s">
        <v>18156</v>
      </c>
      <c r="S4471" s="9" t="str">
        <f>IF(ISBLANK($R4471),"",VLOOKUP($R4471,'Liste des Villes'!$B$2:$H$1128,4,FALSE))</f>
        <v>Laurentides</v>
      </c>
      <c r="T4471" s="2" t="s">
        <v>18713</v>
      </c>
      <c r="U4471" s="2" t="s">
        <v>39</v>
      </c>
      <c r="V4471" s="2" t="s">
        <v>40</v>
      </c>
      <c r="W4471" s="2" t="s">
        <v>18714</v>
      </c>
      <c r="X4471" s="2" t="str">
        <f>"5148311648"</f>
        <v>5148311648</v>
      </c>
      <c r="Y4471" s="2" t="str">
        <f>"4504322564"</f>
        <v>4504322564</v>
      </c>
      <c r="Z4471" s="2"/>
      <c r="AA4471" s="2" t="s">
        <v>456</v>
      </c>
      <c r="AB4471" s="2" t="s">
        <v>457</v>
      </c>
      <c r="AC4471" s="4" t="s">
        <v>44</v>
      </c>
    </row>
    <row r="4472" spans="1:29" x14ac:dyDescent="0.25">
      <c r="A4472" s="1">
        <v>173</v>
      </c>
      <c r="B4472" s="17" t="s">
        <v>18715</v>
      </c>
      <c r="C4472" s="2" t="s">
        <v>1251</v>
      </c>
      <c r="D4472" s="15" t="s">
        <v>584</v>
      </c>
      <c r="E4472" s="9" t="s">
        <v>145</v>
      </c>
      <c r="F4472" s="9" t="s">
        <v>13074</v>
      </c>
      <c r="G4472" s="9" t="s">
        <v>8752</v>
      </c>
      <c r="H4472" s="2" t="s">
        <v>60</v>
      </c>
      <c r="I4472" s="3">
        <v>37441</v>
      </c>
      <c r="J4472" s="9" t="str">
        <f t="shared" ca="1" si="78"/>
        <v>21 ans</v>
      </c>
      <c r="K4472" s="2" t="s">
        <v>262</v>
      </c>
      <c r="L4472" s="2" t="str">
        <f>"13520"</f>
        <v>13520</v>
      </c>
      <c r="M4472" s="2" t="str">
        <f>"302"</f>
        <v>302</v>
      </c>
      <c r="N4472" s="2" t="str">
        <f>"RUE SAINT-CAMILLE"</f>
        <v>RUE SAINT-CAMILLE</v>
      </c>
      <c r="O4472" s="2" t="s">
        <v>18155</v>
      </c>
      <c r="P4472" s="9" t="str">
        <f>VLOOKUP($O4472,'Liste des Villes'!$B$2:$B$1128,1,FALSE)</f>
        <v>Blainville</v>
      </c>
      <c r="Q4472" s="9" t="str">
        <f>IFERROR($P4472,PROPER(VLOOKUP($O4472,'Villes en erreur'!$A$2:$B$72,2,FALSE)))</f>
        <v>Blainville</v>
      </c>
      <c r="R4472" s="9" t="s">
        <v>18156</v>
      </c>
      <c r="S4472" s="9" t="str">
        <f>IF(ISBLANK($R4472),"",VLOOKUP($R4472,'Liste des Villes'!$B$2:$H$1128,4,FALSE))</f>
        <v>Laurentides</v>
      </c>
      <c r="T4472" s="2" t="s">
        <v>18716</v>
      </c>
      <c r="U4472" s="2" t="s">
        <v>39</v>
      </c>
      <c r="V4472" s="2" t="s">
        <v>40</v>
      </c>
      <c r="W4472" s="2" t="s">
        <v>18717</v>
      </c>
      <c r="X4472" s="2" t="str">
        <f>"5144644780"</f>
        <v>5144644780</v>
      </c>
      <c r="Y4472" s="2" t="str">
        <f>"4505661510"</f>
        <v>4505661510</v>
      </c>
      <c r="Z4472" s="2"/>
      <c r="AA4472" s="2" t="s">
        <v>456</v>
      </c>
      <c r="AB4472" s="2" t="s">
        <v>457</v>
      </c>
      <c r="AC4472" s="4" t="s">
        <v>44</v>
      </c>
    </row>
    <row r="4473" spans="1:29" x14ac:dyDescent="0.25">
      <c r="A4473" s="1">
        <v>1493</v>
      </c>
      <c r="B4473" s="17" t="s">
        <v>18718</v>
      </c>
      <c r="C4473" s="2" t="s">
        <v>18719</v>
      </c>
      <c r="D4473" s="15" t="s">
        <v>788</v>
      </c>
      <c r="E4473" s="9" t="s">
        <v>9986</v>
      </c>
      <c r="F4473" s="9" t="s">
        <v>1466</v>
      </c>
      <c r="G4473" s="9" t="s">
        <v>12231</v>
      </c>
      <c r="H4473" s="2" t="s">
        <v>60</v>
      </c>
      <c r="I4473" s="3">
        <v>37491</v>
      </c>
      <c r="J4473" s="9" t="str">
        <f t="shared" ca="1" si="78"/>
        <v>21 ans</v>
      </c>
      <c r="K4473" s="2" t="s">
        <v>262</v>
      </c>
      <c r="L4473" s="2" t="str">
        <f>"15950"</f>
        <v>15950</v>
      </c>
      <c r="M4473" s="2" t="str">
        <f>"6"</f>
        <v>6</v>
      </c>
      <c r="N4473" s="2" t="str">
        <f>"RUE TYLEE"</f>
        <v>RUE TYLEE</v>
      </c>
      <c r="O4473" s="2" t="s">
        <v>18155</v>
      </c>
      <c r="P4473" s="9" t="str">
        <f>VLOOKUP($O4473,'Liste des Villes'!$B$2:$B$1128,1,FALSE)</f>
        <v>Blainville</v>
      </c>
      <c r="Q4473" s="9" t="str">
        <f>IFERROR($P4473,PROPER(VLOOKUP($O4473,'Villes en erreur'!$A$2:$B$72,2,FALSE)))</f>
        <v>Blainville</v>
      </c>
      <c r="R4473" s="9" t="s">
        <v>18156</v>
      </c>
      <c r="S4473" s="9" t="str">
        <f>IF(ISBLANK($R4473),"",VLOOKUP($R4473,'Liste des Villes'!$B$2:$H$1128,4,FALSE))</f>
        <v>Laurentides</v>
      </c>
      <c r="T4473" s="2" t="s">
        <v>18720</v>
      </c>
      <c r="U4473" s="2" t="s">
        <v>39</v>
      </c>
      <c r="V4473" s="2" t="s">
        <v>40</v>
      </c>
      <c r="W4473" s="2" t="s">
        <v>18721</v>
      </c>
      <c r="X4473" s="2" t="str">
        <f>"5149134070"</f>
        <v>5149134070</v>
      </c>
      <c r="Y4473" s="2" t="str">
        <f>"4504205245"</f>
        <v>4504205245</v>
      </c>
      <c r="Z4473" s="2"/>
      <c r="AA4473" s="2" t="s">
        <v>456</v>
      </c>
      <c r="AB4473" s="2" t="s">
        <v>457</v>
      </c>
      <c r="AC4473" s="4" t="s">
        <v>44</v>
      </c>
    </row>
    <row r="4474" spans="1:29" x14ac:dyDescent="0.25">
      <c r="A4474" s="1">
        <v>3413</v>
      </c>
      <c r="B4474" s="17" t="s">
        <v>18722</v>
      </c>
      <c r="C4474" s="2" t="s">
        <v>717</v>
      </c>
      <c r="D4474" s="15" t="s">
        <v>718</v>
      </c>
      <c r="E4474" s="9" t="s">
        <v>487</v>
      </c>
      <c r="F4474" s="9" t="s">
        <v>719</v>
      </c>
      <c r="G4474" s="9" t="s">
        <v>2381</v>
      </c>
      <c r="H4474" s="2" t="s">
        <v>35</v>
      </c>
      <c r="I4474" s="3">
        <v>37503</v>
      </c>
      <c r="J4474" s="9" t="str">
        <f t="shared" ca="1" si="78"/>
        <v>20 ans</v>
      </c>
      <c r="K4474" s="2" t="s">
        <v>262</v>
      </c>
      <c r="L4474" s="2" t="str">
        <f>"16855"</f>
        <v>16855</v>
      </c>
      <c r="M4474" s="2" t="str">
        <f>"4"</f>
        <v>4</v>
      </c>
      <c r="N4474" s="2" t="str">
        <f>"RUE WILFRID"</f>
        <v>RUE WILFRID</v>
      </c>
      <c r="O4474" s="2" t="s">
        <v>18155</v>
      </c>
      <c r="P4474" s="9" t="str">
        <f>VLOOKUP($O4474,'Liste des Villes'!$B$2:$B$1128,1,FALSE)</f>
        <v>Blainville</v>
      </c>
      <c r="Q4474" s="9" t="str">
        <f>IFERROR($P4474,PROPER(VLOOKUP($O4474,'Villes en erreur'!$A$2:$B$72,2,FALSE)))</f>
        <v>Blainville</v>
      </c>
      <c r="R4474" s="9" t="s">
        <v>18156</v>
      </c>
      <c r="S4474" s="9" t="str">
        <f>IF(ISBLANK($R4474),"",VLOOKUP($R4474,'Liste des Villes'!$B$2:$H$1128,4,FALSE))</f>
        <v>Laurentides</v>
      </c>
      <c r="T4474" s="2" t="s">
        <v>18210</v>
      </c>
      <c r="U4474" s="2" t="s">
        <v>39</v>
      </c>
      <c r="V4474" s="2" t="s">
        <v>40</v>
      </c>
      <c r="W4474" s="2" t="s">
        <v>18723</v>
      </c>
      <c r="X4474" s="2" t="str">
        <f>"5149747551"</f>
        <v>5149747551</v>
      </c>
      <c r="Y4474" s="2" t="str">
        <f>"4502271018"</f>
        <v>4502271018</v>
      </c>
      <c r="Z4474" s="2"/>
      <c r="AA4474" s="2" t="s">
        <v>456</v>
      </c>
      <c r="AB4474" s="2" t="s">
        <v>457</v>
      </c>
      <c r="AC4474" s="4" t="s">
        <v>44</v>
      </c>
    </row>
    <row r="4475" spans="1:29" x14ac:dyDescent="0.25">
      <c r="A4475" s="1">
        <v>3697</v>
      </c>
      <c r="B4475" s="17" t="s">
        <v>18724</v>
      </c>
      <c r="C4475" s="2" t="s">
        <v>6336</v>
      </c>
      <c r="D4475" s="15" t="s">
        <v>4128</v>
      </c>
      <c r="E4475" s="9" t="s">
        <v>6337</v>
      </c>
      <c r="F4475" s="9" t="s">
        <v>2115</v>
      </c>
      <c r="G4475" s="9" t="s">
        <v>10295</v>
      </c>
      <c r="H4475" s="2" t="s">
        <v>60</v>
      </c>
      <c r="I4475" s="3">
        <v>37524</v>
      </c>
      <c r="J4475" s="9" t="str">
        <f t="shared" ca="1" si="78"/>
        <v>20 ans</v>
      </c>
      <c r="K4475" s="2" t="s">
        <v>262</v>
      </c>
      <c r="L4475" s="2" t="str">
        <f>"18575"</f>
        <v>18575</v>
      </c>
      <c r="M4475" s="2" t="str">
        <f>"1"</f>
        <v>1</v>
      </c>
      <c r="N4475" s="2" t="str">
        <f>"TERRASSE JOUVENCE"</f>
        <v>TERRASSE JOUVENCE</v>
      </c>
      <c r="O4475" s="2" t="s">
        <v>18155</v>
      </c>
      <c r="P4475" s="9" t="str">
        <f>VLOOKUP($O4475,'Liste des Villes'!$B$2:$B$1128,1,FALSE)</f>
        <v>Blainville</v>
      </c>
      <c r="Q4475" s="9" t="str">
        <f>IFERROR($P4475,PROPER(VLOOKUP($O4475,'Villes en erreur'!$A$2:$B$72,2,FALSE)))</f>
        <v>Blainville</v>
      </c>
      <c r="R4475" s="9" t="s">
        <v>18156</v>
      </c>
      <c r="S4475" s="9" t="str">
        <f>IF(ISBLANK($R4475),"",VLOOKUP($R4475,'Liste des Villes'!$B$2:$H$1128,4,FALSE))</f>
        <v>Laurentides</v>
      </c>
      <c r="T4475" s="2" t="s">
        <v>18725</v>
      </c>
      <c r="U4475" s="2" t="s">
        <v>39</v>
      </c>
      <c r="V4475" s="2" t="s">
        <v>40</v>
      </c>
      <c r="W4475" s="2" t="s">
        <v>18726</v>
      </c>
      <c r="X4475" s="2" t="str">
        <f>"8194360081"</f>
        <v>8194360081</v>
      </c>
      <c r="Y4475" s="2" t="str">
        <f>"4384946908"</f>
        <v>4384946908</v>
      </c>
      <c r="Z4475" s="2" t="str">
        <f>"4502752919"</f>
        <v>4502752919</v>
      </c>
      <c r="AA4475" s="2" t="s">
        <v>456</v>
      </c>
      <c r="AB4475" s="2" t="s">
        <v>457</v>
      </c>
      <c r="AC4475" s="4" t="s">
        <v>44</v>
      </c>
    </row>
    <row r="4476" spans="1:29" x14ac:dyDescent="0.25">
      <c r="A4476" s="1">
        <v>1584</v>
      </c>
      <c r="B4476" s="17" t="s">
        <v>18727</v>
      </c>
      <c r="C4476" s="2" t="s">
        <v>3102</v>
      </c>
      <c r="D4476" s="15" t="s">
        <v>657</v>
      </c>
      <c r="E4476" s="9" t="s">
        <v>452</v>
      </c>
      <c r="F4476" s="9" t="s">
        <v>12781</v>
      </c>
      <c r="G4476" s="9" t="s">
        <v>3171</v>
      </c>
      <c r="H4476" s="2" t="s">
        <v>60</v>
      </c>
      <c r="I4476" s="3">
        <v>37496</v>
      </c>
      <c r="J4476" s="9" t="str">
        <f t="shared" ca="1" si="78"/>
        <v>20 ans</v>
      </c>
      <c r="K4476" s="2" t="s">
        <v>262</v>
      </c>
      <c r="L4476" s="2" t="str">
        <f>"16570"</f>
        <v>16570</v>
      </c>
      <c r="M4476" s="2" t="str">
        <f>"5"</f>
        <v>5</v>
      </c>
      <c r="N4476" s="2" t="str">
        <f>"RUE VANIER"</f>
        <v>RUE VANIER</v>
      </c>
      <c r="O4476" s="2" t="s">
        <v>18155</v>
      </c>
      <c r="P4476" s="9" t="str">
        <f>VLOOKUP($O4476,'Liste des Villes'!$B$2:$B$1128,1,FALSE)</f>
        <v>Blainville</v>
      </c>
      <c r="Q4476" s="9" t="str">
        <f>IFERROR($P4476,PROPER(VLOOKUP($O4476,'Villes en erreur'!$A$2:$B$72,2,FALSE)))</f>
        <v>Blainville</v>
      </c>
      <c r="R4476" s="9" t="s">
        <v>18156</v>
      </c>
      <c r="S4476" s="9" t="str">
        <f>IF(ISBLANK($R4476),"",VLOOKUP($R4476,'Liste des Villes'!$B$2:$H$1128,4,FALSE))</f>
        <v>Laurentides</v>
      </c>
      <c r="T4476" s="2" t="s">
        <v>18175</v>
      </c>
      <c r="U4476" s="2" t="s">
        <v>39</v>
      </c>
      <c r="V4476" s="2" t="s">
        <v>40</v>
      </c>
      <c r="W4476" s="2" t="s">
        <v>18728</v>
      </c>
      <c r="X4476" s="2" t="str">
        <f>"5149290984"</f>
        <v>5149290984</v>
      </c>
      <c r="Y4476" s="2" t="str">
        <f>"4502802213"</f>
        <v>4502802213</v>
      </c>
      <c r="Z4476" s="2"/>
      <c r="AA4476" s="2" t="s">
        <v>456</v>
      </c>
      <c r="AB4476" s="2" t="s">
        <v>457</v>
      </c>
      <c r="AC4476" s="4" t="s">
        <v>44</v>
      </c>
    </row>
    <row r="4477" spans="1:29" x14ac:dyDescent="0.25">
      <c r="A4477" s="1">
        <v>4423</v>
      </c>
      <c r="B4477" s="17" t="s">
        <v>18729</v>
      </c>
      <c r="C4477" s="2" t="s">
        <v>18730</v>
      </c>
      <c r="D4477" s="15" t="s">
        <v>7149</v>
      </c>
      <c r="E4477" s="9" t="s">
        <v>354</v>
      </c>
      <c r="F4477" s="9" t="s">
        <v>144</v>
      </c>
      <c r="G4477" s="9" t="s">
        <v>341</v>
      </c>
      <c r="H4477" s="2" t="s">
        <v>60</v>
      </c>
      <c r="I4477" s="3">
        <v>37446</v>
      </c>
      <c r="J4477" s="9" t="str">
        <f t="shared" ca="1" si="78"/>
        <v>21 ans</v>
      </c>
      <c r="K4477" s="2" t="s">
        <v>262</v>
      </c>
      <c r="L4477" s="2" t="str">
        <f>"13630"</f>
        <v>13630</v>
      </c>
      <c r="M4477" s="2" t="str">
        <f>"204"</f>
        <v>204</v>
      </c>
      <c r="N4477" s="2" t="str">
        <f>"RUE SAINT-GEORGES"</f>
        <v>RUE SAINT-GEORGES</v>
      </c>
      <c r="O4477" s="2" t="s">
        <v>18155</v>
      </c>
      <c r="P4477" s="9" t="str">
        <f>VLOOKUP($O4477,'Liste des Villes'!$B$2:$B$1128,1,FALSE)</f>
        <v>Blainville</v>
      </c>
      <c r="Q4477" s="9" t="str">
        <f>IFERROR($P4477,PROPER(VLOOKUP($O4477,'Villes en erreur'!$A$2:$B$72,2,FALSE)))</f>
        <v>Blainville</v>
      </c>
      <c r="R4477" s="9" t="s">
        <v>18156</v>
      </c>
      <c r="S4477" s="9" t="str">
        <f>IF(ISBLANK($R4477),"",VLOOKUP($R4477,'Liste des Villes'!$B$2:$H$1128,4,FALSE))</f>
        <v>Laurentides</v>
      </c>
      <c r="T4477" s="2" t="s">
        <v>18731</v>
      </c>
      <c r="U4477" s="2" t="s">
        <v>39</v>
      </c>
      <c r="V4477" s="2" t="s">
        <v>40</v>
      </c>
      <c r="W4477" s="2" t="s">
        <v>18732</v>
      </c>
      <c r="X4477" s="2" t="str">
        <f>"5145535634"</f>
        <v>5145535634</v>
      </c>
      <c r="Y4477" s="2" t="str">
        <f>"4505602806"</f>
        <v>4505602806</v>
      </c>
      <c r="Z4477" s="2"/>
      <c r="AA4477" s="2" t="s">
        <v>456</v>
      </c>
      <c r="AB4477" s="2" t="s">
        <v>457</v>
      </c>
      <c r="AC4477" s="4" t="s">
        <v>44</v>
      </c>
    </row>
    <row r="4478" spans="1:29" x14ac:dyDescent="0.25">
      <c r="A4478" s="1">
        <v>121</v>
      </c>
      <c r="B4478" s="17" t="s">
        <v>18733</v>
      </c>
      <c r="C4478" s="2" t="s">
        <v>18734</v>
      </c>
      <c r="D4478" s="15" t="s">
        <v>14410</v>
      </c>
      <c r="E4478" s="9" t="s">
        <v>2404</v>
      </c>
      <c r="F4478" s="9" t="s">
        <v>14409</v>
      </c>
      <c r="G4478" s="9" t="s">
        <v>4994</v>
      </c>
      <c r="H4478" s="2" t="s">
        <v>60</v>
      </c>
      <c r="I4478" s="3">
        <v>37524</v>
      </c>
      <c r="J4478" s="9" t="str">
        <f t="shared" ca="1" si="78"/>
        <v>20 ans</v>
      </c>
      <c r="K4478" s="2" t="s">
        <v>262</v>
      </c>
      <c r="L4478" s="2" t="str">
        <f>"18562"</f>
        <v>18562</v>
      </c>
      <c r="M4478" s="2" t="str">
        <f>"1"</f>
        <v>1</v>
      </c>
      <c r="N4478" s="2" t="str">
        <f>"TERRASSE DUBÉ"</f>
        <v>TERRASSE DUBÉ</v>
      </c>
      <c r="O4478" s="2" t="s">
        <v>18155</v>
      </c>
      <c r="P4478" s="9" t="str">
        <f>VLOOKUP($O4478,'Liste des Villes'!$B$2:$B$1128,1,FALSE)</f>
        <v>Blainville</v>
      </c>
      <c r="Q4478" s="9" t="str">
        <f>IFERROR($P4478,PROPER(VLOOKUP($O4478,'Villes en erreur'!$A$2:$B$72,2,FALSE)))</f>
        <v>Blainville</v>
      </c>
      <c r="R4478" s="9" t="s">
        <v>18156</v>
      </c>
      <c r="S4478" s="9" t="str">
        <f>IF(ISBLANK($R4478),"",VLOOKUP($R4478,'Liste des Villes'!$B$2:$H$1128,4,FALSE))</f>
        <v>Laurentides</v>
      </c>
      <c r="T4478" s="2" t="s">
        <v>18735</v>
      </c>
      <c r="U4478" s="2" t="s">
        <v>39</v>
      </c>
      <c r="V4478" s="2" t="s">
        <v>40</v>
      </c>
      <c r="W4478" s="2" t="s">
        <v>18736</v>
      </c>
      <c r="X4478" s="2" t="str">
        <f>"8194333176"</f>
        <v>8194333176</v>
      </c>
      <c r="Y4478" s="2" t="str">
        <f>"4384957332"</f>
        <v>4384957332</v>
      </c>
      <c r="Z4478" s="2" t="str">
        <f>"4389399868"</f>
        <v>4389399868</v>
      </c>
      <c r="AA4478" s="2" t="s">
        <v>456</v>
      </c>
      <c r="AB4478" s="2" t="s">
        <v>457</v>
      </c>
      <c r="AC4478" s="4" t="s">
        <v>44</v>
      </c>
    </row>
    <row r="4479" spans="1:29" x14ac:dyDescent="0.25">
      <c r="A4479" s="1">
        <v>3097</v>
      </c>
      <c r="B4479" s="17" t="s">
        <v>18737</v>
      </c>
      <c r="C4479" s="2" t="s">
        <v>493</v>
      </c>
      <c r="D4479" s="15" t="s">
        <v>494</v>
      </c>
      <c r="E4479" s="9" t="s">
        <v>495</v>
      </c>
      <c r="F4479" s="9" t="s">
        <v>8240</v>
      </c>
      <c r="G4479" s="9" t="s">
        <v>1524</v>
      </c>
      <c r="H4479" s="2" t="s">
        <v>60</v>
      </c>
      <c r="I4479" s="3">
        <v>37495</v>
      </c>
      <c r="J4479" s="9" t="str">
        <f t="shared" ca="1" si="78"/>
        <v>20 ans</v>
      </c>
      <c r="K4479" s="2" t="s">
        <v>262</v>
      </c>
      <c r="L4479" s="2" t="str">
        <f>"16470"</f>
        <v>16470</v>
      </c>
      <c r="M4479" s="2" t="str">
        <f>"5"</f>
        <v>5</v>
      </c>
      <c r="N4479" s="2" t="str">
        <f>"RUE VANASSE"</f>
        <v>RUE VANASSE</v>
      </c>
      <c r="O4479" s="2" t="s">
        <v>18155</v>
      </c>
      <c r="P4479" s="9" t="str">
        <f>VLOOKUP($O4479,'Liste des Villes'!$B$2:$B$1128,1,FALSE)</f>
        <v>Blainville</v>
      </c>
      <c r="Q4479" s="9" t="str">
        <f>IFERROR($P4479,PROPER(VLOOKUP($O4479,'Villes en erreur'!$A$2:$B$72,2,FALSE)))</f>
        <v>Blainville</v>
      </c>
      <c r="R4479" s="9" t="s">
        <v>18156</v>
      </c>
      <c r="S4479" s="9" t="str">
        <f>IF(ISBLANK($R4479),"",VLOOKUP($R4479,'Liste des Villes'!$B$2:$H$1128,4,FALSE))</f>
        <v>Laurentides</v>
      </c>
      <c r="T4479" s="2" t="s">
        <v>18738</v>
      </c>
      <c r="U4479" s="2" t="s">
        <v>39</v>
      </c>
      <c r="V4479" s="2" t="s">
        <v>40</v>
      </c>
      <c r="W4479" s="2" t="s">
        <v>18739</v>
      </c>
      <c r="X4479" s="2" t="str">
        <f>"5149229059"</f>
        <v>5149229059</v>
      </c>
      <c r="Y4479" s="2" t="str">
        <f>"4503027563"</f>
        <v>4503027563</v>
      </c>
      <c r="Z4479" s="2"/>
      <c r="AA4479" s="2" t="s">
        <v>456</v>
      </c>
      <c r="AB4479" s="2" t="s">
        <v>457</v>
      </c>
      <c r="AC4479" s="4" t="s">
        <v>44</v>
      </c>
    </row>
    <row r="4480" spans="1:29" x14ac:dyDescent="0.25">
      <c r="A4480" s="1">
        <v>2499</v>
      </c>
      <c r="B4480" s="17" t="s">
        <v>18740</v>
      </c>
      <c r="C4480" s="2" t="s">
        <v>18741</v>
      </c>
      <c r="D4480" s="15" t="s">
        <v>4902</v>
      </c>
      <c r="E4480" s="9" t="s">
        <v>1508</v>
      </c>
      <c r="F4480" s="9" t="s">
        <v>1076</v>
      </c>
      <c r="G4480" s="9" t="s">
        <v>1898</v>
      </c>
      <c r="H4480" s="2" t="s">
        <v>60</v>
      </c>
      <c r="I4480" s="3">
        <v>37488</v>
      </c>
      <c r="J4480" s="9" t="str">
        <f t="shared" ca="1" si="78"/>
        <v>21 ans</v>
      </c>
      <c r="K4480" s="2" t="s">
        <v>262</v>
      </c>
      <c r="L4480" s="2" t="str">
        <f>"15302"</f>
        <v>15302</v>
      </c>
      <c r="M4480" s="2" t="str">
        <f>"7"</f>
        <v>7</v>
      </c>
      <c r="N4480" s="2" t="str">
        <f>"RUE TOUCHETTE"</f>
        <v>RUE TOUCHETTE</v>
      </c>
      <c r="O4480" s="2" t="s">
        <v>18155</v>
      </c>
      <c r="P4480" s="9" t="str">
        <f>VLOOKUP($O4480,'Liste des Villes'!$B$2:$B$1128,1,FALSE)</f>
        <v>Blainville</v>
      </c>
      <c r="Q4480" s="9" t="str">
        <f>IFERROR($P4480,PROPER(VLOOKUP($O4480,'Villes en erreur'!$A$2:$B$72,2,FALSE)))</f>
        <v>Blainville</v>
      </c>
      <c r="R4480" s="9" t="s">
        <v>18156</v>
      </c>
      <c r="S4480" s="9" t="str">
        <f>IF(ISBLANK($R4480),"",VLOOKUP($R4480,'Liste des Villes'!$B$2:$H$1128,4,FALSE))</f>
        <v>Laurentides</v>
      </c>
      <c r="T4480" s="2" t="s">
        <v>18456</v>
      </c>
      <c r="U4480" s="2" t="s">
        <v>39</v>
      </c>
      <c r="V4480" s="2" t="s">
        <v>40</v>
      </c>
      <c r="W4480" s="2" t="s">
        <v>18742</v>
      </c>
      <c r="X4480" s="2" t="str">
        <f>"5148620922"</f>
        <v>5148620922</v>
      </c>
      <c r="Y4480" s="2" t="str">
        <f>"4504317696"</f>
        <v>4504317696</v>
      </c>
      <c r="Z4480" s="2"/>
      <c r="AA4480" s="2" t="s">
        <v>456</v>
      </c>
      <c r="AB4480" s="2" t="s">
        <v>457</v>
      </c>
      <c r="AC4480" s="4" t="s">
        <v>44</v>
      </c>
    </row>
    <row r="4481" spans="1:29" x14ac:dyDescent="0.25">
      <c r="A4481" s="1">
        <v>1138</v>
      </c>
      <c r="B4481" s="17" t="s">
        <v>18743</v>
      </c>
      <c r="C4481" s="2" t="s">
        <v>18744</v>
      </c>
      <c r="D4481" s="15" t="s">
        <v>14343</v>
      </c>
      <c r="E4481" s="9" t="s">
        <v>405</v>
      </c>
      <c r="F4481" s="9" t="s">
        <v>582</v>
      </c>
      <c r="G4481" s="9" t="s">
        <v>16847</v>
      </c>
      <c r="H4481" s="2" t="s">
        <v>60</v>
      </c>
      <c r="I4481" s="3">
        <v>37460</v>
      </c>
      <c r="J4481" s="9" t="str">
        <f t="shared" ca="1" si="78"/>
        <v>21 ans</v>
      </c>
      <c r="K4481" s="2" t="s">
        <v>262</v>
      </c>
      <c r="L4481" s="2" t="str">
        <f>"13930"</f>
        <v>13930</v>
      </c>
      <c r="M4481" s="2" t="str">
        <f>"102"</f>
        <v>102</v>
      </c>
      <c r="N4481" s="2" t="str">
        <f>"RUE SARAH GARTH"</f>
        <v>RUE SARAH GARTH</v>
      </c>
      <c r="O4481" s="2" t="s">
        <v>18155</v>
      </c>
      <c r="P4481" s="9" t="str">
        <f>VLOOKUP($O4481,'Liste des Villes'!$B$2:$B$1128,1,FALSE)</f>
        <v>Blainville</v>
      </c>
      <c r="Q4481" s="9" t="str">
        <f>IFERROR($P4481,PROPER(VLOOKUP($O4481,'Villes en erreur'!$A$2:$B$72,2,FALSE)))</f>
        <v>Blainville</v>
      </c>
      <c r="R4481" s="9" t="s">
        <v>18156</v>
      </c>
      <c r="S4481" s="9" t="str">
        <f>IF(ISBLANK($R4481),"",VLOOKUP($R4481,'Liste des Villes'!$B$2:$H$1128,4,FALSE))</f>
        <v>Laurentides</v>
      </c>
      <c r="T4481" s="2" t="s">
        <v>18745</v>
      </c>
      <c r="U4481" s="2" t="s">
        <v>39</v>
      </c>
      <c r="V4481" s="2" t="s">
        <v>40</v>
      </c>
      <c r="W4481" s="2" t="s">
        <v>18746</v>
      </c>
      <c r="X4481" s="2" t="str">
        <f>"5146514670"</f>
        <v>5146514670</v>
      </c>
      <c r="Y4481" s="2" t="str">
        <f>"4505121886"</f>
        <v>4505121886</v>
      </c>
      <c r="Z4481" s="2"/>
      <c r="AA4481" s="2" t="s">
        <v>456</v>
      </c>
      <c r="AB4481" s="2" t="s">
        <v>457</v>
      </c>
      <c r="AC4481" s="4" t="s">
        <v>44</v>
      </c>
    </row>
    <row r="4482" spans="1:29" x14ac:dyDescent="0.25">
      <c r="A4482" s="1">
        <v>2725</v>
      </c>
      <c r="B4482" s="17" t="s">
        <v>18747</v>
      </c>
      <c r="C4482" s="2" t="s">
        <v>18748</v>
      </c>
      <c r="D4482" s="15" t="s">
        <v>9765</v>
      </c>
      <c r="E4482" s="9" t="s">
        <v>179</v>
      </c>
      <c r="F4482" s="9" t="s">
        <v>9763</v>
      </c>
      <c r="G4482" s="9" t="s">
        <v>341</v>
      </c>
      <c r="H4482" s="2" t="s">
        <v>60</v>
      </c>
      <c r="I4482" s="3">
        <v>37452</v>
      </c>
      <c r="J4482" s="9" t="str">
        <f t="shared" ref="J4482:J4545" ca="1" si="79">_xlfn.CONCAT(INT((TODAY()-$I4482)/365.25)," ans")</f>
        <v>21 ans</v>
      </c>
      <c r="K4482" s="2" t="s">
        <v>262</v>
      </c>
      <c r="L4482" s="2" t="str">
        <f>"13745"</f>
        <v>13745</v>
      </c>
      <c r="M4482" s="2" t="str">
        <f>"201"</f>
        <v>201</v>
      </c>
      <c r="N4482" s="2" t="str">
        <f>"RUE SAINT-LAURENT"</f>
        <v>RUE SAINT-LAURENT</v>
      </c>
      <c r="O4482" s="2" t="s">
        <v>18155</v>
      </c>
      <c r="P4482" s="9" t="str">
        <f>VLOOKUP($O4482,'Liste des Villes'!$B$2:$B$1128,1,FALSE)</f>
        <v>Blainville</v>
      </c>
      <c r="Q4482" s="9" t="str">
        <f>IFERROR($P4482,PROPER(VLOOKUP($O4482,'Villes en erreur'!$A$2:$B$72,2,FALSE)))</f>
        <v>Blainville</v>
      </c>
      <c r="R4482" s="9" t="s">
        <v>18156</v>
      </c>
      <c r="S4482" s="9" t="str">
        <f>IF(ISBLANK($R4482),"",VLOOKUP($R4482,'Liste des Villes'!$B$2:$H$1128,4,FALSE))</f>
        <v>Laurentides</v>
      </c>
      <c r="T4482" s="2" t="s">
        <v>18749</v>
      </c>
      <c r="U4482" s="2" t="s">
        <v>39</v>
      </c>
      <c r="V4482" s="2" t="s">
        <v>40</v>
      </c>
      <c r="W4482" s="2" t="s">
        <v>18750</v>
      </c>
      <c r="X4482" s="2" t="str">
        <f>"5145942829"</f>
        <v>5145942829</v>
      </c>
      <c r="Y4482" s="2" t="str">
        <f>"4505309364"</f>
        <v>4505309364</v>
      </c>
      <c r="Z4482" s="2"/>
      <c r="AA4482" s="2" t="s">
        <v>456</v>
      </c>
      <c r="AB4482" s="2" t="s">
        <v>457</v>
      </c>
      <c r="AC4482" s="4" t="s">
        <v>44</v>
      </c>
    </row>
    <row r="4483" spans="1:29" x14ac:dyDescent="0.25">
      <c r="A4483" s="1">
        <v>2715</v>
      </c>
      <c r="B4483" s="17" t="s">
        <v>18751</v>
      </c>
      <c r="C4483" s="2" t="s">
        <v>5346</v>
      </c>
      <c r="D4483" s="15" t="s">
        <v>982</v>
      </c>
      <c r="E4483" s="9" t="s">
        <v>370</v>
      </c>
      <c r="F4483" s="9" t="s">
        <v>1624</v>
      </c>
      <c r="G4483" s="9" t="s">
        <v>5511</v>
      </c>
      <c r="H4483" s="2" t="s">
        <v>60</v>
      </c>
      <c r="I4483" s="3">
        <v>37429</v>
      </c>
      <c r="J4483" s="9" t="str">
        <f t="shared" ca="1" si="79"/>
        <v>21 ans</v>
      </c>
      <c r="K4483" s="2" t="s">
        <v>262</v>
      </c>
      <c r="L4483" s="2" t="str">
        <f>"13055"</f>
        <v>13055</v>
      </c>
      <c r="M4483" s="2" t="str">
        <f>"676"</f>
        <v>676</v>
      </c>
      <c r="N4483" s="2" t="str">
        <f>"RUE ROSTAND"</f>
        <v>RUE ROSTAND</v>
      </c>
      <c r="O4483" s="2" t="s">
        <v>18155</v>
      </c>
      <c r="P4483" s="9" t="str">
        <f>VLOOKUP($O4483,'Liste des Villes'!$B$2:$B$1128,1,FALSE)</f>
        <v>Blainville</v>
      </c>
      <c r="Q4483" s="9" t="str">
        <f>IFERROR($P4483,PROPER(VLOOKUP($O4483,'Villes en erreur'!$A$2:$B$72,2,FALSE)))</f>
        <v>Blainville</v>
      </c>
      <c r="R4483" s="9" t="s">
        <v>18156</v>
      </c>
      <c r="S4483" s="9" t="str">
        <f>IF(ISBLANK($R4483),"",VLOOKUP($R4483,'Liste des Villes'!$B$2:$H$1128,4,FALSE))</f>
        <v>Laurentides</v>
      </c>
      <c r="T4483" s="2" t="s">
        <v>18752</v>
      </c>
      <c r="U4483" s="2" t="s">
        <v>39</v>
      </c>
      <c r="V4483" s="2" t="s">
        <v>40</v>
      </c>
      <c r="W4483" s="2" t="s">
        <v>18753</v>
      </c>
      <c r="X4483" s="2" t="str">
        <f>"5142414228"</f>
        <v>5142414228</v>
      </c>
      <c r="Y4483" s="2" t="str">
        <f>"4506282399"</f>
        <v>4506282399</v>
      </c>
      <c r="Z4483" s="2"/>
      <c r="AA4483" s="2" t="s">
        <v>456</v>
      </c>
      <c r="AB4483" s="2" t="s">
        <v>457</v>
      </c>
      <c r="AC4483" s="4" t="s">
        <v>44</v>
      </c>
    </row>
    <row r="4484" spans="1:29" x14ac:dyDescent="0.25">
      <c r="A4484" s="1">
        <v>177</v>
      </c>
      <c r="B4484" s="17" t="s">
        <v>18754</v>
      </c>
      <c r="C4484" s="2" t="s">
        <v>105</v>
      </c>
      <c r="D4484" s="15" t="s">
        <v>106</v>
      </c>
      <c r="E4484" s="9" t="s">
        <v>107</v>
      </c>
      <c r="F4484" s="9" t="s">
        <v>7445</v>
      </c>
      <c r="G4484" s="9" t="s">
        <v>370</v>
      </c>
      <c r="H4484" s="2" t="s">
        <v>60</v>
      </c>
      <c r="I4484" s="3">
        <v>37516</v>
      </c>
      <c r="J4484" s="9" t="str">
        <f t="shared" ca="1" si="79"/>
        <v>20 ans</v>
      </c>
      <c r="K4484" s="2" t="s">
        <v>262</v>
      </c>
      <c r="L4484" s="2" t="str">
        <f>"17730"</f>
        <v>17730</v>
      </c>
      <c r="M4484" s="2" t="str">
        <f>"2"</f>
        <v>2</v>
      </c>
      <c r="N4484" s="2" t="str">
        <f>"SAINT-EUSTACHE"</f>
        <v>SAINT-EUSTACHE</v>
      </c>
      <c r="O4484" s="2" t="s">
        <v>18155</v>
      </c>
      <c r="P4484" s="9" t="str">
        <f>VLOOKUP($O4484,'Liste des Villes'!$B$2:$B$1128,1,FALSE)</f>
        <v>Blainville</v>
      </c>
      <c r="Q4484" s="9" t="str">
        <f>IFERROR($P4484,PROPER(VLOOKUP($O4484,'Villes en erreur'!$A$2:$B$72,2,FALSE)))</f>
        <v>Blainville</v>
      </c>
      <c r="R4484" s="9" t="s">
        <v>18156</v>
      </c>
      <c r="S4484" s="9" t="str">
        <f>IF(ISBLANK($R4484),"",VLOOKUP($R4484,'Liste des Villes'!$B$2:$H$1128,4,FALSE))</f>
        <v>Laurentides</v>
      </c>
      <c r="T4484" s="2" t="s">
        <v>18183</v>
      </c>
      <c r="U4484" s="2" t="s">
        <v>39</v>
      </c>
      <c r="V4484" s="2" t="s">
        <v>40</v>
      </c>
      <c r="W4484" s="2" t="s">
        <v>18755</v>
      </c>
      <c r="X4484" s="2" t="str">
        <f>"8192775267"</f>
        <v>8192775267</v>
      </c>
      <c r="Y4484" s="2" t="str">
        <f>"4388384297"</f>
        <v>4388384297</v>
      </c>
      <c r="Z4484" s="2"/>
      <c r="AA4484" s="2" t="s">
        <v>456</v>
      </c>
      <c r="AB4484" s="2" t="s">
        <v>457</v>
      </c>
      <c r="AC4484" s="4" t="s">
        <v>44</v>
      </c>
    </row>
    <row r="4485" spans="1:29" x14ac:dyDescent="0.25">
      <c r="A4485" s="1">
        <v>205</v>
      </c>
      <c r="B4485" s="17" t="s">
        <v>18756</v>
      </c>
      <c r="C4485" s="2" t="s">
        <v>18757</v>
      </c>
      <c r="D4485" s="15" t="s">
        <v>5939</v>
      </c>
      <c r="E4485" s="9" t="s">
        <v>107</v>
      </c>
      <c r="F4485" s="9" t="s">
        <v>5938</v>
      </c>
      <c r="G4485" s="9" t="s">
        <v>2381</v>
      </c>
      <c r="H4485" s="2" t="s">
        <v>35</v>
      </c>
      <c r="I4485" s="3">
        <v>37499</v>
      </c>
      <c r="J4485" s="9" t="str">
        <f t="shared" ca="1" si="79"/>
        <v>20 ans</v>
      </c>
      <c r="K4485" s="2" t="s">
        <v>262</v>
      </c>
      <c r="L4485" s="2" t="str">
        <f>"16765"</f>
        <v>16765</v>
      </c>
      <c r="M4485" s="2" t="str">
        <f>"5"</f>
        <v>5</v>
      </c>
      <c r="N4485" s="2" t="str">
        <f>"RUE VERSCHELDEN"</f>
        <v>RUE VERSCHELDEN</v>
      </c>
      <c r="O4485" s="2" t="s">
        <v>18155</v>
      </c>
      <c r="P4485" s="9" t="str">
        <f>VLOOKUP($O4485,'Liste des Villes'!$B$2:$B$1128,1,FALSE)</f>
        <v>Blainville</v>
      </c>
      <c r="Q4485" s="9" t="str">
        <f>IFERROR($P4485,PROPER(VLOOKUP($O4485,'Villes en erreur'!$A$2:$B$72,2,FALSE)))</f>
        <v>Blainville</v>
      </c>
      <c r="R4485" s="9" t="s">
        <v>18156</v>
      </c>
      <c r="S4485" s="9" t="str">
        <f>IF(ISBLANK($R4485),"",VLOOKUP($R4485,'Liste des Villes'!$B$2:$H$1128,4,FALSE))</f>
        <v>Laurentides</v>
      </c>
      <c r="T4485" s="2" t="s">
        <v>18758</v>
      </c>
      <c r="U4485" s="2" t="s">
        <v>39</v>
      </c>
      <c r="V4485" s="2" t="s">
        <v>40</v>
      </c>
      <c r="W4485" s="2" t="s">
        <v>18759</v>
      </c>
      <c r="X4485" s="2" t="str">
        <f>"5149627074"</f>
        <v>5149627074</v>
      </c>
      <c r="Y4485" s="2" t="str">
        <f>"4502751416"</f>
        <v>4502751416</v>
      </c>
      <c r="Z4485" s="2"/>
      <c r="AA4485" s="2" t="s">
        <v>456</v>
      </c>
      <c r="AB4485" s="2" t="s">
        <v>457</v>
      </c>
      <c r="AC4485" s="4" t="s">
        <v>44</v>
      </c>
    </row>
    <row r="4486" spans="1:29" x14ac:dyDescent="0.25">
      <c r="A4486" s="1">
        <v>727</v>
      </c>
      <c r="B4486" s="17" t="s">
        <v>18760</v>
      </c>
      <c r="C4486" s="2" t="s">
        <v>18761</v>
      </c>
      <c r="D4486" s="15" t="s">
        <v>11482</v>
      </c>
      <c r="E4486" s="9" t="s">
        <v>4422</v>
      </c>
      <c r="F4486" s="9" t="s">
        <v>1409</v>
      </c>
      <c r="G4486" s="9" t="s">
        <v>503</v>
      </c>
      <c r="H4486" s="2" t="s">
        <v>35</v>
      </c>
      <c r="I4486" s="3">
        <v>37523</v>
      </c>
      <c r="J4486" s="9" t="str">
        <f t="shared" ca="1" si="79"/>
        <v>20 ans</v>
      </c>
      <c r="K4486" s="2" t="s">
        <v>262</v>
      </c>
      <c r="L4486" s="2" t="str">
        <f>"18495"</f>
        <v>18495</v>
      </c>
      <c r="M4486" s="2" t="str">
        <f>"2"</f>
        <v>2</v>
      </c>
      <c r="N4486" s="2" t="str">
        <f>"ST-MICHEL"</f>
        <v>ST-MICHEL</v>
      </c>
      <c r="O4486" s="2" t="s">
        <v>18155</v>
      </c>
      <c r="P4486" s="9" t="str">
        <f>VLOOKUP($O4486,'Liste des Villes'!$B$2:$B$1128,1,FALSE)</f>
        <v>Blainville</v>
      </c>
      <c r="Q4486" s="9" t="str">
        <f>IFERROR($P4486,PROPER(VLOOKUP($O4486,'Villes en erreur'!$A$2:$B$72,2,FALSE)))</f>
        <v>Blainville</v>
      </c>
      <c r="R4486" s="9" t="s">
        <v>18156</v>
      </c>
      <c r="S4486" s="9" t="str">
        <f>IF(ISBLANK($R4486),"",VLOOKUP($R4486,'Liste des Villes'!$B$2:$H$1128,4,FALSE))</f>
        <v>Laurentides</v>
      </c>
      <c r="T4486" s="2" t="s">
        <v>18762</v>
      </c>
      <c r="U4486" s="2" t="s">
        <v>39</v>
      </c>
      <c r="V4486" s="2" t="s">
        <v>40</v>
      </c>
      <c r="W4486" s="2" t="s">
        <v>18763</v>
      </c>
      <c r="X4486" s="2" t="str">
        <f>"8194307115"</f>
        <v>8194307115</v>
      </c>
      <c r="Y4486" s="2" t="str">
        <f>"4384988228"</f>
        <v>4384988228</v>
      </c>
      <c r="Z4486" s="2" t="str">
        <f>"4384047839"</f>
        <v>4384047839</v>
      </c>
      <c r="AA4486" s="2" t="s">
        <v>456</v>
      </c>
      <c r="AB4486" s="2" t="s">
        <v>457</v>
      </c>
      <c r="AC4486" s="4" t="s">
        <v>44</v>
      </c>
    </row>
    <row r="4487" spans="1:29" x14ac:dyDescent="0.25">
      <c r="A4487" s="1">
        <v>4222</v>
      </c>
      <c r="B4487" s="17" t="s">
        <v>18764</v>
      </c>
      <c r="C4487" s="2" t="s">
        <v>2800</v>
      </c>
      <c r="D4487" s="15" t="s">
        <v>2801</v>
      </c>
      <c r="E4487" s="9" t="s">
        <v>1689</v>
      </c>
      <c r="F4487" s="9" t="s">
        <v>14767</v>
      </c>
      <c r="G4487" s="9" t="s">
        <v>2676</v>
      </c>
      <c r="H4487" s="2" t="s">
        <v>60</v>
      </c>
      <c r="I4487" s="3">
        <v>37527</v>
      </c>
      <c r="J4487" s="9" t="str">
        <f t="shared" ca="1" si="79"/>
        <v>20 ans</v>
      </c>
      <c r="K4487" s="2" t="s">
        <v>262</v>
      </c>
      <c r="L4487" s="2" t="str">
        <f>"18885"</f>
        <v>18885</v>
      </c>
      <c r="M4487" s="2" t="str">
        <f>"1"</f>
        <v>1</v>
      </c>
      <c r="N4487" s="2" t="str">
        <f>"TSSE DE LUCERNE"</f>
        <v>TSSE DE LUCERNE</v>
      </c>
      <c r="O4487" s="2" t="s">
        <v>18155</v>
      </c>
      <c r="P4487" s="9" t="str">
        <f>VLOOKUP($O4487,'Liste des Villes'!$B$2:$B$1128,1,FALSE)</f>
        <v>Blainville</v>
      </c>
      <c r="Q4487" s="9" t="str">
        <f>IFERROR($P4487,PROPER(VLOOKUP($O4487,'Villes en erreur'!$A$2:$B$72,2,FALSE)))</f>
        <v>Blainville</v>
      </c>
      <c r="R4487" s="9" t="s">
        <v>18156</v>
      </c>
      <c r="S4487" s="9" t="str">
        <f>IF(ISBLANK($R4487),"",VLOOKUP($R4487,'Liste des Villes'!$B$2:$H$1128,4,FALSE))</f>
        <v>Laurentides</v>
      </c>
      <c r="T4487" s="2" t="s">
        <v>18246</v>
      </c>
      <c r="U4487" s="2" t="s">
        <v>39</v>
      </c>
      <c r="V4487" s="2" t="s">
        <v>40</v>
      </c>
      <c r="W4487" s="2" t="s">
        <v>18765</v>
      </c>
      <c r="X4487" s="2" t="str">
        <f>"8198087578"</f>
        <v>8198087578</v>
      </c>
      <c r="Y4487" s="2" t="str">
        <f>"4383961377"</f>
        <v>4383961377</v>
      </c>
      <c r="Z4487" s="2" t="str">
        <f>"4508225630"</f>
        <v>4508225630</v>
      </c>
      <c r="AA4487" s="2" t="s">
        <v>456</v>
      </c>
      <c r="AB4487" s="2" t="s">
        <v>457</v>
      </c>
      <c r="AC4487" s="4" t="s">
        <v>44</v>
      </c>
    </row>
    <row r="4488" spans="1:29" x14ac:dyDescent="0.25">
      <c r="A4488" s="1">
        <v>2870</v>
      </c>
      <c r="B4488" s="17" t="s">
        <v>18766</v>
      </c>
      <c r="C4488" s="2" t="s">
        <v>18767</v>
      </c>
      <c r="D4488" s="15" t="s">
        <v>4512</v>
      </c>
      <c r="E4488" s="9" t="s">
        <v>7474</v>
      </c>
      <c r="F4488" s="9" t="s">
        <v>4511</v>
      </c>
      <c r="G4488" s="9" t="s">
        <v>341</v>
      </c>
      <c r="H4488" s="2" t="s">
        <v>60</v>
      </c>
      <c r="I4488" s="3">
        <v>37442</v>
      </c>
      <c r="J4488" s="9" t="str">
        <f t="shared" ca="1" si="79"/>
        <v>21 ans</v>
      </c>
      <c r="K4488" s="2" t="s">
        <v>262</v>
      </c>
      <c r="L4488" s="2" t="str">
        <f>"13565"</f>
        <v>13565</v>
      </c>
      <c r="M4488" s="2" t="str">
        <f>"301"</f>
        <v>301</v>
      </c>
      <c r="N4488" s="2" t="str">
        <f>"RUE SAINTE MARIE"</f>
        <v>RUE SAINTE MARIE</v>
      </c>
      <c r="O4488" s="2" t="s">
        <v>18155</v>
      </c>
      <c r="P4488" s="9" t="str">
        <f>VLOOKUP($O4488,'Liste des Villes'!$B$2:$B$1128,1,FALSE)</f>
        <v>Blainville</v>
      </c>
      <c r="Q4488" s="9" t="str">
        <f>IFERROR($P4488,PROPER(VLOOKUP($O4488,'Villes en erreur'!$A$2:$B$72,2,FALSE)))</f>
        <v>Blainville</v>
      </c>
      <c r="R4488" s="9" t="s">
        <v>18156</v>
      </c>
      <c r="S4488" s="9" t="str">
        <f>IF(ISBLANK($R4488),"",VLOOKUP($R4488,'Liste des Villes'!$B$2:$H$1128,4,FALSE))</f>
        <v>Laurentides</v>
      </c>
      <c r="T4488" s="2" t="s">
        <v>18768</v>
      </c>
      <c r="U4488" s="2" t="s">
        <v>39</v>
      </c>
      <c r="V4488" s="2" t="s">
        <v>40</v>
      </c>
      <c r="W4488" s="2" t="s">
        <v>18769</v>
      </c>
      <c r="X4488" s="2" t="str">
        <f>"5144971907"</f>
        <v>5144971907</v>
      </c>
      <c r="Y4488" s="2" t="str">
        <f>"4505655671"</f>
        <v>4505655671</v>
      </c>
      <c r="Z4488" s="2"/>
      <c r="AA4488" s="2" t="s">
        <v>456</v>
      </c>
      <c r="AB4488" s="2" t="s">
        <v>457</v>
      </c>
      <c r="AC4488" s="4" t="s">
        <v>44</v>
      </c>
    </row>
    <row r="4489" spans="1:29" x14ac:dyDescent="0.25">
      <c r="A4489" s="1">
        <v>132</v>
      </c>
      <c r="B4489" s="17" t="s">
        <v>18770</v>
      </c>
      <c r="C4489" s="2" t="s">
        <v>11937</v>
      </c>
      <c r="D4489" s="15" t="s">
        <v>2280</v>
      </c>
      <c r="E4489" s="9" t="s">
        <v>11938</v>
      </c>
      <c r="F4489" s="9" t="s">
        <v>6983</v>
      </c>
      <c r="G4489" s="9" t="s">
        <v>341</v>
      </c>
      <c r="H4489" s="2" t="s">
        <v>60</v>
      </c>
      <c r="I4489" s="3">
        <v>37444</v>
      </c>
      <c r="J4489" s="9" t="str">
        <f t="shared" ca="1" si="79"/>
        <v>21 ans</v>
      </c>
      <c r="K4489" s="2" t="s">
        <v>262</v>
      </c>
      <c r="L4489" s="2" t="str">
        <f>"13620"</f>
        <v>13620</v>
      </c>
      <c r="M4489" s="2" t="str">
        <f>"208"</f>
        <v>208</v>
      </c>
      <c r="N4489" s="2" t="str">
        <f>"RUE SAINT-GEORGES"</f>
        <v>RUE SAINT-GEORGES</v>
      </c>
      <c r="O4489" s="2" t="s">
        <v>18155</v>
      </c>
      <c r="P4489" s="9" t="str">
        <f>VLOOKUP($O4489,'Liste des Villes'!$B$2:$B$1128,1,FALSE)</f>
        <v>Blainville</v>
      </c>
      <c r="Q4489" s="9" t="str">
        <f>IFERROR($P4489,PROPER(VLOOKUP($O4489,'Villes en erreur'!$A$2:$B$72,2,FALSE)))</f>
        <v>Blainville</v>
      </c>
      <c r="R4489" s="9" t="s">
        <v>18156</v>
      </c>
      <c r="S4489" s="9" t="str">
        <f>IF(ISBLANK($R4489),"",VLOOKUP($R4489,'Liste des Villes'!$B$2:$H$1128,4,FALSE))</f>
        <v>Laurentides</v>
      </c>
      <c r="T4489" s="2" t="s">
        <v>18466</v>
      </c>
      <c r="U4489" s="2" t="s">
        <v>39</v>
      </c>
      <c r="V4489" s="2" t="s">
        <v>40</v>
      </c>
      <c r="W4489" s="2" t="s">
        <v>18771</v>
      </c>
      <c r="X4489" s="2" t="str">
        <f>"5145195533"</f>
        <v>5145195533</v>
      </c>
      <c r="Y4489" s="2" t="str">
        <f>"4505621566"</f>
        <v>4505621566</v>
      </c>
      <c r="Z4489" s="2"/>
      <c r="AA4489" s="2" t="s">
        <v>456</v>
      </c>
      <c r="AB4489" s="2" t="s">
        <v>457</v>
      </c>
      <c r="AC4489" s="4" t="s">
        <v>44</v>
      </c>
    </row>
    <row r="4490" spans="1:29" x14ac:dyDescent="0.25">
      <c r="A4490" s="1">
        <v>77</v>
      </c>
      <c r="B4490" s="17" t="s">
        <v>18772</v>
      </c>
      <c r="C4490" s="2" t="s">
        <v>18773</v>
      </c>
      <c r="D4490" s="15" t="s">
        <v>11301</v>
      </c>
      <c r="E4490" s="9" t="s">
        <v>1212</v>
      </c>
      <c r="F4490" s="9" t="s">
        <v>1472</v>
      </c>
      <c r="G4490" s="9" t="s">
        <v>341</v>
      </c>
      <c r="H4490" s="2" t="s">
        <v>60</v>
      </c>
      <c r="I4490" s="3">
        <v>37443</v>
      </c>
      <c r="J4490" s="9" t="str">
        <f t="shared" ca="1" si="79"/>
        <v>21 ans</v>
      </c>
      <c r="K4490" s="2" t="s">
        <v>262</v>
      </c>
      <c r="L4490" s="2" t="str">
        <f>"13600"</f>
        <v>13600</v>
      </c>
      <c r="M4490" s="2" t="str">
        <f>"301"</f>
        <v>301</v>
      </c>
      <c r="N4490" s="2" t="str">
        <f>"RUE SAINT-ÉTIENNE"</f>
        <v>RUE SAINT-ÉTIENNE</v>
      </c>
      <c r="O4490" s="2" t="s">
        <v>18155</v>
      </c>
      <c r="P4490" s="9" t="str">
        <f>VLOOKUP($O4490,'Liste des Villes'!$B$2:$B$1128,1,FALSE)</f>
        <v>Blainville</v>
      </c>
      <c r="Q4490" s="9" t="str">
        <f>IFERROR($P4490,PROPER(VLOOKUP($O4490,'Villes en erreur'!$A$2:$B$72,2,FALSE)))</f>
        <v>Blainville</v>
      </c>
      <c r="R4490" s="9" t="s">
        <v>18156</v>
      </c>
      <c r="S4490" s="9" t="str">
        <f>IF(ISBLANK($R4490),"",VLOOKUP($R4490,'Liste des Villes'!$B$2:$H$1128,4,FALSE))</f>
        <v>Laurentides</v>
      </c>
      <c r="T4490" s="2" t="s">
        <v>18774</v>
      </c>
      <c r="U4490" s="2" t="s">
        <v>39</v>
      </c>
      <c r="V4490" s="2" t="s">
        <v>40</v>
      </c>
      <c r="W4490" s="2" t="s">
        <v>18775</v>
      </c>
      <c r="X4490" s="2" t="str">
        <f>"5145068960"</f>
        <v>5145068960</v>
      </c>
      <c r="Y4490" s="2" t="str">
        <f>"4505651207"</f>
        <v>4505651207</v>
      </c>
      <c r="Z4490" s="2"/>
      <c r="AA4490" s="2" t="s">
        <v>456</v>
      </c>
      <c r="AB4490" s="2" t="s">
        <v>457</v>
      </c>
      <c r="AC4490" s="4" t="s">
        <v>44</v>
      </c>
    </row>
    <row r="4491" spans="1:29" x14ac:dyDescent="0.25">
      <c r="A4491" s="1">
        <v>1758</v>
      </c>
      <c r="B4491" s="17" t="s">
        <v>18776</v>
      </c>
      <c r="C4491" s="2" t="s">
        <v>11287</v>
      </c>
      <c r="D4491" s="15" t="s">
        <v>5837</v>
      </c>
      <c r="E4491" s="9" t="s">
        <v>664</v>
      </c>
      <c r="F4491" s="9" t="s">
        <v>5836</v>
      </c>
      <c r="G4491" s="9" t="s">
        <v>1524</v>
      </c>
      <c r="H4491" s="2" t="s">
        <v>60</v>
      </c>
      <c r="I4491" s="3">
        <v>37495</v>
      </c>
      <c r="J4491" s="9" t="str">
        <f t="shared" ca="1" si="79"/>
        <v>20 ans</v>
      </c>
      <c r="K4491" s="2" t="s">
        <v>262</v>
      </c>
      <c r="L4491" s="2" t="str">
        <f>"16455"</f>
        <v>16455</v>
      </c>
      <c r="M4491" s="2" t="str">
        <f>"5"</f>
        <v>5</v>
      </c>
      <c r="N4491" s="2" t="str">
        <f>"RUE VALIQUETTE"</f>
        <v>RUE VALIQUETTE</v>
      </c>
      <c r="O4491" s="2" t="s">
        <v>18155</v>
      </c>
      <c r="P4491" s="9" t="str">
        <f>VLOOKUP($O4491,'Liste des Villes'!$B$2:$B$1128,1,FALSE)</f>
        <v>Blainville</v>
      </c>
      <c r="Q4491" s="9" t="str">
        <f>IFERROR($P4491,PROPER(VLOOKUP($O4491,'Villes en erreur'!$A$2:$B$72,2,FALSE)))</f>
        <v>Blainville</v>
      </c>
      <c r="R4491" s="9" t="s">
        <v>18156</v>
      </c>
      <c r="S4491" s="9" t="str">
        <f>IF(ISBLANK($R4491),"",VLOOKUP($R4491,'Liste des Villes'!$B$2:$H$1128,4,FALSE))</f>
        <v>Laurentides</v>
      </c>
      <c r="T4491" s="2" t="s">
        <v>18738</v>
      </c>
      <c r="U4491" s="2" t="s">
        <v>39</v>
      </c>
      <c r="V4491" s="2" t="s">
        <v>40</v>
      </c>
      <c r="W4491" s="2" t="s">
        <v>18777</v>
      </c>
      <c r="X4491" s="2" t="str">
        <f>"5149223837"</f>
        <v>5149223837</v>
      </c>
      <c r="Y4491" s="2" t="str">
        <f>"4503041996"</f>
        <v>4503041996</v>
      </c>
      <c r="Z4491" s="2"/>
      <c r="AA4491" s="2" t="s">
        <v>456</v>
      </c>
      <c r="AB4491" s="2" t="s">
        <v>457</v>
      </c>
      <c r="AC4491" s="4" t="s">
        <v>44</v>
      </c>
    </row>
    <row r="4492" spans="1:29" x14ac:dyDescent="0.25">
      <c r="A4492" s="1">
        <v>1539</v>
      </c>
      <c r="B4492" s="17" t="s">
        <v>18778</v>
      </c>
      <c r="C4492" s="2" t="s">
        <v>18779</v>
      </c>
      <c r="D4492" s="15" t="s">
        <v>15483</v>
      </c>
      <c r="E4492" s="9" t="s">
        <v>2397</v>
      </c>
      <c r="F4492" s="9" t="s">
        <v>15481</v>
      </c>
      <c r="G4492" s="9" t="s">
        <v>341</v>
      </c>
      <c r="H4492" s="2" t="s">
        <v>60</v>
      </c>
      <c r="I4492" s="3">
        <v>37453</v>
      </c>
      <c r="J4492" s="9" t="str">
        <f t="shared" ca="1" si="79"/>
        <v>21 ans</v>
      </c>
      <c r="K4492" s="2" t="s">
        <v>262</v>
      </c>
      <c r="L4492" s="2" t="str">
        <f>"13773"</f>
        <v>13773</v>
      </c>
      <c r="M4492" s="2" t="str">
        <f>"108"</f>
        <v>108</v>
      </c>
      <c r="N4492" s="2" t="str">
        <f>"RUE SAINT-LOUIS"</f>
        <v>RUE SAINT-LOUIS</v>
      </c>
      <c r="O4492" s="2" t="s">
        <v>18155</v>
      </c>
      <c r="P4492" s="9" t="str">
        <f>VLOOKUP($O4492,'Liste des Villes'!$B$2:$B$1128,1,FALSE)</f>
        <v>Blainville</v>
      </c>
      <c r="Q4492" s="9" t="str">
        <f>IFERROR($P4492,PROPER(VLOOKUP($O4492,'Villes en erreur'!$A$2:$B$72,2,FALSE)))</f>
        <v>Blainville</v>
      </c>
      <c r="R4492" s="9" t="s">
        <v>18156</v>
      </c>
      <c r="S4492" s="9" t="str">
        <f>IF(ISBLANK($R4492),"",VLOOKUP($R4492,'Liste des Villes'!$B$2:$H$1128,4,FALSE))</f>
        <v>Laurentides</v>
      </c>
      <c r="T4492" s="2" t="s">
        <v>18780</v>
      </c>
      <c r="U4492" s="2" t="s">
        <v>39</v>
      </c>
      <c r="V4492" s="2" t="s">
        <v>40</v>
      </c>
      <c r="W4492" s="2" t="s">
        <v>18781</v>
      </c>
      <c r="X4492" s="2" t="str">
        <f>"5146046702"</f>
        <v>5146046702</v>
      </c>
      <c r="Y4492" s="2" t="str">
        <f>"4505169740"</f>
        <v>4505169740</v>
      </c>
      <c r="Z4492" s="2"/>
      <c r="AA4492" s="2" t="s">
        <v>456</v>
      </c>
      <c r="AB4492" s="2" t="s">
        <v>457</v>
      </c>
      <c r="AC4492" s="4" t="s">
        <v>44</v>
      </c>
    </row>
    <row r="4493" spans="1:29" x14ac:dyDescent="0.25">
      <c r="A4493" s="1">
        <v>1160</v>
      </c>
      <c r="B4493" s="17" t="s">
        <v>18782</v>
      </c>
      <c r="C4493" s="2" t="s">
        <v>18783</v>
      </c>
      <c r="D4493" s="15" t="s">
        <v>14718</v>
      </c>
      <c r="E4493" s="9" t="s">
        <v>217</v>
      </c>
      <c r="F4493" s="9" t="s">
        <v>15177</v>
      </c>
      <c r="G4493" s="9" t="s">
        <v>2404</v>
      </c>
      <c r="H4493" s="2" t="s">
        <v>35</v>
      </c>
      <c r="I4493" s="3">
        <v>37484</v>
      </c>
      <c r="J4493" s="9" t="str">
        <f t="shared" ca="1" si="79"/>
        <v>21 ans</v>
      </c>
      <c r="K4493" s="2" t="s">
        <v>262</v>
      </c>
      <c r="L4493" s="2" t="str">
        <f>"14765"</f>
        <v>14765</v>
      </c>
      <c r="M4493" s="2" t="str">
        <f>"8"</f>
        <v>8</v>
      </c>
      <c r="N4493" s="2" t="str">
        <f>"RUE THIBAULT"</f>
        <v>RUE THIBAULT</v>
      </c>
      <c r="O4493" s="2" t="s">
        <v>18155</v>
      </c>
      <c r="P4493" s="9" t="str">
        <f>VLOOKUP($O4493,'Liste des Villes'!$B$2:$B$1128,1,FALSE)</f>
        <v>Blainville</v>
      </c>
      <c r="Q4493" s="9" t="str">
        <f>IFERROR($P4493,PROPER(VLOOKUP($O4493,'Villes en erreur'!$A$2:$B$72,2,FALSE)))</f>
        <v>Blainville</v>
      </c>
      <c r="R4493" s="9" t="s">
        <v>18156</v>
      </c>
      <c r="S4493" s="9" t="str">
        <f>IF(ISBLANK($R4493),"",VLOOKUP($R4493,'Liste des Villes'!$B$2:$H$1128,4,FALSE))</f>
        <v>Laurentides</v>
      </c>
      <c r="T4493" s="2" t="s">
        <v>18784</v>
      </c>
      <c r="U4493" s="2" t="s">
        <v>39</v>
      </c>
      <c r="V4493" s="2" t="s">
        <v>40</v>
      </c>
      <c r="W4493" s="2" t="s">
        <v>18785</v>
      </c>
      <c r="X4493" s="2" t="str">
        <f>"5148134372"</f>
        <v>5148134372</v>
      </c>
      <c r="Y4493" s="2" t="str">
        <f>"4504327655"</f>
        <v>4504327655</v>
      </c>
      <c r="Z4493" s="2"/>
      <c r="AA4493" s="2" t="s">
        <v>456</v>
      </c>
      <c r="AB4493" s="2" t="s">
        <v>457</v>
      </c>
      <c r="AC4493" s="4" t="s">
        <v>44</v>
      </c>
    </row>
    <row r="4494" spans="1:29" x14ac:dyDescent="0.25">
      <c r="A4494" s="1">
        <v>2674</v>
      </c>
      <c r="B4494" s="17" t="s">
        <v>18786</v>
      </c>
      <c r="C4494" s="2" t="s">
        <v>18787</v>
      </c>
      <c r="D4494" s="15" t="s">
        <v>11946</v>
      </c>
      <c r="E4494" s="9" t="s">
        <v>12808</v>
      </c>
      <c r="F4494" s="9" t="s">
        <v>3646</v>
      </c>
      <c r="G4494" s="9" t="s">
        <v>370</v>
      </c>
      <c r="H4494" s="2" t="s">
        <v>60</v>
      </c>
      <c r="I4494" s="3">
        <v>37510</v>
      </c>
      <c r="J4494" s="9" t="str">
        <f t="shared" ca="1" si="79"/>
        <v>20 ans</v>
      </c>
      <c r="K4494" s="2" t="s">
        <v>262</v>
      </c>
      <c r="L4494" s="2" t="str">
        <f>"17230"</f>
        <v>17230</v>
      </c>
      <c r="M4494" s="2" t="str">
        <f>"3"</f>
        <v>3</v>
      </c>
      <c r="N4494" s="2" t="str">
        <f>"RUE YVON-COUSINEAU"</f>
        <v>RUE YVON-COUSINEAU</v>
      </c>
      <c r="O4494" s="2" t="s">
        <v>18155</v>
      </c>
      <c r="P4494" s="9" t="str">
        <f>VLOOKUP($O4494,'Liste des Villes'!$B$2:$B$1128,1,FALSE)</f>
        <v>Blainville</v>
      </c>
      <c r="Q4494" s="9" t="str">
        <f>IFERROR($P4494,PROPER(VLOOKUP($O4494,'Villes en erreur'!$A$2:$B$72,2,FALSE)))</f>
        <v>Blainville</v>
      </c>
      <c r="R4494" s="9" t="s">
        <v>18156</v>
      </c>
      <c r="S4494" s="9" t="str">
        <f>IF(ISBLANK($R4494),"",VLOOKUP($R4494,'Liste des Villes'!$B$2:$H$1128,4,FALSE))</f>
        <v>Laurentides</v>
      </c>
      <c r="T4494" s="2" t="s">
        <v>18788</v>
      </c>
      <c r="U4494" s="2" t="s">
        <v>39</v>
      </c>
      <c r="V4494" s="2" t="s">
        <v>40</v>
      </c>
      <c r="W4494" s="2" t="s">
        <v>18789</v>
      </c>
      <c r="X4494" s="2" t="str">
        <f>"5798882744"</f>
        <v>5798882744</v>
      </c>
      <c r="Y4494" s="2" t="str">
        <f>"4389289482"</f>
        <v>4389289482</v>
      </c>
      <c r="Z4494" s="2"/>
      <c r="AA4494" s="2" t="s">
        <v>456</v>
      </c>
      <c r="AB4494" s="2" t="s">
        <v>457</v>
      </c>
      <c r="AC4494" s="4" t="s">
        <v>44</v>
      </c>
    </row>
    <row r="4495" spans="1:29" x14ac:dyDescent="0.25">
      <c r="A4495" s="1">
        <v>1524</v>
      </c>
      <c r="B4495" s="17" t="s">
        <v>18790</v>
      </c>
      <c r="C4495" s="2" t="s">
        <v>18791</v>
      </c>
      <c r="D4495" s="15" t="s">
        <v>3973</v>
      </c>
      <c r="E4495" s="9" t="s">
        <v>495</v>
      </c>
      <c r="F4495" s="9" t="s">
        <v>3972</v>
      </c>
      <c r="G4495" s="9" t="s">
        <v>6830</v>
      </c>
      <c r="H4495" s="2" t="s">
        <v>60</v>
      </c>
      <c r="I4495" s="3">
        <v>37456</v>
      </c>
      <c r="J4495" s="9" t="str">
        <f t="shared" ca="1" si="79"/>
        <v>21 ans</v>
      </c>
      <c r="K4495" s="2" t="s">
        <v>262</v>
      </c>
      <c r="L4495" s="2" t="str">
        <f>"13860"</f>
        <v>13860</v>
      </c>
      <c r="M4495" s="2" t="str">
        <f>"104"</f>
        <v>104</v>
      </c>
      <c r="N4495" s="2" t="str">
        <f>"RUE SANDRINE"</f>
        <v>RUE SANDRINE</v>
      </c>
      <c r="O4495" s="2" t="s">
        <v>18155</v>
      </c>
      <c r="P4495" s="9" t="str">
        <f>VLOOKUP($O4495,'Liste des Villes'!$B$2:$B$1128,1,FALSE)</f>
        <v>Blainville</v>
      </c>
      <c r="Q4495" s="9" t="str">
        <f>IFERROR($P4495,PROPER(VLOOKUP($O4495,'Villes en erreur'!$A$2:$B$72,2,FALSE)))</f>
        <v>Blainville</v>
      </c>
      <c r="R4495" s="9" t="s">
        <v>18156</v>
      </c>
      <c r="S4495" s="9" t="str">
        <f>IF(ISBLANK($R4495),"",VLOOKUP($R4495,'Liste des Villes'!$B$2:$H$1128,4,FALSE))</f>
        <v>Laurentides</v>
      </c>
      <c r="T4495" s="2" t="s">
        <v>18792</v>
      </c>
      <c r="U4495" s="2" t="s">
        <v>39</v>
      </c>
      <c r="V4495" s="2" t="s">
        <v>40</v>
      </c>
      <c r="W4495" s="2" t="s">
        <v>18793</v>
      </c>
      <c r="X4495" s="2" t="str">
        <f>"5146191961"</f>
        <v>5146191961</v>
      </c>
      <c r="Y4495" s="2" t="str">
        <f>"4505127522"</f>
        <v>4505127522</v>
      </c>
      <c r="Z4495" s="2"/>
      <c r="AA4495" s="2" t="s">
        <v>456</v>
      </c>
      <c r="AB4495" s="2" t="s">
        <v>457</v>
      </c>
      <c r="AC4495" s="4" t="s">
        <v>44</v>
      </c>
    </row>
    <row r="4496" spans="1:29" x14ac:dyDescent="0.25">
      <c r="A4496" s="1">
        <v>2317</v>
      </c>
      <c r="B4496" s="17" t="s">
        <v>18794</v>
      </c>
      <c r="C4496" s="2" t="s">
        <v>18795</v>
      </c>
      <c r="D4496" s="15" t="s">
        <v>2841</v>
      </c>
      <c r="E4496" s="9" t="s">
        <v>13270</v>
      </c>
      <c r="F4496" s="9" t="s">
        <v>7085</v>
      </c>
      <c r="G4496" s="9" t="s">
        <v>4675</v>
      </c>
      <c r="H4496" s="2" t="s">
        <v>60</v>
      </c>
      <c r="I4496" s="3">
        <v>37434</v>
      </c>
      <c r="J4496" s="9" t="str">
        <f t="shared" ca="1" si="79"/>
        <v>21 ans</v>
      </c>
      <c r="K4496" s="2" t="s">
        <v>262</v>
      </c>
      <c r="L4496" s="2" t="str">
        <f>"13347"</f>
        <v>13347</v>
      </c>
      <c r="M4496" s="2" t="str">
        <f>"406"</f>
        <v>406</v>
      </c>
      <c r="N4496" s="2" t="str">
        <f>"RUE SAINDON"</f>
        <v>RUE SAINDON</v>
      </c>
      <c r="O4496" s="2" t="s">
        <v>18155</v>
      </c>
      <c r="P4496" s="9" t="str">
        <f>VLOOKUP($O4496,'Liste des Villes'!$B$2:$B$1128,1,FALSE)</f>
        <v>Blainville</v>
      </c>
      <c r="Q4496" s="9" t="str">
        <f>IFERROR($P4496,PROPER(VLOOKUP($O4496,'Villes en erreur'!$A$2:$B$72,2,FALSE)))</f>
        <v>Blainville</v>
      </c>
      <c r="R4496" s="9" t="s">
        <v>18156</v>
      </c>
      <c r="S4496" s="9" t="str">
        <f>IF(ISBLANK($R4496),"",VLOOKUP($R4496,'Liste des Villes'!$B$2:$H$1128,4,FALSE))</f>
        <v>Laurentides</v>
      </c>
      <c r="T4496" s="2" t="s">
        <v>18655</v>
      </c>
      <c r="U4496" s="2" t="s">
        <v>39</v>
      </c>
      <c r="V4496" s="2" t="s">
        <v>40</v>
      </c>
      <c r="W4496" s="2" t="s">
        <v>18796</v>
      </c>
      <c r="X4496" s="2" t="str">
        <f>"5142685032"</f>
        <v>5142685032</v>
      </c>
      <c r="Y4496" s="2" t="str">
        <f>"4506028836"</f>
        <v>4506028836</v>
      </c>
      <c r="Z4496" s="2"/>
      <c r="AA4496" s="2" t="s">
        <v>456</v>
      </c>
      <c r="AB4496" s="2" t="s">
        <v>457</v>
      </c>
      <c r="AC4496" s="4" t="s">
        <v>44</v>
      </c>
    </row>
    <row r="4497" spans="1:29" x14ac:dyDescent="0.25">
      <c r="A4497" s="1">
        <v>1450</v>
      </c>
      <c r="B4497" s="17" t="s">
        <v>18797</v>
      </c>
      <c r="C4497" s="2" t="s">
        <v>18798</v>
      </c>
      <c r="D4497" s="15" t="s">
        <v>17108</v>
      </c>
      <c r="E4497" s="9" t="s">
        <v>468</v>
      </c>
      <c r="F4497" s="9" t="s">
        <v>17107</v>
      </c>
      <c r="G4497" s="9" t="s">
        <v>781</v>
      </c>
      <c r="H4497" s="2" t="s">
        <v>60</v>
      </c>
      <c r="I4497" s="3">
        <v>37440</v>
      </c>
      <c r="J4497" s="9" t="str">
        <f t="shared" ca="1" si="79"/>
        <v>21 ans</v>
      </c>
      <c r="K4497" s="2" t="s">
        <v>262</v>
      </c>
      <c r="L4497" s="2" t="str">
        <f>"13435"</f>
        <v>13435</v>
      </c>
      <c r="M4497" s="2" t="str">
        <f>"314"</f>
        <v>314</v>
      </c>
      <c r="N4497" s="2" t="str">
        <f>"RUE SAINT-ANDRÉ"</f>
        <v>RUE SAINT-ANDRÉ</v>
      </c>
      <c r="O4497" s="2" t="s">
        <v>18155</v>
      </c>
      <c r="P4497" s="9" t="str">
        <f>VLOOKUP($O4497,'Liste des Villes'!$B$2:$B$1128,1,FALSE)</f>
        <v>Blainville</v>
      </c>
      <c r="Q4497" s="9" t="str">
        <f>IFERROR($P4497,PROPER(VLOOKUP($O4497,'Villes en erreur'!$A$2:$B$72,2,FALSE)))</f>
        <v>Blainville</v>
      </c>
      <c r="R4497" s="9" t="s">
        <v>18156</v>
      </c>
      <c r="S4497" s="9" t="str">
        <f>IF(ISBLANK($R4497),"",VLOOKUP($R4497,'Liste des Villes'!$B$2:$H$1128,4,FALSE))</f>
        <v>Laurentides</v>
      </c>
      <c r="T4497" s="2" t="s">
        <v>18799</v>
      </c>
      <c r="U4497" s="2" t="s">
        <v>39</v>
      </c>
      <c r="V4497" s="2" t="s">
        <v>40</v>
      </c>
      <c r="W4497" s="2" t="s">
        <v>18800</v>
      </c>
      <c r="X4497" s="2" t="str">
        <f>"5143718255"</f>
        <v>5143718255</v>
      </c>
      <c r="Y4497" s="2" t="str">
        <f>"4505920592"</f>
        <v>4505920592</v>
      </c>
      <c r="Z4497" s="2"/>
      <c r="AA4497" s="2" t="s">
        <v>456</v>
      </c>
      <c r="AB4497" s="2" t="s">
        <v>457</v>
      </c>
      <c r="AC4497" s="4" t="s">
        <v>44</v>
      </c>
    </row>
    <row r="4498" spans="1:29" x14ac:dyDescent="0.25">
      <c r="A4498" s="1">
        <v>549</v>
      </c>
      <c r="B4498" s="17" t="s">
        <v>18801</v>
      </c>
      <c r="C4498" s="2" t="s">
        <v>5972</v>
      </c>
      <c r="D4498" s="15" t="s">
        <v>5146</v>
      </c>
      <c r="E4498" s="9" t="s">
        <v>85</v>
      </c>
      <c r="F4498" s="9" t="s">
        <v>634</v>
      </c>
      <c r="G4498" s="9" t="s">
        <v>2381</v>
      </c>
      <c r="H4498" s="2" t="s">
        <v>35</v>
      </c>
      <c r="I4498" s="3">
        <v>37497</v>
      </c>
      <c r="J4498" s="9" t="str">
        <f t="shared" ca="1" si="79"/>
        <v>20 ans</v>
      </c>
      <c r="K4498" s="2" t="s">
        <v>262</v>
      </c>
      <c r="L4498" s="2" t="str">
        <f>"16620"</f>
        <v>16620</v>
      </c>
      <c r="M4498" s="2" t="str">
        <f>"5"</f>
        <v>5</v>
      </c>
      <c r="N4498" s="2" t="str">
        <f>"RUE VANIER"</f>
        <v>RUE VANIER</v>
      </c>
      <c r="O4498" s="2" t="s">
        <v>18155</v>
      </c>
      <c r="P4498" s="9" t="str">
        <f>VLOOKUP($O4498,'Liste des Villes'!$B$2:$B$1128,1,FALSE)</f>
        <v>Blainville</v>
      </c>
      <c r="Q4498" s="9" t="str">
        <f>IFERROR($P4498,PROPER(VLOOKUP($O4498,'Villes en erreur'!$A$2:$B$72,2,FALSE)))</f>
        <v>Blainville</v>
      </c>
      <c r="R4498" s="9" t="s">
        <v>18156</v>
      </c>
      <c r="S4498" s="9" t="str">
        <f>IF(ISBLANK($R4498),"",VLOOKUP($R4498,'Liste des Villes'!$B$2:$H$1128,4,FALSE))</f>
        <v>Laurentides</v>
      </c>
      <c r="T4498" s="2" t="s">
        <v>18278</v>
      </c>
      <c r="U4498" s="2" t="s">
        <v>39</v>
      </c>
      <c r="V4498" s="2" t="s">
        <v>40</v>
      </c>
      <c r="W4498" s="2" t="s">
        <v>18802</v>
      </c>
      <c r="X4498" s="2" t="str">
        <f>"5149297359"</f>
        <v>5149297359</v>
      </c>
      <c r="Y4498" s="2" t="str">
        <f>"4502800153"</f>
        <v>4502800153</v>
      </c>
      <c r="Z4498" s="2"/>
      <c r="AA4498" s="2" t="s">
        <v>456</v>
      </c>
      <c r="AB4498" s="2" t="s">
        <v>457</v>
      </c>
      <c r="AC4498" s="4" t="s">
        <v>44</v>
      </c>
    </row>
    <row r="4499" spans="1:29" x14ac:dyDescent="0.25">
      <c r="A4499" s="1">
        <v>3294</v>
      </c>
      <c r="B4499" s="17" t="s">
        <v>18803</v>
      </c>
      <c r="C4499" s="2" t="s">
        <v>14822</v>
      </c>
      <c r="D4499" s="15" t="s">
        <v>2729</v>
      </c>
      <c r="E4499" s="9" t="s">
        <v>1754</v>
      </c>
      <c r="F4499" s="9" t="s">
        <v>6853</v>
      </c>
      <c r="G4499" s="9" t="s">
        <v>341</v>
      </c>
      <c r="H4499" s="2" t="s">
        <v>60</v>
      </c>
      <c r="I4499" s="3">
        <v>37441</v>
      </c>
      <c r="J4499" s="9" t="str">
        <f t="shared" ca="1" si="79"/>
        <v>21 ans</v>
      </c>
      <c r="K4499" s="2" t="s">
        <v>262</v>
      </c>
      <c r="L4499" s="2" t="str">
        <f>"13530"</f>
        <v>13530</v>
      </c>
      <c r="M4499" s="2" t="str">
        <f>"302"</f>
        <v>302</v>
      </c>
      <c r="N4499" s="2" t="str">
        <f>"RUE SAINT-CHARLES"</f>
        <v>RUE SAINT-CHARLES</v>
      </c>
      <c r="O4499" s="2" t="s">
        <v>18156</v>
      </c>
      <c r="P4499" s="9" t="str">
        <f>VLOOKUP($O4499,'Liste des Villes'!$B$2:$B$1128,1,FALSE)</f>
        <v>Blainville</v>
      </c>
      <c r="Q4499" s="9" t="str">
        <f>IFERROR($P4499,PROPER(VLOOKUP($O4499,'Villes en erreur'!$A$2:$B$72,2,FALSE)))</f>
        <v>Blainville</v>
      </c>
      <c r="R4499" s="9" t="s">
        <v>18156</v>
      </c>
      <c r="S4499" s="9" t="str">
        <f>IF(ISBLANK($R4499),"",VLOOKUP($R4499,'Liste des Villes'!$B$2:$H$1128,4,FALSE))</f>
        <v>Laurentides</v>
      </c>
      <c r="T4499" s="2" t="s">
        <v>18804</v>
      </c>
      <c r="U4499" s="2" t="s">
        <v>39</v>
      </c>
      <c r="V4499" s="2" t="s">
        <v>40</v>
      </c>
      <c r="W4499" s="2" t="s">
        <v>18805</v>
      </c>
      <c r="X4499" s="2" t="str">
        <f>"5144675417"</f>
        <v>5144675417</v>
      </c>
      <c r="Y4499" s="2" t="str">
        <f>"4505658085"</f>
        <v>4505658085</v>
      </c>
      <c r="Z4499" s="2"/>
      <c r="AA4499" s="2" t="s">
        <v>456</v>
      </c>
      <c r="AB4499" s="2" t="s">
        <v>457</v>
      </c>
      <c r="AC4499" s="4" t="s">
        <v>44</v>
      </c>
    </row>
    <row r="4500" spans="1:29" x14ac:dyDescent="0.25">
      <c r="A4500" s="1">
        <v>3765</v>
      </c>
      <c r="B4500" s="17" t="s">
        <v>18806</v>
      </c>
      <c r="C4500" s="2" t="s">
        <v>310</v>
      </c>
      <c r="D4500" s="15" t="s">
        <v>311</v>
      </c>
      <c r="E4500" s="9" t="s">
        <v>99</v>
      </c>
      <c r="F4500" s="9" t="s">
        <v>100</v>
      </c>
      <c r="G4500" s="9" t="s">
        <v>370</v>
      </c>
      <c r="H4500" s="2" t="s">
        <v>60</v>
      </c>
      <c r="I4500" s="3">
        <v>37510</v>
      </c>
      <c r="J4500" s="9" t="str">
        <f t="shared" ca="1" si="79"/>
        <v>20 ans</v>
      </c>
      <c r="K4500" s="2" t="s">
        <v>262</v>
      </c>
      <c r="L4500" s="2" t="str">
        <f>"17205"</f>
        <v>17205</v>
      </c>
      <c r="M4500" s="2" t="str">
        <f>"3"</f>
        <v>3</v>
      </c>
      <c r="N4500" s="2" t="str">
        <f>"RUE YVES-THÉRIAULT"</f>
        <v>RUE YVES-THÉRIAULT</v>
      </c>
      <c r="O4500" s="2" t="s">
        <v>18155</v>
      </c>
      <c r="P4500" s="9" t="str">
        <f>VLOOKUP($O4500,'Liste des Villes'!$B$2:$B$1128,1,FALSE)</f>
        <v>Blainville</v>
      </c>
      <c r="Q4500" s="9" t="str">
        <f>IFERROR($P4500,PROPER(VLOOKUP($O4500,'Villes en erreur'!$A$2:$B$72,2,FALSE)))</f>
        <v>Blainville</v>
      </c>
      <c r="R4500" s="9" t="s">
        <v>18156</v>
      </c>
      <c r="S4500" s="9" t="str">
        <f>IF(ISBLANK($R4500),"",VLOOKUP($R4500,'Liste des Villes'!$B$2:$H$1128,4,FALSE))</f>
        <v>Laurentides</v>
      </c>
      <c r="T4500" s="2" t="s">
        <v>18807</v>
      </c>
      <c r="U4500" s="2" t="s">
        <v>39</v>
      </c>
      <c r="V4500" s="2" t="s">
        <v>40</v>
      </c>
      <c r="W4500" s="2" t="s">
        <v>18808</v>
      </c>
      <c r="X4500" s="2" t="str">
        <f>"5798882505"</f>
        <v>5798882505</v>
      </c>
      <c r="Y4500" s="2" t="str">
        <f>"4389380445"</f>
        <v>4389380445</v>
      </c>
      <c r="Z4500" s="2"/>
      <c r="AA4500" s="2" t="s">
        <v>456</v>
      </c>
      <c r="AB4500" s="2" t="s">
        <v>457</v>
      </c>
      <c r="AC4500" s="4" t="s">
        <v>44</v>
      </c>
    </row>
    <row r="4501" spans="1:29" x14ac:dyDescent="0.25">
      <c r="A4501" s="1">
        <v>771</v>
      </c>
      <c r="B4501" s="17" t="s">
        <v>18809</v>
      </c>
      <c r="C4501" s="2" t="s">
        <v>18810</v>
      </c>
      <c r="D4501" s="15" t="s">
        <v>10165</v>
      </c>
      <c r="E4501" s="9" t="s">
        <v>3218</v>
      </c>
      <c r="F4501" s="9" t="s">
        <v>10164</v>
      </c>
      <c r="G4501" s="9" t="s">
        <v>2404</v>
      </c>
      <c r="H4501" s="2" t="s">
        <v>35</v>
      </c>
      <c r="I4501" s="3">
        <v>37482</v>
      </c>
      <c r="J4501" s="9" t="str">
        <f t="shared" ca="1" si="79"/>
        <v>21 ans</v>
      </c>
      <c r="K4501" s="2" t="s">
        <v>262</v>
      </c>
      <c r="L4501" s="2" t="str">
        <f>"14665"</f>
        <v>14665</v>
      </c>
      <c r="M4501" s="2" t="str">
        <f>"08"</f>
        <v>08</v>
      </c>
      <c r="N4501" s="2" t="str">
        <f>"RUE THERRIEN"</f>
        <v>RUE THERRIEN</v>
      </c>
      <c r="O4501" s="2" t="s">
        <v>18155</v>
      </c>
      <c r="P4501" s="9" t="str">
        <f>VLOOKUP($O4501,'Liste des Villes'!$B$2:$B$1128,1,FALSE)</f>
        <v>Blainville</v>
      </c>
      <c r="Q4501" s="9" t="str">
        <f>IFERROR($P4501,PROPER(VLOOKUP($O4501,'Villes en erreur'!$A$2:$B$72,2,FALSE)))</f>
        <v>Blainville</v>
      </c>
      <c r="R4501" s="9" t="s">
        <v>18156</v>
      </c>
      <c r="S4501" s="9" t="str">
        <f>IF(ISBLANK($R4501),"",VLOOKUP($R4501,'Liste des Villes'!$B$2:$H$1128,4,FALSE))</f>
        <v>Laurentides</v>
      </c>
      <c r="T4501" s="2" t="s">
        <v>18811</v>
      </c>
      <c r="U4501" s="2" t="s">
        <v>39</v>
      </c>
      <c r="V4501" s="2" t="s">
        <v>40</v>
      </c>
      <c r="W4501" s="2" t="s">
        <v>18812</v>
      </c>
      <c r="X4501" s="2" t="str">
        <f>"5147994149"</f>
        <v>5147994149</v>
      </c>
      <c r="Y4501" s="2" t="str">
        <f>"4504338038"</f>
        <v>4504338038</v>
      </c>
      <c r="Z4501" s="2"/>
      <c r="AA4501" s="2" t="s">
        <v>456</v>
      </c>
      <c r="AB4501" s="2" t="s">
        <v>457</v>
      </c>
      <c r="AC4501" s="4" t="s">
        <v>44</v>
      </c>
    </row>
    <row r="4502" spans="1:29" x14ac:dyDescent="0.25">
      <c r="A4502" s="1">
        <v>4113</v>
      </c>
      <c r="B4502" s="17" t="s">
        <v>18813</v>
      </c>
      <c r="C4502" s="2" t="s">
        <v>954</v>
      </c>
      <c r="D4502" s="15" t="s">
        <v>955</v>
      </c>
      <c r="E4502" s="9" t="s">
        <v>956</v>
      </c>
      <c r="F4502" s="9" t="s">
        <v>957</v>
      </c>
      <c r="G4502" s="9" t="s">
        <v>3451</v>
      </c>
      <c r="H4502" s="2" t="s">
        <v>60</v>
      </c>
      <c r="I4502" s="3">
        <v>37475</v>
      </c>
      <c r="J4502" s="9" t="str">
        <f t="shared" ca="1" si="79"/>
        <v>21 ans</v>
      </c>
      <c r="K4502" s="2" t="s">
        <v>262</v>
      </c>
      <c r="L4502" s="2" t="str">
        <f>"14350"</f>
        <v>14350</v>
      </c>
      <c r="M4502" s="2" t="str">
        <f>"11"</f>
        <v>11</v>
      </c>
      <c r="N4502" s="2" t="str">
        <f>"RUE SUZANNE"</f>
        <v>RUE SUZANNE</v>
      </c>
      <c r="O4502" s="2" t="s">
        <v>18155</v>
      </c>
      <c r="P4502" s="9" t="str">
        <f>VLOOKUP($O4502,'Liste des Villes'!$B$2:$B$1128,1,FALSE)</f>
        <v>Blainville</v>
      </c>
      <c r="Q4502" s="9" t="str">
        <f>IFERROR($P4502,PROPER(VLOOKUP($O4502,'Villes en erreur'!$A$2:$B$72,2,FALSE)))</f>
        <v>Blainville</v>
      </c>
      <c r="R4502" s="9" t="s">
        <v>18156</v>
      </c>
      <c r="S4502" s="9" t="str">
        <f>IF(ISBLANK($R4502),"",VLOOKUP($R4502,'Liste des Villes'!$B$2:$H$1128,4,FALSE))</f>
        <v>Laurentides</v>
      </c>
      <c r="T4502" s="2" t="s">
        <v>18814</v>
      </c>
      <c r="U4502" s="2" t="s">
        <v>39</v>
      </c>
      <c r="V4502" s="2" t="s">
        <v>40</v>
      </c>
      <c r="W4502" s="2" t="s">
        <v>18815</v>
      </c>
      <c r="X4502" s="2" t="str">
        <f>"5147751478"</f>
        <v>5147751478</v>
      </c>
      <c r="Y4502" s="2" t="str">
        <f>"4504364850"</f>
        <v>4504364850</v>
      </c>
      <c r="Z4502" s="2"/>
      <c r="AA4502" s="2" t="s">
        <v>456</v>
      </c>
      <c r="AB4502" s="2" t="s">
        <v>457</v>
      </c>
      <c r="AC4502" s="4" t="s">
        <v>44</v>
      </c>
    </row>
    <row r="4503" spans="1:29" x14ac:dyDescent="0.25">
      <c r="A4503" s="1">
        <v>1398</v>
      </c>
      <c r="B4503" s="17" t="s">
        <v>18816</v>
      </c>
      <c r="C4503" s="2" t="s">
        <v>18817</v>
      </c>
      <c r="D4503" s="15" t="s">
        <v>6133</v>
      </c>
      <c r="E4503" s="9" t="s">
        <v>4073</v>
      </c>
      <c r="F4503" s="9" t="s">
        <v>1324</v>
      </c>
      <c r="G4503" s="9" t="s">
        <v>15930</v>
      </c>
      <c r="H4503" s="2" t="s">
        <v>60</v>
      </c>
      <c r="I4503" s="3">
        <v>37460</v>
      </c>
      <c r="J4503" s="9" t="str">
        <f t="shared" ca="1" si="79"/>
        <v>21 ans</v>
      </c>
      <c r="K4503" s="2" t="s">
        <v>262</v>
      </c>
      <c r="L4503" s="2" t="str">
        <f>"13935"</f>
        <v>13935</v>
      </c>
      <c r="M4503" s="2" t="str">
        <f>"102"</f>
        <v>102</v>
      </c>
      <c r="N4503" s="2" t="str">
        <f>"RUE SAURIOL"</f>
        <v>RUE SAURIOL</v>
      </c>
      <c r="O4503" s="2" t="s">
        <v>18155</v>
      </c>
      <c r="P4503" s="9" t="str">
        <f>VLOOKUP($O4503,'Liste des Villes'!$B$2:$B$1128,1,FALSE)</f>
        <v>Blainville</v>
      </c>
      <c r="Q4503" s="9" t="str">
        <f>IFERROR($P4503,PROPER(VLOOKUP($O4503,'Villes en erreur'!$A$2:$B$72,2,FALSE)))</f>
        <v>Blainville</v>
      </c>
      <c r="R4503" s="9" t="s">
        <v>18156</v>
      </c>
      <c r="S4503" s="9" t="str">
        <f>IF(ISBLANK($R4503),"",VLOOKUP($R4503,'Liste des Villes'!$B$2:$H$1128,4,FALSE))</f>
        <v>Laurentides</v>
      </c>
      <c r="T4503" s="2" t="s">
        <v>18818</v>
      </c>
      <c r="U4503" s="2" t="s">
        <v>39</v>
      </c>
      <c r="V4503" s="2" t="s">
        <v>40</v>
      </c>
      <c r="W4503" s="2" t="s">
        <v>18819</v>
      </c>
      <c r="X4503" s="2" t="str">
        <f>"5146547515"</f>
        <v>5146547515</v>
      </c>
      <c r="Y4503" s="2" t="str">
        <f>"4505120766"</f>
        <v>4505120766</v>
      </c>
      <c r="Z4503" s="2"/>
      <c r="AA4503" s="2" t="s">
        <v>456</v>
      </c>
      <c r="AB4503" s="2" t="s">
        <v>457</v>
      </c>
      <c r="AC4503" s="4" t="s">
        <v>44</v>
      </c>
    </row>
    <row r="4504" spans="1:29" x14ac:dyDescent="0.25">
      <c r="A4504" s="1">
        <v>3120</v>
      </c>
      <c r="B4504" s="17" t="s">
        <v>18820</v>
      </c>
      <c r="C4504" s="2" t="s">
        <v>18821</v>
      </c>
      <c r="D4504" s="15" t="s">
        <v>13431</v>
      </c>
      <c r="E4504" s="9" t="s">
        <v>2339</v>
      </c>
      <c r="F4504" s="9" t="s">
        <v>875</v>
      </c>
      <c r="G4504" s="9" t="s">
        <v>1198</v>
      </c>
      <c r="H4504" s="2" t="s">
        <v>60</v>
      </c>
      <c r="I4504" s="3">
        <v>37433</v>
      </c>
      <c r="J4504" s="9" t="str">
        <f t="shared" ca="1" si="79"/>
        <v>21 ans</v>
      </c>
      <c r="K4504" s="2" t="s">
        <v>262</v>
      </c>
      <c r="L4504" s="2" t="str">
        <f>"13240"</f>
        <v>13240</v>
      </c>
      <c r="M4504" s="2" t="str">
        <f>"507"</f>
        <v>507</v>
      </c>
      <c r="N4504" s="2" t="str">
        <f>"RUE ROYALE"</f>
        <v>RUE ROYALE</v>
      </c>
      <c r="O4504" s="2" t="s">
        <v>18155</v>
      </c>
      <c r="P4504" s="9" t="str">
        <f>VLOOKUP($O4504,'Liste des Villes'!$B$2:$B$1128,1,FALSE)</f>
        <v>Blainville</v>
      </c>
      <c r="Q4504" s="9" t="str">
        <f>IFERROR($P4504,PROPER(VLOOKUP($O4504,'Villes en erreur'!$A$2:$B$72,2,FALSE)))</f>
        <v>Blainville</v>
      </c>
      <c r="R4504" s="9" t="s">
        <v>18156</v>
      </c>
      <c r="S4504" s="9" t="str">
        <f>IF(ISBLANK($R4504),"",VLOOKUP($R4504,'Liste des Villes'!$B$2:$H$1128,4,FALSE))</f>
        <v>Laurentides</v>
      </c>
      <c r="T4504" s="2" t="s">
        <v>18200</v>
      </c>
      <c r="U4504" s="2" t="s">
        <v>39</v>
      </c>
      <c r="V4504" s="2" t="s">
        <v>40</v>
      </c>
      <c r="W4504" s="2" t="s">
        <v>18822</v>
      </c>
      <c r="X4504" s="2" t="str">
        <f>"5142507410"</f>
        <v>5142507410</v>
      </c>
      <c r="Y4504" s="2" t="str">
        <f>"4506131656"</f>
        <v>4506131656</v>
      </c>
      <c r="Z4504" s="2"/>
      <c r="AA4504" s="2" t="s">
        <v>456</v>
      </c>
      <c r="AB4504" s="2" t="s">
        <v>457</v>
      </c>
      <c r="AC4504" s="4" t="s">
        <v>44</v>
      </c>
    </row>
    <row r="4505" spans="1:29" x14ac:dyDescent="0.25">
      <c r="A4505" s="1">
        <v>4119</v>
      </c>
      <c r="B4505" s="17" t="s">
        <v>18823</v>
      </c>
      <c r="C4505" s="2" t="s">
        <v>3681</v>
      </c>
      <c r="D4505" s="15" t="s">
        <v>540</v>
      </c>
      <c r="E4505" s="9" t="s">
        <v>3682</v>
      </c>
      <c r="F4505" s="9" t="s">
        <v>538</v>
      </c>
      <c r="G4505" s="9" t="s">
        <v>2404</v>
      </c>
      <c r="H4505" s="2" t="s">
        <v>35</v>
      </c>
      <c r="I4505" s="3">
        <v>37484</v>
      </c>
      <c r="J4505" s="9" t="str">
        <f t="shared" ca="1" si="79"/>
        <v>21 ans</v>
      </c>
      <c r="K4505" s="2" t="s">
        <v>262</v>
      </c>
      <c r="L4505" s="2" t="str">
        <f>"14755"</f>
        <v>14755</v>
      </c>
      <c r="M4505" s="2" t="str">
        <f>"8"</f>
        <v>8</v>
      </c>
      <c r="N4505" s="2" t="str">
        <f>"RUE THERRIEN"</f>
        <v>RUE THERRIEN</v>
      </c>
      <c r="O4505" s="2" t="s">
        <v>18155</v>
      </c>
      <c r="P4505" s="9" t="str">
        <f>VLOOKUP($O4505,'Liste des Villes'!$B$2:$B$1128,1,FALSE)</f>
        <v>Blainville</v>
      </c>
      <c r="Q4505" s="9" t="str">
        <f>IFERROR($P4505,PROPER(VLOOKUP($O4505,'Villes en erreur'!$A$2:$B$72,2,FALSE)))</f>
        <v>Blainville</v>
      </c>
      <c r="R4505" s="9" t="s">
        <v>18156</v>
      </c>
      <c r="S4505" s="9" t="str">
        <f>IF(ISBLANK($R4505),"",VLOOKUP($R4505,'Liste des Villes'!$B$2:$H$1128,4,FALSE))</f>
        <v>Laurentides</v>
      </c>
      <c r="T4505" s="2" t="s">
        <v>18824</v>
      </c>
      <c r="U4505" s="2" t="s">
        <v>39</v>
      </c>
      <c r="V4505" s="2" t="s">
        <v>40</v>
      </c>
      <c r="W4505" s="2" t="s">
        <v>18825</v>
      </c>
      <c r="X4505" s="2" t="str">
        <f>"5148131436"</f>
        <v>5148131436</v>
      </c>
      <c r="Y4505" s="2" t="str">
        <f>"4504328841"</f>
        <v>4504328841</v>
      </c>
      <c r="Z4505" s="2"/>
      <c r="AA4505" s="2" t="s">
        <v>456</v>
      </c>
      <c r="AB4505" s="2" t="s">
        <v>457</v>
      </c>
      <c r="AC4505" s="4" t="s">
        <v>44</v>
      </c>
    </row>
    <row r="4506" spans="1:29" x14ac:dyDescent="0.25">
      <c r="A4506" s="1">
        <v>3951</v>
      </c>
      <c r="B4506" s="17" t="s">
        <v>18826</v>
      </c>
      <c r="C4506" s="2" t="s">
        <v>4492</v>
      </c>
      <c r="D4506" s="15" t="s">
        <v>4493</v>
      </c>
      <c r="E4506" s="9" t="s">
        <v>370</v>
      </c>
      <c r="F4506" s="9" t="s">
        <v>9158</v>
      </c>
      <c r="G4506" s="9" t="s">
        <v>341</v>
      </c>
      <c r="H4506" s="2" t="s">
        <v>60</v>
      </c>
      <c r="I4506" s="3">
        <v>37442</v>
      </c>
      <c r="J4506" s="9" t="str">
        <f t="shared" ca="1" si="79"/>
        <v>21 ans</v>
      </c>
      <c r="K4506" s="2" t="s">
        <v>262</v>
      </c>
      <c r="L4506" s="2" t="str">
        <f>"13580"</f>
        <v>13580</v>
      </c>
      <c r="M4506" s="2" t="str">
        <f>"301"</f>
        <v>301</v>
      </c>
      <c r="N4506" s="2" t="str">
        <f>"RUE SAINTE-LUCE"</f>
        <v>RUE SAINTE-LUCE</v>
      </c>
      <c r="O4506" s="2" t="s">
        <v>18155</v>
      </c>
      <c r="P4506" s="9" t="str">
        <f>VLOOKUP($O4506,'Liste des Villes'!$B$2:$B$1128,1,FALSE)</f>
        <v>Blainville</v>
      </c>
      <c r="Q4506" s="9" t="str">
        <f>IFERROR($P4506,PROPER(VLOOKUP($O4506,'Villes en erreur'!$A$2:$B$72,2,FALSE)))</f>
        <v>Blainville</v>
      </c>
      <c r="R4506" s="9" t="s">
        <v>18156</v>
      </c>
      <c r="S4506" s="9" t="str">
        <f>IF(ISBLANK($R4506),"",VLOOKUP($R4506,'Liste des Villes'!$B$2:$H$1128,4,FALSE))</f>
        <v>Laurentides</v>
      </c>
      <c r="T4506" s="2" t="s">
        <v>18827</v>
      </c>
      <c r="U4506" s="2" t="s">
        <v>39</v>
      </c>
      <c r="V4506" s="2" t="s">
        <v>40</v>
      </c>
      <c r="W4506" s="2" t="s">
        <v>18828</v>
      </c>
      <c r="X4506" s="2" t="str">
        <f>"5145032495"</f>
        <v>5145032495</v>
      </c>
      <c r="Y4506" s="2" t="str">
        <f>"4505653213"</f>
        <v>4505653213</v>
      </c>
      <c r="Z4506" s="2"/>
      <c r="AA4506" s="2" t="s">
        <v>456</v>
      </c>
      <c r="AB4506" s="2" t="s">
        <v>457</v>
      </c>
      <c r="AC4506" s="4" t="s">
        <v>44</v>
      </c>
    </row>
    <row r="4507" spans="1:29" x14ac:dyDescent="0.25">
      <c r="A4507" s="1">
        <v>1384</v>
      </c>
      <c r="B4507" s="17" t="s">
        <v>18829</v>
      </c>
      <c r="C4507" s="2" t="s">
        <v>18830</v>
      </c>
      <c r="D4507" s="15" t="s">
        <v>13769</v>
      </c>
      <c r="E4507" s="9" t="s">
        <v>2920</v>
      </c>
      <c r="F4507" s="9" t="s">
        <v>13768</v>
      </c>
      <c r="G4507" s="9" t="s">
        <v>341</v>
      </c>
      <c r="H4507" s="2" t="s">
        <v>60</v>
      </c>
      <c r="I4507" s="3">
        <v>37448</v>
      </c>
      <c r="J4507" s="9" t="str">
        <f t="shared" ca="1" si="79"/>
        <v>21 ans</v>
      </c>
      <c r="K4507" s="2" t="s">
        <v>262</v>
      </c>
      <c r="L4507" s="2" t="str">
        <f>"13705"</f>
        <v>13705</v>
      </c>
      <c r="M4507" s="2" t="str">
        <f>"201"</f>
        <v>201</v>
      </c>
      <c r="N4507" s="2" t="str">
        <f>"RUE SAINT-JACQUES"</f>
        <v>RUE SAINT-JACQUES</v>
      </c>
      <c r="O4507" s="2" t="s">
        <v>18155</v>
      </c>
      <c r="P4507" s="9" t="str">
        <f>VLOOKUP($O4507,'Liste des Villes'!$B$2:$B$1128,1,FALSE)</f>
        <v>Blainville</v>
      </c>
      <c r="Q4507" s="9" t="str">
        <f>IFERROR($P4507,PROPER(VLOOKUP($O4507,'Villes en erreur'!$A$2:$B$72,2,FALSE)))</f>
        <v>Blainville</v>
      </c>
      <c r="R4507" s="9" t="s">
        <v>18156</v>
      </c>
      <c r="S4507" s="9" t="str">
        <f>IF(ISBLANK($R4507),"",VLOOKUP($R4507,'Liste des Villes'!$B$2:$H$1128,4,FALSE))</f>
        <v>Laurentides</v>
      </c>
      <c r="T4507" s="2" t="s">
        <v>18831</v>
      </c>
      <c r="U4507" s="2" t="s">
        <v>39</v>
      </c>
      <c r="V4507" s="2" t="s">
        <v>40</v>
      </c>
      <c r="W4507" s="2" t="s">
        <v>18832</v>
      </c>
      <c r="X4507" s="2" t="str">
        <f>"5145716361"</f>
        <v>5145716361</v>
      </c>
      <c r="Y4507" s="2" t="str">
        <f>"4505430742"</f>
        <v>4505430742</v>
      </c>
      <c r="Z4507" s="2"/>
      <c r="AA4507" s="2" t="s">
        <v>456</v>
      </c>
      <c r="AB4507" s="2" t="s">
        <v>457</v>
      </c>
      <c r="AC4507" s="4" t="s">
        <v>44</v>
      </c>
    </row>
    <row r="4508" spans="1:29" x14ac:dyDescent="0.25">
      <c r="A4508" s="1">
        <v>1960</v>
      </c>
      <c r="B4508" s="17" t="s">
        <v>18833</v>
      </c>
      <c r="C4508" s="2" t="s">
        <v>10509</v>
      </c>
      <c r="D4508" s="15" t="s">
        <v>738</v>
      </c>
      <c r="E4508" s="9" t="s">
        <v>5143</v>
      </c>
      <c r="F4508" s="9" t="s">
        <v>5611</v>
      </c>
      <c r="G4508" s="9" t="s">
        <v>3451</v>
      </c>
      <c r="H4508" s="2" t="s">
        <v>60</v>
      </c>
      <c r="I4508" s="3">
        <v>37474</v>
      </c>
      <c r="J4508" s="9" t="str">
        <f t="shared" ca="1" si="79"/>
        <v>21 ans</v>
      </c>
      <c r="K4508" s="2" t="s">
        <v>262</v>
      </c>
      <c r="L4508" s="2" t="str">
        <f>"14271"</f>
        <v>14271</v>
      </c>
      <c r="M4508" s="2" t="str">
        <f>"11"</f>
        <v>11</v>
      </c>
      <c r="N4508" s="2" t="str">
        <f>"RUE STÉPHANIE"</f>
        <v>RUE STÉPHANIE</v>
      </c>
      <c r="O4508" s="2" t="s">
        <v>18155</v>
      </c>
      <c r="P4508" s="9" t="str">
        <f>VLOOKUP($O4508,'Liste des Villes'!$B$2:$B$1128,1,FALSE)</f>
        <v>Blainville</v>
      </c>
      <c r="Q4508" s="9" t="str">
        <f>IFERROR($P4508,PROPER(VLOOKUP($O4508,'Villes en erreur'!$A$2:$B$72,2,FALSE)))</f>
        <v>Blainville</v>
      </c>
      <c r="R4508" s="9" t="s">
        <v>18156</v>
      </c>
      <c r="S4508" s="9" t="str">
        <f>IF(ISBLANK($R4508),"",VLOOKUP($R4508,'Liste des Villes'!$B$2:$H$1128,4,FALSE))</f>
        <v>Laurentides</v>
      </c>
      <c r="T4508" s="2" t="s">
        <v>18834</v>
      </c>
      <c r="U4508" s="2" t="s">
        <v>39</v>
      </c>
      <c r="V4508" s="2" t="s">
        <v>40</v>
      </c>
      <c r="W4508" s="2" t="s">
        <v>18835</v>
      </c>
      <c r="X4508" s="2" t="str">
        <f>"5147589375"</f>
        <v>5147589375</v>
      </c>
      <c r="Y4508" s="2" t="str">
        <f>"4504368820"</f>
        <v>4504368820</v>
      </c>
      <c r="Z4508" s="2"/>
      <c r="AA4508" s="2" t="s">
        <v>456</v>
      </c>
      <c r="AB4508" s="2" t="s">
        <v>457</v>
      </c>
      <c r="AC4508" s="4" t="s">
        <v>44</v>
      </c>
    </row>
    <row r="4509" spans="1:29" x14ac:dyDescent="0.25">
      <c r="A4509" s="1">
        <v>3848</v>
      </c>
      <c r="B4509" s="17" t="s">
        <v>18836</v>
      </c>
      <c r="C4509" s="2" t="s">
        <v>18837</v>
      </c>
      <c r="D4509" s="15" t="s">
        <v>782</v>
      </c>
      <c r="E4509" s="9" t="s">
        <v>2694</v>
      </c>
      <c r="F4509" s="9" t="s">
        <v>34</v>
      </c>
      <c r="G4509" s="9" t="s">
        <v>370</v>
      </c>
      <c r="H4509" s="2" t="s">
        <v>60</v>
      </c>
      <c r="I4509" s="3">
        <v>37511</v>
      </c>
      <c r="J4509" s="9" t="str">
        <f t="shared" ca="1" si="79"/>
        <v>20 ans</v>
      </c>
      <c r="K4509" s="2" t="s">
        <v>262</v>
      </c>
      <c r="L4509" s="2" t="str">
        <f>"17295"</f>
        <v>17295</v>
      </c>
      <c r="M4509" s="2" t="str">
        <f>"3"</f>
        <v>3</v>
      </c>
      <c r="N4509" s="2" t="str">
        <f>"RUE ZOTIQUE"</f>
        <v>RUE ZOTIQUE</v>
      </c>
      <c r="O4509" s="2" t="s">
        <v>18155</v>
      </c>
      <c r="P4509" s="9" t="str">
        <f>VLOOKUP($O4509,'Liste des Villes'!$B$2:$B$1128,1,FALSE)</f>
        <v>Blainville</v>
      </c>
      <c r="Q4509" s="9" t="str">
        <f>IFERROR($P4509,PROPER(VLOOKUP($O4509,'Villes en erreur'!$A$2:$B$72,2,FALSE)))</f>
        <v>Blainville</v>
      </c>
      <c r="R4509" s="9" t="s">
        <v>18156</v>
      </c>
      <c r="S4509" s="9" t="str">
        <f>IF(ISBLANK($R4509),"",VLOOKUP($R4509,'Liste des Villes'!$B$2:$H$1128,4,FALSE))</f>
        <v>Laurentides</v>
      </c>
      <c r="T4509" s="2" t="s">
        <v>18838</v>
      </c>
      <c r="U4509" s="2" t="s">
        <v>39</v>
      </c>
      <c r="V4509" s="2" t="s">
        <v>40</v>
      </c>
      <c r="W4509" s="2" t="s">
        <v>18839</v>
      </c>
      <c r="X4509" s="2" t="str">
        <f>"5798883185"</f>
        <v>5798883185</v>
      </c>
      <c r="Y4509" s="2" t="str">
        <f>"4388896640"</f>
        <v>4388896640</v>
      </c>
      <c r="Z4509" s="2"/>
      <c r="AA4509" s="2" t="s">
        <v>456</v>
      </c>
      <c r="AB4509" s="2" t="s">
        <v>457</v>
      </c>
      <c r="AC4509" s="4" t="s">
        <v>44</v>
      </c>
    </row>
    <row r="4510" spans="1:29" x14ac:dyDescent="0.25">
      <c r="A4510" s="1">
        <v>1283</v>
      </c>
      <c r="B4510" s="17" t="s">
        <v>18840</v>
      </c>
      <c r="C4510" s="2" t="s">
        <v>7005</v>
      </c>
      <c r="D4510" s="15" t="s">
        <v>4411</v>
      </c>
      <c r="E4510" s="9" t="s">
        <v>7006</v>
      </c>
      <c r="F4510" s="9" t="s">
        <v>4653</v>
      </c>
      <c r="G4510" s="9" t="s">
        <v>2381</v>
      </c>
      <c r="H4510" s="2" t="s">
        <v>35</v>
      </c>
      <c r="I4510" s="3">
        <v>37501</v>
      </c>
      <c r="J4510" s="9" t="str">
        <f t="shared" ca="1" si="79"/>
        <v>20 ans</v>
      </c>
      <c r="K4510" s="2" t="s">
        <v>262</v>
      </c>
      <c r="L4510" s="2" t="str">
        <f>"16795"</f>
        <v>16795</v>
      </c>
      <c r="M4510" s="2" t="str">
        <f>"4"</f>
        <v>4</v>
      </c>
      <c r="N4510" s="2" t="str">
        <f>"RUE VIAU"</f>
        <v>RUE VIAU</v>
      </c>
      <c r="O4510" s="2" t="s">
        <v>18155</v>
      </c>
      <c r="P4510" s="9" t="str">
        <f>VLOOKUP($O4510,'Liste des Villes'!$B$2:$B$1128,1,FALSE)</f>
        <v>Blainville</v>
      </c>
      <c r="Q4510" s="9" t="str">
        <f>IFERROR($P4510,PROPER(VLOOKUP($O4510,'Villes en erreur'!$A$2:$B$72,2,FALSE)))</f>
        <v>Blainville</v>
      </c>
      <c r="R4510" s="9" t="s">
        <v>18156</v>
      </c>
      <c r="S4510" s="9" t="str">
        <f>IF(ISBLANK($R4510),"",VLOOKUP($R4510,'Liste des Villes'!$B$2:$H$1128,4,FALSE))</f>
        <v>Laurentides</v>
      </c>
      <c r="T4510" s="2" t="s">
        <v>18841</v>
      </c>
      <c r="U4510" s="2" t="s">
        <v>39</v>
      </c>
      <c r="V4510" s="2" t="s">
        <v>40</v>
      </c>
      <c r="W4510" s="2" t="s">
        <v>18842</v>
      </c>
      <c r="X4510" s="2" t="str">
        <f>"5149705138"</f>
        <v>5149705138</v>
      </c>
      <c r="Y4510" s="2" t="str">
        <f>"4502750199"</f>
        <v>4502750199</v>
      </c>
      <c r="Z4510" s="2"/>
      <c r="AA4510" s="2" t="s">
        <v>456</v>
      </c>
      <c r="AB4510" s="2" t="s">
        <v>457</v>
      </c>
      <c r="AC4510" s="4" t="s">
        <v>44</v>
      </c>
    </row>
    <row r="4511" spans="1:29" x14ac:dyDescent="0.25">
      <c r="A4511" s="1">
        <v>3511</v>
      </c>
      <c r="B4511" s="17" t="s">
        <v>18843</v>
      </c>
      <c r="C4511" s="2" t="s">
        <v>18844</v>
      </c>
      <c r="D4511" s="15" t="s">
        <v>962</v>
      </c>
      <c r="E4511" s="9" t="s">
        <v>18845</v>
      </c>
      <c r="F4511" s="9" t="s">
        <v>961</v>
      </c>
      <c r="G4511" s="9" t="s">
        <v>2877</v>
      </c>
      <c r="H4511" s="2" t="s">
        <v>35</v>
      </c>
      <c r="I4511" s="3">
        <v>37540</v>
      </c>
      <c r="J4511" s="9" t="str">
        <f t="shared" ca="1" si="79"/>
        <v>20 ans</v>
      </c>
      <c r="K4511" s="2" t="s">
        <v>262</v>
      </c>
      <c r="L4511" s="2" t="str">
        <f>"1052A"</f>
        <v>1052A</v>
      </c>
      <c r="M4511" s="2" t="str">
        <f>"1"</f>
        <v>1</v>
      </c>
      <c r="N4511" s="2" t="str">
        <f>"TSSE MARCOUX"</f>
        <v>TSSE MARCOUX</v>
      </c>
      <c r="O4511" s="2" t="s">
        <v>18155</v>
      </c>
      <c r="P4511" s="9" t="str">
        <f>VLOOKUP($O4511,'Liste des Villes'!$B$2:$B$1128,1,FALSE)</f>
        <v>Blainville</v>
      </c>
      <c r="Q4511" s="9" t="str">
        <f>IFERROR($P4511,PROPER(VLOOKUP($O4511,'Villes en erreur'!$A$2:$B$72,2,FALSE)))</f>
        <v>Blainville</v>
      </c>
      <c r="R4511" s="9" t="s">
        <v>18156</v>
      </c>
      <c r="S4511" s="9" t="str">
        <f>IF(ISBLANK($R4511),"",VLOOKUP($R4511,'Liste des Villes'!$B$2:$H$1128,4,FALSE))</f>
        <v>Laurentides</v>
      </c>
      <c r="T4511" s="2" t="s">
        <v>18846</v>
      </c>
      <c r="U4511" s="2" t="s">
        <v>39</v>
      </c>
      <c r="V4511" s="2" t="s">
        <v>40</v>
      </c>
      <c r="W4511" s="2" t="s">
        <v>18847</v>
      </c>
      <c r="X4511" s="2" t="str">
        <f>"4502750538 x1842155"</f>
        <v>4502750538 x1842155</v>
      </c>
      <c r="Y4511" s="2" t="str">
        <f>"4383932627"</f>
        <v>4383932627</v>
      </c>
      <c r="Z4511" s="2" t="str">
        <f>"5142680004"</f>
        <v>5142680004</v>
      </c>
      <c r="AA4511" s="2" t="s">
        <v>456</v>
      </c>
      <c r="AB4511" s="2" t="s">
        <v>457</v>
      </c>
      <c r="AC4511" s="4" t="s">
        <v>44</v>
      </c>
    </row>
    <row r="4512" spans="1:29" x14ac:dyDescent="0.25">
      <c r="A4512" s="1">
        <v>2385</v>
      </c>
      <c r="B4512" s="17" t="s">
        <v>18848</v>
      </c>
      <c r="C4512" s="2" t="s">
        <v>18849</v>
      </c>
      <c r="D4512" s="15" t="s">
        <v>8055</v>
      </c>
      <c r="E4512" s="9" t="s">
        <v>685</v>
      </c>
      <c r="F4512" s="9" t="s">
        <v>8054</v>
      </c>
      <c r="G4512" s="9" t="s">
        <v>10514</v>
      </c>
      <c r="H4512" s="2" t="s">
        <v>35</v>
      </c>
      <c r="I4512" s="3">
        <v>37427</v>
      </c>
      <c r="J4512" s="9" t="str">
        <f t="shared" ca="1" si="79"/>
        <v>21 ans</v>
      </c>
      <c r="K4512" s="2" t="s">
        <v>262</v>
      </c>
      <c r="L4512" s="2" t="str">
        <f>"12820"</f>
        <v>12820</v>
      </c>
      <c r="M4512" s="2" t="str">
        <f>"1104"</f>
        <v>1104</v>
      </c>
      <c r="N4512" s="2" t="str">
        <f>"RUE RONSARD"</f>
        <v>RUE RONSARD</v>
      </c>
      <c r="O4512" s="2" t="s">
        <v>18155</v>
      </c>
      <c r="P4512" s="9" t="str">
        <f>VLOOKUP($O4512,'Liste des Villes'!$B$2:$B$1128,1,FALSE)</f>
        <v>Blainville</v>
      </c>
      <c r="Q4512" s="9" t="str">
        <f>IFERROR($P4512,PROPER(VLOOKUP($O4512,'Villes en erreur'!$A$2:$B$72,2,FALSE)))</f>
        <v>Blainville</v>
      </c>
      <c r="R4512" s="9" t="s">
        <v>18156</v>
      </c>
      <c r="S4512" s="9" t="str">
        <f>IF(ISBLANK($R4512),"",VLOOKUP($R4512,'Liste des Villes'!$B$2:$H$1128,4,FALSE))</f>
        <v>Laurentides</v>
      </c>
      <c r="T4512" s="2" t="s">
        <v>18217</v>
      </c>
      <c r="U4512" s="2" t="s">
        <v>39</v>
      </c>
      <c r="V4512" s="2" t="s">
        <v>40</v>
      </c>
      <c r="W4512" s="2" t="s">
        <v>18850</v>
      </c>
      <c r="X4512" s="2" t="str">
        <f>"5142224794"</f>
        <v>5142224794</v>
      </c>
      <c r="Y4512" s="2" t="str">
        <f>"4506753934"</f>
        <v>4506753934</v>
      </c>
      <c r="Z4512" s="2"/>
      <c r="AA4512" s="2" t="s">
        <v>456</v>
      </c>
      <c r="AB4512" s="2" t="s">
        <v>457</v>
      </c>
      <c r="AC4512" s="4" t="s">
        <v>44</v>
      </c>
    </row>
    <row r="4513" spans="1:29" x14ac:dyDescent="0.25">
      <c r="A4513" s="1">
        <v>2059</v>
      </c>
      <c r="B4513" s="17" t="s">
        <v>18851</v>
      </c>
      <c r="C4513" s="2" t="s">
        <v>3320</v>
      </c>
      <c r="D4513" s="15" t="s">
        <v>1371</v>
      </c>
      <c r="E4513" s="9" t="s">
        <v>1091</v>
      </c>
      <c r="F4513" s="9" t="s">
        <v>1092</v>
      </c>
      <c r="G4513" s="9" t="s">
        <v>2404</v>
      </c>
      <c r="H4513" s="2" t="s">
        <v>35</v>
      </c>
      <c r="I4513" s="3">
        <v>37487</v>
      </c>
      <c r="J4513" s="9" t="str">
        <f t="shared" ca="1" si="79"/>
        <v>21 ans</v>
      </c>
      <c r="K4513" s="2" t="s">
        <v>262</v>
      </c>
      <c r="L4513" s="2" t="str">
        <f>"15190"</f>
        <v>15190</v>
      </c>
      <c r="M4513" s="2" t="str">
        <f>"7"</f>
        <v>7</v>
      </c>
      <c r="N4513" s="2" t="str">
        <f>"RUE TOUCHETTE"</f>
        <v>RUE TOUCHETTE</v>
      </c>
      <c r="O4513" s="2" t="s">
        <v>18155</v>
      </c>
      <c r="P4513" s="9" t="str">
        <f>VLOOKUP($O4513,'Liste des Villes'!$B$2:$B$1128,1,FALSE)</f>
        <v>Blainville</v>
      </c>
      <c r="Q4513" s="9" t="str">
        <f>IFERROR($P4513,PROPER(VLOOKUP($O4513,'Villes en erreur'!$A$2:$B$72,2,FALSE)))</f>
        <v>Blainville</v>
      </c>
      <c r="R4513" s="9" t="s">
        <v>18156</v>
      </c>
      <c r="S4513" s="9" t="str">
        <f>IF(ISBLANK($R4513),"",VLOOKUP($R4513,'Liste des Villes'!$B$2:$H$1128,4,FALSE))</f>
        <v>Laurentides</v>
      </c>
      <c r="T4513" s="2" t="s">
        <v>18852</v>
      </c>
      <c r="U4513" s="2" t="s">
        <v>39</v>
      </c>
      <c r="V4513" s="2" t="s">
        <v>40</v>
      </c>
      <c r="W4513" s="2" t="s">
        <v>18853</v>
      </c>
      <c r="X4513" s="2" t="str">
        <f>"5148338375"</f>
        <v>5148338375</v>
      </c>
      <c r="Y4513" s="2" t="str">
        <f>"4504319564"</f>
        <v>4504319564</v>
      </c>
      <c r="Z4513" s="2"/>
      <c r="AA4513" s="2" t="s">
        <v>456</v>
      </c>
      <c r="AB4513" s="2" t="s">
        <v>457</v>
      </c>
      <c r="AC4513" s="4" t="s">
        <v>44</v>
      </c>
    </row>
    <row r="4514" spans="1:29" x14ac:dyDescent="0.25">
      <c r="A4514" s="1">
        <v>2478</v>
      </c>
      <c r="B4514" s="17" t="s">
        <v>18854</v>
      </c>
      <c r="C4514" s="2" t="s">
        <v>18855</v>
      </c>
      <c r="D4514" s="15" t="s">
        <v>438</v>
      </c>
      <c r="E4514" s="9" t="s">
        <v>16991</v>
      </c>
      <c r="F4514" s="9" t="s">
        <v>5738</v>
      </c>
      <c r="G4514" s="9" t="s">
        <v>2381</v>
      </c>
      <c r="H4514" s="2" t="s">
        <v>35</v>
      </c>
      <c r="I4514" s="3">
        <v>37499</v>
      </c>
      <c r="J4514" s="9" t="str">
        <f t="shared" ca="1" si="79"/>
        <v>20 ans</v>
      </c>
      <c r="K4514" s="2" t="s">
        <v>262</v>
      </c>
      <c r="L4514" s="2" t="str">
        <f>"16740"</f>
        <v>16740</v>
      </c>
      <c r="M4514" s="2" t="str">
        <f>"5"</f>
        <v>5</v>
      </c>
      <c r="N4514" s="2" t="str">
        <f>"RUE VERDI"</f>
        <v>RUE VERDI</v>
      </c>
      <c r="O4514" s="2" t="s">
        <v>18155</v>
      </c>
      <c r="P4514" s="9" t="str">
        <f>VLOOKUP($O4514,'Liste des Villes'!$B$2:$B$1128,1,FALSE)</f>
        <v>Blainville</v>
      </c>
      <c r="Q4514" s="9" t="str">
        <f>IFERROR($P4514,PROPER(VLOOKUP($O4514,'Villes en erreur'!$A$2:$B$72,2,FALSE)))</f>
        <v>Blainville</v>
      </c>
      <c r="R4514" s="9" t="s">
        <v>18156</v>
      </c>
      <c r="S4514" s="9" t="str">
        <f>IF(ISBLANK($R4514),"",VLOOKUP($R4514,'Liste des Villes'!$B$2:$H$1128,4,FALSE))</f>
        <v>Laurentides</v>
      </c>
      <c r="T4514" s="2" t="s">
        <v>18694</v>
      </c>
      <c r="U4514" s="2" t="s">
        <v>39</v>
      </c>
      <c r="V4514" s="2" t="s">
        <v>40</v>
      </c>
      <c r="W4514" s="2" t="s">
        <v>18856</v>
      </c>
      <c r="X4514" s="2" t="str">
        <f>"5149617363"</f>
        <v>5149617363</v>
      </c>
      <c r="Y4514" s="2" t="str">
        <f>"4502751706"</f>
        <v>4502751706</v>
      </c>
      <c r="Z4514" s="2"/>
      <c r="AA4514" s="2" t="s">
        <v>456</v>
      </c>
      <c r="AB4514" s="2" t="s">
        <v>457</v>
      </c>
      <c r="AC4514" s="4" t="s">
        <v>44</v>
      </c>
    </row>
    <row r="4515" spans="1:29" x14ac:dyDescent="0.25">
      <c r="A4515" s="1">
        <v>2538</v>
      </c>
      <c r="B4515" s="17" t="s">
        <v>18857</v>
      </c>
      <c r="C4515" s="2" t="s">
        <v>18858</v>
      </c>
      <c r="D4515" s="15" t="s">
        <v>2115</v>
      </c>
      <c r="E4515" s="9" t="s">
        <v>6846</v>
      </c>
      <c r="F4515" s="9" t="s">
        <v>15562</v>
      </c>
      <c r="G4515" s="9" t="s">
        <v>2404</v>
      </c>
      <c r="H4515" s="2" t="s">
        <v>35</v>
      </c>
      <c r="I4515" s="3">
        <v>37485</v>
      </c>
      <c r="J4515" s="9" t="str">
        <f t="shared" ca="1" si="79"/>
        <v>21 ans</v>
      </c>
      <c r="K4515" s="2" t="s">
        <v>262</v>
      </c>
      <c r="L4515" s="2" t="str">
        <f>"14835"</f>
        <v>14835</v>
      </c>
      <c r="M4515" s="2" t="str">
        <f>"8"</f>
        <v>8</v>
      </c>
      <c r="N4515" s="2" t="str">
        <f>"RUE THIBAULT"</f>
        <v>RUE THIBAULT</v>
      </c>
      <c r="O4515" s="2" t="s">
        <v>18155</v>
      </c>
      <c r="P4515" s="9" t="str">
        <f>VLOOKUP($O4515,'Liste des Villes'!$B$2:$B$1128,1,FALSE)</f>
        <v>Blainville</v>
      </c>
      <c r="Q4515" s="9" t="str">
        <f>IFERROR($P4515,PROPER(VLOOKUP($O4515,'Villes en erreur'!$A$2:$B$72,2,FALSE)))</f>
        <v>Blainville</v>
      </c>
      <c r="R4515" s="9" t="s">
        <v>18156</v>
      </c>
      <c r="S4515" s="9" t="str">
        <f>IF(ISBLANK($R4515),"",VLOOKUP($R4515,'Liste des Villes'!$B$2:$H$1128,4,FALSE))</f>
        <v>Laurentides</v>
      </c>
      <c r="T4515" s="2" t="s">
        <v>18859</v>
      </c>
      <c r="U4515" s="2" t="s">
        <v>39</v>
      </c>
      <c r="V4515" s="2" t="s">
        <v>40</v>
      </c>
      <c r="W4515" s="2" t="s">
        <v>18860</v>
      </c>
      <c r="X4515" s="2" t="str">
        <f>"5148214804"</f>
        <v>5148214804</v>
      </c>
      <c r="Y4515" s="2" t="str">
        <f>"4504327428"</f>
        <v>4504327428</v>
      </c>
      <c r="Z4515" s="2"/>
      <c r="AA4515" s="2" t="s">
        <v>456</v>
      </c>
      <c r="AB4515" s="2" t="s">
        <v>457</v>
      </c>
      <c r="AC4515" s="4" t="s">
        <v>44</v>
      </c>
    </row>
    <row r="4516" spans="1:29" x14ac:dyDescent="0.25">
      <c r="A4516" s="1">
        <v>3554</v>
      </c>
      <c r="B4516" s="17" t="s">
        <v>18861</v>
      </c>
      <c r="C4516" s="2" t="s">
        <v>17077</v>
      </c>
      <c r="D4516" s="15" t="s">
        <v>1262</v>
      </c>
      <c r="E4516" s="9" t="s">
        <v>11380</v>
      </c>
      <c r="F4516" s="9" t="s">
        <v>6357</v>
      </c>
      <c r="G4516" s="9" t="s">
        <v>370</v>
      </c>
      <c r="H4516" s="2" t="s">
        <v>60</v>
      </c>
      <c r="I4516" s="3">
        <v>37512</v>
      </c>
      <c r="J4516" s="9" t="str">
        <f t="shared" ca="1" si="79"/>
        <v>20 ans</v>
      </c>
      <c r="K4516" s="2" t="s">
        <v>262</v>
      </c>
      <c r="L4516" s="2" t="str">
        <f>"17350"</f>
        <v>17350</v>
      </c>
      <c r="M4516" s="2" t="str">
        <f>"3"</f>
        <v>3</v>
      </c>
      <c r="N4516" s="2" t="str">
        <f>"SAINT-ANTOINE"</f>
        <v>SAINT-ANTOINE</v>
      </c>
      <c r="O4516" s="2" t="s">
        <v>18155</v>
      </c>
      <c r="P4516" s="9" t="str">
        <f>VLOOKUP($O4516,'Liste des Villes'!$B$2:$B$1128,1,FALSE)</f>
        <v>Blainville</v>
      </c>
      <c r="Q4516" s="9" t="str">
        <f>IFERROR($P4516,PROPER(VLOOKUP($O4516,'Villes en erreur'!$A$2:$B$72,2,FALSE)))</f>
        <v>Blainville</v>
      </c>
      <c r="R4516" s="9" t="s">
        <v>18156</v>
      </c>
      <c r="S4516" s="9" t="str">
        <f>IF(ISBLANK($R4516),"",VLOOKUP($R4516,'Liste des Villes'!$B$2:$H$1128,4,FALSE))</f>
        <v>Laurentides</v>
      </c>
      <c r="T4516" s="2" t="s">
        <v>18525</v>
      </c>
      <c r="U4516" s="2" t="s">
        <v>39</v>
      </c>
      <c r="V4516" s="2" t="s">
        <v>40</v>
      </c>
      <c r="W4516" s="2" t="s">
        <v>18862</v>
      </c>
      <c r="X4516" s="2" t="str">
        <f>"5798884248"</f>
        <v>5798884248</v>
      </c>
      <c r="Y4516" s="2" t="str">
        <f>"4388865501"</f>
        <v>4388865501</v>
      </c>
      <c r="Z4516" s="2"/>
      <c r="AA4516" s="2" t="s">
        <v>456</v>
      </c>
      <c r="AB4516" s="2" t="s">
        <v>457</v>
      </c>
      <c r="AC4516" s="4" t="s">
        <v>44</v>
      </c>
    </row>
    <row r="4517" spans="1:29" x14ac:dyDescent="0.25">
      <c r="A4517" s="1">
        <v>4205</v>
      </c>
      <c r="B4517" s="17" t="s">
        <v>18863</v>
      </c>
      <c r="C4517" s="2" t="s">
        <v>18425</v>
      </c>
      <c r="D4517" s="15" t="s">
        <v>8118</v>
      </c>
      <c r="E4517" s="9" t="s">
        <v>2635</v>
      </c>
      <c r="F4517" s="9" t="s">
        <v>8116</v>
      </c>
      <c r="G4517" s="9" t="s">
        <v>781</v>
      </c>
      <c r="H4517" s="2" t="s">
        <v>60</v>
      </c>
      <c r="I4517" s="3">
        <v>37439</v>
      </c>
      <c r="J4517" s="9" t="str">
        <f t="shared" ca="1" si="79"/>
        <v>21 ans</v>
      </c>
      <c r="K4517" s="2" t="s">
        <v>262</v>
      </c>
      <c r="L4517" s="2" t="str">
        <f>"13430"</f>
        <v>13430</v>
      </c>
      <c r="M4517" s="2" t="str">
        <f>"315"</f>
        <v>315</v>
      </c>
      <c r="N4517" s="2" t="str">
        <f>"RUE SAINT-ALPHONSE"</f>
        <v>RUE SAINT-ALPHONSE</v>
      </c>
      <c r="O4517" s="2" t="s">
        <v>18155</v>
      </c>
      <c r="P4517" s="9" t="str">
        <f>VLOOKUP($O4517,'Liste des Villes'!$B$2:$B$1128,1,FALSE)</f>
        <v>Blainville</v>
      </c>
      <c r="Q4517" s="9" t="str">
        <f>IFERROR($P4517,PROPER(VLOOKUP($O4517,'Villes en erreur'!$A$2:$B$72,2,FALSE)))</f>
        <v>Blainville</v>
      </c>
      <c r="R4517" s="9" t="s">
        <v>18156</v>
      </c>
      <c r="S4517" s="9" t="str">
        <f>IF(ISBLANK($R4517),"",VLOOKUP($R4517,'Liste des Villes'!$B$2:$H$1128,4,FALSE))</f>
        <v>Laurentides</v>
      </c>
      <c r="T4517" s="2" t="s">
        <v>18799</v>
      </c>
      <c r="U4517" s="2" t="s">
        <v>39</v>
      </c>
      <c r="V4517" s="2" t="s">
        <v>40</v>
      </c>
      <c r="W4517" s="2" t="s">
        <v>18864</v>
      </c>
      <c r="X4517" s="2" t="str">
        <f>"5143582687"</f>
        <v>5143582687</v>
      </c>
      <c r="Y4517" s="2" t="str">
        <f>"4505920698"</f>
        <v>4505920698</v>
      </c>
      <c r="Z4517" s="2"/>
      <c r="AA4517" s="2" t="s">
        <v>456</v>
      </c>
      <c r="AB4517" s="2" t="s">
        <v>457</v>
      </c>
      <c r="AC4517" s="4" t="s">
        <v>44</v>
      </c>
    </row>
    <row r="4518" spans="1:29" x14ac:dyDescent="0.25">
      <c r="A4518" s="1">
        <v>700</v>
      </c>
      <c r="B4518" s="17" t="s">
        <v>18865</v>
      </c>
      <c r="C4518" s="2" t="s">
        <v>3320</v>
      </c>
      <c r="D4518" s="15" t="s">
        <v>1371</v>
      </c>
      <c r="E4518" s="9" t="s">
        <v>1091</v>
      </c>
      <c r="F4518" s="9" t="s">
        <v>1092</v>
      </c>
      <c r="G4518" s="9" t="s">
        <v>5511</v>
      </c>
      <c r="H4518" s="2" t="s">
        <v>60</v>
      </c>
      <c r="I4518" s="3">
        <v>37427</v>
      </c>
      <c r="J4518" s="9" t="str">
        <f t="shared" ca="1" si="79"/>
        <v>21 ans</v>
      </c>
      <c r="K4518" s="2" t="s">
        <v>262</v>
      </c>
      <c r="L4518" s="2" t="str">
        <f>"12880"</f>
        <v>12880</v>
      </c>
      <c r="M4518" s="2" t="str">
        <f>"752"</f>
        <v>752</v>
      </c>
      <c r="N4518" s="2" t="str">
        <f>"RUE ROSE-ALMA"</f>
        <v>RUE ROSE-ALMA</v>
      </c>
      <c r="O4518" s="2" t="s">
        <v>18155</v>
      </c>
      <c r="P4518" s="9" t="str">
        <f>VLOOKUP($O4518,'Liste des Villes'!$B$2:$B$1128,1,FALSE)</f>
        <v>Blainville</v>
      </c>
      <c r="Q4518" s="9" t="str">
        <f>IFERROR($P4518,PROPER(VLOOKUP($O4518,'Villes en erreur'!$A$2:$B$72,2,FALSE)))</f>
        <v>Blainville</v>
      </c>
      <c r="R4518" s="9" t="s">
        <v>18156</v>
      </c>
      <c r="S4518" s="9" t="str">
        <f>IF(ISBLANK($R4518),"",VLOOKUP($R4518,'Liste des Villes'!$B$2:$H$1128,4,FALSE))</f>
        <v>Laurentides</v>
      </c>
      <c r="T4518" s="2" t="s">
        <v>18866</v>
      </c>
      <c r="U4518" s="2" t="s">
        <v>39</v>
      </c>
      <c r="V4518" s="2" t="s">
        <v>40</v>
      </c>
      <c r="W4518" s="2" t="s">
        <v>18867</v>
      </c>
      <c r="X4518" s="2" t="str">
        <f>"5142326675"</f>
        <v>5142326675</v>
      </c>
      <c r="Y4518" s="2" t="str">
        <f>"4506751966"</f>
        <v>4506751966</v>
      </c>
      <c r="Z4518" s="2"/>
      <c r="AA4518" s="2" t="s">
        <v>456</v>
      </c>
      <c r="AB4518" s="2" t="s">
        <v>457</v>
      </c>
      <c r="AC4518" s="4" t="s">
        <v>44</v>
      </c>
    </row>
    <row r="4519" spans="1:29" x14ac:dyDescent="0.25">
      <c r="A4519" s="1">
        <v>198</v>
      </c>
      <c r="B4519" s="17" t="s">
        <v>18868</v>
      </c>
      <c r="C4519" s="2" t="s">
        <v>3132</v>
      </c>
      <c r="D4519" s="15" t="s">
        <v>355</v>
      </c>
      <c r="E4519" s="9" t="s">
        <v>1582</v>
      </c>
      <c r="F4519" s="9" t="s">
        <v>3133</v>
      </c>
      <c r="G4519" s="9" t="s">
        <v>781</v>
      </c>
      <c r="H4519" s="2" t="s">
        <v>60</v>
      </c>
      <c r="I4519" s="3">
        <v>37440</v>
      </c>
      <c r="J4519" s="9" t="str">
        <f t="shared" ca="1" si="79"/>
        <v>21 ans</v>
      </c>
      <c r="K4519" s="2" t="s">
        <v>262</v>
      </c>
      <c r="L4519" s="2" t="str">
        <f>"13438"</f>
        <v>13438</v>
      </c>
      <c r="M4519" s="2" t="str">
        <f>"308"</f>
        <v>308</v>
      </c>
      <c r="N4519" s="2" t="str">
        <f>"RUE SAINT-ANGE"</f>
        <v>RUE SAINT-ANGE</v>
      </c>
      <c r="O4519" s="2" t="s">
        <v>18155</v>
      </c>
      <c r="P4519" s="9" t="str">
        <f>VLOOKUP($O4519,'Liste des Villes'!$B$2:$B$1128,1,FALSE)</f>
        <v>Blainville</v>
      </c>
      <c r="Q4519" s="9" t="str">
        <f>IFERROR($P4519,PROPER(VLOOKUP($O4519,'Villes en erreur'!$A$2:$B$72,2,FALSE)))</f>
        <v>Blainville</v>
      </c>
      <c r="R4519" s="9" t="s">
        <v>18156</v>
      </c>
      <c r="S4519" s="9" t="str">
        <f>IF(ISBLANK($R4519),"",VLOOKUP($R4519,'Liste des Villes'!$B$2:$H$1128,4,FALSE))</f>
        <v>Laurentides</v>
      </c>
      <c r="T4519" s="2" t="s">
        <v>18869</v>
      </c>
      <c r="U4519" s="2" t="s">
        <v>39</v>
      </c>
      <c r="V4519" s="2" t="s">
        <v>40</v>
      </c>
      <c r="W4519" s="2" t="s">
        <v>18870</v>
      </c>
      <c r="X4519" s="2" t="str">
        <f>"5143777810"</f>
        <v>5143777810</v>
      </c>
      <c r="Y4519" s="2" t="str">
        <f>"4505887026"</f>
        <v>4505887026</v>
      </c>
      <c r="Z4519" s="2"/>
      <c r="AA4519" s="2" t="s">
        <v>456</v>
      </c>
      <c r="AB4519" s="2" t="s">
        <v>457</v>
      </c>
      <c r="AC4519" s="4" t="s">
        <v>44</v>
      </c>
    </row>
    <row r="4520" spans="1:29" x14ac:dyDescent="0.25">
      <c r="A4520" s="1">
        <v>3900</v>
      </c>
      <c r="B4520" s="17" t="s">
        <v>18871</v>
      </c>
      <c r="C4520" s="2" t="s">
        <v>18872</v>
      </c>
      <c r="D4520" s="15" t="s">
        <v>2106</v>
      </c>
      <c r="E4520" s="9" t="s">
        <v>107</v>
      </c>
      <c r="F4520" s="9" t="s">
        <v>3484</v>
      </c>
      <c r="G4520" s="9" t="s">
        <v>4517</v>
      </c>
      <c r="H4520" s="2" t="s">
        <v>60</v>
      </c>
      <c r="I4520" s="3">
        <v>37462</v>
      </c>
      <c r="J4520" s="9" t="str">
        <f t="shared" ca="1" si="79"/>
        <v>21 ans</v>
      </c>
      <c r="K4520" s="2" t="s">
        <v>262</v>
      </c>
      <c r="L4520" s="2" t="str">
        <f>"13974"</f>
        <v>13974</v>
      </c>
      <c r="M4520" s="2" t="str">
        <f>"102"</f>
        <v>102</v>
      </c>
      <c r="N4520" s="2" t="str">
        <f>"RUE SCHULZ"</f>
        <v>RUE SCHULZ</v>
      </c>
      <c r="O4520" s="2" t="s">
        <v>18155</v>
      </c>
      <c r="P4520" s="9" t="str">
        <f>VLOOKUP($O4520,'Liste des Villes'!$B$2:$B$1128,1,FALSE)</f>
        <v>Blainville</v>
      </c>
      <c r="Q4520" s="9" t="str">
        <f>IFERROR($P4520,PROPER(VLOOKUP($O4520,'Villes en erreur'!$A$2:$B$72,2,FALSE)))</f>
        <v>Blainville</v>
      </c>
      <c r="R4520" s="9" t="s">
        <v>18156</v>
      </c>
      <c r="S4520" s="9" t="str">
        <f>IF(ISBLANK($R4520),"",VLOOKUP($R4520,'Liste des Villes'!$B$2:$H$1128,4,FALSE))</f>
        <v>Laurentides</v>
      </c>
      <c r="T4520" s="2" t="s">
        <v>18873</v>
      </c>
      <c r="U4520" s="2" t="s">
        <v>39</v>
      </c>
      <c r="V4520" s="2" t="s">
        <v>40</v>
      </c>
      <c r="W4520" s="2" t="s">
        <v>18874</v>
      </c>
      <c r="X4520" s="2" t="str">
        <f>"5146646453"</f>
        <v>5146646453</v>
      </c>
      <c r="Y4520" s="2" t="str">
        <f>"4505044194"</f>
        <v>4505044194</v>
      </c>
      <c r="Z4520" s="2"/>
      <c r="AA4520" s="2" t="s">
        <v>456</v>
      </c>
      <c r="AB4520" s="2" t="s">
        <v>457</v>
      </c>
      <c r="AC4520" s="4" t="s">
        <v>44</v>
      </c>
    </row>
    <row r="4521" spans="1:29" x14ac:dyDescent="0.25">
      <c r="A4521" s="1">
        <v>3328</v>
      </c>
      <c r="B4521" s="17" t="s">
        <v>18875</v>
      </c>
      <c r="C4521" s="2" t="s">
        <v>18876</v>
      </c>
      <c r="D4521" s="15" t="s">
        <v>12018</v>
      </c>
      <c r="E4521" s="9" t="s">
        <v>915</v>
      </c>
      <c r="F4521" s="9" t="s">
        <v>7615</v>
      </c>
      <c r="G4521" s="9" t="s">
        <v>8335</v>
      </c>
      <c r="H4521" s="2" t="s">
        <v>35</v>
      </c>
      <c r="I4521" s="3">
        <v>37437</v>
      </c>
      <c r="J4521" s="9" t="str">
        <f t="shared" ca="1" si="79"/>
        <v>21 ans</v>
      </c>
      <c r="K4521" s="2" t="s">
        <v>262</v>
      </c>
      <c r="L4521" s="2" t="str">
        <f>"13365"</f>
        <v>13365</v>
      </c>
      <c r="M4521" s="2" t="str">
        <f>"401"</f>
        <v>401</v>
      </c>
      <c r="N4521" s="2" t="str">
        <f>"RUE SAINT GEORGES"</f>
        <v>RUE SAINT GEORGES</v>
      </c>
      <c r="O4521" s="2" t="s">
        <v>18155</v>
      </c>
      <c r="P4521" s="9" t="str">
        <f>VLOOKUP($O4521,'Liste des Villes'!$B$2:$B$1128,1,FALSE)</f>
        <v>Blainville</v>
      </c>
      <c r="Q4521" s="9" t="str">
        <f>IFERROR($P4521,PROPER(VLOOKUP($O4521,'Villes en erreur'!$A$2:$B$72,2,FALSE)))</f>
        <v>Blainville</v>
      </c>
      <c r="R4521" s="9" t="s">
        <v>18156</v>
      </c>
      <c r="S4521" s="9" t="str">
        <f>IF(ISBLANK($R4521),"",VLOOKUP($R4521,'Liste des Villes'!$B$2:$H$1128,4,FALSE))</f>
        <v>Laurentides</v>
      </c>
      <c r="T4521" s="2" t="s">
        <v>18877</v>
      </c>
      <c r="U4521" s="2" t="s">
        <v>39</v>
      </c>
      <c r="V4521" s="2" t="s">
        <v>40</v>
      </c>
      <c r="W4521" s="2" t="s">
        <v>18878</v>
      </c>
      <c r="X4521" s="2" t="str">
        <f>"5142959287"</f>
        <v>5142959287</v>
      </c>
      <c r="Y4521" s="2" t="str">
        <f>"4506026512"</f>
        <v>4506026512</v>
      </c>
      <c r="Z4521" s="2"/>
      <c r="AA4521" s="2" t="s">
        <v>456</v>
      </c>
      <c r="AB4521" s="2" t="s">
        <v>457</v>
      </c>
      <c r="AC4521" s="4" t="s">
        <v>44</v>
      </c>
    </row>
    <row r="4522" spans="1:29" x14ac:dyDescent="0.25">
      <c r="A4522" s="1">
        <v>3713</v>
      </c>
      <c r="B4522" s="17" t="s">
        <v>18879</v>
      </c>
      <c r="C4522" s="2" t="s">
        <v>18880</v>
      </c>
      <c r="D4522" s="15" t="s">
        <v>8219</v>
      </c>
      <c r="E4522" s="9" t="s">
        <v>1341</v>
      </c>
      <c r="F4522" s="9" t="s">
        <v>1773</v>
      </c>
      <c r="G4522" s="9" t="s">
        <v>2381</v>
      </c>
      <c r="H4522" s="2" t="s">
        <v>35</v>
      </c>
      <c r="I4522" s="3">
        <v>37501</v>
      </c>
      <c r="J4522" s="9" t="str">
        <f t="shared" ca="1" si="79"/>
        <v>20 ans</v>
      </c>
      <c r="K4522" s="2" t="s">
        <v>262</v>
      </c>
      <c r="L4522" s="2" t="str">
        <f>"16805"</f>
        <v>16805</v>
      </c>
      <c r="M4522" s="2" t="str">
        <f>"4"</f>
        <v>4</v>
      </c>
      <c r="N4522" s="2" t="str">
        <f>"RUE VICTOR"</f>
        <v>RUE VICTOR</v>
      </c>
      <c r="O4522" s="2" t="s">
        <v>18155</v>
      </c>
      <c r="P4522" s="9" t="str">
        <f>VLOOKUP($O4522,'Liste des Villes'!$B$2:$B$1128,1,FALSE)</f>
        <v>Blainville</v>
      </c>
      <c r="Q4522" s="9" t="str">
        <f>IFERROR($P4522,PROPER(VLOOKUP($O4522,'Villes en erreur'!$A$2:$B$72,2,FALSE)))</f>
        <v>Blainville</v>
      </c>
      <c r="R4522" s="9" t="s">
        <v>18156</v>
      </c>
      <c r="S4522" s="9" t="str">
        <f>IF(ISBLANK($R4522),"",VLOOKUP($R4522,'Liste des Villes'!$B$2:$H$1128,4,FALSE))</f>
        <v>Laurentides</v>
      </c>
      <c r="T4522" s="2" t="s">
        <v>18881</v>
      </c>
      <c r="U4522" s="2" t="s">
        <v>39</v>
      </c>
      <c r="V4522" s="2" t="s">
        <v>40</v>
      </c>
      <c r="W4522" s="2" t="s">
        <v>18882</v>
      </c>
      <c r="X4522" s="2" t="str">
        <f>"5149714013"</f>
        <v>5149714013</v>
      </c>
      <c r="Y4522" s="2" t="str">
        <f>"4502582805"</f>
        <v>4502582805</v>
      </c>
      <c r="Z4522" s="2"/>
      <c r="AA4522" s="2" t="s">
        <v>456</v>
      </c>
      <c r="AB4522" s="2" t="s">
        <v>457</v>
      </c>
      <c r="AC4522" s="4" t="s">
        <v>44</v>
      </c>
    </row>
    <row r="4523" spans="1:29" x14ac:dyDescent="0.25">
      <c r="A4523" s="1">
        <v>3750</v>
      </c>
      <c r="B4523" s="17" t="s">
        <v>18883</v>
      </c>
      <c r="C4523" s="2" t="s">
        <v>2982</v>
      </c>
      <c r="D4523" s="15" t="s">
        <v>2983</v>
      </c>
      <c r="E4523" s="9" t="s">
        <v>370</v>
      </c>
      <c r="F4523" s="9" t="s">
        <v>9158</v>
      </c>
      <c r="G4523" s="9" t="s">
        <v>18884</v>
      </c>
      <c r="H4523" s="2" t="s">
        <v>60</v>
      </c>
      <c r="I4523" s="3">
        <v>37434</v>
      </c>
      <c r="J4523" s="9" t="str">
        <f t="shared" ca="1" si="79"/>
        <v>21 ans</v>
      </c>
      <c r="K4523" s="2" t="s">
        <v>262</v>
      </c>
      <c r="L4523" s="2" t="str">
        <f>"13335"</f>
        <v>13335</v>
      </c>
      <c r="M4523" s="2" t="str">
        <f>"409"</f>
        <v>409</v>
      </c>
      <c r="N4523" s="2" t="str">
        <f>"RUE RUSSELL"</f>
        <v>RUE RUSSELL</v>
      </c>
      <c r="O4523" s="2" t="s">
        <v>18155</v>
      </c>
      <c r="P4523" s="9" t="str">
        <f>VLOOKUP($O4523,'Liste des Villes'!$B$2:$B$1128,1,FALSE)</f>
        <v>Blainville</v>
      </c>
      <c r="Q4523" s="9" t="str">
        <f>IFERROR($P4523,PROPER(VLOOKUP($O4523,'Villes en erreur'!$A$2:$B$72,2,FALSE)))</f>
        <v>Blainville</v>
      </c>
      <c r="R4523" s="9" t="s">
        <v>18156</v>
      </c>
      <c r="S4523" s="9" t="str">
        <f>IF(ISBLANK($R4523),"",VLOOKUP($R4523,'Liste des Villes'!$B$2:$H$1128,4,FALSE))</f>
        <v>Laurentides</v>
      </c>
      <c r="T4523" s="2" t="s">
        <v>18885</v>
      </c>
      <c r="U4523" s="2" t="s">
        <v>39</v>
      </c>
      <c r="V4523" s="2" t="s">
        <v>40</v>
      </c>
      <c r="W4523" s="2" t="s">
        <v>18886</v>
      </c>
      <c r="X4523" s="2" t="str">
        <f>"5142670914"</f>
        <v>5142670914</v>
      </c>
      <c r="Y4523" s="2" t="str">
        <f>"4506121000"</f>
        <v>4506121000</v>
      </c>
      <c r="Z4523" s="2"/>
      <c r="AA4523" s="2" t="s">
        <v>456</v>
      </c>
      <c r="AB4523" s="2" t="s">
        <v>457</v>
      </c>
      <c r="AC4523" s="4" t="s">
        <v>44</v>
      </c>
    </row>
    <row r="4524" spans="1:29" x14ac:dyDescent="0.25">
      <c r="A4524" s="1">
        <v>3934</v>
      </c>
      <c r="B4524" s="17" t="s">
        <v>18887</v>
      </c>
      <c r="C4524" s="2" t="s">
        <v>3510</v>
      </c>
      <c r="D4524" s="15" t="s">
        <v>846</v>
      </c>
      <c r="E4524" s="9" t="s">
        <v>3511</v>
      </c>
      <c r="F4524" s="9" t="s">
        <v>845</v>
      </c>
      <c r="G4524" s="9" t="s">
        <v>2877</v>
      </c>
      <c r="H4524" s="2" t="s">
        <v>35</v>
      </c>
      <c r="I4524" s="3">
        <v>37540</v>
      </c>
      <c r="J4524" s="9" t="str">
        <f t="shared" ca="1" si="79"/>
        <v>20 ans</v>
      </c>
      <c r="K4524" s="2" t="s">
        <v>262</v>
      </c>
      <c r="L4524" s="2" t="str">
        <f>"22835"</f>
        <v>22835</v>
      </c>
      <c r="M4524" s="2" t="str">
        <f>"1"</f>
        <v>1</v>
      </c>
      <c r="N4524" s="2" t="str">
        <f>"TSSE JOURDAIN"</f>
        <v>TSSE JOURDAIN</v>
      </c>
      <c r="O4524" s="2" t="s">
        <v>18155</v>
      </c>
      <c r="P4524" s="9" t="str">
        <f>VLOOKUP($O4524,'Liste des Villes'!$B$2:$B$1128,1,FALSE)</f>
        <v>Blainville</v>
      </c>
      <c r="Q4524" s="9" t="str">
        <f>IFERROR($P4524,PROPER(VLOOKUP($O4524,'Villes en erreur'!$A$2:$B$72,2,FALSE)))</f>
        <v>Blainville</v>
      </c>
      <c r="R4524" s="9" t="s">
        <v>18156</v>
      </c>
      <c r="S4524" s="9" t="str">
        <f>IF(ISBLANK($R4524),"",VLOOKUP($R4524,'Liste des Villes'!$B$2:$H$1128,4,FALSE))</f>
        <v>Laurentides</v>
      </c>
      <c r="T4524" s="2" t="s">
        <v>18888</v>
      </c>
      <c r="U4524" s="2" t="s">
        <v>39</v>
      </c>
      <c r="V4524" s="2" t="s">
        <v>40</v>
      </c>
      <c r="W4524" s="2" t="s">
        <v>18889</v>
      </c>
      <c r="X4524" s="2" t="str">
        <f>"8733533644"</f>
        <v>8733533644</v>
      </c>
      <c r="Y4524" s="2" t="str">
        <f>"4383942131"</f>
        <v>4383942131</v>
      </c>
      <c r="Z4524" s="2" t="str">
        <f>"5142622058"</f>
        <v>5142622058</v>
      </c>
      <c r="AA4524" s="2" t="s">
        <v>456</v>
      </c>
      <c r="AB4524" s="2" t="s">
        <v>457</v>
      </c>
      <c r="AC4524" s="4" t="s">
        <v>44</v>
      </c>
    </row>
    <row r="4525" spans="1:29" x14ac:dyDescent="0.25">
      <c r="A4525" s="1">
        <v>1437</v>
      </c>
      <c r="B4525" s="17" t="s">
        <v>18890</v>
      </c>
      <c r="C4525" s="2" t="s">
        <v>18891</v>
      </c>
      <c r="D4525" s="15" t="s">
        <v>14557</v>
      </c>
      <c r="E4525" s="9" t="s">
        <v>1004</v>
      </c>
      <c r="F4525" s="9" t="s">
        <v>14556</v>
      </c>
      <c r="G4525" s="9" t="s">
        <v>370</v>
      </c>
      <c r="H4525" s="2" t="s">
        <v>60</v>
      </c>
      <c r="I4525" s="3">
        <v>37515</v>
      </c>
      <c r="J4525" s="9" t="str">
        <f t="shared" ca="1" si="79"/>
        <v>20 ans</v>
      </c>
      <c r="K4525" s="2" t="s">
        <v>262</v>
      </c>
      <c r="L4525" s="2" t="str">
        <f>"17515"</f>
        <v>17515</v>
      </c>
      <c r="M4525" s="2" t="str">
        <f>"2"</f>
        <v>2</v>
      </c>
      <c r="N4525" s="2" t="str">
        <f>"SAINTE-ANNE-DES-PLAINES"</f>
        <v>SAINTE-ANNE-DES-PLAINES</v>
      </c>
      <c r="O4525" s="2" t="s">
        <v>18155</v>
      </c>
      <c r="P4525" s="9" t="str">
        <f>VLOOKUP($O4525,'Liste des Villes'!$B$2:$B$1128,1,FALSE)</f>
        <v>Blainville</v>
      </c>
      <c r="Q4525" s="9" t="str">
        <f>IFERROR($P4525,PROPER(VLOOKUP($O4525,'Villes en erreur'!$A$2:$B$72,2,FALSE)))</f>
        <v>Blainville</v>
      </c>
      <c r="R4525" s="9" t="s">
        <v>18156</v>
      </c>
      <c r="S4525" s="9" t="str">
        <f>IF(ISBLANK($R4525),"",VLOOKUP($R4525,'Liste des Villes'!$B$2:$H$1128,4,FALSE))</f>
        <v>Laurentides</v>
      </c>
      <c r="T4525" s="2" t="s">
        <v>18892</v>
      </c>
      <c r="U4525" s="2" t="s">
        <v>39</v>
      </c>
      <c r="V4525" s="2" t="s">
        <v>40</v>
      </c>
      <c r="W4525" s="2" t="s">
        <v>18893</v>
      </c>
      <c r="X4525" s="2" t="str">
        <f>"5819893259"</f>
        <v>5819893259</v>
      </c>
      <c r="Y4525" s="2" t="str">
        <f>"4388820594"</f>
        <v>4388820594</v>
      </c>
      <c r="Z4525" s="2"/>
      <c r="AA4525" s="2" t="s">
        <v>456</v>
      </c>
      <c r="AB4525" s="2" t="s">
        <v>457</v>
      </c>
      <c r="AC4525" s="4" t="s">
        <v>44</v>
      </c>
    </row>
    <row r="4526" spans="1:29" x14ac:dyDescent="0.25">
      <c r="A4526" s="1">
        <v>1905</v>
      </c>
      <c r="B4526" s="17" t="s">
        <v>18894</v>
      </c>
      <c r="C4526" s="2" t="s">
        <v>939</v>
      </c>
      <c r="D4526" s="15" t="s">
        <v>827</v>
      </c>
      <c r="E4526" s="9" t="s">
        <v>940</v>
      </c>
      <c r="F4526" s="9" t="s">
        <v>825</v>
      </c>
      <c r="G4526" s="9" t="s">
        <v>341</v>
      </c>
      <c r="H4526" s="2" t="s">
        <v>60</v>
      </c>
      <c r="I4526" s="3">
        <v>37454</v>
      </c>
      <c r="J4526" s="9" t="str">
        <f t="shared" ca="1" si="79"/>
        <v>21 ans</v>
      </c>
      <c r="K4526" s="2" t="s">
        <v>262</v>
      </c>
      <c r="L4526" s="2" t="str">
        <f>"13775"</f>
        <v>13775</v>
      </c>
      <c r="M4526" s="2" t="str">
        <f>"107"</f>
        <v>107</v>
      </c>
      <c r="N4526" s="2" t="str">
        <f>"RUE SAINT-LUC"</f>
        <v>RUE SAINT-LUC</v>
      </c>
      <c r="O4526" s="2" t="s">
        <v>18155</v>
      </c>
      <c r="P4526" s="9" t="str">
        <f>VLOOKUP($O4526,'Liste des Villes'!$B$2:$B$1128,1,FALSE)</f>
        <v>Blainville</v>
      </c>
      <c r="Q4526" s="9" t="str">
        <f>IFERROR($P4526,PROPER(VLOOKUP($O4526,'Villes en erreur'!$A$2:$B$72,2,FALSE)))</f>
        <v>Blainville</v>
      </c>
      <c r="R4526" s="9" t="s">
        <v>18156</v>
      </c>
      <c r="S4526" s="9" t="str">
        <f>IF(ISBLANK($R4526),"",VLOOKUP($R4526,'Liste des Villes'!$B$2:$H$1128,4,FALSE))</f>
        <v>Laurentides</v>
      </c>
      <c r="T4526" s="2" t="s">
        <v>18895</v>
      </c>
      <c r="U4526" s="2" t="s">
        <v>39</v>
      </c>
      <c r="V4526" s="2" t="s">
        <v>40</v>
      </c>
      <c r="W4526" s="2" t="s">
        <v>18896</v>
      </c>
      <c r="X4526" s="2" t="str">
        <f>"5146083798"</f>
        <v>5146083798</v>
      </c>
      <c r="Y4526" s="2" t="str">
        <f>"4505164366"</f>
        <v>4505164366</v>
      </c>
      <c r="Z4526" s="2"/>
      <c r="AA4526" s="2" t="s">
        <v>456</v>
      </c>
      <c r="AB4526" s="2" t="s">
        <v>457</v>
      </c>
      <c r="AC4526" s="4" t="s">
        <v>44</v>
      </c>
    </row>
    <row r="4527" spans="1:29" x14ac:dyDescent="0.25">
      <c r="A4527" s="1">
        <v>1320</v>
      </c>
      <c r="B4527" s="17" t="s">
        <v>18897</v>
      </c>
      <c r="C4527" s="2" t="s">
        <v>18898</v>
      </c>
      <c r="D4527" s="15" t="s">
        <v>16222</v>
      </c>
      <c r="E4527" s="9" t="s">
        <v>3265</v>
      </c>
      <c r="F4527" s="9" t="s">
        <v>16221</v>
      </c>
      <c r="G4527" s="9" t="s">
        <v>18432</v>
      </c>
      <c r="H4527" s="2" t="s">
        <v>60</v>
      </c>
      <c r="I4527" s="3">
        <v>37518</v>
      </c>
      <c r="J4527" s="9" t="str">
        <f t="shared" ca="1" si="79"/>
        <v>20 ans</v>
      </c>
      <c r="K4527" s="2" t="s">
        <v>262</v>
      </c>
      <c r="L4527" s="2" t="str">
        <f>"18091"</f>
        <v>18091</v>
      </c>
      <c r="M4527" s="2" t="str">
        <f>"2"</f>
        <v>2</v>
      </c>
      <c r="N4527" s="2" t="str">
        <f>"ST-ANDRÉ"</f>
        <v>ST-ANDRÉ</v>
      </c>
      <c r="O4527" s="2" t="s">
        <v>18155</v>
      </c>
      <c r="P4527" s="9" t="str">
        <f>VLOOKUP($O4527,'Liste des Villes'!$B$2:$B$1128,1,FALSE)</f>
        <v>Blainville</v>
      </c>
      <c r="Q4527" s="9" t="str">
        <f>IFERROR($P4527,PROPER(VLOOKUP($O4527,'Villes en erreur'!$A$2:$B$72,2,FALSE)))</f>
        <v>Blainville</v>
      </c>
      <c r="R4527" s="9" t="s">
        <v>18156</v>
      </c>
      <c r="S4527" s="9" t="str">
        <f>IF(ISBLANK($R4527),"",VLOOKUP($R4527,'Liste des Villes'!$B$2:$H$1128,4,FALSE))</f>
        <v>Laurentides</v>
      </c>
      <c r="T4527" s="2" t="s">
        <v>18899</v>
      </c>
      <c r="U4527" s="2" t="s">
        <v>39</v>
      </c>
      <c r="V4527" s="2" t="s">
        <v>40</v>
      </c>
      <c r="W4527" s="2" t="s">
        <v>18900</v>
      </c>
      <c r="X4527" s="2" t="str">
        <f>"8193247618"</f>
        <v>8193247618</v>
      </c>
      <c r="Y4527" s="2" t="str">
        <f>"4388221495"</f>
        <v>4388221495</v>
      </c>
      <c r="Z4527" s="2"/>
      <c r="AA4527" s="2" t="s">
        <v>456</v>
      </c>
      <c r="AB4527" s="2" t="s">
        <v>457</v>
      </c>
      <c r="AC4527" s="4" t="s">
        <v>44</v>
      </c>
    </row>
    <row r="4528" spans="1:29" x14ac:dyDescent="0.25">
      <c r="A4528" s="1">
        <v>2131</v>
      </c>
      <c r="B4528" s="17" t="s">
        <v>18901</v>
      </c>
      <c r="C4528" s="2" t="s">
        <v>18902</v>
      </c>
      <c r="D4528" s="15" t="s">
        <v>892</v>
      </c>
      <c r="E4528" s="9" t="s">
        <v>325</v>
      </c>
      <c r="F4528" s="9" t="s">
        <v>890</v>
      </c>
      <c r="G4528" s="9" t="s">
        <v>15930</v>
      </c>
      <c r="H4528" s="2" t="s">
        <v>60</v>
      </c>
      <c r="I4528" s="3">
        <v>37461</v>
      </c>
      <c r="J4528" s="9" t="str">
        <f t="shared" ca="1" si="79"/>
        <v>21 ans</v>
      </c>
      <c r="K4528" s="2" t="s">
        <v>262</v>
      </c>
      <c r="L4528" s="2" t="str">
        <f>"13935"</f>
        <v>13935</v>
      </c>
      <c r="M4528" s="2" t="str">
        <f>"102"</f>
        <v>102</v>
      </c>
      <c r="N4528" s="2" t="str">
        <f>"RUE SAURIOL"</f>
        <v>RUE SAURIOL</v>
      </c>
      <c r="O4528" s="2" t="s">
        <v>18155</v>
      </c>
      <c r="P4528" s="9" t="str">
        <f>VLOOKUP($O4528,'Liste des Villes'!$B$2:$B$1128,1,FALSE)</f>
        <v>Blainville</v>
      </c>
      <c r="Q4528" s="9" t="str">
        <f>IFERROR($P4528,PROPER(VLOOKUP($O4528,'Villes en erreur'!$A$2:$B$72,2,FALSE)))</f>
        <v>Blainville</v>
      </c>
      <c r="R4528" s="9" t="s">
        <v>18156</v>
      </c>
      <c r="S4528" s="9" t="str">
        <f>IF(ISBLANK($R4528),"",VLOOKUP($R4528,'Liste des Villes'!$B$2:$H$1128,4,FALSE))</f>
        <v>Laurentides</v>
      </c>
      <c r="T4528" s="2" t="s">
        <v>18903</v>
      </c>
      <c r="U4528" s="2" t="s">
        <v>39</v>
      </c>
      <c r="V4528" s="2" t="s">
        <v>40</v>
      </c>
      <c r="W4528" s="2" t="s">
        <v>18904</v>
      </c>
      <c r="X4528" s="2" t="str">
        <f>"5146635041"</f>
        <v>5146635041</v>
      </c>
      <c r="Y4528" s="2" t="str">
        <f>"4505047895"</f>
        <v>4505047895</v>
      </c>
      <c r="Z4528" s="2"/>
      <c r="AA4528" s="2" t="s">
        <v>456</v>
      </c>
      <c r="AB4528" s="2" t="s">
        <v>457</v>
      </c>
      <c r="AC4528" s="4" t="s">
        <v>44</v>
      </c>
    </row>
    <row r="4529" spans="1:29" x14ac:dyDescent="0.25">
      <c r="A4529" s="1">
        <v>435</v>
      </c>
      <c r="B4529" s="17" t="s">
        <v>18905</v>
      </c>
      <c r="C4529" s="2" t="s">
        <v>4394</v>
      </c>
      <c r="D4529" s="15" t="s">
        <v>617</v>
      </c>
      <c r="E4529" s="9" t="s">
        <v>2404</v>
      </c>
      <c r="F4529" s="9" t="s">
        <v>17940</v>
      </c>
      <c r="G4529" s="9" t="s">
        <v>16062</v>
      </c>
      <c r="H4529" s="2" t="s">
        <v>60</v>
      </c>
      <c r="I4529" s="3">
        <v>37461</v>
      </c>
      <c r="J4529" s="9" t="str">
        <f t="shared" ca="1" si="79"/>
        <v>21 ans</v>
      </c>
      <c r="K4529" s="2" t="s">
        <v>262</v>
      </c>
      <c r="L4529" s="2" t="str">
        <f>"13952"</f>
        <v>13952</v>
      </c>
      <c r="M4529" s="2" t="str">
        <f>"102"</f>
        <v>102</v>
      </c>
      <c r="N4529" s="2" t="str">
        <f>"RUE SAUVÉ"</f>
        <v>RUE SAUVÉ</v>
      </c>
      <c r="O4529" s="2" t="s">
        <v>18155</v>
      </c>
      <c r="P4529" s="9" t="str">
        <f>VLOOKUP($O4529,'Liste des Villes'!$B$2:$B$1128,1,FALSE)</f>
        <v>Blainville</v>
      </c>
      <c r="Q4529" s="9" t="str">
        <f>IFERROR($P4529,PROPER(VLOOKUP($O4529,'Villes en erreur'!$A$2:$B$72,2,FALSE)))</f>
        <v>Blainville</v>
      </c>
      <c r="R4529" s="9" t="s">
        <v>18156</v>
      </c>
      <c r="S4529" s="9" t="str">
        <f>IF(ISBLANK($R4529),"",VLOOKUP($R4529,'Liste des Villes'!$B$2:$H$1128,4,FALSE))</f>
        <v>Laurentides</v>
      </c>
      <c r="T4529" s="2" t="s">
        <v>18641</v>
      </c>
      <c r="U4529" s="2" t="s">
        <v>39</v>
      </c>
      <c r="V4529" s="2" t="s">
        <v>40</v>
      </c>
      <c r="W4529" s="2" t="s">
        <v>18906</v>
      </c>
      <c r="X4529" s="2" t="str">
        <f>"5146636160"</f>
        <v>5146636160</v>
      </c>
      <c r="Y4529" s="2" t="str">
        <f>"4505045475"</f>
        <v>4505045475</v>
      </c>
      <c r="Z4529" s="2"/>
      <c r="AA4529" s="2" t="s">
        <v>456</v>
      </c>
      <c r="AB4529" s="2" t="s">
        <v>457</v>
      </c>
      <c r="AC4529" s="4" t="s">
        <v>44</v>
      </c>
    </row>
    <row r="4530" spans="1:29" x14ac:dyDescent="0.25">
      <c r="A4530" s="1">
        <v>1657</v>
      </c>
      <c r="B4530" s="17" t="s">
        <v>18907</v>
      </c>
      <c r="C4530" s="2" t="s">
        <v>3071</v>
      </c>
      <c r="D4530" s="15" t="s">
        <v>3072</v>
      </c>
      <c r="E4530" s="9" t="s">
        <v>610</v>
      </c>
      <c r="F4530" s="9" t="s">
        <v>3073</v>
      </c>
      <c r="G4530" s="9" t="s">
        <v>2355</v>
      </c>
      <c r="H4530" s="2" t="s">
        <v>60</v>
      </c>
      <c r="I4530" s="3">
        <v>37465</v>
      </c>
      <c r="J4530" s="9" t="str">
        <f t="shared" ca="1" si="79"/>
        <v>21 ans</v>
      </c>
      <c r="K4530" s="2" t="s">
        <v>262</v>
      </c>
      <c r="L4530" s="2" t="str">
        <f>"14040"</f>
        <v>14040</v>
      </c>
      <c r="M4530" s="2" t="str">
        <f>"101"</f>
        <v>101</v>
      </c>
      <c r="N4530" s="2" t="str">
        <f>"RUE SCHULZ"</f>
        <v>RUE SCHULZ</v>
      </c>
      <c r="O4530" s="2" t="s">
        <v>18155</v>
      </c>
      <c r="P4530" s="9" t="str">
        <f>VLOOKUP($O4530,'Liste des Villes'!$B$2:$B$1128,1,FALSE)</f>
        <v>Blainville</v>
      </c>
      <c r="Q4530" s="9" t="str">
        <f>IFERROR($P4530,PROPER(VLOOKUP($O4530,'Villes en erreur'!$A$2:$B$72,2,FALSE)))</f>
        <v>Blainville</v>
      </c>
      <c r="R4530" s="9" t="s">
        <v>18156</v>
      </c>
      <c r="S4530" s="9" t="str">
        <f>IF(ISBLANK($R4530),"",VLOOKUP($R4530,'Liste des Villes'!$B$2:$H$1128,4,FALSE))</f>
        <v>Laurentides</v>
      </c>
      <c r="T4530" s="2" t="s">
        <v>18908</v>
      </c>
      <c r="U4530" s="2" t="s">
        <v>39</v>
      </c>
      <c r="V4530" s="2" t="s">
        <v>40</v>
      </c>
      <c r="W4530" s="2" t="s">
        <v>18909</v>
      </c>
      <c r="X4530" s="2" t="str">
        <f>"5146900558"</f>
        <v>5146900558</v>
      </c>
      <c r="Y4530" s="2" t="str">
        <f>"4504774687"</f>
        <v>4504774687</v>
      </c>
      <c r="Z4530" s="2"/>
      <c r="AA4530" s="2" t="s">
        <v>456</v>
      </c>
      <c r="AB4530" s="2" t="s">
        <v>457</v>
      </c>
      <c r="AC4530" s="4" t="s">
        <v>44</v>
      </c>
    </row>
    <row r="4531" spans="1:29" x14ac:dyDescent="0.25">
      <c r="A4531" s="1">
        <v>431</v>
      </c>
      <c r="B4531" s="17" t="s">
        <v>18910</v>
      </c>
      <c r="C4531" s="2" t="s">
        <v>3579</v>
      </c>
      <c r="D4531" s="15" t="s">
        <v>2698</v>
      </c>
      <c r="E4531" s="9" t="s">
        <v>3580</v>
      </c>
      <c r="F4531" s="9" t="s">
        <v>5394</v>
      </c>
      <c r="G4531" s="9" t="s">
        <v>2381</v>
      </c>
      <c r="H4531" s="2" t="s">
        <v>35</v>
      </c>
      <c r="I4531" s="3">
        <v>37502</v>
      </c>
      <c r="J4531" s="9" t="str">
        <f t="shared" ca="1" si="79"/>
        <v>20 ans</v>
      </c>
      <c r="K4531" s="2" t="s">
        <v>262</v>
      </c>
      <c r="L4531" s="2" t="str">
        <f>"16815"</f>
        <v>16815</v>
      </c>
      <c r="M4531" s="2" t="str">
        <f>"4"</f>
        <v>4</v>
      </c>
      <c r="N4531" s="2" t="str">
        <f>"RUE VICTOR"</f>
        <v>RUE VICTOR</v>
      </c>
      <c r="O4531" s="2" t="s">
        <v>18155</v>
      </c>
      <c r="P4531" s="9" t="str">
        <f>VLOOKUP($O4531,'Liste des Villes'!$B$2:$B$1128,1,FALSE)</f>
        <v>Blainville</v>
      </c>
      <c r="Q4531" s="9" t="str">
        <f>IFERROR($P4531,PROPER(VLOOKUP($O4531,'Villes en erreur'!$A$2:$B$72,2,FALSE)))</f>
        <v>Blainville</v>
      </c>
      <c r="R4531" s="9" t="s">
        <v>18156</v>
      </c>
      <c r="S4531" s="9" t="str">
        <f>IF(ISBLANK($R4531),"",VLOOKUP($R4531,'Liste des Villes'!$B$2:$H$1128,4,FALSE))</f>
        <v>Laurentides</v>
      </c>
      <c r="T4531" s="2" t="s">
        <v>18911</v>
      </c>
      <c r="U4531" s="2" t="s">
        <v>39</v>
      </c>
      <c r="V4531" s="2" t="s">
        <v>40</v>
      </c>
      <c r="W4531" s="2" t="s">
        <v>18912</v>
      </c>
      <c r="X4531" s="2" t="str">
        <f>"5149728220"</f>
        <v>5149728220</v>
      </c>
      <c r="Y4531" s="2" t="str">
        <f>"4502400129"</f>
        <v>4502400129</v>
      </c>
      <c r="Z4531" s="2"/>
      <c r="AA4531" s="2" t="s">
        <v>456</v>
      </c>
      <c r="AB4531" s="2" t="s">
        <v>457</v>
      </c>
      <c r="AC4531" s="4" t="s">
        <v>44</v>
      </c>
    </row>
    <row r="4532" spans="1:29" x14ac:dyDescent="0.25">
      <c r="A4532" s="1">
        <v>4510</v>
      </c>
      <c r="B4532" s="17" t="s">
        <v>18913</v>
      </c>
      <c r="C4532" s="2" t="s">
        <v>3467</v>
      </c>
      <c r="D4532" s="15" t="s">
        <v>3468</v>
      </c>
      <c r="E4532" s="9" t="s">
        <v>751</v>
      </c>
      <c r="F4532" s="9" t="s">
        <v>4152</v>
      </c>
      <c r="G4532" s="9" t="s">
        <v>4422</v>
      </c>
      <c r="H4532" s="2" t="s">
        <v>60</v>
      </c>
      <c r="I4532" s="3">
        <v>37489</v>
      </c>
      <c r="J4532" s="9" t="str">
        <f t="shared" ca="1" si="79"/>
        <v>21 ans</v>
      </c>
      <c r="K4532" s="2" t="s">
        <v>262</v>
      </c>
      <c r="L4532" s="2" t="str">
        <f>"15580"</f>
        <v>15580</v>
      </c>
      <c r="M4532" s="2" t="str">
        <f>"6"</f>
        <v>6</v>
      </c>
      <c r="N4532" s="2" t="str">
        <f>"RUE TRAHAN"</f>
        <v>RUE TRAHAN</v>
      </c>
      <c r="O4532" s="2" t="s">
        <v>18155</v>
      </c>
      <c r="P4532" s="9" t="str">
        <f>VLOOKUP($O4532,'Liste des Villes'!$B$2:$B$1128,1,FALSE)</f>
        <v>Blainville</v>
      </c>
      <c r="Q4532" s="9" t="str">
        <f>IFERROR($P4532,PROPER(VLOOKUP($O4532,'Villes en erreur'!$A$2:$B$72,2,FALSE)))</f>
        <v>Blainville</v>
      </c>
      <c r="R4532" s="9" t="s">
        <v>18156</v>
      </c>
      <c r="S4532" s="9" t="str">
        <f>IF(ISBLANK($R4532),"",VLOOKUP($R4532,'Liste des Villes'!$B$2:$H$1128,4,FALSE))</f>
        <v>Laurentides</v>
      </c>
      <c r="T4532" s="2" t="s">
        <v>18914</v>
      </c>
      <c r="U4532" s="2" t="s">
        <v>39</v>
      </c>
      <c r="V4532" s="2" t="s">
        <v>40</v>
      </c>
      <c r="W4532" s="2" t="s">
        <v>18915</v>
      </c>
      <c r="X4532" s="2" t="str">
        <f>"5148874625"</f>
        <v>5148874625</v>
      </c>
      <c r="Y4532" s="2" t="str">
        <f>"4504317255"</f>
        <v>4504317255</v>
      </c>
      <c r="Z4532" s="2"/>
      <c r="AA4532" s="2" t="s">
        <v>456</v>
      </c>
      <c r="AB4532" s="2" t="s">
        <v>457</v>
      </c>
      <c r="AC4532" s="4" t="s">
        <v>44</v>
      </c>
    </row>
    <row r="4533" spans="1:29" x14ac:dyDescent="0.25">
      <c r="A4533" s="1">
        <v>2277</v>
      </c>
      <c r="B4533" s="17" t="s">
        <v>18916</v>
      </c>
      <c r="C4533" s="2" t="s">
        <v>18917</v>
      </c>
      <c r="D4533" s="15" t="s">
        <v>8899</v>
      </c>
      <c r="E4533" s="9" t="s">
        <v>1341</v>
      </c>
      <c r="F4533" s="9" t="s">
        <v>8898</v>
      </c>
      <c r="G4533" s="9" t="s">
        <v>6328</v>
      </c>
      <c r="H4533" s="2" t="s">
        <v>60</v>
      </c>
      <c r="I4533" s="3">
        <v>37494</v>
      </c>
      <c r="J4533" s="9" t="str">
        <f t="shared" ca="1" si="79"/>
        <v>20 ans</v>
      </c>
      <c r="K4533" s="2" t="s">
        <v>262</v>
      </c>
      <c r="L4533" s="2" t="str">
        <f>"16250"</f>
        <v>16250</v>
      </c>
      <c r="M4533" s="2" t="str">
        <f>"6"</f>
        <v>6</v>
      </c>
      <c r="N4533" s="2" t="str">
        <f>"RUE VALÉRIE"</f>
        <v>RUE VALÉRIE</v>
      </c>
      <c r="O4533" s="2" t="s">
        <v>18155</v>
      </c>
      <c r="P4533" s="9" t="str">
        <f>VLOOKUP($O4533,'Liste des Villes'!$B$2:$B$1128,1,FALSE)</f>
        <v>Blainville</v>
      </c>
      <c r="Q4533" s="9" t="str">
        <f>IFERROR($P4533,PROPER(VLOOKUP($O4533,'Villes en erreur'!$A$2:$B$72,2,FALSE)))</f>
        <v>Blainville</v>
      </c>
      <c r="R4533" s="9" t="s">
        <v>18156</v>
      </c>
      <c r="S4533" s="9" t="str">
        <f>IF(ISBLANK($R4533),"",VLOOKUP($R4533,'Liste des Villes'!$B$2:$H$1128,4,FALSE))</f>
        <v>Laurentides</v>
      </c>
      <c r="T4533" s="2" t="s">
        <v>18918</v>
      </c>
      <c r="U4533" s="2" t="s">
        <v>39</v>
      </c>
      <c r="V4533" s="2" t="s">
        <v>40</v>
      </c>
      <c r="W4533" s="2" t="s">
        <v>18919</v>
      </c>
      <c r="X4533" s="2" t="str">
        <f>"5149191023"</f>
        <v>5149191023</v>
      </c>
      <c r="Y4533" s="2" t="str">
        <f>"4504091402"</f>
        <v>4504091402</v>
      </c>
      <c r="Z4533" s="2"/>
      <c r="AA4533" s="2" t="s">
        <v>456</v>
      </c>
      <c r="AB4533" s="2" t="s">
        <v>457</v>
      </c>
      <c r="AC4533" s="4" t="s">
        <v>44</v>
      </c>
    </row>
    <row r="4534" spans="1:29" x14ac:dyDescent="0.25">
      <c r="A4534" s="1">
        <v>2021</v>
      </c>
      <c r="B4534" s="17" t="s">
        <v>18920</v>
      </c>
      <c r="C4534" s="2" t="s">
        <v>18921</v>
      </c>
      <c r="D4534" s="15" t="s">
        <v>18922</v>
      </c>
      <c r="E4534" s="9" t="s">
        <v>5448</v>
      </c>
      <c r="F4534" s="9" t="s">
        <v>6276</v>
      </c>
      <c r="G4534" s="9" t="s">
        <v>370</v>
      </c>
      <c r="H4534" s="2" t="s">
        <v>60</v>
      </c>
      <c r="I4534" s="3">
        <v>37510</v>
      </c>
      <c r="J4534" s="9" t="str">
        <f t="shared" ca="1" si="79"/>
        <v>20 ans</v>
      </c>
      <c r="K4534" s="2" t="s">
        <v>262</v>
      </c>
      <c r="L4534" s="2" t="str">
        <f>"17225"</f>
        <v>17225</v>
      </c>
      <c r="M4534" s="2" t="str">
        <f>"3"</f>
        <v>3</v>
      </c>
      <c r="N4534" s="2" t="str">
        <f>"RUE YVON-COUSINEAU"</f>
        <v>RUE YVON-COUSINEAU</v>
      </c>
      <c r="O4534" s="2" t="s">
        <v>18155</v>
      </c>
      <c r="P4534" s="9" t="str">
        <f>VLOOKUP($O4534,'Liste des Villes'!$B$2:$B$1128,1,FALSE)</f>
        <v>Blainville</v>
      </c>
      <c r="Q4534" s="9" t="str">
        <f>IFERROR($P4534,PROPER(VLOOKUP($O4534,'Villes en erreur'!$A$2:$B$72,2,FALSE)))</f>
        <v>Blainville</v>
      </c>
      <c r="R4534" s="9" t="s">
        <v>18156</v>
      </c>
      <c r="S4534" s="9" t="str">
        <f>IF(ISBLANK($R4534),"",VLOOKUP($R4534,'Liste des Villes'!$B$2:$H$1128,4,FALSE))</f>
        <v>Laurentides</v>
      </c>
      <c r="T4534" s="2" t="s">
        <v>18923</v>
      </c>
      <c r="U4534" s="2" t="s">
        <v>39</v>
      </c>
      <c r="V4534" s="2" t="s">
        <v>40</v>
      </c>
      <c r="W4534" s="2" t="s">
        <v>18924</v>
      </c>
      <c r="X4534" s="2" t="str">
        <f>"5798882679"</f>
        <v>5798882679</v>
      </c>
      <c r="Y4534" s="2" t="str">
        <f>"4389320279"</f>
        <v>4389320279</v>
      </c>
      <c r="Z4534" s="2"/>
      <c r="AA4534" s="2" t="s">
        <v>456</v>
      </c>
      <c r="AB4534" s="2" t="s">
        <v>457</v>
      </c>
      <c r="AC4534" s="4" t="s">
        <v>44</v>
      </c>
    </row>
    <row r="4535" spans="1:29" x14ac:dyDescent="0.25">
      <c r="A4535" s="1">
        <v>1732</v>
      </c>
      <c r="B4535" s="17" t="s">
        <v>18925</v>
      </c>
      <c r="C4535" s="2" t="s">
        <v>18926</v>
      </c>
      <c r="D4535" s="15" t="s">
        <v>18927</v>
      </c>
      <c r="E4535" s="9" t="s">
        <v>1952</v>
      </c>
      <c r="F4535" s="9" t="s">
        <v>982</v>
      </c>
      <c r="G4535" s="9" t="s">
        <v>341</v>
      </c>
      <c r="H4535" s="2" t="s">
        <v>60</v>
      </c>
      <c r="I4535" s="3">
        <v>37447</v>
      </c>
      <c r="J4535" s="9" t="str">
        <f t="shared" ca="1" si="79"/>
        <v>21 ans</v>
      </c>
      <c r="K4535" s="2" t="s">
        <v>262</v>
      </c>
      <c r="L4535" s="2" t="str">
        <f>"13670"</f>
        <v>13670</v>
      </c>
      <c r="M4535" s="2" t="str">
        <f>"202"</f>
        <v>202</v>
      </c>
      <c r="N4535" s="2" t="str">
        <f>"RUE SAINT-HILAIRE"</f>
        <v>RUE SAINT-HILAIRE</v>
      </c>
      <c r="O4535" s="2" t="s">
        <v>18155</v>
      </c>
      <c r="P4535" s="9" t="str">
        <f>VLOOKUP($O4535,'Liste des Villes'!$B$2:$B$1128,1,FALSE)</f>
        <v>Blainville</v>
      </c>
      <c r="Q4535" s="9" t="str">
        <f>IFERROR($P4535,PROPER(VLOOKUP($O4535,'Villes en erreur'!$A$2:$B$72,2,FALSE)))</f>
        <v>Blainville</v>
      </c>
      <c r="R4535" s="9" t="s">
        <v>18156</v>
      </c>
      <c r="S4535" s="9" t="str">
        <f>IF(ISBLANK($R4535),"",VLOOKUP($R4535,'Liste des Villes'!$B$2:$H$1128,4,FALSE))</f>
        <v>Laurentides</v>
      </c>
      <c r="T4535" s="2" t="s">
        <v>18492</v>
      </c>
      <c r="U4535" s="2" t="s">
        <v>39</v>
      </c>
      <c r="V4535" s="2" t="s">
        <v>40</v>
      </c>
      <c r="W4535" s="2" t="s">
        <v>18928</v>
      </c>
      <c r="X4535" s="2" t="str">
        <f>"5145660948"</f>
        <v>5145660948</v>
      </c>
      <c r="Y4535" s="2" t="str">
        <f>"4505436701"</f>
        <v>4505436701</v>
      </c>
      <c r="Z4535" s="2"/>
      <c r="AA4535" s="2" t="s">
        <v>456</v>
      </c>
      <c r="AB4535" s="2" t="s">
        <v>457</v>
      </c>
      <c r="AC4535" s="4" t="s">
        <v>44</v>
      </c>
    </row>
    <row r="4536" spans="1:29" x14ac:dyDescent="0.25">
      <c r="A4536" s="1">
        <v>20</v>
      </c>
      <c r="B4536" s="17" t="s">
        <v>18929</v>
      </c>
      <c r="C4536" s="2" t="s">
        <v>18930</v>
      </c>
      <c r="D4536" s="15" t="s">
        <v>17311</v>
      </c>
      <c r="E4536" s="9" t="s">
        <v>6458</v>
      </c>
      <c r="F4536" s="9" t="s">
        <v>6459</v>
      </c>
      <c r="G4536" s="9" t="s">
        <v>5511</v>
      </c>
      <c r="H4536" s="2" t="s">
        <v>60</v>
      </c>
      <c r="I4536" s="3">
        <v>37431</v>
      </c>
      <c r="J4536" s="9" t="str">
        <f t="shared" ca="1" si="79"/>
        <v>21 ans</v>
      </c>
      <c r="K4536" s="2" t="s">
        <v>262</v>
      </c>
      <c r="L4536" s="2" t="str">
        <f>"13115"</f>
        <v>13115</v>
      </c>
      <c r="M4536" s="2" t="str">
        <f>"514"</f>
        <v>514</v>
      </c>
      <c r="N4536" s="2" t="str">
        <f>"RUE ROY"</f>
        <v>RUE ROY</v>
      </c>
      <c r="O4536" s="2" t="s">
        <v>18155</v>
      </c>
      <c r="P4536" s="9" t="str">
        <f>VLOOKUP($O4536,'Liste des Villes'!$B$2:$B$1128,1,FALSE)</f>
        <v>Blainville</v>
      </c>
      <c r="Q4536" s="9" t="str">
        <f>IFERROR($P4536,PROPER(VLOOKUP($O4536,'Villes en erreur'!$A$2:$B$72,2,FALSE)))</f>
        <v>Blainville</v>
      </c>
      <c r="R4536" s="9" t="s">
        <v>18156</v>
      </c>
      <c r="S4536" s="9" t="str">
        <f>IF(ISBLANK($R4536),"",VLOOKUP($R4536,'Liste des Villes'!$B$2:$H$1128,4,FALSE))</f>
        <v>Laurentides</v>
      </c>
      <c r="T4536" s="2" t="s">
        <v>18408</v>
      </c>
      <c r="U4536" s="2" t="s">
        <v>39</v>
      </c>
      <c r="V4536" s="2" t="s">
        <v>40</v>
      </c>
      <c r="W4536" s="2" t="s">
        <v>18931</v>
      </c>
      <c r="X4536" s="2" t="str">
        <f>"5142482374"</f>
        <v>5142482374</v>
      </c>
      <c r="Y4536" s="2" t="str">
        <f>"4506211791"</f>
        <v>4506211791</v>
      </c>
      <c r="Z4536" s="2"/>
      <c r="AA4536" s="2" t="s">
        <v>456</v>
      </c>
      <c r="AB4536" s="2" t="s">
        <v>457</v>
      </c>
      <c r="AC4536" s="4" t="s">
        <v>44</v>
      </c>
    </row>
    <row r="4537" spans="1:29" x14ac:dyDescent="0.25">
      <c r="A4537" s="1">
        <v>1698</v>
      </c>
      <c r="B4537" s="17" t="s">
        <v>18932</v>
      </c>
      <c r="C4537" s="2" t="s">
        <v>18933</v>
      </c>
      <c r="D4537" s="15" t="s">
        <v>18282</v>
      </c>
      <c r="E4537" s="9" t="s">
        <v>685</v>
      </c>
      <c r="F4537" s="9" t="s">
        <v>1016</v>
      </c>
      <c r="G4537" s="9" t="s">
        <v>10921</v>
      </c>
      <c r="H4537" s="2" t="s">
        <v>60</v>
      </c>
      <c r="I4537" s="3">
        <v>37476</v>
      </c>
      <c r="J4537" s="9" t="str">
        <f t="shared" ca="1" si="79"/>
        <v>21 ans</v>
      </c>
      <c r="K4537" s="2" t="s">
        <v>262</v>
      </c>
      <c r="L4537" s="2" t="str">
        <f>"14430"</f>
        <v>14430</v>
      </c>
      <c r="M4537" s="2" t="str">
        <f>"10"</f>
        <v>10</v>
      </c>
      <c r="N4537" s="2" t="str">
        <f>"RUE SYDNEY"</f>
        <v>RUE SYDNEY</v>
      </c>
      <c r="O4537" s="2" t="s">
        <v>18155</v>
      </c>
      <c r="P4537" s="9" t="str">
        <f>VLOOKUP($O4537,'Liste des Villes'!$B$2:$B$1128,1,FALSE)</f>
        <v>Blainville</v>
      </c>
      <c r="Q4537" s="9" t="str">
        <f>IFERROR($P4537,PROPER(VLOOKUP($O4537,'Villes en erreur'!$A$2:$B$72,2,FALSE)))</f>
        <v>Blainville</v>
      </c>
      <c r="R4537" s="9" t="s">
        <v>18156</v>
      </c>
      <c r="S4537" s="9" t="str">
        <f>IF(ISBLANK($R4537),"",VLOOKUP($R4537,'Liste des Villes'!$B$2:$H$1128,4,FALSE))</f>
        <v>Laurentides</v>
      </c>
      <c r="T4537" s="2" t="s">
        <v>18934</v>
      </c>
      <c r="U4537" s="2" t="s">
        <v>39</v>
      </c>
      <c r="V4537" s="2" t="s">
        <v>40</v>
      </c>
      <c r="W4537" s="2" t="s">
        <v>18935</v>
      </c>
      <c r="X4537" s="2" t="str">
        <f>"5147769767"</f>
        <v>5147769767</v>
      </c>
      <c r="Y4537" s="2" t="str">
        <f>"4504356903"</f>
        <v>4504356903</v>
      </c>
      <c r="Z4537" s="2"/>
      <c r="AA4537" s="2" t="s">
        <v>456</v>
      </c>
      <c r="AB4537" s="2" t="s">
        <v>457</v>
      </c>
      <c r="AC4537" s="4" t="s">
        <v>44</v>
      </c>
    </row>
    <row r="4538" spans="1:29" x14ac:dyDescent="0.25">
      <c r="A4538" s="1">
        <v>3234</v>
      </c>
      <c r="B4538" s="17" t="s">
        <v>18936</v>
      </c>
      <c r="C4538" s="2" t="s">
        <v>4624</v>
      </c>
      <c r="D4538" s="15" t="s">
        <v>1070</v>
      </c>
      <c r="E4538" s="9" t="s">
        <v>1236</v>
      </c>
      <c r="F4538" s="9" t="s">
        <v>2698</v>
      </c>
      <c r="G4538" s="9" t="s">
        <v>503</v>
      </c>
      <c r="H4538" s="2" t="s">
        <v>35</v>
      </c>
      <c r="I4538" s="3">
        <v>37523</v>
      </c>
      <c r="J4538" s="9" t="str">
        <f t="shared" ca="1" si="79"/>
        <v>20 ans</v>
      </c>
      <c r="K4538" s="2" t="s">
        <v>262</v>
      </c>
      <c r="L4538" s="2" t="str">
        <f>"18495"</f>
        <v>18495</v>
      </c>
      <c r="M4538" s="2" t="str">
        <f>"2"</f>
        <v>2</v>
      </c>
      <c r="N4538" s="2" t="str">
        <f>"TERASSE DE JOUVENCE"</f>
        <v>TERASSE DE JOUVENCE</v>
      </c>
      <c r="O4538" s="2" t="s">
        <v>18155</v>
      </c>
      <c r="P4538" s="9" t="str">
        <f>VLOOKUP($O4538,'Liste des Villes'!$B$2:$B$1128,1,FALSE)</f>
        <v>Blainville</v>
      </c>
      <c r="Q4538" s="9" t="str">
        <f>IFERROR($P4538,PROPER(VLOOKUP($O4538,'Villes en erreur'!$A$2:$B$72,2,FALSE)))</f>
        <v>Blainville</v>
      </c>
      <c r="R4538" s="9" t="s">
        <v>18156</v>
      </c>
      <c r="S4538" s="9" t="str">
        <f>IF(ISBLANK($R4538),"",VLOOKUP($R4538,'Liste des Villes'!$B$2:$H$1128,4,FALSE))</f>
        <v>Laurentides</v>
      </c>
      <c r="T4538" s="2" t="s">
        <v>18937</v>
      </c>
      <c r="U4538" s="2" t="s">
        <v>39</v>
      </c>
      <c r="V4538" s="2" t="s">
        <v>40</v>
      </c>
      <c r="W4538" s="2" t="s">
        <v>18938</v>
      </c>
      <c r="X4538" s="2" t="str">
        <f>"8194307371"</f>
        <v>8194307371</v>
      </c>
      <c r="Y4538" s="2" t="str">
        <f>"4384982727"</f>
        <v>4384982727</v>
      </c>
      <c r="Z4538" s="2" t="str">
        <f>"4385013243"</f>
        <v>4385013243</v>
      </c>
      <c r="AA4538" s="2" t="s">
        <v>456</v>
      </c>
      <c r="AB4538" s="2" t="s">
        <v>457</v>
      </c>
      <c r="AC4538" s="4" t="s">
        <v>44</v>
      </c>
    </row>
    <row r="4539" spans="1:29" x14ac:dyDescent="0.25">
      <c r="A4539" s="1">
        <v>1562</v>
      </c>
      <c r="B4539" s="17" t="s">
        <v>18939</v>
      </c>
      <c r="C4539" s="2" t="s">
        <v>18940</v>
      </c>
      <c r="D4539" s="15" t="s">
        <v>11631</v>
      </c>
      <c r="E4539" s="9" t="s">
        <v>253</v>
      </c>
      <c r="F4539" s="9" t="s">
        <v>8380</v>
      </c>
      <c r="G4539" s="9" t="s">
        <v>4422</v>
      </c>
      <c r="H4539" s="2" t="s">
        <v>60</v>
      </c>
      <c r="I4539" s="3">
        <v>37489</v>
      </c>
      <c r="J4539" s="9" t="str">
        <f t="shared" ca="1" si="79"/>
        <v>21 ans</v>
      </c>
      <c r="K4539" s="2" t="s">
        <v>262</v>
      </c>
      <c r="L4539" s="2" t="str">
        <f>"15607"</f>
        <v>15607</v>
      </c>
      <c r="M4539" s="2" t="str">
        <f>"6"</f>
        <v>6</v>
      </c>
      <c r="N4539" s="2" t="str">
        <f>"RUE TRUDEAU"</f>
        <v>RUE TRUDEAU</v>
      </c>
      <c r="O4539" s="2" t="s">
        <v>18155</v>
      </c>
      <c r="P4539" s="9" t="str">
        <f>VLOOKUP($O4539,'Liste des Villes'!$B$2:$B$1128,1,FALSE)</f>
        <v>Blainville</v>
      </c>
      <c r="Q4539" s="9" t="str">
        <f>IFERROR($P4539,PROPER(VLOOKUP($O4539,'Villes en erreur'!$A$2:$B$72,2,FALSE)))</f>
        <v>Blainville</v>
      </c>
      <c r="R4539" s="9" t="s">
        <v>18156</v>
      </c>
      <c r="S4539" s="9" t="str">
        <f>IF(ISBLANK($R4539),"",VLOOKUP($R4539,'Liste des Villes'!$B$2:$H$1128,4,FALSE))</f>
        <v>Laurentides</v>
      </c>
      <c r="T4539" s="2" t="s">
        <v>18941</v>
      </c>
      <c r="U4539" s="2" t="s">
        <v>39</v>
      </c>
      <c r="V4539" s="2" t="s">
        <v>40</v>
      </c>
      <c r="W4539" s="2" t="s">
        <v>18942</v>
      </c>
      <c r="X4539" s="2" t="str">
        <f>"5148919738"</f>
        <v>5148919738</v>
      </c>
      <c r="Y4539" s="2" t="str">
        <f>"4504313384"</f>
        <v>4504313384</v>
      </c>
      <c r="Z4539" s="2"/>
      <c r="AA4539" s="2" t="s">
        <v>456</v>
      </c>
      <c r="AB4539" s="2" t="s">
        <v>457</v>
      </c>
      <c r="AC4539" s="4" t="s">
        <v>44</v>
      </c>
    </row>
    <row r="4540" spans="1:29" x14ac:dyDescent="0.25">
      <c r="A4540" s="1">
        <v>3434</v>
      </c>
      <c r="B4540" s="17" t="s">
        <v>18943</v>
      </c>
      <c r="C4540" s="2" t="s">
        <v>18944</v>
      </c>
      <c r="D4540" s="15" t="s">
        <v>285</v>
      </c>
      <c r="E4540" s="9" t="s">
        <v>14455</v>
      </c>
      <c r="F4540" s="9" t="s">
        <v>12031</v>
      </c>
      <c r="G4540" s="9" t="s">
        <v>2355</v>
      </c>
      <c r="H4540" s="2" t="s">
        <v>60</v>
      </c>
      <c r="I4540" s="3">
        <v>37466</v>
      </c>
      <c r="J4540" s="9" t="str">
        <f t="shared" ca="1" si="79"/>
        <v>21 ans</v>
      </c>
      <c r="K4540" s="2" t="s">
        <v>262</v>
      </c>
      <c r="L4540" s="2" t="str">
        <f>"14075"</f>
        <v>14075</v>
      </c>
      <c r="M4540" s="2" t="str">
        <f>"69"</f>
        <v>69</v>
      </c>
      <c r="N4540" s="2" t="str">
        <f>"RUE SCHULZ"</f>
        <v>RUE SCHULZ</v>
      </c>
      <c r="O4540" s="2" t="s">
        <v>18155</v>
      </c>
      <c r="P4540" s="9" t="str">
        <f>VLOOKUP($O4540,'Liste des Villes'!$B$2:$B$1128,1,FALSE)</f>
        <v>Blainville</v>
      </c>
      <c r="Q4540" s="9" t="str">
        <f>IFERROR($P4540,PROPER(VLOOKUP($O4540,'Villes en erreur'!$A$2:$B$72,2,FALSE)))</f>
        <v>Blainville</v>
      </c>
      <c r="R4540" s="9" t="s">
        <v>18156</v>
      </c>
      <c r="S4540" s="9" t="str">
        <f>IF(ISBLANK($R4540),"",VLOOKUP($R4540,'Liste des Villes'!$B$2:$H$1128,4,FALSE))</f>
        <v>Laurentides</v>
      </c>
      <c r="T4540" s="2" t="s">
        <v>18945</v>
      </c>
      <c r="U4540" s="2" t="s">
        <v>39</v>
      </c>
      <c r="V4540" s="2" t="s">
        <v>40</v>
      </c>
      <c r="W4540" s="2" t="s">
        <v>18946</v>
      </c>
      <c r="X4540" s="2" t="str">
        <f>"5147020963"</f>
        <v>5147020963</v>
      </c>
      <c r="Y4540" s="2" t="str">
        <f>"4504736883"</f>
        <v>4504736883</v>
      </c>
      <c r="Z4540" s="2"/>
      <c r="AA4540" s="2" t="s">
        <v>456</v>
      </c>
      <c r="AB4540" s="2" t="s">
        <v>457</v>
      </c>
      <c r="AC4540" s="4" t="s">
        <v>44</v>
      </c>
    </row>
    <row r="4541" spans="1:29" x14ac:dyDescent="0.25">
      <c r="A4541" s="1">
        <v>3073</v>
      </c>
      <c r="B4541" s="17" t="s">
        <v>18947</v>
      </c>
      <c r="C4541" s="2" t="s">
        <v>3782</v>
      </c>
      <c r="D4541" s="15" t="s">
        <v>3783</v>
      </c>
      <c r="E4541" s="9" t="s">
        <v>179</v>
      </c>
      <c r="F4541" s="9" t="s">
        <v>7167</v>
      </c>
      <c r="G4541" s="9" t="s">
        <v>13294</v>
      </c>
      <c r="H4541" s="2" t="s">
        <v>35</v>
      </c>
      <c r="I4541" s="3">
        <v>37517</v>
      </c>
      <c r="J4541" s="9" t="str">
        <f t="shared" ca="1" si="79"/>
        <v>20 ans</v>
      </c>
      <c r="K4541" s="2" t="s">
        <v>262</v>
      </c>
      <c r="L4541" s="2" t="str">
        <f>"17881"</f>
        <v>17881</v>
      </c>
      <c r="M4541" s="2" t="str">
        <f>"2"</f>
        <v>2</v>
      </c>
      <c r="N4541" s="2" t="str">
        <f>"SANCTUAIRE"</f>
        <v>SANCTUAIRE</v>
      </c>
      <c r="O4541" s="2" t="s">
        <v>18155</v>
      </c>
      <c r="P4541" s="9" t="str">
        <f>VLOOKUP($O4541,'Liste des Villes'!$B$2:$B$1128,1,FALSE)</f>
        <v>Blainville</v>
      </c>
      <c r="Q4541" s="9" t="str">
        <f>IFERROR($P4541,PROPER(VLOOKUP($O4541,'Villes en erreur'!$A$2:$B$72,2,FALSE)))</f>
        <v>Blainville</v>
      </c>
      <c r="R4541" s="9" t="s">
        <v>18156</v>
      </c>
      <c r="S4541" s="9" t="str">
        <f>IF(ISBLANK($R4541),"",VLOOKUP($R4541,'Liste des Villes'!$B$2:$H$1128,4,FALSE))</f>
        <v>Laurentides</v>
      </c>
      <c r="T4541" s="2" t="s">
        <v>18948</v>
      </c>
      <c r="U4541" s="2" t="s">
        <v>39</v>
      </c>
      <c r="V4541" s="2" t="s">
        <v>40</v>
      </c>
      <c r="W4541" s="2" t="s">
        <v>18949</v>
      </c>
      <c r="X4541" s="2" t="str">
        <f>"8193237041"</f>
        <v>8193237041</v>
      </c>
      <c r="Y4541" s="2" t="str">
        <f>"4388300423"</f>
        <v>4388300423</v>
      </c>
      <c r="Z4541" s="2"/>
      <c r="AA4541" s="2" t="s">
        <v>456</v>
      </c>
      <c r="AB4541" s="2" t="s">
        <v>457</v>
      </c>
      <c r="AC4541" s="4" t="s">
        <v>44</v>
      </c>
    </row>
    <row r="4542" spans="1:29" x14ac:dyDescent="0.25">
      <c r="A4542" s="1">
        <v>4055</v>
      </c>
      <c r="B4542" s="17" t="s">
        <v>18950</v>
      </c>
      <c r="C4542" s="2" t="s">
        <v>8038</v>
      </c>
      <c r="D4542" s="15" t="s">
        <v>6669</v>
      </c>
      <c r="E4542" s="9" t="s">
        <v>8039</v>
      </c>
      <c r="F4542" s="9" t="s">
        <v>449</v>
      </c>
      <c r="G4542" s="9" t="s">
        <v>2404</v>
      </c>
      <c r="H4542" s="2" t="s">
        <v>35</v>
      </c>
      <c r="I4542" s="3">
        <v>37482</v>
      </c>
      <c r="J4542" s="9" t="str">
        <f t="shared" ca="1" si="79"/>
        <v>21 ans</v>
      </c>
      <c r="K4542" s="2" t="s">
        <v>262</v>
      </c>
      <c r="L4542" s="2" t="str">
        <f>"14605"</f>
        <v>14605</v>
      </c>
      <c r="M4542" s="2" t="str">
        <f>"9"</f>
        <v>9</v>
      </c>
      <c r="N4542" s="2" t="str">
        <f>"RUE THÉRÈSE-CASGRAIN"</f>
        <v>RUE THÉRÈSE-CASGRAIN</v>
      </c>
      <c r="O4542" s="2" t="s">
        <v>18155</v>
      </c>
      <c r="P4542" s="9" t="str">
        <f>VLOOKUP($O4542,'Liste des Villes'!$B$2:$B$1128,1,FALSE)</f>
        <v>Blainville</v>
      </c>
      <c r="Q4542" s="9" t="str">
        <f>IFERROR($P4542,PROPER(VLOOKUP($O4542,'Villes en erreur'!$A$2:$B$72,2,FALSE)))</f>
        <v>Blainville</v>
      </c>
      <c r="R4542" s="9" t="s">
        <v>18156</v>
      </c>
      <c r="S4542" s="9" t="str">
        <f>IF(ISBLANK($R4542),"",VLOOKUP($R4542,'Liste des Villes'!$B$2:$H$1128,4,FALSE))</f>
        <v>Laurentides</v>
      </c>
      <c r="T4542" s="2" t="s">
        <v>18951</v>
      </c>
      <c r="U4542" s="2" t="s">
        <v>39</v>
      </c>
      <c r="V4542" s="2" t="s">
        <v>40</v>
      </c>
      <c r="W4542" s="2" t="s">
        <v>18952</v>
      </c>
      <c r="X4542" s="2" t="str">
        <f>"5147970817"</f>
        <v>5147970817</v>
      </c>
      <c r="Y4542" s="2" t="str">
        <f>"4504341719"</f>
        <v>4504341719</v>
      </c>
      <c r="Z4542" s="2"/>
      <c r="AA4542" s="2" t="s">
        <v>456</v>
      </c>
      <c r="AB4542" s="2" t="s">
        <v>457</v>
      </c>
      <c r="AC4542" s="4" t="s">
        <v>44</v>
      </c>
    </row>
    <row r="4543" spans="1:29" x14ac:dyDescent="0.25">
      <c r="A4543" s="1">
        <v>311</v>
      </c>
      <c r="B4543" s="17" t="s">
        <v>18953</v>
      </c>
      <c r="C4543" s="2" t="s">
        <v>18954</v>
      </c>
      <c r="D4543" s="15" t="s">
        <v>16247</v>
      </c>
      <c r="E4543" s="9" t="s">
        <v>1330</v>
      </c>
      <c r="F4543" s="9" t="s">
        <v>3705</v>
      </c>
      <c r="G4543" s="9" t="s">
        <v>2404</v>
      </c>
      <c r="H4543" s="2" t="s">
        <v>35</v>
      </c>
      <c r="I4543" s="3">
        <v>37485</v>
      </c>
      <c r="J4543" s="9" t="str">
        <f t="shared" ca="1" si="79"/>
        <v>21 ans</v>
      </c>
      <c r="K4543" s="2" t="s">
        <v>262</v>
      </c>
      <c r="L4543" s="2" t="str">
        <f>"14850"</f>
        <v>14850</v>
      </c>
      <c r="M4543" s="2" t="str">
        <f>"7"</f>
        <v>7</v>
      </c>
      <c r="N4543" s="2" t="str">
        <f>"RUE TIMOTHEE-KIMBER"</f>
        <v>RUE TIMOTHEE-KIMBER</v>
      </c>
      <c r="O4543" s="2" t="s">
        <v>18155</v>
      </c>
      <c r="P4543" s="9" t="str">
        <f>VLOOKUP($O4543,'Liste des Villes'!$B$2:$B$1128,1,FALSE)</f>
        <v>Blainville</v>
      </c>
      <c r="Q4543" s="9" t="str">
        <f>IFERROR($P4543,PROPER(VLOOKUP($O4543,'Villes en erreur'!$A$2:$B$72,2,FALSE)))</f>
        <v>Blainville</v>
      </c>
      <c r="R4543" s="9" t="s">
        <v>18156</v>
      </c>
      <c r="S4543" s="9" t="str">
        <f>IF(ISBLANK($R4543),"",VLOOKUP($R4543,'Liste des Villes'!$B$2:$H$1128,4,FALSE))</f>
        <v>Laurentides</v>
      </c>
      <c r="T4543" s="2" t="s">
        <v>18955</v>
      </c>
      <c r="U4543" s="2" t="s">
        <v>39</v>
      </c>
      <c r="V4543" s="2" t="s">
        <v>40</v>
      </c>
      <c r="W4543" s="2" t="s">
        <v>18956</v>
      </c>
      <c r="X4543" s="2" t="str">
        <f>"5148250435"</f>
        <v>5148250435</v>
      </c>
      <c r="Y4543" s="2" t="str">
        <f>"4504325925"</f>
        <v>4504325925</v>
      </c>
      <c r="Z4543" s="2"/>
      <c r="AA4543" s="2" t="s">
        <v>456</v>
      </c>
      <c r="AB4543" s="2" t="s">
        <v>457</v>
      </c>
      <c r="AC4543" s="4" t="s">
        <v>44</v>
      </c>
    </row>
    <row r="4544" spans="1:29" x14ac:dyDescent="0.25">
      <c r="A4544" s="1">
        <v>123</v>
      </c>
      <c r="B4544" s="17" t="s">
        <v>18957</v>
      </c>
      <c r="C4544" s="2" t="s">
        <v>3782</v>
      </c>
      <c r="D4544" s="15" t="s">
        <v>3783</v>
      </c>
      <c r="E4544" s="9" t="s">
        <v>179</v>
      </c>
      <c r="F4544" s="9" t="s">
        <v>948</v>
      </c>
      <c r="G4544" s="9" t="s">
        <v>2877</v>
      </c>
      <c r="H4544" s="2" t="s">
        <v>35</v>
      </c>
      <c r="I4544" s="3">
        <v>37547</v>
      </c>
      <c r="J4544" s="9" t="str">
        <f t="shared" ca="1" si="79"/>
        <v>20 ans</v>
      </c>
      <c r="K4544" s="2" t="s">
        <v>262</v>
      </c>
      <c r="L4544" s="2" t="str">
        <f>"111A"</f>
        <v>111A</v>
      </c>
      <c r="M4544" s="2" t="str">
        <f>"1"</f>
        <v>1</v>
      </c>
      <c r="N4544" s="2" t="str">
        <f>"TSSE PAUL-COMTOIS"</f>
        <v>TSSE PAUL-COMTOIS</v>
      </c>
      <c r="O4544" s="2" t="s">
        <v>18155</v>
      </c>
      <c r="P4544" s="9" t="str">
        <f>VLOOKUP($O4544,'Liste des Villes'!$B$2:$B$1128,1,FALSE)</f>
        <v>Blainville</v>
      </c>
      <c r="Q4544" s="9" t="str">
        <f>IFERROR($P4544,PROPER(VLOOKUP($O4544,'Villes en erreur'!$A$2:$B$72,2,FALSE)))</f>
        <v>Blainville</v>
      </c>
      <c r="R4544" s="9" t="s">
        <v>18156</v>
      </c>
      <c r="S4544" s="9" t="str">
        <f>IF(ISBLANK($R4544),"",VLOOKUP($R4544,'Liste des Villes'!$B$2:$H$1128,4,FALSE))</f>
        <v>Laurentides</v>
      </c>
      <c r="T4544" s="2" t="s">
        <v>18846</v>
      </c>
      <c r="U4544" s="2" t="s">
        <v>39</v>
      </c>
      <c r="V4544" s="2" t="s">
        <v>40</v>
      </c>
      <c r="W4544" s="2" t="s">
        <v>18958</v>
      </c>
      <c r="X4544" s="2" t="str">
        <f>"4505161212 x1627632"</f>
        <v>4505161212 x1627632</v>
      </c>
      <c r="Y4544" s="2" t="str">
        <f>"4383929253"</f>
        <v>4383929253</v>
      </c>
      <c r="Z4544" s="2" t="str">
        <f>"5145121905"</f>
        <v>5145121905</v>
      </c>
      <c r="AA4544" s="2" t="s">
        <v>456</v>
      </c>
      <c r="AB4544" s="2" t="s">
        <v>457</v>
      </c>
      <c r="AC4544" s="4" t="s">
        <v>44</v>
      </c>
    </row>
    <row r="4545" spans="1:29" x14ac:dyDescent="0.25">
      <c r="A4545" s="1">
        <v>4564</v>
      </c>
      <c r="B4545" s="17" t="s">
        <v>18959</v>
      </c>
      <c r="C4545" s="2" t="s">
        <v>3787</v>
      </c>
      <c r="D4545" s="15" t="s">
        <v>2474</v>
      </c>
      <c r="E4545" s="9" t="s">
        <v>293</v>
      </c>
      <c r="F4545" s="9" t="s">
        <v>6105</v>
      </c>
      <c r="G4545" s="9" t="s">
        <v>3451</v>
      </c>
      <c r="H4545" s="2" t="s">
        <v>60</v>
      </c>
      <c r="I4545" s="3">
        <v>37476</v>
      </c>
      <c r="J4545" s="9" t="str">
        <f t="shared" ca="1" si="79"/>
        <v>21 ans</v>
      </c>
      <c r="K4545" s="2" t="s">
        <v>262</v>
      </c>
      <c r="L4545" s="2" t="str">
        <f>"14380"</f>
        <v>14380</v>
      </c>
      <c r="M4545" s="2" t="str">
        <f>"11"</f>
        <v>11</v>
      </c>
      <c r="N4545" s="2" t="str">
        <f>"RUE SUZOR-COTÉ"</f>
        <v>RUE SUZOR-COTÉ</v>
      </c>
      <c r="O4545" s="2" t="s">
        <v>18155</v>
      </c>
      <c r="P4545" s="9" t="str">
        <f>VLOOKUP($O4545,'Liste des Villes'!$B$2:$B$1128,1,FALSE)</f>
        <v>Blainville</v>
      </c>
      <c r="Q4545" s="9" t="str">
        <f>IFERROR($P4545,PROPER(VLOOKUP($O4545,'Villes en erreur'!$A$2:$B$72,2,FALSE)))</f>
        <v>Blainville</v>
      </c>
      <c r="R4545" s="9" t="s">
        <v>18156</v>
      </c>
      <c r="S4545" s="9" t="str">
        <f>IF(ISBLANK($R4545),"",VLOOKUP($R4545,'Liste des Villes'!$B$2:$H$1128,4,FALSE))</f>
        <v>Laurentides</v>
      </c>
      <c r="T4545" s="2" t="s">
        <v>18960</v>
      </c>
      <c r="U4545" s="2" t="s">
        <v>39</v>
      </c>
      <c r="V4545" s="2" t="s">
        <v>40</v>
      </c>
      <c r="W4545" s="2" t="s">
        <v>18961</v>
      </c>
      <c r="X4545" s="2" t="str">
        <f>"5147751912"</f>
        <v>5147751912</v>
      </c>
      <c r="Y4545" s="2" t="str">
        <f>"4504363176"</f>
        <v>4504363176</v>
      </c>
      <c r="Z4545" s="2"/>
      <c r="AA4545" s="2" t="s">
        <v>456</v>
      </c>
      <c r="AB4545" s="2" t="s">
        <v>457</v>
      </c>
      <c r="AC4545" s="4" t="s">
        <v>44</v>
      </c>
    </row>
    <row r="4546" spans="1:29" x14ac:dyDescent="0.25">
      <c r="A4546" s="1">
        <v>3400</v>
      </c>
      <c r="B4546" s="17" t="s">
        <v>18962</v>
      </c>
      <c r="C4546" s="2" t="s">
        <v>1144</v>
      </c>
      <c r="D4546" s="15" t="s">
        <v>1145</v>
      </c>
      <c r="E4546" s="9" t="s">
        <v>495</v>
      </c>
      <c r="F4546" s="9" t="s">
        <v>10280</v>
      </c>
      <c r="G4546" s="9" t="s">
        <v>6845</v>
      </c>
      <c r="H4546" s="2" t="s">
        <v>60</v>
      </c>
      <c r="I4546" s="3">
        <v>37470</v>
      </c>
      <c r="J4546" s="9" t="str">
        <f t="shared" ref="J4546:J4609" ca="1" si="80">_xlfn.CONCAT(INT((TODAY()-$I4546)/365.25)," ans")</f>
        <v>21 ans</v>
      </c>
      <c r="K4546" s="2" t="s">
        <v>262</v>
      </c>
      <c r="L4546" s="2" t="str">
        <f>"14217"</f>
        <v>14217</v>
      </c>
      <c r="M4546" s="2" t="str">
        <f>"15"</f>
        <v>15</v>
      </c>
      <c r="N4546" s="2" t="str">
        <f>"RUE SIR WILFRID LAURIER"</f>
        <v>RUE SIR WILFRID LAURIER</v>
      </c>
      <c r="O4546" s="2" t="s">
        <v>18155</v>
      </c>
      <c r="P4546" s="9" t="str">
        <f>VLOOKUP($O4546,'Liste des Villes'!$B$2:$B$1128,1,FALSE)</f>
        <v>Blainville</v>
      </c>
      <c r="Q4546" s="9" t="str">
        <f>IFERROR($P4546,PROPER(VLOOKUP($O4546,'Villes en erreur'!$A$2:$B$72,2,FALSE)))</f>
        <v>Blainville</v>
      </c>
      <c r="R4546" s="9" t="s">
        <v>18156</v>
      </c>
      <c r="S4546" s="9" t="str">
        <f>IF(ISBLANK($R4546),"",VLOOKUP($R4546,'Liste des Villes'!$B$2:$H$1128,4,FALSE))</f>
        <v>Laurentides</v>
      </c>
      <c r="T4546" s="2" t="s">
        <v>18272</v>
      </c>
      <c r="U4546" s="2" t="s">
        <v>39</v>
      </c>
      <c r="V4546" s="2" t="s">
        <v>40</v>
      </c>
      <c r="W4546" s="2" t="s">
        <v>18963</v>
      </c>
      <c r="X4546" s="2" t="str">
        <f>"5147153599"</f>
        <v>5147153599</v>
      </c>
      <c r="Y4546" s="2" t="str">
        <f>"4504382590"</f>
        <v>4504382590</v>
      </c>
      <c r="Z4546" s="2"/>
      <c r="AA4546" s="2" t="s">
        <v>456</v>
      </c>
      <c r="AB4546" s="2" t="s">
        <v>457</v>
      </c>
      <c r="AC4546" s="4" t="s">
        <v>44</v>
      </c>
    </row>
    <row r="4547" spans="1:29" x14ac:dyDescent="0.25">
      <c r="A4547" s="1">
        <v>2267</v>
      </c>
      <c r="B4547" s="17" t="s">
        <v>18964</v>
      </c>
      <c r="C4547" s="2" t="s">
        <v>18965</v>
      </c>
      <c r="D4547" s="15" t="s">
        <v>12683</v>
      </c>
      <c r="E4547" s="9" t="s">
        <v>610</v>
      </c>
      <c r="F4547" s="9" t="s">
        <v>4932</v>
      </c>
      <c r="G4547" s="9" t="s">
        <v>341</v>
      </c>
      <c r="H4547" s="2" t="s">
        <v>60</v>
      </c>
      <c r="I4547" s="3">
        <v>37454</v>
      </c>
      <c r="J4547" s="9" t="str">
        <f t="shared" ca="1" si="80"/>
        <v>21 ans</v>
      </c>
      <c r="K4547" s="2" t="s">
        <v>262</v>
      </c>
      <c r="L4547" s="2" t="str">
        <f>"13820"</f>
        <v>13820</v>
      </c>
      <c r="M4547" s="2" t="str">
        <f>"107"</f>
        <v>107</v>
      </c>
      <c r="N4547" s="2" t="str">
        <f>"RUE SAINT-PAUL"</f>
        <v>RUE SAINT-PAUL</v>
      </c>
      <c r="O4547" s="2" t="s">
        <v>18155</v>
      </c>
      <c r="P4547" s="9" t="str">
        <f>VLOOKUP($O4547,'Liste des Villes'!$B$2:$B$1128,1,FALSE)</f>
        <v>Blainville</v>
      </c>
      <c r="Q4547" s="9" t="str">
        <f>IFERROR($P4547,PROPER(VLOOKUP($O4547,'Villes en erreur'!$A$2:$B$72,2,FALSE)))</f>
        <v>Blainville</v>
      </c>
      <c r="R4547" s="9" t="s">
        <v>18156</v>
      </c>
      <c r="S4547" s="9" t="str">
        <f>IF(ISBLANK($R4547),"",VLOOKUP($R4547,'Liste des Villes'!$B$2:$H$1128,4,FALSE))</f>
        <v>Laurentides</v>
      </c>
      <c r="T4547" s="2" t="s">
        <v>18895</v>
      </c>
      <c r="U4547" s="2" t="s">
        <v>39</v>
      </c>
      <c r="V4547" s="2" t="s">
        <v>40</v>
      </c>
      <c r="W4547" s="2" t="s">
        <v>18966</v>
      </c>
      <c r="X4547" s="2" t="str">
        <f>"5146090614"</f>
        <v>5146090614</v>
      </c>
      <c r="Y4547" s="2" t="str">
        <f>"4505162030"</f>
        <v>4505162030</v>
      </c>
      <c r="Z4547" s="2"/>
      <c r="AA4547" s="2" t="s">
        <v>456</v>
      </c>
      <c r="AB4547" s="2" t="s">
        <v>457</v>
      </c>
      <c r="AC4547" s="4" t="s">
        <v>44</v>
      </c>
    </row>
    <row r="4548" spans="1:29" x14ac:dyDescent="0.25">
      <c r="A4548" s="1">
        <v>4442</v>
      </c>
      <c r="B4548" s="17" t="s">
        <v>18967</v>
      </c>
      <c r="C4548" s="2" t="s">
        <v>5020</v>
      </c>
      <c r="D4548" s="15" t="s">
        <v>5021</v>
      </c>
      <c r="E4548" s="9" t="s">
        <v>196</v>
      </c>
      <c r="F4548" s="9" t="s">
        <v>12816</v>
      </c>
      <c r="G4548" s="9" t="s">
        <v>503</v>
      </c>
      <c r="H4548" s="2" t="s">
        <v>35</v>
      </c>
      <c r="I4548" s="3">
        <v>37521</v>
      </c>
      <c r="J4548" s="9" t="str">
        <f t="shared" ca="1" si="80"/>
        <v>20 ans</v>
      </c>
      <c r="K4548" s="2" t="s">
        <v>262</v>
      </c>
      <c r="L4548" s="2" t="str">
        <f>"18248"</f>
        <v>18248</v>
      </c>
      <c r="M4548" s="2" t="str">
        <f>"2"</f>
        <v>2</v>
      </c>
      <c r="N4548" s="2" t="str">
        <f>"ST-HUBERT"</f>
        <v>ST-HUBERT</v>
      </c>
      <c r="O4548" s="2" t="s">
        <v>18155</v>
      </c>
      <c r="P4548" s="9" t="str">
        <f>VLOOKUP($O4548,'Liste des Villes'!$B$2:$B$1128,1,FALSE)</f>
        <v>Blainville</v>
      </c>
      <c r="Q4548" s="9" t="str">
        <f>IFERROR($P4548,PROPER(VLOOKUP($O4548,'Villes en erreur'!$A$2:$B$72,2,FALSE)))</f>
        <v>Blainville</v>
      </c>
      <c r="R4548" s="9" t="s">
        <v>18156</v>
      </c>
      <c r="S4548" s="9" t="str">
        <f>IF(ISBLANK($R4548),"",VLOOKUP($R4548,'Liste des Villes'!$B$2:$H$1128,4,FALSE))</f>
        <v>Laurentides</v>
      </c>
      <c r="T4548" s="2" t="s">
        <v>18968</v>
      </c>
      <c r="U4548" s="2" t="s">
        <v>39</v>
      </c>
      <c r="V4548" s="2" t="s">
        <v>40</v>
      </c>
      <c r="W4548" s="2" t="s">
        <v>18969</v>
      </c>
      <c r="X4548" s="2" t="str">
        <f>"8193580442"</f>
        <v>8193580442</v>
      </c>
      <c r="Y4548" s="2" t="str">
        <f>"4385056135"</f>
        <v>4385056135</v>
      </c>
      <c r="Z4548" s="2"/>
      <c r="AA4548" s="2" t="s">
        <v>456</v>
      </c>
      <c r="AB4548" s="2" t="s">
        <v>457</v>
      </c>
      <c r="AC4548" s="4" t="s">
        <v>44</v>
      </c>
    </row>
    <row r="4549" spans="1:29" x14ac:dyDescent="0.25">
      <c r="A4549" s="1">
        <v>1486</v>
      </c>
      <c r="B4549" s="17" t="s">
        <v>18970</v>
      </c>
      <c r="C4549" s="2" t="s">
        <v>7831</v>
      </c>
      <c r="D4549" s="15" t="s">
        <v>115</v>
      </c>
      <c r="E4549" s="9" t="s">
        <v>2614</v>
      </c>
      <c r="F4549" s="9" t="s">
        <v>113</v>
      </c>
      <c r="G4549" s="9" t="s">
        <v>4422</v>
      </c>
      <c r="H4549" s="2" t="s">
        <v>60</v>
      </c>
      <c r="I4549" s="3">
        <v>37488</v>
      </c>
      <c r="J4549" s="9" t="str">
        <f t="shared" ca="1" si="80"/>
        <v>21 ans</v>
      </c>
      <c r="K4549" s="2" t="s">
        <v>262</v>
      </c>
      <c r="L4549" s="2" t="str">
        <f>"15515"</f>
        <v>15515</v>
      </c>
      <c r="M4549" s="2" t="str">
        <f>"6"</f>
        <v>6</v>
      </c>
      <c r="N4549" s="2" t="str">
        <f>"RUE TRACHÉ"</f>
        <v>RUE TRACHÉ</v>
      </c>
      <c r="O4549" s="2" t="s">
        <v>18155</v>
      </c>
      <c r="P4549" s="9" t="str">
        <f>VLOOKUP($O4549,'Liste des Villes'!$B$2:$B$1128,1,FALSE)</f>
        <v>Blainville</v>
      </c>
      <c r="Q4549" s="9" t="str">
        <f>IFERROR($P4549,PROPER(VLOOKUP($O4549,'Villes en erreur'!$A$2:$B$72,2,FALSE)))</f>
        <v>Blainville</v>
      </c>
      <c r="R4549" s="9" t="s">
        <v>18156</v>
      </c>
      <c r="S4549" s="9" t="str">
        <f>IF(ISBLANK($R4549),"",VLOOKUP($R4549,'Liste des Villes'!$B$2:$H$1128,4,FALSE))</f>
        <v>Laurentides</v>
      </c>
      <c r="T4549" s="2" t="s">
        <v>18971</v>
      </c>
      <c r="U4549" s="2" t="s">
        <v>39</v>
      </c>
      <c r="V4549" s="2" t="s">
        <v>40</v>
      </c>
      <c r="W4549" s="2" t="s">
        <v>18972</v>
      </c>
      <c r="X4549" s="2" t="str">
        <f>"5148864812"</f>
        <v>5148864812</v>
      </c>
      <c r="Y4549" s="2" t="str">
        <f>"4504317256"</f>
        <v>4504317256</v>
      </c>
      <c r="Z4549" s="2"/>
      <c r="AA4549" s="2" t="s">
        <v>456</v>
      </c>
      <c r="AB4549" s="2" t="s">
        <v>457</v>
      </c>
      <c r="AC4549" s="4" t="s">
        <v>44</v>
      </c>
    </row>
    <row r="4550" spans="1:29" x14ac:dyDescent="0.25">
      <c r="A4550" s="1">
        <v>3999</v>
      </c>
      <c r="B4550" s="17" t="s">
        <v>18973</v>
      </c>
      <c r="C4550" s="2" t="s">
        <v>18974</v>
      </c>
      <c r="D4550" s="15" t="s">
        <v>6276</v>
      </c>
      <c r="E4550" s="9" t="s">
        <v>13553</v>
      </c>
      <c r="F4550" s="9" t="s">
        <v>18922</v>
      </c>
      <c r="G4550" s="9" t="s">
        <v>7623</v>
      </c>
      <c r="H4550" s="2" t="s">
        <v>35</v>
      </c>
      <c r="I4550" s="3">
        <v>37478</v>
      </c>
      <c r="J4550" s="9" t="str">
        <f t="shared" ca="1" si="80"/>
        <v>21 ans</v>
      </c>
      <c r="K4550" s="2" t="s">
        <v>262</v>
      </c>
      <c r="L4550" s="2" t="str">
        <f>"14535"</f>
        <v>14535</v>
      </c>
      <c r="M4550" s="2" t="str">
        <f>"10"</f>
        <v>10</v>
      </c>
      <c r="N4550" s="2" t="str">
        <f>"RUE THÉMENS"</f>
        <v>RUE THÉMENS</v>
      </c>
      <c r="O4550" s="2" t="s">
        <v>18155</v>
      </c>
      <c r="P4550" s="9" t="str">
        <f>VLOOKUP($O4550,'Liste des Villes'!$B$2:$B$1128,1,FALSE)</f>
        <v>Blainville</v>
      </c>
      <c r="Q4550" s="9" t="str">
        <f>IFERROR($P4550,PROPER(VLOOKUP($O4550,'Villes en erreur'!$A$2:$B$72,2,FALSE)))</f>
        <v>Blainville</v>
      </c>
      <c r="R4550" s="9" t="s">
        <v>18156</v>
      </c>
      <c r="S4550" s="9" t="str">
        <f>IF(ISBLANK($R4550),"",VLOOKUP($R4550,'Liste des Villes'!$B$2:$H$1128,4,FALSE))</f>
        <v>Laurentides</v>
      </c>
      <c r="T4550" s="2" t="s">
        <v>18975</v>
      </c>
      <c r="U4550" s="2" t="s">
        <v>39</v>
      </c>
      <c r="V4550" s="2" t="s">
        <v>40</v>
      </c>
      <c r="W4550" s="2" t="s">
        <v>18976</v>
      </c>
      <c r="X4550" s="2" t="str">
        <f>"5147917810"</f>
        <v>5147917810</v>
      </c>
      <c r="Y4550" s="2" t="str">
        <f>"4504347944"</f>
        <v>4504347944</v>
      </c>
      <c r="Z4550" s="2"/>
      <c r="AA4550" s="2" t="s">
        <v>456</v>
      </c>
      <c r="AB4550" s="2" t="s">
        <v>457</v>
      </c>
      <c r="AC4550" s="4" t="s">
        <v>44</v>
      </c>
    </row>
    <row r="4551" spans="1:29" x14ac:dyDescent="0.25">
      <c r="A4551" s="1">
        <v>4213</v>
      </c>
      <c r="B4551" s="17" t="s">
        <v>18977</v>
      </c>
      <c r="C4551" s="2" t="s">
        <v>17417</v>
      </c>
      <c r="D4551" s="15" t="s">
        <v>3602</v>
      </c>
      <c r="E4551" s="9" t="s">
        <v>325</v>
      </c>
      <c r="F4551" s="9" t="s">
        <v>1167</v>
      </c>
      <c r="G4551" s="9" t="s">
        <v>2349</v>
      </c>
      <c r="H4551" s="2" t="s">
        <v>35</v>
      </c>
      <c r="I4551" s="3">
        <v>37491</v>
      </c>
      <c r="J4551" s="9" t="str">
        <f t="shared" ca="1" si="80"/>
        <v>21 ans</v>
      </c>
      <c r="K4551" s="2" t="s">
        <v>262</v>
      </c>
      <c r="L4551" s="2" t="str">
        <f>"15920"</f>
        <v>15920</v>
      </c>
      <c r="M4551" s="2" t="str">
        <f>"6"</f>
        <v>6</v>
      </c>
      <c r="N4551" s="2" t="str">
        <f>"RUE TURENNE"</f>
        <v>RUE TURENNE</v>
      </c>
      <c r="O4551" s="2" t="s">
        <v>18155</v>
      </c>
      <c r="P4551" s="9" t="str">
        <f>VLOOKUP($O4551,'Liste des Villes'!$B$2:$B$1128,1,FALSE)</f>
        <v>Blainville</v>
      </c>
      <c r="Q4551" s="9" t="str">
        <f>IFERROR($P4551,PROPER(VLOOKUP($O4551,'Villes en erreur'!$A$2:$B$72,2,FALSE)))</f>
        <v>Blainville</v>
      </c>
      <c r="R4551" s="9" t="s">
        <v>18156</v>
      </c>
      <c r="S4551" s="9" t="str">
        <f>IF(ISBLANK($R4551),"",VLOOKUP($R4551,'Liste des Villes'!$B$2:$H$1128,4,FALSE))</f>
        <v>Laurentides</v>
      </c>
      <c r="T4551" s="2" t="s">
        <v>18978</v>
      </c>
      <c r="U4551" s="2" t="s">
        <v>39</v>
      </c>
      <c r="V4551" s="2" t="s">
        <v>40</v>
      </c>
      <c r="W4551" s="2" t="s">
        <v>18979</v>
      </c>
      <c r="X4551" s="2" t="str">
        <f>"5149132212"</f>
        <v>5149132212</v>
      </c>
      <c r="Y4551" s="2" t="str">
        <f>"4504217331"</f>
        <v>4504217331</v>
      </c>
      <c r="Z4551" s="2"/>
      <c r="AA4551" s="2" t="s">
        <v>456</v>
      </c>
      <c r="AB4551" s="2" t="s">
        <v>457</v>
      </c>
      <c r="AC4551" s="4" t="s">
        <v>44</v>
      </c>
    </row>
    <row r="4552" spans="1:29" x14ac:dyDescent="0.25">
      <c r="A4552" s="1">
        <v>596</v>
      </c>
      <c r="B4552" s="17" t="s">
        <v>18980</v>
      </c>
      <c r="C4552" s="2" t="s">
        <v>6447</v>
      </c>
      <c r="D4552" s="15" t="s">
        <v>6221</v>
      </c>
      <c r="E4552" s="9" t="s">
        <v>495</v>
      </c>
      <c r="F4552" s="9" t="s">
        <v>6220</v>
      </c>
      <c r="G4552" s="9" t="s">
        <v>5467</v>
      </c>
      <c r="H4552" s="2" t="s">
        <v>35</v>
      </c>
      <c r="I4552" s="3">
        <v>37436</v>
      </c>
      <c r="J4552" s="9" t="str">
        <f t="shared" ca="1" si="80"/>
        <v>21 ans</v>
      </c>
      <c r="K4552" s="2" t="s">
        <v>262</v>
      </c>
      <c r="L4552" s="2" t="str">
        <f>"13355"</f>
        <v>13355</v>
      </c>
      <c r="M4552" s="2" t="str">
        <f>"402"</f>
        <v>402</v>
      </c>
      <c r="N4552" s="2" t="str">
        <f>"RUE SAINT CHARLES"</f>
        <v>RUE SAINT CHARLES</v>
      </c>
      <c r="O4552" s="2" t="s">
        <v>18155</v>
      </c>
      <c r="P4552" s="9" t="str">
        <f>VLOOKUP($O4552,'Liste des Villes'!$B$2:$B$1128,1,FALSE)</f>
        <v>Blainville</v>
      </c>
      <c r="Q4552" s="9" t="str">
        <f>IFERROR($P4552,PROPER(VLOOKUP($O4552,'Villes en erreur'!$A$2:$B$72,2,FALSE)))</f>
        <v>Blainville</v>
      </c>
      <c r="R4552" s="9" t="s">
        <v>18156</v>
      </c>
      <c r="S4552" s="9" t="str">
        <f>IF(ISBLANK($R4552),"",VLOOKUP($R4552,'Liste des Villes'!$B$2:$H$1128,4,FALSE))</f>
        <v>Laurentides</v>
      </c>
      <c r="T4552" s="2" t="s">
        <v>18981</v>
      </c>
      <c r="U4552" s="2" t="s">
        <v>39</v>
      </c>
      <c r="V4552" s="2" t="s">
        <v>40</v>
      </c>
      <c r="W4552" s="2" t="s">
        <v>18982</v>
      </c>
      <c r="X4552" s="2" t="str">
        <f>"5142938290"</f>
        <v>5142938290</v>
      </c>
      <c r="Y4552" s="2" t="str">
        <f>"4506027367"</f>
        <v>4506027367</v>
      </c>
      <c r="Z4552" s="2"/>
      <c r="AA4552" s="2" t="s">
        <v>456</v>
      </c>
      <c r="AB4552" s="2" t="s">
        <v>457</v>
      </c>
      <c r="AC4552" s="4" t="s">
        <v>44</v>
      </c>
    </row>
    <row r="4553" spans="1:29" x14ac:dyDescent="0.25">
      <c r="A4553" s="1">
        <v>144</v>
      </c>
      <c r="B4553" s="17" t="s">
        <v>18983</v>
      </c>
      <c r="C4553" s="2" t="s">
        <v>18984</v>
      </c>
      <c r="D4553" s="15" t="s">
        <v>292</v>
      </c>
      <c r="E4553" s="9" t="s">
        <v>12533</v>
      </c>
      <c r="F4553" s="9" t="s">
        <v>1502</v>
      </c>
      <c r="G4553" s="9" t="s">
        <v>2381</v>
      </c>
      <c r="H4553" s="2" t="s">
        <v>35</v>
      </c>
      <c r="I4553" s="3">
        <v>37501</v>
      </c>
      <c r="J4553" s="9" t="str">
        <f t="shared" ca="1" si="80"/>
        <v>20 ans</v>
      </c>
      <c r="K4553" s="2" t="s">
        <v>262</v>
      </c>
      <c r="L4553" s="2" t="str">
        <f>"16805"</f>
        <v>16805</v>
      </c>
      <c r="M4553" s="2" t="str">
        <f>"4"</f>
        <v>4</v>
      </c>
      <c r="N4553" s="2" t="str">
        <f>"RUE VICKY"</f>
        <v>RUE VICKY</v>
      </c>
      <c r="O4553" s="2" t="s">
        <v>18155</v>
      </c>
      <c r="P4553" s="9" t="str">
        <f>VLOOKUP($O4553,'Liste des Villes'!$B$2:$B$1128,1,FALSE)</f>
        <v>Blainville</v>
      </c>
      <c r="Q4553" s="9" t="str">
        <f>IFERROR($P4553,PROPER(VLOOKUP($O4553,'Villes en erreur'!$A$2:$B$72,2,FALSE)))</f>
        <v>Blainville</v>
      </c>
      <c r="R4553" s="9" t="s">
        <v>18156</v>
      </c>
      <c r="S4553" s="9" t="str">
        <f>IF(ISBLANK($R4553),"",VLOOKUP($R4553,'Liste des Villes'!$B$2:$H$1128,4,FALSE))</f>
        <v>Laurentides</v>
      </c>
      <c r="T4553" s="2" t="s">
        <v>18985</v>
      </c>
      <c r="U4553" s="2" t="s">
        <v>39</v>
      </c>
      <c r="V4553" s="2" t="s">
        <v>40</v>
      </c>
      <c r="W4553" s="2" t="s">
        <v>18986</v>
      </c>
      <c r="X4553" s="2" t="str">
        <f>"5149711460"</f>
        <v>5149711460</v>
      </c>
      <c r="Y4553" s="2" t="str">
        <f>"4502714516"</f>
        <v>4502714516</v>
      </c>
      <c r="Z4553" s="2"/>
      <c r="AA4553" s="2" t="s">
        <v>456</v>
      </c>
      <c r="AB4553" s="2" t="s">
        <v>457</v>
      </c>
      <c r="AC4553" s="4" t="s">
        <v>44</v>
      </c>
    </row>
    <row r="4554" spans="1:29" x14ac:dyDescent="0.25">
      <c r="A4554" s="1">
        <v>1161</v>
      </c>
      <c r="B4554" s="17" t="s">
        <v>18987</v>
      </c>
      <c r="C4554" s="2" t="s">
        <v>6792</v>
      </c>
      <c r="D4554" s="15" t="s">
        <v>56</v>
      </c>
      <c r="E4554" s="9" t="s">
        <v>6793</v>
      </c>
      <c r="F4554" s="9" t="s">
        <v>12889</v>
      </c>
      <c r="G4554" s="9" t="s">
        <v>6328</v>
      </c>
      <c r="H4554" s="2" t="s">
        <v>60</v>
      </c>
      <c r="I4554" s="3">
        <v>37494</v>
      </c>
      <c r="J4554" s="9" t="str">
        <f t="shared" ca="1" si="80"/>
        <v>20 ans</v>
      </c>
      <c r="K4554" s="2" t="s">
        <v>262</v>
      </c>
      <c r="L4554" s="2" t="str">
        <f>"16130"</f>
        <v>16130</v>
      </c>
      <c r="M4554" s="2" t="str">
        <f>"6"</f>
        <v>6</v>
      </c>
      <c r="N4554" s="2" t="str">
        <f>"RUE VALÉRIE"</f>
        <v>RUE VALÉRIE</v>
      </c>
      <c r="O4554" s="2" t="s">
        <v>18155</v>
      </c>
      <c r="P4554" s="9" t="str">
        <f>VLOOKUP($O4554,'Liste des Villes'!$B$2:$B$1128,1,FALSE)</f>
        <v>Blainville</v>
      </c>
      <c r="Q4554" s="9" t="str">
        <f>IFERROR($P4554,PROPER(VLOOKUP($O4554,'Villes en erreur'!$A$2:$B$72,2,FALSE)))</f>
        <v>Blainville</v>
      </c>
      <c r="R4554" s="9" t="s">
        <v>18156</v>
      </c>
      <c r="S4554" s="9" t="str">
        <f>IF(ISBLANK($R4554),"",VLOOKUP($R4554,'Liste des Villes'!$B$2:$H$1128,4,FALSE))</f>
        <v>Laurentides</v>
      </c>
      <c r="T4554" s="2" t="s">
        <v>18988</v>
      </c>
      <c r="U4554" s="2" t="s">
        <v>39</v>
      </c>
      <c r="V4554" s="2" t="s">
        <v>40</v>
      </c>
      <c r="W4554" s="2" t="s">
        <v>18989</v>
      </c>
      <c r="X4554" s="2" t="str">
        <f>"5149186792"</f>
        <v>5149186792</v>
      </c>
      <c r="Y4554" s="2" t="str">
        <f>"4504091406"</f>
        <v>4504091406</v>
      </c>
      <c r="Z4554" s="2"/>
      <c r="AA4554" s="2" t="s">
        <v>456</v>
      </c>
      <c r="AB4554" s="2" t="s">
        <v>457</v>
      </c>
      <c r="AC4554" s="4" t="s">
        <v>44</v>
      </c>
    </row>
    <row r="4555" spans="1:29" x14ac:dyDescent="0.25">
      <c r="A4555" s="1">
        <v>3843</v>
      </c>
      <c r="B4555" s="17" t="s">
        <v>18990</v>
      </c>
      <c r="C4555" s="2" t="s">
        <v>4483</v>
      </c>
      <c r="D4555" s="15" t="s">
        <v>3341</v>
      </c>
      <c r="E4555" s="9" t="s">
        <v>4484</v>
      </c>
      <c r="F4555" s="9" t="s">
        <v>3937</v>
      </c>
      <c r="G4555" s="9" t="s">
        <v>6458</v>
      </c>
      <c r="H4555" s="2" t="s">
        <v>35</v>
      </c>
      <c r="I4555" s="3">
        <v>37526</v>
      </c>
      <c r="J4555" s="9" t="str">
        <f t="shared" ca="1" si="80"/>
        <v>20 ans</v>
      </c>
      <c r="K4555" s="2" t="s">
        <v>262</v>
      </c>
      <c r="L4555" s="2" t="str">
        <f>"18700"</f>
        <v>18700</v>
      </c>
      <c r="M4555" s="2" t="str">
        <f>"1"</f>
        <v>1</v>
      </c>
      <c r="N4555" s="2" t="str">
        <f>"TESSIER BLVD"</f>
        <v>TESSIER BLVD</v>
      </c>
      <c r="O4555" s="2" t="s">
        <v>18155</v>
      </c>
      <c r="P4555" s="9" t="str">
        <f>VLOOKUP($O4555,'Liste des Villes'!$B$2:$B$1128,1,FALSE)</f>
        <v>Blainville</v>
      </c>
      <c r="Q4555" s="9" t="str">
        <f>IFERROR($P4555,PROPER(VLOOKUP($O4555,'Villes en erreur'!$A$2:$B$72,2,FALSE)))</f>
        <v>Blainville</v>
      </c>
      <c r="R4555" s="9" t="s">
        <v>18156</v>
      </c>
      <c r="S4555" s="9" t="str">
        <f>IF(ISBLANK($R4555),"",VLOOKUP($R4555,'Liste des Villes'!$B$2:$H$1128,4,FALSE))</f>
        <v>Laurentides</v>
      </c>
      <c r="T4555" s="2" t="s">
        <v>18991</v>
      </c>
      <c r="U4555" s="2" t="s">
        <v>39</v>
      </c>
      <c r="V4555" s="2" t="s">
        <v>40</v>
      </c>
      <c r="W4555" s="2" t="s">
        <v>18992</v>
      </c>
      <c r="X4555" s="2" t="str">
        <f>"8194490678"</f>
        <v>8194490678</v>
      </c>
      <c r="Y4555" s="2" t="str">
        <f>"4384901227"</f>
        <v>4384901227</v>
      </c>
      <c r="Z4555" s="2" t="str">
        <f>"4506758222"</f>
        <v>4506758222</v>
      </c>
      <c r="AA4555" s="2" t="s">
        <v>456</v>
      </c>
      <c r="AB4555" s="2" t="s">
        <v>457</v>
      </c>
      <c r="AC4555" s="4" t="s">
        <v>44</v>
      </c>
    </row>
    <row r="4556" spans="1:29" x14ac:dyDescent="0.25">
      <c r="A4556" s="1">
        <v>1338</v>
      </c>
      <c r="B4556" s="17" t="s">
        <v>18993</v>
      </c>
      <c r="C4556" s="2" t="s">
        <v>18994</v>
      </c>
      <c r="D4556" s="15" t="s">
        <v>16097</v>
      </c>
      <c r="E4556" s="9" t="s">
        <v>985</v>
      </c>
      <c r="F4556" s="9" t="s">
        <v>7800</v>
      </c>
      <c r="G4556" s="9" t="s">
        <v>18845</v>
      </c>
      <c r="H4556" s="2" t="s">
        <v>60</v>
      </c>
      <c r="I4556" s="3">
        <v>37470</v>
      </c>
      <c r="J4556" s="9" t="str">
        <f t="shared" ca="1" si="80"/>
        <v>21 ans</v>
      </c>
      <c r="K4556" s="2" t="s">
        <v>262</v>
      </c>
      <c r="L4556" s="2" t="str">
        <f>"14225"</f>
        <v>14225</v>
      </c>
      <c r="M4556" s="2" t="str">
        <f>"14"</f>
        <v>14</v>
      </c>
      <c r="N4556" s="2" t="str">
        <f>"RUE SIR-WILFRID-LAURIER"</f>
        <v>RUE SIR-WILFRID-LAURIER</v>
      </c>
      <c r="O4556" s="2" t="s">
        <v>18155</v>
      </c>
      <c r="P4556" s="9" t="str">
        <f>VLOOKUP($O4556,'Liste des Villes'!$B$2:$B$1128,1,FALSE)</f>
        <v>Blainville</v>
      </c>
      <c r="Q4556" s="9" t="str">
        <f>IFERROR($P4556,PROPER(VLOOKUP($O4556,'Villes en erreur'!$A$2:$B$72,2,FALSE)))</f>
        <v>Blainville</v>
      </c>
      <c r="R4556" s="9" t="s">
        <v>18156</v>
      </c>
      <c r="S4556" s="9" t="str">
        <f>IF(ISBLANK($R4556),"",VLOOKUP($R4556,'Liste des Villes'!$B$2:$H$1128,4,FALSE))</f>
        <v>Laurentides</v>
      </c>
      <c r="T4556" s="2" t="s">
        <v>18272</v>
      </c>
      <c r="U4556" s="2" t="s">
        <v>39</v>
      </c>
      <c r="V4556" s="2" t="s">
        <v>40</v>
      </c>
      <c r="W4556" s="2" t="s">
        <v>18995</v>
      </c>
      <c r="X4556" s="2" t="str">
        <f>"5147160475"</f>
        <v>5147160475</v>
      </c>
      <c r="Y4556" s="2" t="str">
        <f>"4504381099"</f>
        <v>4504381099</v>
      </c>
      <c r="Z4556" s="2"/>
      <c r="AA4556" s="2" t="s">
        <v>456</v>
      </c>
      <c r="AB4556" s="2" t="s">
        <v>457</v>
      </c>
      <c r="AC4556" s="4" t="s">
        <v>44</v>
      </c>
    </row>
    <row r="4557" spans="1:29" x14ac:dyDescent="0.25">
      <c r="A4557" s="1">
        <v>2042</v>
      </c>
      <c r="B4557" s="17" t="s">
        <v>18996</v>
      </c>
      <c r="C4557" s="2" t="s">
        <v>18997</v>
      </c>
      <c r="D4557" s="15" t="s">
        <v>17457</v>
      </c>
      <c r="E4557" s="9" t="s">
        <v>5798</v>
      </c>
      <c r="F4557" s="9" t="s">
        <v>17456</v>
      </c>
      <c r="G4557" s="9" t="s">
        <v>16203</v>
      </c>
      <c r="H4557" s="2" t="s">
        <v>35</v>
      </c>
      <c r="I4557" s="3">
        <v>37477</v>
      </c>
      <c r="J4557" s="9" t="str">
        <f t="shared" ca="1" si="80"/>
        <v>21 ans</v>
      </c>
      <c r="K4557" s="2" t="s">
        <v>262</v>
      </c>
      <c r="L4557" s="2" t="str">
        <f>"14485"</f>
        <v>14485</v>
      </c>
      <c r="M4557" s="2" t="str">
        <f>"10"</f>
        <v>10</v>
      </c>
      <c r="N4557" s="2" t="str">
        <f>"RUE TANGUAY"</f>
        <v>RUE TANGUAY</v>
      </c>
      <c r="O4557" s="2" t="s">
        <v>18155</v>
      </c>
      <c r="P4557" s="9" t="str">
        <f>VLOOKUP($O4557,'Liste des Villes'!$B$2:$B$1128,1,FALSE)</f>
        <v>Blainville</v>
      </c>
      <c r="Q4557" s="9" t="str">
        <f>IFERROR($P4557,PROPER(VLOOKUP($O4557,'Villes en erreur'!$A$2:$B$72,2,FALSE)))</f>
        <v>Blainville</v>
      </c>
      <c r="R4557" s="9" t="s">
        <v>18156</v>
      </c>
      <c r="S4557" s="9" t="str">
        <f>IF(ISBLANK($R4557),"",VLOOKUP($R4557,'Liste des Villes'!$B$2:$H$1128,4,FALSE))</f>
        <v>Laurentides</v>
      </c>
      <c r="T4557" s="2" t="s">
        <v>18998</v>
      </c>
      <c r="U4557" s="2" t="s">
        <v>39</v>
      </c>
      <c r="V4557" s="2" t="s">
        <v>40</v>
      </c>
      <c r="W4557" s="2" t="s">
        <v>18999</v>
      </c>
      <c r="X4557" s="2" t="str">
        <f>"5147796660"</f>
        <v>5147796660</v>
      </c>
      <c r="Y4557" s="2" t="str">
        <f>"4504350031"</f>
        <v>4504350031</v>
      </c>
      <c r="Z4557" s="2"/>
      <c r="AA4557" s="2" t="s">
        <v>456</v>
      </c>
      <c r="AB4557" s="2" t="s">
        <v>457</v>
      </c>
      <c r="AC4557" s="4" t="s">
        <v>44</v>
      </c>
    </row>
    <row r="4558" spans="1:29" x14ac:dyDescent="0.25">
      <c r="A4558" s="1">
        <v>3077</v>
      </c>
      <c r="B4558" s="17" t="s">
        <v>19000</v>
      </c>
      <c r="C4558" s="2" t="s">
        <v>19001</v>
      </c>
      <c r="D4558" s="15" t="s">
        <v>1452</v>
      </c>
      <c r="E4558" s="9" t="s">
        <v>13242</v>
      </c>
      <c r="F4558" s="9" t="s">
        <v>1454</v>
      </c>
      <c r="G4558" s="9" t="s">
        <v>8482</v>
      </c>
      <c r="H4558" s="2" t="s">
        <v>60</v>
      </c>
      <c r="I4558" s="3">
        <v>37440</v>
      </c>
      <c r="J4558" s="9" t="str">
        <f t="shared" ca="1" si="80"/>
        <v>21 ans</v>
      </c>
      <c r="K4558" s="2" t="s">
        <v>262</v>
      </c>
      <c r="L4558" s="2" t="str">
        <f>"13450"</f>
        <v>13450</v>
      </c>
      <c r="M4558" s="2" t="str">
        <f>"306"</f>
        <v>306</v>
      </c>
      <c r="N4558" s="2" t="str">
        <f>"RUE SAINT-ANTOINE"</f>
        <v>RUE SAINT-ANTOINE</v>
      </c>
      <c r="O4558" s="2" t="s">
        <v>18155</v>
      </c>
      <c r="P4558" s="9" t="str">
        <f>VLOOKUP($O4558,'Liste des Villes'!$B$2:$B$1128,1,FALSE)</f>
        <v>Blainville</v>
      </c>
      <c r="Q4558" s="9" t="str">
        <f>IFERROR($P4558,PROPER(VLOOKUP($O4558,'Villes en erreur'!$A$2:$B$72,2,FALSE)))</f>
        <v>Blainville</v>
      </c>
      <c r="R4558" s="9" t="s">
        <v>18156</v>
      </c>
      <c r="S4558" s="9" t="str">
        <f>IF(ISBLANK($R4558),"",VLOOKUP($R4558,'Liste des Villes'!$B$2:$H$1128,4,FALSE))</f>
        <v>Laurentides</v>
      </c>
      <c r="T4558" s="2" t="s">
        <v>19002</v>
      </c>
      <c r="U4558" s="2" t="s">
        <v>39</v>
      </c>
      <c r="V4558" s="2" t="s">
        <v>40</v>
      </c>
      <c r="W4558" s="2" t="s">
        <v>19003</v>
      </c>
      <c r="X4558" s="2" t="str">
        <f>"5144328129"</f>
        <v>5144328129</v>
      </c>
      <c r="Y4558" s="2" t="str">
        <f>"4505699471"</f>
        <v>4505699471</v>
      </c>
      <c r="Z4558" s="2"/>
      <c r="AA4558" s="2" t="s">
        <v>456</v>
      </c>
      <c r="AB4558" s="2" t="s">
        <v>457</v>
      </c>
      <c r="AC4558" s="4" t="s">
        <v>44</v>
      </c>
    </row>
    <row r="4559" spans="1:29" x14ac:dyDescent="0.25">
      <c r="A4559" s="1">
        <v>4539</v>
      </c>
      <c r="B4559" s="17" t="s">
        <v>19004</v>
      </c>
      <c r="C4559" s="2" t="s">
        <v>19005</v>
      </c>
      <c r="D4559" s="15" t="s">
        <v>4395</v>
      </c>
      <c r="E4559" s="9" t="s">
        <v>2392</v>
      </c>
      <c r="F4559" s="9" t="s">
        <v>9505</v>
      </c>
      <c r="G4559" s="9" t="s">
        <v>2381</v>
      </c>
      <c r="H4559" s="2" t="s">
        <v>35</v>
      </c>
      <c r="I4559" s="3">
        <v>37504</v>
      </c>
      <c r="J4559" s="9" t="str">
        <f t="shared" ca="1" si="80"/>
        <v>20 ans</v>
      </c>
      <c r="K4559" s="2" t="s">
        <v>262</v>
      </c>
      <c r="L4559" s="2" t="str">
        <f>"16925"</f>
        <v>16925</v>
      </c>
      <c r="M4559" s="2" t="str">
        <f>"4"</f>
        <v>4</v>
      </c>
      <c r="N4559" s="2" t="str">
        <f>"RUE WILFRID-PELLETIER"</f>
        <v>RUE WILFRID-PELLETIER</v>
      </c>
      <c r="O4559" s="2" t="s">
        <v>18155</v>
      </c>
      <c r="P4559" s="9" t="str">
        <f>VLOOKUP($O4559,'Liste des Villes'!$B$2:$B$1128,1,FALSE)</f>
        <v>Blainville</v>
      </c>
      <c r="Q4559" s="9" t="str">
        <f>IFERROR($P4559,PROPER(VLOOKUP($O4559,'Villes en erreur'!$A$2:$B$72,2,FALSE)))</f>
        <v>Blainville</v>
      </c>
      <c r="R4559" s="9" t="s">
        <v>18156</v>
      </c>
      <c r="S4559" s="9" t="str">
        <f>IF(ISBLANK($R4559),"",VLOOKUP($R4559,'Liste des Villes'!$B$2:$H$1128,4,FALSE))</f>
        <v>Laurentides</v>
      </c>
      <c r="T4559" s="2" t="s">
        <v>19006</v>
      </c>
      <c r="U4559" s="2" t="s">
        <v>39</v>
      </c>
      <c r="V4559" s="2" t="s">
        <v>40</v>
      </c>
      <c r="W4559" s="2" t="s">
        <v>18703</v>
      </c>
      <c r="X4559" s="2" t="str">
        <f>"5149795352"</f>
        <v>5149795352</v>
      </c>
      <c r="Y4559" s="2" t="str">
        <f>"4502243287"</f>
        <v>4502243287</v>
      </c>
      <c r="Z4559" s="2"/>
      <c r="AA4559" s="2" t="s">
        <v>456</v>
      </c>
      <c r="AB4559" s="2" t="s">
        <v>457</v>
      </c>
      <c r="AC4559" s="4" t="s">
        <v>44</v>
      </c>
    </row>
    <row r="4560" spans="1:29" x14ac:dyDescent="0.25">
      <c r="A4560" s="1">
        <v>2911</v>
      </c>
      <c r="B4560" s="17" t="s">
        <v>19007</v>
      </c>
      <c r="C4560" s="2" t="s">
        <v>16176</v>
      </c>
      <c r="D4560" s="15" t="s">
        <v>14604</v>
      </c>
      <c r="E4560" s="9" t="s">
        <v>13029</v>
      </c>
      <c r="F4560" s="9" t="s">
        <v>100</v>
      </c>
      <c r="G4560" s="9" t="s">
        <v>19008</v>
      </c>
      <c r="H4560" s="2" t="s">
        <v>60</v>
      </c>
      <c r="I4560" s="3">
        <v>37472</v>
      </c>
      <c r="J4560" s="9" t="str">
        <f t="shared" ca="1" si="80"/>
        <v>21 ans</v>
      </c>
      <c r="K4560" s="2" t="s">
        <v>262</v>
      </c>
      <c r="L4560" s="2" t="str">
        <f>"14231"</f>
        <v>14231</v>
      </c>
      <c r="M4560" s="2" t="str">
        <f>"12"</f>
        <v>12</v>
      </c>
      <c r="N4560" s="2" t="str">
        <f>"RUE ST-ANTOINE"</f>
        <v>RUE ST-ANTOINE</v>
      </c>
      <c r="O4560" s="2" t="s">
        <v>18155</v>
      </c>
      <c r="P4560" s="9" t="str">
        <f>VLOOKUP($O4560,'Liste des Villes'!$B$2:$B$1128,1,FALSE)</f>
        <v>Blainville</v>
      </c>
      <c r="Q4560" s="9" t="str">
        <f>IFERROR($P4560,PROPER(VLOOKUP($O4560,'Villes en erreur'!$A$2:$B$72,2,FALSE)))</f>
        <v>Blainville</v>
      </c>
      <c r="R4560" s="9" t="s">
        <v>18156</v>
      </c>
      <c r="S4560" s="9" t="str">
        <f>IF(ISBLANK($R4560),"",VLOOKUP($R4560,'Liste des Villes'!$B$2:$H$1128,4,FALSE))</f>
        <v>Laurentides</v>
      </c>
      <c r="T4560" s="2" t="s">
        <v>18272</v>
      </c>
      <c r="U4560" s="2" t="s">
        <v>39</v>
      </c>
      <c r="V4560" s="2" t="s">
        <v>40</v>
      </c>
      <c r="W4560" s="2" t="s">
        <v>19009</v>
      </c>
      <c r="X4560" s="2" t="str">
        <f>"5147268030"</f>
        <v>5147268030</v>
      </c>
      <c r="Y4560" s="2" t="str">
        <f>"4504378251"</f>
        <v>4504378251</v>
      </c>
      <c r="Z4560" s="2"/>
      <c r="AA4560" s="2" t="s">
        <v>456</v>
      </c>
      <c r="AB4560" s="2" t="s">
        <v>457</v>
      </c>
      <c r="AC4560" s="4" t="s">
        <v>44</v>
      </c>
    </row>
    <row r="4561" spans="1:29" x14ac:dyDescent="0.25">
      <c r="A4561" s="1">
        <v>1217</v>
      </c>
      <c r="B4561" s="17" t="s">
        <v>19010</v>
      </c>
      <c r="C4561" s="2" t="s">
        <v>19011</v>
      </c>
      <c r="D4561" s="15" t="s">
        <v>550</v>
      </c>
      <c r="E4561" s="9" t="s">
        <v>6279</v>
      </c>
      <c r="F4561" s="9" t="s">
        <v>548</v>
      </c>
      <c r="G4561" s="9" t="s">
        <v>2355</v>
      </c>
      <c r="H4561" s="2" t="s">
        <v>60</v>
      </c>
      <c r="I4561" s="3">
        <v>37466</v>
      </c>
      <c r="J4561" s="9" t="str">
        <f t="shared" ca="1" si="80"/>
        <v>21 ans</v>
      </c>
      <c r="K4561" s="2" t="s">
        <v>262</v>
      </c>
      <c r="L4561" s="2" t="str">
        <f>"14094"</f>
        <v>14094</v>
      </c>
      <c r="M4561" s="2" t="str">
        <f>"42"</f>
        <v>42</v>
      </c>
      <c r="N4561" s="2" t="str">
        <f>"RUE SCHULZ"</f>
        <v>RUE SCHULZ</v>
      </c>
      <c r="O4561" s="2" t="s">
        <v>18155</v>
      </c>
      <c r="P4561" s="9" t="str">
        <f>VLOOKUP($O4561,'Liste des Villes'!$B$2:$B$1128,1,FALSE)</f>
        <v>Blainville</v>
      </c>
      <c r="Q4561" s="9" t="str">
        <f>IFERROR($P4561,PROPER(VLOOKUP($O4561,'Villes en erreur'!$A$2:$B$72,2,FALSE)))</f>
        <v>Blainville</v>
      </c>
      <c r="R4561" s="9" t="s">
        <v>18156</v>
      </c>
      <c r="S4561" s="9" t="str">
        <f>IF(ISBLANK($R4561),"",VLOOKUP($R4561,'Liste des Villes'!$B$2:$H$1128,4,FALSE))</f>
        <v>Laurentides</v>
      </c>
      <c r="T4561" s="2" t="s">
        <v>19012</v>
      </c>
      <c r="U4561" s="2" t="s">
        <v>39</v>
      </c>
      <c r="V4561" s="2" t="s">
        <v>40</v>
      </c>
      <c r="W4561" s="2" t="s">
        <v>19013</v>
      </c>
      <c r="X4561" s="2" t="str">
        <f>"5147031191"</f>
        <v>5147031191</v>
      </c>
      <c r="Y4561" s="2" t="str">
        <f>"4504728385"</f>
        <v>4504728385</v>
      </c>
      <c r="Z4561" s="2"/>
      <c r="AA4561" s="2" t="s">
        <v>456</v>
      </c>
      <c r="AB4561" s="2" t="s">
        <v>457</v>
      </c>
      <c r="AC4561" s="4" t="s">
        <v>44</v>
      </c>
    </row>
    <row r="4562" spans="1:29" x14ac:dyDescent="0.25">
      <c r="A4562" s="1">
        <v>50</v>
      </c>
      <c r="B4562" s="17" t="s">
        <v>19014</v>
      </c>
      <c r="C4562" s="2" t="s">
        <v>19015</v>
      </c>
      <c r="D4562" s="15" t="s">
        <v>2188</v>
      </c>
      <c r="E4562" s="9" t="s">
        <v>3218</v>
      </c>
      <c r="F4562" s="9" t="s">
        <v>2187</v>
      </c>
      <c r="G4562" s="9" t="s">
        <v>2381</v>
      </c>
      <c r="H4562" s="2" t="s">
        <v>35</v>
      </c>
      <c r="I4562" s="3">
        <v>37504</v>
      </c>
      <c r="J4562" s="9" t="str">
        <f t="shared" ca="1" si="80"/>
        <v>20 ans</v>
      </c>
      <c r="K4562" s="2" t="s">
        <v>262</v>
      </c>
      <c r="L4562" s="2" t="str">
        <f>"16885"</f>
        <v>16885</v>
      </c>
      <c r="M4562" s="2" t="str">
        <f>"4"</f>
        <v>4</v>
      </c>
      <c r="N4562" s="2" t="str">
        <f>"RUE WILFRID-GASCON"</f>
        <v>RUE WILFRID-GASCON</v>
      </c>
      <c r="O4562" s="2" t="s">
        <v>18155</v>
      </c>
      <c r="P4562" s="9" t="str">
        <f>VLOOKUP($O4562,'Liste des Villes'!$B$2:$B$1128,1,FALSE)</f>
        <v>Blainville</v>
      </c>
      <c r="Q4562" s="9" t="str">
        <f>IFERROR($P4562,PROPER(VLOOKUP($O4562,'Villes en erreur'!$A$2:$B$72,2,FALSE)))</f>
        <v>Blainville</v>
      </c>
      <c r="R4562" s="9" t="s">
        <v>18156</v>
      </c>
      <c r="S4562" s="9" t="str">
        <f>IF(ISBLANK($R4562),"",VLOOKUP($R4562,'Liste des Villes'!$B$2:$H$1128,4,FALSE))</f>
        <v>Laurentides</v>
      </c>
      <c r="T4562" s="2" t="s">
        <v>19016</v>
      </c>
      <c r="U4562" s="2" t="s">
        <v>39</v>
      </c>
      <c r="V4562" s="2" t="s">
        <v>40</v>
      </c>
      <c r="W4562" s="2" t="s">
        <v>19017</v>
      </c>
      <c r="X4562" s="2" t="str">
        <f>"5149781567"</f>
        <v>5149781567</v>
      </c>
      <c r="Y4562" s="2" t="str">
        <f>"4502248146"</f>
        <v>4502248146</v>
      </c>
      <c r="Z4562" s="2"/>
      <c r="AA4562" s="2" t="s">
        <v>456</v>
      </c>
      <c r="AB4562" s="2" t="s">
        <v>457</v>
      </c>
      <c r="AC4562" s="4" t="s">
        <v>44</v>
      </c>
    </row>
    <row r="4563" spans="1:29" x14ac:dyDescent="0.25">
      <c r="A4563" s="1">
        <v>3142</v>
      </c>
      <c r="B4563" s="17" t="s">
        <v>19018</v>
      </c>
      <c r="C4563" s="2" t="s">
        <v>19019</v>
      </c>
      <c r="D4563" s="15" t="s">
        <v>10837</v>
      </c>
      <c r="E4563" s="9" t="s">
        <v>3668</v>
      </c>
      <c r="F4563" s="9" t="s">
        <v>4835</v>
      </c>
      <c r="G4563" s="9" t="s">
        <v>3451</v>
      </c>
      <c r="H4563" s="2" t="s">
        <v>60</v>
      </c>
      <c r="I4563" s="3">
        <v>37474</v>
      </c>
      <c r="J4563" s="9" t="str">
        <f t="shared" ca="1" si="80"/>
        <v>21 ans</v>
      </c>
      <c r="K4563" s="2" t="s">
        <v>262</v>
      </c>
      <c r="L4563" s="2" t="str">
        <f>"14263"</f>
        <v>14263</v>
      </c>
      <c r="M4563" s="2" t="str">
        <f>"12"</f>
        <v>12</v>
      </c>
      <c r="N4563" s="2" t="str">
        <f>"RUE STELLA"</f>
        <v>RUE STELLA</v>
      </c>
      <c r="O4563" s="2" t="s">
        <v>18155</v>
      </c>
      <c r="P4563" s="9" t="str">
        <f>VLOOKUP($O4563,'Liste des Villes'!$B$2:$B$1128,1,FALSE)</f>
        <v>Blainville</v>
      </c>
      <c r="Q4563" s="9" t="str">
        <f>IFERROR($P4563,PROPER(VLOOKUP($O4563,'Villes en erreur'!$A$2:$B$72,2,FALSE)))</f>
        <v>Blainville</v>
      </c>
      <c r="R4563" s="9" t="s">
        <v>18156</v>
      </c>
      <c r="S4563" s="9" t="str">
        <f>IF(ISBLANK($R4563),"",VLOOKUP($R4563,'Liste des Villes'!$B$2:$H$1128,4,FALSE))</f>
        <v>Laurentides</v>
      </c>
      <c r="T4563" s="2" t="s">
        <v>18272</v>
      </c>
      <c r="U4563" s="2" t="s">
        <v>39</v>
      </c>
      <c r="V4563" s="2" t="s">
        <v>40</v>
      </c>
      <c r="W4563" s="2" t="s">
        <v>19020</v>
      </c>
      <c r="X4563" s="2" t="str">
        <f>"5147573789"</f>
        <v>5147573789</v>
      </c>
      <c r="Y4563" s="2" t="str">
        <f>"4504373487"</f>
        <v>4504373487</v>
      </c>
      <c r="Z4563" s="2"/>
      <c r="AA4563" s="2" t="s">
        <v>456</v>
      </c>
      <c r="AB4563" s="2" t="s">
        <v>457</v>
      </c>
      <c r="AC4563" s="4" t="s">
        <v>44</v>
      </c>
    </row>
    <row r="4564" spans="1:29" x14ac:dyDescent="0.25">
      <c r="A4564" s="1">
        <v>2235</v>
      </c>
      <c r="B4564" s="17" t="s">
        <v>19021</v>
      </c>
      <c r="C4564" s="2" t="s">
        <v>19022</v>
      </c>
      <c r="D4564" s="15" t="s">
        <v>962</v>
      </c>
      <c r="E4564" s="9" t="s">
        <v>18271</v>
      </c>
      <c r="F4564" s="9" t="s">
        <v>961</v>
      </c>
      <c r="G4564" s="9" t="s">
        <v>2404</v>
      </c>
      <c r="H4564" s="2" t="s">
        <v>35</v>
      </c>
      <c r="I4564" s="3">
        <v>37483</v>
      </c>
      <c r="J4564" s="9" t="str">
        <f t="shared" ca="1" si="80"/>
        <v>21 ans</v>
      </c>
      <c r="K4564" s="2" t="s">
        <v>262</v>
      </c>
      <c r="L4564" s="2" t="str">
        <f>"14705"</f>
        <v>14705</v>
      </c>
      <c r="M4564" s="2" t="str">
        <f>"8"</f>
        <v>8</v>
      </c>
      <c r="N4564" s="2" t="str">
        <f>"RUE THERRIEN"</f>
        <v>RUE THERRIEN</v>
      </c>
      <c r="O4564" s="2" t="s">
        <v>18155</v>
      </c>
      <c r="P4564" s="9" t="str">
        <f>VLOOKUP($O4564,'Liste des Villes'!$B$2:$B$1128,1,FALSE)</f>
        <v>Blainville</v>
      </c>
      <c r="Q4564" s="9" t="str">
        <f>IFERROR($P4564,PROPER(VLOOKUP($O4564,'Villes en erreur'!$A$2:$B$72,2,FALSE)))</f>
        <v>Blainville</v>
      </c>
      <c r="R4564" s="9" t="s">
        <v>18156</v>
      </c>
      <c r="S4564" s="9" t="str">
        <f>IF(ISBLANK($R4564),"",VLOOKUP($R4564,'Liste des Villes'!$B$2:$H$1128,4,FALSE))</f>
        <v>Laurentides</v>
      </c>
      <c r="T4564" s="2" t="s">
        <v>19023</v>
      </c>
      <c r="U4564" s="2" t="s">
        <v>39</v>
      </c>
      <c r="V4564" s="2" t="s">
        <v>40</v>
      </c>
      <c r="W4564" s="2" t="s">
        <v>19024</v>
      </c>
      <c r="X4564" s="2" t="str">
        <f>"5147995262"</f>
        <v>5147995262</v>
      </c>
      <c r="Y4564" s="2" t="str">
        <f>"4504330658"</f>
        <v>4504330658</v>
      </c>
      <c r="Z4564" s="2"/>
      <c r="AA4564" s="2" t="s">
        <v>456</v>
      </c>
      <c r="AB4564" s="2" t="s">
        <v>457</v>
      </c>
      <c r="AC4564" s="4" t="s">
        <v>44</v>
      </c>
    </row>
    <row r="4565" spans="1:29" x14ac:dyDescent="0.25">
      <c r="A4565" s="1">
        <v>2331</v>
      </c>
      <c r="B4565" s="17" t="s">
        <v>19025</v>
      </c>
      <c r="C4565" s="2" t="s">
        <v>19026</v>
      </c>
      <c r="D4565" s="15" t="s">
        <v>4262</v>
      </c>
      <c r="E4565" s="9" t="s">
        <v>5763</v>
      </c>
      <c r="F4565" s="9" t="s">
        <v>4261</v>
      </c>
      <c r="G4565" s="9" t="s">
        <v>370</v>
      </c>
      <c r="H4565" s="2" t="s">
        <v>60</v>
      </c>
      <c r="I4565" s="3">
        <v>37513</v>
      </c>
      <c r="J4565" s="9" t="str">
        <f t="shared" ca="1" si="80"/>
        <v>20 ans</v>
      </c>
      <c r="K4565" s="2" t="s">
        <v>262</v>
      </c>
      <c r="L4565" s="2" t="str">
        <f>"17465"</f>
        <v>17465</v>
      </c>
      <c r="M4565" s="2" t="str">
        <f>"2"</f>
        <v>2</v>
      </c>
      <c r="N4565" s="2" t="str">
        <f>"SAINTE-ANNE BLVD"</f>
        <v>SAINTE-ANNE BLVD</v>
      </c>
      <c r="O4565" s="2" t="s">
        <v>18155</v>
      </c>
      <c r="P4565" s="9" t="str">
        <f>VLOOKUP($O4565,'Liste des Villes'!$B$2:$B$1128,1,FALSE)</f>
        <v>Blainville</v>
      </c>
      <c r="Q4565" s="9" t="str">
        <f>IFERROR($P4565,PROPER(VLOOKUP($O4565,'Villes en erreur'!$A$2:$B$72,2,FALSE)))</f>
        <v>Blainville</v>
      </c>
      <c r="R4565" s="9" t="s">
        <v>18156</v>
      </c>
      <c r="S4565" s="9" t="str">
        <f>IF(ISBLANK($R4565),"",VLOOKUP($R4565,'Liste des Villes'!$B$2:$H$1128,4,FALSE))</f>
        <v>Laurentides</v>
      </c>
      <c r="T4565" s="2" t="s">
        <v>19027</v>
      </c>
      <c r="U4565" s="2" t="s">
        <v>39</v>
      </c>
      <c r="V4565" s="2" t="s">
        <v>40</v>
      </c>
      <c r="W4565" s="2" t="s">
        <v>19028</v>
      </c>
      <c r="X4565" s="2" t="str">
        <f>"5798888224"</f>
        <v>5798888224</v>
      </c>
      <c r="Y4565" s="2" t="str">
        <f>"4388831219"</f>
        <v>4388831219</v>
      </c>
      <c r="Z4565" s="2"/>
      <c r="AA4565" s="2" t="s">
        <v>456</v>
      </c>
      <c r="AB4565" s="2" t="s">
        <v>457</v>
      </c>
      <c r="AC4565" s="4" t="s">
        <v>44</v>
      </c>
    </row>
    <row r="4566" spans="1:29" x14ac:dyDescent="0.25">
      <c r="A4566" s="1">
        <v>4594</v>
      </c>
      <c r="B4566" s="17" t="s">
        <v>19029</v>
      </c>
      <c r="C4566" s="2" t="s">
        <v>19030</v>
      </c>
      <c r="D4566" s="15" t="s">
        <v>13997</v>
      </c>
      <c r="E4566" s="9" t="s">
        <v>622</v>
      </c>
      <c r="F4566" s="9" t="s">
        <v>8350</v>
      </c>
      <c r="G4566" s="9" t="s">
        <v>5356</v>
      </c>
      <c r="H4566" s="2" t="s">
        <v>60</v>
      </c>
      <c r="I4566" s="3">
        <v>37471</v>
      </c>
      <c r="J4566" s="9" t="str">
        <f t="shared" ca="1" si="80"/>
        <v>21 ans</v>
      </c>
      <c r="K4566" s="2" t="s">
        <v>262</v>
      </c>
      <c r="L4566" s="2" t="str">
        <f>"14231"</f>
        <v>14231</v>
      </c>
      <c r="M4566" s="2" t="str">
        <f>"12"</f>
        <v>12</v>
      </c>
      <c r="N4566" s="2" t="str">
        <f>"RUE ST-ANTOINE"</f>
        <v>RUE ST-ANTOINE</v>
      </c>
      <c r="O4566" s="2" t="s">
        <v>18155</v>
      </c>
      <c r="P4566" s="9" t="str">
        <f>VLOOKUP($O4566,'Liste des Villes'!$B$2:$B$1128,1,FALSE)</f>
        <v>Blainville</v>
      </c>
      <c r="Q4566" s="9" t="str">
        <f>IFERROR($P4566,PROPER(VLOOKUP($O4566,'Villes en erreur'!$A$2:$B$72,2,FALSE)))</f>
        <v>Blainville</v>
      </c>
      <c r="R4566" s="9" t="s">
        <v>18156</v>
      </c>
      <c r="S4566" s="9" t="str">
        <f>IF(ISBLANK($R4566),"",VLOOKUP($R4566,'Liste des Villes'!$B$2:$H$1128,4,FALSE))</f>
        <v>Laurentides</v>
      </c>
      <c r="T4566" s="2" t="s">
        <v>18272</v>
      </c>
      <c r="U4566" s="2" t="s">
        <v>39</v>
      </c>
      <c r="V4566" s="2" t="s">
        <v>40</v>
      </c>
      <c r="W4566" s="2" t="s">
        <v>19031</v>
      </c>
      <c r="X4566" s="2" t="str">
        <f>"5147181255"</f>
        <v>5147181255</v>
      </c>
      <c r="Y4566" s="2" t="str">
        <f>"4504378811"</f>
        <v>4504378811</v>
      </c>
      <c r="Z4566" s="2"/>
      <c r="AA4566" s="2" t="s">
        <v>456</v>
      </c>
      <c r="AB4566" s="2" t="s">
        <v>457</v>
      </c>
      <c r="AC4566" s="4" t="s">
        <v>44</v>
      </c>
    </row>
    <row r="4567" spans="1:29" x14ac:dyDescent="0.25">
      <c r="A4567" s="1">
        <v>2738</v>
      </c>
      <c r="B4567" s="17" t="s">
        <v>19032</v>
      </c>
      <c r="C4567" s="2" t="s">
        <v>19033</v>
      </c>
      <c r="D4567" s="15" t="s">
        <v>2434</v>
      </c>
      <c r="E4567" s="9" t="s">
        <v>17505</v>
      </c>
      <c r="F4567" s="9" t="s">
        <v>12435</v>
      </c>
      <c r="G4567" s="9" t="s">
        <v>4675</v>
      </c>
      <c r="H4567" s="2" t="s">
        <v>60</v>
      </c>
      <c r="I4567" s="3">
        <v>37434</v>
      </c>
      <c r="J4567" s="9" t="str">
        <f t="shared" ca="1" si="80"/>
        <v>21 ans</v>
      </c>
      <c r="K4567" s="2" t="s">
        <v>262</v>
      </c>
      <c r="L4567" s="2" t="str">
        <f>"13335"</f>
        <v>13335</v>
      </c>
      <c r="M4567" s="2" t="str">
        <f>"406"</f>
        <v>406</v>
      </c>
      <c r="N4567" s="2" t="str">
        <f>"RUE RUSSELL"</f>
        <v>RUE RUSSELL</v>
      </c>
      <c r="O4567" s="2" t="s">
        <v>18155</v>
      </c>
      <c r="P4567" s="9" t="str">
        <f>VLOOKUP($O4567,'Liste des Villes'!$B$2:$B$1128,1,FALSE)</f>
        <v>Blainville</v>
      </c>
      <c r="Q4567" s="9" t="str">
        <f>IFERROR($P4567,PROPER(VLOOKUP($O4567,'Villes en erreur'!$A$2:$B$72,2,FALSE)))</f>
        <v>Blainville</v>
      </c>
      <c r="R4567" s="9" t="s">
        <v>18156</v>
      </c>
      <c r="S4567" s="9" t="str">
        <f>IF(ISBLANK($R4567),"",VLOOKUP($R4567,'Liste des Villes'!$B$2:$H$1128,4,FALSE))</f>
        <v>Laurentides</v>
      </c>
      <c r="T4567" s="2" t="s">
        <v>19034</v>
      </c>
      <c r="U4567" s="2" t="s">
        <v>39</v>
      </c>
      <c r="V4567" s="2" t="s">
        <v>40</v>
      </c>
      <c r="W4567" s="2" t="s">
        <v>19035</v>
      </c>
      <c r="X4567" s="2" t="str">
        <f>"5142675488"</f>
        <v>5142675488</v>
      </c>
      <c r="Y4567" s="2" t="str">
        <f>"4506029852"</f>
        <v>4506029852</v>
      </c>
      <c r="Z4567" s="2"/>
      <c r="AA4567" s="2" t="s">
        <v>456</v>
      </c>
      <c r="AB4567" s="2" t="s">
        <v>457</v>
      </c>
      <c r="AC4567" s="4" t="s">
        <v>44</v>
      </c>
    </row>
    <row r="4568" spans="1:29" x14ac:dyDescent="0.25">
      <c r="A4568" s="1">
        <v>1257</v>
      </c>
      <c r="B4568" s="17" t="s">
        <v>19036</v>
      </c>
      <c r="C4568" s="2" t="s">
        <v>19037</v>
      </c>
      <c r="D4568" s="15" t="s">
        <v>11735</v>
      </c>
      <c r="E4568" s="9" t="s">
        <v>610</v>
      </c>
      <c r="F4568" s="9" t="s">
        <v>2706</v>
      </c>
      <c r="G4568" s="9" t="s">
        <v>5511</v>
      </c>
      <c r="H4568" s="2" t="s">
        <v>60</v>
      </c>
      <c r="I4568" s="3">
        <v>37427</v>
      </c>
      <c r="J4568" s="9" t="str">
        <f t="shared" ca="1" si="80"/>
        <v>21 ans</v>
      </c>
      <c r="K4568" s="2" t="s">
        <v>262</v>
      </c>
      <c r="L4568" s="2" t="str">
        <f>"12892"</f>
        <v>12892</v>
      </c>
      <c r="M4568" s="2" t="str">
        <f>"710"</f>
        <v>710</v>
      </c>
      <c r="N4568" s="2" t="str">
        <f>"RUE ROSEDALE"</f>
        <v>RUE ROSEDALE</v>
      </c>
      <c r="O4568" s="2" t="s">
        <v>18155</v>
      </c>
      <c r="P4568" s="9" t="str">
        <f>VLOOKUP($O4568,'Liste des Villes'!$B$2:$B$1128,1,FALSE)</f>
        <v>Blainville</v>
      </c>
      <c r="Q4568" s="9" t="str">
        <f>IFERROR($P4568,PROPER(VLOOKUP($O4568,'Villes en erreur'!$A$2:$B$72,2,FALSE)))</f>
        <v>Blainville</v>
      </c>
      <c r="R4568" s="9" t="s">
        <v>18156</v>
      </c>
      <c r="S4568" s="9" t="str">
        <f>IF(ISBLANK($R4568),"",VLOOKUP($R4568,'Liste des Villes'!$B$2:$H$1128,4,FALSE))</f>
        <v>Laurentides</v>
      </c>
      <c r="T4568" s="2" t="s">
        <v>18350</v>
      </c>
      <c r="U4568" s="2" t="s">
        <v>39</v>
      </c>
      <c r="V4568" s="2" t="s">
        <v>40</v>
      </c>
      <c r="W4568" s="2" t="s">
        <v>19038</v>
      </c>
      <c r="X4568" s="2" t="str">
        <f>"5142331436"</f>
        <v>5142331436</v>
      </c>
      <c r="Y4568" s="2" t="str">
        <f>"4506750907"</f>
        <v>4506750907</v>
      </c>
      <c r="Z4568" s="2"/>
      <c r="AA4568" s="2" t="s">
        <v>456</v>
      </c>
      <c r="AB4568" s="2" t="s">
        <v>457</v>
      </c>
      <c r="AC4568" s="4" t="s">
        <v>44</v>
      </c>
    </row>
    <row r="4569" spans="1:29" x14ac:dyDescent="0.25">
      <c r="A4569" s="1">
        <v>2841</v>
      </c>
      <c r="B4569" s="17" t="s">
        <v>19039</v>
      </c>
      <c r="C4569" s="2" t="s">
        <v>5300</v>
      </c>
      <c r="D4569" s="15" t="s">
        <v>1024</v>
      </c>
      <c r="E4569" s="9" t="s">
        <v>5301</v>
      </c>
      <c r="F4569" s="9" t="s">
        <v>2128</v>
      </c>
      <c r="G4569" s="9" t="s">
        <v>370</v>
      </c>
      <c r="H4569" s="2" t="s">
        <v>60</v>
      </c>
      <c r="I4569" s="3">
        <v>37509</v>
      </c>
      <c r="J4569" s="9" t="str">
        <f t="shared" ca="1" si="80"/>
        <v>20 ans</v>
      </c>
      <c r="K4569" s="2" t="s">
        <v>262</v>
      </c>
      <c r="L4569" s="2" t="str">
        <f>"17200"</f>
        <v>17200</v>
      </c>
      <c r="M4569" s="2" t="str">
        <f>"3"</f>
        <v>3</v>
      </c>
      <c r="N4569" s="2" t="str">
        <f>"RUE YVES THÉRIAULT"</f>
        <v>RUE YVES THÉRIAULT</v>
      </c>
      <c r="O4569" s="2" t="s">
        <v>18155</v>
      </c>
      <c r="P4569" s="9" t="str">
        <f>VLOOKUP($O4569,'Liste des Villes'!$B$2:$B$1128,1,FALSE)</f>
        <v>Blainville</v>
      </c>
      <c r="Q4569" s="9" t="str">
        <f>IFERROR($P4569,PROPER(VLOOKUP($O4569,'Villes en erreur'!$A$2:$B$72,2,FALSE)))</f>
        <v>Blainville</v>
      </c>
      <c r="R4569" s="9" t="s">
        <v>18156</v>
      </c>
      <c r="S4569" s="9" t="str">
        <f>IF(ISBLANK($R4569),"",VLOOKUP($R4569,'Liste des Villes'!$B$2:$H$1128,4,FALSE))</f>
        <v>Laurentides</v>
      </c>
      <c r="T4569" s="2" t="s">
        <v>19040</v>
      </c>
      <c r="U4569" s="2" t="s">
        <v>39</v>
      </c>
      <c r="V4569" s="2" t="s">
        <v>40</v>
      </c>
      <c r="W4569" s="2" t="s">
        <v>19041</v>
      </c>
      <c r="X4569" s="2" t="str">
        <f>"5798882440"</f>
        <v>5798882440</v>
      </c>
      <c r="Y4569" s="2" t="str">
        <f>"4389392784"</f>
        <v>4389392784</v>
      </c>
      <c r="Z4569" s="2"/>
      <c r="AA4569" s="2" t="s">
        <v>456</v>
      </c>
      <c r="AB4569" s="2" t="s">
        <v>457</v>
      </c>
      <c r="AC4569" s="4" t="s">
        <v>44</v>
      </c>
    </row>
    <row r="4570" spans="1:29" x14ac:dyDescent="0.25">
      <c r="A4570" s="1">
        <v>4332</v>
      </c>
      <c r="B4570" s="17" t="s">
        <v>19042</v>
      </c>
      <c r="C4570" s="2" t="s">
        <v>4091</v>
      </c>
      <c r="D4570" s="15" t="s">
        <v>4050</v>
      </c>
      <c r="E4570" s="9" t="s">
        <v>4092</v>
      </c>
      <c r="F4570" s="9" t="s">
        <v>5026</v>
      </c>
      <c r="G4570" s="9" t="s">
        <v>2355</v>
      </c>
      <c r="H4570" s="2" t="s">
        <v>60</v>
      </c>
      <c r="I4570" s="3">
        <v>37464</v>
      </c>
      <c r="J4570" s="9" t="str">
        <f t="shared" ca="1" si="80"/>
        <v>21 ans</v>
      </c>
      <c r="K4570" s="2" t="s">
        <v>262</v>
      </c>
      <c r="L4570" s="2" t="str">
        <f>"14030"</f>
        <v>14030</v>
      </c>
      <c r="M4570" s="2" t="str">
        <f>"101"</f>
        <v>101</v>
      </c>
      <c r="N4570" s="2" t="str">
        <f>"RUE SCHULZ"</f>
        <v>RUE SCHULZ</v>
      </c>
      <c r="O4570" s="2" t="s">
        <v>18155</v>
      </c>
      <c r="P4570" s="9" t="str">
        <f>VLOOKUP($O4570,'Liste des Villes'!$B$2:$B$1128,1,FALSE)</f>
        <v>Blainville</v>
      </c>
      <c r="Q4570" s="9" t="str">
        <f>IFERROR($P4570,PROPER(VLOOKUP($O4570,'Villes en erreur'!$A$2:$B$72,2,FALSE)))</f>
        <v>Blainville</v>
      </c>
      <c r="R4570" s="9" t="s">
        <v>18156</v>
      </c>
      <c r="S4570" s="9" t="str">
        <f>IF(ISBLANK($R4570),"",VLOOKUP($R4570,'Liste des Villes'!$B$2:$H$1128,4,FALSE))</f>
        <v>Laurentides</v>
      </c>
      <c r="T4570" s="2" t="s">
        <v>19043</v>
      </c>
      <c r="U4570" s="2" t="s">
        <v>39</v>
      </c>
      <c r="V4570" s="2" t="s">
        <v>40</v>
      </c>
      <c r="W4570" s="2" t="s">
        <v>19044</v>
      </c>
      <c r="X4570" s="2" t="str">
        <f>"5146867547"</f>
        <v>5146867547</v>
      </c>
      <c r="Y4570" s="2" t="str">
        <f>"4504780232"</f>
        <v>4504780232</v>
      </c>
      <c r="Z4570" s="2"/>
      <c r="AA4570" s="2" t="s">
        <v>456</v>
      </c>
      <c r="AB4570" s="2" t="s">
        <v>457</v>
      </c>
      <c r="AC4570" s="4" t="s">
        <v>44</v>
      </c>
    </row>
    <row r="4571" spans="1:29" x14ac:dyDescent="0.25">
      <c r="A4571" s="1">
        <v>407</v>
      </c>
      <c r="B4571" s="17" t="s">
        <v>19045</v>
      </c>
      <c r="C4571" s="2" t="s">
        <v>1103</v>
      </c>
      <c r="D4571" s="15" t="s">
        <v>1104</v>
      </c>
      <c r="E4571" s="9" t="s">
        <v>277</v>
      </c>
      <c r="F4571" s="9" t="s">
        <v>8564</v>
      </c>
      <c r="G4571" s="9" t="s">
        <v>6328</v>
      </c>
      <c r="H4571" s="2" t="s">
        <v>60</v>
      </c>
      <c r="I4571" s="3">
        <v>37493</v>
      </c>
      <c r="J4571" s="9" t="str">
        <f t="shared" ca="1" si="80"/>
        <v>20 ans</v>
      </c>
      <c r="K4571" s="2" t="s">
        <v>262</v>
      </c>
      <c r="L4571" s="2" t="str">
        <f>"16080"</f>
        <v>16080</v>
      </c>
      <c r="M4571" s="2" t="str">
        <f>"6"</f>
        <v>6</v>
      </c>
      <c r="N4571" s="2" t="str">
        <f>"RUE VAILLANCOURT"</f>
        <v>RUE VAILLANCOURT</v>
      </c>
      <c r="O4571" s="2" t="s">
        <v>18155</v>
      </c>
      <c r="P4571" s="9" t="str">
        <f>VLOOKUP($O4571,'Liste des Villes'!$B$2:$B$1128,1,FALSE)</f>
        <v>Blainville</v>
      </c>
      <c r="Q4571" s="9" t="str">
        <f>IFERROR($P4571,PROPER(VLOOKUP($O4571,'Villes en erreur'!$A$2:$B$72,2,FALSE)))</f>
        <v>Blainville</v>
      </c>
      <c r="R4571" s="9" t="s">
        <v>18156</v>
      </c>
      <c r="S4571" s="9" t="str">
        <f>IF(ISBLANK($R4571),"",VLOOKUP($R4571,'Liste des Villes'!$B$2:$H$1128,4,FALSE))</f>
        <v>Laurentides</v>
      </c>
      <c r="T4571" s="2" t="s">
        <v>18988</v>
      </c>
      <c r="U4571" s="2" t="s">
        <v>39</v>
      </c>
      <c r="V4571" s="2" t="s">
        <v>40</v>
      </c>
      <c r="W4571" s="2" t="s">
        <v>19046</v>
      </c>
      <c r="X4571" s="2" t="str">
        <f>"5149181610"</f>
        <v>5149181610</v>
      </c>
      <c r="Y4571" s="2" t="str">
        <f>"4504091417"</f>
        <v>4504091417</v>
      </c>
      <c r="Z4571" s="2"/>
      <c r="AA4571" s="2" t="s">
        <v>456</v>
      </c>
      <c r="AB4571" s="2" t="s">
        <v>457</v>
      </c>
      <c r="AC4571" s="4" t="s">
        <v>44</v>
      </c>
    </row>
    <row r="4572" spans="1:29" x14ac:dyDescent="0.25">
      <c r="A4572" s="1">
        <v>1033</v>
      </c>
      <c r="B4572" s="17" t="s">
        <v>19047</v>
      </c>
      <c r="C4572" s="2" t="s">
        <v>19048</v>
      </c>
      <c r="D4572" s="15" t="s">
        <v>18605</v>
      </c>
      <c r="E4572" s="9" t="s">
        <v>5540</v>
      </c>
      <c r="F4572" s="9" t="s">
        <v>18604</v>
      </c>
      <c r="G4572" s="9" t="s">
        <v>2355</v>
      </c>
      <c r="H4572" s="2" t="s">
        <v>60</v>
      </c>
      <c r="I4572" s="3">
        <v>37465</v>
      </c>
      <c r="J4572" s="9" t="str">
        <f t="shared" ca="1" si="80"/>
        <v>21 ans</v>
      </c>
      <c r="K4572" s="2" t="s">
        <v>262</v>
      </c>
      <c r="L4572" s="2" t="str">
        <f>"14050"</f>
        <v>14050</v>
      </c>
      <c r="M4572" s="2" t="str">
        <f>"101"</f>
        <v>101</v>
      </c>
      <c r="N4572" s="2" t="str">
        <f>"rue Schulz"</f>
        <v>rue Schulz</v>
      </c>
      <c r="O4572" s="2" t="s">
        <v>18155</v>
      </c>
      <c r="P4572" s="9" t="str">
        <f>VLOOKUP($O4572,'Liste des Villes'!$B$2:$B$1128,1,FALSE)</f>
        <v>Blainville</v>
      </c>
      <c r="Q4572" s="9" t="str">
        <f>IFERROR($P4572,PROPER(VLOOKUP($O4572,'Villes en erreur'!$A$2:$B$72,2,FALSE)))</f>
        <v>Blainville</v>
      </c>
      <c r="R4572" s="9" t="s">
        <v>18156</v>
      </c>
      <c r="S4572" s="9" t="str">
        <f>IF(ISBLANK($R4572),"",VLOOKUP($R4572,'Liste des Villes'!$B$2:$H$1128,4,FALSE))</f>
        <v>Laurentides</v>
      </c>
      <c r="T4572" s="2" t="s">
        <v>19049</v>
      </c>
      <c r="U4572" s="2" t="s">
        <v>39</v>
      </c>
      <c r="V4572" s="2" t="s">
        <v>40</v>
      </c>
      <c r="W4572" s="2" t="s">
        <v>19050</v>
      </c>
      <c r="X4572" s="2" t="str">
        <f>"5146908296"</f>
        <v>5146908296</v>
      </c>
      <c r="Y4572" s="2" t="str">
        <f>"4504761001"</f>
        <v>4504761001</v>
      </c>
      <c r="Z4572" s="2"/>
      <c r="AA4572" s="2" t="s">
        <v>456</v>
      </c>
      <c r="AB4572" s="2" t="s">
        <v>457</v>
      </c>
      <c r="AC4572" s="4" t="s">
        <v>44</v>
      </c>
    </row>
    <row r="4573" spans="1:29" x14ac:dyDescent="0.25">
      <c r="A4573" s="1">
        <v>2487</v>
      </c>
      <c r="B4573" s="17" t="s">
        <v>19051</v>
      </c>
      <c r="C4573" s="2" t="s">
        <v>19052</v>
      </c>
      <c r="D4573" s="15" t="s">
        <v>6643</v>
      </c>
      <c r="E4573" s="9" t="s">
        <v>380</v>
      </c>
      <c r="F4573" s="9" t="s">
        <v>6642</v>
      </c>
      <c r="G4573" s="9" t="s">
        <v>370</v>
      </c>
      <c r="H4573" s="2" t="s">
        <v>60</v>
      </c>
      <c r="I4573" s="3">
        <v>37517</v>
      </c>
      <c r="J4573" s="9" t="str">
        <f t="shared" ca="1" si="80"/>
        <v>20 ans</v>
      </c>
      <c r="K4573" s="2" t="s">
        <v>262</v>
      </c>
      <c r="L4573" s="2" t="str">
        <f>"17815"</f>
        <v>17815</v>
      </c>
      <c r="M4573" s="2" t="str">
        <f>"02"</f>
        <v>02</v>
      </c>
      <c r="N4573" s="2" t="str">
        <f>"SAINT-JEAN BLVD"</f>
        <v>SAINT-JEAN BLVD</v>
      </c>
      <c r="O4573" s="2" t="s">
        <v>18155</v>
      </c>
      <c r="P4573" s="9" t="str">
        <f>VLOOKUP($O4573,'Liste des Villes'!$B$2:$B$1128,1,FALSE)</f>
        <v>Blainville</v>
      </c>
      <c r="Q4573" s="9" t="str">
        <f>IFERROR($P4573,PROPER(VLOOKUP($O4573,'Villes en erreur'!$A$2:$B$72,2,FALSE)))</f>
        <v>Blainville</v>
      </c>
      <c r="R4573" s="9" t="s">
        <v>18156</v>
      </c>
      <c r="S4573" s="9" t="str">
        <f>IF(ISBLANK($R4573),"",VLOOKUP($R4573,'Liste des Villes'!$B$2:$H$1128,4,FALSE))</f>
        <v>Laurentides</v>
      </c>
      <c r="T4573" s="2" t="s">
        <v>19053</v>
      </c>
      <c r="U4573" s="2" t="s">
        <v>39</v>
      </c>
      <c r="V4573" s="2" t="s">
        <v>40</v>
      </c>
      <c r="W4573" s="2" t="s">
        <v>19054</v>
      </c>
      <c r="X4573" s="2" t="str">
        <f>"8193232123"</f>
        <v>8193232123</v>
      </c>
      <c r="Y4573" s="2" t="str">
        <f>"4388319844"</f>
        <v>4388319844</v>
      </c>
      <c r="Z4573" s="2"/>
      <c r="AA4573" s="2" t="s">
        <v>456</v>
      </c>
      <c r="AB4573" s="2" t="s">
        <v>457</v>
      </c>
      <c r="AC4573" s="4" t="s">
        <v>44</v>
      </c>
    </row>
    <row r="4574" spans="1:29" x14ac:dyDescent="0.25">
      <c r="A4574" s="1">
        <v>4186</v>
      </c>
      <c r="B4574" s="17" t="s">
        <v>19055</v>
      </c>
      <c r="C4574" s="2" t="s">
        <v>3900</v>
      </c>
      <c r="D4574" s="15" t="s">
        <v>1489</v>
      </c>
      <c r="E4574" s="9" t="s">
        <v>3531</v>
      </c>
      <c r="F4574" s="9" t="s">
        <v>1175</v>
      </c>
      <c r="G4574" s="9" t="s">
        <v>13075</v>
      </c>
      <c r="H4574" s="2" t="s">
        <v>35</v>
      </c>
      <c r="I4574" s="3">
        <v>37459</v>
      </c>
      <c r="J4574" s="9" t="str">
        <f t="shared" ca="1" si="80"/>
        <v>21 ans</v>
      </c>
      <c r="K4574" s="2" t="s">
        <v>262</v>
      </c>
      <c r="L4574" s="2" t="str">
        <f>"13915"</f>
        <v>13915</v>
      </c>
      <c r="M4574" s="2" t="str">
        <f>"102"</f>
        <v>102</v>
      </c>
      <c r="N4574" s="2" t="str">
        <f>"RUE SANTA"</f>
        <v>RUE SANTA</v>
      </c>
      <c r="O4574" s="2" t="s">
        <v>18155</v>
      </c>
      <c r="P4574" s="9" t="str">
        <f>VLOOKUP($O4574,'Liste des Villes'!$B$2:$B$1128,1,FALSE)</f>
        <v>Blainville</v>
      </c>
      <c r="Q4574" s="9" t="str">
        <f>IFERROR($P4574,PROPER(VLOOKUP($O4574,'Villes en erreur'!$A$2:$B$72,2,FALSE)))</f>
        <v>Blainville</v>
      </c>
      <c r="R4574" s="9" t="s">
        <v>18156</v>
      </c>
      <c r="S4574" s="9" t="str">
        <f>IF(ISBLANK($R4574),"",VLOOKUP($R4574,'Liste des Villes'!$B$2:$H$1128,4,FALSE))</f>
        <v>Laurentides</v>
      </c>
      <c r="T4574" s="2" t="s">
        <v>19056</v>
      </c>
      <c r="U4574" s="2" t="s">
        <v>39</v>
      </c>
      <c r="V4574" s="2" t="s">
        <v>40</v>
      </c>
      <c r="W4574" s="2" t="s">
        <v>19057</v>
      </c>
      <c r="X4574" s="2" t="str">
        <f>"5146320691"</f>
        <v>5146320691</v>
      </c>
      <c r="Y4574" s="2" t="str">
        <f>"4505122541"</f>
        <v>4505122541</v>
      </c>
      <c r="Z4574" s="2"/>
      <c r="AA4574" s="2" t="s">
        <v>456</v>
      </c>
      <c r="AB4574" s="2" t="s">
        <v>457</v>
      </c>
      <c r="AC4574" s="4" t="s">
        <v>44</v>
      </c>
    </row>
    <row r="4575" spans="1:29" x14ac:dyDescent="0.25">
      <c r="A4575" s="1">
        <v>573</v>
      </c>
      <c r="B4575" s="17" t="s">
        <v>19058</v>
      </c>
      <c r="C4575" s="2" t="s">
        <v>1103</v>
      </c>
      <c r="D4575" s="15" t="s">
        <v>1104</v>
      </c>
      <c r="E4575" s="9" t="s">
        <v>277</v>
      </c>
      <c r="F4575" s="9" t="s">
        <v>9560</v>
      </c>
      <c r="G4575" s="9" t="s">
        <v>503</v>
      </c>
      <c r="H4575" s="2" t="s">
        <v>35</v>
      </c>
      <c r="I4575" s="3">
        <v>37519</v>
      </c>
      <c r="J4575" s="9" t="str">
        <f t="shared" ca="1" si="80"/>
        <v>20 ans</v>
      </c>
      <c r="K4575" s="2" t="s">
        <v>262</v>
      </c>
      <c r="L4575" s="2" t="str">
        <f>"18125"</f>
        <v>18125</v>
      </c>
      <c r="M4575" s="2" t="str">
        <f>"2"</f>
        <v>2</v>
      </c>
      <c r="N4575" s="2" t="str">
        <f>"ST-ANTOINE"</f>
        <v>ST-ANTOINE</v>
      </c>
      <c r="O4575" s="2" t="s">
        <v>18155</v>
      </c>
      <c r="P4575" s="9" t="str">
        <f>VLOOKUP($O4575,'Liste des Villes'!$B$2:$B$1128,1,FALSE)</f>
        <v>Blainville</v>
      </c>
      <c r="Q4575" s="9" t="str">
        <f>IFERROR($P4575,PROPER(VLOOKUP($O4575,'Villes en erreur'!$A$2:$B$72,2,FALSE)))</f>
        <v>Blainville</v>
      </c>
      <c r="R4575" s="9" t="s">
        <v>18156</v>
      </c>
      <c r="S4575" s="9" t="str">
        <f>IF(ISBLANK($R4575),"",VLOOKUP($R4575,'Liste des Villes'!$B$2:$H$1128,4,FALSE))</f>
        <v>Laurentides</v>
      </c>
      <c r="T4575" s="2" t="s">
        <v>18899</v>
      </c>
      <c r="U4575" s="2" t="s">
        <v>39</v>
      </c>
      <c r="V4575" s="2" t="s">
        <v>40</v>
      </c>
      <c r="W4575" s="2" t="s">
        <v>19059</v>
      </c>
      <c r="X4575" s="2" t="str">
        <f>"8193252220"</f>
        <v>8193252220</v>
      </c>
      <c r="Y4575" s="2" t="str">
        <f>"4388204326"</f>
        <v>4388204326</v>
      </c>
      <c r="Z4575" s="2"/>
      <c r="AA4575" s="2" t="s">
        <v>456</v>
      </c>
      <c r="AB4575" s="2" t="s">
        <v>457</v>
      </c>
      <c r="AC4575" s="4" t="s">
        <v>44</v>
      </c>
    </row>
    <row r="4576" spans="1:29" x14ac:dyDescent="0.25">
      <c r="A4576" s="1">
        <v>1566</v>
      </c>
      <c r="B4576" s="17" t="s">
        <v>19060</v>
      </c>
      <c r="C4576" s="2" t="s">
        <v>19061</v>
      </c>
      <c r="D4576" s="15" t="s">
        <v>12722</v>
      </c>
      <c r="E4576" s="9" t="s">
        <v>14549</v>
      </c>
      <c r="F4576" s="9" t="s">
        <v>12721</v>
      </c>
      <c r="G4576" s="9" t="s">
        <v>341</v>
      </c>
      <c r="H4576" s="2" t="s">
        <v>60</v>
      </c>
      <c r="I4576" s="3">
        <v>37446</v>
      </c>
      <c r="J4576" s="9" t="str">
        <f t="shared" ca="1" si="80"/>
        <v>21 ans</v>
      </c>
      <c r="K4576" s="2" t="s">
        <v>262</v>
      </c>
      <c r="L4576" s="2" t="str">
        <f>"13645"</f>
        <v>13645</v>
      </c>
      <c r="M4576" s="2" t="str">
        <f>"203"</f>
        <v>203</v>
      </c>
      <c r="N4576" s="2" t="str">
        <f>"RUE SAINT-GERMAIN"</f>
        <v>RUE SAINT-GERMAIN</v>
      </c>
      <c r="O4576" s="2" t="s">
        <v>18155</v>
      </c>
      <c r="P4576" s="9" t="str">
        <f>VLOOKUP($O4576,'Liste des Villes'!$B$2:$B$1128,1,FALSE)</f>
        <v>Blainville</v>
      </c>
      <c r="Q4576" s="9" t="str">
        <f>IFERROR($P4576,PROPER(VLOOKUP($O4576,'Villes en erreur'!$A$2:$B$72,2,FALSE)))</f>
        <v>Blainville</v>
      </c>
      <c r="R4576" s="9" t="s">
        <v>18156</v>
      </c>
      <c r="S4576" s="9" t="str">
        <f>IF(ISBLANK($R4576),"",VLOOKUP($R4576,'Liste des Villes'!$B$2:$H$1128,4,FALSE))</f>
        <v>Laurentides</v>
      </c>
      <c r="T4576" s="2" t="s">
        <v>19062</v>
      </c>
      <c r="U4576" s="2" t="s">
        <v>39</v>
      </c>
      <c r="V4576" s="2" t="s">
        <v>40</v>
      </c>
      <c r="W4576" s="2" t="s">
        <v>19063</v>
      </c>
      <c r="X4576" s="2" t="str">
        <f>"5145578301"</f>
        <v>5145578301</v>
      </c>
      <c r="Y4576" s="2" t="str">
        <f>"4505533779"</f>
        <v>4505533779</v>
      </c>
      <c r="Z4576" s="2"/>
      <c r="AA4576" s="2" t="s">
        <v>456</v>
      </c>
      <c r="AB4576" s="2" t="s">
        <v>457</v>
      </c>
      <c r="AC4576" s="4" t="s">
        <v>44</v>
      </c>
    </row>
    <row r="4577" spans="1:29" x14ac:dyDescent="0.25">
      <c r="A4577" s="1">
        <v>4308</v>
      </c>
      <c r="B4577" s="17" t="s">
        <v>19064</v>
      </c>
      <c r="C4577" s="2" t="s">
        <v>19065</v>
      </c>
      <c r="D4577" s="15" t="s">
        <v>3450</v>
      </c>
      <c r="E4577" s="9" t="s">
        <v>19008</v>
      </c>
      <c r="F4577" s="9" t="s">
        <v>961</v>
      </c>
      <c r="G4577" s="9" t="s">
        <v>781</v>
      </c>
      <c r="H4577" s="2" t="s">
        <v>60</v>
      </c>
      <c r="I4577" s="3">
        <v>37438</v>
      </c>
      <c r="J4577" s="9" t="str">
        <f t="shared" ca="1" si="80"/>
        <v>21 ans</v>
      </c>
      <c r="K4577" s="2" t="s">
        <v>262</v>
      </c>
      <c r="L4577" s="2" t="str">
        <f>"13390"</f>
        <v>13390</v>
      </c>
      <c r="M4577" s="2" t="str">
        <f>"401"</f>
        <v>401</v>
      </c>
      <c r="N4577" s="2" t="str">
        <f>"RUE SAINT JANVIER"</f>
        <v>RUE SAINT JANVIER</v>
      </c>
      <c r="O4577" s="2" t="s">
        <v>18155</v>
      </c>
      <c r="P4577" s="9" t="str">
        <f>VLOOKUP($O4577,'Liste des Villes'!$B$2:$B$1128,1,FALSE)</f>
        <v>Blainville</v>
      </c>
      <c r="Q4577" s="9" t="str">
        <f>IFERROR($P4577,PROPER(VLOOKUP($O4577,'Villes en erreur'!$A$2:$B$72,2,FALSE)))</f>
        <v>Blainville</v>
      </c>
      <c r="R4577" s="9" t="s">
        <v>18156</v>
      </c>
      <c r="S4577" s="9" t="str">
        <f>IF(ISBLANK($R4577),"",VLOOKUP($R4577,'Liste des Villes'!$B$2:$H$1128,4,FALSE))</f>
        <v>Laurentides</v>
      </c>
      <c r="T4577" s="2" t="s">
        <v>19066</v>
      </c>
      <c r="U4577" s="2" t="s">
        <v>39</v>
      </c>
      <c r="V4577" s="2" t="s">
        <v>40</v>
      </c>
      <c r="W4577" s="2" t="s">
        <v>19067</v>
      </c>
      <c r="X4577" s="2" t="str">
        <f>"5143488704"</f>
        <v>5143488704</v>
      </c>
      <c r="Y4577" s="2" t="str">
        <f>"4506020625"</f>
        <v>4506020625</v>
      </c>
      <c r="Z4577" s="2"/>
      <c r="AA4577" s="2" t="s">
        <v>456</v>
      </c>
      <c r="AB4577" s="2" t="s">
        <v>457</v>
      </c>
      <c r="AC4577" s="4" t="s">
        <v>44</v>
      </c>
    </row>
    <row r="4578" spans="1:29" x14ac:dyDescent="0.25">
      <c r="A4578" s="1">
        <v>1101</v>
      </c>
      <c r="B4578" s="17" t="s">
        <v>19068</v>
      </c>
      <c r="C4578" s="2" t="s">
        <v>19069</v>
      </c>
      <c r="D4578" s="15" t="s">
        <v>15939</v>
      </c>
      <c r="E4578" s="9" t="s">
        <v>3404</v>
      </c>
      <c r="F4578" s="9" t="s">
        <v>1701</v>
      </c>
      <c r="G4578" s="9" t="s">
        <v>2404</v>
      </c>
      <c r="H4578" s="2" t="s">
        <v>35</v>
      </c>
      <c r="I4578" s="3">
        <v>37485</v>
      </c>
      <c r="J4578" s="9" t="str">
        <f t="shared" ca="1" si="80"/>
        <v>21 ans</v>
      </c>
      <c r="K4578" s="2" t="s">
        <v>262</v>
      </c>
      <c r="L4578" s="2" t="str">
        <f>"14910"</f>
        <v>14910</v>
      </c>
      <c r="M4578" s="2" t="str">
        <f>"7"</f>
        <v>7</v>
      </c>
      <c r="N4578" s="2" t="str">
        <f>"RUE TOE-BLAKE"</f>
        <v>RUE TOE-BLAKE</v>
      </c>
      <c r="O4578" s="2" t="s">
        <v>18155</v>
      </c>
      <c r="P4578" s="9" t="str">
        <f>VLOOKUP($O4578,'Liste des Villes'!$B$2:$B$1128,1,FALSE)</f>
        <v>Blainville</v>
      </c>
      <c r="Q4578" s="9" t="str">
        <f>IFERROR($P4578,PROPER(VLOOKUP($O4578,'Villes en erreur'!$A$2:$B$72,2,FALSE)))</f>
        <v>Blainville</v>
      </c>
      <c r="R4578" s="9" t="s">
        <v>18156</v>
      </c>
      <c r="S4578" s="9" t="str">
        <f>IF(ISBLANK($R4578),"",VLOOKUP($R4578,'Liste des Villes'!$B$2:$H$1128,4,FALSE))</f>
        <v>Laurentides</v>
      </c>
      <c r="T4578" s="2" t="s">
        <v>19070</v>
      </c>
      <c r="U4578" s="2" t="s">
        <v>39</v>
      </c>
      <c r="V4578" s="2" t="s">
        <v>40</v>
      </c>
      <c r="W4578" s="2" t="s">
        <v>19071</v>
      </c>
      <c r="X4578" s="2" t="str">
        <f>"5148276460"</f>
        <v>5148276460</v>
      </c>
      <c r="Y4578" s="2" t="str">
        <f>"4504324876"</f>
        <v>4504324876</v>
      </c>
      <c r="Z4578" s="2"/>
      <c r="AA4578" s="2" t="s">
        <v>456</v>
      </c>
      <c r="AB4578" s="2" t="s">
        <v>457</v>
      </c>
      <c r="AC4578" s="4" t="s">
        <v>44</v>
      </c>
    </row>
    <row r="4579" spans="1:29" x14ac:dyDescent="0.25">
      <c r="A4579" s="1">
        <v>2831</v>
      </c>
      <c r="B4579" s="17" t="s">
        <v>19072</v>
      </c>
      <c r="C4579" s="2" t="s">
        <v>7063</v>
      </c>
      <c r="D4579" s="15" t="s">
        <v>419</v>
      </c>
      <c r="E4579" s="9" t="s">
        <v>1447</v>
      </c>
      <c r="F4579" s="9" t="s">
        <v>417</v>
      </c>
      <c r="G4579" s="9" t="s">
        <v>17404</v>
      </c>
      <c r="H4579" s="2" t="s">
        <v>60</v>
      </c>
      <c r="I4579" s="3">
        <v>37437</v>
      </c>
      <c r="J4579" s="9" t="str">
        <f t="shared" ca="1" si="80"/>
        <v>21 ans</v>
      </c>
      <c r="K4579" s="2" t="s">
        <v>262</v>
      </c>
      <c r="L4579" s="2" t="str">
        <f>"13364"</f>
        <v>13364</v>
      </c>
      <c r="M4579" s="2" t="str">
        <f>"401"</f>
        <v>401</v>
      </c>
      <c r="N4579" s="2" t="str">
        <f>"RUE SAINT CHRISTOPHE"</f>
        <v>RUE SAINT CHRISTOPHE</v>
      </c>
      <c r="O4579" s="2" t="s">
        <v>18155</v>
      </c>
      <c r="P4579" s="9" t="str">
        <f>VLOOKUP($O4579,'Liste des Villes'!$B$2:$B$1128,1,FALSE)</f>
        <v>Blainville</v>
      </c>
      <c r="Q4579" s="9" t="str">
        <f>IFERROR($P4579,PROPER(VLOOKUP($O4579,'Villes en erreur'!$A$2:$B$72,2,FALSE)))</f>
        <v>Blainville</v>
      </c>
      <c r="R4579" s="9" t="s">
        <v>18156</v>
      </c>
      <c r="S4579" s="9" t="str">
        <f>IF(ISBLANK($R4579),"",VLOOKUP($R4579,'Liste des Villes'!$B$2:$H$1128,4,FALSE))</f>
        <v>Laurentides</v>
      </c>
      <c r="T4579" s="2" t="s">
        <v>18877</v>
      </c>
      <c r="U4579" s="2" t="s">
        <v>39</v>
      </c>
      <c r="V4579" s="2" t="s">
        <v>40</v>
      </c>
      <c r="W4579" s="2" t="s">
        <v>19073</v>
      </c>
      <c r="X4579" s="2" t="str">
        <f>"5142956697"</f>
        <v>5142956697</v>
      </c>
      <c r="Y4579" s="2" t="str">
        <f>"4506026854"</f>
        <v>4506026854</v>
      </c>
      <c r="Z4579" s="2"/>
      <c r="AA4579" s="2" t="s">
        <v>456</v>
      </c>
      <c r="AB4579" s="2" t="s">
        <v>457</v>
      </c>
      <c r="AC4579" s="4" t="s">
        <v>44</v>
      </c>
    </row>
    <row r="4580" spans="1:29" x14ac:dyDescent="0.25">
      <c r="A4580" s="1">
        <v>3495</v>
      </c>
      <c r="B4580" s="17" t="s">
        <v>19074</v>
      </c>
      <c r="C4580" s="2" t="s">
        <v>3615</v>
      </c>
      <c r="D4580" s="15" t="s">
        <v>363</v>
      </c>
      <c r="E4580" s="9" t="s">
        <v>3616</v>
      </c>
      <c r="F4580" s="9" t="s">
        <v>3617</v>
      </c>
      <c r="G4580" s="9" t="s">
        <v>2404</v>
      </c>
      <c r="H4580" s="2" t="s">
        <v>35</v>
      </c>
      <c r="I4580" s="3">
        <v>37481</v>
      </c>
      <c r="J4580" s="9" t="str">
        <f t="shared" ca="1" si="80"/>
        <v>21 ans</v>
      </c>
      <c r="K4580" s="2" t="s">
        <v>262</v>
      </c>
      <c r="L4580" s="2" t="str">
        <f>"14557"</f>
        <v>14557</v>
      </c>
      <c r="M4580" s="2" t="str">
        <f>"9"</f>
        <v>9</v>
      </c>
      <c r="N4580" s="2" t="str">
        <f>"RUE THÉRESE"</f>
        <v>RUE THÉRESE</v>
      </c>
      <c r="O4580" s="2" t="s">
        <v>18155</v>
      </c>
      <c r="P4580" s="9" t="str">
        <f>VLOOKUP($O4580,'Liste des Villes'!$B$2:$B$1128,1,FALSE)</f>
        <v>Blainville</v>
      </c>
      <c r="Q4580" s="9" t="str">
        <f>IFERROR($P4580,PROPER(VLOOKUP($O4580,'Villes en erreur'!$A$2:$B$72,2,FALSE)))</f>
        <v>Blainville</v>
      </c>
      <c r="R4580" s="9" t="s">
        <v>18156</v>
      </c>
      <c r="S4580" s="9" t="str">
        <f>IF(ISBLANK($R4580),"",VLOOKUP($R4580,'Liste des Villes'!$B$2:$H$1128,4,FALSE))</f>
        <v>Laurentides</v>
      </c>
      <c r="T4580" s="2" t="s">
        <v>18951</v>
      </c>
      <c r="U4580" s="2" t="s">
        <v>39</v>
      </c>
      <c r="V4580" s="2" t="s">
        <v>40</v>
      </c>
      <c r="W4580" s="2" t="s">
        <v>19075</v>
      </c>
      <c r="X4580" s="2" t="str">
        <f>"5147967224"</f>
        <v>5147967224</v>
      </c>
      <c r="Y4580" s="2" t="str">
        <f>"4504343421"</f>
        <v>4504343421</v>
      </c>
      <c r="Z4580" s="2"/>
      <c r="AA4580" s="2" t="s">
        <v>456</v>
      </c>
      <c r="AB4580" s="2" t="s">
        <v>457</v>
      </c>
      <c r="AC4580" s="4" t="s">
        <v>44</v>
      </c>
    </row>
    <row r="4581" spans="1:29" x14ac:dyDescent="0.25">
      <c r="A4581" s="1">
        <v>1255</v>
      </c>
      <c r="B4581" s="17" t="s">
        <v>19076</v>
      </c>
      <c r="C4581" s="2" t="s">
        <v>19077</v>
      </c>
      <c r="D4581" s="15" t="s">
        <v>1301</v>
      </c>
      <c r="E4581" s="9" t="s">
        <v>15079</v>
      </c>
      <c r="F4581" s="9" t="s">
        <v>1303</v>
      </c>
      <c r="G4581" s="9" t="s">
        <v>341</v>
      </c>
      <c r="H4581" s="2" t="s">
        <v>60</v>
      </c>
      <c r="I4581" s="3">
        <v>37454</v>
      </c>
      <c r="J4581" s="9" t="str">
        <f t="shared" ca="1" si="80"/>
        <v>21 ans</v>
      </c>
      <c r="K4581" s="2" t="s">
        <v>262</v>
      </c>
      <c r="L4581" s="2" t="str">
        <f>"13805"</f>
        <v>13805</v>
      </c>
      <c r="M4581" s="2" t="str">
        <f>"107"</f>
        <v>107</v>
      </c>
      <c r="N4581" s="2" t="str">
        <f>"RUE SAINT-MICHEL"</f>
        <v>RUE SAINT-MICHEL</v>
      </c>
      <c r="O4581" s="2" t="s">
        <v>18155</v>
      </c>
      <c r="P4581" s="9" t="str">
        <f>VLOOKUP($O4581,'Liste des Villes'!$B$2:$B$1128,1,FALSE)</f>
        <v>Blainville</v>
      </c>
      <c r="Q4581" s="9" t="str">
        <f>IFERROR($P4581,PROPER(VLOOKUP($O4581,'Villes en erreur'!$A$2:$B$72,2,FALSE)))</f>
        <v>Blainville</v>
      </c>
      <c r="R4581" s="9" t="s">
        <v>18156</v>
      </c>
      <c r="S4581" s="9" t="str">
        <f>IF(ISBLANK($R4581),"",VLOOKUP($R4581,'Liste des Villes'!$B$2:$H$1128,4,FALSE))</f>
        <v>Laurentides</v>
      </c>
      <c r="T4581" s="2" t="s">
        <v>18895</v>
      </c>
      <c r="U4581" s="2" t="s">
        <v>39</v>
      </c>
      <c r="V4581" s="2" t="s">
        <v>40</v>
      </c>
      <c r="W4581" s="2" t="s">
        <v>19078</v>
      </c>
      <c r="X4581" s="2" t="str">
        <f>"5146090308"</f>
        <v>5146090308</v>
      </c>
      <c r="Y4581" s="2" t="str">
        <f>"4505162400"</f>
        <v>4505162400</v>
      </c>
      <c r="Z4581" s="2"/>
      <c r="AA4581" s="2" t="s">
        <v>456</v>
      </c>
      <c r="AB4581" s="2" t="s">
        <v>457</v>
      </c>
      <c r="AC4581" s="4" t="s">
        <v>44</v>
      </c>
    </row>
    <row r="4582" spans="1:29" x14ac:dyDescent="0.25">
      <c r="A4582" s="1">
        <v>3337</v>
      </c>
      <c r="B4582" s="17" t="s">
        <v>19079</v>
      </c>
      <c r="C4582" s="2" t="s">
        <v>16439</v>
      </c>
      <c r="D4582" s="15" t="s">
        <v>5758</v>
      </c>
      <c r="E4582" s="9" t="s">
        <v>253</v>
      </c>
      <c r="F4582" s="9" t="s">
        <v>7799</v>
      </c>
      <c r="G4582" s="9" t="s">
        <v>370</v>
      </c>
      <c r="H4582" s="2" t="s">
        <v>60</v>
      </c>
      <c r="I4582" s="3">
        <v>37508</v>
      </c>
      <c r="J4582" s="9" t="str">
        <f t="shared" ca="1" si="80"/>
        <v>20 ans</v>
      </c>
      <c r="K4582" s="2" t="s">
        <v>262</v>
      </c>
      <c r="L4582" s="2" t="str">
        <f>"17035"</f>
        <v>17035</v>
      </c>
      <c r="M4582" s="2" t="str">
        <f>"3"</f>
        <v>3</v>
      </c>
      <c r="N4582" s="2" t="str">
        <f>"RUE YVES"</f>
        <v>RUE YVES</v>
      </c>
      <c r="O4582" s="2" t="s">
        <v>18155</v>
      </c>
      <c r="P4582" s="9" t="str">
        <f>VLOOKUP($O4582,'Liste des Villes'!$B$2:$B$1128,1,FALSE)</f>
        <v>Blainville</v>
      </c>
      <c r="Q4582" s="9" t="str">
        <f>IFERROR($P4582,PROPER(VLOOKUP($O4582,'Villes en erreur'!$A$2:$B$72,2,FALSE)))</f>
        <v>Blainville</v>
      </c>
      <c r="R4582" s="9" t="s">
        <v>18156</v>
      </c>
      <c r="S4582" s="9" t="str">
        <f>IF(ISBLANK($R4582),"",VLOOKUP($R4582,'Liste des Villes'!$B$2:$H$1128,4,FALSE))</f>
        <v>Laurentides</v>
      </c>
      <c r="T4582" s="2" t="s">
        <v>19080</v>
      </c>
      <c r="U4582" s="2" t="s">
        <v>39</v>
      </c>
      <c r="V4582" s="2" t="s">
        <v>40</v>
      </c>
      <c r="W4582" s="2" t="s">
        <v>19081</v>
      </c>
      <c r="X4582" s="2" t="str">
        <f>"5797652075"</f>
        <v>5797652075</v>
      </c>
      <c r="Y4582" s="2" t="str">
        <f>"4502150551"</f>
        <v>4502150551</v>
      </c>
      <c r="Z4582" s="2"/>
      <c r="AA4582" s="2" t="s">
        <v>456</v>
      </c>
      <c r="AB4582" s="2" t="s">
        <v>457</v>
      </c>
      <c r="AC4582" s="4" t="s">
        <v>44</v>
      </c>
    </row>
    <row r="4583" spans="1:29" x14ac:dyDescent="0.25">
      <c r="A4583" s="1">
        <v>1554</v>
      </c>
      <c r="B4583" s="17" t="s">
        <v>19082</v>
      </c>
      <c r="C4583" s="2" t="s">
        <v>8030</v>
      </c>
      <c r="D4583" s="15" t="s">
        <v>4330</v>
      </c>
      <c r="E4583" s="9" t="s">
        <v>3485</v>
      </c>
      <c r="F4583" s="9" t="s">
        <v>10854</v>
      </c>
      <c r="G4583" s="9" t="s">
        <v>3451</v>
      </c>
      <c r="H4583" s="2" t="s">
        <v>60</v>
      </c>
      <c r="I4583" s="3">
        <v>37474</v>
      </c>
      <c r="J4583" s="9" t="str">
        <f t="shared" ca="1" si="80"/>
        <v>21 ans</v>
      </c>
      <c r="K4583" s="2" t="s">
        <v>262</v>
      </c>
      <c r="L4583" s="2" t="str">
        <f>"14277"</f>
        <v>14277</v>
      </c>
      <c r="M4583" s="2" t="str">
        <f>"11"</f>
        <v>11</v>
      </c>
      <c r="N4583" s="2" t="str">
        <f>"RUE STÉPHANIE"</f>
        <v>RUE STÉPHANIE</v>
      </c>
      <c r="O4583" s="2" t="s">
        <v>18155</v>
      </c>
      <c r="P4583" s="9" t="str">
        <f>VLOOKUP($O4583,'Liste des Villes'!$B$2:$B$1128,1,FALSE)</f>
        <v>Blainville</v>
      </c>
      <c r="Q4583" s="9" t="str">
        <f>IFERROR($P4583,PROPER(VLOOKUP($O4583,'Villes en erreur'!$A$2:$B$72,2,FALSE)))</f>
        <v>Blainville</v>
      </c>
      <c r="R4583" s="9" t="s">
        <v>18156</v>
      </c>
      <c r="S4583" s="9" t="str">
        <f>IF(ISBLANK($R4583),"",VLOOKUP($R4583,'Liste des Villes'!$B$2:$H$1128,4,FALSE))</f>
        <v>Laurentides</v>
      </c>
      <c r="T4583" s="2" t="s">
        <v>19083</v>
      </c>
      <c r="U4583" s="2" t="s">
        <v>39</v>
      </c>
      <c r="V4583" s="2" t="s">
        <v>40</v>
      </c>
      <c r="W4583" s="2" t="s">
        <v>19084</v>
      </c>
      <c r="X4583" s="2" t="str">
        <f>"5147718232"</f>
        <v>5147718232</v>
      </c>
      <c r="Y4583" s="2" t="str">
        <f>"4504365966"</f>
        <v>4504365966</v>
      </c>
      <c r="Z4583" s="2"/>
      <c r="AA4583" s="2" t="s">
        <v>456</v>
      </c>
      <c r="AB4583" s="2" t="s">
        <v>457</v>
      </c>
      <c r="AC4583" s="4" t="s">
        <v>44</v>
      </c>
    </row>
    <row r="4584" spans="1:29" x14ac:dyDescent="0.25">
      <c r="A4584" s="1">
        <v>3963</v>
      </c>
      <c r="B4584" s="17" t="s">
        <v>19085</v>
      </c>
      <c r="C4584" s="2" t="s">
        <v>19086</v>
      </c>
      <c r="D4584" s="15" t="s">
        <v>1479</v>
      </c>
      <c r="E4584" s="9" t="s">
        <v>9290</v>
      </c>
      <c r="F4584" s="9" t="s">
        <v>1477</v>
      </c>
      <c r="G4584" s="9" t="s">
        <v>781</v>
      </c>
      <c r="H4584" s="2" t="s">
        <v>60</v>
      </c>
      <c r="I4584" s="3">
        <v>37439</v>
      </c>
      <c r="J4584" s="9" t="str">
        <f t="shared" ca="1" si="80"/>
        <v>21 ans</v>
      </c>
      <c r="K4584" s="2" t="s">
        <v>262</v>
      </c>
      <c r="L4584" s="2" t="str">
        <f>"13415"</f>
        <v>13415</v>
      </c>
      <c r="M4584" s="2" t="str">
        <f>"326"</f>
        <v>326</v>
      </c>
      <c r="N4584" s="2" t="str">
        <f>"RUE SAINT PIERRE EST"</f>
        <v>RUE SAINT PIERRE EST</v>
      </c>
      <c r="O4584" s="2" t="s">
        <v>18155</v>
      </c>
      <c r="P4584" s="9" t="str">
        <f>VLOOKUP($O4584,'Liste des Villes'!$B$2:$B$1128,1,FALSE)</f>
        <v>Blainville</v>
      </c>
      <c r="Q4584" s="9" t="str">
        <f>IFERROR($P4584,PROPER(VLOOKUP($O4584,'Villes en erreur'!$A$2:$B$72,2,FALSE)))</f>
        <v>Blainville</v>
      </c>
      <c r="R4584" s="9" t="s">
        <v>18156</v>
      </c>
      <c r="S4584" s="9" t="str">
        <f>IF(ISBLANK($R4584),"",VLOOKUP($R4584,'Liste des Villes'!$B$2:$H$1128,4,FALSE))</f>
        <v>Laurentides</v>
      </c>
      <c r="T4584" s="2" t="s">
        <v>19087</v>
      </c>
      <c r="U4584" s="2" t="s">
        <v>39</v>
      </c>
      <c r="V4584" s="2" t="s">
        <v>40</v>
      </c>
      <c r="W4584" s="2" t="s">
        <v>19088</v>
      </c>
      <c r="X4584" s="2" t="str">
        <f>"5143490624"</f>
        <v>5143490624</v>
      </c>
      <c r="Y4584" s="2" t="str">
        <f>"4505924113"</f>
        <v>4505924113</v>
      </c>
      <c r="Z4584" s="2"/>
      <c r="AA4584" s="2" t="s">
        <v>456</v>
      </c>
      <c r="AB4584" s="2" t="s">
        <v>457</v>
      </c>
      <c r="AC4584" s="4" t="s">
        <v>44</v>
      </c>
    </row>
    <row r="4585" spans="1:29" x14ac:dyDescent="0.25">
      <c r="A4585" s="1">
        <v>1585</v>
      </c>
      <c r="B4585" s="17" t="s">
        <v>19089</v>
      </c>
      <c r="C4585" s="2" t="s">
        <v>19090</v>
      </c>
      <c r="D4585" s="15" t="s">
        <v>16387</v>
      </c>
      <c r="E4585" s="9" t="s">
        <v>101</v>
      </c>
      <c r="F4585" s="9" t="s">
        <v>2640</v>
      </c>
      <c r="G4585" s="9" t="s">
        <v>370</v>
      </c>
      <c r="H4585" s="2" t="s">
        <v>60</v>
      </c>
      <c r="I4585" s="3">
        <v>37514</v>
      </c>
      <c r="J4585" s="9" t="str">
        <f t="shared" ca="1" si="80"/>
        <v>20 ans</v>
      </c>
      <c r="K4585" s="2" t="s">
        <v>262</v>
      </c>
      <c r="L4585" s="2" t="str">
        <f>"17505"</f>
        <v>17505</v>
      </c>
      <c r="M4585" s="2" t="str">
        <f>"2"</f>
        <v>2</v>
      </c>
      <c r="N4585" s="2" t="str">
        <f>"SAINTE-ANNE BLVD"</f>
        <v>SAINTE-ANNE BLVD</v>
      </c>
      <c r="O4585" s="2" t="s">
        <v>18155</v>
      </c>
      <c r="P4585" s="9" t="str">
        <f>VLOOKUP($O4585,'Liste des Villes'!$B$2:$B$1128,1,FALSE)</f>
        <v>Blainville</v>
      </c>
      <c r="Q4585" s="9" t="str">
        <f>IFERROR($P4585,PROPER(VLOOKUP($O4585,'Villes en erreur'!$A$2:$B$72,2,FALSE)))</f>
        <v>Blainville</v>
      </c>
      <c r="R4585" s="9" t="s">
        <v>18156</v>
      </c>
      <c r="S4585" s="9" t="str">
        <f>IF(ISBLANK($R4585),"",VLOOKUP($R4585,'Liste des Villes'!$B$2:$H$1128,4,FALSE))</f>
        <v>Laurentides</v>
      </c>
      <c r="T4585" s="2" t="s">
        <v>19091</v>
      </c>
      <c r="U4585" s="2" t="s">
        <v>39</v>
      </c>
      <c r="V4585" s="2" t="s">
        <v>40</v>
      </c>
      <c r="W4585" s="2" t="s">
        <v>19092</v>
      </c>
      <c r="X4585" s="2" t="str">
        <f>"5798889273"</f>
        <v>5798889273</v>
      </c>
      <c r="Y4585" s="2" t="str">
        <f>"4388824197"</f>
        <v>4388824197</v>
      </c>
      <c r="Z4585" s="2"/>
      <c r="AA4585" s="2" t="s">
        <v>456</v>
      </c>
      <c r="AB4585" s="2" t="s">
        <v>457</v>
      </c>
      <c r="AC4585" s="4" t="s">
        <v>44</v>
      </c>
    </row>
    <row r="4586" spans="1:29" x14ac:dyDescent="0.25">
      <c r="A4586" s="1">
        <v>1801</v>
      </c>
      <c r="B4586" s="17" t="s">
        <v>19093</v>
      </c>
      <c r="C4586" s="2" t="s">
        <v>5947</v>
      </c>
      <c r="D4586" s="15" t="s">
        <v>5948</v>
      </c>
      <c r="E4586" s="9" t="s">
        <v>325</v>
      </c>
      <c r="F4586" s="9" t="s">
        <v>1167</v>
      </c>
      <c r="G4586" s="9" t="s">
        <v>341</v>
      </c>
      <c r="H4586" s="2" t="s">
        <v>60</v>
      </c>
      <c r="I4586" s="3">
        <v>37452</v>
      </c>
      <c r="J4586" s="9" t="str">
        <f t="shared" ca="1" si="80"/>
        <v>21 ans</v>
      </c>
      <c r="K4586" s="2" t="s">
        <v>262</v>
      </c>
      <c r="L4586" s="2" t="str">
        <f>"13754"</f>
        <v>13754</v>
      </c>
      <c r="M4586" s="2" t="str">
        <f>"200"</f>
        <v>200</v>
      </c>
      <c r="N4586" s="2" t="str">
        <f>"rue Saint-Louis"</f>
        <v>rue Saint-Louis</v>
      </c>
      <c r="O4586" s="2" t="s">
        <v>18155</v>
      </c>
      <c r="P4586" s="9" t="str">
        <f>VLOOKUP($O4586,'Liste des Villes'!$B$2:$B$1128,1,FALSE)</f>
        <v>Blainville</v>
      </c>
      <c r="Q4586" s="9" t="str">
        <f>IFERROR($P4586,PROPER(VLOOKUP($O4586,'Villes en erreur'!$A$2:$B$72,2,FALSE)))</f>
        <v>Blainville</v>
      </c>
      <c r="R4586" s="9" t="s">
        <v>18156</v>
      </c>
      <c r="S4586" s="9" t="str">
        <f>IF(ISBLANK($R4586),"",VLOOKUP($R4586,'Liste des Villes'!$B$2:$H$1128,4,FALSE))</f>
        <v>Laurentides</v>
      </c>
      <c r="T4586" s="2" t="s">
        <v>18749</v>
      </c>
      <c r="U4586" s="2" t="s">
        <v>39</v>
      </c>
      <c r="V4586" s="2" t="s">
        <v>40</v>
      </c>
      <c r="W4586" s="2" t="s">
        <v>19094</v>
      </c>
      <c r="X4586" s="2" t="str">
        <f>"5146016262"</f>
        <v>5146016262</v>
      </c>
      <c r="Y4586" s="2" t="str">
        <f>"4505307571"</f>
        <v>4505307571</v>
      </c>
      <c r="Z4586" s="2"/>
      <c r="AA4586" s="2" t="s">
        <v>456</v>
      </c>
      <c r="AB4586" s="2" t="s">
        <v>457</v>
      </c>
      <c r="AC4586" s="4" t="s">
        <v>44</v>
      </c>
    </row>
    <row r="4587" spans="1:29" x14ac:dyDescent="0.25">
      <c r="A4587" s="1">
        <v>790</v>
      </c>
      <c r="B4587" s="17" t="s">
        <v>19095</v>
      </c>
      <c r="C4587" s="2" t="s">
        <v>19096</v>
      </c>
      <c r="D4587" s="15" t="s">
        <v>7496</v>
      </c>
      <c r="E4587" s="9" t="s">
        <v>1231</v>
      </c>
      <c r="F4587" s="9" t="s">
        <v>7497</v>
      </c>
      <c r="G4587" s="9" t="s">
        <v>2381</v>
      </c>
      <c r="H4587" s="2" t="s">
        <v>35</v>
      </c>
      <c r="I4587" s="3">
        <v>37503</v>
      </c>
      <c r="J4587" s="9" t="str">
        <f t="shared" ca="1" si="80"/>
        <v>20 ans</v>
      </c>
      <c r="K4587" s="2" t="s">
        <v>262</v>
      </c>
      <c r="L4587" s="2" t="str">
        <f>"16845"</f>
        <v>16845</v>
      </c>
      <c r="M4587" s="2" t="str">
        <f>"4"</f>
        <v>4</v>
      </c>
      <c r="N4587" s="2" t="str">
        <f>"RUE WALES"</f>
        <v>RUE WALES</v>
      </c>
      <c r="O4587" s="2" t="s">
        <v>18155</v>
      </c>
      <c r="P4587" s="9" t="str">
        <f>VLOOKUP($O4587,'Liste des Villes'!$B$2:$B$1128,1,FALSE)</f>
        <v>Blainville</v>
      </c>
      <c r="Q4587" s="9" t="str">
        <f>IFERROR($P4587,PROPER(VLOOKUP($O4587,'Villes en erreur'!$A$2:$B$72,2,FALSE)))</f>
        <v>Blainville</v>
      </c>
      <c r="R4587" s="9" t="s">
        <v>18156</v>
      </c>
      <c r="S4587" s="9" t="str">
        <f>IF(ISBLANK($R4587),"",VLOOKUP($R4587,'Liste des Villes'!$B$2:$H$1128,4,FALSE))</f>
        <v>Laurentides</v>
      </c>
      <c r="T4587" s="2" t="s">
        <v>19097</v>
      </c>
      <c r="U4587" s="2" t="s">
        <v>39</v>
      </c>
      <c r="V4587" s="2" t="s">
        <v>40</v>
      </c>
      <c r="W4587" s="2" t="s">
        <v>19098</v>
      </c>
      <c r="X4587" s="2" t="str">
        <f>"5149736310"</f>
        <v>5149736310</v>
      </c>
      <c r="Y4587" s="2" t="str">
        <f>"4502278642"</f>
        <v>4502278642</v>
      </c>
      <c r="Z4587" s="2"/>
      <c r="AA4587" s="2" t="s">
        <v>456</v>
      </c>
      <c r="AB4587" s="2" t="s">
        <v>457</v>
      </c>
      <c r="AC4587" s="4" t="s">
        <v>44</v>
      </c>
    </row>
    <row r="4588" spans="1:29" x14ac:dyDescent="0.25">
      <c r="A4588" s="1">
        <v>2569</v>
      </c>
      <c r="B4588" s="17" t="s">
        <v>19099</v>
      </c>
      <c r="C4588" s="2" t="s">
        <v>19100</v>
      </c>
      <c r="D4588" s="15" t="s">
        <v>13830</v>
      </c>
      <c r="E4588" s="9" t="s">
        <v>4243</v>
      </c>
      <c r="F4588" s="9" t="s">
        <v>13829</v>
      </c>
      <c r="G4588" s="9" t="s">
        <v>16886</v>
      </c>
      <c r="H4588" s="2" t="s">
        <v>60</v>
      </c>
      <c r="I4588" s="3">
        <v>37434</v>
      </c>
      <c r="J4588" s="9" t="str">
        <f t="shared" ca="1" si="80"/>
        <v>21 ans</v>
      </c>
      <c r="K4588" s="2" t="s">
        <v>262</v>
      </c>
      <c r="L4588" s="2" t="str">
        <f>"13330"</f>
        <v>13330</v>
      </c>
      <c r="M4588" s="2" t="str">
        <f>"414"</f>
        <v>414</v>
      </c>
      <c r="N4588" s="2" t="str">
        <f>"RUE RUEL"</f>
        <v>RUE RUEL</v>
      </c>
      <c r="O4588" s="2" t="s">
        <v>18155</v>
      </c>
      <c r="P4588" s="9" t="str">
        <f>VLOOKUP($O4588,'Liste des Villes'!$B$2:$B$1128,1,FALSE)</f>
        <v>Blainville</v>
      </c>
      <c r="Q4588" s="9" t="str">
        <f>IFERROR($P4588,PROPER(VLOOKUP($O4588,'Villes en erreur'!$A$2:$B$72,2,FALSE)))</f>
        <v>Blainville</v>
      </c>
      <c r="R4588" s="9" t="s">
        <v>18156</v>
      </c>
      <c r="S4588" s="9" t="str">
        <f>IF(ISBLANK($R4588),"",VLOOKUP($R4588,'Liste des Villes'!$B$2:$H$1128,4,FALSE))</f>
        <v>Laurentides</v>
      </c>
      <c r="T4588" s="2" t="s">
        <v>19101</v>
      </c>
      <c r="U4588" s="2" t="s">
        <v>39</v>
      </c>
      <c r="V4588" s="2" t="s">
        <v>40</v>
      </c>
      <c r="W4588" s="2" t="s">
        <v>19102</v>
      </c>
      <c r="X4588" s="2" t="str">
        <f>"5142667838"</f>
        <v>5142667838</v>
      </c>
      <c r="Y4588" s="2" t="str">
        <f>"4506129689"</f>
        <v>4506129689</v>
      </c>
      <c r="Z4588" s="2"/>
      <c r="AA4588" s="2" t="s">
        <v>456</v>
      </c>
      <c r="AB4588" s="2" t="s">
        <v>457</v>
      </c>
      <c r="AC4588" s="4" t="s">
        <v>44</v>
      </c>
    </row>
    <row r="4589" spans="1:29" x14ac:dyDescent="0.25">
      <c r="A4589" s="1">
        <v>2826</v>
      </c>
      <c r="B4589" s="17" t="s">
        <v>19103</v>
      </c>
      <c r="C4589" s="2" t="s">
        <v>19104</v>
      </c>
      <c r="D4589" s="15" t="s">
        <v>17736</v>
      </c>
      <c r="E4589" s="9" t="s">
        <v>2796</v>
      </c>
      <c r="F4589" s="9" t="s">
        <v>15908</v>
      </c>
      <c r="G4589" s="9" t="s">
        <v>341</v>
      </c>
      <c r="H4589" s="2" t="s">
        <v>60</v>
      </c>
      <c r="I4589" s="3">
        <v>37446</v>
      </c>
      <c r="J4589" s="9" t="str">
        <f t="shared" ca="1" si="80"/>
        <v>21 ans</v>
      </c>
      <c r="K4589" s="2" t="s">
        <v>262</v>
      </c>
      <c r="L4589" s="2" t="str">
        <f>"13640"</f>
        <v>13640</v>
      </c>
      <c r="M4589" s="2" t="str">
        <f>"203"</f>
        <v>203</v>
      </c>
      <c r="N4589" s="2" t="str">
        <f>"RUE SAINT-GEORGES"</f>
        <v>RUE SAINT-GEORGES</v>
      </c>
      <c r="O4589" s="2" t="s">
        <v>18155</v>
      </c>
      <c r="P4589" s="9" t="str">
        <f>VLOOKUP($O4589,'Liste des Villes'!$B$2:$B$1128,1,FALSE)</f>
        <v>Blainville</v>
      </c>
      <c r="Q4589" s="9" t="str">
        <f>IFERROR($P4589,PROPER(VLOOKUP($O4589,'Villes en erreur'!$A$2:$B$72,2,FALSE)))</f>
        <v>Blainville</v>
      </c>
      <c r="R4589" s="9" t="s">
        <v>18156</v>
      </c>
      <c r="S4589" s="9" t="str">
        <f>IF(ISBLANK($R4589),"",VLOOKUP($R4589,'Liste des Villes'!$B$2:$H$1128,4,FALSE))</f>
        <v>Laurentides</v>
      </c>
      <c r="T4589" s="2" t="s">
        <v>18731</v>
      </c>
      <c r="U4589" s="2" t="s">
        <v>39</v>
      </c>
      <c r="V4589" s="2" t="s">
        <v>40</v>
      </c>
      <c r="W4589" s="2" t="s">
        <v>19105</v>
      </c>
      <c r="X4589" s="2" t="str">
        <f>"5145577013"</f>
        <v>5145577013</v>
      </c>
      <c r="Y4589" s="2" t="str">
        <f>"4505602409"</f>
        <v>4505602409</v>
      </c>
      <c r="Z4589" s="2"/>
      <c r="AA4589" s="2" t="s">
        <v>456</v>
      </c>
      <c r="AB4589" s="2" t="s">
        <v>457</v>
      </c>
      <c r="AC4589" s="4" t="s">
        <v>44</v>
      </c>
    </row>
    <row r="4590" spans="1:29" x14ac:dyDescent="0.25">
      <c r="A4590" s="1">
        <v>1444</v>
      </c>
      <c r="B4590" s="17" t="s">
        <v>19106</v>
      </c>
      <c r="C4590" s="2" t="s">
        <v>19107</v>
      </c>
      <c r="D4590" s="15" t="s">
        <v>8957</v>
      </c>
      <c r="E4590" s="9" t="s">
        <v>12451</v>
      </c>
      <c r="F4590" s="9" t="s">
        <v>3788</v>
      </c>
      <c r="G4590" s="9" t="s">
        <v>10547</v>
      </c>
      <c r="H4590" s="2" t="s">
        <v>35</v>
      </c>
      <c r="I4590" s="3">
        <v>37575</v>
      </c>
      <c r="J4590" s="9" t="str">
        <f t="shared" ca="1" si="80"/>
        <v>20 ans</v>
      </c>
      <c r="K4590" s="2" t="s">
        <v>262</v>
      </c>
      <c r="L4590" s="2" t="str">
        <f>"327 A"</f>
        <v>327 A</v>
      </c>
      <c r="M4590" s="2" t="str">
        <f>"1"</f>
        <v>1</v>
      </c>
      <c r="N4590" s="2" t="str">
        <f>"TSSE RIOPEL"</f>
        <v>TSSE RIOPEL</v>
      </c>
      <c r="O4590" s="2" t="s">
        <v>18155</v>
      </c>
      <c r="P4590" s="9" t="str">
        <f>VLOOKUP($O4590,'Liste des Villes'!$B$2:$B$1128,1,FALSE)</f>
        <v>Blainville</v>
      </c>
      <c r="Q4590" s="9" t="str">
        <f>IFERROR($P4590,PROPER(VLOOKUP($O4590,'Villes en erreur'!$A$2:$B$72,2,FALSE)))</f>
        <v>Blainville</v>
      </c>
      <c r="R4590" s="9" t="s">
        <v>18156</v>
      </c>
      <c r="S4590" s="9" t="str">
        <f>IF(ISBLANK($R4590),"",VLOOKUP($R4590,'Liste des Villes'!$B$2:$H$1128,4,FALSE))</f>
        <v>Laurentides</v>
      </c>
      <c r="T4590" s="2" t="s">
        <v>19108</v>
      </c>
      <c r="U4590" s="2" t="s">
        <v>39</v>
      </c>
      <c r="V4590" s="2" t="s">
        <v>40</v>
      </c>
      <c r="W4590" s="2" t="s">
        <v>19109</v>
      </c>
      <c r="X4590" s="2" t="str">
        <f>"4508205358 x1738963"</f>
        <v>4508205358 x1738963</v>
      </c>
      <c r="Y4590" s="2" t="str">
        <f>"4383460337"</f>
        <v>4383460337</v>
      </c>
      <c r="Z4590" s="2" t="str">
        <f>"5147955289"</f>
        <v>5147955289</v>
      </c>
      <c r="AA4590" s="2" t="s">
        <v>456</v>
      </c>
      <c r="AB4590" s="2" t="s">
        <v>457</v>
      </c>
      <c r="AC4590" s="4" t="s">
        <v>44</v>
      </c>
    </row>
    <row r="4591" spans="1:29" x14ac:dyDescent="0.25">
      <c r="A4591" s="1">
        <v>3531</v>
      </c>
      <c r="B4591" s="17" t="s">
        <v>19110</v>
      </c>
      <c r="C4591" s="2" t="s">
        <v>981</v>
      </c>
      <c r="D4591" s="15" t="s">
        <v>982</v>
      </c>
      <c r="E4591" s="9" t="s">
        <v>983</v>
      </c>
      <c r="F4591" s="9" t="s">
        <v>18927</v>
      </c>
      <c r="G4591" s="9" t="s">
        <v>5511</v>
      </c>
      <c r="H4591" s="2" t="s">
        <v>60</v>
      </c>
      <c r="I4591" s="3">
        <v>37430</v>
      </c>
      <c r="J4591" s="9" t="str">
        <f t="shared" ca="1" si="80"/>
        <v>21 ans</v>
      </c>
      <c r="K4591" s="2" t="s">
        <v>262</v>
      </c>
      <c r="L4591" s="2" t="str">
        <f>"13070"</f>
        <v>13070</v>
      </c>
      <c r="M4591" s="2" t="str">
        <f>"603"</f>
        <v>603</v>
      </c>
      <c r="N4591" s="2" t="str">
        <f>"RUE ROY"</f>
        <v>RUE ROY</v>
      </c>
      <c r="O4591" s="2" t="s">
        <v>18155</v>
      </c>
      <c r="P4591" s="9" t="str">
        <f>VLOOKUP($O4591,'Liste des Villes'!$B$2:$B$1128,1,FALSE)</f>
        <v>Blainville</v>
      </c>
      <c r="Q4591" s="9" t="str">
        <f>IFERROR($P4591,PROPER(VLOOKUP($O4591,'Villes en erreur'!$A$2:$B$72,2,FALSE)))</f>
        <v>Blainville</v>
      </c>
      <c r="R4591" s="9" t="s">
        <v>18156</v>
      </c>
      <c r="S4591" s="9" t="str">
        <f>IF(ISBLANK($R4591),"",VLOOKUP($R4591,'Liste des Villes'!$B$2:$H$1128,4,FALSE))</f>
        <v>Laurentides</v>
      </c>
      <c r="T4591" s="2" t="s">
        <v>19111</v>
      </c>
      <c r="U4591" s="2" t="s">
        <v>39</v>
      </c>
      <c r="V4591" s="2" t="s">
        <v>40</v>
      </c>
      <c r="W4591" s="2" t="s">
        <v>19112</v>
      </c>
      <c r="X4591" s="2" t="str">
        <f>"5142465710"</f>
        <v>5142465710</v>
      </c>
      <c r="Y4591" s="2" t="str">
        <f>"4506234729"</f>
        <v>4506234729</v>
      </c>
      <c r="Z4591" s="2"/>
      <c r="AA4591" s="2" t="s">
        <v>456</v>
      </c>
      <c r="AB4591" s="2" t="s">
        <v>457</v>
      </c>
      <c r="AC4591" s="4" t="s">
        <v>44</v>
      </c>
    </row>
    <row r="4592" spans="1:29" x14ac:dyDescent="0.25">
      <c r="A4592" s="1">
        <v>2943</v>
      </c>
      <c r="B4592" s="17" t="s">
        <v>19113</v>
      </c>
      <c r="C4592" s="2" t="s">
        <v>4420</v>
      </c>
      <c r="D4592" s="15" t="s">
        <v>4421</v>
      </c>
      <c r="E4592" s="9" t="s">
        <v>4422</v>
      </c>
      <c r="F4592" s="9" t="s">
        <v>14203</v>
      </c>
      <c r="G4592" s="9" t="s">
        <v>2404</v>
      </c>
      <c r="H4592" s="2" t="s">
        <v>35</v>
      </c>
      <c r="I4592" s="3">
        <v>37481</v>
      </c>
      <c r="J4592" s="9" t="str">
        <f t="shared" ca="1" si="80"/>
        <v>21 ans</v>
      </c>
      <c r="K4592" s="2" t="s">
        <v>262</v>
      </c>
      <c r="L4592" s="2" t="str">
        <f>"14550"</f>
        <v>14550</v>
      </c>
      <c r="M4592" s="2" t="str">
        <f>"9"</f>
        <v>9</v>
      </c>
      <c r="N4592" s="2" t="str">
        <f>"RUE THÉORÊT"</f>
        <v>RUE THÉORÊT</v>
      </c>
      <c r="O4592" s="2" t="s">
        <v>18155</v>
      </c>
      <c r="P4592" s="9" t="str">
        <f>VLOOKUP($O4592,'Liste des Villes'!$B$2:$B$1128,1,FALSE)</f>
        <v>Blainville</v>
      </c>
      <c r="Q4592" s="9" t="str">
        <f>IFERROR($P4592,PROPER(VLOOKUP($O4592,'Villes en erreur'!$A$2:$B$72,2,FALSE)))</f>
        <v>Blainville</v>
      </c>
      <c r="R4592" s="9" t="s">
        <v>18156</v>
      </c>
      <c r="S4592" s="9" t="str">
        <f>IF(ISBLANK($R4592),"",VLOOKUP($R4592,'Liste des Villes'!$B$2:$H$1128,4,FALSE))</f>
        <v>Laurentides</v>
      </c>
      <c r="T4592" s="2" t="s">
        <v>18638</v>
      </c>
      <c r="U4592" s="2" t="s">
        <v>39</v>
      </c>
      <c r="V4592" s="2" t="s">
        <v>40</v>
      </c>
      <c r="W4592" s="2" t="s">
        <v>19114</v>
      </c>
      <c r="X4592" s="2" t="str">
        <f>"5147964739"</f>
        <v>5147964739</v>
      </c>
      <c r="Y4592" s="2" t="str">
        <f>"4504347655"</f>
        <v>4504347655</v>
      </c>
      <c r="Z4592" s="2"/>
      <c r="AA4592" s="2" t="s">
        <v>456</v>
      </c>
      <c r="AB4592" s="2" t="s">
        <v>457</v>
      </c>
      <c r="AC4592" s="4" t="s">
        <v>44</v>
      </c>
    </row>
    <row r="4593" spans="1:29" x14ac:dyDescent="0.25">
      <c r="A4593" s="1">
        <v>1128</v>
      </c>
      <c r="B4593" s="17" t="s">
        <v>19115</v>
      </c>
      <c r="C4593" s="2" t="s">
        <v>4157</v>
      </c>
      <c r="D4593" s="15" t="s">
        <v>788</v>
      </c>
      <c r="E4593" s="9" t="s">
        <v>4158</v>
      </c>
      <c r="F4593" s="9" t="s">
        <v>1466</v>
      </c>
      <c r="G4593" s="9" t="s">
        <v>12592</v>
      </c>
      <c r="H4593" s="2" t="s">
        <v>60</v>
      </c>
      <c r="I4593" s="3">
        <v>37488</v>
      </c>
      <c r="J4593" s="9" t="str">
        <f t="shared" ca="1" si="80"/>
        <v>21 ans</v>
      </c>
      <c r="K4593" s="2" t="s">
        <v>262</v>
      </c>
      <c r="L4593" s="2" t="str">
        <f>"15215"</f>
        <v>15215</v>
      </c>
      <c r="M4593" s="2" t="str">
        <f>"7"</f>
        <v>7</v>
      </c>
      <c r="N4593" s="2" t="str">
        <f>"RUE TOUCHETTE"</f>
        <v>RUE TOUCHETTE</v>
      </c>
      <c r="O4593" s="2" t="s">
        <v>18155</v>
      </c>
      <c r="P4593" s="9" t="str">
        <f>VLOOKUP($O4593,'Liste des Villes'!$B$2:$B$1128,1,FALSE)</f>
        <v>Blainville</v>
      </c>
      <c r="Q4593" s="9" t="str">
        <f>IFERROR($P4593,PROPER(VLOOKUP($O4593,'Villes en erreur'!$A$2:$B$72,2,FALSE)))</f>
        <v>Blainville</v>
      </c>
      <c r="R4593" s="9" t="s">
        <v>18156</v>
      </c>
      <c r="S4593" s="9" t="str">
        <f>IF(ISBLANK($R4593),"",VLOOKUP($R4593,'Liste des Villes'!$B$2:$H$1128,4,FALSE))</f>
        <v>Laurentides</v>
      </c>
      <c r="T4593" s="2" t="s">
        <v>19116</v>
      </c>
      <c r="U4593" s="2" t="s">
        <v>39</v>
      </c>
      <c r="V4593" s="2" t="s">
        <v>40</v>
      </c>
      <c r="W4593" s="2" t="s">
        <v>19117</v>
      </c>
      <c r="X4593" s="2" t="str">
        <f>"5148393618"</f>
        <v>5148393618</v>
      </c>
      <c r="Y4593" s="2" t="str">
        <f>"4504319092"</f>
        <v>4504319092</v>
      </c>
      <c r="Z4593" s="2"/>
      <c r="AA4593" s="2" t="s">
        <v>456</v>
      </c>
      <c r="AB4593" s="2" t="s">
        <v>457</v>
      </c>
      <c r="AC4593" s="4" t="s">
        <v>44</v>
      </c>
    </row>
    <row r="4594" spans="1:29" x14ac:dyDescent="0.25">
      <c r="A4594" s="1">
        <v>1591</v>
      </c>
      <c r="B4594" s="17" t="s">
        <v>19118</v>
      </c>
      <c r="C4594" s="2" t="s">
        <v>10092</v>
      </c>
      <c r="D4594" s="15" t="s">
        <v>884</v>
      </c>
      <c r="E4594" s="9" t="s">
        <v>6380</v>
      </c>
      <c r="F4594" s="9" t="s">
        <v>7971</v>
      </c>
      <c r="G4594" s="9" t="s">
        <v>983</v>
      </c>
      <c r="H4594" s="2" t="s">
        <v>60</v>
      </c>
      <c r="I4594" s="3">
        <v>37518</v>
      </c>
      <c r="J4594" s="9" t="str">
        <f t="shared" ca="1" si="80"/>
        <v>20 ans</v>
      </c>
      <c r="K4594" s="2" t="s">
        <v>262</v>
      </c>
      <c r="L4594" s="2" t="str">
        <f>"17932"</f>
        <v>17932</v>
      </c>
      <c r="M4594" s="2" t="str">
        <f>"2"</f>
        <v>2</v>
      </c>
      <c r="N4594" s="2" t="str">
        <f>"SHULZ"</f>
        <v>SHULZ</v>
      </c>
      <c r="O4594" s="2" t="s">
        <v>18155</v>
      </c>
      <c r="P4594" s="9" t="str">
        <f>VLOOKUP($O4594,'Liste des Villes'!$B$2:$B$1128,1,FALSE)</f>
        <v>Blainville</v>
      </c>
      <c r="Q4594" s="9" t="str">
        <f>IFERROR($P4594,PROPER(VLOOKUP($O4594,'Villes en erreur'!$A$2:$B$72,2,FALSE)))</f>
        <v>Blainville</v>
      </c>
      <c r="R4594" s="9" t="s">
        <v>18156</v>
      </c>
      <c r="S4594" s="9" t="str">
        <f>IF(ISBLANK($R4594),"",VLOOKUP($R4594,'Liste des Villes'!$B$2:$H$1128,4,FALSE))</f>
        <v>Laurentides</v>
      </c>
      <c r="T4594" s="2" t="s">
        <v>18443</v>
      </c>
      <c r="U4594" s="2" t="s">
        <v>39</v>
      </c>
      <c r="V4594" s="2" t="s">
        <v>40</v>
      </c>
      <c r="W4594" s="2" t="s">
        <v>19119</v>
      </c>
      <c r="X4594" s="2" t="str">
        <f>"8193238155"</f>
        <v>8193238155</v>
      </c>
      <c r="Y4594" s="2" t="str">
        <f>"4388258004"</f>
        <v>4388258004</v>
      </c>
      <c r="Z4594" s="2"/>
      <c r="AA4594" s="2" t="s">
        <v>456</v>
      </c>
      <c r="AB4594" s="2" t="s">
        <v>457</v>
      </c>
      <c r="AC4594" s="4" t="s">
        <v>44</v>
      </c>
    </row>
    <row r="4595" spans="1:29" x14ac:dyDescent="0.25">
      <c r="A4595" s="1">
        <v>4276</v>
      </c>
      <c r="B4595" s="17" t="s">
        <v>19120</v>
      </c>
      <c r="C4595" s="2" t="s">
        <v>19121</v>
      </c>
      <c r="D4595" s="15" t="s">
        <v>5856</v>
      </c>
      <c r="E4595" s="9" t="s">
        <v>404</v>
      </c>
      <c r="F4595" s="9" t="s">
        <v>5854</v>
      </c>
      <c r="G4595" s="9" t="s">
        <v>370</v>
      </c>
      <c r="H4595" s="2" t="s">
        <v>60</v>
      </c>
      <c r="I4595" s="3">
        <v>37508</v>
      </c>
      <c r="J4595" s="9" t="str">
        <f t="shared" ca="1" si="80"/>
        <v>20 ans</v>
      </c>
      <c r="K4595" s="2" t="s">
        <v>262</v>
      </c>
      <c r="L4595" s="2" t="str">
        <f>"17135"</f>
        <v>17135</v>
      </c>
      <c r="M4595" s="2" t="str">
        <f>"3"</f>
        <v>3</v>
      </c>
      <c r="N4595" s="2" t="str">
        <f>"RUE YVES"</f>
        <v>RUE YVES</v>
      </c>
      <c r="O4595" s="2" t="s">
        <v>18155</v>
      </c>
      <c r="P4595" s="9" t="str">
        <f>VLOOKUP($O4595,'Liste des Villes'!$B$2:$B$1128,1,FALSE)</f>
        <v>Blainville</v>
      </c>
      <c r="Q4595" s="9" t="str">
        <f>IFERROR($P4595,PROPER(VLOOKUP($O4595,'Villes en erreur'!$A$2:$B$72,2,FALSE)))</f>
        <v>Blainville</v>
      </c>
      <c r="R4595" s="9" t="s">
        <v>18156</v>
      </c>
      <c r="S4595" s="9" t="str">
        <f>IF(ISBLANK($R4595),"",VLOOKUP($R4595,'Liste des Villes'!$B$2:$H$1128,4,FALSE))</f>
        <v>Laurentides</v>
      </c>
      <c r="T4595" s="2" t="s">
        <v>19122</v>
      </c>
      <c r="U4595" s="2" t="s">
        <v>39</v>
      </c>
      <c r="V4595" s="2" t="s">
        <v>40</v>
      </c>
      <c r="W4595" s="2" t="s">
        <v>19123</v>
      </c>
      <c r="X4595" s="2" t="str">
        <f>"5797656147"</f>
        <v>5797656147</v>
      </c>
      <c r="Y4595" s="2" t="str">
        <f>"4389927373"</f>
        <v>4389927373</v>
      </c>
      <c r="Z4595" s="2"/>
      <c r="AA4595" s="2" t="s">
        <v>456</v>
      </c>
      <c r="AB4595" s="2" t="s">
        <v>457</v>
      </c>
      <c r="AC4595" s="4" t="s">
        <v>44</v>
      </c>
    </row>
    <row r="4596" spans="1:29" x14ac:dyDescent="0.25">
      <c r="A4596" s="1">
        <v>2635</v>
      </c>
      <c r="B4596" s="17" t="s">
        <v>19124</v>
      </c>
      <c r="C4596" s="2" t="s">
        <v>19125</v>
      </c>
      <c r="D4596" s="15" t="s">
        <v>1477</v>
      </c>
      <c r="E4596" s="9" t="s">
        <v>11759</v>
      </c>
      <c r="F4596" s="9" t="s">
        <v>1479</v>
      </c>
      <c r="G4596" s="9" t="s">
        <v>341</v>
      </c>
      <c r="H4596" s="2" t="s">
        <v>60</v>
      </c>
      <c r="I4596" s="3">
        <v>37445</v>
      </c>
      <c r="J4596" s="9" t="str">
        <f t="shared" ca="1" si="80"/>
        <v>21 ans</v>
      </c>
      <c r="K4596" s="2" t="s">
        <v>262</v>
      </c>
      <c r="L4596" s="2" t="str">
        <f>"13625"</f>
        <v>13625</v>
      </c>
      <c r="M4596" s="2" t="str">
        <f>"205"</f>
        <v>205</v>
      </c>
      <c r="N4596" s="2" t="str">
        <f>"RUE SAINT-GEORGES"</f>
        <v>RUE SAINT-GEORGES</v>
      </c>
      <c r="O4596" s="2" t="s">
        <v>18155</v>
      </c>
      <c r="P4596" s="9" t="str">
        <f>VLOOKUP($O4596,'Liste des Villes'!$B$2:$B$1128,1,FALSE)</f>
        <v>Blainville</v>
      </c>
      <c r="Q4596" s="9" t="str">
        <f>IFERROR($P4596,PROPER(VLOOKUP($O4596,'Villes en erreur'!$A$2:$B$72,2,FALSE)))</f>
        <v>Blainville</v>
      </c>
      <c r="R4596" s="9" t="s">
        <v>18156</v>
      </c>
      <c r="S4596" s="9" t="str">
        <f>IF(ISBLANK($R4596),"",VLOOKUP($R4596,'Liste des Villes'!$B$2:$H$1128,4,FALSE))</f>
        <v>Laurentides</v>
      </c>
      <c r="T4596" s="2" t="s">
        <v>18627</v>
      </c>
      <c r="U4596" s="2" t="s">
        <v>39</v>
      </c>
      <c r="V4596" s="2" t="s">
        <v>40</v>
      </c>
      <c r="W4596" s="2" t="s">
        <v>19126</v>
      </c>
      <c r="X4596" s="2" t="str">
        <f>"5145501800"</f>
        <v>5145501800</v>
      </c>
      <c r="Y4596" s="2" t="str">
        <f>"4505604954"</f>
        <v>4505604954</v>
      </c>
      <c r="Z4596" s="2"/>
      <c r="AA4596" s="2" t="s">
        <v>456</v>
      </c>
      <c r="AB4596" s="2" t="s">
        <v>457</v>
      </c>
      <c r="AC4596" s="4" t="s">
        <v>44</v>
      </c>
    </row>
    <row r="4597" spans="1:29" x14ac:dyDescent="0.25">
      <c r="A4597" s="1">
        <v>3519</v>
      </c>
      <c r="B4597" s="17" t="s">
        <v>19127</v>
      </c>
      <c r="C4597" s="2" t="s">
        <v>5176</v>
      </c>
      <c r="D4597" s="15" t="s">
        <v>5177</v>
      </c>
      <c r="E4597" s="9" t="s">
        <v>3668</v>
      </c>
      <c r="F4597" s="9" t="s">
        <v>3810</v>
      </c>
      <c r="G4597" s="9" t="s">
        <v>503</v>
      </c>
      <c r="H4597" s="2" t="s">
        <v>60</v>
      </c>
      <c r="I4597" s="3">
        <v>37521</v>
      </c>
      <c r="J4597" s="9" t="str">
        <f t="shared" ca="1" si="80"/>
        <v>20 ans</v>
      </c>
      <c r="K4597" s="2" t="s">
        <v>262</v>
      </c>
      <c r="L4597" s="2" t="str">
        <f>"18255"</f>
        <v>18255</v>
      </c>
      <c r="M4597" s="2" t="str">
        <f>"2"</f>
        <v>2</v>
      </c>
      <c r="N4597" s="2" t="str">
        <f>"St-Jacques"</f>
        <v>St-Jacques</v>
      </c>
      <c r="O4597" s="2" t="s">
        <v>18155</v>
      </c>
      <c r="P4597" s="9" t="str">
        <f>VLOOKUP($O4597,'Liste des Villes'!$B$2:$B$1128,1,FALSE)</f>
        <v>Blainville</v>
      </c>
      <c r="Q4597" s="9" t="str">
        <f>IFERROR($P4597,PROPER(VLOOKUP($O4597,'Villes en erreur'!$A$2:$B$72,2,FALSE)))</f>
        <v>Blainville</v>
      </c>
      <c r="R4597" s="9" t="s">
        <v>18156</v>
      </c>
      <c r="S4597" s="9" t="str">
        <f>IF(ISBLANK($R4597),"",VLOOKUP($R4597,'Liste des Villes'!$B$2:$H$1128,4,FALSE))</f>
        <v>Laurentides</v>
      </c>
      <c r="T4597" s="2" t="s">
        <v>19128</v>
      </c>
      <c r="U4597" s="2" t="s">
        <v>39</v>
      </c>
      <c r="V4597" s="2" t="s">
        <v>40</v>
      </c>
      <c r="W4597" s="2" t="s">
        <v>19129</v>
      </c>
      <c r="X4597" s="2" t="str">
        <f>"8194213659"</f>
        <v>8194213659</v>
      </c>
      <c r="Y4597" s="2" t="str">
        <f>"4385027360"</f>
        <v>4385027360</v>
      </c>
      <c r="Z4597" s="2"/>
      <c r="AA4597" s="2" t="s">
        <v>456</v>
      </c>
      <c r="AB4597" s="2" t="s">
        <v>457</v>
      </c>
      <c r="AC4597" s="4" t="s">
        <v>44</v>
      </c>
    </row>
    <row r="4598" spans="1:29" x14ac:dyDescent="0.25">
      <c r="A4598" s="1">
        <v>2320</v>
      </c>
      <c r="B4598" s="17" t="s">
        <v>19130</v>
      </c>
      <c r="C4598" s="2" t="s">
        <v>19131</v>
      </c>
      <c r="D4598" s="15" t="s">
        <v>9120</v>
      </c>
      <c r="E4598" s="9" t="s">
        <v>101</v>
      </c>
      <c r="F4598" s="9" t="s">
        <v>9118</v>
      </c>
      <c r="G4598" s="9" t="s">
        <v>13294</v>
      </c>
      <c r="H4598" s="2" t="s">
        <v>35</v>
      </c>
      <c r="I4598" s="3">
        <v>37518</v>
      </c>
      <c r="J4598" s="9" t="str">
        <f t="shared" ca="1" si="80"/>
        <v>20 ans</v>
      </c>
      <c r="K4598" s="2" t="s">
        <v>262</v>
      </c>
      <c r="L4598" s="2" t="str">
        <f>"17895"</f>
        <v>17895</v>
      </c>
      <c r="M4598" s="2" t="str">
        <f>"2"</f>
        <v>2</v>
      </c>
      <c r="N4598" s="2" t="str">
        <f>"SANDRINE"</f>
        <v>SANDRINE</v>
      </c>
      <c r="O4598" s="2" t="s">
        <v>18155</v>
      </c>
      <c r="P4598" s="9" t="str">
        <f>VLOOKUP($O4598,'Liste des Villes'!$B$2:$B$1128,1,FALSE)</f>
        <v>Blainville</v>
      </c>
      <c r="Q4598" s="9" t="str">
        <f>IFERROR($P4598,PROPER(VLOOKUP($O4598,'Villes en erreur'!$A$2:$B$72,2,FALSE)))</f>
        <v>Blainville</v>
      </c>
      <c r="R4598" s="9" t="s">
        <v>18156</v>
      </c>
      <c r="S4598" s="9" t="str">
        <f>IF(ISBLANK($R4598),"",VLOOKUP($R4598,'Liste des Villes'!$B$2:$H$1128,4,FALSE))</f>
        <v>Laurentides</v>
      </c>
      <c r="T4598" s="2" t="s">
        <v>19132</v>
      </c>
      <c r="U4598" s="2" t="s">
        <v>39</v>
      </c>
      <c r="V4598" s="2" t="s">
        <v>40</v>
      </c>
      <c r="W4598" s="2" t="s">
        <v>19133</v>
      </c>
      <c r="X4598" s="2" t="str">
        <f>"8193237338"</f>
        <v>8193237338</v>
      </c>
      <c r="Y4598" s="2" t="str">
        <f>"4388273845"</f>
        <v>4388273845</v>
      </c>
      <c r="Z4598" s="2"/>
      <c r="AA4598" s="2" t="s">
        <v>456</v>
      </c>
      <c r="AB4598" s="2" t="s">
        <v>457</v>
      </c>
      <c r="AC4598" s="4" t="s">
        <v>44</v>
      </c>
    </row>
    <row r="4599" spans="1:29" x14ac:dyDescent="0.25">
      <c r="A4599" s="1">
        <v>1595</v>
      </c>
      <c r="B4599" s="17" t="s">
        <v>19134</v>
      </c>
      <c r="C4599" s="2" t="s">
        <v>19135</v>
      </c>
      <c r="D4599" s="15" t="s">
        <v>5106</v>
      </c>
      <c r="E4599" s="9" t="s">
        <v>637</v>
      </c>
      <c r="F4599" s="9" t="s">
        <v>12142</v>
      </c>
      <c r="G4599" s="9" t="s">
        <v>3451</v>
      </c>
      <c r="H4599" s="2" t="s">
        <v>60</v>
      </c>
      <c r="I4599" s="3">
        <v>37476</v>
      </c>
      <c r="J4599" s="9" t="str">
        <f t="shared" ca="1" si="80"/>
        <v>21 ans</v>
      </c>
      <c r="K4599" s="2" t="s">
        <v>262</v>
      </c>
      <c r="L4599" s="2" t="str">
        <f>"14390"</f>
        <v>14390</v>
      </c>
      <c r="M4599" s="2" t="str">
        <f>"10"</f>
        <v>10</v>
      </c>
      <c r="N4599" s="2" t="str">
        <f>"RUE SUZOR-COTÉ"</f>
        <v>RUE SUZOR-COTÉ</v>
      </c>
      <c r="O4599" s="2" t="s">
        <v>18155</v>
      </c>
      <c r="P4599" s="9" t="str">
        <f>VLOOKUP($O4599,'Liste des Villes'!$B$2:$B$1128,1,FALSE)</f>
        <v>Blainville</v>
      </c>
      <c r="Q4599" s="9" t="str">
        <f>IFERROR($P4599,PROPER(VLOOKUP($O4599,'Villes en erreur'!$A$2:$B$72,2,FALSE)))</f>
        <v>Blainville</v>
      </c>
      <c r="R4599" s="9" t="s">
        <v>18156</v>
      </c>
      <c r="S4599" s="9" t="str">
        <f>IF(ISBLANK($R4599),"",VLOOKUP($R4599,'Liste des Villes'!$B$2:$H$1128,4,FALSE))</f>
        <v>Laurentides</v>
      </c>
      <c r="T4599" s="2" t="s">
        <v>19136</v>
      </c>
      <c r="U4599" s="2" t="s">
        <v>39</v>
      </c>
      <c r="V4599" s="2" t="s">
        <v>40</v>
      </c>
      <c r="W4599" s="2" t="s">
        <v>19137</v>
      </c>
      <c r="X4599" s="2" t="str">
        <f>"5147765245"</f>
        <v>5147765245</v>
      </c>
      <c r="Y4599" s="2" t="str">
        <f>"4504357218"</f>
        <v>4504357218</v>
      </c>
      <c r="Z4599" s="2"/>
      <c r="AA4599" s="2" t="s">
        <v>456</v>
      </c>
      <c r="AB4599" s="2" t="s">
        <v>457</v>
      </c>
      <c r="AC4599" s="4" t="s">
        <v>44</v>
      </c>
    </row>
    <row r="4600" spans="1:29" x14ac:dyDescent="0.25">
      <c r="A4600" s="1">
        <v>2210</v>
      </c>
      <c r="B4600" s="17" t="s">
        <v>19138</v>
      </c>
      <c r="C4600" s="2" t="s">
        <v>19139</v>
      </c>
      <c r="D4600" s="15" t="s">
        <v>8474</v>
      </c>
      <c r="E4600" s="9" t="s">
        <v>3235</v>
      </c>
      <c r="F4600" s="9" t="s">
        <v>363</v>
      </c>
      <c r="G4600" s="9" t="s">
        <v>2404</v>
      </c>
      <c r="H4600" s="2" t="s">
        <v>35</v>
      </c>
      <c r="I4600" s="3">
        <v>37482</v>
      </c>
      <c r="J4600" s="9" t="str">
        <f t="shared" ca="1" si="80"/>
        <v>21 ans</v>
      </c>
      <c r="K4600" s="2" t="s">
        <v>262</v>
      </c>
      <c r="L4600" s="2" t="str">
        <f>"14615"</f>
        <v>14615</v>
      </c>
      <c r="M4600" s="2" t="str">
        <f>"9"</f>
        <v>9</v>
      </c>
      <c r="N4600" s="2" t="str">
        <f>"RUE THERRIEN"</f>
        <v>RUE THERRIEN</v>
      </c>
      <c r="O4600" s="2" t="s">
        <v>18155</v>
      </c>
      <c r="P4600" s="9" t="str">
        <f>VLOOKUP($O4600,'Liste des Villes'!$B$2:$B$1128,1,FALSE)</f>
        <v>Blainville</v>
      </c>
      <c r="Q4600" s="9" t="str">
        <f>IFERROR($P4600,PROPER(VLOOKUP($O4600,'Villes en erreur'!$A$2:$B$72,2,FALSE)))</f>
        <v>Blainville</v>
      </c>
      <c r="R4600" s="9" t="s">
        <v>18156</v>
      </c>
      <c r="S4600" s="9" t="str">
        <f>IF(ISBLANK($R4600),"",VLOOKUP($R4600,'Liste des Villes'!$B$2:$H$1128,4,FALSE))</f>
        <v>Laurentides</v>
      </c>
      <c r="T4600" s="2" t="s">
        <v>19140</v>
      </c>
      <c r="U4600" s="2" t="s">
        <v>39</v>
      </c>
      <c r="V4600" s="2" t="s">
        <v>40</v>
      </c>
      <c r="W4600" s="2" t="s">
        <v>19141</v>
      </c>
      <c r="X4600" s="2" t="str">
        <f>"5147978227"</f>
        <v>5147978227</v>
      </c>
      <c r="Y4600" s="2" t="str">
        <f>"4504338227"</f>
        <v>4504338227</v>
      </c>
      <c r="Z4600" s="2"/>
      <c r="AA4600" s="2" t="s">
        <v>456</v>
      </c>
      <c r="AB4600" s="2" t="s">
        <v>457</v>
      </c>
      <c r="AC4600" s="4" t="s">
        <v>44</v>
      </c>
    </row>
    <row r="4601" spans="1:29" x14ac:dyDescent="0.25">
      <c r="A4601" s="1">
        <v>3266</v>
      </c>
      <c r="B4601" s="17" t="s">
        <v>19142</v>
      </c>
      <c r="C4601" s="2" t="s">
        <v>5137</v>
      </c>
      <c r="D4601" s="15" t="s">
        <v>861</v>
      </c>
      <c r="E4601" s="9" t="s">
        <v>332</v>
      </c>
      <c r="F4601" s="9" t="s">
        <v>6314</v>
      </c>
      <c r="G4601" s="9" t="s">
        <v>370</v>
      </c>
      <c r="H4601" s="2" t="s">
        <v>60</v>
      </c>
      <c r="I4601" s="3">
        <v>37516</v>
      </c>
      <c r="J4601" s="9" t="str">
        <f t="shared" ca="1" si="80"/>
        <v>20 ans</v>
      </c>
      <c r="K4601" s="2" t="s">
        <v>262</v>
      </c>
      <c r="L4601" s="2" t="str">
        <f>"17650"</f>
        <v>17650</v>
      </c>
      <c r="M4601" s="2" t="str">
        <f>"2"</f>
        <v>2</v>
      </c>
      <c r="N4601" s="2" t="str">
        <f>"SAINTE-ROSE BLVD"</f>
        <v>SAINTE-ROSE BLVD</v>
      </c>
      <c r="O4601" s="2" t="s">
        <v>18155</v>
      </c>
      <c r="P4601" s="9" t="str">
        <f>VLOOKUP($O4601,'Liste des Villes'!$B$2:$B$1128,1,FALSE)</f>
        <v>Blainville</v>
      </c>
      <c r="Q4601" s="9" t="str">
        <f>IFERROR($P4601,PROPER(VLOOKUP($O4601,'Villes en erreur'!$A$2:$B$72,2,FALSE)))</f>
        <v>Blainville</v>
      </c>
      <c r="R4601" s="9" t="s">
        <v>18156</v>
      </c>
      <c r="S4601" s="9" t="str">
        <f>IF(ISBLANK($R4601),"",VLOOKUP($R4601,'Liste des Villes'!$B$2:$H$1128,4,FALSE))</f>
        <v>Laurentides</v>
      </c>
      <c r="T4601" s="2" t="s">
        <v>18183</v>
      </c>
      <c r="U4601" s="2" t="s">
        <v>39</v>
      </c>
      <c r="V4601" s="2" t="s">
        <v>40</v>
      </c>
      <c r="W4601" s="2" t="s">
        <v>19143</v>
      </c>
      <c r="X4601" s="2" t="str">
        <f>"8192168127"</f>
        <v>8192168127</v>
      </c>
      <c r="Y4601" s="2" t="str">
        <f>"4388717043"</f>
        <v>4388717043</v>
      </c>
      <c r="Z4601" s="2"/>
      <c r="AA4601" s="2" t="s">
        <v>456</v>
      </c>
      <c r="AB4601" s="2" t="s">
        <v>457</v>
      </c>
      <c r="AC4601" s="4" t="s">
        <v>44</v>
      </c>
    </row>
    <row r="4602" spans="1:29" x14ac:dyDescent="0.25">
      <c r="A4602" s="1">
        <v>3280</v>
      </c>
      <c r="B4602" s="17" t="s">
        <v>19144</v>
      </c>
      <c r="C4602" s="2" t="s">
        <v>19145</v>
      </c>
      <c r="D4602" s="15" t="s">
        <v>488</v>
      </c>
      <c r="E4602" s="9" t="s">
        <v>18884</v>
      </c>
      <c r="F4602" s="9" t="s">
        <v>1665</v>
      </c>
      <c r="G4602" s="9" t="s">
        <v>4422</v>
      </c>
      <c r="H4602" s="2" t="s">
        <v>60</v>
      </c>
      <c r="I4602" s="3">
        <v>37489</v>
      </c>
      <c r="J4602" s="9" t="str">
        <f t="shared" ca="1" si="80"/>
        <v>21 ans</v>
      </c>
      <c r="K4602" s="2" t="s">
        <v>262</v>
      </c>
      <c r="L4602" s="2" t="str">
        <f>"15757"</f>
        <v>15757</v>
      </c>
      <c r="M4602" s="2" t="str">
        <f>"6"</f>
        <v>6</v>
      </c>
      <c r="N4602" s="2" t="str">
        <f>"RUE TRUDELLE"</f>
        <v>RUE TRUDELLE</v>
      </c>
      <c r="O4602" s="2" t="s">
        <v>18155</v>
      </c>
      <c r="P4602" s="9" t="str">
        <f>VLOOKUP($O4602,'Liste des Villes'!$B$2:$B$1128,1,FALSE)</f>
        <v>Blainville</v>
      </c>
      <c r="Q4602" s="9" t="str">
        <f>IFERROR($P4602,PROPER(VLOOKUP($O4602,'Villes en erreur'!$A$2:$B$72,2,FALSE)))</f>
        <v>Blainville</v>
      </c>
      <c r="R4602" s="9" t="s">
        <v>18156</v>
      </c>
      <c r="S4602" s="9" t="str">
        <f>IF(ISBLANK($R4602),"",VLOOKUP($R4602,'Liste des Villes'!$B$2:$H$1128,4,FALSE))</f>
        <v>Laurentides</v>
      </c>
      <c r="T4602" s="2" t="s">
        <v>19146</v>
      </c>
      <c r="U4602" s="2" t="s">
        <v>39</v>
      </c>
      <c r="V4602" s="2" t="s">
        <v>40</v>
      </c>
      <c r="W4602" s="2" t="s">
        <v>19147</v>
      </c>
      <c r="X4602" s="2" t="str">
        <f>"5148925613"</f>
        <v>5148925613</v>
      </c>
      <c r="Y4602" s="2" t="str">
        <f>"4504312429"</f>
        <v>4504312429</v>
      </c>
      <c r="Z4602" s="2"/>
      <c r="AA4602" s="2" t="s">
        <v>456</v>
      </c>
      <c r="AB4602" s="2" t="s">
        <v>457</v>
      </c>
      <c r="AC4602" s="4" t="s">
        <v>44</v>
      </c>
    </row>
    <row r="4603" spans="1:29" x14ac:dyDescent="0.25">
      <c r="A4603" s="1">
        <v>155</v>
      </c>
      <c r="B4603" s="17" t="s">
        <v>19148</v>
      </c>
      <c r="C4603" s="2" t="s">
        <v>16607</v>
      </c>
      <c r="D4603" s="15" t="s">
        <v>325</v>
      </c>
      <c r="E4603" s="9" t="s">
        <v>3397</v>
      </c>
      <c r="F4603" s="9" t="s">
        <v>1169</v>
      </c>
      <c r="G4603" s="9" t="s">
        <v>2972</v>
      </c>
      <c r="H4603" s="2" t="s">
        <v>35</v>
      </c>
      <c r="I4603" s="3">
        <v>37427</v>
      </c>
      <c r="J4603" s="9" t="str">
        <f t="shared" ca="1" si="80"/>
        <v>21 ans</v>
      </c>
      <c r="K4603" s="2" t="s">
        <v>262</v>
      </c>
      <c r="L4603" s="2" t="str">
        <f>"12810"</f>
        <v>12810</v>
      </c>
      <c r="M4603" s="2" t="str">
        <f>"2491"</f>
        <v>2491</v>
      </c>
      <c r="N4603" s="2" t="str">
        <f>"RUE RONSARD"</f>
        <v>RUE RONSARD</v>
      </c>
      <c r="O4603" s="2" t="s">
        <v>18155</v>
      </c>
      <c r="P4603" s="9" t="str">
        <f>VLOOKUP($O4603,'Liste des Villes'!$B$2:$B$1128,1,FALSE)</f>
        <v>Blainville</v>
      </c>
      <c r="Q4603" s="9" t="str">
        <f>IFERROR($P4603,PROPER(VLOOKUP($O4603,'Villes en erreur'!$A$2:$B$72,2,FALSE)))</f>
        <v>Blainville</v>
      </c>
      <c r="R4603" s="9" t="s">
        <v>18156</v>
      </c>
      <c r="S4603" s="9" t="str">
        <f>IF(ISBLANK($R4603),"",VLOOKUP($R4603,'Liste des Villes'!$B$2:$H$1128,4,FALSE))</f>
        <v>Laurentides</v>
      </c>
      <c r="T4603" s="2" t="s">
        <v>19149</v>
      </c>
      <c r="U4603" s="2" t="s">
        <v>39</v>
      </c>
      <c r="V4603" s="2" t="s">
        <v>40</v>
      </c>
      <c r="W4603" s="2" t="s">
        <v>19150</v>
      </c>
      <c r="X4603" s="2" t="str">
        <f>"5142200525"</f>
        <v>5142200525</v>
      </c>
      <c r="Y4603" s="2" t="str">
        <f>"4506756428"</f>
        <v>4506756428</v>
      </c>
      <c r="Z4603" s="2"/>
      <c r="AA4603" s="2" t="s">
        <v>456</v>
      </c>
      <c r="AB4603" s="2" t="s">
        <v>457</v>
      </c>
      <c r="AC4603" s="4" t="s">
        <v>44</v>
      </c>
    </row>
    <row r="4604" spans="1:29" x14ac:dyDescent="0.25">
      <c r="A4604" s="1">
        <v>1337</v>
      </c>
      <c r="B4604" s="17" t="s">
        <v>19151</v>
      </c>
      <c r="C4604" s="2" t="s">
        <v>19152</v>
      </c>
      <c r="D4604" s="15" t="s">
        <v>12042</v>
      </c>
      <c r="E4604" s="9" t="s">
        <v>14709</v>
      </c>
      <c r="F4604" s="9" t="s">
        <v>2251</v>
      </c>
      <c r="G4604" s="9" t="s">
        <v>6458</v>
      </c>
      <c r="H4604" s="2" t="s">
        <v>35</v>
      </c>
      <c r="I4604" s="3">
        <v>37525</v>
      </c>
      <c r="J4604" s="9" t="str">
        <f t="shared" ca="1" si="80"/>
        <v>20 ans</v>
      </c>
      <c r="K4604" s="2" t="s">
        <v>262</v>
      </c>
      <c r="L4604" s="2" t="str">
        <f>"18695"</f>
        <v>18695</v>
      </c>
      <c r="M4604" s="2" t="str">
        <f>"1"</f>
        <v>1</v>
      </c>
      <c r="N4604" s="2" t="str">
        <f>"TERRASSE RIOPEL"</f>
        <v>TERRASSE RIOPEL</v>
      </c>
      <c r="O4604" s="2" t="s">
        <v>18155</v>
      </c>
      <c r="P4604" s="9" t="str">
        <f>VLOOKUP($O4604,'Liste des Villes'!$B$2:$B$1128,1,FALSE)</f>
        <v>Blainville</v>
      </c>
      <c r="Q4604" s="9" t="str">
        <f>IFERROR($P4604,PROPER(VLOOKUP($O4604,'Villes en erreur'!$A$2:$B$72,2,FALSE)))</f>
        <v>Blainville</v>
      </c>
      <c r="R4604" s="9" t="s">
        <v>18156</v>
      </c>
      <c r="S4604" s="9" t="str">
        <f>IF(ISBLANK($R4604),"",VLOOKUP($R4604,'Liste des Villes'!$B$2:$H$1128,4,FALSE))</f>
        <v>Laurentides</v>
      </c>
      <c r="T4604" s="2" t="s">
        <v>19153</v>
      </c>
      <c r="U4604" s="2" t="s">
        <v>39</v>
      </c>
      <c r="V4604" s="2" t="s">
        <v>40</v>
      </c>
      <c r="W4604" s="2" t="s">
        <v>19154</v>
      </c>
      <c r="X4604" s="2" t="str">
        <f>"8194409760"</f>
        <v>8194409760</v>
      </c>
      <c r="Y4604" s="2" t="str">
        <f>"4384916780"</f>
        <v>4384916780</v>
      </c>
      <c r="Z4604" s="2" t="str">
        <f>"4506751432"</f>
        <v>4506751432</v>
      </c>
      <c r="AA4604" s="2" t="s">
        <v>456</v>
      </c>
      <c r="AB4604" s="2" t="s">
        <v>457</v>
      </c>
      <c r="AC4604" s="4" t="s">
        <v>44</v>
      </c>
    </row>
    <row r="4605" spans="1:29" x14ac:dyDescent="0.25">
      <c r="A4605" s="1">
        <v>4375</v>
      </c>
      <c r="B4605" s="17" t="s">
        <v>19155</v>
      </c>
      <c r="C4605" s="2" t="s">
        <v>14436</v>
      </c>
      <c r="D4605" s="15" t="s">
        <v>1452</v>
      </c>
      <c r="E4605" s="9" t="s">
        <v>2049</v>
      </c>
      <c r="F4605" s="9" t="s">
        <v>7681</v>
      </c>
      <c r="G4605" s="9" t="s">
        <v>5534</v>
      </c>
      <c r="H4605" s="2" t="s">
        <v>60</v>
      </c>
      <c r="I4605" s="3">
        <v>37507</v>
      </c>
      <c r="J4605" s="9" t="str">
        <f t="shared" ca="1" si="80"/>
        <v>20 ans</v>
      </c>
      <c r="K4605" s="2" t="s">
        <v>262</v>
      </c>
      <c r="L4605" s="2" t="str">
        <f>"17035"</f>
        <v>17035</v>
      </c>
      <c r="M4605" s="2" t="str">
        <f>"3"</f>
        <v>3</v>
      </c>
      <c r="N4605" s="2" t="str">
        <f>"RUE YORK"</f>
        <v>RUE YORK</v>
      </c>
      <c r="O4605" s="2" t="s">
        <v>18155</v>
      </c>
      <c r="P4605" s="9" t="str">
        <f>VLOOKUP($O4605,'Liste des Villes'!$B$2:$B$1128,1,FALSE)</f>
        <v>Blainville</v>
      </c>
      <c r="Q4605" s="9" t="str">
        <f>IFERROR($P4605,PROPER(VLOOKUP($O4605,'Villes en erreur'!$A$2:$B$72,2,FALSE)))</f>
        <v>Blainville</v>
      </c>
      <c r="R4605" s="9" t="s">
        <v>18156</v>
      </c>
      <c r="S4605" s="9" t="str">
        <f>IF(ISBLANK($R4605),"",VLOOKUP($R4605,'Liste des Villes'!$B$2:$H$1128,4,FALSE))</f>
        <v>Laurentides</v>
      </c>
      <c r="T4605" s="2" t="s">
        <v>19156</v>
      </c>
      <c r="U4605" s="2" t="s">
        <v>39</v>
      </c>
      <c r="V4605" s="2" t="s">
        <v>40</v>
      </c>
      <c r="W4605" s="2" t="s">
        <v>19157</v>
      </c>
      <c r="X4605" s="2" t="str">
        <f>"5796377579"</f>
        <v>5796377579</v>
      </c>
      <c r="Y4605" s="2" t="str">
        <f>"4502221429"</f>
        <v>4502221429</v>
      </c>
      <c r="Z4605" s="2"/>
      <c r="AA4605" s="2" t="s">
        <v>456</v>
      </c>
      <c r="AB4605" s="2" t="s">
        <v>457</v>
      </c>
      <c r="AC4605" s="4" t="s">
        <v>44</v>
      </c>
    </row>
    <row r="4606" spans="1:29" x14ac:dyDescent="0.25">
      <c r="A4606" s="1">
        <v>3911</v>
      </c>
      <c r="B4606" s="17" t="s">
        <v>19158</v>
      </c>
      <c r="C4606" s="2" t="s">
        <v>3787</v>
      </c>
      <c r="D4606" s="15" t="s">
        <v>2474</v>
      </c>
      <c r="E4606" s="9" t="s">
        <v>293</v>
      </c>
      <c r="F4606" s="9" t="s">
        <v>3788</v>
      </c>
      <c r="G4606" s="9" t="s">
        <v>2381</v>
      </c>
      <c r="H4606" s="2" t="s">
        <v>35</v>
      </c>
      <c r="I4606" s="3">
        <v>37505</v>
      </c>
      <c r="J4606" s="9" t="str">
        <f t="shared" ca="1" si="80"/>
        <v>20 ans</v>
      </c>
      <c r="K4606" s="2" t="s">
        <v>262</v>
      </c>
      <c r="L4606" s="2" t="str">
        <f>"16975"</f>
        <v>16975</v>
      </c>
      <c r="M4606" s="2" t="str">
        <f>"4"</f>
        <v>4</v>
      </c>
      <c r="N4606" s="2" t="str">
        <f>"RUE WILFRID-PELLETIER"</f>
        <v>RUE WILFRID-PELLETIER</v>
      </c>
      <c r="O4606" s="2" t="s">
        <v>18155</v>
      </c>
      <c r="P4606" s="9" t="str">
        <f>VLOOKUP($O4606,'Liste des Villes'!$B$2:$B$1128,1,FALSE)</f>
        <v>Blainville</v>
      </c>
      <c r="Q4606" s="9" t="str">
        <f>IFERROR($P4606,PROPER(VLOOKUP($O4606,'Villes en erreur'!$A$2:$B$72,2,FALSE)))</f>
        <v>Blainville</v>
      </c>
      <c r="R4606" s="9" t="s">
        <v>18156</v>
      </c>
      <c r="S4606" s="9" t="str">
        <f>IF(ISBLANK($R4606),"",VLOOKUP($R4606,'Liste des Villes'!$B$2:$H$1128,4,FALSE))</f>
        <v>Laurentides</v>
      </c>
      <c r="T4606" s="2" t="s">
        <v>18179</v>
      </c>
      <c r="U4606" s="2" t="s">
        <v>39</v>
      </c>
      <c r="V4606" s="2" t="s">
        <v>40</v>
      </c>
      <c r="W4606" s="2" t="s">
        <v>19159</v>
      </c>
      <c r="X4606" s="2" t="str">
        <f>"5149831194"</f>
        <v>5149831194</v>
      </c>
      <c r="Y4606" s="2" t="str">
        <f>"4502241841"</f>
        <v>4502241841</v>
      </c>
      <c r="Z4606" s="2"/>
      <c r="AA4606" s="2" t="s">
        <v>456</v>
      </c>
      <c r="AB4606" s="2" t="s">
        <v>457</v>
      </c>
      <c r="AC4606" s="4" t="s">
        <v>44</v>
      </c>
    </row>
    <row r="4607" spans="1:29" x14ac:dyDescent="0.25">
      <c r="A4607" s="1">
        <v>2641</v>
      </c>
      <c r="B4607" s="17" t="s">
        <v>19160</v>
      </c>
      <c r="C4607" s="2" t="s">
        <v>9157</v>
      </c>
      <c r="D4607" s="15" t="s">
        <v>9158</v>
      </c>
      <c r="E4607" s="9" t="s">
        <v>929</v>
      </c>
      <c r="F4607" s="9" t="s">
        <v>2983</v>
      </c>
      <c r="G4607" s="9" t="s">
        <v>341</v>
      </c>
      <c r="H4607" s="2" t="s">
        <v>60</v>
      </c>
      <c r="I4607" s="3">
        <v>37456</v>
      </c>
      <c r="J4607" s="9" t="str">
        <f t="shared" ca="1" si="80"/>
        <v>21 ans</v>
      </c>
      <c r="K4607" s="2" t="s">
        <v>262</v>
      </c>
      <c r="L4607" s="2" t="str">
        <f>"13855"</f>
        <v>13855</v>
      </c>
      <c r="M4607" s="2" t="str">
        <f>"105"</f>
        <v>105</v>
      </c>
      <c r="N4607" s="2" t="str">
        <f>"RUE SAINT-VINCENT"</f>
        <v>RUE SAINT-VINCENT</v>
      </c>
      <c r="O4607" s="2" t="s">
        <v>18155</v>
      </c>
      <c r="P4607" s="9" t="str">
        <f>VLOOKUP($O4607,'Liste des Villes'!$B$2:$B$1128,1,FALSE)</f>
        <v>Blainville</v>
      </c>
      <c r="Q4607" s="9" t="str">
        <f>IFERROR($P4607,PROPER(VLOOKUP($O4607,'Villes en erreur'!$A$2:$B$72,2,FALSE)))</f>
        <v>Blainville</v>
      </c>
      <c r="R4607" s="9" t="s">
        <v>18156</v>
      </c>
      <c r="S4607" s="9" t="str">
        <f>IF(ISBLANK($R4607),"",VLOOKUP($R4607,'Liste des Villes'!$B$2:$H$1128,4,FALSE))</f>
        <v>Laurentides</v>
      </c>
      <c r="T4607" s="2" t="s">
        <v>19161</v>
      </c>
      <c r="U4607" s="2" t="s">
        <v>39</v>
      </c>
      <c r="V4607" s="2" t="s">
        <v>40</v>
      </c>
      <c r="W4607" s="2" t="s">
        <v>19162</v>
      </c>
      <c r="X4607" s="2" t="str">
        <f>"5146190776"</f>
        <v>5146190776</v>
      </c>
      <c r="Y4607" s="2" t="str">
        <f>"4505128223"</f>
        <v>4505128223</v>
      </c>
      <c r="Z4607" s="2"/>
      <c r="AA4607" s="2" t="s">
        <v>456</v>
      </c>
      <c r="AB4607" s="2" t="s">
        <v>457</v>
      </c>
      <c r="AC4607" s="4" t="s">
        <v>44</v>
      </c>
    </row>
    <row r="4608" spans="1:29" x14ac:dyDescent="0.25">
      <c r="A4608" s="1">
        <v>1473</v>
      </c>
      <c r="B4608" s="17" t="s">
        <v>19163</v>
      </c>
      <c r="C4608" s="2" t="s">
        <v>19164</v>
      </c>
      <c r="D4608" s="15" t="s">
        <v>11693</v>
      </c>
      <c r="E4608" s="9" t="s">
        <v>683</v>
      </c>
      <c r="F4608" s="9" t="s">
        <v>623</v>
      </c>
      <c r="G4608" s="9" t="s">
        <v>2274</v>
      </c>
      <c r="H4608" s="2" t="s">
        <v>60</v>
      </c>
      <c r="I4608" s="3">
        <v>37468</v>
      </c>
      <c r="J4608" s="9" t="str">
        <f t="shared" ca="1" si="80"/>
        <v>21 ans</v>
      </c>
      <c r="K4608" s="2" t="s">
        <v>262</v>
      </c>
      <c r="L4608" s="2" t="str">
        <f>"14130"</f>
        <v>14130</v>
      </c>
      <c r="M4608" s="2" t="str">
        <f>"24"</f>
        <v>24</v>
      </c>
      <c r="N4608" s="2" t="str">
        <f>"RUE SÉGUIN"</f>
        <v>RUE SÉGUIN</v>
      </c>
      <c r="O4608" s="2" t="s">
        <v>18155</v>
      </c>
      <c r="P4608" s="9" t="str">
        <f>VLOOKUP($O4608,'Liste des Villes'!$B$2:$B$1128,1,FALSE)</f>
        <v>Blainville</v>
      </c>
      <c r="Q4608" s="9" t="str">
        <f>IFERROR($P4608,PROPER(VLOOKUP($O4608,'Villes en erreur'!$A$2:$B$72,2,FALSE)))</f>
        <v>Blainville</v>
      </c>
      <c r="R4608" s="9" t="s">
        <v>18156</v>
      </c>
      <c r="S4608" s="9" t="str">
        <f>IF(ISBLANK($R4608),"",VLOOKUP($R4608,'Liste des Villes'!$B$2:$H$1128,4,FALSE))</f>
        <v>Laurentides</v>
      </c>
      <c r="T4608" s="2" t="s">
        <v>18197</v>
      </c>
      <c r="U4608" s="2" t="s">
        <v>39</v>
      </c>
      <c r="V4608" s="2" t="s">
        <v>40</v>
      </c>
      <c r="W4608" s="2" t="s">
        <v>19165</v>
      </c>
      <c r="X4608" s="2" t="str">
        <f>"5147075903"</f>
        <v>5147075903</v>
      </c>
      <c r="Y4608" s="2" t="str">
        <f>"4504392157"</f>
        <v>4504392157</v>
      </c>
      <c r="Z4608" s="2"/>
      <c r="AA4608" s="2" t="s">
        <v>456</v>
      </c>
      <c r="AB4608" s="2" t="s">
        <v>457</v>
      </c>
      <c r="AC4608" s="4" t="s">
        <v>44</v>
      </c>
    </row>
    <row r="4609" spans="1:29" x14ac:dyDescent="0.25">
      <c r="A4609" s="1">
        <v>304</v>
      </c>
      <c r="B4609" s="17" t="s">
        <v>19166</v>
      </c>
      <c r="C4609" s="2" t="s">
        <v>19167</v>
      </c>
      <c r="D4609" s="15" t="s">
        <v>14196</v>
      </c>
      <c r="E4609" s="9" t="s">
        <v>2217</v>
      </c>
      <c r="F4609" s="9" t="s">
        <v>14195</v>
      </c>
      <c r="G4609" s="9" t="s">
        <v>757</v>
      </c>
      <c r="H4609" s="2" t="s">
        <v>60</v>
      </c>
      <c r="I4609" s="3">
        <v>37456</v>
      </c>
      <c r="J4609" s="9" t="str">
        <f t="shared" ca="1" si="80"/>
        <v>21 ans</v>
      </c>
      <c r="K4609" s="2" t="s">
        <v>262</v>
      </c>
      <c r="L4609" s="2" t="str">
        <f>"13865"</f>
        <v>13865</v>
      </c>
      <c r="M4609" s="2" t="str">
        <f>"104"</f>
        <v>104</v>
      </c>
      <c r="N4609" s="2" t="str">
        <f>"RUE SANDRINE"</f>
        <v>RUE SANDRINE</v>
      </c>
      <c r="O4609" s="2" t="s">
        <v>18155</v>
      </c>
      <c r="P4609" s="9" t="str">
        <f>VLOOKUP($O4609,'Liste des Villes'!$B$2:$B$1128,1,FALSE)</f>
        <v>Blainville</v>
      </c>
      <c r="Q4609" s="9" t="str">
        <f>IFERROR($P4609,PROPER(VLOOKUP($O4609,'Villes en erreur'!$A$2:$B$72,2,FALSE)))</f>
        <v>Blainville</v>
      </c>
      <c r="R4609" s="9" t="s">
        <v>18156</v>
      </c>
      <c r="S4609" s="9" t="str">
        <f>IF(ISBLANK($R4609),"",VLOOKUP($R4609,'Liste des Villes'!$B$2:$H$1128,4,FALSE))</f>
        <v>Laurentides</v>
      </c>
      <c r="T4609" s="2" t="s">
        <v>18470</v>
      </c>
      <c r="U4609" s="2" t="s">
        <v>39</v>
      </c>
      <c r="V4609" s="2" t="s">
        <v>40</v>
      </c>
      <c r="W4609" s="2" t="s">
        <v>19168</v>
      </c>
      <c r="X4609" s="2" t="str">
        <f>"5146196571"</f>
        <v>5146196571</v>
      </c>
      <c r="Y4609" s="2" t="str">
        <f>"4505127247"</f>
        <v>4505127247</v>
      </c>
      <c r="Z4609" s="2"/>
      <c r="AA4609" s="2" t="s">
        <v>456</v>
      </c>
      <c r="AB4609" s="2" t="s">
        <v>457</v>
      </c>
      <c r="AC4609" s="4" t="s">
        <v>44</v>
      </c>
    </row>
    <row r="4610" spans="1:29" x14ac:dyDescent="0.25">
      <c r="A4610" s="1">
        <v>303</v>
      </c>
      <c r="B4610" s="17" t="s">
        <v>19169</v>
      </c>
      <c r="C4610" s="2" t="s">
        <v>9432</v>
      </c>
      <c r="D4610" s="15" t="s">
        <v>449</v>
      </c>
      <c r="E4610" s="9" t="s">
        <v>9433</v>
      </c>
      <c r="F4610" s="9" t="s">
        <v>6669</v>
      </c>
      <c r="G4610" s="9" t="s">
        <v>2877</v>
      </c>
      <c r="H4610" s="2" t="s">
        <v>35</v>
      </c>
      <c r="I4610" s="3">
        <v>37550</v>
      </c>
      <c r="J4610" s="9" t="str">
        <f t="shared" ref="J4610:J4618" ca="1" si="81">_xlfn.CONCAT(INT((TODAY()-$I4610)/365.25)," ans")</f>
        <v>20 ans</v>
      </c>
      <c r="K4610" s="2" t="s">
        <v>262</v>
      </c>
      <c r="L4610" s="2" t="str">
        <f>"124A"</f>
        <v>124A</v>
      </c>
      <c r="M4610" s="2" t="str">
        <f>"1"</f>
        <v>1</v>
      </c>
      <c r="N4610" s="2" t="str">
        <f>"TSSE PAUL-COMTOIS"</f>
        <v>TSSE PAUL-COMTOIS</v>
      </c>
      <c r="O4610" s="2" t="s">
        <v>18155</v>
      </c>
      <c r="P4610" s="9" t="str">
        <f>VLOOKUP($O4610,'Liste des Villes'!$B$2:$B$1128,1,FALSE)</f>
        <v>Blainville</v>
      </c>
      <c r="Q4610" s="9" t="str">
        <f>IFERROR($P4610,PROPER(VLOOKUP($O4610,'Villes en erreur'!$A$2:$B$72,2,FALSE)))</f>
        <v>Blainville</v>
      </c>
      <c r="R4610" s="9" t="s">
        <v>18156</v>
      </c>
      <c r="S4610" s="9" t="str">
        <f>IF(ISBLANK($R4610),"",VLOOKUP($R4610,'Liste des Villes'!$B$2:$H$1128,4,FALSE))</f>
        <v>Laurentides</v>
      </c>
      <c r="T4610" s="2" t="s">
        <v>18846</v>
      </c>
      <c r="U4610" s="2" t="s">
        <v>39</v>
      </c>
      <c r="V4610" s="2" t="s">
        <v>40</v>
      </c>
      <c r="W4610" s="2" t="s">
        <v>19170</v>
      </c>
      <c r="X4610" s="2" t="str">
        <f>"4505162611 x1623815"</f>
        <v>4505162611 x1623815</v>
      </c>
      <c r="Y4610" s="2" t="str">
        <f>"4383922980"</f>
        <v>4383922980</v>
      </c>
      <c r="Z4610" s="2" t="str">
        <f>"5146324860"</f>
        <v>5146324860</v>
      </c>
      <c r="AA4610" s="2" t="s">
        <v>456</v>
      </c>
      <c r="AB4610" s="2" t="s">
        <v>457</v>
      </c>
      <c r="AC4610" s="4" t="s">
        <v>44</v>
      </c>
    </row>
    <row r="4611" spans="1:29" x14ac:dyDescent="0.25">
      <c r="A4611" s="1">
        <v>4089</v>
      </c>
      <c r="B4611" s="17" t="s">
        <v>19171</v>
      </c>
      <c r="C4611" s="2" t="s">
        <v>18167</v>
      </c>
      <c r="D4611" s="15" t="s">
        <v>1206</v>
      </c>
      <c r="E4611" s="9" t="s">
        <v>1355</v>
      </c>
      <c r="F4611" s="9" t="s">
        <v>4072</v>
      </c>
      <c r="G4611" s="9" t="s">
        <v>2355</v>
      </c>
      <c r="H4611" s="2" t="s">
        <v>60</v>
      </c>
      <c r="I4611" s="3">
        <v>37466</v>
      </c>
      <c r="J4611" s="9" t="str">
        <f t="shared" ca="1" si="81"/>
        <v>21 ans</v>
      </c>
      <c r="K4611" s="2" t="s">
        <v>262</v>
      </c>
      <c r="L4611" s="2" t="str">
        <f>"14085"</f>
        <v>14085</v>
      </c>
      <c r="M4611" s="2" t="str">
        <f>"52"</f>
        <v>52</v>
      </c>
      <c r="N4611" s="2" t="str">
        <f>"RUE SCHULZ"</f>
        <v>RUE SCHULZ</v>
      </c>
      <c r="O4611" s="2" t="s">
        <v>18155</v>
      </c>
      <c r="P4611" s="9" t="str">
        <f>VLOOKUP($O4611,'Liste des Villes'!$B$2:$B$1128,1,FALSE)</f>
        <v>Blainville</v>
      </c>
      <c r="Q4611" s="9" t="str">
        <f>IFERROR($P4611,PROPER(VLOOKUP($O4611,'Villes en erreur'!$A$2:$B$72,2,FALSE)))</f>
        <v>Blainville</v>
      </c>
      <c r="R4611" s="9" t="s">
        <v>18156</v>
      </c>
      <c r="S4611" s="9" t="str">
        <f>IF(ISBLANK($R4611),"",VLOOKUP($R4611,'Liste des Villes'!$B$2:$H$1128,4,FALSE))</f>
        <v>Laurentides</v>
      </c>
      <c r="T4611" s="2" t="s">
        <v>19012</v>
      </c>
      <c r="U4611" s="2" t="s">
        <v>39</v>
      </c>
      <c r="V4611" s="2" t="s">
        <v>40</v>
      </c>
      <c r="W4611" s="2" t="s">
        <v>19172</v>
      </c>
      <c r="X4611" s="2" t="str">
        <f>"5147030114"</f>
        <v>5147030114</v>
      </c>
      <c r="Y4611" s="2" t="str">
        <f>"4504728547"</f>
        <v>4504728547</v>
      </c>
      <c r="Z4611" s="2"/>
      <c r="AA4611" s="2" t="s">
        <v>456</v>
      </c>
      <c r="AB4611" s="2" t="s">
        <v>457</v>
      </c>
      <c r="AC4611" s="4" t="s">
        <v>44</v>
      </c>
    </row>
    <row r="4612" spans="1:29" x14ac:dyDescent="0.25">
      <c r="A4612" s="1">
        <v>3344</v>
      </c>
      <c r="B4612" s="17" t="s">
        <v>19173</v>
      </c>
      <c r="C4612" s="2" t="s">
        <v>19174</v>
      </c>
      <c r="D4612" s="15" t="s">
        <v>3103</v>
      </c>
      <c r="E4612" s="9" t="s">
        <v>59</v>
      </c>
      <c r="F4612" s="9" t="s">
        <v>657</v>
      </c>
      <c r="G4612" s="9" t="s">
        <v>3451</v>
      </c>
      <c r="H4612" s="2" t="s">
        <v>60</v>
      </c>
      <c r="I4612" s="3">
        <v>37474</v>
      </c>
      <c r="J4612" s="9" t="str">
        <f t="shared" ca="1" si="81"/>
        <v>21 ans</v>
      </c>
      <c r="K4612" s="2" t="s">
        <v>262</v>
      </c>
      <c r="L4612" s="2" t="str">
        <f>"14315"</f>
        <v>14315</v>
      </c>
      <c r="M4612" s="2" t="str">
        <f>"11"</f>
        <v>11</v>
      </c>
      <c r="N4612" s="2" t="str">
        <f>"RUE ST-GEORGES"</f>
        <v>RUE ST-GEORGES</v>
      </c>
      <c r="O4612" s="2" t="s">
        <v>18155</v>
      </c>
      <c r="P4612" s="9" t="str">
        <f>VLOOKUP($O4612,'Liste des Villes'!$B$2:$B$1128,1,FALSE)</f>
        <v>Blainville</v>
      </c>
      <c r="Q4612" s="9" t="str">
        <f>IFERROR($P4612,PROPER(VLOOKUP($O4612,'Villes en erreur'!$A$2:$B$72,2,FALSE)))</f>
        <v>Blainville</v>
      </c>
      <c r="R4612" s="9" t="s">
        <v>18156</v>
      </c>
      <c r="S4612" s="9" t="str">
        <f>IF(ISBLANK($R4612),"",VLOOKUP($R4612,'Liste des Villes'!$B$2:$H$1128,4,FALSE))</f>
        <v>Laurentides</v>
      </c>
      <c r="T4612" s="2" t="s">
        <v>19175</v>
      </c>
      <c r="U4612" s="2" t="s">
        <v>39</v>
      </c>
      <c r="V4612" s="2" t="s">
        <v>40</v>
      </c>
      <c r="W4612" s="2" t="s">
        <v>19176</v>
      </c>
      <c r="X4612" s="2" t="str">
        <f>"5147750163"</f>
        <v>5147750163</v>
      </c>
      <c r="Y4612" s="2" t="str">
        <f>"4504365568"</f>
        <v>4504365568</v>
      </c>
      <c r="Z4612" s="2"/>
      <c r="AA4612" s="2" t="s">
        <v>456</v>
      </c>
      <c r="AB4612" s="2" t="s">
        <v>457</v>
      </c>
      <c r="AC4612" s="4" t="s">
        <v>44</v>
      </c>
    </row>
    <row r="4613" spans="1:29" x14ac:dyDescent="0.25">
      <c r="A4613" s="1">
        <v>4362</v>
      </c>
      <c r="B4613" s="17" t="s">
        <v>19177</v>
      </c>
      <c r="C4613" s="2" t="s">
        <v>4302</v>
      </c>
      <c r="D4613" s="15" t="s">
        <v>4303</v>
      </c>
      <c r="E4613" s="9" t="s">
        <v>277</v>
      </c>
      <c r="F4613" s="9" t="s">
        <v>15558</v>
      </c>
      <c r="G4613" s="9" t="s">
        <v>781</v>
      </c>
      <c r="H4613" s="2" t="s">
        <v>60</v>
      </c>
      <c r="I4613" s="3">
        <v>37439</v>
      </c>
      <c r="J4613" s="9" t="str">
        <f t="shared" ca="1" si="81"/>
        <v>21 ans</v>
      </c>
      <c r="K4613" s="2" t="s">
        <v>262</v>
      </c>
      <c r="L4613" s="2" t="str">
        <f>"13397"</f>
        <v>13397</v>
      </c>
      <c r="M4613" s="2" t="str">
        <f>"370"</f>
        <v>370</v>
      </c>
      <c r="N4613" s="2" t="str">
        <f>"RUE SAINT LOUIS"</f>
        <v>RUE SAINT LOUIS</v>
      </c>
      <c r="O4613" s="2" t="s">
        <v>18155</v>
      </c>
      <c r="P4613" s="9" t="str">
        <f>VLOOKUP($O4613,'Liste des Villes'!$B$2:$B$1128,1,FALSE)</f>
        <v>Blainville</v>
      </c>
      <c r="Q4613" s="9" t="str">
        <f>IFERROR($P4613,PROPER(VLOOKUP($O4613,'Villes en erreur'!$A$2:$B$72,2,FALSE)))</f>
        <v>Blainville</v>
      </c>
      <c r="R4613" s="9" t="s">
        <v>18156</v>
      </c>
      <c r="S4613" s="9" t="str">
        <f>IF(ISBLANK($R4613),"",VLOOKUP($R4613,'Liste des Villes'!$B$2:$H$1128,4,FALSE))</f>
        <v>Laurentides</v>
      </c>
      <c r="T4613" s="2" t="s">
        <v>19178</v>
      </c>
      <c r="U4613" s="2" t="s">
        <v>39</v>
      </c>
      <c r="V4613" s="2" t="s">
        <v>40</v>
      </c>
      <c r="W4613" s="2" t="s">
        <v>19179</v>
      </c>
      <c r="X4613" s="2" t="str">
        <f>"5143490400"</f>
        <v>5143490400</v>
      </c>
      <c r="Y4613" s="2" t="str">
        <f>"4505926575"</f>
        <v>4505926575</v>
      </c>
      <c r="Z4613" s="2"/>
      <c r="AA4613" s="2" t="s">
        <v>456</v>
      </c>
      <c r="AB4613" s="2" t="s">
        <v>457</v>
      </c>
      <c r="AC4613" s="4" t="s">
        <v>44</v>
      </c>
    </row>
    <row r="4614" spans="1:29" x14ac:dyDescent="0.25">
      <c r="A4614" s="1">
        <v>2610</v>
      </c>
      <c r="B4614" s="17" t="s">
        <v>19180</v>
      </c>
      <c r="C4614" s="2" t="s">
        <v>19181</v>
      </c>
      <c r="D4614" s="15" t="s">
        <v>2698</v>
      </c>
      <c r="E4614" s="9" t="s">
        <v>9035</v>
      </c>
      <c r="F4614" s="9" t="s">
        <v>7710</v>
      </c>
      <c r="G4614" s="9" t="s">
        <v>16836</v>
      </c>
      <c r="H4614" s="2" t="s">
        <v>35</v>
      </c>
      <c r="I4614" s="3">
        <v>37524</v>
      </c>
      <c r="J4614" s="9" t="str">
        <f t="shared" ca="1" si="81"/>
        <v>20 ans</v>
      </c>
      <c r="K4614" s="2" t="s">
        <v>262</v>
      </c>
      <c r="L4614" s="2" t="str">
        <f>"18640"</f>
        <v>18640</v>
      </c>
      <c r="M4614" s="2" t="str">
        <f>"1"</f>
        <v>1</v>
      </c>
      <c r="N4614" s="2" t="str">
        <f>"TERRASSE LIONEL"</f>
        <v>TERRASSE LIONEL</v>
      </c>
      <c r="O4614" s="2" t="s">
        <v>18155</v>
      </c>
      <c r="P4614" s="9" t="str">
        <f>VLOOKUP($O4614,'Liste des Villes'!$B$2:$B$1128,1,FALSE)</f>
        <v>Blainville</v>
      </c>
      <c r="Q4614" s="9" t="str">
        <f>IFERROR($P4614,PROPER(VLOOKUP($O4614,'Villes en erreur'!$A$2:$B$72,2,FALSE)))</f>
        <v>Blainville</v>
      </c>
      <c r="R4614" s="9" t="s">
        <v>18156</v>
      </c>
      <c r="S4614" s="9" t="str">
        <f>IF(ISBLANK($R4614),"",VLOOKUP($R4614,'Liste des Villes'!$B$2:$H$1128,4,FALSE))</f>
        <v>Laurentides</v>
      </c>
      <c r="T4614" s="2" t="s">
        <v>19182</v>
      </c>
      <c r="U4614" s="2" t="s">
        <v>39</v>
      </c>
      <c r="V4614" s="2" t="s">
        <v>40</v>
      </c>
      <c r="W4614" s="2" t="s">
        <v>19183</v>
      </c>
      <c r="X4614" s="2" t="str">
        <f>"8194404296"</f>
        <v>8194404296</v>
      </c>
      <c r="Y4614" s="2" t="str">
        <f>"4384946097"</f>
        <v>4384946097</v>
      </c>
      <c r="Z4614" s="2" t="str">
        <f>"4505127163"</f>
        <v>4505127163</v>
      </c>
      <c r="AA4614" s="2" t="s">
        <v>456</v>
      </c>
      <c r="AB4614" s="2" t="s">
        <v>457</v>
      </c>
      <c r="AC4614" s="4" t="s">
        <v>44</v>
      </c>
    </row>
    <row r="4615" spans="1:29" x14ac:dyDescent="0.25">
      <c r="A4615" s="1">
        <v>2784</v>
      </c>
      <c r="B4615" s="17" t="s">
        <v>19184</v>
      </c>
      <c r="C4615" s="2" t="s">
        <v>19185</v>
      </c>
      <c r="D4615" s="15" t="s">
        <v>825</v>
      </c>
      <c r="E4615" s="9" t="s">
        <v>67</v>
      </c>
      <c r="F4615" s="9" t="s">
        <v>827</v>
      </c>
      <c r="G4615" s="9" t="s">
        <v>1151</v>
      </c>
      <c r="H4615" s="2" t="s">
        <v>35</v>
      </c>
      <c r="I4615" s="3">
        <v>37604</v>
      </c>
      <c r="J4615" s="9" t="str">
        <f t="shared" ca="1" si="81"/>
        <v>20 ans</v>
      </c>
      <c r="K4615" s="2" t="s">
        <v>262</v>
      </c>
      <c r="L4615" s="2" t="str">
        <f>"438B"</f>
        <v>438B</v>
      </c>
      <c r="M4615" s="2" t="str">
        <f>"1"</f>
        <v>1</v>
      </c>
      <c r="N4615" s="2" t="str">
        <f>"VANIER"</f>
        <v>VANIER</v>
      </c>
      <c r="O4615" s="2" t="s">
        <v>19186</v>
      </c>
      <c r="P4615" s="9" t="str">
        <f>VLOOKUP($O4615,'Liste des Villes'!$B$2:$B$1128,1,FALSE)</f>
        <v>Amos</v>
      </c>
      <c r="Q4615" s="9" t="str">
        <f>IFERROR($P4615,PROPER(VLOOKUP($O4615,'Villes en erreur'!$A$2:$B$72,2,FALSE)))</f>
        <v>Amos</v>
      </c>
      <c r="R4615" s="9" t="s">
        <v>19187</v>
      </c>
      <c r="S4615" s="9" t="str">
        <f>IF(ISBLANK($R4615),"",VLOOKUP($R4615,'Liste des Villes'!$B$2:$H$1128,4,FALSE))</f>
        <v>Abitibi-Témiscamingue</v>
      </c>
      <c r="T4615" s="2" t="s">
        <v>19188</v>
      </c>
      <c r="U4615" s="2" t="s">
        <v>39</v>
      </c>
      <c r="V4615" s="2" t="s">
        <v>40</v>
      </c>
      <c r="W4615" s="2" t="s">
        <v>19189</v>
      </c>
      <c r="X4615" s="2" t="str">
        <f>"4509167006 x1742439"</f>
        <v>4509167006 x1742439</v>
      </c>
      <c r="Y4615" s="2" t="str">
        <f>"4364635641"</f>
        <v>4364635641</v>
      </c>
      <c r="Z4615" s="2" t="str">
        <f>"5148391596"</f>
        <v>5148391596</v>
      </c>
      <c r="AA4615" s="2" t="s">
        <v>456</v>
      </c>
      <c r="AB4615" s="2" t="s">
        <v>457</v>
      </c>
      <c r="AC4615" s="4" t="s">
        <v>44</v>
      </c>
    </row>
    <row r="4616" spans="1:29" x14ac:dyDescent="0.25">
      <c r="A4616" s="1">
        <v>3263</v>
      </c>
      <c r="B4616" s="17" t="s">
        <v>19190</v>
      </c>
      <c r="C4616" s="2" t="s">
        <v>2299</v>
      </c>
      <c r="D4616" s="15" t="s">
        <v>1025</v>
      </c>
      <c r="E4616" s="9" t="s">
        <v>2049</v>
      </c>
      <c r="F4616" s="9" t="s">
        <v>1023</v>
      </c>
      <c r="G4616" s="9" t="s">
        <v>6467</v>
      </c>
      <c r="H4616" s="2" t="s">
        <v>35</v>
      </c>
      <c r="I4616" s="3">
        <v>37616</v>
      </c>
      <c r="J4616" s="9" t="str">
        <f t="shared" ca="1" si="81"/>
        <v>20 ans</v>
      </c>
      <c r="K4616" s="2" t="s">
        <v>262</v>
      </c>
      <c r="L4616" s="2" t="str">
        <f>"55A"</f>
        <v>55A</v>
      </c>
      <c r="M4616" s="2" t="str">
        <f>"1"</f>
        <v>1</v>
      </c>
      <c r="N4616" s="2" t="str">
        <f>"VANIER BLVD"</f>
        <v>VANIER BLVD</v>
      </c>
      <c r="O4616" s="2" t="s">
        <v>19186</v>
      </c>
      <c r="P4616" s="9" t="str">
        <f>VLOOKUP($O4616,'Liste des Villes'!$B$2:$B$1128,1,FALSE)</f>
        <v>Amos</v>
      </c>
      <c r="Q4616" s="9" t="str">
        <f>IFERROR($P4616,PROPER(VLOOKUP($O4616,'Villes en erreur'!$A$2:$B$72,2,FALSE)))</f>
        <v>Amos</v>
      </c>
      <c r="R4616" s="9" t="s">
        <v>19187</v>
      </c>
      <c r="S4616" s="9" t="str">
        <f>IF(ISBLANK($R4616),"",VLOOKUP($R4616,'Liste des Villes'!$B$2:$H$1128,4,FALSE))</f>
        <v>Abitibi-Témiscamingue</v>
      </c>
      <c r="T4616" s="2" t="s">
        <v>19191</v>
      </c>
      <c r="U4616" s="2" t="s">
        <v>39</v>
      </c>
      <c r="V4616" s="2" t="s">
        <v>40</v>
      </c>
      <c r="W4616" s="2" t="s">
        <v>19192</v>
      </c>
      <c r="X4616" s="2" t="str">
        <f>"5147141450 x1864836"</f>
        <v>5147141450 x1864836</v>
      </c>
      <c r="Y4616" s="2" t="str">
        <f>"4303901218"</f>
        <v>4303901218</v>
      </c>
      <c r="Z4616" s="2" t="str">
        <f>"8194306922"</f>
        <v>8194306922</v>
      </c>
      <c r="AA4616" s="2" t="s">
        <v>456</v>
      </c>
      <c r="AB4616" s="2" t="s">
        <v>457</v>
      </c>
      <c r="AC4616" s="4" t="s">
        <v>44</v>
      </c>
    </row>
    <row r="4617" spans="1:29" x14ac:dyDescent="0.25">
      <c r="A4617" s="1">
        <v>3005</v>
      </c>
      <c r="B4617" s="17" t="s">
        <v>19193</v>
      </c>
      <c r="C4617" s="2" t="s">
        <v>19194</v>
      </c>
      <c r="D4617" s="15" t="s">
        <v>8988</v>
      </c>
      <c r="E4617" s="9" t="s">
        <v>1377</v>
      </c>
      <c r="F4617" s="9" t="s">
        <v>8987</v>
      </c>
      <c r="G4617" s="9" t="s">
        <v>5105</v>
      </c>
      <c r="H4617" s="2" t="s">
        <v>35</v>
      </c>
      <c r="I4617" s="3">
        <v>37663</v>
      </c>
      <c r="J4617" s="9" t="str">
        <f t="shared" ca="1" si="81"/>
        <v>20 ans</v>
      </c>
      <c r="K4617" s="2" t="s">
        <v>262</v>
      </c>
      <c r="L4617" s="2" t="str">
        <f>"83A"</f>
        <v>83A</v>
      </c>
      <c r="M4617" s="2" t="str">
        <f>"0"</f>
        <v>0</v>
      </c>
      <c r="N4617" s="2" t="str">
        <f>"WILFRID MARTIN"</f>
        <v>WILFRID MARTIN</v>
      </c>
      <c r="O4617" s="2" t="s">
        <v>19195</v>
      </c>
      <c r="P4617" s="9" t="str">
        <f>VLOOKUP($O4617,'Liste des Villes'!$B$2:$B$1128,1,FALSE)</f>
        <v>Amherst</v>
      </c>
      <c r="Q4617" s="9" t="str">
        <f>IFERROR($P4617,PROPER(VLOOKUP($O4617,'Villes en erreur'!$A$2:$B$72,2,FALSE)))</f>
        <v>Amherst</v>
      </c>
      <c r="R4617" s="9" t="s">
        <v>19196</v>
      </c>
      <c r="S4617" s="9" t="str">
        <f>IF(ISBLANK($R4617),"",VLOOKUP($R4617,'Liste des Villes'!$B$2:$H$1128,4,FALSE))</f>
        <v>Laurentides</v>
      </c>
      <c r="T4617" s="2" t="s">
        <v>19197</v>
      </c>
      <c r="U4617" s="2" t="s">
        <v>19198</v>
      </c>
      <c r="V4617" s="2" t="s">
        <v>19199</v>
      </c>
      <c r="W4617" s="2" t="s">
        <v>19200</v>
      </c>
      <c r="X4617" s="2" t="str">
        <f>"5148874830 x1621877"</f>
        <v>5148874830 x1621877</v>
      </c>
      <c r="Y4617" s="2" t="str">
        <f>"4186336590"</f>
        <v>4186336590</v>
      </c>
      <c r="Z4617" s="2" t="str">
        <f>"8196811803"</f>
        <v>8196811803</v>
      </c>
      <c r="AA4617" s="2" t="s">
        <v>19201</v>
      </c>
      <c r="AB4617" s="2" t="s">
        <v>457</v>
      </c>
      <c r="AC4617" s="4" t="s">
        <v>44</v>
      </c>
    </row>
    <row r="4618" spans="1:29" ht="15.75" thickBot="1" x14ac:dyDescent="0.3">
      <c r="A4618" s="5">
        <v>2219</v>
      </c>
      <c r="B4618" s="18" t="s">
        <v>19202</v>
      </c>
      <c r="C4618" s="6" t="s">
        <v>19203</v>
      </c>
      <c r="D4618" s="24" t="s">
        <v>4137</v>
      </c>
      <c r="E4618" s="6" t="s">
        <v>4503</v>
      </c>
      <c r="F4618" s="6" t="s">
        <v>4136</v>
      </c>
      <c r="G4618" s="6" t="s">
        <v>12143</v>
      </c>
      <c r="H4618" s="6" t="s">
        <v>60</v>
      </c>
      <c r="I4618" s="7">
        <v>37627</v>
      </c>
      <c r="J4618" s="6" t="str">
        <f t="shared" ca="1" si="81"/>
        <v>20 ans</v>
      </c>
      <c r="K4618" s="6" t="s">
        <v>262</v>
      </c>
      <c r="L4618" s="6" t="str">
        <f>"683E"</f>
        <v>683E</v>
      </c>
      <c r="M4618" s="6" t="str">
        <f>"0"</f>
        <v>0</v>
      </c>
      <c r="N4618" s="6" t="str">
        <f>"WELLINGTON"</f>
        <v>WELLINGTON</v>
      </c>
      <c r="O4618" s="6" t="s">
        <v>19195</v>
      </c>
      <c r="P4618" s="6" t="str">
        <f>VLOOKUP($O4618,'Liste des Villes'!$B$2:$B$1128,1,FALSE)</f>
        <v>Amherst</v>
      </c>
      <c r="Q4618" s="34" t="str">
        <f>IFERROR($P4618,PROPER(VLOOKUP($O4618,'Villes en erreur'!$A$2:$B$72,2,FALSE)))</f>
        <v>Amherst</v>
      </c>
      <c r="R4618" s="34" t="s">
        <v>19196</v>
      </c>
      <c r="S4618" s="6" t="str">
        <f>IF(ISBLANK($R4618),"",VLOOKUP($R4618,'Liste des Villes'!$B$2:$H$1128,4,FALSE))</f>
        <v>Laurentides</v>
      </c>
      <c r="T4618" s="6" t="s">
        <v>19204</v>
      </c>
      <c r="U4618" s="6" t="s">
        <v>39</v>
      </c>
      <c r="V4618" s="6" t="s">
        <v>40</v>
      </c>
      <c r="W4618" s="6" t="s">
        <v>19205</v>
      </c>
      <c r="X4618" s="6" t="str">
        <f>"5148260777 x1844730"</f>
        <v>5148260777 x1844730</v>
      </c>
      <c r="Y4618" s="6" t="str">
        <f>"4189672615"</f>
        <v>4189672615</v>
      </c>
      <c r="Z4618" s="6" t="str">
        <f>"8195070099"</f>
        <v>8195070099</v>
      </c>
      <c r="AA4618" s="6" t="s">
        <v>456</v>
      </c>
      <c r="AB4618" s="6" t="s">
        <v>457</v>
      </c>
      <c r="AC4618" s="8" t="s">
        <v>44</v>
      </c>
    </row>
  </sheetData>
  <sortState xmlns:xlrd2="http://schemas.microsoft.com/office/spreadsheetml/2017/richdata2" ref="A2:AC4618">
    <sortCondition descending="1" ref="P2:P4618"/>
  </sortState>
  <dataConsolidate/>
  <pageMargins left="0.25" right="0.25" top="0.75" bottom="0.75" header="0.3" footer="0.3"/>
  <pageSetup paperSize="5" fitToWidth="0" fitToHeight="0" orientation="landscape" r:id="rId1"/>
  <ignoredErrors>
    <ignoredError sqref="B2:B4618"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018D4-6385-4447-94AA-B8F9750F3908}">
  <dimension ref="A1:B4619"/>
  <sheetViews>
    <sheetView zoomScaleNormal="100" workbookViewId="0"/>
  </sheetViews>
  <sheetFormatPr baseColWidth="10" defaultColWidth="11.42578125" defaultRowHeight="15" x14ac:dyDescent="0.25"/>
  <cols>
    <col min="1" max="1" width="16" bestFit="1" customWidth="1"/>
    <col min="2" max="2" width="13.7109375" bestFit="1" customWidth="1"/>
  </cols>
  <sheetData>
    <row r="1" spans="1:2" ht="30" customHeight="1" thickTop="1" thickBot="1" x14ac:dyDescent="0.3">
      <c r="A1" s="44" t="s">
        <v>19206</v>
      </c>
      <c r="B1" s="25" t="s">
        <v>19207</v>
      </c>
    </row>
    <row r="2" spans="1:2" ht="15.75" thickTop="1" x14ac:dyDescent="0.25">
      <c r="A2" s="20">
        <f ca="1">RAND()</f>
        <v>0.82526711880091941</v>
      </c>
      <c r="B2" s="21">
        <f ca="1">_xlfn.RANK.EQ($A2,$A:$A,1)</f>
        <v>3820</v>
      </c>
    </row>
    <row r="3" spans="1:2" x14ac:dyDescent="0.25">
      <c r="A3" s="20">
        <f t="shared" ref="A3:A66" ca="1" si="0">RAND()</f>
        <v>0.16345121282057562</v>
      </c>
      <c r="B3" s="21">
        <f t="shared" ref="B3:B66" ca="1" si="1">_xlfn.RANK.EQ($A3,$A:$A,1)</f>
        <v>733</v>
      </c>
    </row>
    <row r="4" spans="1:2" x14ac:dyDescent="0.25">
      <c r="A4" s="20">
        <f t="shared" ca="1" si="0"/>
        <v>0.67818770498682246</v>
      </c>
      <c r="B4" s="21">
        <f t="shared" ca="1" si="1"/>
        <v>3138</v>
      </c>
    </row>
    <row r="5" spans="1:2" x14ac:dyDescent="0.25">
      <c r="A5" s="20">
        <f t="shared" ca="1" si="0"/>
        <v>0.66761705112665459</v>
      </c>
      <c r="B5" s="21">
        <f t="shared" ca="1" si="1"/>
        <v>3099</v>
      </c>
    </row>
    <row r="6" spans="1:2" x14ac:dyDescent="0.25">
      <c r="A6" s="20">
        <f t="shared" ca="1" si="0"/>
        <v>0.23171977355009155</v>
      </c>
      <c r="B6" s="21">
        <f t="shared" ca="1" si="1"/>
        <v>1088</v>
      </c>
    </row>
    <row r="7" spans="1:2" x14ac:dyDescent="0.25">
      <c r="A7" s="20">
        <f t="shared" ca="1" si="0"/>
        <v>0.83898722054992236</v>
      </c>
      <c r="B7" s="21">
        <f t="shared" ca="1" si="1"/>
        <v>3870</v>
      </c>
    </row>
    <row r="8" spans="1:2" x14ac:dyDescent="0.25">
      <c r="A8" s="20">
        <f t="shared" ca="1" si="0"/>
        <v>0.36469579732070956</v>
      </c>
      <c r="B8" s="21">
        <f t="shared" ca="1" si="1"/>
        <v>1727</v>
      </c>
    </row>
    <row r="9" spans="1:2" x14ac:dyDescent="0.25">
      <c r="A9" s="20">
        <f t="shared" ca="1" si="0"/>
        <v>0.9654713517523803</v>
      </c>
      <c r="B9" s="21">
        <f t="shared" ca="1" si="1"/>
        <v>4475</v>
      </c>
    </row>
    <row r="10" spans="1:2" x14ac:dyDescent="0.25">
      <c r="A10" s="20">
        <f t="shared" ca="1" si="0"/>
        <v>0.67450373163791966</v>
      </c>
      <c r="B10" s="21">
        <f t="shared" ca="1" si="1"/>
        <v>3119</v>
      </c>
    </row>
    <row r="11" spans="1:2" x14ac:dyDescent="0.25">
      <c r="A11" s="20">
        <f t="shared" ca="1" si="0"/>
        <v>0.61834353162781341</v>
      </c>
      <c r="B11" s="21">
        <f t="shared" ca="1" si="1"/>
        <v>2872</v>
      </c>
    </row>
    <row r="12" spans="1:2" x14ac:dyDescent="0.25">
      <c r="A12" s="20">
        <f t="shared" ca="1" si="0"/>
        <v>0.28494540571633487</v>
      </c>
      <c r="B12" s="21">
        <f t="shared" ca="1" si="1"/>
        <v>1331</v>
      </c>
    </row>
    <row r="13" spans="1:2" x14ac:dyDescent="0.25">
      <c r="A13" s="20">
        <f t="shared" ca="1" si="0"/>
        <v>0.22564813817501117</v>
      </c>
      <c r="B13" s="21">
        <f t="shared" ca="1" si="1"/>
        <v>1059</v>
      </c>
    </row>
    <row r="14" spans="1:2" x14ac:dyDescent="0.25">
      <c r="A14" s="20">
        <f t="shared" ca="1" si="0"/>
        <v>0.40775796231983452</v>
      </c>
      <c r="B14" s="21">
        <f t="shared" ca="1" si="1"/>
        <v>1914</v>
      </c>
    </row>
    <row r="15" spans="1:2" x14ac:dyDescent="0.25">
      <c r="A15" s="20">
        <f t="shared" ca="1" si="0"/>
        <v>0.85730114428712667</v>
      </c>
      <c r="B15" s="21">
        <f t="shared" ca="1" si="1"/>
        <v>3960</v>
      </c>
    </row>
    <row r="16" spans="1:2" x14ac:dyDescent="0.25">
      <c r="A16" s="20">
        <f t="shared" ca="1" si="0"/>
        <v>0.18351664253810329</v>
      </c>
      <c r="B16" s="21">
        <f t="shared" ca="1" si="1"/>
        <v>843</v>
      </c>
    </row>
    <row r="17" spans="1:2" x14ac:dyDescent="0.25">
      <c r="A17" s="20">
        <f t="shared" ca="1" si="0"/>
        <v>0.32217983490930324</v>
      </c>
      <c r="B17" s="21">
        <f t="shared" ca="1" si="1"/>
        <v>1517</v>
      </c>
    </row>
    <row r="18" spans="1:2" x14ac:dyDescent="0.25">
      <c r="A18" s="20">
        <f t="shared" ca="1" si="0"/>
        <v>0.76048392122870567</v>
      </c>
      <c r="B18" s="21">
        <f t="shared" ca="1" si="1"/>
        <v>3526</v>
      </c>
    </row>
    <row r="19" spans="1:2" x14ac:dyDescent="0.25">
      <c r="A19" s="20">
        <f t="shared" ca="1" si="0"/>
        <v>0.56615386971763659</v>
      </c>
      <c r="B19" s="21">
        <f t="shared" ca="1" si="1"/>
        <v>2647</v>
      </c>
    </row>
    <row r="20" spans="1:2" x14ac:dyDescent="0.25">
      <c r="A20" s="20">
        <f t="shared" ca="1" si="0"/>
        <v>0.37425060870727822</v>
      </c>
      <c r="B20" s="21">
        <f t="shared" ca="1" si="1"/>
        <v>1771</v>
      </c>
    </row>
    <row r="21" spans="1:2" x14ac:dyDescent="0.25">
      <c r="A21" s="20">
        <f t="shared" ca="1" si="0"/>
        <v>0.29335537108902121</v>
      </c>
      <c r="B21" s="21">
        <f t="shared" ca="1" si="1"/>
        <v>1382</v>
      </c>
    </row>
    <row r="22" spans="1:2" x14ac:dyDescent="0.25">
      <c r="A22" s="20">
        <f t="shared" ca="1" si="0"/>
        <v>0.80927454103288177</v>
      </c>
      <c r="B22" s="21">
        <f t="shared" ca="1" si="1"/>
        <v>3742</v>
      </c>
    </row>
    <row r="23" spans="1:2" x14ac:dyDescent="0.25">
      <c r="A23" s="20">
        <f t="shared" ca="1" si="0"/>
        <v>0.30896529824161856</v>
      </c>
      <c r="B23" s="21">
        <f t="shared" ca="1" si="1"/>
        <v>1446</v>
      </c>
    </row>
    <row r="24" spans="1:2" x14ac:dyDescent="0.25">
      <c r="A24" s="20">
        <f t="shared" ca="1" si="0"/>
        <v>0.45582376723386298</v>
      </c>
      <c r="B24" s="21">
        <f t="shared" ca="1" si="1"/>
        <v>2141</v>
      </c>
    </row>
    <row r="25" spans="1:2" x14ac:dyDescent="0.25">
      <c r="A25" s="20">
        <f t="shared" ca="1" si="0"/>
        <v>0.59905752330191675</v>
      </c>
      <c r="B25" s="21">
        <f t="shared" ca="1" si="1"/>
        <v>2801</v>
      </c>
    </row>
    <row r="26" spans="1:2" x14ac:dyDescent="0.25">
      <c r="A26" s="20">
        <f t="shared" ca="1" si="0"/>
        <v>0.82876320051137675</v>
      </c>
      <c r="B26" s="21">
        <f t="shared" ca="1" si="1"/>
        <v>3840</v>
      </c>
    </row>
    <row r="27" spans="1:2" x14ac:dyDescent="0.25">
      <c r="A27" s="20">
        <f t="shared" ca="1" si="0"/>
        <v>0.52746046034172467</v>
      </c>
      <c r="B27" s="21">
        <f t="shared" ca="1" si="1"/>
        <v>2467</v>
      </c>
    </row>
    <row r="28" spans="1:2" x14ac:dyDescent="0.25">
      <c r="A28" s="20">
        <f t="shared" ca="1" si="0"/>
        <v>0.68045970992982396</v>
      </c>
      <c r="B28" s="21">
        <f t="shared" ca="1" si="1"/>
        <v>3155</v>
      </c>
    </row>
    <row r="29" spans="1:2" x14ac:dyDescent="0.25">
      <c r="A29" s="20">
        <f t="shared" ca="1" si="0"/>
        <v>0.93477415277177145</v>
      </c>
      <c r="B29" s="21">
        <f t="shared" ca="1" si="1"/>
        <v>4321</v>
      </c>
    </row>
    <row r="30" spans="1:2" x14ac:dyDescent="0.25">
      <c r="A30" s="20">
        <f t="shared" ca="1" si="0"/>
        <v>0.99473046054845382</v>
      </c>
      <c r="B30" s="21">
        <f t="shared" ca="1" si="1"/>
        <v>4597</v>
      </c>
    </row>
    <row r="31" spans="1:2" x14ac:dyDescent="0.25">
      <c r="A31" s="20">
        <f t="shared" ca="1" si="0"/>
        <v>0.11971842333621197</v>
      </c>
      <c r="B31" s="21">
        <f t="shared" ca="1" si="1"/>
        <v>523</v>
      </c>
    </row>
    <row r="32" spans="1:2" x14ac:dyDescent="0.25">
      <c r="A32" s="20">
        <f t="shared" ca="1" si="0"/>
        <v>0.73016754884875779</v>
      </c>
      <c r="B32" s="21">
        <f t="shared" ca="1" si="1"/>
        <v>3386</v>
      </c>
    </row>
    <row r="33" spans="1:2" x14ac:dyDescent="0.25">
      <c r="A33" s="20">
        <f t="shared" ca="1" si="0"/>
        <v>0.23789512464346785</v>
      </c>
      <c r="B33" s="21">
        <f t="shared" ca="1" si="1"/>
        <v>1114</v>
      </c>
    </row>
    <row r="34" spans="1:2" x14ac:dyDescent="0.25">
      <c r="A34" s="20">
        <f t="shared" ca="1" si="0"/>
        <v>0.5481136149824245</v>
      </c>
      <c r="B34" s="21">
        <f t="shared" ca="1" si="1"/>
        <v>2557</v>
      </c>
    </row>
    <row r="35" spans="1:2" x14ac:dyDescent="0.25">
      <c r="A35" s="20">
        <f t="shared" ca="1" si="0"/>
        <v>0.56874022863383</v>
      </c>
      <c r="B35" s="21">
        <f t="shared" ca="1" si="1"/>
        <v>2656</v>
      </c>
    </row>
    <row r="36" spans="1:2" x14ac:dyDescent="0.25">
      <c r="A36" s="20">
        <f t="shared" ca="1" si="0"/>
        <v>0.42124157111457028</v>
      </c>
      <c r="B36" s="21">
        <f t="shared" ca="1" si="1"/>
        <v>1976</v>
      </c>
    </row>
    <row r="37" spans="1:2" x14ac:dyDescent="0.25">
      <c r="A37" s="20">
        <f t="shared" ca="1" si="0"/>
        <v>0.75332133605629947</v>
      </c>
      <c r="B37" s="21">
        <f t="shared" ca="1" si="1"/>
        <v>3492</v>
      </c>
    </row>
    <row r="38" spans="1:2" x14ac:dyDescent="0.25">
      <c r="A38" s="20">
        <f t="shared" ca="1" si="0"/>
        <v>0.3654460198064855</v>
      </c>
      <c r="B38" s="21">
        <f t="shared" ca="1" si="1"/>
        <v>1733</v>
      </c>
    </row>
    <row r="39" spans="1:2" x14ac:dyDescent="0.25">
      <c r="A39" s="20">
        <f t="shared" ca="1" si="0"/>
        <v>9.9504156410909483E-2</v>
      </c>
      <c r="B39" s="21">
        <f t="shared" ca="1" si="1"/>
        <v>449</v>
      </c>
    </row>
    <row r="40" spans="1:2" x14ac:dyDescent="0.25">
      <c r="A40" s="20">
        <f t="shared" ca="1" si="0"/>
        <v>0.11135929430226044</v>
      </c>
      <c r="B40" s="21">
        <f t="shared" ca="1" si="1"/>
        <v>492</v>
      </c>
    </row>
    <row r="41" spans="1:2" x14ac:dyDescent="0.25">
      <c r="A41" s="20">
        <f t="shared" ca="1" si="0"/>
        <v>0.2327130357274465</v>
      </c>
      <c r="B41" s="21">
        <f t="shared" ca="1" si="1"/>
        <v>1090</v>
      </c>
    </row>
    <row r="42" spans="1:2" x14ac:dyDescent="0.25">
      <c r="A42" s="20">
        <f t="shared" ca="1" si="0"/>
        <v>0.15573135318303799</v>
      </c>
      <c r="B42" s="21">
        <f t="shared" ca="1" si="1"/>
        <v>698</v>
      </c>
    </row>
    <row r="43" spans="1:2" x14ac:dyDescent="0.25">
      <c r="A43" s="20">
        <f t="shared" ca="1" si="0"/>
        <v>0.62017321307712692</v>
      </c>
      <c r="B43" s="21">
        <f t="shared" ca="1" si="1"/>
        <v>2879</v>
      </c>
    </row>
    <row r="44" spans="1:2" x14ac:dyDescent="0.25">
      <c r="A44" s="20">
        <f t="shared" ca="1" si="0"/>
        <v>0.61561243684908318</v>
      </c>
      <c r="B44" s="21">
        <f t="shared" ca="1" si="1"/>
        <v>2860</v>
      </c>
    </row>
    <row r="45" spans="1:2" x14ac:dyDescent="0.25">
      <c r="A45" s="20">
        <f t="shared" ca="1" si="0"/>
        <v>0.230401911286088</v>
      </c>
      <c r="B45" s="21">
        <f t="shared" ca="1" si="1"/>
        <v>1079</v>
      </c>
    </row>
    <row r="46" spans="1:2" x14ac:dyDescent="0.25">
      <c r="A46" s="20">
        <f t="shared" ca="1" si="0"/>
        <v>0.65848806929926118</v>
      </c>
      <c r="B46" s="21">
        <f t="shared" ca="1" si="1"/>
        <v>3057</v>
      </c>
    </row>
    <row r="47" spans="1:2" x14ac:dyDescent="0.25">
      <c r="A47" s="20">
        <f t="shared" ca="1" si="0"/>
        <v>0.16507601931081062</v>
      </c>
      <c r="B47" s="21">
        <f t="shared" ca="1" si="1"/>
        <v>737</v>
      </c>
    </row>
    <row r="48" spans="1:2" x14ac:dyDescent="0.25">
      <c r="A48" s="20">
        <f t="shared" ca="1" si="0"/>
        <v>0.71617245421330855</v>
      </c>
      <c r="B48" s="21">
        <f t="shared" ca="1" si="1"/>
        <v>3312</v>
      </c>
    </row>
    <row r="49" spans="1:2" x14ac:dyDescent="0.25">
      <c r="A49" s="20">
        <f t="shared" ca="1" si="0"/>
        <v>0.59814161870919802</v>
      </c>
      <c r="B49" s="21">
        <f t="shared" ca="1" si="1"/>
        <v>2797</v>
      </c>
    </row>
    <row r="50" spans="1:2" x14ac:dyDescent="0.25">
      <c r="A50" s="20">
        <f t="shared" ca="1" si="0"/>
        <v>0.63703764183773415</v>
      </c>
      <c r="B50" s="21">
        <f t="shared" ca="1" si="1"/>
        <v>2951</v>
      </c>
    </row>
    <row r="51" spans="1:2" x14ac:dyDescent="0.25">
      <c r="A51" s="20">
        <f t="shared" ca="1" si="0"/>
        <v>0.85681608379486085</v>
      </c>
      <c r="B51" s="21">
        <f t="shared" ca="1" si="1"/>
        <v>3957</v>
      </c>
    </row>
    <row r="52" spans="1:2" x14ac:dyDescent="0.25">
      <c r="A52" s="20">
        <f t="shared" ca="1" si="0"/>
        <v>0.45577235408646322</v>
      </c>
      <c r="B52" s="21">
        <f t="shared" ca="1" si="1"/>
        <v>2139</v>
      </c>
    </row>
    <row r="53" spans="1:2" x14ac:dyDescent="0.25">
      <c r="A53" s="20">
        <f t="shared" ca="1" si="0"/>
        <v>0.27922976461232407</v>
      </c>
      <c r="B53" s="21">
        <f t="shared" ca="1" si="1"/>
        <v>1298</v>
      </c>
    </row>
    <row r="54" spans="1:2" x14ac:dyDescent="0.25">
      <c r="A54" s="20">
        <f t="shared" ca="1" si="0"/>
        <v>0.73733197281280438</v>
      </c>
      <c r="B54" s="21">
        <f t="shared" ca="1" si="1"/>
        <v>3410</v>
      </c>
    </row>
    <row r="55" spans="1:2" x14ac:dyDescent="0.25">
      <c r="A55" s="20">
        <f t="shared" ca="1" si="0"/>
        <v>0.59767025402995189</v>
      </c>
      <c r="B55" s="21">
        <f t="shared" ca="1" si="1"/>
        <v>2794</v>
      </c>
    </row>
    <row r="56" spans="1:2" x14ac:dyDescent="0.25">
      <c r="A56" s="20">
        <f t="shared" ca="1" si="0"/>
        <v>0.39523258712594433</v>
      </c>
      <c r="B56" s="21">
        <f t="shared" ca="1" si="1"/>
        <v>1856</v>
      </c>
    </row>
    <row r="57" spans="1:2" x14ac:dyDescent="0.25">
      <c r="A57" s="20">
        <f t="shared" ca="1" si="0"/>
        <v>0.28073535433831243</v>
      </c>
      <c r="B57" s="21">
        <f t="shared" ca="1" si="1"/>
        <v>1307</v>
      </c>
    </row>
    <row r="58" spans="1:2" x14ac:dyDescent="0.25">
      <c r="A58" s="20">
        <f t="shared" ca="1" si="0"/>
        <v>0.75039613381460823</v>
      </c>
      <c r="B58" s="21">
        <f t="shared" ca="1" si="1"/>
        <v>3477</v>
      </c>
    </row>
    <row r="59" spans="1:2" x14ac:dyDescent="0.25">
      <c r="A59" s="20">
        <f t="shared" ca="1" si="0"/>
        <v>0.702684083318866</v>
      </c>
      <c r="B59" s="21">
        <f t="shared" ca="1" si="1"/>
        <v>3252</v>
      </c>
    </row>
    <row r="60" spans="1:2" x14ac:dyDescent="0.25">
      <c r="A60" s="20">
        <f t="shared" ca="1" si="0"/>
        <v>0.60958185031846179</v>
      </c>
      <c r="B60" s="21">
        <f t="shared" ca="1" si="1"/>
        <v>2838</v>
      </c>
    </row>
    <row r="61" spans="1:2" x14ac:dyDescent="0.25">
      <c r="A61" s="20">
        <f t="shared" ca="1" si="0"/>
        <v>0.92355994699684152</v>
      </c>
      <c r="B61" s="21">
        <f t="shared" ca="1" si="1"/>
        <v>4261</v>
      </c>
    </row>
    <row r="62" spans="1:2" x14ac:dyDescent="0.25">
      <c r="A62" s="20">
        <f t="shared" ca="1" si="0"/>
        <v>0.98435201528847249</v>
      </c>
      <c r="B62" s="21">
        <f t="shared" ca="1" si="1"/>
        <v>4556</v>
      </c>
    </row>
    <row r="63" spans="1:2" x14ac:dyDescent="0.25">
      <c r="A63" s="20">
        <f t="shared" ca="1" si="0"/>
        <v>0.12946927708047973</v>
      </c>
      <c r="B63" s="21">
        <f t="shared" ca="1" si="1"/>
        <v>574</v>
      </c>
    </row>
    <row r="64" spans="1:2" x14ac:dyDescent="0.25">
      <c r="A64" s="20">
        <f t="shared" ca="1" si="0"/>
        <v>0.5023840100266882</v>
      </c>
      <c r="B64" s="21">
        <f t="shared" ca="1" si="1"/>
        <v>2334</v>
      </c>
    </row>
    <row r="65" spans="1:2" x14ac:dyDescent="0.25">
      <c r="A65" s="20">
        <f t="shared" ca="1" si="0"/>
        <v>0.95571956076244524</v>
      </c>
      <c r="B65" s="21">
        <f t="shared" ca="1" si="1"/>
        <v>4424</v>
      </c>
    </row>
    <row r="66" spans="1:2" x14ac:dyDescent="0.25">
      <c r="A66" s="20">
        <f t="shared" ca="1" si="0"/>
        <v>0.7356673730909562</v>
      </c>
      <c r="B66" s="21">
        <f t="shared" ca="1" si="1"/>
        <v>3405</v>
      </c>
    </row>
    <row r="67" spans="1:2" x14ac:dyDescent="0.25">
      <c r="A67" s="20">
        <f t="shared" ref="A67:A130" ca="1" si="2">RAND()</f>
        <v>0.76018955361157969</v>
      </c>
      <c r="B67" s="21">
        <f t="shared" ref="B67:B130" ca="1" si="3">_xlfn.RANK.EQ($A67,$A:$A,1)</f>
        <v>3522</v>
      </c>
    </row>
    <row r="68" spans="1:2" x14ac:dyDescent="0.25">
      <c r="A68" s="20">
        <f t="shared" ca="1" si="2"/>
        <v>0.45315565908833189</v>
      </c>
      <c r="B68" s="21">
        <f t="shared" ca="1" si="3"/>
        <v>2122</v>
      </c>
    </row>
    <row r="69" spans="1:2" x14ac:dyDescent="0.25">
      <c r="A69" s="20">
        <f t="shared" ca="1" si="2"/>
        <v>0.33342629330907148</v>
      </c>
      <c r="B69" s="21">
        <f t="shared" ca="1" si="3"/>
        <v>1562</v>
      </c>
    </row>
    <row r="70" spans="1:2" x14ac:dyDescent="0.25">
      <c r="A70" s="20">
        <f t="shared" ca="1" si="2"/>
        <v>0.8142223987461864</v>
      </c>
      <c r="B70" s="21">
        <f t="shared" ca="1" si="3"/>
        <v>3766</v>
      </c>
    </row>
    <row r="71" spans="1:2" x14ac:dyDescent="0.25">
      <c r="A71" s="20">
        <f t="shared" ca="1" si="2"/>
        <v>0.36465617895574265</v>
      </c>
      <c r="B71" s="21">
        <f t="shared" ca="1" si="3"/>
        <v>1726</v>
      </c>
    </row>
    <row r="72" spans="1:2" x14ac:dyDescent="0.25">
      <c r="A72" s="20">
        <f t="shared" ca="1" si="2"/>
        <v>5.7544796399523923E-2</v>
      </c>
      <c r="B72" s="21">
        <f t="shared" ca="1" si="3"/>
        <v>247</v>
      </c>
    </row>
    <row r="73" spans="1:2" x14ac:dyDescent="0.25">
      <c r="A73" s="20">
        <f t="shared" ca="1" si="2"/>
        <v>0.99173410331134726</v>
      </c>
      <c r="B73" s="21">
        <f t="shared" ca="1" si="3"/>
        <v>4589</v>
      </c>
    </row>
    <row r="74" spans="1:2" x14ac:dyDescent="0.25">
      <c r="A74" s="20">
        <f t="shared" ca="1" si="2"/>
        <v>0.28485559377271152</v>
      </c>
      <c r="B74" s="21">
        <f t="shared" ca="1" si="3"/>
        <v>1330</v>
      </c>
    </row>
    <row r="75" spans="1:2" x14ac:dyDescent="0.25">
      <c r="A75" s="20">
        <f t="shared" ca="1" si="2"/>
        <v>0.69058976072927503</v>
      </c>
      <c r="B75" s="21">
        <f t="shared" ca="1" si="3"/>
        <v>3204</v>
      </c>
    </row>
    <row r="76" spans="1:2" x14ac:dyDescent="0.25">
      <c r="A76" s="20">
        <f t="shared" ca="1" si="2"/>
        <v>0.2738568445748496</v>
      </c>
      <c r="B76" s="21">
        <f t="shared" ca="1" si="3"/>
        <v>1280</v>
      </c>
    </row>
    <row r="77" spans="1:2" x14ac:dyDescent="0.25">
      <c r="A77" s="20">
        <f t="shared" ca="1" si="2"/>
        <v>0.50207614349446927</v>
      </c>
      <c r="B77" s="21">
        <f t="shared" ca="1" si="3"/>
        <v>2333</v>
      </c>
    </row>
    <row r="78" spans="1:2" x14ac:dyDescent="0.25">
      <c r="A78" s="20">
        <f t="shared" ca="1" si="2"/>
        <v>0.24384029532505558</v>
      </c>
      <c r="B78" s="21">
        <f t="shared" ca="1" si="3"/>
        <v>1137</v>
      </c>
    </row>
    <row r="79" spans="1:2" x14ac:dyDescent="0.25">
      <c r="A79" s="20">
        <f t="shared" ca="1" si="2"/>
        <v>0.17654932827995673</v>
      </c>
      <c r="B79" s="21">
        <f t="shared" ca="1" si="3"/>
        <v>806</v>
      </c>
    </row>
    <row r="80" spans="1:2" x14ac:dyDescent="0.25">
      <c r="A80" s="20">
        <f t="shared" ca="1" si="2"/>
        <v>0.45593965758294319</v>
      </c>
      <c r="B80" s="21">
        <f t="shared" ca="1" si="3"/>
        <v>2142</v>
      </c>
    </row>
    <row r="81" spans="1:2" x14ac:dyDescent="0.25">
      <c r="A81" s="20">
        <f t="shared" ca="1" si="2"/>
        <v>0.21144459300485907</v>
      </c>
      <c r="B81" s="21">
        <f t="shared" ca="1" si="3"/>
        <v>988</v>
      </c>
    </row>
    <row r="82" spans="1:2" x14ac:dyDescent="0.25">
      <c r="A82" s="20">
        <f t="shared" ca="1" si="2"/>
        <v>0.76510614638385721</v>
      </c>
      <c r="B82" s="21">
        <f t="shared" ca="1" si="3"/>
        <v>3546</v>
      </c>
    </row>
    <row r="83" spans="1:2" x14ac:dyDescent="0.25">
      <c r="A83" s="20">
        <f t="shared" ca="1" si="2"/>
        <v>0.4273933600292722</v>
      </c>
      <c r="B83" s="21">
        <f t="shared" ca="1" si="3"/>
        <v>2008</v>
      </c>
    </row>
    <row r="84" spans="1:2" x14ac:dyDescent="0.25">
      <c r="A84" s="20">
        <f t="shared" ca="1" si="2"/>
        <v>0.7533033625830724</v>
      </c>
      <c r="B84" s="21">
        <f t="shared" ca="1" si="3"/>
        <v>3490</v>
      </c>
    </row>
    <row r="85" spans="1:2" x14ac:dyDescent="0.25">
      <c r="A85" s="20">
        <f t="shared" ca="1" si="2"/>
        <v>0.38401162981628922</v>
      </c>
      <c r="B85" s="21">
        <f t="shared" ca="1" si="3"/>
        <v>1800</v>
      </c>
    </row>
    <row r="86" spans="1:2" x14ac:dyDescent="0.25">
      <c r="A86" s="20">
        <f t="shared" ca="1" si="2"/>
        <v>0.12131377852248648</v>
      </c>
      <c r="B86" s="21">
        <f t="shared" ca="1" si="3"/>
        <v>533</v>
      </c>
    </row>
    <row r="87" spans="1:2" x14ac:dyDescent="0.25">
      <c r="A87" s="20">
        <f t="shared" ca="1" si="2"/>
        <v>0.72388000016981147</v>
      </c>
      <c r="B87" s="21">
        <f t="shared" ca="1" si="3"/>
        <v>3349</v>
      </c>
    </row>
    <row r="88" spans="1:2" x14ac:dyDescent="0.25">
      <c r="A88" s="20">
        <f t="shared" ca="1" si="2"/>
        <v>0.30899851812412815</v>
      </c>
      <c r="B88" s="21">
        <f t="shared" ca="1" si="3"/>
        <v>1447</v>
      </c>
    </row>
    <row r="89" spans="1:2" x14ac:dyDescent="0.25">
      <c r="A89" s="20">
        <f t="shared" ca="1" si="2"/>
        <v>0.29944916695233881</v>
      </c>
      <c r="B89" s="21">
        <f t="shared" ca="1" si="3"/>
        <v>1404</v>
      </c>
    </row>
    <row r="90" spans="1:2" x14ac:dyDescent="0.25">
      <c r="A90" s="20">
        <f t="shared" ca="1" si="2"/>
        <v>0.30891135235635037</v>
      </c>
      <c r="B90" s="21">
        <f t="shared" ca="1" si="3"/>
        <v>1445</v>
      </c>
    </row>
    <row r="91" spans="1:2" x14ac:dyDescent="0.25">
      <c r="A91" s="20">
        <f t="shared" ca="1" si="2"/>
        <v>0.79720584774568304</v>
      </c>
      <c r="B91" s="21">
        <f t="shared" ca="1" si="3"/>
        <v>3690</v>
      </c>
    </row>
    <row r="92" spans="1:2" x14ac:dyDescent="0.25">
      <c r="A92" s="20">
        <f t="shared" ca="1" si="2"/>
        <v>0.82822198252702717</v>
      </c>
      <c r="B92" s="21">
        <f t="shared" ca="1" si="3"/>
        <v>3836</v>
      </c>
    </row>
    <row r="93" spans="1:2" x14ac:dyDescent="0.25">
      <c r="A93" s="20">
        <f t="shared" ca="1" si="2"/>
        <v>0.87905442367653619</v>
      </c>
      <c r="B93" s="21">
        <f t="shared" ca="1" si="3"/>
        <v>4049</v>
      </c>
    </row>
    <row r="94" spans="1:2" x14ac:dyDescent="0.25">
      <c r="A94" s="20">
        <f t="shared" ca="1" si="2"/>
        <v>0.29132179074325659</v>
      </c>
      <c r="B94" s="21">
        <f t="shared" ca="1" si="3"/>
        <v>1374</v>
      </c>
    </row>
    <row r="95" spans="1:2" x14ac:dyDescent="0.25">
      <c r="A95" s="20">
        <f t="shared" ca="1" si="2"/>
        <v>0.75396250961745148</v>
      </c>
      <c r="B95" s="21">
        <f t="shared" ca="1" si="3"/>
        <v>3495</v>
      </c>
    </row>
    <row r="96" spans="1:2" x14ac:dyDescent="0.25">
      <c r="A96" s="20">
        <f t="shared" ca="1" si="2"/>
        <v>0.7541851267780304</v>
      </c>
      <c r="B96" s="21">
        <f t="shared" ca="1" si="3"/>
        <v>3497</v>
      </c>
    </row>
    <row r="97" spans="1:2" x14ac:dyDescent="0.25">
      <c r="A97" s="20">
        <f t="shared" ca="1" si="2"/>
        <v>0.28612939991578945</v>
      </c>
      <c r="B97" s="21">
        <f t="shared" ca="1" si="3"/>
        <v>1339</v>
      </c>
    </row>
    <row r="98" spans="1:2" x14ac:dyDescent="0.25">
      <c r="A98" s="20">
        <f t="shared" ca="1" si="2"/>
        <v>0.1221707697089226</v>
      </c>
      <c r="B98" s="21">
        <f t="shared" ca="1" si="3"/>
        <v>539</v>
      </c>
    </row>
    <row r="99" spans="1:2" x14ac:dyDescent="0.25">
      <c r="A99" s="20">
        <f t="shared" ca="1" si="2"/>
        <v>0.24040630996140144</v>
      </c>
      <c r="B99" s="21">
        <f t="shared" ca="1" si="3"/>
        <v>1125</v>
      </c>
    </row>
    <row r="100" spans="1:2" x14ac:dyDescent="0.25">
      <c r="A100" s="20">
        <f t="shared" ca="1" si="2"/>
        <v>0.85541209923766259</v>
      </c>
      <c r="B100" s="21">
        <f t="shared" ca="1" si="3"/>
        <v>3953</v>
      </c>
    </row>
    <row r="101" spans="1:2" x14ac:dyDescent="0.25">
      <c r="A101" s="20">
        <f t="shared" ca="1" si="2"/>
        <v>0.30439157944798312</v>
      </c>
      <c r="B101" s="21">
        <f t="shared" ca="1" si="3"/>
        <v>1425</v>
      </c>
    </row>
    <row r="102" spans="1:2" x14ac:dyDescent="0.25">
      <c r="A102" s="20">
        <f t="shared" ca="1" si="2"/>
        <v>0.28444943560284985</v>
      </c>
      <c r="B102" s="21">
        <f t="shared" ca="1" si="3"/>
        <v>1328</v>
      </c>
    </row>
    <row r="103" spans="1:2" x14ac:dyDescent="0.25">
      <c r="A103" s="20">
        <f t="shared" ca="1" si="2"/>
        <v>5.9607149953809668E-2</v>
      </c>
      <c r="B103" s="21">
        <f t="shared" ca="1" si="3"/>
        <v>257</v>
      </c>
    </row>
    <row r="104" spans="1:2" x14ac:dyDescent="0.25">
      <c r="A104" s="20">
        <f t="shared" ca="1" si="2"/>
        <v>0.19030347626810629</v>
      </c>
      <c r="B104" s="21">
        <f t="shared" ca="1" si="3"/>
        <v>874</v>
      </c>
    </row>
    <row r="105" spans="1:2" x14ac:dyDescent="0.25">
      <c r="A105" s="20">
        <f t="shared" ca="1" si="2"/>
        <v>0.77853280177967932</v>
      </c>
      <c r="B105" s="21">
        <f t="shared" ca="1" si="3"/>
        <v>3610</v>
      </c>
    </row>
    <row r="106" spans="1:2" x14ac:dyDescent="0.25">
      <c r="A106" s="20">
        <f t="shared" ca="1" si="2"/>
        <v>0.71024550804590514</v>
      </c>
      <c r="B106" s="21">
        <f t="shared" ca="1" si="3"/>
        <v>3288</v>
      </c>
    </row>
    <row r="107" spans="1:2" x14ac:dyDescent="0.25">
      <c r="A107" s="20">
        <f t="shared" ca="1" si="2"/>
        <v>0.77543646505038166</v>
      </c>
      <c r="B107" s="21">
        <f t="shared" ca="1" si="3"/>
        <v>3599</v>
      </c>
    </row>
    <row r="108" spans="1:2" x14ac:dyDescent="0.25">
      <c r="A108" s="20">
        <f t="shared" ca="1" si="2"/>
        <v>0.31110244973228529</v>
      </c>
      <c r="B108" s="21">
        <f t="shared" ca="1" si="3"/>
        <v>1456</v>
      </c>
    </row>
    <row r="109" spans="1:2" x14ac:dyDescent="0.25">
      <c r="A109" s="20">
        <f t="shared" ca="1" si="2"/>
        <v>0.82127571291819046</v>
      </c>
      <c r="B109" s="21">
        <f t="shared" ca="1" si="3"/>
        <v>3802</v>
      </c>
    </row>
    <row r="110" spans="1:2" x14ac:dyDescent="0.25">
      <c r="A110" s="20">
        <f t="shared" ca="1" si="2"/>
        <v>0.4991778558956762</v>
      </c>
      <c r="B110" s="21">
        <f t="shared" ca="1" si="3"/>
        <v>2317</v>
      </c>
    </row>
    <row r="111" spans="1:2" x14ac:dyDescent="0.25">
      <c r="A111" s="20">
        <f t="shared" ca="1" si="2"/>
        <v>0.14658480851752498</v>
      </c>
      <c r="B111" s="21">
        <f t="shared" ca="1" si="3"/>
        <v>649</v>
      </c>
    </row>
    <row r="112" spans="1:2" x14ac:dyDescent="0.25">
      <c r="A112" s="20">
        <f t="shared" ca="1" si="2"/>
        <v>5.7652533824370744E-2</v>
      </c>
      <c r="B112" s="21">
        <f t="shared" ca="1" si="3"/>
        <v>249</v>
      </c>
    </row>
    <row r="113" spans="1:2" x14ac:dyDescent="0.25">
      <c r="A113" s="20">
        <f t="shared" ca="1" si="2"/>
        <v>0.20688309426560103</v>
      </c>
      <c r="B113" s="21">
        <f t="shared" ca="1" si="3"/>
        <v>963</v>
      </c>
    </row>
    <row r="114" spans="1:2" x14ac:dyDescent="0.25">
      <c r="A114" s="20">
        <f t="shared" ca="1" si="2"/>
        <v>0.40615347816898317</v>
      </c>
      <c r="B114" s="21">
        <f t="shared" ca="1" si="3"/>
        <v>1904</v>
      </c>
    </row>
    <row r="115" spans="1:2" x14ac:dyDescent="0.25">
      <c r="A115" s="20">
        <f t="shared" ca="1" si="2"/>
        <v>0.11897053865549123</v>
      </c>
      <c r="B115" s="21">
        <f t="shared" ca="1" si="3"/>
        <v>521</v>
      </c>
    </row>
    <row r="116" spans="1:2" x14ac:dyDescent="0.25">
      <c r="A116" s="20">
        <f t="shared" ca="1" si="2"/>
        <v>6.4401008380373437E-2</v>
      </c>
      <c r="B116" s="21">
        <f t="shared" ca="1" si="3"/>
        <v>280</v>
      </c>
    </row>
    <row r="117" spans="1:2" x14ac:dyDescent="0.25">
      <c r="A117" s="20">
        <f t="shared" ca="1" si="2"/>
        <v>0.66081243487394803</v>
      </c>
      <c r="B117" s="21">
        <f t="shared" ca="1" si="3"/>
        <v>3067</v>
      </c>
    </row>
    <row r="118" spans="1:2" x14ac:dyDescent="0.25">
      <c r="A118" s="20">
        <f t="shared" ca="1" si="2"/>
        <v>0.97902275848376585</v>
      </c>
      <c r="B118" s="21">
        <f t="shared" ca="1" si="3"/>
        <v>4539</v>
      </c>
    </row>
    <row r="119" spans="1:2" x14ac:dyDescent="0.25">
      <c r="A119" s="20">
        <f t="shared" ca="1" si="2"/>
        <v>0.34626555040477003</v>
      </c>
      <c r="B119" s="21">
        <f t="shared" ca="1" si="3"/>
        <v>1627</v>
      </c>
    </row>
    <row r="120" spans="1:2" x14ac:dyDescent="0.25">
      <c r="A120" s="20">
        <f t="shared" ca="1" si="2"/>
        <v>3.873348749612826E-2</v>
      </c>
      <c r="B120" s="21">
        <f t="shared" ca="1" si="3"/>
        <v>150</v>
      </c>
    </row>
    <row r="121" spans="1:2" x14ac:dyDescent="0.25">
      <c r="A121" s="20">
        <f t="shared" ca="1" si="2"/>
        <v>0.63995658835708469</v>
      </c>
      <c r="B121" s="21">
        <f t="shared" ca="1" si="3"/>
        <v>2966</v>
      </c>
    </row>
    <row r="122" spans="1:2" x14ac:dyDescent="0.25">
      <c r="A122" s="20">
        <f t="shared" ca="1" si="2"/>
        <v>0.82882020317168859</v>
      </c>
      <c r="B122" s="21">
        <f t="shared" ca="1" si="3"/>
        <v>3841</v>
      </c>
    </row>
    <row r="123" spans="1:2" x14ac:dyDescent="0.25">
      <c r="A123" s="20">
        <f t="shared" ca="1" si="2"/>
        <v>0.42065107247661948</v>
      </c>
      <c r="B123" s="21">
        <f t="shared" ca="1" si="3"/>
        <v>1967</v>
      </c>
    </row>
    <row r="124" spans="1:2" x14ac:dyDescent="0.25">
      <c r="A124" s="20">
        <f t="shared" ca="1" si="2"/>
        <v>0.6919264159884938</v>
      </c>
      <c r="B124" s="21">
        <f t="shared" ca="1" si="3"/>
        <v>3210</v>
      </c>
    </row>
    <row r="125" spans="1:2" x14ac:dyDescent="0.25">
      <c r="A125" s="20">
        <f t="shared" ca="1" si="2"/>
        <v>0.29027375211905437</v>
      </c>
      <c r="B125" s="21">
        <f t="shared" ca="1" si="3"/>
        <v>1368</v>
      </c>
    </row>
    <row r="126" spans="1:2" x14ac:dyDescent="0.25">
      <c r="A126" s="20">
        <f t="shared" ca="1" si="2"/>
        <v>0.98699401739875203</v>
      </c>
      <c r="B126" s="21">
        <f t="shared" ca="1" si="3"/>
        <v>4570</v>
      </c>
    </row>
    <row r="127" spans="1:2" x14ac:dyDescent="0.25">
      <c r="A127" s="20">
        <f t="shared" ca="1" si="2"/>
        <v>0.50814546960100038</v>
      </c>
      <c r="B127" s="21">
        <f t="shared" ca="1" si="3"/>
        <v>2367</v>
      </c>
    </row>
    <row r="128" spans="1:2" x14ac:dyDescent="0.25">
      <c r="A128" s="20">
        <f t="shared" ca="1" si="2"/>
        <v>7.5322296864281046E-2</v>
      </c>
      <c r="B128" s="21">
        <f t="shared" ca="1" si="3"/>
        <v>336</v>
      </c>
    </row>
    <row r="129" spans="1:2" x14ac:dyDescent="0.25">
      <c r="A129" s="20">
        <f t="shared" ca="1" si="2"/>
        <v>7.9483638861207906E-2</v>
      </c>
      <c r="B129" s="21">
        <f t="shared" ca="1" si="3"/>
        <v>359</v>
      </c>
    </row>
    <row r="130" spans="1:2" x14ac:dyDescent="0.25">
      <c r="A130" s="20">
        <f t="shared" ca="1" si="2"/>
        <v>0.75771029052577665</v>
      </c>
      <c r="B130" s="21">
        <f t="shared" ca="1" si="3"/>
        <v>3513</v>
      </c>
    </row>
    <row r="131" spans="1:2" x14ac:dyDescent="0.25">
      <c r="A131" s="20">
        <f t="shared" ref="A131:A194" ca="1" si="4">RAND()</f>
        <v>0.51810707863308536</v>
      </c>
      <c r="B131" s="21">
        <f t="shared" ref="B131:B194" ca="1" si="5">_xlfn.RANK.EQ($A131,$A:$A,1)</f>
        <v>2419</v>
      </c>
    </row>
    <row r="132" spans="1:2" x14ac:dyDescent="0.25">
      <c r="A132" s="20">
        <f t="shared" ca="1" si="4"/>
        <v>0.93159646864000467</v>
      </c>
      <c r="B132" s="21">
        <f t="shared" ca="1" si="5"/>
        <v>4301</v>
      </c>
    </row>
    <row r="133" spans="1:2" x14ac:dyDescent="0.25">
      <c r="A133" s="20">
        <f t="shared" ca="1" si="4"/>
        <v>0.35006120298185206</v>
      </c>
      <c r="B133" s="21">
        <f t="shared" ca="1" si="5"/>
        <v>1652</v>
      </c>
    </row>
    <row r="134" spans="1:2" x14ac:dyDescent="0.25">
      <c r="A134" s="20">
        <f t="shared" ca="1" si="4"/>
        <v>0.94964800852576436</v>
      </c>
      <c r="B134" s="21">
        <f t="shared" ca="1" si="5"/>
        <v>4403</v>
      </c>
    </row>
    <row r="135" spans="1:2" x14ac:dyDescent="0.25">
      <c r="A135" s="20">
        <f t="shared" ca="1" si="4"/>
        <v>0.46007466563260835</v>
      </c>
      <c r="B135" s="21">
        <f t="shared" ca="1" si="5"/>
        <v>2160</v>
      </c>
    </row>
    <row r="136" spans="1:2" x14ac:dyDescent="0.25">
      <c r="A136" s="20">
        <f t="shared" ca="1" si="4"/>
        <v>0.1700567000023705</v>
      </c>
      <c r="B136" s="21">
        <f t="shared" ca="1" si="5"/>
        <v>769</v>
      </c>
    </row>
    <row r="137" spans="1:2" x14ac:dyDescent="0.25">
      <c r="A137" s="20">
        <f t="shared" ca="1" si="4"/>
        <v>0.14151761601100987</v>
      </c>
      <c r="B137" s="21">
        <f t="shared" ca="1" si="5"/>
        <v>620</v>
      </c>
    </row>
    <row r="138" spans="1:2" x14ac:dyDescent="0.25">
      <c r="A138" s="20">
        <f t="shared" ca="1" si="4"/>
        <v>0.46813916476413187</v>
      </c>
      <c r="B138" s="21">
        <f t="shared" ca="1" si="5"/>
        <v>2188</v>
      </c>
    </row>
    <row r="139" spans="1:2" x14ac:dyDescent="0.25">
      <c r="A139" s="20">
        <f t="shared" ca="1" si="4"/>
        <v>0.61733541260538904</v>
      </c>
      <c r="B139" s="21">
        <f t="shared" ca="1" si="5"/>
        <v>2867</v>
      </c>
    </row>
    <row r="140" spans="1:2" x14ac:dyDescent="0.25">
      <c r="A140" s="20">
        <f t="shared" ca="1" si="4"/>
        <v>0.73454573270961054</v>
      </c>
      <c r="B140" s="21">
        <f t="shared" ca="1" si="5"/>
        <v>3402</v>
      </c>
    </row>
    <row r="141" spans="1:2" x14ac:dyDescent="0.25">
      <c r="A141" s="20">
        <f t="shared" ca="1" si="4"/>
        <v>0.60226217494960288</v>
      </c>
      <c r="B141" s="21">
        <f t="shared" ca="1" si="5"/>
        <v>2811</v>
      </c>
    </row>
    <row r="142" spans="1:2" x14ac:dyDescent="0.25">
      <c r="A142" s="20">
        <f t="shared" ca="1" si="4"/>
        <v>0.97117702405017148</v>
      </c>
      <c r="B142" s="21">
        <f t="shared" ca="1" si="5"/>
        <v>4504</v>
      </c>
    </row>
    <row r="143" spans="1:2" x14ac:dyDescent="0.25">
      <c r="A143" s="20">
        <f t="shared" ca="1" si="4"/>
        <v>0.25104038097045733</v>
      </c>
      <c r="B143" s="21">
        <f t="shared" ca="1" si="5"/>
        <v>1174</v>
      </c>
    </row>
    <row r="144" spans="1:2" x14ac:dyDescent="0.25">
      <c r="A144" s="20">
        <f t="shared" ca="1" si="4"/>
        <v>0.51273781635419136</v>
      </c>
      <c r="B144" s="21">
        <f t="shared" ca="1" si="5"/>
        <v>2397</v>
      </c>
    </row>
    <row r="145" spans="1:2" x14ac:dyDescent="0.25">
      <c r="A145" s="20">
        <f t="shared" ca="1" si="4"/>
        <v>0.9778545422486159</v>
      </c>
      <c r="B145" s="21">
        <f t="shared" ca="1" si="5"/>
        <v>4532</v>
      </c>
    </row>
    <row r="146" spans="1:2" x14ac:dyDescent="0.25">
      <c r="A146" s="20">
        <f t="shared" ca="1" si="4"/>
        <v>0.8129126606977064</v>
      </c>
      <c r="B146" s="21">
        <f t="shared" ca="1" si="5"/>
        <v>3758</v>
      </c>
    </row>
    <row r="147" spans="1:2" x14ac:dyDescent="0.25">
      <c r="A147" s="20">
        <f t="shared" ca="1" si="4"/>
        <v>0.24935730825973146</v>
      </c>
      <c r="B147" s="21">
        <f t="shared" ca="1" si="5"/>
        <v>1163</v>
      </c>
    </row>
    <row r="148" spans="1:2" x14ac:dyDescent="0.25">
      <c r="A148" s="20">
        <f t="shared" ca="1" si="4"/>
        <v>3.8358995686116004E-2</v>
      </c>
      <c r="B148" s="21">
        <f t="shared" ca="1" si="5"/>
        <v>149</v>
      </c>
    </row>
    <row r="149" spans="1:2" x14ac:dyDescent="0.25">
      <c r="A149" s="20">
        <f t="shared" ca="1" si="4"/>
        <v>0.6837872124718033</v>
      </c>
      <c r="B149" s="21">
        <f t="shared" ca="1" si="5"/>
        <v>3175</v>
      </c>
    </row>
    <row r="150" spans="1:2" x14ac:dyDescent="0.25">
      <c r="A150" s="20">
        <f t="shared" ca="1" si="4"/>
        <v>0.74321519325542795</v>
      </c>
      <c r="B150" s="21">
        <f t="shared" ca="1" si="5"/>
        <v>3433</v>
      </c>
    </row>
    <row r="151" spans="1:2" x14ac:dyDescent="0.25">
      <c r="A151" s="20">
        <f t="shared" ca="1" si="4"/>
        <v>0.58426799216373837</v>
      </c>
      <c r="B151" s="21">
        <f t="shared" ca="1" si="5"/>
        <v>2736</v>
      </c>
    </row>
    <row r="152" spans="1:2" x14ac:dyDescent="0.25">
      <c r="A152" s="20">
        <f t="shared" ca="1" si="4"/>
        <v>0.1219478967795371</v>
      </c>
      <c r="B152" s="21">
        <f t="shared" ca="1" si="5"/>
        <v>538</v>
      </c>
    </row>
    <row r="153" spans="1:2" x14ac:dyDescent="0.25">
      <c r="A153" s="20">
        <f t="shared" ca="1" si="4"/>
        <v>0.82560521223698469</v>
      </c>
      <c r="B153" s="21">
        <f t="shared" ca="1" si="5"/>
        <v>3822</v>
      </c>
    </row>
    <row r="154" spans="1:2" x14ac:dyDescent="0.25">
      <c r="A154" s="20">
        <f t="shared" ca="1" si="4"/>
        <v>0.34561147214211485</v>
      </c>
      <c r="B154" s="21">
        <f t="shared" ca="1" si="5"/>
        <v>1624</v>
      </c>
    </row>
    <row r="155" spans="1:2" x14ac:dyDescent="0.25">
      <c r="A155" s="20">
        <f t="shared" ca="1" si="4"/>
        <v>0.52299465902485442</v>
      </c>
      <c r="B155" s="21">
        <f t="shared" ca="1" si="5"/>
        <v>2442</v>
      </c>
    </row>
    <row r="156" spans="1:2" x14ac:dyDescent="0.25">
      <c r="A156" s="20">
        <f t="shared" ca="1" si="4"/>
        <v>0.53861176509507958</v>
      </c>
      <c r="B156" s="21">
        <f t="shared" ca="1" si="5"/>
        <v>2513</v>
      </c>
    </row>
    <row r="157" spans="1:2" x14ac:dyDescent="0.25">
      <c r="A157" s="20">
        <f t="shared" ca="1" si="4"/>
        <v>0.97070513204701903</v>
      </c>
      <c r="B157" s="21">
        <f t="shared" ca="1" si="5"/>
        <v>4501</v>
      </c>
    </row>
    <row r="158" spans="1:2" x14ac:dyDescent="0.25">
      <c r="A158" s="20">
        <f t="shared" ca="1" si="4"/>
        <v>0.25678345385078483</v>
      </c>
      <c r="B158" s="21">
        <f t="shared" ca="1" si="5"/>
        <v>1200</v>
      </c>
    </row>
    <row r="159" spans="1:2" x14ac:dyDescent="0.25">
      <c r="A159" s="20">
        <f t="shared" ca="1" si="4"/>
        <v>0.55119005370536489</v>
      </c>
      <c r="B159" s="21">
        <f t="shared" ca="1" si="5"/>
        <v>2576</v>
      </c>
    </row>
    <row r="160" spans="1:2" x14ac:dyDescent="0.25">
      <c r="A160" s="20">
        <f t="shared" ca="1" si="4"/>
        <v>0.65836982052277948</v>
      </c>
      <c r="B160" s="21">
        <f t="shared" ca="1" si="5"/>
        <v>3056</v>
      </c>
    </row>
    <row r="161" spans="1:2" x14ac:dyDescent="0.25">
      <c r="A161" s="20">
        <f t="shared" ca="1" si="4"/>
        <v>5.7672424151948842E-2</v>
      </c>
      <c r="B161" s="21">
        <f t="shared" ca="1" si="5"/>
        <v>250</v>
      </c>
    </row>
    <row r="162" spans="1:2" x14ac:dyDescent="0.25">
      <c r="A162" s="20">
        <f t="shared" ca="1" si="4"/>
        <v>0.50358508457385676</v>
      </c>
      <c r="B162" s="21">
        <f t="shared" ca="1" si="5"/>
        <v>2342</v>
      </c>
    </row>
    <row r="163" spans="1:2" x14ac:dyDescent="0.25">
      <c r="A163" s="20">
        <f t="shared" ca="1" si="4"/>
        <v>0.6478303538823762</v>
      </c>
      <c r="B163" s="21">
        <f t="shared" ca="1" si="5"/>
        <v>3009</v>
      </c>
    </row>
    <row r="164" spans="1:2" x14ac:dyDescent="0.25">
      <c r="A164" s="20">
        <f t="shared" ca="1" si="4"/>
        <v>0.92778643752868872</v>
      </c>
      <c r="B164" s="21">
        <f t="shared" ca="1" si="5"/>
        <v>4281</v>
      </c>
    </row>
    <row r="165" spans="1:2" x14ac:dyDescent="0.25">
      <c r="A165" s="20">
        <f t="shared" ca="1" si="4"/>
        <v>6.347908688210413E-2</v>
      </c>
      <c r="B165" s="21">
        <f t="shared" ca="1" si="5"/>
        <v>275</v>
      </c>
    </row>
    <row r="166" spans="1:2" x14ac:dyDescent="0.25">
      <c r="A166" s="20">
        <f t="shared" ca="1" si="4"/>
        <v>0.48981549049211592</v>
      </c>
      <c r="B166" s="21">
        <f t="shared" ca="1" si="5"/>
        <v>2277</v>
      </c>
    </row>
    <row r="167" spans="1:2" x14ac:dyDescent="0.25">
      <c r="A167" s="20">
        <f t="shared" ca="1" si="4"/>
        <v>0.28600833853543339</v>
      </c>
      <c r="B167" s="21">
        <f t="shared" ca="1" si="5"/>
        <v>1337</v>
      </c>
    </row>
    <row r="168" spans="1:2" x14ac:dyDescent="0.25">
      <c r="A168" s="20">
        <f t="shared" ca="1" si="4"/>
        <v>0.72124195238869782</v>
      </c>
      <c r="B168" s="21">
        <f t="shared" ca="1" si="5"/>
        <v>3340</v>
      </c>
    </row>
    <row r="169" spans="1:2" x14ac:dyDescent="0.25">
      <c r="A169" s="20">
        <f t="shared" ca="1" si="4"/>
        <v>0.28866770128897035</v>
      </c>
      <c r="B169" s="21">
        <f t="shared" ca="1" si="5"/>
        <v>1354</v>
      </c>
    </row>
    <row r="170" spans="1:2" x14ac:dyDescent="0.25">
      <c r="A170" s="20">
        <f t="shared" ca="1" si="4"/>
        <v>0.34635732524778273</v>
      </c>
      <c r="B170" s="21">
        <f t="shared" ca="1" si="5"/>
        <v>1628</v>
      </c>
    </row>
    <row r="171" spans="1:2" x14ac:dyDescent="0.25">
      <c r="A171" s="20">
        <f t="shared" ca="1" si="4"/>
        <v>0.56602098322495942</v>
      </c>
      <c r="B171" s="21">
        <f t="shared" ca="1" si="5"/>
        <v>2645</v>
      </c>
    </row>
    <row r="172" spans="1:2" x14ac:dyDescent="0.25">
      <c r="A172" s="20">
        <f t="shared" ca="1" si="4"/>
        <v>0.63533742277015526</v>
      </c>
      <c r="B172" s="21">
        <f t="shared" ca="1" si="5"/>
        <v>2945</v>
      </c>
    </row>
    <row r="173" spans="1:2" x14ac:dyDescent="0.25">
      <c r="A173" s="20">
        <f t="shared" ca="1" si="4"/>
        <v>2.0815947940066248E-2</v>
      </c>
      <c r="B173" s="21">
        <f t="shared" ca="1" si="5"/>
        <v>83</v>
      </c>
    </row>
    <row r="174" spans="1:2" x14ac:dyDescent="0.25">
      <c r="A174" s="20">
        <f t="shared" ca="1" si="4"/>
        <v>0.3444622380728195</v>
      </c>
      <c r="B174" s="21">
        <f t="shared" ca="1" si="5"/>
        <v>1617</v>
      </c>
    </row>
    <row r="175" spans="1:2" x14ac:dyDescent="0.25">
      <c r="A175" s="20">
        <f t="shared" ca="1" si="4"/>
        <v>0.10597515951103209</v>
      </c>
      <c r="B175" s="21">
        <f t="shared" ca="1" si="5"/>
        <v>472</v>
      </c>
    </row>
    <row r="176" spans="1:2" x14ac:dyDescent="0.25">
      <c r="A176" s="20">
        <f t="shared" ca="1" si="4"/>
        <v>0.96933745367678437</v>
      </c>
      <c r="B176" s="21">
        <f t="shared" ca="1" si="5"/>
        <v>4495</v>
      </c>
    </row>
    <row r="177" spans="1:2" x14ac:dyDescent="0.25">
      <c r="A177" s="20">
        <f t="shared" ca="1" si="4"/>
        <v>3.5009740642892861E-3</v>
      </c>
      <c r="B177" s="21">
        <f t="shared" ca="1" si="5"/>
        <v>16</v>
      </c>
    </row>
    <row r="178" spans="1:2" x14ac:dyDescent="0.25">
      <c r="A178" s="20">
        <f t="shared" ca="1" si="4"/>
        <v>0.2423015349804446</v>
      </c>
      <c r="B178" s="21">
        <f t="shared" ca="1" si="5"/>
        <v>1133</v>
      </c>
    </row>
    <row r="179" spans="1:2" x14ac:dyDescent="0.25">
      <c r="A179" s="20">
        <f t="shared" ca="1" si="4"/>
        <v>0.19221775998610513</v>
      </c>
      <c r="B179" s="21">
        <f t="shared" ca="1" si="5"/>
        <v>882</v>
      </c>
    </row>
    <row r="180" spans="1:2" x14ac:dyDescent="0.25">
      <c r="A180" s="20">
        <f t="shared" ca="1" si="4"/>
        <v>0.10950190388494307</v>
      </c>
      <c r="B180" s="21">
        <f t="shared" ca="1" si="5"/>
        <v>483</v>
      </c>
    </row>
    <row r="181" spans="1:2" x14ac:dyDescent="0.25">
      <c r="A181" s="20">
        <f t="shared" ca="1" si="4"/>
        <v>0.98468871069008079</v>
      </c>
      <c r="B181" s="21">
        <f t="shared" ca="1" si="5"/>
        <v>4560</v>
      </c>
    </row>
    <row r="182" spans="1:2" x14ac:dyDescent="0.25">
      <c r="A182" s="20">
        <f t="shared" ca="1" si="4"/>
        <v>0.39888206183526731</v>
      </c>
      <c r="B182" s="21">
        <f t="shared" ca="1" si="5"/>
        <v>1872</v>
      </c>
    </row>
    <row r="183" spans="1:2" x14ac:dyDescent="0.25">
      <c r="A183" s="20">
        <f t="shared" ca="1" si="4"/>
        <v>0.27019734409119089</v>
      </c>
      <c r="B183" s="21">
        <f t="shared" ca="1" si="5"/>
        <v>1258</v>
      </c>
    </row>
    <row r="184" spans="1:2" x14ac:dyDescent="0.25">
      <c r="A184" s="20">
        <f t="shared" ca="1" si="4"/>
        <v>0.18774467995126387</v>
      </c>
      <c r="B184" s="21">
        <f t="shared" ca="1" si="5"/>
        <v>862</v>
      </c>
    </row>
    <row r="185" spans="1:2" x14ac:dyDescent="0.25">
      <c r="A185" s="20">
        <f t="shared" ca="1" si="4"/>
        <v>0.84180886873602534</v>
      </c>
      <c r="B185" s="21">
        <f t="shared" ca="1" si="5"/>
        <v>3884</v>
      </c>
    </row>
    <row r="186" spans="1:2" x14ac:dyDescent="0.25">
      <c r="A186" s="20">
        <f t="shared" ca="1" si="4"/>
        <v>0.26532641781877941</v>
      </c>
      <c r="B186" s="21">
        <f t="shared" ca="1" si="5"/>
        <v>1240</v>
      </c>
    </row>
    <row r="187" spans="1:2" x14ac:dyDescent="0.25">
      <c r="A187" s="20">
        <f t="shared" ca="1" si="4"/>
        <v>0.11990244862590604</v>
      </c>
      <c r="B187" s="21">
        <f t="shared" ca="1" si="5"/>
        <v>525</v>
      </c>
    </row>
    <row r="188" spans="1:2" x14ac:dyDescent="0.25">
      <c r="A188" s="20">
        <f t="shared" ca="1" si="4"/>
        <v>0.64853880912631368</v>
      </c>
      <c r="B188" s="21">
        <f t="shared" ca="1" si="5"/>
        <v>3013</v>
      </c>
    </row>
    <row r="189" spans="1:2" x14ac:dyDescent="0.25">
      <c r="A189" s="20">
        <f t="shared" ca="1" si="4"/>
        <v>0.93023339715456821</v>
      </c>
      <c r="B189" s="21">
        <f t="shared" ca="1" si="5"/>
        <v>4294</v>
      </c>
    </row>
    <row r="190" spans="1:2" x14ac:dyDescent="0.25">
      <c r="A190" s="20">
        <f t="shared" ca="1" si="4"/>
        <v>0.1654665645960548</v>
      </c>
      <c r="B190" s="21">
        <f t="shared" ca="1" si="5"/>
        <v>739</v>
      </c>
    </row>
    <row r="191" spans="1:2" x14ac:dyDescent="0.25">
      <c r="A191" s="20">
        <f t="shared" ca="1" si="4"/>
        <v>0.36314766321158609</v>
      </c>
      <c r="B191" s="21">
        <f t="shared" ca="1" si="5"/>
        <v>1718</v>
      </c>
    </row>
    <row r="192" spans="1:2" x14ac:dyDescent="0.25">
      <c r="A192" s="20">
        <f t="shared" ca="1" si="4"/>
        <v>0.48639137532542454</v>
      </c>
      <c r="B192" s="21">
        <f t="shared" ca="1" si="5"/>
        <v>2268</v>
      </c>
    </row>
    <row r="193" spans="1:2" x14ac:dyDescent="0.25">
      <c r="A193" s="20">
        <f t="shared" ca="1" si="4"/>
        <v>0.74847785681350931</v>
      </c>
      <c r="B193" s="21">
        <f t="shared" ca="1" si="5"/>
        <v>3465</v>
      </c>
    </row>
    <row r="194" spans="1:2" x14ac:dyDescent="0.25">
      <c r="A194" s="20">
        <f t="shared" ca="1" si="4"/>
        <v>0.42703773293350067</v>
      </c>
      <c r="B194" s="21">
        <f t="shared" ca="1" si="5"/>
        <v>2005</v>
      </c>
    </row>
    <row r="195" spans="1:2" x14ac:dyDescent="0.25">
      <c r="A195" s="20">
        <f t="shared" ref="A195:A258" ca="1" si="6">RAND()</f>
        <v>0.6083940815432457</v>
      </c>
      <c r="B195" s="21">
        <f t="shared" ref="B195:B258" ca="1" si="7">_xlfn.RANK.EQ($A195,$A:$A,1)</f>
        <v>2834</v>
      </c>
    </row>
    <row r="196" spans="1:2" x14ac:dyDescent="0.25">
      <c r="A196" s="20">
        <f t="shared" ca="1" si="6"/>
        <v>0.18239231356526553</v>
      </c>
      <c r="B196" s="21">
        <f t="shared" ca="1" si="7"/>
        <v>836</v>
      </c>
    </row>
    <row r="197" spans="1:2" x14ac:dyDescent="0.25">
      <c r="A197" s="20">
        <f t="shared" ca="1" si="6"/>
        <v>0.4529050930908175</v>
      </c>
      <c r="B197" s="21">
        <f t="shared" ca="1" si="7"/>
        <v>2118</v>
      </c>
    </row>
    <row r="198" spans="1:2" x14ac:dyDescent="0.25">
      <c r="A198" s="20">
        <f t="shared" ca="1" si="6"/>
        <v>0.45290802014421683</v>
      </c>
      <c r="B198" s="21">
        <f t="shared" ca="1" si="7"/>
        <v>2119</v>
      </c>
    </row>
    <row r="199" spans="1:2" x14ac:dyDescent="0.25">
      <c r="A199" s="20">
        <f t="shared" ca="1" si="6"/>
        <v>0.66500736852722075</v>
      </c>
      <c r="B199" s="21">
        <f t="shared" ca="1" si="7"/>
        <v>3080</v>
      </c>
    </row>
    <row r="200" spans="1:2" x14ac:dyDescent="0.25">
      <c r="A200" s="20">
        <f t="shared" ca="1" si="6"/>
        <v>0.76896140812635894</v>
      </c>
      <c r="B200" s="21">
        <f t="shared" ca="1" si="7"/>
        <v>3565</v>
      </c>
    </row>
    <row r="201" spans="1:2" x14ac:dyDescent="0.25">
      <c r="A201" s="20">
        <f t="shared" ca="1" si="6"/>
        <v>0.96829968201003791</v>
      </c>
      <c r="B201" s="21">
        <f t="shared" ca="1" si="7"/>
        <v>4489</v>
      </c>
    </row>
    <row r="202" spans="1:2" x14ac:dyDescent="0.25">
      <c r="A202" s="20">
        <f t="shared" ca="1" si="6"/>
        <v>0.39461163779499409</v>
      </c>
      <c r="B202" s="21">
        <f t="shared" ca="1" si="7"/>
        <v>1854</v>
      </c>
    </row>
    <row r="203" spans="1:2" x14ac:dyDescent="0.25">
      <c r="A203" s="20">
        <f t="shared" ca="1" si="6"/>
        <v>0.14207283398168546</v>
      </c>
      <c r="B203" s="21">
        <f t="shared" ca="1" si="7"/>
        <v>622</v>
      </c>
    </row>
    <row r="204" spans="1:2" x14ac:dyDescent="0.25">
      <c r="A204" s="20">
        <f t="shared" ca="1" si="6"/>
        <v>0.69310860436936694</v>
      </c>
      <c r="B204" s="21">
        <f t="shared" ca="1" si="7"/>
        <v>3212</v>
      </c>
    </row>
    <row r="205" spans="1:2" x14ac:dyDescent="0.25">
      <c r="A205" s="20">
        <f t="shared" ca="1" si="6"/>
        <v>0.40795684150044276</v>
      </c>
      <c r="B205" s="21">
        <f t="shared" ca="1" si="7"/>
        <v>1917</v>
      </c>
    </row>
    <row r="206" spans="1:2" x14ac:dyDescent="0.25">
      <c r="A206" s="20">
        <f t="shared" ca="1" si="6"/>
        <v>0.49099381400503372</v>
      </c>
      <c r="B206" s="21">
        <f t="shared" ca="1" si="7"/>
        <v>2283</v>
      </c>
    </row>
    <row r="207" spans="1:2" x14ac:dyDescent="0.25">
      <c r="A207" s="20">
        <f t="shared" ca="1" si="6"/>
        <v>0.98468475549248113</v>
      </c>
      <c r="B207" s="21">
        <f t="shared" ca="1" si="7"/>
        <v>4559</v>
      </c>
    </row>
    <row r="208" spans="1:2" x14ac:dyDescent="0.25">
      <c r="A208" s="20">
        <f t="shared" ca="1" si="6"/>
        <v>0.54921938920221158</v>
      </c>
      <c r="B208" s="21">
        <f t="shared" ca="1" si="7"/>
        <v>2564</v>
      </c>
    </row>
    <row r="209" spans="1:2" x14ac:dyDescent="0.25">
      <c r="A209" s="20">
        <f t="shared" ca="1" si="6"/>
        <v>0.76212156183035362</v>
      </c>
      <c r="B209" s="21">
        <f t="shared" ca="1" si="7"/>
        <v>3533</v>
      </c>
    </row>
    <row r="210" spans="1:2" x14ac:dyDescent="0.25">
      <c r="A210" s="20">
        <f t="shared" ca="1" si="6"/>
        <v>0.81926102744739793</v>
      </c>
      <c r="B210" s="21">
        <f t="shared" ca="1" si="7"/>
        <v>3792</v>
      </c>
    </row>
    <row r="211" spans="1:2" x14ac:dyDescent="0.25">
      <c r="A211" s="20">
        <f t="shared" ca="1" si="6"/>
        <v>0.85860044472725361</v>
      </c>
      <c r="B211" s="21">
        <f t="shared" ca="1" si="7"/>
        <v>3965</v>
      </c>
    </row>
    <row r="212" spans="1:2" x14ac:dyDescent="0.25">
      <c r="A212" s="20">
        <f t="shared" ca="1" si="6"/>
        <v>0.89630027720596317</v>
      </c>
      <c r="B212" s="21">
        <f t="shared" ca="1" si="7"/>
        <v>4134</v>
      </c>
    </row>
    <row r="213" spans="1:2" x14ac:dyDescent="0.25">
      <c r="A213" s="20">
        <f t="shared" ca="1" si="6"/>
        <v>0.45382786050834123</v>
      </c>
      <c r="B213" s="21">
        <f t="shared" ca="1" si="7"/>
        <v>2127</v>
      </c>
    </row>
    <row r="214" spans="1:2" x14ac:dyDescent="0.25">
      <c r="A214" s="20">
        <f t="shared" ca="1" si="6"/>
        <v>0.55986111281882456</v>
      </c>
      <c r="B214" s="21">
        <f t="shared" ca="1" si="7"/>
        <v>2618</v>
      </c>
    </row>
    <row r="215" spans="1:2" x14ac:dyDescent="0.25">
      <c r="A215" s="20">
        <f t="shared" ca="1" si="6"/>
        <v>0.45176587955624536</v>
      </c>
      <c r="B215" s="21">
        <f t="shared" ca="1" si="7"/>
        <v>2111</v>
      </c>
    </row>
    <row r="216" spans="1:2" x14ac:dyDescent="0.25">
      <c r="A216" s="20">
        <f t="shared" ca="1" si="6"/>
        <v>0.11566344042974119</v>
      </c>
      <c r="B216" s="21">
        <f t="shared" ca="1" si="7"/>
        <v>509</v>
      </c>
    </row>
    <row r="217" spans="1:2" x14ac:dyDescent="0.25">
      <c r="A217" s="20">
        <f t="shared" ca="1" si="6"/>
        <v>0.9760490184013193</v>
      </c>
      <c r="B217" s="21">
        <f t="shared" ca="1" si="7"/>
        <v>4523</v>
      </c>
    </row>
    <row r="218" spans="1:2" x14ac:dyDescent="0.25">
      <c r="A218" s="20">
        <f t="shared" ca="1" si="6"/>
        <v>0.9179269501563585</v>
      </c>
      <c r="B218" s="21">
        <f t="shared" ca="1" si="7"/>
        <v>4236</v>
      </c>
    </row>
    <row r="219" spans="1:2" x14ac:dyDescent="0.25">
      <c r="A219" s="20">
        <f t="shared" ca="1" si="6"/>
        <v>0.26352013467806845</v>
      </c>
      <c r="B219" s="21">
        <f t="shared" ca="1" si="7"/>
        <v>1230</v>
      </c>
    </row>
    <row r="220" spans="1:2" x14ac:dyDescent="0.25">
      <c r="A220" s="20">
        <f t="shared" ca="1" si="6"/>
        <v>0.63861663038944594</v>
      </c>
      <c r="B220" s="21">
        <f t="shared" ca="1" si="7"/>
        <v>2957</v>
      </c>
    </row>
    <row r="221" spans="1:2" x14ac:dyDescent="0.25">
      <c r="A221" s="20">
        <f t="shared" ca="1" si="6"/>
        <v>0.5555427610448419</v>
      </c>
      <c r="B221" s="21">
        <f t="shared" ca="1" si="7"/>
        <v>2600</v>
      </c>
    </row>
    <row r="222" spans="1:2" x14ac:dyDescent="0.25">
      <c r="A222" s="20">
        <f t="shared" ca="1" si="6"/>
        <v>0.900166659416194</v>
      </c>
      <c r="B222" s="21">
        <f t="shared" ca="1" si="7"/>
        <v>4151</v>
      </c>
    </row>
    <row r="223" spans="1:2" x14ac:dyDescent="0.25">
      <c r="A223" s="20">
        <f t="shared" ca="1" si="6"/>
        <v>0.49272555913397198</v>
      </c>
      <c r="B223" s="21">
        <f t="shared" ca="1" si="7"/>
        <v>2289</v>
      </c>
    </row>
    <row r="224" spans="1:2" x14ac:dyDescent="0.25">
      <c r="A224" s="20">
        <f t="shared" ca="1" si="6"/>
        <v>0.86250846272684079</v>
      </c>
      <c r="B224" s="21">
        <f t="shared" ca="1" si="7"/>
        <v>3981</v>
      </c>
    </row>
    <row r="225" spans="1:2" x14ac:dyDescent="0.25">
      <c r="A225" s="20">
        <f t="shared" ca="1" si="6"/>
        <v>0.96205055248136506</v>
      </c>
      <c r="B225" s="21">
        <f t="shared" ca="1" si="7"/>
        <v>4453</v>
      </c>
    </row>
    <row r="226" spans="1:2" x14ac:dyDescent="0.25">
      <c r="A226" s="20">
        <f t="shared" ca="1" si="6"/>
        <v>0.39925632765354746</v>
      </c>
      <c r="B226" s="21">
        <f t="shared" ca="1" si="7"/>
        <v>1874</v>
      </c>
    </row>
    <row r="227" spans="1:2" x14ac:dyDescent="0.25">
      <c r="A227" s="20">
        <f t="shared" ca="1" si="6"/>
        <v>0.28213555073910568</v>
      </c>
      <c r="B227" s="21">
        <f t="shared" ca="1" si="7"/>
        <v>1316</v>
      </c>
    </row>
    <row r="228" spans="1:2" x14ac:dyDescent="0.25">
      <c r="A228" s="20">
        <f t="shared" ca="1" si="6"/>
        <v>0.17609947282408167</v>
      </c>
      <c r="B228" s="21">
        <f t="shared" ca="1" si="7"/>
        <v>802</v>
      </c>
    </row>
    <row r="229" spans="1:2" x14ac:dyDescent="0.25">
      <c r="A229" s="20">
        <f t="shared" ca="1" si="6"/>
        <v>0.3689573434686686</v>
      </c>
      <c r="B229" s="21">
        <f t="shared" ca="1" si="7"/>
        <v>1755</v>
      </c>
    </row>
    <row r="230" spans="1:2" x14ac:dyDescent="0.25">
      <c r="A230" s="20">
        <f t="shared" ca="1" si="6"/>
        <v>0.28484639441470916</v>
      </c>
      <c r="B230" s="21">
        <f t="shared" ca="1" si="7"/>
        <v>1329</v>
      </c>
    </row>
    <row r="231" spans="1:2" x14ac:dyDescent="0.25">
      <c r="A231" s="20">
        <f t="shared" ca="1" si="6"/>
        <v>0.71391532807728175</v>
      </c>
      <c r="B231" s="21">
        <f t="shared" ca="1" si="7"/>
        <v>3304</v>
      </c>
    </row>
    <row r="232" spans="1:2" x14ac:dyDescent="0.25">
      <c r="A232" s="20">
        <f t="shared" ca="1" si="6"/>
        <v>0.80788124618796497</v>
      </c>
      <c r="B232" s="21">
        <f t="shared" ca="1" si="7"/>
        <v>3736</v>
      </c>
    </row>
    <row r="233" spans="1:2" x14ac:dyDescent="0.25">
      <c r="A233" s="20">
        <f t="shared" ca="1" si="6"/>
        <v>0.24622328421901385</v>
      </c>
      <c r="B233" s="21">
        <f t="shared" ca="1" si="7"/>
        <v>1150</v>
      </c>
    </row>
    <row r="234" spans="1:2" x14ac:dyDescent="0.25">
      <c r="A234" s="20">
        <f t="shared" ca="1" si="6"/>
        <v>0.87774120738979811</v>
      </c>
      <c r="B234" s="21">
        <f t="shared" ca="1" si="7"/>
        <v>4043</v>
      </c>
    </row>
    <row r="235" spans="1:2" x14ac:dyDescent="0.25">
      <c r="A235" s="20">
        <f t="shared" ca="1" si="6"/>
        <v>0.4147975614252728</v>
      </c>
      <c r="B235" s="21">
        <f t="shared" ca="1" si="7"/>
        <v>1943</v>
      </c>
    </row>
    <row r="236" spans="1:2" x14ac:dyDescent="0.25">
      <c r="A236" s="20">
        <f t="shared" ca="1" si="6"/>
        <v>0.12935064091931736</v>
      </c>
      <c r="B236" s="21">
        <f t="shared" ca="1" si="7"/>
        <v>572</v>
      </c>
    </row>
    <row r="237" spans="1:2" x14ac:dyDescent="0.25">
      <c r="A237" s="20">
        <f t="shared" ca="1" si="6"/>
        <v>0.38915263773277553</v>
      </c>
      <c r="B237" s="21">
        <f t="shared" ca="1" si="7"/>
        <v>1826</v>
      </c>
    </row>
    <row r="238" spans="1:2" x14ac:dyDescent="0.25">
      <c r="A238" s="20">
        <f t="shared" ca="1" si="6"/>
        <v>0.24169607390799186</v>
      </c>
      <c r="B238" s="21">
        <f t="shared" ca="1" si="7"/>
        <v>1132</v>
      </c>
    </row>
    <row r="239" spans="1:2" x14ac:dyDescent="0.25">
      <c r="A239" s="20">
        <f t="shared" ca="1" si="6"/>
        <v>0.83924314969941227</v>
      </c>
      <c r="B239" s="21">
        <f t="shared" ca="1" si="7"/>
        <v>3871</v>
      </c>
    </row>
    <row r="240" spans="1:2" x14ac:dyDescent="0.25">
      <c r="A240" s="20">
        <f t="shared" ca="1" si="6"/>
        <v>0.95636015746582437</v>
      </c>
      <c r="B240" s="21">
        <f t="shared" ca="1" si="7"/>
        <v>4426</v>
      </c>
    </row>
    <row r="241" spans="1:2" x14ac:dyDescent="0.25">
      <c r="A241" s="20">
        <f t="shared" ca="1" si="6"/>
        <v>0.48910327678136489</v>
      </c>
      <c r="B241" s="21">
        <f t="shared" ca="1" si="7"/>
        <v>2275</v>
      </c>
    </row>
    <row r="242" spans="1:2" x14ac:dyDescent="0.25">
      <c r="A242" s="20">
        <f t="shared" ca="1" si="6"/>
        <v>0.49783980492959246</v>
      </c>
      <c r="B242" s="21">
        <f t="shared" ca="1" si="7"/>
        <v>2312</v>
      </c>
    </row>
    <row r="243" spans="1:2" x14ac:dyDescent="0.25">
      <c r="A243" s="20">
        <f t="shared" ca="1" si="6"/>
        <v>0.45526621216250451</v>
      </c>
      <c r="B243" s="21">
        <f t="shared" ca="1" si="7"/>
        <v>2133</v>
      </c>
    </row>
    <row r="244" spans="1:2" x14ac:dyDescent="0.25">
      <c r="A244" s="20">
        <f t="shared" ca="1" si="6"/>
        <v>0.15063926932838734</v>
      </c>
      <c r="B244" s="21">
        <f t="shared" ca="1" si="7"/>
        <v>672</v>
      </c>
    </row>
    <row r="245" spans="1:2" x14ac:dyDescent="0.25">
      <c r="A245" s="20">
        <f t="shared" ca="1" si="6"/>
        <v>9.8657396653831886E-2</v>
      </c>
      <c r="B245" s="21">
        <f t="shared" ca="1" si="7"/>
        <v>445</v>
      </c>
    </row>
    <row r="246" spans="1:2" x14ac:dyDescent="0.25">
      <c r="A246" s="20">
        <f t="shared" ca="1" si="6"/>
        <v>0.42818566530793356</v>
      </c>
      <c r="B246" s="21">
        <f t="shared" ca="1" si="7"/>
        <v>2010</v>
      </c>
    </row>
    <row r="247" spans="1:2" x14ac:dyDescent="0.25">
      <c r="A247" s="20">
        <f t="shared" ca="1" si="6"/>
        <v>0.98593626588307981</v>
      </c>
      <c r="B247" s="21">
        <f t="shared" ca="1" si="7"/>
        <v>4565</v>
      </c>
    </row>
    <row r="248" spans="1:2" x14ac:dyDescent="0.25">
      <c r="A248" s="20">
        <f t="shared" ca="1" si="6"/>
        <v>0.63546860991293364</v>
      </c>
      <c r="B248" s="21">
        <f t="shared" ca="1" si="7"/>
        <v>2946</v>
      </c>
    </row>
    <row r="249" spans="1:2" x14ac:dyDescent="0.25">
      <c r="A249" s="20">
        <f t="shared" ca="1" si="6"/>
        <v>0.32572631718154521</v>
      </c>
      <c r="B249" s="21">
        <f t="shared" ca="1" si="7"/>
        <v>1528</v>
      </c>
    </row>
    <row r="250" spans="1:2" x14ac:dyDescent="0.25">
      <c r="A250" s="20">
        <f t="shared" ca="1" si="6"/>
        <v>0.6720238631184412</v>
      </c>
      <c r="B250" s="21">
        <f t="shared" ca="1" si="7"/>
        <v>3113</v>
      </c>
    </row>
    <row r="251" spans="1:2" x14ac:dyDescent="0.25">
      <c r="A251" s="20">
        <f t="shared" ca="1" si="6"/>
        <v>6.4630313713012977E-2</v>
      </c>
      <c r="B251" s="21">
        <f t="shared" ca="1" si="7"/>
        <v>283</v>
      </c>
    </row>
    <row r="252" spans="1:2" x14ac:dyDescent="0.25">
      <c r="A252" s="20">
        <f t="shared" ca="1" si="6"/>
        <v>0.59793943823221152</v>
      </c>
      <c r="B252" s="21">
        <f t="shared" ca="1" si="7"/>
        <v>2795</v>
      </c>
    </row>
    <row r="253" spans="1:2" x14ac:dyDescent="0.25">
      <c r="A253" s="20">
        <f t="shared" ca="1" si="6"/>
        <v>0.45380445852953277</v>
      </c>
      <c r="B253" s="21">
        <f t="shared" ca="1" si="7"/>
        <v>2126</v>
      </c>
    </row>
    <row r="254" spans="1:2" x14ac:dyDescent="0.25">
      <c r="A254" s="20">
        <f t="shared" ca="1" si="6"/>
        <v>0.78062066491722726</v>
      </c>
      <c r="B254" s="21">
        <f t="shared" ca="1" si="7"/>
        <v>3618</v>
      </c>
    </row>
    <row r="255" spans="1:2" x14ac:dyDescent="0.25">
      <c r="A255" s="20">
        <f t="shared" ca="1" si="6"/>
        <v>0.50442261869467808</v>
      </c>
      <c r="B255" s="21">
        <f t="shared" ca="1" si="7"/>
        <v>2348</v>
      </c>
    </row>
    <row r="256" spans="1:2" x14ac:dyDescent="0.25">
      <c r="A256" s="20">
        <f t="shared" ca="1" si="6"/>
        <v>0.38947102355628471</v>
      </c>
      <c r="B256" s="21">
        <f t="shared" ca="1" si="7"/>
        <v>1829</v>
      </c>
    </row>
    <row r="257" spans="1:2" x14ac:dyDescent="0.25">
      <c r="A257" s="20">
        <f t="shared" ca="1" si="6"/>
        <v>0.51200289234201601</v>
      </c>
      <c r="B257" s="21">
        <f t="shared" ca="1" si="7"/>
        <v>2390</v>
      </c>
    </row>
    <row r="258" spans="1:2" x14ac:dyDescent="0.25">
      <c r="A258" s="20">
        <f t="shared" ca="1" si="6"/>
        <v>0.85885662856503209</v>
      </c>
      <c r="B258" s="21">
        <f t="shared" ca="1" si="7"/>
        <v>3966</v>
      </c>
    </row>
    <row r="259" spans="1:2" x14ac:dyDescent="0.25">
      <c r="A259" s="20">
        <f t="shared" ref="A259:A322" ca="1" si="8">RAND()</f>
        <v>0.77055558965174409</v>
      </c>
      <c r="B259" s="21">
        <f t="shared" ref="B259:B322" ca="1" si="9">_xlfn.RANK.EQ($A259,$A:$A,1)</f>
        <v>3573</v>
      </c>
    </row>
    <row r="260" spans="1:2" x14ac:dyDescent="0.25">
      <c r="A260" s="20">
        <f t="shared" ca="1" si="8"/>
        <v>0.17290490166632722</v>
      </c>
      <c r="B260" s="21">
        <f t="shared" ca="1" si="9"/>
        <v>784</v>
      </c>
    </row>
    <row r="261" spans="1:2" x14ac:dyDescent="0.25">
      <c r="A261" s="20">
        <f t="shared" ca="1" si="8"/>
        <v>0.91182039495265521</v>
      </c>
      <c r="B261" s="21">
        <f t="shared" ca="1" si="9"/>
        <v>4207</v>
      </c>
    </row>
    <row r="262" spans="1:2" x14ac:dyDescent="0.25">
      <c r="A262" s="20">
        <f t="shared" ca="1" si="8"/>
        <v>0.96612819592390997</v>
      </c>
      <c r="B262" s="21">
        <f t="shared" ca="1" si="9"/>
        <v>4482</v>
      </c>
    </row>
    <row r="263" spans="1:2" x14ac:dyDescent="0.25">
      <c r="A263" s="20">
        <f t="shared" ca="1" si="8"/>
        <v>0.50086917146474963</v>
      </c>
      <c r="B263" s="21">
        <f t="shared" ca="1" si="9"/>
        <v>2324</v>
      </c>
    </row>
    <row r="264" spans="1:2" x14ac:dyDescent="0.25">
      <c r="A264" s="20">
        <f t="shared" ca="1" si="8"/>
        <v>0.84921027299688445</v>
      </c>
      <c r="B264" s="21">
        <f t="shared" ca="1" si="9"/>
        <v>3922</v>
      </c>
    </row>
    <row r="265" spans="1:2" x14ac:dyDescent="0.25">
      <c r="A265" s="20">
        <f t="shared" ca="1" si="8"/>
        <v>0.60202930723365922</v>
      </c>
      <c r="B265" s="21">
        <f t="shared" ca="1" si="9"/>
        <v>2809</v>
      </c>
    </row>
    <row r="266" spans="1:2" x14ac:dyDescent="0.25">
      <c r="A266" s="20">
        <f t="shared" ca="1" si="8"/>
        <v>6.26491929201759E-2</v>
      </c>
      <c r="B266" s="21">
        <f t="shared" ca="1" si="9"/>
        <v>272</v>
      </c>
    </row>
    <row r="267" spans="1:2" x14ac:dyDescent="0.25">
      <c r="A267" s="20">
        <f t="shared" ca="1" si="8"/>
        <v>0.24632451229528152</v>
      </c>
      <c r="B267" s="21">
        <f t="shared" ca="1" si="9"/>
        <v>1152</v>
      </c>
    </row>
    <row r="268" spans="1:2" x14ac:dyDescent="0.25">
      <c r="A268" s="20">
        <f t="shared" ca="1" si="8"/>
        <v>5.7624541861809653E-2</v>
      </c>
      <c r="B268" s="21">
        <f t="shared" ca="1" si="9"/>
        <v>248</v>
      </c>
    </row>
    <row r="269" spans="1:2" x14ac:dyDescent="0.25">
      <c r="A269" s="20">
        <f t="shared" ca="1" si="8"/>
        <v>0.12305875501763264</v>
      </c>
      <c r="B269" s="21">
        <f t="shared" ca="1" si="9"/>
        <v>545</v>
      </c>
    </row>
    <row r="270" spans="1:2" x14ac:dyDescent="0.25">
      <c r="A270" s="20">
        <f t="shared" ca="1" si="8"/>
        <v>0.54288949369566264</v>
      </c>
      <c r="B270" s="21">
        <f t="shared" ca="1" si="9"/>
        <v>2534</v>
      </c>
    </row>
    <row r="271" spans="1:2" x14ac:dyDescent="0.25">
      <c r="A271" s="20">
        <f t="shared" ca="1" si="8"/>
        <v>0.6779820249237104</v>
      </c>
      <c r="B271" s="21">
        <f t="shared" ca="1" si="9"/>
        <v>3137</v>
      </c>
    </row>
    <row r="272" spans="1:2" x14ac:dyDescent="0.25">
      <c r="A272" s="20">
        <f t="shared" ca="1" si="8"/>
        <v>0.75446552770109376</v>
      </c>
      <c r="B272" s="21">
        <f t="shared" ca="1" si="9"/>
        <v>3499</v>
      </c>
    </row>
    <row r="273" spans="1:2" x14ac:dyDescent="0.25">
      <c r="A273" s="20">
        <f t="shared" ca="1" si="8"/>
        <v>0.46307120885301067</v>
      </c>
      <c r="B273" s="21">
        <f t="shared" ca="1" si="9"/>
        <v>2171</v>
      </c>
    </row>
    <row r="274" spans="1:2" x14ac:dyDescent="0.25">
      <c r="A274" s="20">
        <f t="shared" ca="1" si="8"/>
        <v>0.30215092078793448</v>
      </c>
      <c r="B274" s="21">
        <f t="shared" ca="1" si="9"/>
        <v>1416</v>
      </c>
    </row>
    <row r="275" spans="1:2" x14ac:dyDescent="0.25">
      <c r="A275" s="20">
        <f t="shared" ca="1" si="8"/>
        <v>0.97981460461063064</v>
      </c>
      <c r="B275" s="21">
        <f t="shared" ca="1" si="9"/>
        <v>4544</v>
      </c>
    </row>
    <row r="276" spans="1:2" x14ac:dyDescent="0.25">
      <c r="A276" s="20">
        <f t="shared" ca="1" si="8"/>
        <v>0.19023458129132986</v>
      </c>
      <c r="B276" s="21">
        <f t="shared" ca="1" si="9"/>
        <v>873</v>
      </c>
    </row>
    <row r="277" spans="1:2" x14ac:dyDescent="0.25">
      <c r="A277" s="20">
        <f t="shared" ca="1" si="8"/>
        <v>1.9037261782676729E-2</v>
      </c>
      <c r="B277" s="21">
        <f t="shared" ca="1" si="9"/>
        <v>75</v>
      </c>
    </row>
    <row r="278" spans="1:2" x14ac:dyDescent="0.25">
      <c r="A278" s="20">
        <f t="shared" ca="1" si="8"/>
        <v>0.94740167820294907</v>
      </c>
      <c r="B278" s="21">
        <f t="shared" ca="1" si="9"/>
        <v>4390</v>
      </c>
    </row>
    <row r="279" spans="1:2" x14ac:dyDescent="0.25">
      <c r="A279" s="20">
        <f t="shared" ca="1" si="8"/>
        <v>0.8904610586261783</v>
      </c>
      <c r="B279" s="21">
        <f t="shared" ca="1" si="9"/>
        <v>4105</v>
      </c>
    </row>
    <row r="280" spans="1:2" x14ac:dyDescent="0.25">
      <c r="A280" s="20">
        <f t="shared" ca="1" si="8"/>
        <v>0.55078878013527122</v>
      </c>
      <c r="B280" s="21">
        <f t="shared" ca="1" si="9"/>
        <v>2572</v>
      </c>
    </row>
    <row r="281" spans="1:2" x14ac:dyDescent="0.25">
      <c r="A281" s="20">
        <f t="shared" ca="1" si="8"/>
        <v>0.8945261014274184</v>
      </c>
      <c r="B281" s="21">
        <f t="shared" ca="1" si="9"/>
        <v>4126</v>
      </c>
    </row>
    <row r="282" spans="1:2" x14ac:dyDescent="0.25">
      <c r="A282" s="20">
        <f t="shared" ca="1" si="8"/>
        <v>0.27871938876273517</v>
      </c>
      <c r="B282" s="21">
        <f t="shared" ca="1" si="9"/>
        <v>1296</v>
      </c>
    </row>
    <row r="283" spans="1:2" x14ac:dyDescent="0.25">
      <c r="A283" s="20">
        <f t="shared" ca="1" si="8"/>
        <v>0.76648086464174847</v>
      </c>
      <c r="B283" s="21">
        <f t="shared" ca="1" si="9"/>
        <v>3552</v>
      </c>
    </row>
    <row r="284" spans="1:2" x14ac:dyDescent="0.25">
      <c r="A284" s="20">
        <f t="shared" ca="1" si="8"/>
        <v>0.88697246387290918</v>
      </c>
      <c r="B284" s="21">
        <f t="shared" ca="1" si="9"/>
        <v>4089</v>
      </c>
    </row>
    <row r="285" spans="1:2" x14ac:dyDescent="0.25">
      <c r="A285" s="20">
        <f t="shared" ca="1" si="8"/>
        <v>0.65688009456026242</v>
      </c>
      <c r="B285" s="21">
        <f t="shared" ca="1" si="9"/>
        <v>3049</v>
      </c>
    </row>
    <row r="286" spans="1:2" x14ac:dyDescent="0.25">
      <c r="A286" s="20">
        <f t="shared" ca="1" si="8"/>
        <v>0.12846387294679862</v>
      </c>
      <c r="B286" s="21">
        <f t="shared" ca="1" si="9"/>
        <v>562</v>
      </c>
    </row>
    <row r="287" spans="1:2" x14ac:dyDescent="0.25">
      <c r="A287" s="20">
        <f t="shared" ca="1" si="8"/>
        <v>0.26915143949966391</v>
      </c>
      <c r="B287" s="21">
        <f t="shared" ca="1" si="9"/>
        <v>1254</v>
      </c>
    </row>
    <row r="288" spans="1:2" x14ac:dyDescent="0.25">
      <c r="A288" s="20">
        <f t="shared" ca="1" si="8"/>
        <v>0.96754147694965753</v>
      </c>
      <c r="B288" s="21">
        <f t="shared" ca="1" si="9"/>
        <v>4485</v>
      </c>
    </row>
    <row r="289" spans="1:2" x14ac:dyDescent="0.25">
      <c r="A289" s="20">
        <f t="shared" ca="1" si="8"/>
        <v>0.12895443276937479</v>
      </c>
      <c r="B289" s="21">
        <f t="shared" ca="1" si="9"/>
        <v>567</v>
      </c>
    </row>
    <row r="290" spans="1:2" x14ac:dyDescent="0.25">
      <c r="A290" s="20">
        <f t="shared" ca="1" si="8"/>
        <v>3.3493537548443419E-2</v>
      </c>
      <c r="B290" s="21">
        <f t="shared" ca="1" si="9"/>
        <v>129</v>
      </c>
    </row>
    <row r="291" spans="1:2" x14ac:dyDescent="0.25">
      <c r="A291" s="20">
        <f t="shared" ca="1" si="8"/>
        <v>0.23499631806931875</v>
      </c>
      <c r="B291" s="21">
        <f t="shared" ca="1" si="9"/>
        <v>1103</v>
      </c>
    </row>
    <row r="292" spans="1:2" x14ac:dyDescent="0.25">
      <c r="A292" s="20">
        <f t="shared" ca="1" si="8"/>
        <v>0.94462557579073514</v>
      </c>
      <c r="B292" s="21">
        <f t="shared" ca="1" si="9"/>
        <v>4369</v>
      </c>
    </row>
    <row r="293" spans="1:2" x14ac:dyDescent="0.25">
      <c r="A293" s="20">
        <f t="shared" ca="1" si="8"/>
        <v>0.60427126945399257</v>
      </c>
      <c r="B293" s="21">
        <f t="shared" ca="1" si="9"/>
        <v>2820</v>
      </c>
    </row>
    <row r="294" spans="1:2" x14ac:dyDescent="0.25">
      <c r="A294" s="20">
        <f t="shared" ca="1" si="8"/>
        <v>0.40791556854984801</v>
      </c>
      <c r="B294" s="21">
        <f t="shared" ca="1" si="9"/>
        <v>1915</v>
      </c>
    </row>
    <row r="295" spans="1:2" x14ac:dyDescent="0.25">
      <c r="A295" s="20">
        <f t="shared" ca="1" si="8"/>
        <v>0.7628909270164913</v>
      </c>
      <c r="B295" s="21">
        <f t="shared" ca="1" si="9"/>
        <v>3537</v>
      </c>
    </row>
    <row r="296" spans="1:2" x14ac:dyDescent="0.25">
      <c r="A296" s="20">
        <f t="shared" ca="1" si="8"/>
        <v>0.25508017377086434</v>
      </c>
      <c r="B296" s="21">
        <f t="shared" ca="1" si="9"/>
        <v>1192</v>
      </c>
    </row>
    <row r="297" spans="1:2" x14ac:dyDescent="0.25">
      <c r="A297" s="20">
        <f t="shared" ca="1" si="8"/>
        <v>0.84052400038014574</v>
      </c>
      <c r="B297" s="21">
        <f t="shared" ca="1" si="9"/>
        <v>3879</v>
      </c>
    </row>
    <row r="298" spans="1:2" x14ac:dyDescent="0.25">
      <c r="A298" s="20">
        <f t="shared" ca="1" si="8"/>
        <v>0.68738047712934913</v>
      </c>
      <c r="B298" s="21">
        <f t="shared" ca="1" si="9"/>
        <v>3192</v>
      </c>
    </row>
    <row r="299" spans="1:2" x14ac:dyDescent="0.25">
      <c r="A299" s="20">
        <f t="shared" ca="1" si="8"/>
        <v>0.50299235097366879</v>
      </c>
      <c r="B299" s="21">
        <f t="shared" ca="1" si="9"/>
        <v>2339</v>
      </c>
    </row>
    <row r="300" spans="1:2" x14ac:dyDescent="0.25">
      <c r="A300" s="20">
        <f t="shared" ca="1" si="8"/>
        <v>0.81800641298682586</v>
      </c>
      <c r="B300" s="21">
        <f t="shared" ca="1" si="9"/>
        <v>3784</v>
      </c>
    </row>
    <row r="301" spans="1:2" x14ac:dyDescent="0.25">
      <c r="A301" s="20">
        <f t="shared" ca="1" si="8"/>
        <v>0.73169035210437205</v>
      </c>
      <c r="B301" s="21">
        <f t="shared" ca="1" si="9"/>
        <v>3394</v>
      </c>
    </row>
    <row r="302" spans="1:2" x14ac:dyDescent="0.25">
      <c r="A302" s="20">
        <f t="shared" ca="1" si="8"/>
        <v>0.95047171164408617</v>
      </c>
      <c r="B302" s="21">
        <f t="shared" ca="1" si="9"/>
        <v>4408</v>
      </c>
    </row>
    <row r="303" spans="1:2" x14ac:dyDescent="0.25">
      <c r="A303" s="20">
        <f t="shared" ca="1" si="8"/>
        <v>3.5081053095676995E-2</v>
      </c>
      <c r="B303" s="21">
        <f t="shared" ca="1" si="9"/>
        <v>135</v>
      </c>
    </row>
    <row r="304" spans="1:2" x14ac:dyDescent="0.25">
      <c r="A304" s="20">
        <f t="shared" ca="1" si="8"/>
        <v>0.14428113307170976</v>
      </c>
      <c r="B304" s="21">
        <f t="shared" ca="1" si="9"/>
        <v>637</v>
      </c>
    </row>
    <row r="305" spans="1:2" x14ac:dyDescent="0.25">
      <c r="A305" s="20">
        <f t="shared" ca="1" si="8"/>
        <v>0.82562492532312759</v>
      </c>
      <c r="B305" s="21">
        <f t="shared" ca="1" si="9"/>
        <v>3823</v>
      </c>
    </row>
    <row r="306" spans="1:2" x14ac:dyDescent="0.25">
      <c r="A306" s="20">
        <f t="shared" ca="1" si="8"/>
        <v>0.57646000109998063</v>
      </c>
      <c r="B306" s="21">
        <f t="shared" ca="1" si="9"/>
        <v>2691</v>
      </c>
    </row>
    <row r="307" spans="1:2" x14ac:dyDescent="0.25">
      <c r="A307" s="20">
        <f t="shared" ca="1" si="8"/>
        <v>0.30961137246505011</v>
      </c>
      <c r="B307" s="21">
        <f t="shared" ca="1" si="9"/>
        <v>1452</v>
      </c>
    </row>
    <row r="308" spans="1:2" x14ac:dyDescent="0.25">
      <c r="A308" s="20">
        <f t="shared" ca="1" si="8"/>
        <v>0.85272048370130615</v>
      </c>
      <c r="B308" s="21">
        <f t="shared" ca="1" si="9"/>
        <v>3940</v>
      </c>
    </row>
    <row r="309" spans="1:2" x14ac:dyDescent="0.25">
      <c r="A309" s="20">
        <f t="shared" ca="1" si="8"/>
        <v>0.51872143102870283</v>
      </c>
      <c r="B309" s="21">
        <f t="shared" ca="1" si="9"/>
        <v>2424</v>
      </c>
    </row>
    <row r="310" spans="1:2" x14ac:dyDescent="0.25">
      <c r="A310" s="20">
        <f t="shared" ca="1" si="8"/>
        <v>0.51559082528084299</v>
      </c>
      <c r="B310" s="21">
        <f t="shared" ca="1" si="9"/>
        <v>2407</v>
      </c>
    </row>
    <row r="311" spans="1:2" x14ac:dyDescent="0.25">
      <c r="A311" s="20">
        <f t="shared" ca="1" si="8"/>
        <v>0.81044940981867986</v>
      </c>
      <c r="B311" s="21">
        <f t="shared" ca="1" si="9"/>
        <v>3747</v>
      </c>
    </row>
    <row r="312" spans="1:2" x14ac:dyDescent="0.25">
      <c r="A312" s="20">
        <f t="shared" ca="1" si="8"/>
        <v>0.40800718691560245</v>
      </c>
      <c r="B312" s="21">
        <f t="shared" ca="1" si="9"/>
        <v>1918</v>
      </c>
    </row>
    <row r="313" spans="1:2" x14ac:dyDescent="0.25">
      <c r="A313" s="20">
        <f t="shared" ca="1" si="8"/>
        <v>0.85015930249539884</v>
      </c>
      <c r="B313" s="21">
        <f t="shared" ca="1" si="9"/>
        <v>3929</v>
      </c>
    </row>
    <row r="314" spans="1:2" x14ac:dyDescent="0.25">
      <c r="A314" s="20">
        <f t="shared" ca="1" si="8"/>
        <v>0.22754041797096891</v>
      </c>
      <c r="B314" s="21">
        <f t="shared" ca="1" si="9"/>
        <v>1068</v>
      </c>
    </row>
    <row r="315" spans="1:2" x14ac:dyDescent="0.25">
      <c r="A315" s="20">
        <f t="shared" ca="1" si="8"/>
        <v>0.90283741279494667</v>
      </c>
      <c r="B315" s="21">
        <f t="shared" ca="1" si="9"/>
        <v>4170</v>
      </c>
    </row>
    <row r="316" spans="1:2" x14ac:dyDescent="0.25">
      <c r="A316" s="20">
        <f t="shared" ca="1" si="8"/>
        <v>0.34891160305456659</v>
      </c>
      <c r="B316" s="21">
        <f t="shared" ca="1" si="9"/>
        <v>1642</v>
      </c>
    </row>
    <row r="317" spans="1:2" x14ac:dyDescent="0.25">
      <c r="A317" s="20">
        <f t="shared" ca="1" si="8"/>
        <v>0.94948048486968739</v>
      </c>
      <c r="B317" s="21">
        <f t="shared" ca="1" si="9"/>
        <v>4401</v>
      </c>
    </row>
    <row r="318" spans="1:2" x14ac:dyDescent="0.25">
      <c r="A318" s="20">
        <f t="shared" ca="1" si="8"/>
        <v>0.55342793496153042</v>
      </c>
      <c r="B318" s="21">
        <f t="shared" ca="1" si="9"/>
        <v>2587</v>
      </c>
    </row>
    <row r="319" spans="1:2" x14ac:dyDescent="0.25">
      <c r="A319" s="20">
        <f t="shared" ca="1" si="8"/>
        <v>0.90814469900719486</v>
      </c>
      <c r="B319" s="21">
        <f t="shared" ca="1" si="9"/>
        <v>4190</v>
      </c>
    </row>
    <row r="320" spans="1:2" x14ac:dyDescent="0.25">
      <c r="A320" s="20">
        <f t="shared" ca="1" si="8"/>
        <v>0.36345533310879086</v>
      </c>
      <c r="B320" s="21">
        <f t="shared" ca="1" si="9"/>
        <v>1721</v>
      </c>
    </row>
    <row r="321" spans="1:2" x14ac:dyDescent="0.25">
      <c r="A321" s="20">
        <f t="shared" ca="1" si="8"/>
        <v>0.9795863107195697</v>
      </c>
      <c r="B321" s="21">
        <f t="shared" ca="1" si="9"/>
        <v>4543</v>
      </c>
    </row>
    <row r="322" spans="1:2" x14ac:dyDescent="0.25">
      <c r="A322" s="20">
        <f t="shared" ca="1" si="8"/>
        <v>0.44352118770768745</v>
      </c>
      <c r="B322" s="21">
        <f t="shared" ca="1" si="9"/>
        <v>2073</v>
      </c>
    </row>
    <row r="323" spans="1:2" x14ac:dyDescent="0.25">
      <c r="A323" s="20">
        <f t="shared" ref="A323:A386" ca="1" si="10">RAND()</f>
        <v>0.29929947089920694</v>
      </c>
      <c r="B323" s="21">
        <f t="shared" ref="B323:B386" ca="1" si="11">_xlfn.RANK.EQ($A323,$A:$A,1)</f>
        <v>1403</v>
      </c>
    </row>
    <row r="324" spans="1:2" x14ac:dyDescent="0.25">
      <c r="A324" s="20">
        <f t="shared" ca="1" si="10"/>
        <v>0.4757330411880506</v>
      </c>
      <c r="B324" s="21">
        <f t="shared" ca="1" si="11"/>
        <v>2219</v>
      </c>
    </row>
    <row r="325" spans="1:2" x14ac:dyDescent="0.25">
      <c r="A325" s="20">
        <f t="shared" ca="1" si="10"/>
        <v>0.27058929190413916</v>
      </c>
      <c r="B325" s="21">
        <f t="shared" ca="1" si="11"/>
        <v>1264</v>
      </c>
    </row>
    <row r="326" spans="1:2" x14ac:dyDescent="0.25">
      <c r="A326" s="20">
        <f t="shared" ca="1" si="10"/>
        <v>0.74589881313510331</v>
      </c>
      <c r="B326" s="21">
        <f t="shared" ca="1" si="11"/>
        <v>3447</v>
      </c>
    </row>
    <row r="327" spans="1:2" x14ac:dyDescent="0.25">
      <c r="A327" s="20">
        <f t="shared" ca="1" si="10"/>
        <v>0.70734256039819254</v>
      </c>
      <c r="B327" s="21">
        <f t="shared" ca="1" si="11"/>
        <v>3275</v>
      </c>
    </row>
    <row r="328" spans="1:2" x14ac:dyDescent="0.25">
      <c r="A328" s="20">
        <f t="shared" ca="1" si="10"/>
        <v>1.203131491357512E-2</v>
      </c>
      <c r="B328" s="21">
        <f t="shared" ca="1" si="11"/>
        <v>42</v>
      </c>
    </row>
    <row r="329" spans="1:2" x14ac:dyDescent="0.25">
      <c r="A329" s="20">
        <f t="shared" ca="1" si="10"/>
        <v>0.6904660487626787</v>
      </c>
      <c r="B329" s="21">
        <f t="shared" ca="1" si="11"/>
        <v>3203</v>
      </c>
    </row>
    <row r="330" spans="1:2" x14ac:dyDescent="0.25">
      <c r="A330" s="20">
        <f t="shared" ca="1" si="10"/>
        <v>0.95637931771324358</v>
      </c>
      <c r="B330" s="21">
        <f t="shared" ca="1" si="11"/>
        <v>4427</v>
      </c>
    </row>
    <row r="331" spans="1:2" x14ac:dyDescent="0.25">
      <c r="A331" s="20">
        <f t="shared" ca="1" si="10"/>
        <v>7.8363289422563098E-2</v>
      </c>
      <c r="B331" s="21">
        <f t="shared" ca="1" si="11"/>
        <v>350</v>
      </c>
    </row>
    <row r="332" spans="1:2" x14ac:dyDescent="0.25">
      <c r="A332" s="20">
        <f t="shared" ca="1" si="10"/>
        <v>0.77582840379311957</v>
      </c>
      <c r="B332" s="21">
        <f t="shared" ca="1" si="11"/>
        <v>3600</v>
      </c>
    </row>
    <row r="333" spans="1:2" x14ac:dyDescent="0.25">
      <c r="A333" s="20">
        <f t="shared" ca="1" si="10"/>
        <v>0.21193869382365826</v>
      </c>
      <c r="B333" s="21">
        <f t="shared" ca="1" si="11"/>
        <v>992</v>
      </c>
    </row>
    <row r="334" spans="1:2" x14ac:dyDescent="0.25">
      <c r="A334" s="20">
        <f t="shared" ca="1" si="10"/>
        <v>0.12238282888316421</v>
      </c>
      <c r="B334" s="21">
        <f t="shared" ca="1" si="11"/>
        <v>541</v>
      </c>
    </row>
    <row r="335" spans="1:2" x14ac:dyDescent="0.25">
      <c r="A335" s="20">
        <f t="shared" ca="1" si="10"/>
        <v>0.86590132593070923</v>
      </c>
      <c r="B335" s="21">
        <f t="shared" ca="1" si="11"/>
        <v>3995</v>
      </c>
    </row>
    <row r="336" spans="1:2" x14ac:dyDescent="0.25">
      <c r="A336" s="20">
        <f t="shared" ca="1" si="10"/>
        <v>0.45103899806088121</v>
      </c>
      <c r="B336" s="21">
        <f t="shared" ca="1" si="11"/>
        <v>2109</v>
      </c>
    </row>
    <row r="337" spans="1:2" x14ac:dyDescent="0.25">
      <c r="A337" s="20">
        <f t="shared" ca="1" si="10"/>
        <v>0.5455054390199181</v>
      </c>
      <c r="B337" s="21">
        <f t="shared" ca="1" si="11"/>
        <v>2548</v>
      </c>
    </row>
    <row r="338" spans="1:2" x14ac:dyDescent="0.25">
      <c r="A338" s="20">
        <f t="shared" ca="1" si="10"/>
        <v>0.1780205318132565</v>
      </c>
      <c r="B338" s="21">
        <f t="shared" ca="1" si="11"/>
        <v>813</v>
      </c>
    </row>
    <row r="339" spans="1:2" x14ac:dyDescent="0.25">
      <c r="A339" s="20">
        <f t="shared" ca="1" si="10"/>
        <v>0.14311384278328476</v>
      </c>
      <c r="B339" s="21">
        <f t="shared" ca="1" si="11"/>
        <v>628</v>
      </c>
    </row>
    <row r="340" spans="1:2" x14ac:dyDescent="0.25">
      <c r="A340" s="20">
        <f t="shared" ca="1" si="10"/>
        <v>0.2522519637465257</v>
      </c>
      <c r="B340" s="21">
        <f t="shared" ca="1" si="11"/>
        <v>1179</v>
      </c>
    </row>
    <row r="341" spans="1:2" x14ac:dyDescent="0.25">
      <c r="A341" s="20">
        <f t="shared" ca="1" si="10"/>
        <v>0.23737367912377438</v>
      </c>
      <c r="B341" s="21">
        <f t="shared" ca="1" si="11"/>
        <v>1112</v>
      </c>
    </row>
    <row r="342" spans="1:2" x14ac:dyDescent="0.25">
      <c r="A342" s="20">
        <f t="shared" ca="1" si="10"/>
        <v>0.35202492986827394</v>
      </c>
      <c r="B342" s="21">
        <f t="shared" ca="1" si="11"/>
        <v>1661</v>
      </c>
    </row>
    <row r="343" spans="1:2" x14ac:dyDescent="0.25">
      <c r="A343" s="20">
        <f t="shared" ca="1" si="10"/>
        <v>0.96785454339663279</v>
      </c>
      <c r="B343" s="21">
        <f t="shared" ca="1" si="11"/>
        <v>4486</v>
      </c>
    </row>
    <row r="344" spans="1:2" x14ac:dyDescent="0.25">
      <c r="A344" s="20">
        <f t="shared" ca="1" si="10"/>
        <v>0.21299612659379763</v>
      </c>
      <c r="B344" s="21">
        <f t="shared" ca="1" si="11"/>
        <v>995</v>
      </c>
    </row>
    <row r="345" spans="1:2" x14ac:dyDescent="0.25">
      <c r="A345" s="20">
        <f t="shared" ca="1" si="10"/>
        <v>0.58062122170310726</v>
      </c>
      <c r="B345" s="21">
        <f t="shared" ca="1" si="11"/>
        <v>2713</v>
      </c>
    </row>
    <row r="346" spans="1:2" x14ac:dyDescent="0.25">
      <c r="A346" s="20">
        <f t="shared" ca="1" si="10"/>
        <v>0.39103075248437003</v>
      </c>
      <c r="B346" s="21">
        <f t="shared" ca="1" si="11"/>
        <v>1837</v>
      </c>
    </row>
    <row r="347" spans="1:2" x14ac:dyDescent="0.25">
      <c r="A347" s="20">
        <f t="shared" ca="1" si="10"/>
        <v>0.76943574054896791</v>
      </c>
      <c r="B347" s="21">
        <f t="shared" ca="1" si="11"/>
        <v>3568</v>
      </c>
    </row>
    <row r="348" spans="1:2" x14ac:dyDescent="0.25">
      <c r="A348" s="20">
        <f t="shared" ca="1" si="10"/>
        <v>0.91695294759849399</v>
      </c>
      <c r="B348" s="21">
        <f t="shared" ca="1" si="11"/>
        <v>4233</v>
      </c>
    </row>
    <row r="349" spans="1:2" x14ac:dyDescent="0.25">
      <c r="A349" s="20">
        <f t="shared" ca="1" si="10"/>
        <v>0.18027377593741689</v>
      </c>
      <c r="B349" s="21">
        <f t="shared" ca="1" si="11"/>
        <v>823</v>
      </c>
    </row>
    <row r="350" spans="1:2" x14ac:dyDescent="0.25">
      <c r="A350" s="20">
        <f t="shared" ca="1" si="10"/>
        <v>0.90378296999105945</v>
      </c>
      <c r="B350" s="21">
        <f t="shared" ca="1" si="11"/>
        <v>4174</v>
      </c>
    </row>
    <row r="351" spans="1:2" x14ac:dyDescent="0.25">
      <c r="A351" s="20">
        <f t="shared" ca="1" si="10"/>
        <v>0.60228498643266215</v>
      </c>
      <c r="B351" s="21">
        <f t="shared" ca="1" si="11"/>
        <v>2812</v>
      </c>
    </row>
    <row r="352" spans="1:2" x14ac:dyDescent="0.25">
      <c r="A352" s="20">
        <f t="shared" ca="1" si="10"/>
        <v>5.8714594608398452E-2</v>
      </c>
      <c r="B352" s="21">
        <f t="shared" ca="1" si="11"/>
        <v>256</v>
      </c>
    </row>
    <row r="353" spans="1:2" x14ac:dyDescent="0.25">
      <c r="A353" s="20">
        <f t="shared" ca="1" si="10"/>
        <v>0.14613066509472183</v>
      </c>
      <c r="B353" s="21">
        <f t="shared" ca="1" si="11"/>
        <v>645</v>
      </c>
    </row>
    <row r="354" spans="1:2" x14ac:dyDescent="0.25">
      <c r="A354" s="20">
        <f t="shared" ca="1" si="10"/>
        <v>8.3326971238103065E-2</v>
      </c>
      <c r="B354" s="21">
        <f t="shared" ca="1" si="11"/>
        <v>374</v>
      </c>
    </row>
    <row r="355" spans="1:2" x14ac:dyDescent="0.25">
      <c r="A355" s="20">
        <f t="shared" ca="1" si="10"/>
        <v>0.45216616949703259</v>
      </c>
      <c r="B355" s="21">
        <f t="shared" ca="1" si="11"/>
        <v>2113</v>
      </c>
    </row>
    <row r="356" spans="1:2" x14ac:dyDescent="0.25">
      <c r="A356" s="20">
        <f t="shared" ca="1" si="10"/>
        <v>0.13649148302493797</v>
      </c>
      <c r="B356" s="21">
        <f t="shared" ca="1" si="11"/>
        <v>599</v>
      </c>
    </row>
    <row r="357" spans="1:2" x14ac:dyDescent="0.25">
      <c r="A357" s="20">
        <f t="shared" ca="1" si="10"/>
        <v>0.72461538772541645</v>
      </c>
      <c r="B357" s="21">
        <f t="shared" ca="1" si="11"/>
        <v>3355</v>
      </c>
    </row>
    <row r="358" spans="1:2" x14ac:dyDescent="0.25">
      <c r="A358" s="20">
        <f t="shared" ca="1" si="10"/>
        <v>0.90732349567309278</v>
      </c>
      <c r="B358" s="21">
        <f t="shared" ca="1" si="11"/>
        <v>4186</v>
      </c>
    </row>
    <row r="359" spans="1:2" x14ac:dyDescent="0.25">
      <c r="A359" s="20">
        <f t="shared" ca="1" si="10"/>
        <v>0.36121352842279075</v>
      </c>
      <c r="B359" s="21">
        <f t="shared" ca="1" si="11"/>
        <v>1710</v>
      </c>
    </row>
    <row r="360" spans="1:2" x14ac:dyDescent="0.25">
      <c r="A360" s="20">
        <f t="shared" ca="1" si="10"/>
        <v>0.11568589711789035</v>
      </c>
      <c r="B360" s="21">
        <f t="shared" ca="1" si="11"/>
        <v>510</v>
      </c>
    </row>
    <row r="361" spans="1:2" x14ac:dyDescent="0.25">
      <c r="A361" s="20">
        <f t="shared" ca="1" si="10"/>
        <v>0.77677902672190835</v>
      </c>
      <c r="B361" s="21">
        <f t="shared" ca="1" si="11"/>
        <v>3605</v>
      </c>
    </row>
    <row r="362" spans="1:2" x14ac:dyDescent="0.25">
      <c r="A362" s="20">
        <f t="shared" ca="1" si="10"/>
        <v>7.6384274000045105E-2</v>
      </c>
      <c r="B362" s="21">
        <f t="shared" ca="1" si="11"/>
        <v>341</v>
      </c>
    </row>
    <row r="363" spans="1:2" x14ac:dyDescent="0.25">
      <c r="A363" s="20">
        <f t="shared" ca="1" si="10"/>
        <v>0.9212979473090982</v>
      </c>
      <c r="B363" s="21">
        <f t="shared" ca="1" si="11"/>
        <v>4250</v>
      </c>
    </row>
    <row r="364" spans="1:2" x14ac:dyDescent="0.25">
      <c r="A364" s="20">
        <f t="shared" ca="1" si="10"/>
        <v>0.73354394364089925</v>
      </c>
      <c r="B364" s="21">
        <f t="shared" ca="1" si="11"/>
        <v>3399</v>
      </c>
    </row>
    <row r="365" spans="1:2" x14ac:dyDescent="0.25">
      <c r="A365" s="20">
        <f t="shared" ca="1" si="10"/>
        <v>0.7275581284706778</v>
      </c>
      <c r="B365" s="21">
        <f t="shared" ca="1" si="11"/>
        <v>3367</v>
      </c>
    </row>
    <row r="366" spans="1:2" x14ac:dyDescent="0.25">
      <c r="A366" s="20">
        <f t="shared" ca="1" si="10"/>
        <v>0.25794622431431524</v>
      </c>
      <c r="B366" s="21">
        <f t="shared" ca="1" si="11"/>
        <v>1203</v>
      </c>
    </row>
    <row r="367" spans="1:2" x14ac:dyDescent="0.25">
      <c r="A367" s="20">
        <f t="shared" ca="1" si="10"/>
        <v>0.68893700625199461</v>
      </c>
      <c r="B367" s="21">
        <f t="shared" ca="1" si="11"/>
        <v>3197</v>
      </c>
    </row>
    <row r="368" spans="1:2" x14ac:dyDescent="0.25">
      <c r="A368" s="20">
        <f t="shared" ca="1" si="10"/>
        <v>0.9417882758486783</v>
      </c>
      <c r="B368" s="21">
        <f t="shared" ca="1" si="11"/>
        <v>4356</v>
      </c>
    </row>
    <row r="369" spans="1:2" x14ac:dyDescent="0.25">
      <c r="A369" s="20">
        <f t="shared" ca="1" si="10"/>
        <v>0.61483435688365962</v>
      </c>
      <c r="B369" s="21">
        <f t="shared" ca="1" si="11"/>
        <v>2857</v>
      </c>
    </row>
    <row r="370" spans="1:2" x14ac:dyDescent="0.25">
      <c r="A370" s="20">
        <f t="shared" ca="1" si="10"/>
        <v>0.77987834641896414</v>
      </c>
      <c r="B370" s="21">
        <f t="shared" ca="1" si="11"/>
        <v>3614</v>
      </c>
    </row>
    <row r="371" spans="1:2" x14ac:dyDescent="0.25">
      <c r="A371" s="20">
        <f t="shared" ca="1" si="10"/>
        <v>0.81592033866304425</v>
      </c>
      <c r="B371" s="21">
        <f t="shared" ca="1" si="11"/>
        <v>3773</v>
      </c>
    </row>
    <row r="372" spans="1:2" x14ac:dyDescent="0.25">
      <c r="A372" s="20">
        <f t="shared" ca="1" si="10"/>
        <v>2.5082059423362613E-2</v>
      </c>
      <c r="B372" s="21">
        <f t="shared" ca="1" si="11"/>
        <v>99</v>
      </c>
    </row>
    <row r="373" spans="1:2" x14ac:dyDescent="0.25">
      <c r="A373" s="20">
        <f t="shared" ca="1" si="10"/>
        <v>1.9025742574651283E-2</v>
      </c>
      <c r="B373" s="21">
        <f t="shared" ca="1" si="11"/>
        <v>74</v>
      </c>
    </row>
    <row r="374" spans="1:2" x14ac:dyDescent="0.25">
      <c r="A374" s="20">
        <f t="shared" ca="1" si="10"/>
        <v>0.27670996893137878</v>
      </c>
      <c r="B374" s="21">
        <f t="shared" ca="1" si="11"/>
        <v>1293</v>
      </c>
    </row>
    <row r="375" spans="1:2" x14ac:dyDescent="0.25">
      <c r="A375" s="20">
        <f t="shared" ca="1" si="10"/>
        <v>0.93819015266263606</v>
      </c>
      <c r="B375" s="21">
        <f t="shared" ca="1" si="11"/>
        <v>4340</v>
      </c>
    </row>
    <row r="376" spans="1:2" x14ac:dyDescent="0.25">
      <c r="A376" s="20">
        <f t="shared" ca="1" si="10"/>
        <v>0.96497139984013469</v>
      </c>
      <c r="B376" s="21">
        <f t="shared" ca="1" si="11"/>
        <v>4473</v>
      </c>
    </row>
    <row r="377" spans="1:2" x14ac:dyDescent="0.25">
      <c r="A377" s="20">
        <f t="shared" ca="1" si="10"/>
        <v>0.13219688700521548</v>
      </c>
      <c r="B377" s="21">
        <f t="shared" ca="1" si="11"/>
        <v>583</v>
      </c>
    </row>
    <row r="378" spans="1:2" x14ac:dyDescent="0.25">
      <c r="A378" s="20">
        <f t="shared" ca="1" si="10"/>
        <v>0.66569803747097145</v>
      </c>
      <c r="B378" s="21">
        <f t="shared" ca="1" si="11"/>
        <v>3084</v>
      </c>
    </row>
    <row r="379" spans="1:2" x14ac:dyDescent="0.25">
      <c r="A379" s="20">
        <f t="shared" ca="1" si="10"/>
        <v>0.44835054824746334</v>
      </c>
      <c r="B379" s="21">
        <f t="shared" ca="1" si="11"/>
        <v>2097</v>
      </c>
    </row>
    <row r="380" spans="1:2" x14ac:dyDescent="0.25">
      <c r="A380" s="20">
        <f t="shared" ca="1" si="10"/>
        <v>0.61936326308944367</v>
      </c>
      <c r="B380" s="21">
        <f t="shared" ca="1" si="11"/>
        <v>2875</v>
      </c>
    </row>
    <row r="381" spans="1:2" x14ac:dyDescent="0.25">
      <c r="A381" s="20">
        <f t="shared" ca="1" si="10"/>
        <v>0.86704322154432401</v>
      </c>
      <c r="B381" s="21">
        <f t="shared" ca="1" si="11"/>
        <v>4002</v>
      </c>
    </row>
    <row r="382" spans="1:2" x14ac:dyDescent="0.25">
      <c r="A382" s="20">
        <f t="shared" ca="1" si="10"/>
        <v>0.52189343427175272</v>
      </c>
      <c r="B382" s="21">
        <f t="shared" ca="1" si="11"/>
        <v>2438</v>
      </c>
    </row>
    <row r="383" spans="1:2" x14ac:dyDescent="0.25">
      <c r="A383" s="20">
        <f t="shared" ca="1" si="10"/>
        <v>0.31525025330369294</v>
      </c>
      <c r="B383" s="21">
        <f t="shared" ca="1" si="11"/>
        <v>1477</v>
      </c>
    </row>
    <row r="384" spans="1:2" x14ac:dyDescent="0.25">
      <c r="A384" s="20">
        <f t="shared" ca="1" si="10"/>
        <v>0.3892907784798938</v>
      </c>
      <c r="B384" s="21">
        <f t="shared" ca="1" si="11"/>
        <v>1827</v>
      </c>
    </row>
    <row r="385" spans="1:2" x14ac:dyDescent="0.25">
      <c r="A385" s="20">
        <f t="shared" ca="1" si="10"/>
        <v>0.23319298655264975</v>
      </c>
      <c r="B385" s="21">
        <f t="shared" ca="1" si="11"/>
        <v>1094</v>
      </c>
    </row>
    <row r="386" spans="1:2" x14ac:dyDescent="0.25">
      <c r="A386" s="20">
        <f t="shared" ca="1" si="10"/>
        <v>0.10641270364809374</v>
      </c>
      <c r="B386" s="21">
        <f t="shared" ca="1" si="11"/>
        <v>474</v>
      </c>
    </row>
    <row r="387" spans="1:2" x14ac:dyDescent="0.25">
      <c r="A387" s="20">
        <f t="shared" ref="A387:A450" ca="1" si="12">RAND()</f>
        <v>0.58285445258810753</v>
      </c>
      <c r="B387" s="21">
        <f t="shared" ref="B387:B450" ca="1" si="13">_xlfn.RANK.EQ($A387,$A:$A,1)</f>
        <v>2728</v>
      </c>
    </row>
    <row r="388" spans="1:2" x14ac:dyDescent="0.25">
      <c r="A388" s="20">
        <f t="shared" ca="1" si="12"/>
        <v>0.10398761809038704</v>
      </c>
      <c r="B388" s="21">
        <f t="shared" ca="1" si="13"/>
        <v>468</v>
      </c>
    </row>
    <row r="389" spans="1:2" x14ac:dyDescent="0.25">
      <c r="A389" s="20">
        <f t="shared" ca="1" si="12"/>
        <v>0.52796036987450112</v>
      </c>
      <c r="B389" s="21">
        <f t="shared" ca="1" si="13"/>
        <v>2469</v>
      </c>
    </row>
    <row r="390" spans="1:2" x14ac:dyDescent="0.25">
      <c r="A390" s="20">
        <f t="shared" ca="1" si="12"/>
        <v>0.86605411377950103</v>
      </c>
      <c r="B390" s="21">
        <f t="shared" ca="1" si="13"/>
        <v>3996</v>
      </c>
    </row>
    <row r="391" spans="1:2" x14ac:dyDescent="0.25">
      <c r="A391" s="20">
        <f t="shared" ca="1" si="12"/>
        <v>0.54623755828872267</v>
      </c>
      <c r="B391" s="21">
        <f t="shared" ca="1" si="13"/>
        <v>2551</v>
      </c>
    </row>
    <row r="392" spans="1:2" x14ac:dyDescent="0.25">
      <c r="A392" s="20">
        <f t="shared" ca="1" si="12"/>
        <v>0.19408691785549614</v>
      </c>
      <c r="B392" s="21">
        <f t="shared" ca="1" si="13"/>
        <v>896</v>
      </c>
    </row>
    <row r="393" spans="1:2" x14ac:dyDescent="0.25">
      <c r="A393" s="20">
        <f t="shared" ca="1" si="12"/>
        <v>2.9517548862365461E-2</v>
      </c>
      <c r="B393" s="21">
        <f t="shared" ca="1" si="13"/>
        <v>110</v>
      </c>
    </row>
    <row r="394" spans="1:2" x14ac:dyDescent="0.25">
      <c r="A394" s="20">
        <f t="shared" ca="1" si="12"/>
        <v>0.50865744549626901</v>
      </c>
      <c r="B394" s="21">
        <f t="shared" ca="1" si="13"/>
        <v>2369</v>
      </c>
    </row>
    <row r="395" spans="1:2" x14ac:dyDescent="0.25">
      <c r="A395" s="20">
        <f t="shared" ca="1" si="12"/>
        <v>0.512413880562684</v>
      </c>
      <c r="B395" s="21">
        <f t="shared" ca="1" si="13"/>
        <v>2396</v>
      </c>
    </row>
    <row r="396" spans="1:2" x14ac:dyDescent="0.25">
      <c r="A396" s="20">
        <f t="shared" ca="1" si="12"/>
        <v>0.79856116653249276</v>
      </c>
      <c r="B396" s="21">
        <f t="shared" ca="1" si="13"/>
        <v>3697</v>
      </c>
    </row>
    <row r="397" spans="1:2" x14ac:dyDescent="0.25">
      <c r="A397" s="20">
        <f t="shared" ca="1" si="12"/>
        <v>6.5193184890282585E-2</v>
      </c>
      <c r="B397" s="21">
        <f t="shared" ca="1" si="13"/>
        <v>286</v>
      </c>
    </row>
    <row r="398" spans="1:2" x14ac:dyDescent="0.25">
      <c r="A398" s="20">
        <f t="shared" ca="1" si="12"/>
        <v>0.98488590398984688</v>
      </c>
      <c r="B398" s="21">
        <f t="shared" ca="1" si="13"/>
        <v>4561</v>
      </c>
    </row>
    <row r="399" spans="1:2" x14ac:dyDescent="0.25">
      <c r="A399" s="20">
        <f t="shared" ca="1" si="12"/>
        <v>0.74752413880299473</v>
      </c>
      <c r="B399" s="21">
        <f t="shared" ca="1" si="13"/>
        <v>3456</v>
      </c>
    </row>
    <row r="400" spans="1:2" x14ac:dyDescent="0.25">
      <c r="A400" s="20">
        <f t="shared" ca="1" si="12"/>
        <v>4.3040530794454801E-3</v>
      </c>
      <c r="B400" s="21">
        <f t="shared" ca="1" si="13"/>
        <v>20</v>
      </c>
    </row>
    <row r="401" spans="1:2" x14ac:dyDescent="0.25">
      <c r="A401" s="20">
        <f t="shared" ca="1" si="12"/>
        <v>0.59080398814070301</v>
      </c>
      <c r="B401" s="21">
        <f t="shared" ca="1" si="13"/>
        <v>2757</v>
      </c>
    </row>
    <row r="402" spans="1:2" x14ac:dyDescent="0.25">
      <c r="A402" s="20">
        <f t="shared" ca="1" si="12"/>
        <v>0.72283748628665812</v>
      </c>
      <c r="B402" s="21">
        <f t="shared" ca="1" si="13"/>
        <v>3341</v>
      </c>
    </row>
    <row r="403" spans="1:2" x14ac:dyDescent="0.25">
      <c r="A403" s="20">
        <f t="shared" ca="1" si="12"/>
        <v>0.58932002409691142</v>
      </c>
      <c r="B403" s="21">
        <f t="shared" ca="1" si="13"/>
        <v>2751</v>
      </c>
    </row>
    <row r="404" spans="1:2" x14ac:dyDescent="0.25">
      <c r="A404" s="20">
        <f t="shared" ca="1" si="12"/>
        <v>0.12254635284814952</v>
      </c>
      <c r="B404" s="21">
        <f t="shared" ca="1" si="13"/>
        <v>543</v>
      </c>
    </row>
    <row r="405" spans="1:2" x14ac:dyDescent="0.25">
      <c r="A405" s="20">
        <f t="shared" ca="1" si="12"/>
        <v>0.64380894777279685</v>
      </c>
      <c r="B405" s="21">
        <f t="shared" ca="1" si="13"/>
        <v>2991</v>
      </c>
    </row>
    <row r="406" spans="1:2" x14ac:dyDescent="0.25">
      <c r="A406" s="20">
        <f t="shared" ca="1" si="12"/>
        <v>0.55839466957612249</v>
      </c>
      <c r="B406" s="21">
        <f t="shared" ca="1" si="13"/>
        <v>2610</v>
      </c>
    </row>
    <row r="407" spans="1:2" x14ac:dyDescent="0.25">
      <c r="A407" s="20">
        <f t="shared" ca="1" si="12"/>
        <v>0.81064254114866341</v>
      </c>
      <c r="B407" s="21">
        <f t="shared" ca="1" si="13"/>
        <v>3748</v>
      </c>
    </row>
    <row r="408" spans="1:2" x14ac:dyDescent="0.25">
      <c r="A408" s="20">
        <f t="shared" ca="1" si="12"/>
        <v>0.62072634151942374</v>
      </c>
      <c r="B408" s="21">
        <f t="shared" ca="1" si="13"/>
        <v>2880</v>
      </c>
    </row>
    <row r="409" spans="1:2" x14ac:dyDescent="0.25">
      <c r="A409" s="20">
        <f t="shared" ca="1" si="12"/>
        <v>0.21964184726272129</v>
      </c>
      <c r="B409" s="21">
        <f t="shared" ca="1" si="13"/>
        <v>1031</v>
      </c>
    </row>
    <row r="410" spans="1:2" x14ac:dyDescent="0.25">
      <c r="A410" s="20">
        <f t="shared" ca="1" si="12"/>
        <v>0.32716944428344408</v>
      </c>
      <c r="B410" s="21">
        <f t="shared" ca="1" si="13"/>
        <v>1532</v>
      </c>
    </row>
    <row r="411" spans="1:2" x14ac:dyDescent="0.25">
      <c r="A411" s="20">
        <f t="shared" ca="1" si="12"/>
        <v>0.29608747154992743</v>
      </c>
      <c r="B411" s="21">
        <f t="shared" ca="1" si="13"/>
        <v>1392</v>
      </c>
    </row>
    <row r="412" spans="1:2" x14ac:dyDescent="0.25">
      <c r="A412" s="20">
        <f t="shared" ca="1" si="12"/>
        <v>0.52674755561192121</v>
      </c>
      <c r="B412" s="21">
        <f t="shared" ca="1" si="13"/>
        <v>2464</v>
      </c>
    </row>
    <row r="413" spans="1:2" x14ac:dyDescent="0.25">
      <c r="A413" s="20">
        <f t="shared" ca="1" si="12"/>
        <v>0.78542097732491523</v>
      </c>
      <c r="B413" s="21">
        <f t="shared" ca="1" si="13"/>
        <v>3638</v>
      </c>
    </row>
    <row r="414" spans="1:2" x14ac:dyDescent="0.25">
      <c r="A414" s="20">
        <f t="shared" ca="1" si="12"/>
        <v>0.85438522169136344</v>
      </c>
      <c r="B414" s="21">
        <f t="shared" ca="1" si="13"/>
        <v>3949</v>
      </c>
    </row>
    <row r="415" spans="1:2" x14ac:dyDescent="0.25">
      <c r="A415" s="20">
        <f t="shared" ca="1" si="12"/>
        <v>0.65582429069710924</v>
      </c>
      <c r="B415" s="21">
        <f t="shared" ca="1" si="13"/>
        <v>3041</v>
      </c>
    </row>
    <row r="416" spans="1:2" x14ac:dyDescent="0.25">
      <c r="A416" s="20">
        <f t="shared" ca="1" si="12"/>
        <v>0.1578585788567578</v>
      </c>
      <c r="B416" s="21">
        <f t="shared" ca="1" si="13"/>
        <v>711</v>
      </c>
    </row>
    <row r="417" spans="1:2" x14ac:dyDescent="0.25">
      <c r="A417" s="20">
        <f t="shared" ca="1" si="12"/>
        <v>0.29960814567925942</v>
      </c>
      <c r="B417" s="21">
        <f t="shared" ca="1" si="13"/>
        <v>1405</v>
      </c>
    </row>
    <row r="418" spans="1:2" x14ac:dyDescent="0.25">
      <c r="A418" s="20">
        <f t="shared" ca="1" si="12"/>
        <v>0.3999832162419017</v>
      </c>
      <c r="B418" s="21">
        <f t="shared" ca="1" si="13"/>
        <v>1880</v>
      </c>
    </row>
    <row r="419" spans="1:2" x14ac:dyDescent="0.25">
      <c r="A419" s="20">
        <f t="shared" ca="1" si="12"/>
        <v>0.96312515190943737</v>
      </c>
      <c r="B419" s="21">
        <f t="shared" ca="1" si="13"/>
        <v>4458</v>
      </c>
    </row>
    <row r="420" spans="1:2" x14ac:dyDescent="0.25">
      <c r="A420" s="20">
        <f t="shared" ca="1" si="12"/>
        <v>0.52172593080747243</v>
      </c>
      <c r="B420" s="21">
        <f t="shared" ca="1" si="13"/>
        <v>2437</v>
      </c>
    </row>
    <row r="421" spans="1:2" x14ac:dyDescent="0.25">
      <c r="A421" s="20">
        <f t="shared" ca="1" si="12"/>
        <v>0.33126337868919287</v>
      </c>
      <c r="B421" s="21">
        <f t="shared" ca="1" si="13"/>
        <v>1552</v>
      </c>
    </row>
    <row r="422" spans="1:2" x14ac:dyDescent="0.25">
      <c r="A422" s="20">
        <f t="shared" ca="1" si="12"/>
        <v>0.52471971329911338</v>
      </c>
      <c r="B422" s="21">
        <f t="shared" ca="1" si="13"/>
        <v>2450</v>
      </c>
    </row>
    <row r="423" spans="1:2" x14ac:dyDescent="0.25">
      <c r="A423" s="20">
        <f t="shared" ca="1" si="12"/>
        <v>0.6430547355417332</v>
      </c>
      <c r="B423" s="21">
        <f t="shared" ca="1" si="13"/>
        <v>2986</v>
      </c>
    </row>
    <row r="424" spans="1:2" x14ac:dyDescent="0.25">
      <c r="A424" s="20">
        <f t="shared" ca="1" si="12"/>
        <v>0.24565365506508297</v>
      </c>
      <c r="B424" s="21">
        <f t="shared" ca="1" si="13"/>
        <v>1144</v>
      </c>
    </row>
    <row r="425" spans="1:2" x14ac:dyDescent="0.25">
      <c r="A425" s="20">
        <f t="shared" ca="1" si="12"/>
        <v>0.23111329444806827</v>
      </c>
      <c r="B425" s="21">
        <f t="shared" ca="1" si="13"/>
        <v>1083</v>
      </c>
    </row>
    <row r="426" spans="1:2" x14ac:dyDescent="0.25">
      <c r="A426" s="20">
        <f t="shared" ca="1" si="12"/>
        <v>0.17675210759096671</v>
      </c>
      <c r="B426" s="21">
        <f t="shared" ca="1" si="13"/>
        <v>807</v>
      </c>
    </row>
    <row r="427" spans="1:2" x14ac:dyDescent="0.25">
      <c r="A427" s="20">
        <f t="shared" ca="1" si="12"/>
        <v>0.86156267222009042</v>
      </c>
      <c r="B427" s="21">
        <f t="shared" ca="1" si="13"/>
        <v>3977</v>
      </c>
    </row>
    <row r="428" spans="1:2" x14ac:dyDescent="0.25">
      <c r="A428" s="20">
        <f t="shared" ca="1" si="12"/>
        <v>0.63550559250963568</v>
      </c>
      <c r="B428" s="21">
        <f t="shared" ca="1" si="13"/>
        <v>2947</v>
      </c>
    </row>
    <row r="429" spans="1:2" x14ac:dyDescent="0.25">
      <c r="A429" s="20">
        <f t="shared" ca="1" si="12"/>
        <v>0.25978824528344791</v>
      </c>
      <c r="B429" s="21">
        <f t="shared" ca="1" si="13"/>
        <v>1211</v>
      </c>
    </row>
    <row r="430" spans="1:2" x14ac:dyDescent="0.25">
      <c r="A430" s="20">
        <f t="shared" ca="1" si="12"/>
        <v>0.85957452367971343</v>
      </c>
      <c r="B430" s="21">
        <f t="shared" ca="1" si="13"/>
        <v>3969</v>
      </c>
    </row>
    <row r="431" spans="1:2" x14ac:dyDescent="0.25">
      <c r="A431" s="20">
        <f t="shared" ca="1" si="12"/>
        <v>0.42229715264600998</v>
      </c>
      <c r="B431" s="21">
        <f t="shared" ca="1" si="13"/>
        <v>1985</v>
      </c>
    </row>
    <row r="432" spans="1:2" x14ac:dyDescent="0.25">
      <c r="A432" s="20">
        <f t="shared" ca="1" si="12"/>
        <v>7.4716075333772447E-2</v>
      </c>
      <c r="B432" s="21">
        <f t="shared" ca="1" si="13"/>
        <v>333</v>
      </c>
    </row>
    <row r="433" spans="1:2" x14ac:dyDescent="0.25">
      <c r="A433" s="20">
        <f t="shared" ca="1" si="12"/>
        <v>0.13825834414920524</v>
      </c>
      <c r="B433" s="21">
        <f t="shared" ca="1" si="13"/>
        <v>605</v>
      </c>
    </row>
    <row r="434" spans="1:2" x14ac:dyDescent="0.25">
      <c r="A434" s="20">
        <f t="shared" ca="1" si="12"/>
        <v>2.4586594259130012E-2</v>
      </c>
      <c r="B434" s="21">
        <f t="shared" ca="1" si="13"/>
        <v>95</v>
      </c>
    </row>
    <row r="435" spans="1:2" x14ac:dyDescent="0.25">
      <c r="A435" s="20">
        <f t="shared" ca="1" si="12"/>
        <v>0.45223627870692273</v>
      </c>
      <c r="B435" s="21">
        <f t="shared" ca="1" si="13"/>
        <v>2114</v>
      </c>
    </row>
    <row r="436" spans="1:2" x14ac:dyDescent="0.25">
      <c r="A436" s="20">
        <f t="shared" ca="1" si="12"/>
        <v>0.25377035174364093</v>
      </c>
      <c r="B436" s="21">
        <f t="shared" ca="1" si="13"/>
        <v>1185</v>
      </c>
    </row>
    <row r="437" spans="1:2" x14ac:dyDescent="0.25">
      <c r="A437" s="20">
        <f t="shared" ca="1" si="12"/>
        <v>0.40730411770518193</v>
      </c>
      <c r="B437" s="21">
        <f t="shared" ca="1" si="13"/>
        <v>1910</v>
      </c>
    </row>
    <row r="438" spans="1:2" x14ac:dyDescent="0.25">
      <c r="A438" s="20">
        <f t="shared" ca="1" si="12"/>
        <v>0.39950070693871365</v>
      </c>
      <c r="B438" s="21">
        <f t="shared" ca="1" si="13"/>
        <v>1875</v>
      </c>
    </row>
    <row r="439" spans="1:2" x14ac:dyDescent="0.25">
      <c r="A439" s="20">
        <f t="shared" ca="1" si="12"/>
        <v>4.7148045732679167E-2</v>
      </c>
      <c r="B439" s="21">
        <f t="shared" ca="1" si="13"/>
        <v>193</v>
      </c>
    </row>
    <row r="440" spans="1:2" x14ac:dyDescent="0.25">
      <c r="A440" s="20">
        <f t="shared" ca="1" si="12"/>
        <v>0.58231313472973267</v>
      </c>
      <c r="B440" s="21">
        <f t="shared" ca="1" si="13"/>
        <v>2723</v>
      </c>
    </row>
    <row r="441" spans="1:2" x14ac:dyDescent="0.25">
      <c r="A441" s="20">
        <f t="shared" ca="1" si="12"/>
        <v>0.5013619776405982</v>
      </c>
      <c r="B441" s="21">
        <f t="shared" ca="1" si="13"/>
        <v>2329</v>
      </c>
    </row>
    <row r="442" spans="1:2" x14ac:dyDescent="0.25">
      <c r="A442" s="20">
        <f t="shared" ca="1" si="12"/>
        <v>9.0955321305235093E-2</v>
      </c>
      <c r="B442" s="21">
        <f t="shared" ca="1" si="13"/>
        <v>410</v>
      </c>
    </row>
    <row r="443" spans="1:2" x14ac:dyDescent="0.25">
      <c r="A443" s="20">
        <f t="shared" ca="1" si="12"/>
        <v>0.41560804509864757</v>
      </c>
      <c r="B443" s="21">
        <f t="shared" ca="1" si="13"/>
        <v>1949</v>
      </c>
    </row>
    <row r="444" spans="1:2" x14ac:dyDescent="0.25">
      <c r="A444" s="20">
        <f t="shared" ca="1" si="12"/>
        <v>0.1561112748805461</v>
      </c>
      <c r="B444" s="21">
        <f t="shared" ca="1" si="13"/>
        <v>700</v>
      </c>
    </row>
    <row r="445" spans="1:2" x14ac:dyDescent="0.25">
      <c r="A445" s="20">
        <f t="shared" ca="1" si="12"/>
        <v>0.71681617620420823</v>
      </c>
      <c r="B445" s="21">
        <f t="shared" ca="1" si="13"/>
        <v>3316</v>
      </c>
    </row>
    <row r="446" spans="1:2" x14ac:dyDescent="0.25">
      <c r="A446" s="20">
        <f t="shared" ca="1" si="12"/>
        <v>0.1792875100242064</v>
      </c>
      <c r="B446" s="21">
        <f t="shared" ca="1" si="13"/>
        <v>820</v>
      </c>
    </row>
    <row r="447" spans="1:2" x14ac:dyDescent="0.25">
      <c r="A447" s="20">
        <f t="shared" ca="1" si="12"/>
        <v>0.65808781863449384</v>
      </c>
      <c r="B447" s="21">
        <f t="shared" ca="1" si="13"/>
        <v>3052</v>
      </c>
    </row>
    <row r="448" spans="1:2" x14ac:dyDescent="0.25">
      <c r="A448" s="20">
        <f t="shared" ca="1" si="12"/>
        <v>0.39055721090502127</v>
      </c>
      <c r="B448" s="21">
        <f t="shared" ca="1" si="13"/>
        <v>1833</v>
      </c>
    </row>
    <row r="449" spans="1:2" x14ac:dyDescent="0.25">
      <c r="A449" s="20">
        <f t="shared" ca="1" si="12"/>
        <v>0.76999027988180768</v>
      </c>
      <c r="B449" s="21">
        <f t="shared" ca="1" si="13"/>
        <v>3570</v>
      </c>
    </row>
    <row r="450" spans="1:2" x14ac:dyDescent="0.25">
      <c r="A450" s="20">
        <f t="shared" ca="1" si="12"/>
        <v>0.72930655878742845</v>
      </c>
      <c r="B450" s="21">
        <f t="shared" ca="1" si="13"/>
        <v>3380</v>
      </c>
    </row>
    <row r="451" spans="1:2" x14ac:dyDescent="0.25">
      <c r="A451" s="20">
        <f t="shared" ref="A451:A514" ca="1" si="14">RAND()</f>
        <v>4.1066972910818844E-2</v>
      </c>
      <c r="B451" s="21">
        <f t="shared" ref="B451:B514" ca="1" si="15">_xlfn.RANK.EQ($A451,$A:$A,1)</f>
        <v>161</v>
      </c>
    </row>
    <row r="452" spans="1:2" x14ac:dyDescent="0.25">
      <c r="A452" s="20">
        <f t="shared" ca="1" si="14"/>
        <v>0.77896733711652899</v>
      </c>
      <c r="B452" s="21">
        <f t="shared" ca="1" si="15"/>
        <v>3612</v>
      </c>
    </row>
    <row r="453" spans="1:2" x14ac:dyDescent="0.25">
      <c r="A453" s="20">
        <f t="shared" ca="1" si="14"/>
        <v>0.71769913097807769</v>
      </c>
      <c r="B453" s="21">
        <f t="shared" ca="1" si="15"/>
        <v>3318</v>
      </c>
    </row>
    <row r="454" spans="1:2" x14ac:dyDescent="0.25">
      <c r="A454" s="20">
        <f t="shared" ca="1" si="14"/>
        <v>0.15617189959620725</v>
      </c>
      <c r="B454" s="21">
        <f t="shared" ca="1" si="15"/>
        <v>701</v>
      </c>
    </row>
    <row r="455" spans="1:2" x14ac:dyDescent="0.25">
      <c r="A455" s="20">
        <f t="shared" ca="1" si="14"/>
        <v>0.1685096941692138</v>
      </c>
      <c r="B455" s="21">
        <f t="shared" ca="1" si="15"/>
        <v>756</v>
      </c>
    </row>
    <row r="456" spans="1:2" x14ac:dyDescent="0.25">
      <c r="A456" s="20">
        <f t="shared" ca="1" si="14"/>
        <v>0.73898948503448347</v>
      </c>
      <c r="B456" s="21">
        <f t="shared" ca="1" si="15"/>
        <v>3420</v>
      </c>
    </row>
    <row r="457" spans="1:2" x14ac:dyDescent="0.25">
      <c r="A457" s="20">
        <f t="shared" ca="1" si="14"/>
        <v>0.59606550887334941</v>
      </c>
      <c r="B457" s="21">
        <f t="shared" ca="1" si="15"/>
        <v>2787</v>
      </c>
    </row>
    <row r="458" spans="1:2" x14ac:dyDescent="0.25">
      <c r="A458" s="20">
        <f t="shared" ca="1" si="14"/>
        <v>0.35598774457495852</v>
      </c>
      <c r="B458" s="21">
        <f t="shared" ca="1" si="15"/>
        <v>1683</v>
      </c>
    </row>
    <row r="459" spans="1:2" x14ac:dyDescent="0.25">
      <c r="A459" s="20">
        <f t="shared" ca="1" si="14"/>
        <v>0.48431717080935743</v>
      </c>
      <c r="B459" s="21">
        <f t="shared" ca="1" si="15"/>
        <v>2257</v>
      </c>
    </row>
    <row r="460" spans="1:2" x14ac:dyDescent="0.25">
      <c r="A460" s="20">
        <f t="shared" ca="1" si="14"/>
        <v>0.34289184086243751</v>
      </c>
      <c r="B460" s="21">
        <f t="shared" ca="1" si="15"/>
        <v>1612</v>
      </c>
    </row>
    <row r="461" spans="1:2" x14ac:dyDescent="0.25">
      <c r="A461" s="20">
        <f t="shared" ca="1" si="14"/>
        <v>0.65120413354166817</v>
      </c>
      <c r="B461" s="21">
        <f t="shared" ca="1" si="15"/>
        <v>3020</v>
      </c>
    </row>
    <row r="462" spans="1:2" x14ac:dyDescent="0.25">
      <c r="A462" s="20">
        <f t="shared" ca="1" si="14"/>
        <v>0.42363733916800661</v>
      </c>
      <c r="B462" s="21">
        <f t="shared" ca="1" si="15"/>
        <v>1991</v>
      </c>
    </row>
    <row r="463" spans="1:2" x14ac:dyDescent="0.25">
      <c r="A463" s="20">
        <f t="shared" ca="1" si="14"/>
        <v>0.60053002687456614</v>
      </c>
      <c r="B463" s="21">
        <f t="shared" ca="1" si="15"/>
        <v>2805</v>
      </c>
    </row>
    <row r="464" spans="1:2" x14ac:dyDescent="0.25">
      <c r="A464" s="20">
        <f t="shared" ca="1" si="14"/>
        <v>0.84334312683517854</v>
      </c>
      <c r="B464" s="21">
        <f t="shared" ca="1" si="15"/>
        <v>3896</v>
      </c>
    </row>
    <row r="465" spans="1:2" x14ac:dyDescent="0.25">
      <c r="A465" s="20">
        <f t="shared" ca="1" si="14"/>
        <v>0.71381744655136992</v>
      </c>
      <c r="B465" s="21">
        <f t="shared" ca="1" si="15"/>
        <v>3301</v>
      </c>
    </row>
    <row r="466" spans="1:2" x14ac:dyDescent="0.25">
      <c r="A466" s="20">
        <f t="shared" ca="1" si="14"/>
        <v>2.169472822125118E-2</v>
      </c>
      <c r="B466" s="21">
        <f t="shared" ca="1" si="15"/>
        <v>88</v>
      </c>
    </row>
    <row r="467" spans="1:2" x14ac:dyDescent="0.25">
      <c r="A467" s="20">
        <f t="shared" ca="1" si="14"/>
        <v>0.93351323516899132</v>
      </c>
      <c r="B467" s="21">
        <f t="shared" ca="1" si="15"/>
        <v>4319</v>
      </c>
    </row>
    <row r="468" spans="1:2" x14ac:dyDescent="0.25">
      <c r="A468" s="20">
        <f t="shared" ca="1" si="14"/>
        <v>0.55421563906915861</v>
      </c>
      <c r="B468" s="21">
        <f t="shared" ca="1" si="15"/>
        <v>2594</v>
      </c>
    </row>
    <row r="469" spans="1:2" x14ac:dyDescent="0.25">
      <c r="A469" s="20">
        <f t="shared" ca="1" si="14"/>
        <v>0.368825347874153</v>
      </c>
      <c r="B469" s="21">
        <f t="shared" ca="1" si="15"/>
        <v>1754</v>
      </c>
    </row>
    <row r="470" spans="1:2" x14ac:dyDescent="0.25">
      <c r="A470" s="20">
        <f t="shared" ca="1" si="14"/>
        <v>0.44440325361867794</v>
      </c>
      <c r="B470" s="21">
        <f t="shared" ca="1" si="15"/>
        <v>2080</v>
      </c>
    </row>
    <row r="471" spans="1:2" x14ac:dyDescent="0.25">
      <c r="A471" s="20">
        <f t="shared" ca="1" si="14"/>
        <v>0.13380579233196443</v>
      </c>
      <c r="B471" s="21">
        <f t="shared" ca="1" si="15"/>
        <v>587</v>
      </c>
    </row>
    <row r="472" spans="1:2" x14ac:dyDescent="0.25">
      <c r="A472" s="20">
        <f t="shared" ca="1" si="14"/>
        <v>0.49097006002834576</v>
      </c>
      <c r="B472" s="21">
        <f t="shared" ca="1" si="15"/>
        <v>2282</v>
      </c>
    </row>
    <row r="473" spans="1:2" x14ac:dyDescent="0.25">
      <c r="A473" s="20">
        <f t="shared" ca="1" si="14"/>
        <v>0.87917600364661364</v>
      </c>
      <c r="B473" s="21">
        <f t="shared" ca="1" si="15"/>
        <v>4051</v>
      </c>
    </row>
    <row r="474" spans="1:2" x14ac:dyDescent="0.25">
      <c r="A474" s="20">
        <f t="shared" ca="1" si="14"/>
        <v>0.30954121720604466</v>
      </c>
      <c r="B474" s="21">
        <f t="shared" ca="1" si="15"/>
        <v>1450</v>
      </c>
    </row>
    <row r="475" spans="1:2" x14ac:dyDescent="0.25">
      <c r="A475" s="20">
        <f t="shared" ca="1" si="14"/>
        <v>0.78702234713731156</v>
      </c>
      <c r="B475" s="21">
        <f t="shared" ca="1" si="15"/>
        <v>3646</v>
      </c>
    </row>
    <row r="476" spans="1:2" x14ac:dyDescent="0.25">
      <c r="A476" s="20">
        <f t="shared" ca="1" si="14"/>
        <v>0.5526657382856951</v>
      </c>
      <c r="B476" s="21">
        <f t="shared" ca="1" si="15"/>
        <v>2581</v>
      </c>
    </row>
    <row r="477" spans="1:2" x14ac:dyDescent="0.25">
      <c r="A477" s="20">
        <f t="shared" ca="1" si="14"/>
        <v>0.43015395035614634</v>
      </c>
      <c r="B477" s="21">
        <f t="shared" ca="1" si="15"/>
        <v>2020</v>
      </c>
    </row>
    <row r="478" spans="1:2" x14ac:dyDescent="0.25">
      <c r="A478" s="20">
        <f t="shared" ca="1" si="14"/>
        <v>0.69034447892128614</v>
      </c>
      <c r="B478" s="21">
        <f t="shared" ca="1" si="15"/>
        <v>3202</v>
      </c>
    </row>
    <row r="479" spans="1:2" x14ac:dyDescent="0.25">
      <c r="A479" s="20">
        <f t="shared" ca="1" si="14"/>
        <v>0.35381141088736834</v>
      </c>
      <c r="B479" s="21">
        <f t="shared" ca="1" si="15"/>
        <v>1670</v>
      </c>
    </row>
    <row r="480" spans="1:2" x14ac:dyDescent="0.25">
      <c r="A480" s="20">
        <f t="shared" ca="1" si="14"/>
        <v>0.57997262489174528</v>
      </c>
      <c r="B480" s="21">
        <f t="shared" ca="1" si="15"/>
        <v>2709</v>
      </c>
    </row>
    <row r="481" spans="1:2" x14ac:dyDescent="0.25">
      <c r="A481" s="20">
        <f t="shared" ca="1" si="14"/>
        <v>0.12495981860627647</v>
      </c>
      <c r="B481" s="21">
        <f t="shared" ca="1" si="15"/>
        <v>554</v>
      </c>
    </row>
    <row r="482" spans="1:2" x14ac:dyDescent="0.25">
      <c r="A482" s="20">
        <f t="shared" ca="1" si="14"/>
        <v>0.52276933054150199</v>
      </c>
      <c r="B482" s="21">
        <f t="shared" ca="1" si="15"/>
        <v>2441</v>
      </c>
    </row>
    <row r="483" spans="1:2" x14ac:dyDescent="0.25">
      <c r="A483" s="20">
        <f t="shared" ca="1" si="14"/>
        <v>7.3253879189035698E-2</v>
      </c>
      <c r="B483" s="21">
        <f t="shared" ca="1" si="15"/>
        <v>327</v>
      </c>
    </row>
    <row r="484" spans="1:2" x14ac:dyDescent="0.25">
      <c r="A484" s="20">
        <f t="shared" ca="1" si="14"/>
        <v>0.58517744117659309</v>
      </c>
      <c r="B484" s="21">
        <f t="shared" ca="1" si="15"/>
        <v>2742</v>
      </c>
    </row>
    <row r="485" spans="1:2" x14ac:dyDescent="0.25">
      <c r="A485" s="20">
        <f t="shared" ca="1" si="14"/>
        <v>8.9615113266527491E-2</v>
      </c>
      <c r="B485" s="21">
        <f t="shared" ca="1" si="15"/>
        <v>403</v>
      </c>
    </row>
    <row r="486" spans="1:2" x14ac:dyDescent="0.25">
      <c r="A486" s="20">
        <f t="shared" ca="1" si="14"/>
        <v>0.95808209415556977</v>
      </c>
      <c r="B486" s="21">
        <f t="shared" ca="1" si="15"/>
        <v>4434</v>
      </c>
    </row>
    <row r="487" spans="1:2" x14ac:dyDescent="0.25">
      <c r="A487" s="20">
        <f t="shared" ca="1" si="14"/>
        <v>0.37487612054282449</v>
      </c>
      <c r="B487" s="21">
        <f t="shared" ca="1" si="15"/>
        <v>1774</v>
      </c>
    </row>
    <row r="488" spans="1:2" x14ac:dyDescent="0.25">
      <c r="A488" s="20">
        <f t="shared" ca="1" si="14"/>
        <v>0.46624913827962255</v>
      </c>
      <c r="B488" s="21">
        <f t="shared" ca="1" si="15"/>
        <v>2181</v>
      </c>
    </row>
    <row r="489" spans="1:2" x14ac:dyDescent="0.25">
      <c r="A489" s="20">
        <f t="shared" ca="1" si="14"/>
        <v>0.5312509740519884</v>
      </c>
      <c r="B489" s="21">
        <f t="shared" ca="1" si="15"/>
        <v>2481</v>
      </c>
    </row>
    <row r="490" spans="1:2" x14ac:dyDescent="0.25">
      <c r="A490" s="20">
        <f t="shared" ca="1" si="14"/>
        <v>0.1716810090795875</v>
      </c>
      <c r="B490" s="21">
        <f t="shared" ca="1" si="15"/>
        <v>780</v>
      </c>
    </row>
    <row r="491" spans="1:2" x14ac:dyDescent="0.25">
      <c r="A491" s="20">
        <f t="shared" ca="1" si="14"/>
        <v>0.49297933806395888</v>
      </c>
      <c r="B491" s="21">
        <f t="shared" ca="1" si="15"/>
        <v>2292</v>
      </c>
    </row>
    <row r="492" spans="1:2" x14ac:dyDescent="0.25">
      <c r="A492" s="20">
        <f t="shared" ca="1" si="14"/>
        <v>0.17796078251861958</v>
      </c>
      <c r="B492" s="21">
        <f t="shared" ca="1" si="15"/>
        <v>812</v>
      </c>
    </row>
    <row r="493" spans="1:2" x14ac:dyDescent="0.25">
      <c r="A493" s="20">
        <f t="shared" ca="1" si="14"/>
        <v>0.48631106283897996</v>
      </c>
      <c r="B493" s="21">
        <f t="shared" ca="1" si="15"/>
        <v>2267</v>
      </c>
    </row>
    <row r="494" spans="1:2" x14ac:dyDescent="0.25">
      <c r="A494" s="20">
        <f t="shared" ca="1" si="14"/>
        <v>5.343771124164709E-2</v>
      </c>
      <c r="B494" s="21">
        <f t="shared" ca="1" si="15"/>
        <v>227</v>
      </c>
    </row>
    <row r="495" spans="1:2" x14ac:dyDescent="0.25">
      <c r="A495" s="20">
        <f t="shared" ca="1" si="14"/>
        <v>7.8639539568544303E-2</v>
      </c>
      <c r="B495" s="21">
        <f t="shared" ca="1" si="15"/>
        <v>354</v>
      </c>
    </row>
    <row r="496" spans="1:2" x14ac:dyDescent="0.25">
      <c r="A496" s="20">
        <f t="shared" ca="1" si="14"/>
        <v>0.63435423015866554</v>
      </c>
      <c r="B496" s="21">
        <f t="shared" ca="1" si="15"/>
        <v>2941</v>
      </c>
    </row>
    <row r="497" spans="1:2" x14ac:dyDescent="0.25">
      <c r="A497" s="20">
        <f t="shared" ca="1" si="14"/>
        <v>0.80886842101942347</v>
      </c>
      <c r="B497" s="21">
        <f t="shared" ca="1" si="15"/>
        <v>3741</v>
      </c>
    </row>
    <row r="498" spans="1:2" x14ac:dyDescent="0.25">
      <c r="A498" s="20">
        <f t="shared" ca="1" si="14"/>
        <v>0.17551203263782611</v>
      </c>
      <c r="B498" s="21">
        <f t="shared" ca="1" si="15"/>
        <v>794</v>
      </c>
    </row>
    <row r="499" spans="1:2" x14ac:dyDescent="0.25">
      <c r="A499" s="20">
        <f t="shared" ca="1" si="14"/>
        <v>0.21487884869253526</v>
      </c>
      <c r="B499" s="21">
        <f t="shared" ca="1" si="15"/>
        <v>1002</v>
      </c>
    </row>
    <row r="500" spans="1:2" x14ac:dyDescent="0.25">
      <c r="A500" s="20">
        <f t="shared" ca="1" si="14"/>
        <v>0.94429807399044863</v>
      </c>
      <c r="B500" s="21">
        <f t="shared" ca="1" si="15"/>
        <v>4366</v>
      </c>
    </row>
    <row r="501" spans="1:2" x14ac:dyDescent="0.25">
      <c r="A501" s="20">
        <f t="shared" ca="1" si="14"/>
        <v>6.9451476573280768E-2</v>
      </c>
      <c r="B501" s="21">
        <f t="shared" ca="1" si="15"/>
        <v>312</v>
      </c>
    </row>
    <row r="502" spans="1:2" x14ac:dyDescent="0.25">
      <c r="A502" s="20">
        <f t="shared" ca="1" si="14"/>
        <v>0.86552368286976389</v>
      </c>
      <c r="B502" s="21">
        <f t="shared" ca="1" si="15"/>
        <v>3993</v>
      </c>
    </row>
    <row r="503" spans="1:2" x14ac:dyDescent="0.25">
      <c r="A503" s="20">
        <f t="shared" ca="1" si="14"/>
        <v>3.6439116242707903E-2</v>
      </c>
      <c r="B503" s="21">
        <f t="shared" ca="1" si="15"/>
        <v>140</v>
      </c>
    </row>
    <row r="504" spans="1:2" x14ac:dyDescent="0.25">
      <c r="A504" s="20">
        <f t="shared" ca="1" si="14"/>
        <v>0.23956249408321706</v>
      </c>
      <c r="B504" s="21">
        <f t="shared" ca="1" si="15"/>
        <v>1122</v>
      </c>
    </row>
    <row r="505" spans="1:2" x14ac:dyDescent="0.25">
      <c r="A505" s="20">
        <f t="shared" ca="1" si="14"/>
        <v>0.70829895269922127</v>
      </c>
      <c r="B505" s="21">
        <f t="shared" ca="1" si="15"/>
        <v>3280</v>
      </c>
    </row>
    <row r="506" spans="1:2" x14ac:dyDescent="0.25">
      <c r="A506" s="20">
        <f t="shared" ca="1" si="14"/>
        <v>0.68233467928039249</v>
      </c>
      <c r="B506" s="21">
        <f t="shared" ca="1" si="15"/>
        <v>3167</v>
      </c>
    </row>
    <row r="507" spans="1:2" x14ac:dyDescent="0.25">
      <c r="A507" s="20">
        <f t="shared" ca="1" si="14"/>
        <v>8.9861637796308291E-2</v>
      </c>
      <c r="B507" s="21">
        <f t="shared" ca="1" si="15"/>
        <v>404</v>
      </c>
    </row>
    <row r="508" spans="1:2" x14ac:dyDescent="0.25">
      <c r="A508" s="20">
        <f t="shared" ca="1" si="14"/>
        <v>0.79996247614310068</v>
      </c>
      <c r="B508" s="21">
        <f t="shared" ca="1" si="15"/>
        <v>3705</v>
      </c>
    </row>
    <row r="509" spans="1:2" x14ac:dyDescent="0.25">
      <c r="A509" s="20">
        <f t="shared" ca="1" si="14"/>
        <v>0.35072702021953228</v>
      </c>
      <c r="B509" s="21">
        <f t="shared" ca="1" si="15"/>
        <v>1657</v>
      </c>
    </row>
    <row r="510" spans="1:2" x14ac:dyDescent="0.25">
      <c r="A510" s="20">
        <f t="shared" ca="1" si="14"/>
        <v>0.80548492716627229</v>
      </c>
      <c r="B510" s="21">
        <f t="shared" ca="1" si="15"/>
        <v>3729</v>
      </c>
    </row>
    <row r="511" spans="1:2" x14ac:dyDescent="0.25">
      <c r="A511" s="20">
        <f t="shared" ca="1" si="14"/>
        <v>0.74086157049764589</v>
      </c>
      <c r="B511" s="21">
        <f t="shared" ca="1" si="15"/>
        <v>3427</v>
      </c>
    </row>
    <row r="512" spans="1:2" x14ac:dyDescent="0.25">
      <c r="A512" s="20">
        <f t="shared" ca="1" si="14"/>
        <v>0.82645716830109239</v>
      </c>
      <c r="B512" s="21">
        <f t="shared" ca="1" si="15"/>
        <v>3828</v>
      </c>
    </row>
    <row r="513" spans="1:2" x14ac:dyDescent="0.25">
      <c r="A513" s="20">
        <f t="shared" ca="1" si="14"/>
        <v>9.7967872194408834E-2</v>
      </c>
      <c r="B513" s="21">
        <f t="shared" ca="1" si="15"/>
        <v>438</v>
      </c>
    </row>
    <row r="514" spans="1:2" x14ac:dyDescent="0.25">
      <c r="A514" s="20">
        <f t="shared" ca="1" si="14"/>
        <v>0.65198339593056143</v>
      </c>
      <c r="B514" s="21">
        <f t="shared" ca="1" si="15"/>
        <v>3026</v>
      </c>
    </row>
    <row r="515" spans="1:2" x14ac:dyDescent="0.25">
      <c r="A515" s="20">
        <f t="shared" ref="A515:A578" ca="1" si="16">RAND()</f>
        <v>0.91022569641623019</v>
      </c>
      <c r="B515" s="21">
        <f t="shared" ref="B515:B578" ca="1" si="17">_xlfn.RANK.EQ($A515,$A:$A,1)</f>
        <v>4200</v>
      </c>
    </row>
    <row r="516" spans="1:2" x14ac:dyDescent="0.25">
      <c r="A516" s="20">
        <f t="shared" ca="1" si="16"/>
        <v>0.91773532364136345</v>
      </c>
      <c r="B516" s="21">
        <f t="shared" ca="1" si="17"/>
        <v>4235</v>
      </c>
    </row>
    <row r="517" spans="1:2" x14ac:dyDescent="0.25">
      <c r="A517" s="20">
        <f t="shared" ca="1" si="16"/>
        <v>0.98657575312293377</v>
      </c>
      <c r="B517" s="21">
        <f t="shared" ca="1" si="17"/>
        <v>4568</v>
      </c>
    </row>
    <row r="518" spans="1:2" x14ac:dyDescent="0.25">
      <c r="A518" s="20">
        <f t="shared" ca="1" si="16"/>
        <v>0.76092341621198456</v>
      </c>
      <c r="B518" s="21">
        <f t="shared" ca="1" si="17"/>
        <v>3527</v>
      </c>
    </row>
    <row r="519" spans="1:2" x14ac:dyDescent="0.25">
      <c r="A519" s="20">
        <f t="shared" ca="1" si="16"/>
        <v>0.74830281973055934</v>
      </c>
      <c r="B519" s="21">
        <f t="shared" ca="1" si="17"/>
        <v>3462</v>
      </c>
    </row>
    <row r="520" spans="1:2" x14ac:dyDescent="0.25">
      <c r="A520" s="20">
        <f t="shared" ca="1" si="16"/>
        <v>0.54870372499870135</v>
      </c>
      <c r="B520" s="21">
        <f t="shared" ca="1" si="17"/>
        <v>2562</v>
      </c>
    </row>
    <row r="521" spans="1:2" x14ac:dyDescent="0.25">
      <c r="A521" s="20">
        <f t="shared" ca="1" si="16"/>
        <v>0.49501637877509419</v>
      </c>
      <c r="B521" s="21">
        <f t="shared" ca="1" si="17"/>
        <v>2303</v>
      </c>
    </row>
    <row r="522" spans="1:2" x14ac:dyDescent="0.25">
      <c r="A522" s="20">
        <f t="shared" ca="1" si="16"/>
        <v>0.42927874047687931</v>
      </c>
      <c r="B522" s="21">
        <f t="shared" ca="1" si="17"/>
        <v>2017</v>
      </c>
    </row>
    <row r="523" spans="1:2" x14ac:dyDescent="0.25">
      <c r="A523" s="20">
        <f t="shared" ca="1" si="16"/>
        <v>0.48530917965309872</v>
      </c>
      <c r="B523" s="21">
        <f t="shared" ca="1" si="17"/>
        <v>2261</v>
      </c>
    </row>
    <row r="524" spans="1:2" x14ac:dyDescent="0.25">
      <c r="A524" s="20">
        <f t="shared" ca="1" si="16"/>
        <v>0.35332446328240108</v>
      </c>
      <c r="B524" s="21">
        <f t="shared" ca="1" si="17"/>
        <v>1667</v>
      </c>
    </row>
    <row r="525" spans="1:2" x14ac:dyDescent="0.25">
      <c r="A525" s="20">
        <f t="shared" ca="1" si="16"/>
        <v>0.94794572382101638</v>
      </c>
      <c r="B525" s="21">
        <f t="shared" ca="1" si="17"/>
        <v>4392</v>
      </c>
    </row>
    <row r="526" spans="1:2" x14ac:dyDescent="0.25">
      <c r="A526" s="20">
        <f t="shared" ca="1" si="16"/>
        <v>0.19529497058015666</v>
      </c>
      <c r="B526" s="21">
        <f t="shared" ca="1" si="17"/>
        <v>903</v>
      </c>
    </row>
    <row r="527" spans="1:2" x14ac:dyDescent="0.25">
      <c r="A527" s="20">
        <f t="shared" ca="1" si="16"/>
        <v>0.84776145853542761</v>
      </c>
      <c r="B527" s="21">
        <f t="shared" ca="1" si="17"/>
        <v>3917</v>
      </c>
    </row>
    <row r="528" spans="1:2" x14ac:dyDescent="0.25">
      <c r="A528" s="20">
        <f t="shared" ca="1" si="16"/>
        <v>0.92089349452104474</v>
      </c>
      <c r="B528" s="21">
        <f t="shared" ca="1" si="17"/>
        <v>4249</v>
      </c>
    </row>
    <row r="529" spans="1:2" x14ac:dyDescent="0.25">
      <c r="A529" s="20">
        <f t="shared" ca="1" si="16"/>
        <v>0.59551039465274469</v>
      </c>
      <c r="B529" s="21">
        <f t="shared" ca="1" si="17"/>
        <v>2785</v>
      </c>
    </row>
    <row r="530" spans="1:2" x14ac:dyDescent="0.25">
      <c r="A530" s="20">
        <f t="shared" ca="1" si="16"/>
        <v>0.35540901367183997</v>
      </c>
      <c r="B530" s="21">
        <f t="shared" ca="1" si="17"/>
        <v>1678</v>
      </c>
    </row>
    <row r="531" spans="1:2" x14ac:dyDescent="0.25">
      <c r="A531" s="20">
        <f t="shared" ca="1" si="16"/>
        <v>0.87602366686110955</v>
      </c>
      <c r="B531" s="21">
        <f t="shared" ca="1" si="17"/>
        <v>4038</v>
      </c>
    </row>
    <row r="532" spans="1:2" x14ac:dyDescent="0.25">
      <c r="A532" s="20">
        <f t="shared" ca="1" si="16"/>
        <v>0.98614762948717871</v>
      </c>
      <c r="B532" s="21">
        <f t="shared" ca="1" si="17"/>
        <v>4567</v>
      </c>
    </row>
    <row r="533" spans="1:2" x14ac:dyDescent="0.25">
      <c r="A533" s="20">
        <f t="shared" ca="1" si="16"/>
        <v>0.51388449357559252</v>
      </c>
      <c r="B533" s="21">
        <f t="shared" ca="1" si="17"/>
        <v>2401</v>
      </c>
    </row>
    <row r="534" spans="1:2" x14ac:dyDescent="0.25">
      <c r="A534" s="20">
        <f t="shared" ca="1" si="16"/>
        <v>0.49306385182212886</v>
      </c>
      <c r="B534" s="21">
        <f t="shared" ca="1" si="17"/>
        <v>2294</v>
      </c>
    </row>
    <row r="535" spans="1:2" x14ac:dyDescent="0.25">
      <c r="A535" s="20">
        <f t="shared" ca="1" si="16"/>
        <v>0.3484177267500127</v>
      </c>
      <c r="B535" s="21">
        <f t="shared" ca="1" si="17"/>
        <v>1639</v>
      </c>
    </row>
    <row r="536" spans="1:2" x14ac:dyDescent="0.25">
      <c r="A536" s="20">
        <f t="shared" ca="1" si="16"/>
        <v>0.84120795870968246</v>
      </c>
      <c r="B536" s="21">
        <f t="shared" ca="1" si="17"/>
        <v>3882</v>
      </c>
    </row>
    <row r="537" spans="1:2" x14ac:dyDescent="0.25">
      <c r="A537" s="20">
        <f t="shared" ca="1" si="16"/>
        <v>0.97060038009586047</v>
      </c>
      <c r="B537" s="21">
        <f t="shared" ca="1" si="17"/>
        <v>4500</v>
      </c>
    </row>
    <row r="538" spans="1:2" x14ac:dyDescent="0.25">
      <c r="A538" s="20">
        <f t="shared" ca="1" si="16"/>
        <v>0.96877118294776576</v>
      </c>
      <c r="B538" s="21">
        <f t="shared" ca="1" si="17"/>
        <v>4491</v>
      </c>
    </row>
    <row r="539" spans="1:2" x14ac:dyDescent="0.25">
      <c r="A539" s="20">
        <f t="shared" ca="1" si="16"/>
        <v>0.50650743195107628</v>
      </c>
      <c r="B539" s="21">
        <f t="shared" ca="1" si="17"/>
        <v>2358</v>
      </c>
    </row>
    <row r="540" spans="1:2" x14ac:dyDescent="0.25">
      <c r="A540" s="20">
        <f t="shared" ca="1" si="16"/>
        <v>0.30002012143094581</v>
      </c>
      <c r="B540" s="21">
        <f t="shared" ca="1" si="17"/>
        <v>1407</v>
      </c>
    </row>
    <row r="541" spans="1:2" x14ac:dyDescent="0.25">
      <c r="A541" s="20">
        <f t="shared" ca="1" si="16"/>
        <v>0.17507350793132592</v>
      </c>
      <c r="B541" s="21">
        <f t="shared" ca="1" si="17"/>
        <v>792</v>
      </c>
    </row>
    <row r="542" spans="1:2" x14ac:dyDescent="0.25">
      <c r="A542" s="20">
        <f t="shared" ca="1" si="16"/>
        <v>0.38626115051416388</v>
      </c>
      <c r="B542" s="21">
        <f t="shared" ca="1" si="17"/>
        <v>1810</v>
      </c>
    </row>
    <row r="543" spans="1:2" x14ac:dyDescent="0.25">
      <c r="A543" s="20">
        <f t="shared" ca="1" si="16"/>
        <v>0.62882479209246278</v>
      </c>
      <c r="B543" s="21">
        <f t="shared" ca="1" si="17"/>
        <v>2912</v>
      </c>
    </row>
    <row r="544" spans="1:2" x14ac:dyDescent="0.25">
      <c r="A544" s="20">
        <f t="shared" ca="1" si="16"/>
        <v>0.9986313145439023</v>
      </c>
      <c r="B544" s="21">
        <f t="shared" ca="1" si="17"/>
        <v>4613</v>
      </c>
    </row>
    <row r="545" spans="1:2" x14ac:dyDescent="0.25">
      <c r="A545" s="20">
        <f t="shared" ca="1" si="16"/>
        <v>0.66602963940927107</v>
      </c>
      <c r="B545" s="21">
        <f t="shared" ca="1" si="17"/>
        <v>3088</v>
      </c>
    </row>
    <row r="546" spans="1:2" x14ac:dyDescent="0.25">
      <c r="A546" s="20">
        <f t="shared" ca="1" si="16"/>
        <v>0.43177270067276163</v>
      </c>
      <c r="B546" s="21">
        <f t="shared" ca="1" si="17"/>
        <v>2028</v>
      </c>
    </row>
    <row r="547" spans="1:2" x14ac:dyDescent="0.25">
      <c r="A547" s="20">
        <f t="shared" ca="1" si="16"/>
        <v>0.77313339221412669</v>
      </c>
      <c r="B547" s="21">
        <f t="shared" ca="1" si="17"/>
        <v>3590</v>
      </c>
    </row>
    <row r="548" spans="1:2" x14ac:dyDescent="0.25">
      <c r="A548" s="20">
        <f t="shared" ca="1" si="16"/>
        <v>0.17333827618169151</v>
      </c>
      <c r="B548" s="21">
        <f t="shared" ca="1" si="17"/>
        <v>786</v>
      </c>
    </row>
    <row r="549" spans="1:2" x14ac:dyDescent="0.25">
      <c r="A549" s="20">
        <f t="shared" ca="1" si="16"/>
        <v>0.96133727574665517</v>
      </c>
      <c r="B549" s="21">
        <f t="shared" ca="1" si="17"/>
        <v>4447</v>
      </c>
    </row>
    <row r="550" spans="1:2" x14ac:dyDescent="0.25">
      <c r="A550" s="20">
        <f t="shared" ca="1" si="16"/>
        <v>0.49299407095524406</v>
      </c>
      <c r="B550" s="21">
        <f t="shared" ca="1" si="17"/>
        <v>2293</v>
      </c>
    </row>
    <row r="551" spans="1:2" x14ac:dyDescent="0.25">
      <c r="A551" s="20">
        <f t="shared" ca="1" si="16"/>
        <v>0.20452401783239804</v>
      </c>
      <c r="B551" s="21">
        <f t="shared" ca="1" si="17"/>
        <v>949</v>
      </c>
    </row>
    <row r="552" spans="1:2" x14ac:dyDescent="0.25">
      <c r="A552" s="20">
        <f t="shared" ca="1" si="16"/>
        <v>0.19582156719444188</v>
      </c>
      <c r="B552" s="21">
        <f t="shared" ca="1" si="17"/>
        <v>909</v>
      </c>
    </row>
    <row r="553" spans="1:2" x14ac:dyDescent="0.25">
      <c r="A553" s="20">
        <f t="shared" ca="1" si="16"/>
        <v>6.5239088083974717E-2</v>
      </c>
      <c r="B553" s="21">
        <f t="shared" ca="1" si="17"/>
        <v>287</v>
      </c>
    </row>
    <row r="554" spans="1:2" x14ac:dyDescent="0.25">
      <c r="A554" s="20">
        <f t="shared" ca="1" si="16"/>
        <v>0.72321785040440156</v>
      </c>
      <c r="B554" s="21">
        <f t="shared" ca="1" si="17"/>
        <v>3344</v>
      </c>
    </row>
    <row r="555" spans="1:2" x14ac:dyDescent="0.25">
      <c r="A555" s="20">
        <f t="shared" ca="1" si="16"/>
        <v>0.77207164819268126</v>
      </c>
      <c r="B555" s="21">
        <f t="shared" ca="1" si="17"/>
        <v>3580</v>
      </c>
    </row>
    <row r="556" spans="1:2" x14ac:dyDescent="0.25">
      <c r="A556" s="20">
        <f t="shared" ca="1" si="16"/>
        <v>0.9040589829875264</v>
      </c>
      <c r="B556" s="21">
        <f t="shared" ca="1" si="17"/>
        <v>4175</v>
      </c>
    </row>
    <row r="557" spans="1:2" x14ac:dyDescent="0.25">
      <c r="A557" s="20">
        <f t="shared" ca="1" si="16"/>
        <v>0.39114244530405839</v>
      </c>
      <c r="B557" s="21">
        <f t="shared" ca="1" si="17"/>
        <v>1838</v>
      </c>
    </row>
    <row r="558" spans="1:2" x14ac:dyDescent="0.25">
      <c r="A558" s="20">
        <f t="shared" ca="1" si="16"/>
        <v>0.17110621091044265</v>
      </c>
      <c r="B558" s="21">
        <f t="shared" ca="1" si="17"/>
        <v>775</v>
      </c>
    </row>
    <row r="559" spans="1:2" x14ac:dyDescent="0.25">
      <c r="A559" s="20">
        <f t="shared" ca="1" si="16"/>
        <v>0.78371905467680247</v>
      </c>
      <c r="B559" s="21">
        <f t="shared" ca="1" si="17"/>
        <v>3630</v>
      </c>
    </row>
    <row r="560" spans="1:2" x14ac:dyDescent="0.25">
      <c r="A560" s="20">
        <f t="shared" ca="1" si="16"/>
        <v>0.53493451983857654</v>
      </c>
      <c r="B560" s="21">
        <f t="shared" ca="1" si="17"/>
        <v>2497</v>
      </c>
    </row>
    <row r="561" spans="1:2" x14ac:dyDescent="0.25">
      <c r="A561" s="20">
        <f t="shared" ca="1" si="16"/>
        <v>0.9679260437648185</v>
      </c>
      <c r="B561" s="21">
        <f t="shared" ca="1" si="17"/>
        <v>4488</v>
      </c>
    </row>
    <row r="562" spans="1:2" x14ac:dyDescent="0.25">
      <c r="A562" s="20">
        <f t="shared" ca="1" si="16"/>
        <v>4.2363057096095336E-2</v>
      </c>
      <c r="B562" s="21">
        <f t="shared" ca="1" si="17"/>
        <v>167</v>
      </c>
    </row>
    <row r="563" spans="1:2" x14ac:dyDescent="0.25">
      <c r="A563" s="20">
        <f t="shared" ca="1" si="16"/>
        <v>0.63359034437653627</v>
      </c>
      <c r="B563" s="21">
        <f t="shared" ca="1" si="17"/>
        <v>2936</v>
      </c>
    </row>
    <row r="564" spans="1:2" x14ac:dyDescent="0.25">
      <c r="A564" s="20">
        <f t="shared" ca="1" si="16"/>
        <v>0.13932087063374765</v>
      </c>
      <c r="B564" s="21">
        <f t="shared" ca="1" si="17"/>
        <v>613</v>
      </c>
    </row>
    <row r="565" spans="1:2" x14ac:dyDescent="0.25">
      <c r="A565" s="20">
        <f t="shared" ca="1" si="16"/>
        <v>0.35332406080037471</v>
      </c>
      <c r="B565" s="21">
        <f t="shared" ca="1" si="17"/>
        <v>1666</v>
      </c>
    </row>
    <row r="566" spans="1:2" x14ac:dyDescent="0.25">
      <c r="A566" s="20">
        <f t="shared" ca="1" si="16"/>
        <v>0.40040776880758322</v>
      </c>
      <c r="B566" s="21">
        <f t="shared" ca="1" si="17"/>
        <v>1883</v>
      </c>
    </row>
    <row r="567" spans="1:2" x14ac:dyDescent="0.25">
      <c r="A567" s="20">
        <f t="shared" ca="1" si="16"/>
        <v>2.5653119144002368E-3</v>
      </c>
      <c r="B567" s="21">
        <f t="shared" ca="1" si="17"/>
        <v>13</v>
      </c>
    </row>
    <row r="568" spans="1:2" x14ac:dyDescent="0.25">
      <c r="A568" s="20">
        <f t="shared" ca="1" si="16"/>
        <v>0.68664610639601353</v>
      </c>
      <c r="B568" s="21">
        <f t="shared" ca="1" si="17"/>
        <v>3188</v>
      </c>
    </row>
    <row r="569" spans="1:2" x14ac:dyDescent="0.25">
      <c r="A569" s="20">
        <f t="shared" ca="1" si="16"/>
        <v>0.92800474335528027</v>
      </c>
      <c r="B569" s="21">
        <f t="shared" ca="1" si="17"/>
        <v>4283</v>
      </c>
    </row>
    <row r="570" spans="1:2" x14ac:dyDescent="0.25">
      <c r="A570" s="20">
        <f t="shared" ca="1" si="16"/>
        <v>0.45491249253300792</v>
      </c>
      <c r="B570" s="21">
        <f t="shared" ca="1" si="17"/>
        <v>2131</v>
      </c>
    </row>
    <row r="571" spans="1:2" x14ac:dyDescent="0.25">
      <c r="A571" s="20">
        <f t="shared" ca="1" si="16"/>
        <v>0.64644503705121481</v>
      </c>
      <c r="B571" s="21">
        <f t="shared" ca="1" si="17"/>
        <v>3002</v>
      </c>
    </row>
    <row r="572" spans="1:2" x14ac:dyDescent="0.25">
      <c r="A572" s="20">
        <f t="shared" ca="1" si="16"/>
        <v>0.66621321514799159</v>
      </c>
      <c r="B572" s="21">
        <f t="shared" ca="1" si="17"/>
        <v>3090</v>
      </c>
    </row>
    <row r="573" spans="1:2" x14ac:dyDescent="0.25">
      <c r="A573" s="20">
        <f t="shared" ca="1" si="16"/>
        <v>0.3362442777656568</v>
      </c>
      <c r="B573" s="21">
        <f t="shared" ca="1" si="17"/>
        <v>1577</v>
      </c>
    </row>
    <row r="574" spans="1:2" x14ac:dyDescent="0.25">
      <c r="A574" s="20">
        <f t="shared" ca="1" si="16"/>
        <v>0.68997151455337491</v>
      </c>
      <c r="B574" s="21">
        <f t="shared" ca="1" si="17"/>
        <v>3199</v>
      </c>
    </row>
    <row r="575" spans="1:2" x14ac:dyDescent="0.25">
      <c r="A575" s="20">
        <f t="shared" ca="1" si="16"/>
        <v>4.6196159663222436E-2</v>
      </c>
      <c r="B575" s="21">
        <f t="shared" ca="1" si="17"/>
        <v>187</v>
      </c>
    </row>
    <row r="576" spans="1:2" x14ac:dyDescent="0.25">
      <c r="A576" s="20">
        <f t="shared" ca="1" si="16"/>
        <v>0.28993014888674429</v>
      </c>
      <c r="B576" s="21">
        <f t="shared" ca="1" si="17"/>
        <v>1364</v>
      </c>
    </row>
    <row r="577" spans="1:2" x14ac:dyDescent="0.25">
      <c r="A577" s="20">
        <f t="shared" ca="1" si="16"/>
        <v>0.54814458841864655</v>
      </c>
      <c r="B577" s="21">
        <f t="shared" ca="1" si="17"/>
        <v>2559</v>
      </c>
    </row>
    <row r="578" spans="1:2" x14ac:dyDescent="0.25">
      <c r="A578" s="20">
        <f t="shared" ca="1" si="16"/>
        <v>0.22727182992950901</v>
      </c>
      <c r="B578" s="21">
        <f t="shared" ca="1" si="17"/>
        <v>1067</v>
      </c>
    </row>
    <row r="579" spans="1:2" x14ac:dyDescent="0.25">
      <c r="A579" s="20">
        <f t="shared" ref="A579:A642" ca="1" si="18">RAND()</f>
        <v>5.4147669199730131E-2</v>
      </c>
      <c r="B579" s="21">
        <f t="shared" ref="B579:B642" ca="1" si="19">_xlfn.RANK.EQ($A579,$A:$A,1)</f>
        <v>232</v>
      </c>
    </row>
    <row r="580" spans="1:2" x14ac:dyDescent="0.25">
      <c r="A580" s="20">
        <f t="shared" ca="1" si="18"/>
        <v>0.49000263115913001</v>
      </c>
      <c r="B580" s="21">
        <f t="shared" ca="1" si="19"/>
        <v>2279</v>
      </c>
    </row>
    <row r="581" spans="1:2" x14ac:dyDescent="0.25">
      <c r="A581" s="20">
        <f t="shared" ca="1" si="18"/>
        <v>0.20391485468655235</v>
      </c>
      <c r="B581" s="21">
        <f t="shared" ca="1" si="19"/>
        <v>947</v>
      </c>
    </row>
    <row r="582" spans="1:2" x14ac:dyDescent="0.25">
      <c r="A582" s="20">
        <f t="shared" ca="1" si="18"/>
        <v>0.58181169969233915</v>
      </c>
      <c r="B582" s="21">
        <f t="shared" ca="1" si="19"/>
        <v>2719</v>
      </c>
    </row>
    <row r="583" spans="1:2" x14ac:dyDescent="0.25">
      <c r="A583" s="20">
        <f t="shared" ca="1" si="18"/>
        <v>0.80815385505963311</v>
      </c>
      <c r="B583" s="21">
        <f t="shared" ca="1" si="19"/>
        <v>3738</v>
      </c>
    </row>
    <row r="584" spans="1:2" x14ac:dyDescent="0.25">
      <c r="A584" s="20">
        <f t="shared" ca="1" si="18"/>
        <v>1.3134650292783823E-2</v>
      </c>
      <c r="B584" s="21">
        <f t="shared" ca="1" si="19"/>
        <v>47</v>
      </c>
    </row>
    <row r="585" spans="1:2" x14ac:dyDescent="0.25">
      <c r="A585" s="20">
        <f t="shared" ca="1" si="18"/>
        <v>0.45323592297212267</v>
      </c>
      <c r="B585" s="21">
        <f t="shared" ca="1" si="19"/>
        <v>2123</v>
      </c>
    </row>
    <row r="586" spans="1:2" x14ac:dyDescent="0.25">
      <c r="A586" s="20">
        <f t="shared" ca="1" si="18"/>
        <v>0.10373146325089055</v>
      </c>
      <c r="B586" s="21">
        <f t="shared" ca="1" si="19"/>
        <v>466</v>
      </c>
    </row>
    <row r="587" spans="1:2" x14ac:dyDescent="0.25">
      <c r="A587" s="20">
        <f t="shared" ca="1" si="18"/>
        <v>0.51090288373878934</v>
      </c>
      <c r="B587" s="21">
        <f t="shared" ca="1" si="19"/>
        <v>2380</v>
      </c>
    </row>
    <row r="588" spans="1:2" x14ac:dyDescent="0.25">
      <c r="A588" s="20">
        <f t="shared" ca="1" si="18"/>
        <v>0.13685913134610594</v>
      </c>
      <c r="B588" s="21">
        <f t="shared" ca="1" si="19"/>
        <v>602</v>
      </c>
    </row>
    <row r="589" spans="1:2" x14ac:dyDescent="0.25">
      <c r="A589" s="20">
        <f t="shared" ca="1" si="18"/>
        <v>0.50741561324926265</v>
      </c>
      <c r="B589" s="21">
        <f t="shared" ca="1" si="19"/>
        <v>2364</v>
      </c>
    </row>
    <row r="590" spans="1:2" x14ac:dyDescent="0.25">
      <c r="A590" s="20">
        <f t="shared" ca="1" si="18"/>
        <v>0.66051712718056454</v>
      </c>
      <c r="B590" s="21">
        <f t="shared" ca="1" si="19"/>
        <v>3065</v>
      </c>
    </row>
    <row r="591" spans="1:2" x14ac:dyDescent="0.25">
      <c r="A591" s="20">
        <f t="shared" ca="1" si="18"/>
        <v>0.46980676195874349</v>
      </c>
      <c r="B591" s="21">
        <f t="shared" ca="1" si="19"/>
        <v>2194</v>
      </c>
    </row>
    <row r="592" spans="1:2" x14ac:dyDescent="0.25">
      <c r="A592" s="20">
        <f t="shared" ca="1" si="18"/>
        <v>2.344348052042422E-2</v>
      </c>
      <c r="B592" s="21">
        <f t="shared" ca="1" si="19"/>
        <v>91</v>
      </c>
    </row>
    <row r="593" spans="1:2" x14ac:dyDescent="0.25">
      <c r="A593" s="20">
        <f t="shared" ca="1" si="18"/>
        <v>0.96920502406775133</v>
      </c>
      <c r="B593" s="21">
        <f t="shared" ca="1" si="19"/>
        <v>4494</v>
      </c>
    </row>
    <row r="594" spans="1:2" x14ac:dyDescent="0.25">
      <c r="A594" s="20">
        <f t="shared" ca="1" si="18"/>
        <v>0.16917224180373236</v>
      </c>
      <c r="B594" s="21">
        <f t="shared" ca="1" si="19"/>
        <v>763</v>
      </c>
    </row>
    <row r="595" spans="1:2" x14ac:dyDescent="0.25">
      <c r="A595" s="20">
        <f t="shared" ca="1" si="18"/>
        <v>0.43339637171269618</v>
      </c>
      <c r="B595" s="21">
        <f t="shared" ca="1" si="19"/>
        <v>2033</v>
      </c>
    </row>
    <row r="596" spans="1:2" x14ac:dyDescent="0.25">
      <c r="A596" s="20">
        <f t="shared" ca="1" si="18"/>
        <v>0.48488098099863519</v>
      </c>
      <c r="B596" s="21">
        <f t="shared" ca="1" si="19"/>
        <v>2258</v>
      </c>
    </row>
    <row r="597" spans="1:2" x14ac:dyDescent="0.25">
      <c r="A597" s="20">
        <f t="shared" ca="1" si="18"/>
        <v>0.15449205796823084</v>
      </c>
      <c r="B597" s="21">
        <f t="shared" ca="1" si="19"/>
        <v>690</v>
      </c>
    </row>
    <row r="598" spans="1:2" x14ac:dyDescent="0.25">
      <c r="A598" s="20">
        <f t="shared" ca="1" si="18"/>
        <v>0.27944981326155049</v>
      </c>
      <c r="B598" s="21">
        <f t="shared" ca="1" si="19"/>
        <v>1301</v>
      </c>
    </row>
    <row r="599" spans="1:2" x14ac:dyDescent="0.25">
      <c r="A599" s="20">
        <f t="shared" ca="1" si="18"/>
        <v>1.8828529468045585E-2</v>
      </c>
      <c r="B599" s="21">
        <f t="shared" ca="1" si="19"/>
        <v>72</v>
      </c>
    </row>
    <row r="600" spans="1:2" x14ac:dyDescent="0.25">
      <c r="A600" s="20">
        <f t="shared" ca="1" si="18"/>
        <v>8.0900343666108987E-2</v>
      </c>
      <c r="B600" s="21">
        <f t="shared" ca="1" si="19"/>
        <v>367</v>
      </c>
    </row>
    <row r="601" spans="1:2" x14ac:dyDescent="0.25">
      <c r="A601" s="20">
        <f t="shared" ca="1" si="18"/>
        <v>0.26228309604925149</v>
      </c>
      <c r="B601" s="21">
        <f t="shared" ca="1" si="19"/>
        <v>1223</v>
      </c>
    </row>
    <row r="602" spans="1:2" x14ac:dyDescent="0.25">
      <c r="A602" s="20">
        <f t="shared" ca="1" si="18"/>
        <v>0.20652578428824209</v>
      </c>
      <c r="B602" s="21">
        <f t="shared" ca="1" si="19"/>
        <v>959</v>
      </c>
    </row>
    <row r="603" spans="1:2" x14ac:dyDescent="0.25">
      <c r="A603" s="20">
        <f t="shared" ca="1" si="18"/>
        <v>8.2114836310165029E-2</v>
      </c>
      <c r="B603" s="21">
        <f t="shared" ca="1" si="19"/>
        <v>368</v>
      </c>
    </row>
    <row r="604" spans="1:2" x14ac:dyDescent="0.25">
      <c r="A604" s="20">
        <f t="shared" ca="1" si="18"/>
        <v>0.73142817680367966</v>
      </c>
      <c r="B604" s="21">
        <f t="shared" ca="1" si="19"/>
        <v>3393</v>
      </c>
    </row>
    <row r="605" spans="1:2" x14ac:dyDescent="0.25">
      <c r="A605" s="20">
        <f t="shared" ca="1" si="18"/>
        <v>0.66752460202640584</v>
      </c>
      <c r="B605" s="21">
        <f t="shared" ca="1" si="19"/>
        <v>3097</v>
      </c>
    </row>
    <row r="606" spans="1:2" x14ac:dyDescent="0.25">
      <c r="A606" s="20">
        <f t="shared" ca="1" si="18"/>
        <v>0.22546794416828075</v>
      </c>
      <c r="B606" s="21">
        <f t="shared" ca="1" si="19"/>
        <v>1057</v>
      </c>
    </row>
    <row r="607" spans="1:2" x14ac:dyDescent="0.25">
      <c r="A607" s="20">
        <f t="shared" ca="1" si="18"/>
        <v>0.38486565514326421</v>
      </c>
      <c r="B607" s="21">
        <f t="shared" ca="1" si="19"/>
        <v>1805</v>
      </c>
    </row>
    <row r="608" spans="1:2" x14ac:dyDescent="0.25">
      <c r="A608" s="20">
        <f t="shared" ca="1" si="18"/>
        <v>0.30179468137293419</v>
      </c>
      <c r="B608" s="21">
        <f t="shared" ca="1" si="19"/>
        <v>1413</v>
      </c>
    </row>
    <row r="609" spans="1:2" x14ac:dyDescent="0.25">
      <c r="A609" s="20">
        <f t="shared" ca="1" si="18"/>
        <v>0.89784996971755615</v>
      </c>
      <c r="B609" s="21">
        <f t="shared" ca="1" si="19"/>
        <v>4139</v>
      </c>
    </row>
    <row r="610" spans="1:2" x14ac:dyDescent="0.25">
      <c r="A610" s="20">
        <f t="shared" ca="1" si="18"/>
        <v>0.42439002954427074</v>
      </c>
      <c r="B610" s="21">
        <f t="shared" ca="1" si="19"/>
        <v>1995</v>
      </c>
    </row>
    <row r="611" spans="1:2" x14ac:dyDescent="0.25">
      <c r="A611" s="20">
        <f t="shared" ca="1" si="18"/>
        <v>0.34726840062299835</v>
      </c>
      <c r="B611" s="21">
        <f t="shared" ca="1" si="19"/>
        <v>1631</v>
      </c>
    </row>
    <row r="612" spans="1:2" x14ac:dyDescent="0.25">
      <c r="A612" s="20">
        <f t="shared" ca="1" si="18"/>
        <v>0.89944252086356302</v>
      </c>
      <c r="B612" s="21">
        <f t="shared" ca="1" si="19"/>
        <v>4146</v>
      </c>
    </row>
    <row r="613" spans="1:2" x14ac:dyDescent="0.25">
      <c r="A613" s="20">
        <f t="shared" ca="1" si="18"/>
        <v>0.67452667881139616</v>
      </c>
      <c r="B613" s="21">
        <f t="shared" ca="1" si="19"/>
        <v>3120</v>
      </c>
    </row>
    <row r="614" spans="1:2" x14ac:dyDescent="0.25">
      <c r="A614" s="20">
        <f t="shared" ca="1" si="18"/>
        <v>0.72969970934092954</v>
      </c>
      <c r="B614" s="21">
        <f t="shared" ca="1" si="19"/>
        <v>3384</v>
      </c>
    </row>
    <row r="615" spans="1:2" x14ac:dyDescent="0.25">
      <c r="A615" s="20">
        <f t="shared" ca="1" si="18"/>
        <v>0.86461275594800813</v>
      </c>
      <c r="B615" s="21">
        <f t="shared" ca="1" si="19"/>
        <v>3989</v>
      </c>
    </row>
    <row r="616" spans="1:2" x14ac:dyDescent="0.25">
      <c r="A616" s="20">
        <f t="shared" ca="1" si="18"/>
        <v>0.39673257741793222</v>
      </c>
      <c r="B616" s="21">
        <f t="shared" ca="1" si="19"/>
        <v>1863</v>
      </c>
    </row>
    <row r="617" spans="1:2" x14ac:dyDescent="0.25">
      <c r="A617" s="20">
        <f t="shared" ca="1" si="18"/>
        <v>0.44418731178851467</v>
      </c>
      <c r="B617" s="21">
        <f t="shared" ca="1" si="19"/>
        <v>2078</v>
      </c>
    </row>
    <row r="618" spans="1:2" x14ac:dyDescent="0.25">
      <c r="A618" s="20">
        <f t="shared" ca="1" si="18"/>
        <v>0.750053772466033</v>
      </c>
      <c r="B618" s="21">
        <f t="shared" ca="1" si="19"/>
        <v>3473</v>
      </c>
    </row>
    <row r="619" spans="1:2" x14ac:dyDescent="0.25">
      <c r="A619" s="20">
        <f t="shared" ca="1" si="18"/>
        <v>0.19602398846680136</v>
      </c>
      <c r="B619" s="21">
        <f t="shared" ca="1" si="19"/>
        <v>911</v>
      </c>
    </row>
    <row r="620" spans="1:2" x14ac:dyDescent="0.25">
      <c r="A620" s="20">
        <f t="shared" ca="1" si="18"/>
        <v>0.13911974824861051</v>
      </c>
      <c r="B620" s="21">
        <f t="shared" ca="1" si="19"/>
        <v>611</v>
      </c>
    </row>
    <row r="621" spans="1:2" x14ac:dyDescent="0.25">
      <c r="A621" s="20">
        <f t="shared" ca="1" si="18"/>
        <v>4.8642454278567504E-2</v>
      </c>
      <c r="B621" s="21">
        <f t="shared" ca="1" si="19"/>
        <v>203</v>
      </c>
    </row>
    <row r="622" spans="1:2" x14ac:dyDescent="0.25">
      <c r="A622" s="20">
        <f t="shared" ca="1" si="18"/>
        <v>0.47927777147702222</v>
      </c>
      <c r="B622" s="21">
        <f t="shared" ca="1" si="19"/>
        <v>2236</v>
      </c>
    </row>
    <row r="623" spans="1:2" x14ac:dyDescent="0.25">
      <c r="A623" s="20">
        <f t="shared" ca="1" si="18"/>
        <v>6.7235170259430044E-2</v>
      </c>
      <c r="B623" s="21">
        <f t="shared" ca="1" si="19"/>
        <v>297</v>
      </c>
    </row>
    <row r="624" spans="1:2" x14ac:dyDescent="0.25">
      <c r="A624" s="20">
        <f t="shared" ca="1" si="18"/>
        <v>0.91490841180930205</v>
      </c>
      <c r="B624" s="21">
        <f t="shared" ca="1" si="19"/>
        <v>4225</v>
      </c>
    </row>
    <row r="625" spans="1:2" x14ac:dyDescent="0.25">
      <c r="A625" s="20">
        <f t="shared" ca="1" si="18"/>
        <v>0.70583651628731758</v>
      </c>
      <c r="B625" s="21">
        <f t="shared" ca="1" si="19"/>
        <v>3266</v>
      </c>
    </row>
    <row r="626" spans="1:2" x14ac:dyDescent="0.25">
      <c r="A626" s="20">
        <f t="shared" ca="1" si="18"/>
        <v>0.84230259253123974</v>
      </c>
      <c r="B626" s="21">
        <f t="shared" ca="1" si="19"/>
        <v>3885</v>
      </c>
    </row>
    <row r="627" spans="1:2" x14ac:dyDescent="0.25">
      <c r="A627" s="20">
        <f t="shared" ca="1" si="18"/>
        <v>0.97647397546673087</v>
      </c>
      <c r="B627" s="21">
        <f t="shared" ca="1" si="19"/>
        <v>4524</v>
      </c>
    </row>
    <row r="628" spans="1:2" x14ac:dyDescent="0.25">
      <c r="A628" s="20">
        <f t="shared" ca="1" si="18"/>
        <v>0.89957271584523202</v>
      </c>
      <c r="B628" s="21">
        <f t="shared" ca="1" si="19"/>
        <v>4147</v>
      </c>
    </row>
    <row r="629" spans="1:2" x14ac:dyDescent="0.25">
      <c r="A629" s="20">
        <f t="shared" ca="1" si="18"/>
        <v>0.88245211009346225</v>
      </c>
      <c r="B629" s="21">
        <f t="shared" ca="1" si="19"/>
        <v>4064</v>
      </c>
    </row>
    <row r="630" spans="1:2" x14ac:dyDescent="0.25">
      <c r="A630" s="20">
        <f t="shared" ca="1" si="18"/>
        <v>0.95195822026724919</v>
      </c>
      <c r="B630" s="21">
        <f t="shared" ca="1" si="19"/>
        <v>4414</v>
      </c>
    </row>
    <row r="631" spans="1:2" x14ac:dyDescent="0.25">
      <c r="A631" s="20">
        <f t="shared" ca="1" si="18"/>
        <v>0.80297923138695171</v>
      </c>
      <c r="B631" s="21">
        <f t="shared" ca="1" si="19"/>
        <v>3720</v>
      </c>
    </row>
    <row r="632" spans="1:2" x14ac:dyDescent="0.25">
      <c r="A632" s="20">
        <f t="shared" ca="1" si="18"/>
        <v>0.34803804661522875</v>
      </c>
      <c r="B632" s="21">
        <f t="shared" ca="1" si="19"/>
        <v>1636</v>
      </c>
    </row>
    <row r="633" spans="1:2" x14ac:dyDescent="0.25">
      <c r="A633" s="20">
        <f t="shared" ca="1" si="18"/>
        <v>0.71604199509224997</v>
      </c>
      <c r="B633" s="21">
        <f t="shared" ca="1" si="19"/>
        <v>3311</v>
      </c>
    </row>
    <row r="634" spans="1:2" x14ac:dyDescent="0.25">
      <c r="A634" s="20">
        <f t="shared" ca="1" si="18"/>
        <v>0.82940079939490119</v>
      </c>
      <c r="B634" s="21">
        <f t="shared" ca="1" si="19"/>
        <v>3843</v>
      </c>
    </row>
    <row r="635" spans="1:2" x14ac:dyDescent="0.25">
      <c r="A635" s="20">
        <f t="shared" ca="1" si="18"/>
        <v>0.50451227004526378</v>
      </c>
      <c r="B635" s="21">
        <f t="shared" ca="1" si="19"/>
        <v>2349</v>
      </c>
    </row>
    <row r="636" spans="1:2" x14ac:dyDescent="0.25">
      <c r="A636" s="20">
        <f t="shared" ca="1" si="18"/>
        <v>0.47214450175072598</v>
      </c>
      <c r="B636" s="21">
        <f t="shared" ca="1" si="19"/>
        <v>2205</v>
      </c>
    </row>
    <row r="637" spans="1:2" x14ac:dyDescent="0.25">
      <c r="A637" s="20">
        <f t="shared" ca="1" si="18"/>
        <v>0.56792496300617856</v>
      </c>
      <c r="B637" s="21">
        <f t="shared" ca="1" si="19"/>
        <v>2654</v>
      </c>
    </row>
    <row r="638" spans="1:2" x14ac:dyDescent="0.25">
      <c r="A638" s="20">
        <f t="shared" ca="1" si="18"/>
        <v>0.91180580452870896</v>
      </c>
      <c r="B638" s="21">
        <f t="shared" ca="1" si="19"/>
        <v>4206</v>
      </c>
    </row>
    <row r="639" spans="1:2" x14ac:dyDescent="0.25">
      <c r="A639" s="20">
        <f t="shared" ca="1" si="18"/>
        <v>0.1716785962202777</v>
      </c>
      <c r="B639" s="21">
        <f t="shared" ca="1" si="19"/>
        <v>779</v>
      </c>
    </row>
    <row r="640" spans="1:2" x14ac:dyDescent="0.25">
      <c r="A640" s="20">
        <f t="shared" ca="1" si="18"/>
        <v>0.3122763936548516</v>
      </c>
      <c r="B640" s="21">
        <f t="shared" ca="1" si="19"/>
        <v>1461</v>
      </c>
    </row>
    <row r="641" spans="1:2" x14ac:dyDescent="0.25">
      <c r="A641" s="20">
        <f t="shared" ca="1" si="18"/>
        <v>0.69128649178084289</v>
      </c>
      <c r="B641" s="21">
        <f t="shared" ca="1" si="19"/>
        <v>3207</v>
      </c>
    </row>
    <row r="642" spans="1:2" x14ac:dyDescent="0.25">
      <c r="A642" s="20">
        <f t="shared" ca="1" si="18"/>
        <v>0.96326105110483973</v>
      </c>
      <c r="B642" s="21">
        <f t="shared" ca="1" si="19"/>
        <v>4460</v>
      </c>
    </row>
    <row r="643" spans="1:2" x14ac:dyDescent="0.25">
      <c r="A643" s="20">
        <f t="shared" ref="A643:A706" ca="1" si="20">RAND()</f>
        <v>0.33009108033785051</v>
      </c>
      <c r="B643" s="21">
        <f t="shared" ref="B643:B706" ca="1" si="21">_xlfn.RANK.EQ($A643,$A:$A,1)</f>
        <v>1546</v>
      </c>
    </row>
    <row r="644" spans="1:2" x14ac:dyDescent="0.25">
      <c r="A644" s="20">
        <f t="shared" ca="1" si="20"/>
        <v>0.95077574001210197</v>
      </c>
      <c r="B644" s="21">
        <f t="shared" ca="1" si="21"/>
        <v>4410</v>
      </c>
    </row>
    <row r="645" spans="1:2" x14ac:dyDescent="0.25">
      <c r="A645" s="20">
        <f t="shared" ca="1" si="20"/>
        <v>8.5640498804061882E-2</v>
      </c>
      <c r="B645" s="21">
        <f t="shared" ca="1" si="21"/>
        <v>384</v>
      </c>
    </row>
    <row r="646" spans="1:2" x14ac:dyDescent="0.25">
      <c r="A646" s="20">
        <f t="shared" ca="1" si="20"/>
        <v>0.36027436672774638</v>
      </c>
      <c r="B646" s="21">
        <f t="shared" ca="1" si="21"/>
        <v>1707</v>
      </c>
    </row>
    <row r="647" spans="1:2" x14ac:dyDescent="0.25">
      <c r="A647" s="20">
        <f t="shared" ca="1" si="20"/>
        <v>0.72024282118986349</v>
      </c>
      <c r="B647" s="21">
        <f t="shared" ca="1" si="21"/>
        <v>3334</v>
      </c>
    </row>
    <row r="648" spans="1:2" x14ac:dyDescent="0.25">
      <c r="A648" s="20">
        <f t="shared" ca="1" si="20"/>
        <v>0.61586085139656888</v>
      </c>
      <c r="B648" s="21">
        <f t="shared" ca="1" si="21"/>
        <v>2861</v>
      </c>
    </row>
    <row r="649" spans="1:2" x14ac:dyDescent="0.25">
      <c r="A649" s="20">
        <f t="shared" ca="1" si="20"/>
        <v>0.89016110290213868</v>
      </c>
      <c r="B649" s="21">
        <f t="shared" ca="1" si="21"/>
        <v>4102</v>
      </c>
    </row>
    <row r="650" spans="1:2" x14ac:dyDescent="0.25">
      <c r="A650" s="20">
        <f t="shared" ca="1" si="20"/>
        <v>0.93346695815067371</v>
      </c>
      <c r="B650" s="21">
        <f t="shared" ca="1" si="21"/>
        <v>4317</v>
      </c>
    </row>
    <row r="651" spans="1:2" x14ac:dyDescent="0.25">
      <c r="A651" s="20">
        <f t="shared" ca="1" si="20"/>
        <v>0.2559999361509151</v>
      </c>
      <c r="B651" s="21">
        <f t="shared" ca="1" si="21"/>
        <v>1194</v>
      </c>
    </row>
    <row r="652" spans="1:2" x14ac:dyDescent="0.25">
      <c r="A652" s="20">
        <f t="shared" ca="1" si="20"/>
        <v>0.59339101418560625</v>
      </c>
      <c r="B652" s="21">
        <f t="shared" ca="1" si="21"/>
        <v>2767</v>
      </c>
    </row>
    <row r="653" spans="1:2" x14ac:dyDescent="0.25">
      <c r="A653" s="20">
        <f t="shared" ca="1" si="20"/>
        <v>0.94486386522396781</v>
      </c>
      <c r="B653" s="21">
        <f t="shared" ca="1" si="21"/>
        <v>4374</v>
      </c>
    </row>
    <row r="654" spans="1:2" x14ac:dyDescent="0.25">
      <c r="A654" s="20">
        <f t="shared" ca="1" si="20"/>
        <v>0.87946875353421827</v>
      </c>
      <c r="B654" s="21">
        <f t="shared" ca="1" si="21"/>
        <v>4055</v>
      </c>
    </row>
    <row r="655" spans="1:2" x14ac:dyDescent="0.25">
      <c r="A655" s="20">
        <f t="shared" ca="1" si="20"/>
        <v>0.55370014867942652</v>
      </c>
      <c r="B655" s="21">
        <f t="shared" ca="1" si="21"/>
        <v>2588</v>
      </c>
    </row>
    <row r="656" spans="1:2" x14ac:dyDescent="0.25">
      <c r="A656" s="20">
        <f t="shared" ca="1" si="20"/>
        <v>0.84658286233025315</v>
      </c>
      <c r="B656" s="21">
        <f t="shared" ca="1" si="21"/>
        <v>3913</v>
      </c>
    </row>
    <row r="657" spans="1:2" x14ac:dyDescent="0.25">
      <c r="A657" s="20">
        <f t="shared" ca="1" si="20"/>
        <v>0.40159429372729416</v>
      </c>
      <c r="B657" s="21">
        <f t="shared" ca="1" si="21"/>
        <v>1889</v>
      </c>
    </row>
    <row r="658" spans="1:2" x14ac:dyDescent="0.25">
      <c r="A658" s="20">
        <f t="shared" ca="1" si="20"/>
        <v>0.30365945246132853</v>
      </c>
      <c r="B658" s="21">
        <f t="shared" ca="1" si="21"/>
        <v>1423</v>
      </c>
    </row>
    <row r="659" spans="1:2" x14ac:dyDescent="0.25">
      <c r="A659" s="20">
        <f t="shared" ca="1" si="20"/>
        <v>0.65460660996160969</v>
      </c>
      <c r="B659" s="21">
        <f t="shared" ca="1" si="21"/>
        <v>3035</v>
      </c>
    </row>
    <row r="660" spans="1:2" x14ac:dyDescent="0.25">
      <c r="A660" s="20">
        <f t="shared" ca="1" si="20"/>
        <v>0.28847534780295081</v>
      </c>
      <c r="B660" s="21">
        <f t="shared" ca="1" si="21"/>
        <v>1353</v>
      </c>
    </row>
    <row r="661" spans="1:2" x14ac:dyDescent="0.25">
      <c r="A661" s="20">
        <f t="shared" ca="1" si="20"/>
        <v>0.83264246761214733</v>
      </c>
      <c r="B661" s="21">
        <f t="shared" ca="1" si="21"/>
        <v>3850</v>
      </c>
    </row>
    <row r="662" spans="1:2" x14ac:dyDescent="0.25">
      <c r="A662" s="20">
        <f t="shared" ca="1" si="20"/>
        <v>0.90050907537041203</v>
      </c>
      <c r="B662" s="21">
        <f t="shared" ca="1" si="21"/>
        <v>4153</v>
      </c>
    </row>
    <row r="663" spans="1:2" x14ac:dyDescent="0.25">
      <c r="A663" s="20">
        <f t="shared" ca="1" si="20"/>
        <v>0.6433341365947528</v>
      </c>
      <c r="B663" s="21">
        <f t="shared" ca="1" si="21"/>
        <v>2988</v>
      </c>
    </row>
    <row r="664" spans="1:2" x14ac:dyDescent="0.25">
      <c r="A664" s="20">
        <f t="shared" ca="1" si="20"/>
        <v>0.38332928583050307</v>
      </c>
      <c r="B664" s="21">
        <f t="shared" ca="1" si="21"/>
        <v>1795</v>
      </c>
    </row>
    <row r="665" spans="1:2" x14ac:dyDescent="0.25">
      <c r="A665" s="20">
        <f t="shared" ca="1" si="20"/>
        <v>0.35328908671253612</v>
      </c>
      <c r="B665" s="21">
        <f t="shared" ca="1" si="21"/>
        <v>1665</v>
      </c>
    </row>
    <row r="666" spans="1:2" x14ac:dyDescent="0.25">
      <c r="A666" s="20">
        <f t="shared" ca="1" si="20"/>
        <v>0.36672535710827625</v>
      </c>
      <c r="B666" s="21">
        <f t="shared" ca="1" si="21"/>
        <v>1739</v>
      </c>
    </row>
    <row r="667" spans="1:2" x14ac:dyDescent="0.25">
      <c r="A667" s="20">
        <f t="shared" ca="1" si="20"/>
        <v>0.89017006817911182</v>
      </c>
      <c r="B667" s="21">
        <f t="shared" ca="1" si="21"/>
        <v>4103</v>
      </c>
    </row>
    <row r="668" spans="1:2" x14ac:dyDescent="0.25">
      <c r="A668" s="20">
        <f t="shared" ca="1" si="20"/>
        <v>0.37431645111733947</v>
      </c>
      <c r="B668" s="21">
        <f t="shared" ca="1" si="21"/>
        <v>1772</v>
      </c>
    </row>
    <row r="669" spans="1:2" x14ac:dyDescent="0.25">
      <c r="A669" s="20">
        <f t="shared" ca="1" si="20"/>
        <v>0.74369251095213673</v>
      </c>
      <c r="B669" s="21">
        <f t="shared" ca="1" si="21"/>
        <v>3436</v>
      </c>
    </row>
    <row r="670" spans="1:2" x14ac:dyDescent="0.25">
      <c r="A670" s="20">
        <f t="shared" ca="1" si="20"/>
        <v>1.8332897523990477E-2</v>
      </c>
      <c r="B670" s="21">
        <f t="shared" ca="1" si="21"/>
        <v>67</v>
      </c>
    </row>
    <row r="671" spans="1:2" x14ac:dyDescent="0.25">
      <c r="A671" s="20">
        <f t="shared" ca="1" si="20"/>
        <v>0.74950898880535344</v>
      </c>
      <c r="B671" s="21">
        <f t="shared" ca="1" si="21"/>
        <v>3470</v>
      </c>
    </row>
    <row r="672" spans="1:2" x14ac:dyDescent="0.25">
      <c r="A672" s="20">
        <f t="shared" ca="1" si="20"/>
        <v>9.3830087289315856E-2</v>
      </c>
      <c r="B672" s="21">
        <f t="shared" ca="1" si="21"/>
        <v>421</v>
      </c>
    </row>
    <row r="673" spans="1:2" x14ac:dyDescent="0.25">
      <c r="A673" s="20">
        <f t="shared" ca="1" si="20"/>
        <v>0.98564990147670828</v>
      </c>
      <c r="B673" s="21">
        <f t="shared" ca="1" si="21"/>
        <v>4563</v>
      </c>
    </row>
    <row r="674" spans="1:2" x14ac:dyDescent="0.25">
      <c r="A674" s="20">
        <f t="shared" ca="1" si="20"/>
        <v>0.51373145086180916</v>
      </c>
      <c r="B674" s="21">
        <f t="shared" ca="1" si="21"/>
        <v>2400</v>
      </c>
    </row>
    <row r="675" spans="1:2" x14ac:dyDescent="0.25">
      <c r="A675" s="20">
        <f t="shared" ca="1" si="20"/>
        <v>1.3565561276523419E-2</v>
      </c>
      <c r="B675" s="21">
        <f t="shared" ca="1" si="21"/>
        <v>49</v>
      </c>
    </row>
    <row r="676" spans="1:2" x14ac:dyDescent="0.25">
      <c r="A676" s="20">
        <f t="shared" ca="1" si="20"/>
        <v>0.40911042141890408</v>
      </c>
      <c r="B676" s="21">
        <f t="shared" ca="1" si="21"/>
        <v>1926</v>
      </c>
    </row>
    <row r="677" spans="1:2" x14ac:dyDescent="0.25">
      <c r="A677" s="20">
        <f t="shared" ca="1" si="20"/>
        <v>0.21939090643858039</v>
      </c>
      <c r="B677" s="21">
        <f t="shared" ca="1" si="21"/>
        <v>1029</v>
      </c>
    </row>
    <row r="678" spans="1:2" x14ac:dyDescent="0.25">
      <c r="A678" s="20">
        <f t="shared" ca="1" si="20"/>
        <v>5.029567357349074E-2</v>
      </c>
      <c r="B678" s="21">
        <f t="shared" ca="1" si="21"/>
        <v>209</v>
      </c>
    </row>
    <row r="679" spans="1:2" x14ac:dyDescent="0.25">
      <c r="A679" s="20">
        <f t="shared" ca="1" si="20"/>
        <v>0.99766217463719598</v>
      </c>
      <c r="B679" s="21">
        <f t="shared" ca="1" si="21"/>
        <v>4605</v>
      </c>
    </row>
    <row r="680" spans="1:2" x14ac:dyDescent="0.25">
      <c r="A680" s="20">
        <f t="shared" ca="1" si="20"/>
        <v>0.87902602140051789</v>
      </c>
      <c r="B680" s="21">
        <f t="shared" ca="1" si="21"/>
        <v>4048</v>
      </c>
    </row>
    <row r="681" spans="1:2" x14ac:dyDescent="0.25">
      <c r="A681" s="20">
        <f t="shared" ca="1" si="20"/>
        <v>0.2006775608267436</v>
      </c>
      <c r="B681" s="21">
        <f t="shared" ca="1" si="21"/>
        <v>928</v>
      </c>
    </row>
    <row r="682" spans="1:2" x14ac:dyDescent="0.25">
      <c r="A682" s="20">
        <f t="shared" ca="1" si="20"/>
        <v>0.47838684715133006</v>
      </c>
      <c r="B682" s="21">
        <f t="shared" ca="1" si="21"/>
        <v>2233</v>
      </c>
    </row>
    <row r="683" spans="1:2" x14ac:dyDescent="0.25">
      <c r="A683" s="20">
        <f t="shared" ca="1" si="20"/>
        <v>0.18773882307585532</v>
      </c>
      <c r="B683" s="21">
        <f t="shared" ca="1" si="21"/>
        <v>861</v>
      </c>
    </row>
    <row r="684" spans="1:2" x14ac:dyDescent="0.25">
      <c r="A684" s="20">
        <f t="shared" ca="1" si="20"/>
        <v>0.53885624673501309</v>
      </c>
      <c r="B684" s="21">
        <f t="shared" ca="1" si="21"/>
        <v>2518</v>
      </c>
    </row>
    <row r="685" spans="1:2" x14ac:dyDescent="0.25">
      <c r="A685" s="20">
        <f t="shared" ca="1" si="20"/>
        <v>0.20290642700104822</v>
      </c>
      <c r="B685" s="21">
        <f t="shared" ca="1" si="21"/>
        <v>942</v>
      </c>
    </row>
    <row r="686" spans="1:2" x14ac:dyDescent="0.25">
      <c r="A686" s="20">
        <f t="shared" ca="1" si="20"/>
        <v>0.48179942746454207</v>
      </c>
      <c r="B686" s="21">
        <f t="shared" ca="1" si="21"/>
        <v>2250</v>
      </c>
    </row>
    <row r="687" spans="1:2" x14ac:dyDescent="0.25">
      <c r="A687" s="20">
        <f t="shared" ca="1" si="20"/>
        <v>0.38142045275007153</v>
      </c>
      <c r="B687" s="21">
        <f t="shared" ca="1" si="21"/>
        <v>1790</v>
      </c>
    </row>
    <row r="688" spans="1:2" x14ac:dyDescent="0.25">
      <c r="A688" s="20">
        <f t="shared" ca="1" si="20"/>
        <v>0.79646573151723565</v>
      </c>
      <c r="B688" s="21">
        <f t="shared" ca="1" si="21"/>
        <v>3686</v>
      </c>
    </row>
    <row r="689" spans="1:2" x14ac:dyDescent="0.25">
      <c r="A689" s="20">
        <f t="shared" ca="1" si="20"/>
        <v>0.17120431581064754</v>
      </c>
      <c r="B689" s="21">
        <f t="shared" ca="1" si="21"/>
        <v>776</v>
      </c>
    </row>
    <row r="690" spans="1:2" x14ac:dyDescent="0.25">
      <c r="A690" s="20">
        <f t="shared" ca="1" si="20"/>
        <v>0.54825613765499959</v>
      </c>
      <c r="B690" s="21">
        <f t="shared" ca="1" si="21"/>
        <v>2560</v>
      </c>
    </row>
    <row r="691" spans="1:2" x14ac:dyDescent="0.25">
      <c r="A691" s="20">
        <f t="shared" ca="1" si="20"/>
        <v>0.9348500610595063</v>
      </c>
      <c r="B691" s="21">
        <f t="shared" ca="1" si="21"/>
        <v>4322</v>
      </c>
    </row>
    <row r="692" spans="1:2" x14ac:dyDescent="0.25">
      <c r="A692" s="20">
        <f t="shared" ca="1" si="20"/>
        <v>0.35410339277102365</v>
      </c>
      <c r="B692" s="21">
        <f t="shared" ca="1" si="21"/>
        <v>1673</v>
      </c>
    </row>
    <row r="693" spans="1:2" x14ac:dyDescent="0.25">
      <c r="A693" s="20">
        <f t="shared" ca="1" si="20"/>
        <v>0.36827688066526043</v>
      </c>
      <c r="B693" s="21">
        <f t="shared" ca="1" si="21"/>
        <v>1751</v>
      </c>
    </row>
    <row r="694" spans="1:2" x14ac:dyDescent="0.25">
      <c r="A694" s="20">
        <f t="shared" ca="1" si="20"/>
        <v>0.61775704152996791</v>
      </c>
      <c r="B694" s="21">
        <f t="shared" ca="1" si="21"/>
        <v>2869</v>
      </c>
    </row>
    <row r="695" spans="1:2" x14ac:dyDescent="0.25">
      <c r="A695" s="20">
        <f t="shared" ca="1" si="20"/>
        <v>0.16293382371833076</v>
      </c>
      <c r="B695" s="21">
        <f t="shared" ca="1" si="21"/>
        <v>730</v>
      </c>
    </row>
    <row r="696" spans="1:2" x14ac:dyDescent="0.25">
      <c r="A696" s="20">
        <f t="shared" ca="1" si="20"/>
        <v>0.33219023340645149</v>
      </c>
      <c r="B696" s="21">
        <f t="shared" ca="1" si="21"/>
        <v>1556</v>
      </c>
    </row>
    <row r="697" spans="1:2" x14ac:dyDescent="0.25">
      <c r="A697" s="20">
        <f t="shared" ca="1" si="20"/>
        <v>0.31189608837562666</v>
      </c>
      <c r="B697" s="21">
        <f t="shared" ca="1" si="21"/>
        <v>1459</v>
      </c>
    </row>
    <row r="698" spans="1:2" x14ac:dyDescent="0.25">
      <c r="A698" s="20">
        <f t="shared" ca="1" si="20"/>
        <v>7.9460943598964384E-2</v>
      </c>
      <c r="B698" s="21">
        <f t="shared" ca="1" si="21"/>
        <v>358</v>
      </c>
    </row>
    <row r="699" spans="1:2" x14ac:dyDescent="0.25">
      <c r="A699" s="20">
        <f t="shared" ca="1" si="20"/>
        <v>6.4596229569840014E-2</v>
      </c>
      <c r="B699" s="21">
        <f t="shared" ca="1" si="21"/>
        <v>282</v>
      </c>
    </row>
    <row r="700" spans="1:2" x14ac:dyDescent="0.25">
      <c r="A700" s="20">
        <f t="shared" ca="1" si="20"/>
        <v>9.5413509382028194E-2</v>
      </c>
      <c r="B700" s="21">
        <f t="shared" ca="1" si="21"/>
        <v>427</v>
      </c>
    </row>
    <row r="701" spans="1:2" x14ac:dyDescent="0.25">
      <c r="A701" s="20">
        <f t="shared" ca="1" si="20"/>
        <v>0.12026294839804264</v>
      </c>
      <c r="B701" s="21">
        <f t="shared" ca="1" si="21"/>
        <v>527</v>
      </c>
    </row>
    <row r="702" spans="1:2" x14ac:dyDescent="0.25">
      <c r="A702" s="20">
        <f t="shared" ca="1" si="20"/>
        <v>4.7336120163608664E-2</v>
      </c>
      <c r="B702" s="21">
        <f t="shared" ca="1" si="21"/>
        <v>194</v>
      </c>
    </row>
    <row r="703" spans="1:2" x14ac:dyDescent="0.25">
      <c r="A703" s="20">
        <f t="shared" ca="1" si="20"/>
        <v>0.28586755607839309</v>
      </c>
      <c r="B703" s="21">
        <f t="shared" ca="1" si="21"/>
        <v>1336</v>
      </c>
    </row>
    <row r="704" spans="1:2" x14ac:dyDescent="0.25">
      <c r="A704" s="20">
        <f t="shared" ca="1" si="20"/>
        <v>0.52809560919686449</v>
      </c>
      <c r="B704" s="21">
        <f t="shared" ca="1" si="21"/>
        <v>2470</v>
      </c>
    </row>
    <row r="705" spans="1:2" x14ac:dyDescent="0.25">
      <c r="A705" s="20">
        <f t="shared" ca="1" si="20"/>
        <v>0.93547728825326082</v>
      </c>
      <c r="B705" s="21">
        <f t="shared" ca="1" si="21"/>
        <v>4324</v>
      </c>
    </row>
    <row r="706" spans="1:2" x14ac:dyDescent="0.25">
      <c r="A706" s="20">
        <f t="shared" ca="1" si="20"/>
        <v>0.40889427836356695</v>
      </c>
      <c r="B706" s="21">
        <f t="shared" ca="1" si="21"/>
        <v>1924</v>
      </c>
    </row>
    <row r="707" spans="1:2" x14ac:dyDescent="0.25">
      <c r="A707" s="20">
        <f t="shared" ref="A707:A770" ca="1" si="22">RAND()</f>
        <v>0.98761338667402943</v>
      </c>
      <c r="B707" s="21">
        <f t="shared" ref="B707:B770" ca="1" si="23">_xlfn.RANK.EQ($A707,$A:$A,1)</f>
        <v>4571</v>
      </c>
    </row>
    <row r="708" spans="1:2" x14ac:dyDescent="0.25">
      <c r="A708" s="20">
        <f t="shared" ca="1" si="22"/>
        <v>0.55858063875260644</v>
      </c>
      <c r="B708" s="21">
        <f t="shared" ca="1" si="23"/>
        <v>2611</v>
      </c>
    </row>
    <row r="709" spans="1:2" x14ac:dyDescent="0.25">
      <c r="A709" s="20">
        <f t="shared" ca="1" si="22"/>
        <v>0.75617212236282627</v>
      </c>
      <c r="B709" s="21">
        <f t="shared" ca="1" si="23"/>
        <v>3508</v>
      </c>
    </row>
    <row r="710" spans="1:2" x14ac:dyDescent="0.25">
      <c r="A710" s="20">
        <f t="shared" ca="1" si="22"/>
        <v>0.7380982217344898</v>
      </c>
      <c r="B710" s="21">
        <f t="shared" ca="1" si="23"/>
        <v>3416</v>
      </c>
    </row>
    <row r="711" spans="1:2" x14ac:dyDescent="0.25">
      <c r="A711" s="20">
        <f t="shared" ca="1" si="22"/>
        <v>0.7307680702833439</v>
      </c>
      <c r="B711" s="21">
        <f t="shared" ca="1" si="23"/>
        <v>3390</v>
      </c>
    </row>
    <row r="712" spans="1:2" x14ac:dyDescent="0.25">
      <c r="A712" s="20">
        <f t="shared" ca="1" si="22"/>
        <v>0.65113675405996385</v>
      </c>
      <c r="B712" s="21">
        <f t="shared" ca="1" si="23"/>
        <v>3019</v>
      </c>
    </row>
    <row r="713" spans="1:2" x14ac:dyDescent="0.25">
      <c r="A713" s="20">
        <f t="shared" ca="1" si="22"/>
        <v>0.63214177189823084</v>
      </c>
      <c r="B713" s="21">
        <f t="shared" ca="1" si="23"/>
        <v>2929</v>
      </c>
    </row>
    <row r="714" spans="1:2" x14ac:dyDescent="0.25">
      <c r="A714" s="20">
        <f t="shared" ca="1" si="22"/>
        <v>0.4241049037674941</v>
      </c>
      <c r="B714" s="21">
        <f t="shared" ca="1" si="23"/>
        <v>1994</v>
      </c>
    </row>
    <row r="715" spans="1:2" x14ac:dyDescent="0.25">
      <c r="A715" s="20">
        <f t="shared" ca="1" si="22"/>
        <v>5.3857866853215031E-2</v>
      </c>
      <c r="B715" s="21">
        <f t="shared" ca="1" si="23"/>
        <v>228</v>
      </c>
    </row>
    <row r="716" spans="1:2" x14ac:dyDescent="0.25">
      <c r="A716" s="20">
        <f t="shared" ca="1" si="22"/>
        <v>0.64733394438843672</v>
      </c>
      <c r="B716" s="21">
        <f t="shared" ca="1" si="23"/>
        <v>3005</v>
      </c>
    </row>
    <row r="717" spans="1:2" x14ac:dyDescent="0.25">
      <c r="A717" s="20">
        <f t="shared" ca="1" si="22"/>
        <v>0.93161354720222478</v>
      </c>
      <c r="B717" s="21">
        <f t="shared" ca="1" si="23"/>
        <v>4302</v>
      </c>
    </row>
    <row r="718" spans="1:2" x14ac:dyDescent="0.25">
      <c r="A718" s="20">
        <f t="shared" ca="1" si="22"/>
        <v>0.65372530830265763</v>
      </c>
      <c r="B718" s="21">
        <f t="shared" ca="1" si="23"/>
        <v>3031</v>
      </c>
    </row>
    <row r="719" spans="1:2" x14ac:dyDescent="0.25">
      <c r="A719" s="20">
        <f t="shared" ca="1" si="22"/>
        <v>0.69322273771517107</v>
      </c>
      <c r="B719" s="21">
        <f t="shared" ca="1" si="23"/>
        <v>3213</v>
      </c>
    </row>
    <row r="720" spans="1:2" x14ac:dyDescent="0.25">
      <c r="A720" s="20">
        <f t="shared" ca="1" si="22"/>
        <v>0.60188479958753127</v>
      </c>
      <c r="B720" s="21">
        <f t="shared" ca="1" si="23"/>
        <v>2808</v>
      </c>
    </row>
    <row r="721" spans="1:2" x14ac:dyDescent="0.25">
      <c r="A721" s="20">
        <f t="shared" ca="1" si="22"/>
        <v>8.8438445913939789E-3</v>
      </c>
      <c r="B721" s="21">
        <f t="shared" ca="1" si="23"/>
        <v>34</v>
      </c>
    </row>
    <row r="722" spans="1:2" x14ac:dyDescent="0.25">
      <c r="A722" s="20">
        <f t="shared" ca="1" si="22"/>
        <v>0.59403499086322054</v>
      </c>
      <c r="B722" s="21">
        <f t="shared" ca="1" si="23"/>
        <v>2769</v>
      </c>
    </row>
    <row r="723" spans="1:2" x14ac:dyDescent="0.25">
      <c r="A723" s="20">
        <f t="shared" ca="1" si="22"/>
        <v>8.0658023766134179E-2</v>
      </c>
      <c r="B723" s="21">
        <f t="shared" ca="1" si="23"/>
        <v>364</v>
      </c>
    </row>
    <row r="724" spans="1:2" x14ac:dyDescent="0.25">
      <c r="A724" s="20">
        <f t="shared" ca="1" si="22"/>
        <v>0.36509001304042699</v>
      </c>
      <c r="B724" s="21">
        <f t="shared" ca="1" si="23"/>
        <v>1729</v>
      </c>
    </row>
    <row r="725" spans="1:2" x14ac:dyDescent="0.25">
      <c r="A725" s="20">
        <f t="shared" ca="1" si="22"/>
        <v>9.8653383734876754E-2</v>
      </c>
      <c r="B725" s="21">
        <f t="shared" ca="1" si="23"/>
        <v>444</v>
      </c>
    </row>
    <row r="726" spans="1:2" x14ac:dyDescent="0.25">
      <c r="A726" s="20">
        <f t="shared" ca="1" si="22"/>
        <v>0.58343104963663772</v>
      </c>
      <c r="B726" s="21">
        <f t="shared" ca="1" si="23"/>
        <v>2732</v>
      </c>
    </row>
    <row r="727" spans="1:2" x14ac:dyDescent="0.25">
      <c r="A727" s="20">
        <f t="shared" ca="1" si="22"/>
        <v>0.50804274869654853</v>
      </c>
      <c r="B727" s="21">
        <f t="shared" ca="1" si="23"/>
        <v>2366</v>
      </c>
    </row>
    <row r="728" spans="1:2" x14ac:dyDescent="0.25">
      <c r="A728" s="20">
        <f t="shared" ca="1" si="22"/>
        <v>0.99653471520473791</v>
      </c>
      <c r="B728" s="21">
        <f t="shared" ca="1" si="23"/>
        <v>4603</v>
      </c>
    </row>
    <row r="729" spans="1:2" x14ac:dyDescent="0.25">
      <c r="A729" s="20">
        <f t="shared" ca="1" si="22"/>
        <v>0.55567422902444308</v>
      </c>
      <c r="B729" s="21">
        <f t="shared" ca="1" si="23"/>
        <v>2602</v>
      </c>
    </row>
    <row r="730" spans="1:2" x14ac:dyDescent="0.25">
      <c r="A730" s="20">
        <f t="shared" ca="1" si="22"/>
        <v>0.63042663739704763</v>
      </c>
      <c r="B730" s="21">
        <f t="shared" ca="1" si="23"/>
        <v>2921</v>
      </c>
    </row>
    <row r="731" spans="1:2" x14ac:dyDescent="0.25">
      <c r="A731" s="20">
        <f t="shared" ca="1" si="22"/>
        <v>0.17053787774884221</v>
      </c>
      <c r="B731" s="21">
        <f t="shared" ca="1" si="23"/>
        <v>772</v>
      </c>
    </row>
    <row r="732" spans="1:2" x14ac:dyDescent="0.25">
      <c r="A732" s="20">
        <f t="shared" ca="1" si="22"/>
        <v>0.58255428567778711</v>
      </c>
      <c r="B732" s="21">
        <f t="shared" ca="1" si="23"/>
        <v>2724</v>
      </c>
    </row>
    <row r="733" spans="1:2" x14ac:dyDescent="0.25">
      <c r="A733" s="20">
        <f t="shared" ca="1" si="22"/>
        <v>0.96558789427094283</v>
      </c>
      <c r="B733" s="21">
        <f t="shared" ca="1" si="23"/>
        <v>4477</v>
      </c>
    </row>
    <row r="734" spans="1:2" x14ac:dyDescent="0.25">
      <c r="A734" s="20">
        <f t="shared" ca="1" si="22"/>
        <v>0.73227695950910887</v>
      </c>
      <c r="B734" s="21">
        <f t="shared" ca="1" si="23"/>
        <v>3395</v>
      </c>
    </row>
    <row r="735" spans="1:2" x14ac:dyDescent="0.25">
      <c r="A735" s="20">
        <f t="shared" ca="1" si="22"/>
        <v>0.51854605407996135</v>
      </c>
      <c r="B735" s="21">
        <f t="shared" ca="1" si="23"/>
        <v>2422</v>
      </c>
    </row>
    <row r="736" spans="1:2" x14ac:dyDescent="0.25">
      <c r="A736" s="20">
        <f t="shared" ca="1" si="22"/>
        <v>0.30819218787143754</v>
      </c>
      <c r="B736" s="21">
        <f t="shared" ca="1" si="23"/>
        <v>1443</v>
      </c>
    </row>
    <row r="737" spans="1:2" x14ac:dyDescent="0.25">
      <c r="A737" s="20">
        <f t="shared" ca="1" si="22"/>
        <v>0.12372614802925563</v>
      </c>
      <c r="B737" s="21">
        <f t="shared" ca="1" si="23"/>
        <v>551</v>
      </c>
    </row>
    <row r="738" spans="1:2" x14ac:dyDescent="0.25">
      <c r="A738" s="20">
        <f t="shared" ca="1" si="22"/>
        <v>0.90819901807606407</v>
      </c>
      <c r="B738" s="21">
        <f t="shared" ca="1" si="23"/>
        <v>4191</v>
      </c>
    </row>
    <row r="739" spans="1:2" x14ac:dyDescent="0.25">
      <c r="A739" s="20">
        <f t="shared" ca="1" si="22"/>
        <v>9.1390906148725581E-2</v>
      </c>
      <c r="B739" s="21">
        <f t="shared" ca="1" si="23"/>
        <v>414</v>
      </c>
    </row>
    <row r="740" spans="1:2" x14ac:dyDescent="0.25">
      <c r="A740" s="20">
        <f t="shared" ca="1" si="22"/>
        <v>0.3240183136227599</v>
      </c>
      <c r="B740" s="21">
        <f t="shared" ca="1" si="23"/>
        <v>1523</v>
      </c>
    </row>
    <row r="741" spans="1:2" x14ac:dyDescent="0.25">
      <c r="A741" s="20">
        <f t="shared" ca="1" si="22"/>
        <v>0.97418353870041507</v>
      </c>
      <c r="B741" s="21">
        <f t="shared" ca="1" si="23"/>
        <v>4516</v>
      </c>
    </row>
    <row r="742" spans="1:2" x14ac:dyDescent="0.25">
      <c r="A742" s="20">
        <f t="shared" ca="1" si="22"/>
        <v>0.7447575679720293</v>
      </c>
      <c r="B742" s="21">
        <f t="shared" ca="1" si="23"/>
        <v>3441</v>
      </c>
    </row>
    <row r="743" spans="1:2" x14ac:dyDescent="0.25">
      <c r="A743" s="20">
        <f t="shared" ca="1" si="22"/>
        <v>0.8719471920291938</v>
      </c>
      <c r="B743" s="21">
        <f t="shared" ca="1" si="23"/>
        <v>4022</v>
      </c>
    </row>
    <row r="744" spans="1:2" x14ac:dyDescent="0.25">
      <c r="A744" s="20">
        <f t="shared" ca="1" si="22"/>
        <v>0.12910590955581991</v>
      </c>
      <c r="B744" s="21">
        <f t="shared" ca="1" si="23"/>
        <v>568</v>
      </c>
    </row>
    <row r="745" spans="1:2" x14ac:dyDescent="0.25">
      <c r="A745" s="20">
        <f t="shared" ca="1" si="22"/>
        <v>0.83442012463506909</v>
      </c>
      <c r="B745" s="21">
        <f t="shared" ca="1" si="23"/>
        <v>3856</v>
      </c>
    </row>
    <row r="746" spans="1:2" x14ac:dyDescent="0.25">
      <c r="A746" s="20">
        <f t="shared" ca="1" si="22"/>
        <v>5.5281365347635836E-2</v>
      </c>
      <c r="B746" s="21">
        <f t="shared" ca="1" si="23"/>
        <v>237</v>
      </c>
    </row>
    <row r="747" spans="1:2" x14ac:dyDescent="0.25">
      <c r="A747" s="20">
        <f t="shared" ca="1" si="22"/>
        <v>0.24150392063478532</v>
      </c>
      <c r="B747" s="21">
        <f t="shared" ca="1" si="23"/>
        <v>1131</v>
      </c>
    </row>
    <row r="748" spans="1:2" x14ac:dyDescent="0.25">
      <c r="A748" s="20">
        <f t="shared" ca="1" si="22"/>
        <v>0.20333252922228395</v>
      </c>
      <c r="B748" s="21">
        <f t="shared" ca="1" si="23"/>
        <v>944</v>
      </c>
    </row>
    <row r="749" spans="1:2" x14ac:dyDescent="0.25">
      <c r="A749" s="20">
        <f t="shared" ca="1" si="22"/>
        <v>0.34286633771053698</v>
      </c>
      <c r="B749" s="21">
        <f t="shared" ca="1" si="23"/>
        <v>1611</v>
      </c>
    </row>
    <row r="750" spans="1:2" x14ac:dyDescent="0.25">
      <c r="A750" s="20">
        <f t="shared" ca="1" si="22"/>
        <v>0.22582276690446679</v>
      </c>
      <c r="B750" s="21">
        <f t="shared" ca="1" si="23"/>
        <v>1061</v>
      </c>
    </row>
    <row r="751" spans="1:2" x14ac:dyDescent="0.25">
      <c r="A751" s="20">
        <f t="shared" ca="1" si="22"/>
        <v>0.72380242666464478</v>
      </c>
      <c r="B751" s="21">
        <f t="shared" ca="1" si="23"/>
        <v>3348</v>
      </c>
    </row>
    <row r="752" spans="1:2" x14ac:dyDescent="0.25">
      <c r="A752" s="20">
        <f t="shared" ca="1" si="22"/>
        <v>7.1324722900129589E-2</v>
      </c>
      <c r="B752" s="21">
        <f t="shared" ca="1" si="23"/>
        <v>317</v>
      </c>
    </row>
    <row r="753" spans="1:2" x14ac:dyDescent="0.25">
      <c r="A753" s="20">
        <f t="shared" ca="1" si="22"/>
        <v>0.69392977291308522</v>
      </c>
      <c r="B753" s="21">
        <f t="shared" ca="1" si="23"/>
        <v>3217</v>
      </c>
    </row>
    <row r="754" spans="1:2" x14ac:dyDescent="0.25">
      <c r="A754" s="20">
        <f t="shared" ca="1" si="22"/>
        <v>0.66660460029171331</v>
      </c>
      <c r="B754" s="21">
        <f t="shared" ca="1" si="23"/>
        <v>3093</v>
      </c>
    </row>
    <row r="755" spans="1:2" x14ac:dyDescent="0.25">
      <c r="A755" s="20">
        <f t="shared" ca="1" si="22"/>
        <v>0.64047453442034086</v>
      </c>
      <c r="B755" s="21">
        <f t="shared" ca="1" si="23"/>
        <v>2968</v>
      </c>
    </row>
    <row r="756" spans="1:2" x14ac:dyDescent="0.25">
      <c r="A756" s="20">
        <f t="shared" ca="1" si="22"/>
        <v>0.7377557803911976</v>
      </c>
      <c r="B756" s="21">
        <f t="shared" ca="1" si="23"/>
        <v>3414</v>
      </c>
    </row>
    <row r="757" spans="1:2" x14ac:dyDescent="0.25">
      <c r="A757" s="20">
        <f t="shared" ca="1" si="22"/>
        <v>0.48024559425515423</v>
      </c>
      <c r="B757" s="21">
        <f t="shared" ca="1" si="23"/>
        <v>2241</v>
      </c>
    </row>
    <row r="758" spans="1:2" x14ac:dyDescent="0.25">
      <c r="A758" s="20">
        <f t="shared" ca="1" si="22"/>
        <v>0.57841116669260817</v>
      </c>
      <c r="B758" s="21">
        <f t="shared" ca="1" si="23"/>
        <v>2700</v>
      </c>
    </row>
    <row r="759" spans="1:2" x14ac:dyDescent="0.25">
      <c r="A759" s="20">
        <f t="shared" ca="1" si="22"/>
        <v>0.38978818547411309</v>
      </c>
      <c r="B759" s="21">
        <f t="shared" ca="1" si="23"/>
        <v>1830</v>
      </c>
    </row>
    <row r="760" spans="1:2" x14ac:dyDescent="0.25">
      <c r="A760" s="20">
        <f t="shared" ca="1" si="22"/>
        <v>8.570817309463663E-2</v>
      </c>
      <c r="B760" s="21">
        <f t="shared" ca="1" si="23"/>
        <v>385</v>
      </c>
    </row>
    <row r="761" spans="1:2" x14ac:dyDescent="0.25">
      <c r="A761" s="20">
        <f t="shared" ca="1" si="22"/>
        <v>0.81650285514969889</v>
      </c>
      <c r="B761" s="21">
        <f t="shared" ca="1" si="23"/>
        <v>3776</v>
      </c>
    </row>
    <row r="762" spans="1:2" x14ac:dyDescent="0.25">
      <c r="A762" s="20">
        <f t="shared" ca="1" si="22"/>
        <v>0.77527403061578415</v>
      </c>
      <c r="B762" s="21">
        <f t="shared" ca="1" si="23"/>
        <v>3598</v>
      </c>
    </row>
    <row r="763" spans="1:2" x14ac:dyDescent="0.25">
      <c r="A763" s="20">
        <f t="shared" ca="1" si="22"/>
        <v>0.812587620328728</v>
      </c>
      <c r="B763" s="21">
        <f t="shared" ca="1" si="23"/>
        <v>3756</v>
      </c>
    </row>
    <row r="764" spans="1:2" x14ac:dyDescent="0.25">
      <c r="A764" s="20">
        <f t="shared" ca="1" si="22"/>
        <v>0.59439002634231142</v>
      </c>
      <c r="B764" s="21">
        <f t="shared" ca="1" si="23"/>
        <v>2772</v>
      </c>
    </row>
    <row r="765" spans="1:2" x14ac:dyDescent="0.25">
      <c r="A765" s="20">
        <f t="shared" ca="1" si="22"/>
        <v>0.62132999417035173</v>
      </c>
      <c r="B765" s="21">
        <f t="shared" ca="1" si="23"/>
        <v>2882</v>
      </c>
    </row>
    <row r="766" spans="1:2" x14ac:dyDescent="0.25">
      <c r="A766" s="20">
        <f t="shared" ca="1" si="22"/>
        <v>0.86668909292534257</v>
      </c>
      <c r="B766" s="21">
        <f t="shared" ca="1" si="23"/>
        <v>4000</v>
      </c>
    </row>
    <row r="767" spans="1:2" x14ac:dyDescent="0.25">
      <c r="A767" s="20">
        <f t="shared" ca="1" si="22"/>
        <v>0.21840147954251188</v>
      </c>
      <c r="B767" s="21">
        <f t="shared" ca="1" si="23"/>
        <v>1021</v>
      </c>
    </row>
    <row r="768" spans="1:2" x14ac:dyDescent="0.25">
      <c r="A768" s="20">
        <f t="shared" ca="1" si="22"/>
        <v>0.95542638203739572</v>
      </c>
      <c r="B768" s="21">
        <f t="shared" ca="1" si="23"/>
        <v>4422</v>
      </c>
    </row>
    <row r="769" spans="1:2" x14ac:dyDescent="0.25">
      <c r="A769" s="20">
        <f t="shared" ca="1" si="22"/>
        <v>0.72710949141592152</v>
      </c>
      <c r="B769" s="21">
        <f t="shared" ca="1" si="23"/>
        <v>3363</v>
      </c>
    </row>
    <row r="770" spans="1:2" x14ac:dyDescent="0.25">
      <c r="A770" s="20">
        <f t="shared" ca="1" si="22"/>
        <v>0.21668555386334265</v>
      </c>
      <c r="B770" s="21">
        <f t="shared" ca="1" si="23"/>
        <v>1014</v>
      </c>
    </row>
    <row r="771" spans="1:2" x14ac:dyDescent="0.25">
      <c r="A771" s="20">
        <f t="shared" ref="A771:A834" ca="1" si="24">RAND()</f>
        <v>0.67858338996614642</v>
      </c>
      <c r="B771" s="21">
        <f t="shared" ref="B771:B834" ca="1" si="25">_xlfn.RANK.EQ($A771,$A:$A,1)</f>
        <v>3144</v>
      </c>
    </row>
    <row r="772" spans="1:2" x14ac:dyDescent="0.25">
      <c r="A772" s="20">
        <f t="shared" ca="1" si="24"/>
        <v>0.4043890395031835</v>
      </c>
      <c r="B772" s="21">
        <f t="shared" ca="1" si="25"/>
        <v>1899</v>
      </c>
    </row>
    <row r="773" spans="1:2" x14ac:dyDescent="0.25">
      <c r="A773" s="20">
        <f t="shared" ca="1" si="24"/>
        <v>0.33019630558429069</v>
      </c>
      <c r="B773" s="21">
        <f t="shared" ca="1" si="25"/>
        <v>1547</v>
      </c>
    </row>
    <row r="774" spans="1:2" x14ac:dyDescent="0.25">
      <c r="A774" s="20">
        <f t="shared" ca="1" si="24"/>
        <v>0.49886458801299882</v>
      </c>
      <c r="B774" s="21">
        <f t="shared" ca="1" si="25"/>
        <v>2316</v>
      </c>
    </row>
    <row r="775" spans="1:2" x14ac:dyDescent="0.25">
      <c r="A775" s="20">
        <f t="shared" ca="1" si="24"/>
        <v>0.47282174468662208</v>
      </c>
      <c r="B775" s="21">
        <f t="shared" ca="1" si="25"/>
        <v>2208</v>
      </c>
    </row>
    <row r="776" spans="1:2" x14ac:dyDescent="0.25">
      <c r="A776" s="20">
        <f t="shared" ca="1" si="24"/>
        <v>0.86877866018361483</v>
      </c>
      <c r="B776" s="21">
        <f t="shared" ca="1" si="25"/>
        <v>4014</v>
      </c>
    </row>
    <row r="777" spans="1:2" x14ac:dyDescent="0.25">
      <c r="A777" s="20">
        <f t="shared" ca="1" si="24"/>
        <v>0.31213299444031439</v>
      </c>
      <c r="B777" s="21">
        <f t="shared" ca="1" si="25"/>
        <v>1460</v>
      </c>
    </row>
    <row r="778" spans="1:2" x14ac:dyDescent="0.25">
      <c r="A778" s="20">
        <f t="shared" ca="1" si="24"/>
        <v>6.8278575082793447E-2</v>
      </c>
      <c r="B778" s="21">
        <f t="shared" ca="1" si="25"/>
        <v>305</v>
      </c>
    </row>
    <row r="779" spans="1:2" x14ac:dyDescent="0.25">
      <c r="A779" s="20">
        <f t="shared" ca="1" si="24"/>
        <v>0.77277825568897052</v>
      </c>
      <c r="B779" s="21">
        <f t="shared" ca="1" si="25"/>
        <v>3586</v>
      </c>
    </row>
    <row r="780" spans="1:2" x14ac:dyDescent="0.25">
      <c r="A780" s="20">
        <f t="shared" ca="1" si="24"/>
        <v>0.49115782686651765</v>
      </c>
      <c r="B780" s="21">
        <f t="shared" ca="1" si="25"/>
        <v>2284</v>
      </c>
    </row>
    <row r="781" spans="1:2" x14ac:dyDescent="0.25">
      <c r="A781" s="20">
        <f t="shared" ca="1" si="24"/>
        <v>0.13146703773821222</v>
      </c>
      <c r="B781" s="21">
        <f t="shared" ca="1" si="25"/>
        <v>582</v>
      </c>
    </row>
    <row r="782" spans="1:2" x14ac:dyDescent="0.25">
      <c r="A782" s="20">
        <f t="shared" ca="1" si="24"/>
        <v>0.5481369045403538</v>
      </c>
      <c r="B782" s="21">
        <f t="shared" ca="1" si="25"/>
        <v>2558</v>
      </c>
    </row>
    <row r="783" spans="1:2" x14ac:dyDescent="0.25">
      <c r="A783" s="20">
        <f t="shared" ca="1" si="24"/>
        <v>0.12184893365239069</v>
      </c>
      <c r="B783" s="21">
        <f t="shared" ca="1" si="25"/>
        <v>537</v>
      </c>
    </row>
    <row r="784" spans="1:2" x14ac:dyDescent="0.25">
      <c r="A784" s="20">
        <f t="shared" ca="1" si="24"/>
        <v>0.67964324338502524</v>
      </c>
      <c r="B784" s="21">
        <f t="shared" ca="1" si="25"/>
        <v>3151</v>
      </c>
    </row>
    <row r="785" spans="1:2" x14ac:dyDescent="0.25">
      <c r="A785" s="20">
        <f t="shared" ca="1" si="24"/>
        <v>0.33803220779577847</v>
      </c>
      <c r="B785" s="21">
        <f t="shared" ca="1" si="25"/>
        <v>1589</v>
      </c>
    </row>
    <row r="786" spans="1:2" x14ac:dyDescent="0.25">
      <c r="A786" s="20">
        <f t="shared" ca="1" si="24"/>
        <v>0.25207368922273088</v>
      </c>
      <c r="B786" s="21">
        <f t="shared" ca="1" si="25"/>
        <v>1178</v>
      </c>
    </row>
    <row r="787" spans="1:2" x14ac:dyDescent="0.25">
      <c r="A787" s="20">
        <f t="shared" ca="1" si="24"/>
        <v>8.0704437203358848E-2</v>
      </c>
      <c r="B787" s="21">
        <f t="shared" ca="1" si="25"/>
        <v>365</v>
      </c>
    </row>
    <row r="788" spans="1:2" x14ac:dyDescent="0.25">
      <c r="A788" s="20">
        <f t="shared" ca="1" si="24"/>
        <v>0.44042814258996921</v>
      </c>
      <c r="B788" s="21">
        <f t="shared" ca="1" si="25"/>
        <v>2062</v>
      </c>
    </row>
    <row r="789" spans="1:2" x14ac:dyDescent="0.25">
      <c r="A789" s="20">
        <f t="shared" ca="1" si="24"/>
        <v>0.20507562266043544</v>
      </c>
      <c r="B789" s="21">
        <f t="shared" ca="1" si="25"/>
        <v>952</v>
      </c>
    </row>
    <row r="790" spans="1:2" x14ac:dyDescent="0.25">
      <c r="A790" s="20">
        <f t="shared" ca="1" si="24"/>
        <v>0.4698029699985522</v>
      </c>
      <c r="B790" s="21">
        <f t="shared" ca="1" si="25"/>
        <v>2193</v>
      </c>
    </row>
    <row r="791" spans="1:2" x14ac:dyDescent="0.25">
      <c r="A791" s="20">
        <f t="shared" ca="1" si="24"/>
        <v>0.5826346826896569</v>
      </c>
      <c r="B791" s="21">
        <f t="shared" ca="1" si="25"/>
        <v>2727</v>
      </c>
    </row>
    <row r="792" spans="1:2" x14ac:dyDescent="0.25">
      <c r="A792" s="20">
        <f t="shared" ca="1" si="24"/>
        <v>0.27368930738891539</v>
      </c>
      <c r="B792" s="21">
        <f t="shared" ca="1" si="25"/>
        <v>1278</v>
      </c>
    </row>
    <row r="793" spans="1:2" x14ac:dyDescent="0.25">
      <c r="A793" s="20">
        <f t="shared" ca="1" si="24"/>
        <v>0.49338621509167435</v>
      </c>
      <c r="B793" s="21">
        <f t="shared" ca="1" si="25"/>
        <v>2297</v>
      </c>
    </row>
    <row r="794" spans="1:2" x14ac:dyDescent="0.25">
      <c r="A794" s="20">
        <f t="shared" ca="1" si="24"/>
        <v>0.15597201893327928</v>
      </c>
      <c r="B794" s="21">
        <f t="shared" ca="1" si="25"/>
        <v>699</v>
      </c>
    </row>
    <row r="795" spans="1:2" x14ac:dyDescent="0.25">
      <c r="A795" s="20">
        <f t="shared" ca="1" si="24"/>
        <v>0.85733308474505021</v>
      </c>
      <c r="B795" s="21">
        <f t="shared" ca="1" si="25"/>
        <v>3961</v>
      </c>
    </row>
    <row r="796" spans="1:2" x14ac:dyDescent="0.25">
      <c r="A796" s="20">
        <f t="shared" ca="1" si="24"/>
        <v>0.17763191603098949</v>
      </c>
      <c r="B796" s="21">
        <f t="shared" ca="1" si="25"/>
        <v>810</v>
      </c>
    </row>
    <row r="797" spans="1:2" x14ac:dyDescent="0.25">
      <c r="A797" s="20">
        <f t="shared" ca="1" si="24"/>
        <v>0.99726813875288556</v>
      </c>
      <c r="B797" s="21">
        <f t="shared" ca="1" si="25"/>
        <v>4604</v>
      </c>
    </row>
    <row r="798" spans="1:2" x14ac:dyDescent="0.25">
      <c r="A798" s="20">
        <f t="shared" ca="1" si="24"/>
        <v>0.43873353222445144</v>
      </c>
      <c r="B798" s="21">
        <f t="shared" ca="1" si="25"/>
        <v>2056</v>
      </c>
    </row>
    <row r="799" spans="1:2" x14ac:dyDescent="0.25">
      <c r="A799" s="20">
        <f t="shared" ca="1" si="24"/>
        <v>7.594956289407806E-2</v>
      </c>
      <c r="B799" s="21">
        <f t="shared" ca="1" si="25"/>
        <v>339</v>
      </c>
    </row>
    <row r="800" spans="1:2" x14ac:dyDescent="0.25">
      <c r="A800" s="20">
        <f t="shared" ca="1" si="24"/>
        <v>0.52688002942936962</v>
      </c>
      <c r="B800" s="21">
        <f t="shared" ca="1" si="25"/>
        <v>2465</v>
      </c>
    </row>
    <row r="801" spans="1:2" x14ac:dyDescent="0.25">
      <c r="A801" s="20">
        <f t="shared" ca="1" si="24"/>
        <v>3.3926325698860893E-3</v>
      </c>
      <c r="B801" s="21">
        <f t="shared" ca="1" si="25"/>
        <v>15</v>
      </c>
    </row>
    <row r="802" spans="1:2" x14ac:dyDescent="0.25">
      <c r="A802" s="20">
        <f t="shared" ca="1" si="24"/>
        <v>0.78680944489315052</v>
      </c>
      <c r="B802" s="21">
        <f t="shared" ca="1" si="25"/>
        <v>3645</v>
      </c>
    </row>
    <row r="803" spans="1:2" x14ac:dyDescent="0.25">
      <c r="A803" s="20">
        <f t="shared" ca="1" si="24"/>
        <v>0.35946117683681167</v>
      </c>
      <c r="B803" s="21">
        <f t="shared" ca="1" si="25"/>
        <v>1702</v>
      </c>
    </row>
    <row r="804" spans="1:2" x14ac:dyDescent="0.25">
      <c r="A804" s="20">
        <f t="shared" ca="1" si="24"/>
        <v>2.2601438312063515E-2</v>
      </c>
      <c r="B804" s="21">
        <f t="shared" ca="1" si="25"/>
        <v>90</v>
      </c>
    </row>
    <row r="805" spans="1:2" x14ac:dyDescent="0.25">
      <c r="A805" s="20">
        <f t="shared" ca="1" si="24"/>
        <v>4.4007955447239788E-2</v>
      </c>
      <c r="B805" s="21">
        <f t="shared" ca="1" si="25"/>
        <v>178</v>
      </c>
    </row>
    <row r="806" spans="1:2" x14ac:dyDescent="0.25">
      <c r="A806" s="20">
        <f t="shared" ca="1" si="24"/>
        <v>0.81782718868333559</v>
      </c>
      <c r="B806" s="21">
        <f t="shared" ca="1" si="25"/>
        <v>3780</v>
      </c>
    </row>
    <row r="807" spans="1:2" x14ac:dyDescent="0.25">
      <c r="A807" s="20">
        <f t="shared" ca="1" si="24"/>
        <v>0.70578156936125369</v>
      </c>
      <c r="B807" s="21">
        <f t="shared" ca="1" si="25"/>
        <v>3265</v>
      </c>
    </row>
    <row r="808" spans="1:2" x14ac:dyDescent="0.25">
      <c r="A808" s="20">
        <f t="shared" ca="1" si="24"/>
        <v>0.31911992933120381</v>
      </c>
      <c r="B808" s="21">
        <f t="shared" ca="1" si="25"/>
        <v>1498</v>
      </c>
    </row>
    <row r="809" spans="1:2" x14ac:dyDescent="0.25">
      <c r="A809" s="20">
        <f t="shared" ca="1" si="24"/>
        <v>0.31188603168103024</v>
      </c>
      <c r="B809" s="21">
        <f t="shared" ca="1" si="25"/>
        <v>1458</v>
      </c>
    </row>
    <row r="810" spans="1:2" x14ac:dyDescent="0.25">
      <c r="A810" s="20">
        <f t="shared" ca="1" si="24"/>
        <v>0.69000988718196221</v>
      </c>
      <c r="B810" s="21">
        <f t="shared" ca="1" si="25"/>
        <v>3200</v>
      </c>
    </row>
    <row r="811" spans="1:2" x14ac:dyDescent="0.25">
      <c r="A811" s="20">
        <f t="shared" ca="1" si="24"/>
        <v>0.86499250276015749</v>
      </c>
      <c r="B811" s="21">
        <f t="shared" ca="1" si="25"/>
        <v>3990</v>
      </c>
    </row>
    <row r="812" spans="1:2" x14ac:dyDescent="0.25">
      <c r="A812" s="20">
        <f t="shared" ca="1" si="24"/>
        <v>0.7496986273427988</v>
      </c>
      <c r="B812" s="21">
        <f t="shared" ca="1" si="25"/>
        <v>3471</v>
      </c>
    </row>
    <row r="813" spans="1:2" x14ac:dyDescent="0.25">
      <c r="A813" s="20">
        <f t="shared" ca="1" si="24"/>
        <v>0.80095413027374862</v>
      </c>
      <c r="B813" s="21">
        <f t="shared" ca="1" si="25"/>
        <v>3712</v>
      </c>
    </row>
    <row r="814" spans="1:2" x14ac:dyDescent="0.25">
      <c r="A814" s="20">
        <f t="shared" ca="1" si="24"/>
        <v>0.81190096979365967</v>
      </c>
      <c r="B814" s="21">
        <f t="shared" ca="1" si="25"/>
        <v>3752</v>
      </c>
    </row>
    <row r="815" spans="1:2" x14ac:dyDescent="0.25">
      <c r="A815" s="20">
        <f t="shared" ca="1" si="24"/>
        <v>0.7677334476961224</v>
      </c>
      <c r="B815" s="21">
        <f t="shared" ca="1" si="25"/>
        <v>3557</v>
      </c>
    </row>
    <row r="816" spans="1:2" x14ac:dyDescent="0.25">
      <c r="A816" s="20">
        <f t="shared" ca="1" si="24"/>
        <v>0.37166494020927754</v>
      </c>
      <c r="B816" s="21">
        <f t="shared" ca="1" si="25"/>
        <v>1764</v>
      </c>
    </row>
    <row r="817" spans="1:2" x14ac:dyDescent="0.25">
      <c r="A817" s="20">
        <f t="shared" ca="1" si="24"/>
        <v>0.85007037466934821</v>
      </c>
      <c r="B817" s="21">
        <f t="shared" ca="1" si="25"/>
        <v>3928</v>
      </c>
    </row>
    <row r="818" spans="1:2" x14ac:dyDescent="0.25">
      <c r="A818" s="20">
        <f t="shared" ca="1" si="24"/>
        <v>0.30203294290365412</v>
      </c>
      <c r="B818" s="21">
        <f t="shared" ca="1" si="25"/>
        <v>1415</v>
      </c>
    </row>
    <row r="819" spans="1:2" x14ac:dyDescent="0.25">
      <c r="A819" s="20">
        <f t="shared" ca="1" si="24"/>
        <v>0.26457239140235655</v>
      </c>
      <c r="B819" s="21">
        <f t="shared" ca="1" si="25"/>
        <v>1233</v>
      </c>
    </row>
    <row r="820" spans="1:2" x14ac:dyDescent="0.25">
      <c r="A820" s="20">
        <f t="shared" ca="1" si="24"/>
        <v>0.93718833237414279</v>
      </c>
      <c r="B820" s="21">
        <f t="shared" ca="1" si="25"/>
        <v>4331</v>
      </c>
    </row>
    <row r="821" spans="1:2" x14ac:dyDescent="0.25">
      <c r="A821" s="20">
        <f t="shared" ca="1" si="24"/>
        <v>0.96686159445882836</v>
      </c>
      <c r="B821" s="21">
        <f t="shared" ca="1" si="25"/>
        <v>4483</v>
      </c>
    </row>
    <row r="822" spans="1:2" x14ac:dyDescent="0.25">
      <c r="A822" s="20">
        <f t="shared" ca="1" si="24"/>
        <v>0.16158023076109307</v>
      </c>
      <c r="B822" s="21">
        <f t="shared" ca="1" si="25"/>
        <v>722</v>
      </c>
    </row>
    <row r="823" spans="1:2" x14ac:dyDescent="0.25">
      <c r="A823" s="20">
        <f t="shared" ca="1" si="24"/>
        <v>0.35625417890330247</v>
      </c>
      <c r="B823" s="21">
        <f t="shared" ca="1" si="25"/>
        <v>1685</v>
      </c>
    </row>
    <row r="824" spans="1:2" x14ac:dyDescent="0.25">
      <c r="A824" s="20">
        <f t="shared" ca="1" si="24"/>
        <v>0.83576652297349474</v>
      </c>
      <c r="B824" s="21">
        <f t="shared" ca="1" si="25"/>
        <v>3858</v>
      </c>
    </row>
    <row r="825" spans="1:2" x14ac:dyDescent="0.25">
      <c r="A825" s="20">
        <f t="shared" ca="1" si="24"/>
        <v>0.82237655897519757</v>
      </c>
      <c r="B825" s="21">
        <f t="shared" ca="1" si="25"/>
        <v>3807</v>
      </c>
    </row>
    <row r="826" spans="1:2" x14ac:dyDescent="0.25">
      <c r="A826" s="20">
        <f t="shared" ca="1" si="24"/>
        <v>0.84273726045346886</v>
      </c>
      <c r="B826" s="21">
        <f t="shared" ca="1" si="25"/>
        <v>3889</v>
      </c>
    </row>
    <row r="827" spans="1:2" x14ac:dyDescent="0.25">
      <c r="A827" s="20">
        <f t="shared" ca="1" si="24"/>
        <v>0.8455174669910327</v>
      </c>
      <c r="B827" s="21">
        <f t="shared" ca="1" si="25"/>
        <v>3904</v>
      </c>
    </row>
    <row r="828" spans="1:2" x14ac:dyDescent="0.25">
      <c r="A828" s="20">
        <f t="shared" ca="1" si="24"/>
        <v>0.78564596106894546</v>
      </c>
      <c r="B828" s="21">
        <f t="shared" ca="1" si="25"/>
        <v>3639</v>
      </c>
    </row>
    <row r="829" spans="1:2" x14ac:dyDescent="0.25">
      <c r="A829" s="20">
        <f t="shared" ca="1" si="24"/>
        <v>0.92520532005082479</v>
      </c>
      <c r="B829" s="21">
        <f t="shared" ca="1" si="25"/>
        <v>4271</v>
      </c>
    </row>
    <row r="830" spans="1:2" x14ac:dyDescent="0.25">
      <c r="A830" s="20">
        <f t="shared" ca="1" si="24"/>
        <v>0.51212872043630675</v>
      </c>
      <c r="B830" s="21">
        <f t="shared" ca="1" si="25"/>
        <v>2392</v>
      </c>
    </row>
    <row r="831" spans="1:2" x14ac:dyDescent="0.25">
      <c r="A831" s="20">
        <f t="shared" ca="1" si="24"/>
        <v>0.53281443952166108</v>
      </c>
      <c r="B831" s="21">
        <f t="shared" ca="1" si="25"/>
        <v>2488</v>
      </c>
    </row>
    <row r="832" spans="1:2" x14ac:dyDescent="0.25">
      <c r="A832" s="20">
        <f t="shared" ca="1" si="24"/>
        <v>0.70880639879398211</v>
      </c>
      <c r="B832" s="21">
        <f t="shared" ca="1" si="25"/>
        <v>3283</v>
      </c>
    </row>
    <row r="833" spans="1:2" x14ac:dyDescent="0.25">
      <c r="A833" s="20">
        <f t="shared" ca="1" si="24"/>
        <v>0.41413912942324904</v>
      </c>
      <c r="B833" s="21">
        <f t="shared" ca="1" si="25"/>
        <v>1941</v>
      </c>
    </row>
    <row r="834" spans="1:2" x14ac:dyDescent="0.25">
      <c r="A834" s="20">
        <f t="shared" ca="1" si="24"/>
        <v>0.5210574028378111</v>
      </c>
      <c r="B834" s="21">
        <f t="shared" ca="1" si="25"/>
        <v>2434</v>
      </c>
    </row>
    <row r="835" spans="1:2" x14ac:dyDescent="0.25">
      <c r="A835" s="20">
        <f t="shared" ref="A835:A898" ca="1" si="26">RAND()</f>
        <v>0.11048327255195245</v>
      </c>
      <c r="B835" s="21">
        <f t="shared" ref="B835:B898" ca="1" si="27">_xlfn.RANK.EQ($A835,$A:$A,1)</f>
        <v>484</v>
      </c>
    </row>
    <row r="836" spans="1:2" x14ac:dyDescent="0.25">
      <c r="A836" s="20">
        <f t="shared" ca="1" si="26"/>
        <v>0.99830535522841002</v>
      </c>
      <c r="B836" s="21">
        <f t="shared" ca="1" si="27"/>
        <v>4611</v>
      </c>
    </row>
    <row r="837" spans="1:2" x14ac:dyDescent="0.25">
      <c r="A837" s="20">
        <f t="shared" ca="1" si="26"/>
        <v>6.2473941679901168E-2</v>
      </c>
      <c r="B837" s="21">
        <f t="shared" ca="1" si="27"/>
        <v>271</v>
      </c>
    </row>
    <row r="838" spans="1:2" x14ac:dyDescent="0.25">
      <c r="A838" s="20">
        <f t="shared" ca="1" si="26"/>
        <v>0.30390600090459963</v>
      </c>
      <c r="B838" s="21">
        <f t="shared" ca="1" si="27"/>
        <v>1424</v>
      </c>
    </row>
    <row r="839" spans="1:2" x14ac:dyDescent="0.25">
      <c r="A839" s="20">
        <f t="shared" ca="1" si="26"/>
        <v>0.34488725092758599</v>
      </c>
      <c r="B839" s="21">
        <f t="shared" ca="1" si="27"/>
        <v>1621</v>
      </c>
    </row>
    <row r="840" spans="1:2" x14ac:dyDescent="0.25">
      <c r="A840" s="20">
        <f t="shared" ca="1" si="26"/>
        <v>0.47177678822071867</v>
      </c>
      <c r="B840" s="21">
        <f t="shared" ca="1" si="27"/>
        <v>2204</v>
      </c>
    </row>
    <row r="841" spans="1:2" x14ac:dyDescent="0.25">
      <c r="A841" s="20">
        <f t="shared" ca="1" si="26"/>
        <v>0.32653323240959853</v>
      </c>
      <c r="B841" s="21">
        <f t="shared" ca="1" si="27"/>
        <v>1531</v>
      </c>
    </row>
    <row r="842" spans="1:2" x14ac:dyDescent="0.25">
      <c r="A842" s="20">
        <f t="shared" ca="1" si="26"/>
        <v>0.2133797912968598</v>
      </c>
      <c r="B842" s="21">
        <f t="shared" ca="1" si="27"/>
        <v>1000</v>
      </c>
    </row>
    <row r="843" spans="1:2" x14ac:dyDescent="0.25">
      <c r="A843" s="20">
        <f t="shared" ca="1" si="26"/>
        <v>3.677639970649671E-2</v>
      </c>
      <c r="B843" s="21">
        <f t="shared" ca="1" si="27"/>
        <v>145</v>
      </c>
    </row>
    <row r="844" spans="1:2" x14ac:dyDescent="0.25">
      <c r="A844" s="20">
        <f t="shared" ca="1" si="26"/>
        <v>0.66792194310873654</v>
      </c>
      <c r="B844" s="21">
        <f t="shared" ca="1" si="27"/>
        <v>3100</v>
      </c>
    </row>
    <row r="845" spans="1:2" x14ac:dyDescent="0.25">
      <c r="A845" s="20">
        <f t="shared" ca="1" si="26"/>
        <v>0.61968473776107547</v>
      </c>
      <c r="B845" s="21">
        <f t="shared" ca="1" si="27"/>
        <v>2877</v>
      </c>
    </row>
    <row r="846" spans="1:2" x14ac:dyDescent="0.25">
      <c r="A846" s="20">
        <f t="shared" ca="1" si="26"/>
        <v>0.48023206009108099</v>
      </c>
      <c r="B846" s="21">
        <f t="shared" ca="1" si="27"/>
        <v>2240</v>
      </c>
    </row>
    <row r="847" spans="1:2" x14ac:dyDescent="0.25">
      <c r="A847" s="20">
        <f t="shared" ca="1" si="26"/>
        <v>0.38223102295378519</v>
      </c>
      <c r="B847" s="21">
        <f t="shared" ca="1" si="27"/>
        <v>1793</v>
      </c>
    </row>
    <row r="848" spans="1:2" x14ac:dyDescent="0.25">
      <c r="A848" s="20">
        <f t="shared" ca="1" si="26"/>
        <v>0.93732163394555057</v>
      </c>
      <c r="B848" s="21">
        <f t="shared" ca="1" si="27"/>
        <v>4333</v>
      </c>
    </row>
    <row r="849" spans="1:2" x14ac:dyDescent="0.25">
      <c r="A849" s="20">
        <f t="shared" ca="1" si="26"/>
        <v>0.32307241760170513</v>
      </c>
      <c r="B849" s="21">
        <f t="shared" ca="1" si="27"/>
        <v>1520</v>
      </c>
    </row>
    <row r="850" spans="1:2" x14ac:dyDescent="0.25">
      <c r="A850" s="20">
        <f t="shared" ca="1" si="26"/>
        <v>0.19166673440683923</v>
      </c>
      <c r="B850" s="21">
        <f t="shared" ca="1" si="27"/>
        <v>879</v>
      </c>
    </row>
    <row r="851" spans="1:2" x14ac:dyDescent="0.25">
      <c r="A851" s="20">
        <f t="shared" ca="1" si="26"/>
        <v>0.63105704500640647</v>
      </c>
      <c r="B851" s="21">
        <f t="shared" ca="1" si="27"/>
        <v>2924</v>
      </c>
    </row>
    <row r="852" spans="1:2" x14ac:dyDescent="0.25">
      <c r="A852" s="20">
        <f t="shared" ca="1" si="26"/>
        <v>0.96400666425460835</v>
      </c>
      <c r="B852" s="21">
        <f t="shared" ca="1" si="27"/>
        <v>4466</v>
      </c>
    </row>
    <row r="853" spans="1:2" x14ac:dyDescent="0.25">
      <c r="A853" s="20">
        <f t="shared" ca="1" si="26"/>
        <v>0.56732987365715759</v>
      </c>
      <c r="B853" s="21">
        <f t="shared" ca="1" si="27"/>
        <v>2651</v>
      </c>
    </row>
    <row r="854" spans="1:2" x14ac:dyDescent="0.25">
      <c r="A854" s="20">
        <f t="shared" ca="1" si="26"/>
        <v>0.67362156346981905</v>
      </c>
      <c r="B854" s="21">
        <f t="shared" ca="1" si="27"/>
        <v>3117</v>
      </c>
    </row>
    <row r="855" spans="1:2" x14ac:dyDescent="0.25">
      <c r="A855" s="20">
        <f t="shared" ca="1" si="26"/>
        <v>0.50104730814319387</v>
      </c>
      <c r="B855" s="21">
        <f t="shared" ca="1" si="27"/>
        <v>2326</v>
      </c>
    </row>
    <row r="856" spans="1:2" x14ac:dyDescent="0.25">
      <c r="A856" s="20">
        <f t="shared" ca="1" si="26"/>
        <v>0.78123837492175408</v>
      </c>
      <c r="B856" s="21">
        <f t="shared" ca="1" si="27"/>
        <v>3619</v>
      </c>
    </row>
    <row r="857" spans="1:2" x14ac:dyDescent="0.25">
      <c r="A857" s="20">
        <f t="shared" ca="1" si="26"/>
        <v>0.98948332450136012</v>
      </c>
      <c r="B857" s="21">
        <f t="shared" ca="1" si="27"/>
        <v>4582</v>
      </c>
    </row>
    <row r="858" spans="1:2" x14ac:dyDescent="0.25">
      <c r="A858" s="20">
        <f t="shared" ca="1" si="26"/>
        <v>1.0252494322347983E-2</v>
      </c>
      <c r="B858" s="21">
        <f t="shared" ca="1" si="27"/>
        <v>39</v>
      </c>
    </row>
    <row r="859" spans="1:2" x14ac:dyDescent="0.25">
      <c r="A859" s="20">
        <f t="shared" ca="1" si="26"/>
        <v>2.7769581876769922E-2</v>
      </c>
      <c r="B859" s="21">
        <f t="shared" ca="1" si="27"/>
        <v>108</v>
      </c>
    </row>
    <row r="860" spans="1:2" x14ac:dyDescent="0.25">
      <c r="A860" s="20">
        <f t="shared" ca="1" si="26"/>
        <v>0.33517498314107663</v>
      </c>
      <c r="B860" s="21">
        <f t="shared" ca="1" si="27"/>
        <v>1572</v>
      </c>
    </row>
    <row r="861" spans="1:2" x14ac:dyDescent="0.25">
      <c r="A861" s="20">
        <f t="shared" ca="1" si="26"/>
        <v>0.14718367087637874</v>
      </c>
      <c r="B861" s="21">
        <f t="shared" ca="1" si="27"/>
        <v>652</v>
      </c>
    </row>
    <row r="862" spans="1:2" x14ac:dyDescent="0.25">
      <c r="A862" s="20">
        <f t="shared" ca="1" si="26"/>
        <v>0.74389060905268467</v>
      </c>
      <c r="B862" s="21">
        <f t="shared" ca="1" si="27"/>
        <v>3437</v>
      </c>
    </row>
    <row r="863" spans="1:2" x14ac:dyDescent="0.25">
      <c r="A863" s="20">
        <f t="shared" ca="1" si="26"/>
        <v>0.55532302149533319</v>
      </c>
      <c r="B863" s="21">
        <f t="shared" ca="1" si="27"/>
        <v>2598</v>
      </c>
    </row>
    <row r="864" spans="1:2" x14ac:dyDescent="0.25">
      <c r="A864" s="20">
        <f t="shared" ca="1" si="26"/>
        <v>0.91526339876337082</v>
      </c>
      <c r="B864" s="21">
        <f t="shared" ca="1" si="27"/>
        <v>4227</v>
      </c>
    </row>
    <row r="865" spans="1:2" x14ac:dyDescent="0.25">
      <c r="A865" s="20">
        <f t="shared" ca="1" si="26"/>
        <v>0.60905334359883911</v>
      </c>
      <c r="B865" s="21">
        <f t="shared" ca="1" si="27"/>
        <v>2837</v>
      </c>
    </row>
    <row r="866" spans="1:2" x14ac:dyDescent="0.25">
      <c r="A866" s="20">
        <f t="shared" ca="1" si="26"/>
        <v>0.31638911078962473</v>
      </c>
      <c r="B866" s="21">
        <f t="shared" ca="1" si="27"/>
        <v>1482</v>
      </c>
    </row>
    <row r="867" spans="1:2" x14ac:dyDescent="0.25">
      <c r="A867" s="20">
        <f t="shared" ca="1" si="26"/>
        <v>8.7059640064458543E-2</v>
      </c>
      <c r="B867" s="21">
        <f t="shared" ca="1" si="27"/>
        <v>390</v>
      </c>
    </row>
    <row r="868" spans="1:2" x14ac:dyDescent="0.25">
      <c r="A868" s="20">
        <f t="shared" ca="1" si="26"/>
        <v>0.75236989477508831</v>
      </c>
      <c r="B868" s="21">
        <f t="shared" ca="1" si="27"/>
        <v>3482</v>
      </c>
    </row>
    <row r="869" spans="1:2" x14ac:dyDescent="0.25">
      <c r="A869" s="20">
        <f t="shared" ca="1" si="26"/>
        <v>0.82732905967560189</v>
      </c>
      <c r="B869" s="21">
        <f t="shared" ca="1" si="27"/>
        <v>3829</v>
      </c>
    </row>
    <row r="870" spans="1:2" x14ac:dyDescent="0.25">
      <c r="A870" s="20">
        <f t="shared" ca="1" si="26"/>
        <v>0.29013325089430686</v>
      </c>
      <c r="B870" s="21">
        <f t="shared" ca="1" si="27"/>
        <v>1366</v>
      </c>
    </row>
    <row r="871" spans="1:2" x14ac:dyDescent="0.25">
      <c r="A871" s="20">
        <f t="shared" ca="1" si="26"/>
        <v>0.39971293880432879</v>
      </c>
      <c r="B871" s="21">
        <f t="shared" ca="1" si="27"/>
        <v>1878</v>
      </c>
    </row>
    <row r="872" spans="1:2" x14ac:dyDescent="0.25">
      <c r="A872" s="20">
        <f t="shared" ca="1" si="26"/>
        <v>0.57784695259230301</v>
      </c>
      <c r="B872" s="21">
        <f t="shared" ca="1" si="27"/>
        <v>2698</v>
      </c>
    </row>
    <row r="873" spans="1:2" x14ac:dyDescent="0.25">
      <c r="A873" s="20">
        <f t="shared" ca="1" si="26"/>
        <v>0.84498162508591035</v>
      </c>
      <c r="B873" s="21">
        <f t="shared" ca="1" si="27"/>
        <v>3902</v>
      </c>
    </row>
    <row r="874" spans="1:2" x14ac:dyDescent="0.25">
      <c r="A874" s="20">
        <f t="shared" ca="1" si="26"/>
        <v>6.7443521704607434E-2</v>
      </c>
      <c r="B874" s="21">
        <f t="shared" ca="1" si="27"/>
        <v>299</v>
      </c>
    </row>
    <row r="875" spans="1:2" x14ac:dyDescent="0.25">
      <c r="A875" s="20">
        <f t="shared" ca="1" si="26"/>
        <v>0.40024387222640234</v>
      </c>
      <c r="B875" s="21">
        <f t="shared" ca="1" si="27"/>
        <v>1881</v>
      </c>
    </row>
    <row r="876" spans="1:2" x14ac:dyDescent="0.25">
      <c r="A876" s="20">
        <f t="shared" ca="1" si="26"/>
        <v>0.34459831355614112</v>
      </c>
      <c r="B876" s="21">
        <f t="shared" ca="1" si="27"/>
        <v>1619</v>
      </c>
    </row>
    <row r="877" spans="1:2" x14ac:dyDescent="0.25">
      <c r="A877" s="20">
        <f t="shared" ca="1" si="26"/>
        <v>0.62961539225218555</v>
      </c>
      <c r="B877" s="21">
        <f t="shared" ca="1" si="27"/>
        <v>2916</v>
      </c>
    </row>
    <row r="878" spans="1:2" x14ac:dyDescent="0.25">
      <c r="A878" s="20">
        <f t="shared" ca="1" si="26"/>
        <v>0.2595581427390361</v>
      </c>
      <c r="B878" s="21">
        <f t="shared" ca="1" si="27"/>
        <v>1209</v>
      </c>
    </row>
    <row r="879" spans="1:2" x14ac:dyDescent="0.25">
      <c r="A879" s="20">
        <f t="shared" ca="1" si="26"/>
        <v>0.45803088176850359</v>
      </c>
      <c r="B879" s="21">
        <f t="shared" ca="1" si="27"/>
        <v>2154</v>
      </c>
    </row>
    <row r="880" spans="1:2" x14ac:dyDescent="0.25">
      <c r="A880" s="20">
        <f t="shared" ca="1" si="26"/>
        <v>0.26726018626575831</v>
      </c>
      <c r="B880" s="21">
        <f t="shared" ca="1" si="27"/>
        <v>1250</v>
      </c>
    </row>
    <row r="881" spans="1:2" x14ac:dyDescent="0.25">
      <c r="A881" s="20">
        <f t="shared" ca="1" si="26"/>
        <v>0.23155516377910945</v>
      </c>
      <c r="B881" s="21">
        <f t="shared" ca="1" si="27"/>
        <v>1085</v>
      </c>
    </row>
    <row r="882" spans="1:2" x14ac:dyDescent="0.25">
      <c r="A882" s="20">
        <f t="shared" ca="1" si="26"/>
        <v>0.21043591544265217</v>
      </c>
      <c r="B882" s="21">
        <f t="shared" ca="1" si="27"/>
        <v>981</v>
      </c>
    </row>
    <row r="883" spans="1:2" x14ac:dyDescent="0.25">
      <c r="A883" s="20">
        <f t="shared" ca="1" si="26"/>
        <v>0.14646488740840335</v>
      </c>
      <c r="B883" s="21">
        <f t="shared" ca="1" si="27"/>
        <v>647</v>
      </c>
    </row>
    <row r="884" spans="1:2" x14ac:dyDescent="0.25">
      <c r="A884" s="20">
        <f t="shared" ca="1" si="26"/>
        <v>0.15682187946031423</v>
      </c>
      <c r="B884" s="21">
        <f t="shared" ca="1" si="27"/>
        <v>704</v>
      </c>
    </row>
    <row r="885" spans="1:2" x14ac:dyDescent="0.25">
      <c r="A885" s="20">
        <f t="shared" ca="1" si="26"/>
        <v>3.6338421503535945E-2</v>
      </c>
      <c r="B885" s="21">
        <f t="shared" ca="1" si="27"/>
        <v>139</v>
      </c>
    </row>
    <row r="886" spans="1:2" x14ac:dyDescent="0.25">
      <c r="A886" s="20">
        <f t="shared" ca="1" si="26"/>
        <v>0.83390338854804325</v>
      </c>
      <c r="B886" s="21">
        <f t="shared" ca="1" si="27"/>
        <v>3853</v>
      </c>
    </row>
    <row r="887" spans="1:2" x14ac:dyDescent="0.25">
      <c r="A887" s="20">
        <f t="shared" ca="1" si="26"/>
        <v>0.31446165100889323</v>
      </c>
      <c r="B887" s="21">
        <f t="shared" ca="1" si="27"/>
        <v>1472</v>
      </c>
    </row>
    <row r="888" spans="1:2" x14ac:dyDescent="0.25">
      <c r="A888" s="20">
        <f t="shared" ca="1" si="26"/>
        <v>5.5505330237926809E-2</v>
      </c>
      <c r="B888" s="21">
        <f t="shared" ca="1" si="27"/>
        <v>239</v>
      </c>
    </row>
    <row r="889" spans="1:2" x14ac:dyDescent="0.25">
      <c r="A889" s="20">
        <f t="shared" ca="1" si="26"/>
        <v>0.52716603082813596</v>
      </c>
      <c r="B889" s="21">
        <f t="shared" ca="1" si="27"/>
        <v>2466</v>
      </c>
    </row>
    <row r="890" spans="1:2" x14ac:dyDescent="0.25">
      <c r="A890" s="20">
        <f t="shared" ca="1" si="26"/>
        <v>0.46211275598354984</v>
      </c>
      <c r="B890" s="21">
        <f t="shared" ca="1" si="27"/>
        <v>2168</v>
      </c>
    </row>
    <row r="891" spans="1:2" x14ac:dyDescent="0.25">
      <c r="A891" s="20">
        <f t="shared" ca="1" si="26"/>
        <v>0.33774038959182262</v>
      </c>
      <c r="B891" s="21">
        <f t="shared" ca="1" si="27"/>
        <v>1588</v>
      </c>
    </row>
    <row r="892" spans="1:2" x14ac:dyDescent="0.25">
      <c r="A892" s="20">
        <f t="shared" ca="1" si="26"/>
        <v>0.50719328183708545</v>
      </c>
      <c r="B892" s="21">
        <f t="shared" ca="1" si="27"/>
        <v>2360</v>
      </c>
    </row>
    <row r="893" spans="1:2" x14ac:dyDescent="0.25">
      <c r="A893" s="20">
        <f t="shared" ca="1" si="26"/>
        <v>0.6972456924541427</v>
      </c>
      <c r="B893" s="21">
        <f t="shared" ca="1" si="27"/>
        <v>3229</v>
      </c>
    </row>
    <row r="894" spans="1:2" x14ac:dyDescent="0.25">
      <c r="A894" s="20">
        <f t="shared" ca="1" si="26"/>
        <v>0.69792317586636277</v>
      </c>
      <c r="B894" s="21">
        <f t="shared" ca="1" si="27"/>
        <v>3231</v>
      </c>
    </row>
    <row r="895" spans="1:2" x14ac:dyDescent="0.25">
      <c r="A895" s="20">
        <f t="shared" ca="1" si="26"/>
        <v>0.71447897018444706</v>
      </c>
      <c r="B895" s="21">
        <f t="shared" ca="1" si="27"/>
        <v>3306</v>
      </c>
    </row>
    <row r="896" spans="1:2" x14ac:dyDescent="0.25">
      <c r="A896" s="20">
        <f t="shared" ca="1" si="26"/>
        <v>2.5688147962558916E-2</v>
      </c>
      <c r="B896" s="21">
        <f t="shared" ca="1" si="27"/>
        <v>102</v>
      </c>
    </row>
    <row r="897" spans="1:2" x14ac:dyDescent="0.25">
      <c r="A897" s="20">
        <f t="shared" ca="1" si="26"/>
        <v>0.73262394330966463</v>
      </c>
      <c r="B897" s="21">
        <f t="shared" ca="1" si="27"/>
        <v>3397</v>
      </c>
    </row>
    <row r="898" spans="1:2" x14ac:dyDescent="0.25">
      <c r="A898" s="20">
        <f t="shared" ca="1" si="26"/>
        <v>0.28126806485280131</v>
      </c>
      <c r="B898" s="21">
        <f t="shared" ca="1" si="27"/>
        <v>1309</v>
      </c>
    </row>
    <row r="899" spans="1:2" x14ac:dyDescent="0.25">
      <c r="A899" s="20">
        <f t="shared" ref="A899:A962" ca="1" si="28">RAND()</f>
        <v>7.3034834922910297E-2</v>
      </c>
      <c r="B899" s="21">
        <f t="shared" ref="B899:B962" ca="1" si="29">_xlfn.RANK.EQ($A899,$A:$A,1)</f>
        <v>325</v>
      </c>
    </row>
    <row r="900" spans="1:2" x14ac:dyDescent="0.25">
      <c r="A900" s="20">
        <f t="shared" ca="1" si="28"/>
        <v>0.22687727138101621</v>
      </c>
      <c r="B900" s="21">
        <f t="shared" ca="1" si="29"/>
        <v>1064</v>
      </c>
    </row>
    <row r="901" spans="1:2" x14ac:dyDescent="0.25">
      <c r="A901" s="20">
        <f t="shared" ca="1" si="28"/>
        <v>0.60433147033272661</v>
      </c>
      <c r="B901" s="21">
        <f t="shared" ca="1" si="29"/>
        <v>2821</v>
      </c>
    </row>
    <row r="902" spans="1:2" x14ac:dyDescent="0.25">
      <c r="A902" s="20">
        <f t="shared" ca="1" si="28"/>
        <v>0.30270065191894358</v>
      </c>
      <c r="B902" s="21">
        <f t="shared" ca="1" si="29"/>
        <v>1417</v>
      </c>
    </row>
    <row r="903" spans="1:2" x14ac:dyDescent="0.25">
      <c r="A903" s="20">
        <f t="shared" ca="1" si="28"/>
        <v>0.3368766467239972</v>
      </c>
      <c r="B903" s="21">
        <f t="shared" ca="1" si="29"/>
        <v>1581</v>
      </c>
    </row>
    <row r="904" spans="1:2" x14ac:dyDescent="0.25">
      <c r="A904" s="20">
        <f t="shared" ca="1" si="28"/>
        <v>0.90539445883389946</v>
      </c>
      <c r="B904" s="21">
        <f t="shared" ca="1" si="29"/>
        <v>4181</v>
      </c>
    </row>
    <row r="905" spans="1:2" x14ac:dyDescent="0.25">
      <c r="A905" s="20">
        <f t="shared" ca="1" si="28"/>
        <v>0.17282828388381832</v>
      </c>
      <c r="B905" s="21">
        <f t="shared" ca="1" si="29"/>
        <v>782</v>
      </c>
    </row>
    <row r="906" spans="1:2" x14ac:dyDescent="0.25">
      <c r="A906" s="20">
        <f t="shared" ca="1" si="28"/>
        <v>0.2130812166885111</v>
      </c>
      <c r="B906" s="21">
        <f t="shared" ca="1" si="29"/>
        <v>996</v>
      </c>
    </row>
    <row r="907" spans="1:2" x14ac:dyDescent="0.25">
      <c r="A907" s="20">
        <f t="shared" ca="1" si="28"/>
        <v>0.4563727801538614</v>
      </c>
      <c r="B907" s="21">
        <f t="shared" ca="1" si="29"/>
        <v>2144</v>
      </c>
    </row>
    <row r="908" spans="1:2" x14ac:dyDescent="0.25">
      <c r="A908" s="20">
        <f t="shared" ca="1" si="28"/>
        <v>0.17017924636302695</v>
      </c>
      <c r="B908" s="21">
        <f t="shared" ca="1" si="29"/>
        <v>771</v>
      </c>
    </row>
    <row r="909" spans="1:2" x14ac:dyDescent="0.25">
      <c r="A909" s="20">
        <f t="shared" ca="1" si="28"/>
        <v>1.4158181410228954E-2</v>
      </c>
      <c r="B909" s="21">
        <f t="shared" ca="1" si="29"/>
        <v>51</v>
      </c>
    </row>
    <row r="910" spans="1:2" x14ac:dyDescent="0.25">
      <c r="A910" s="20">
        <f t="shared" ca="1" si="28"/>
        <v>0.962938549879646</v>
      </c>
      <c r="B910" s="21">
        <f t="shared" ca="1" si="29"/>
        <v>4456</v>
      </c>
    </row>
    <row r="911" spans="1:2" x14ac:dyDescent="0.25">
      <c r="A911" s="20">
        <f t="shared" ca="1" si="28"/>
        <v>0.24049935866381345</v>
      </c>
      <c r="B911" s="21">
        <f t="shared" ca="1" si="29"/>
        <v>1126</v>
      </c>
    </row>
    <row r="912" spans="1:2" x14ac:dyDescent="0.25">
      <c r="A912" s="20">
        <f t="shared" ca="1" si="28"/>
        <v>0.11177517306764584</v>
      </c>
      <c r="B912" s="21">
        <f t="shared" ca="1" si="29"/>
        <v>493</v>
      </c>
    </row>
    <row r="913" spans="1:2" x14ac:dyDescent="0.25">
      <c r="A913" s="20">
        <f t="shared" ca="1" si="28"/>
        <v>0.14881417842008948</v>
      </c>
      <c r="B913" s="21">
        <f t="shared" ca="1" si="29"/>
        <v>659</v>
      </c>
    </row>
    <row r="914" spans="1:2" x14ac:dyDescent="0.25">
      <c r="A914" s="20">
        <f t="shared" ca="1" si="28"/>
        <v>0.20279312422691631</v>
      </c>
      <c r="B914" s="21">
        <f t="shared" ca="1" si="29"/>
        <v>940</v>
      </c>
    </row>
    <row r="915" spans="1:2" x14ac:dyDescent="0.25">
      <c r="A915" s="20">
        <f t="shared" ca="1" si="28"/>
        <v>9.4715193080295523E-2</v>
      </c>
      <c r="B915" s="21">
        <f t="shared" ca="1" si="29"/>
        <v>425</v>
      </c>
    </row>
    <row r="916" spans="1:2" x14ac:dyDescent="0.25">
      <c r="A916" s="20">
        <f t="shared" ca="1" si="28"/>
        <v>0.99205230465112337</v>
      </c>
      <c r="B916" s="21">
        <f t="shared" ca="1" si="29"/>
        <v>4592</v>
      </c>
    </row>
    <row r="917" spans="1:2" x14ac:dyDescent="0.25">
      <c r="A917" s="20">
        <f t="shared" ca="1" si="28"/>
        <v>0.17556474294702629</v>
      </c>
      <c r="B917" s="21">
        <f t="shared" ca="1" si="29"/>
        <v>795</v>
      </c>
    </row>
    <row r="918" spans="1:2" x14ac:dyDescent="0.25">
      <c r="A918" s="20">
        <f t="shared" ca="1" si="28"/>
        <v>0.27936536684188007</v>
      </c>
      <c r="B918" s="21">
        <f t="shared" ca="1" si="29"/>
        <v>1300</v>
      </c>
    </row>
    <row r="919" spans="1:2" x14ac:dyDescent="0.25">
      <c r="A919" s="20">
        <f t="shared" ca="1" si="28"/>
        <v>4.5095214949146256E-2</v>
      </c>
      <c r="B919" s="21">
        <f t="shared" ca="1" si="29"/>
        <v>181</v>
      </c>
    </row>
    <row r="920" spans="1:2" x14ac:dyDescent="0.25">
      <c r="A920" s="20">
        <f t="shared" ca="1" si="28"/>
        <v>0.90850294805716802</v>
      </c>
      <c r="B920" s="21">
        <f t="shared" ca="1" si="29"/>
        <v>4193</v>
      </c>
    </row>
    <row r="921" spans="1:2" x14ac:dyDescent="0.25">
      <c r="A921" s="20">
        <f t="shared" ca="1" si="28"/>
        <v>0.4776085127639651</v>
      </c>
      <c r="B921" s="21">
        <f t="shared" ca="1" si="29"/>
        <v>2226</v>
      </c>
    </row>
    <row r="922" spans="1:2" x14ac:dyDescent="0.25">
      <c r="A922" s="20">
        <f t="shared" ca="1" si="28"/>
        <v>7.471340326027287E-2</v>
      </c>
      <c r="B922" s="21">
        <f t="shared" ca="1" si="29"/>
        <v>332</v>
      </c>
    </row>
    <row r="923" spans="1:2" x14ac:dyDescent="0.25">
      <c r="A923" s="20">
        <f t="shared" ca="1" si="28"/>
        <v>0.87202809136107351</v>
      </c>
      <c r="B923" s="21">
        <f t="shared" ca="1" si="29"/>
        <v>4023</v>
      </c>
    </row>
    <row r="924" spans="1:2" x14ac:dyDescent="0.25">
      <c r="A924" s="20">
        <f t="shared" ca="1" si="28"/>
        <v>0.46401677961548216</v>
      </c>
      <c r="B924" s="21">
        <f t="shared" ca="1" si="29"/>
        <v>2173</v>
      </c>
    </row>
    <row r="925" spans="1:2" x14ac:dyDescent="0.25">
      <c r="A925" s="20">
        <f t="shared" ca="1" si="28"/>
        <v>0.27132716059594941</v>
      </c>
      <c r="B925" s="21">
        <f t="shared" ca="1" si="29"/>
        <v>1266</v>
      </c>
    </row>
    <row r="926" spans="1:2" x14ac:dyDescent="0.25">
      <c r="A926" s="20">
        <f t="shared" ca="1" si="28"/>
        <v>0.46309768142232144</v>
      </c>
      <c r="B926" s="21">
        <f t="shared" ca="1" si="29"/>
        <v>2172</v>
      </c>
    </row>
    <row r="927" spans="1:2" x14ac:dyDescent="0.25">
      <c r="A927" s="20">
        <f t="shared" ca="1" si="28"/>
        <v>0.8582894799047508</v>
      </c>
      <c r="B927" s="21">
        <f t="shared" ca="1" si="29"/>
        <v>3964</v>
      </c>
    </row>
    <row r="928" spans="1:2" x14ac:dyDescent="0.25">
      <c r="A928" s="20">
        <f t="shared" ca="1" si="28"/>
        <v>0.14301286628002163</v>
      </c>
      <c r="B928" s="21">
        <f t="shared" ca="1" si="29"/>
        <v>626</v>
      </c>
    </row>
    <row r="929" spans="1:2" x14ac:dyDescent="0.25">
      <c r="A929" s="20">
        <f t="shared" ca="1" si="28"/>
        <v>7.5454971185472175E-2</v>
      </c>
      <c r="B929" s="21">
        <f t="shared" ca="1" si="29"/>
        <v>337</v>
      </c>
    </row>
    <row r="930" spans="1:2" x14ac:dyDescent="0.25">
      <c r="A930" s="20">
        <f t="shared" ca="1" si="28"/>
        <v>0.22441618121455564</v>
      </c>
      <c r="B930" s="21">
        <f t="shared" ca="1" si="29"/>
        <v>1050</v>
      </c>
    </row>
    <row r="931" spans="1:2" x14ac:dyDescent="0.25">
      <c r="A931" s="20">
        <f t="shared" ca="1" si="28"/>
        <v>0.39185633821109744</v>
      </c>
      <c r="B931" s="21">
        <f t="shared" ca="1" si="29"/>
        <v>1843</v>
      </c>
    </row>
    <row r="932" spans="1:2" x14ac:dyDescent="0.25">
      <c r="A932" s="20">
        <f t="shared" ca="1" si="28"/>
        <v>0.34615709270747941</v>
      </c>
      <c r="B932" s="21">
        <f t="shared" ca="1" si="29"/>
        <v>1626</v>
      </c>
    </row>
    <row r="933" spans="1:2" x14ac:dyDescent="0.25">
      <c r="A933" s="20">
        <f t="shared" ca="1" si="28"/>
        <v>3.823624098298517E-2</v>
      </c>
      <c r="B933" s="21">
        <f t="shared" ca="1" si="29"/>
        <v>148</v>
      </c>
    </row>
    <row r="934" spans="1:2" x14ac:dyDescent="0.25">
      <c r="A934" s="20">
        <f t="shared" ca="1" si="28"/>
        <v>0.59746952234366957</v>
      </c>
      <c r="B934" s="21">
        <f t="shared" ca="1" si="29"/>
        <v>2793</v>
      </c>
    </row>
    <row r="935" spans="1:2" x14ac:dyDescent="0.25">
      <c r="A935" s="20">
        <f t="shared" ca="1" si="28"/>
        <v>0.96415483389986323</v>
      </c>
      <c r="B935" s="21">
        <f t="shared" ca="1" si="29"/>
        <v>4467</v>
      </c>
    </row>
    <row r="936" spans="1:2" x14ac:dyDescent="0.25">
      <c r="A936" s="20">
        <f t="shared" ca="1" si="28"/>
        <v>0.44835491633886637</v>
      </c>
      <c r="B936" s="21">
        <f t="shared" ca="1" si="29"/>
        <v>2098</v>
      </c>
    </row>
    <row r="937" spans="1:2" x14ac:dyDescent="0.25">
      <c r="A937" s="20">
        <f t="shared" ca="1" si="28"/>
        <v>0.51710023522859672</v>
      </c>
      <c r="B937" s="21">
        <f t="shared" ca="1" si="29"/>
        <v>2414</v>
      </c>
    </row>
    <row r="938" spans="1:2" x14ac:dyDescent="0.25">
      <c r="A938" s="20">
        <f t="shared" ca="1" si="28"/>
        <v>0.23847378486918658</v>
      </c>
      <c r="B938" s="21">
        <f t="shared" ca="1" si="29"/>
        <v>1117</v>
      </c>
    </row>
    <row r="939" spans="1:2" x14ac:dyDescent="0.25">
      <c r="A939" s="20">
        <f t="shared" ca="1" si="28"/>
        <v>0.24938850786094791</v>
      </c>
      <c r="B939" s="21">
        <f t="shared" ca="1" si="29"/>
        <v>1164</v>
      </c>
    </row>
    <row r="940" spans="1:2" x14ac:dyDescent="0.25">
      <c r="A940" s="20">
        <f t="shared" ca="1" si="28"/>
        <v>0.6188850156415866</v>
      </c>
      <c r="B940" s="21">
        <f t="shared" ca="1" si="29"/>
        <v>2873</v>
      </c>
    </row>
    <row r="941" spans="1:2" x14ac:dyDescent="0.25">
      <c r="A941" s="20">
        <f t="shared" ca="1" si="28"/>
        <v>0.40585614034843953</v>
      </c>
      <c r="B941" s="21">
        <f t="shared" ca="1" si="29"/>
        <v>1902</v>
      </c>
    </row>
    <row r="942" spans="1:2" x14ac:dyDescent="0.25">
      <c r="A942" s="20">
        <f t="shared" ca="1" si="28"/>
        <v>0.14392828695209459</v>
      </c>
      <c r="B942" s="21">
        <f t="shared" ca="1" si="29"/>
        <v>634</v>
      </c>
    </row>
    <row r="943" spans="1:2" x14ac:dyDescent="0.25">
      <c r="A943" s="20">
        <f t="shared" ca="1" si="28"/>
        <v>0.28873749819155792</v>
      </c>
      <c r="B943" s="21">
        <f t="shared" ca="1" si="29"/>
        <v>1356</v>
      </c>
    </row>
    <row r="944" spans="1:2" x14ac:dyDescent="0.25">
      <c r="A944" s="20">
        <f t="shared" ca="1" si="28"/>
        <v>0.44241981216396531</v>
      </c>
      <c r="B944" s="21">
        <f t="shared" ca="1" si="29"/>
        <v>2067</v>
      </c>
    </row>
    <row r="945" spans="1:2" x14ac:dyDescent="0.25">
      <c r="A945" s="20">
        <f t="shared" ca="1" si="28"/>
        <v>1.9272457168126644E-2</v>
      </c>
      <c r="B945" s="21">
        <f t="shared" ca="1" si="29"/>
        <v>76</v>
      </c>
    </row>
    <row r="946" spans="1:2" x14ac:dyDescent="0.25">
      <c r="A946" s="20">
        <f t="shared" ca="1" si="28"/>
        <v>0.15529214541017777</v>
      </c>
      <c r="B946" s="21">
        <f t="shared" ca="1" si="29"/>
        <v>696</v>
      </c>
    </row>
    <row r="947" spans="1:2" x14ac:dyDescent="0.25">
      <c r="A947" s="20">
        <f t="shared" ca="1" si="28"/>
        <v>0.61200862717560989</v>
      </c>
      <c r="B947" s="21">
        <f t="shared" ca="1" si="29"/>
        <v>2851</v>
      </c>
    </row>
    <row r="948" spans="1:2" x14ac:dyDescent="0.25">
      <c r="A948" s="20">
        <f t="shared" ca="1" si="28"/>
        <v>0.93031225028275211</v>
      </c>
      <c r="B948" s="21">
        <f t="shared" ca="1" si="29"/>
        <v>4295</v>
      </c>
    </row>
    <row r="949" spans="1:2" x14ac:dyDescent="0.25">
      <c r="A949" s="20">
        <f t="shared" ca="1" si="28"/>
        <v>0.46647713485803366</v>
      </c>
      <c r="B949" s="21">
        <f t="shared" ca="1" si="29"/>
        <v>2183</v>
      </c>
    </row>
    <row r="950" spans="1:2" x14ac:dyDescent="0.25">
      <c r="A950" s="20">
        <f t="shared" ca="1" si="28"/>
        <v>6.108524569663909E-2</v>
      </c>
      <c r="B950" s="21">
        <f t="shared" ca="1" si="29"/>
        <v>263</v>
      </c>
    </row>
    <row r="951" spans="1:2" x14ac:dyDescent="0.25">
      <c r="A951" s="20">
        <f t="shared" ca="1" si="28"/>
        <v>0.14021284647278154</v>
      </c>
      <c r="B951" s="21">
        <f t="shared" ca="1" si="29"/>
        <v>618</v>
      </c>
    </row>
    <row r="952" spans="1:2" x14ac:dyDescent="0.25">
      <c r="A952" s="20">
        <f t="shared" ca="1" si="28"/>
        <v>0.55544245788288082</v>
      </c>
      <c r="B952" s="21">
        <f t="shared" ca="1" si="29"/>
        <v>2599</v>
      </c>
    </row>
    <row r="953" spans="1:2" x14ac:dyDescent="0.25">
      <c r="A953" s="20">
        <f t="shared" ca="1" si="28"/>
        <v>0.87929371068326945</v>
      </c>
      <c r="B953" s="21">
        <f t="shared" ca="1" si="29"/>
        <v>4053</v>
      </c>
    </row>
    <row r="954" spans="1:2" x14ac:dyDescent="0.25">
      <c r="A954" s="20">
        <f t="shared" ca="1" si="28"/>
        <v>0.72730359064435035</v>
      </c>
      <c r="B954" s="21">
        <f t="shared" ca="1" si="29"/>
        <v>3364</v>
      </c>
    </row>
    <row r="955" spans="1:2" x14ac:dyDescent="0.25">
      <c r="A955" s="20">
        <f t="shared" ca="1" si="28"/>
        <v>2.8390488590130492E-2</v>
      </c>
      <c r="B955" s="21">
        <f t="shared" ca="1" si="29"/>
        <v>109</v>
      </c>
    </row>
    <row r="956" spans="1:2" x14ac:dyDescent="0.25">
      <c r="A956" s="20">
        <f t="shared" ca="1" si="28"/>
        <v>0.95908254295686357</v>
      </c>
      <c r="B956" s="21">
        <f t="shared" ca="1" si="29"/>
        <v>4439</v>
      </c>
    </row>
    <row r="957" spans="1:2" x14ac:dyDescent="0.25">
      <c r="A957" s="20">
        <f t="shared" ca="1" si="28"/>
        <v>0.49997420679510196</v>
      </c>
      <c r="B957" s="21">
        <f t="shared" ca="1" si="29"/>
        <v>2320</v>
      </c>
    </row>
    <row r="958" spans="1:2" x14ac:dyDescent="0.25">
      <c r="A958" s="20">
        <f t="shared" ca="1" si="28"/>
        <v>0.58624775171632804</v>
      </c>
      <c r="B958" s="21">
        <f t="shared" ca="1" si="29"/>
        <v>2745</v>
      </c>
    </row>
    <row r="959" spans="1:2" x14ac:dyDescent="0.25">
      <c r="A959" s="20">
        <f t="shared" ca="1" si="28"/>
        <v>9.8250821503092944E-2</v>
      </c>
      <c r="B959" s="21">
        <f t="shared" ca="1" si="29"/>
        <v>442</v>
      </c>
    </row>
    <row r="960" spans="1:2" x14ac:dyDescent="0.25">
      <c r="A960" s="20">
        <f t="shared" ca="1" si="28"/>
        <v>0.40059928171587789</v>
      </c>
      <c r="B960" s="21">
        <f t="shared" ca="1" si="29"/>
        <v>1884</v>
      </c>
    </row>
    <row r="961" spans="1:2" x14ac:dyDescent="0.25">
      <c r="A961" s="20">
        <f t="shared" ca="1" si="28"/>
        <v>0.56602859659053661</v>
      </c>
      <c r="B961" s="21">
        <f t="shared" ca="1" si="29"/>
        <v>2646</v>
      </c>
    </row>
    <row r="962" spans="1:2" x14ac:dyDescent="0.25">
      <c r="A962" s="20">
        <f t="shared" ca="1" si="28"/>
        <v>0.60802241056938633</v>
      </c>
      <c r="B962" s="21">
        <f t="shared" ca="1" si="29"/>
        <v>2832</v>
      </c>
    </row>
    <row r="963" spans="1:2" x14ac:dyDescent="0.25">
      <c r="A963" s="20">
        <f t="shared" ref="A963:A1026" ca="1" si="30">RAND()</f>
        <v>0.11688734823161107</v>
      </c>
      <c r="B963" s="21">
        <f t="shared" ref="B963:B1026" ca="1" si="31">_xlfn.RANK.EQ($A963,$A:$A,1)</f>
        <v>513</v>
      </c>
    </row>
    <row r="964" spans="1:2" x14ac:dyDescent="0.25">
      <c r="A964" s="20">
        <f t="shared" ca="1" si="30"/>
        <v>0.31750318911824416</v>
      </c>
      <c r="B964" s="21">
        <f t="shared" ca="1" si="31"/>
        <v>1488</v>
      </c>
    </row>
    <row r="965" spans="1:2" x14ac:dyDescent="0.25">
      <c r="A965" s="20">
        <f t="shared" ca="1" si="30"/>
        <v>0.71581711674744986</v>
      </c>
      <c r="B965" s="21">
        <f t="shared" ca="1" si="31"/>
        <v>3310</v>
      </c>
    </row>
    <row r="966" spans="1:2" x14ac:dyDescent="0.25">
      <c r="A966" s="20">
        <f t="shared" ca="1" si="30"/>
        <v>2.4866284701241526E-4</v>
      </c>
      <c r="B966" s="21">
        <f t="shared" ca="1" si="31"/>
        <v>1</v>
      </c>
    </row>
    <row r="967" spans="1:2" x14ac:dyDescent="0.25">
      <c r="A967" s="20">
        <f t="shared" ca="1" si="30"/>
        <v>0.32135888924563372</v>
      </c>
      <c r="B967" s="21">
        <f t="shared" ca="1" si="31"/>
        <v>1513</v>
      </c>
    </row>
    <row r="968" spans="1:2" x14ac:dyDescent="0.25">
      <c r="A968" s="20">
        <f t="shared" ca="1" si="30"/>
        <v>0.97142066884934741</v>
      </c>
      <c r="B968" s="21">
        <f t="shared" ca="1" si="31"/>
        <v>4507</v>
      </c>
    </row>
    <row r="969" spans="1:2" x14ac:dyDescent="0.25">
      <c r="A969" s="20">
        <f t="shared" ca="1" si="30"/>
        <v>0.51040102468003234</v>
      </c>
      <c r="B969" s="21">
        <f t="shared" ca="1" si="31"/>
        <v>2377</v>
      </c>
    </row>
    <row r="970" spans="1:2" x14ac:dyDescent="0.25">
      <c r="A970" s="20">
        <f t="shared" ca="1" si="30"/>
        <v>0.72914218788172813</v>
      </c>
      <c r="B970" s="21">
        <f t="shared" ca="1" si="31"/>
        <v>3378</v>
      </c>
    </row>
    <row r="971" spans="1:2" x14ac:dyDescent="0.25">
      <c r="A971" s="20">
        <f t="shared" ca="1" si="30"/>
        <v>0.19881140748111903</v>
      </c>
      <c r="B971" s="21">
        <f t="shared" ca="1" si="31"/>
        <v>922</v>
      </c>
    </row>
    <row r="972" spans="1:2" x14ac:dyDescent="0.25">
      <c r="A972" s="20">
        <f t="shared" ca="1" si="30"/>
        <v>0.51666817145475674</v>
      </c>
      <c r="B972" s="21">
        <f t="shared" ca="1" si="31"/>
        <v>2412</v>
      </c>
    </row>
    <row r="973" spans="1:2" x14ac:dyDescent="0.25">
      <c r="A973" s="20">
        <f t="shared" ca="1" si="30"/>
        <v>0.3000050802733657</v>
      </c>
      <c r="B973" s="21">
        <f t="shared" ca="1" si="31"/>
        <v>1406</v>
      </c>
    </row>
    <row r="974" spans="1:2" x14ac:dyDescent="0.25">
      <c r="A974" s="20">
        <f t="shared" ca="1" si="30"/>
        <v>0.79265317927962398</v>
      </c>
      <c r="B974" s="21">
        <f t="shared" ca="1" si="31"/>
        <v>3667</v>
      </c>
    </row>
    <row r="975" spans="1:2" x14ac:dyDescent="0.25">
      <c r="A975" s="20">
        <f t="shared" ca="1" si="30"/>
        <v>0.28124838777714012</v>
      </c>
      <c r="B975" s="21">
        <f t="shared" ca="1" si="31"/>
        <v>1308</v>
      </c>
    </row>
    <row r="976" spans="1:2" x14ac:dyDescent="0.25">
      <c r="A976" s="20">
        <f t="shared" ca="1" si="30"/>
        <v>0.25498659930064582</v>
      </c>
      <c r="B976" s="21">
        <f t="shared" ca="1" si="31"/>
        <v>1191</v>
      </c>
    </row>
    <row r="977" spans="1:2" x14ac:dyDescent="0.25">
      <c r="A977" s="20">
        <f t="shared" ca="1" si="30"/>
        <v>0.17149015619140184</v>
      </c>
      <c r="B977" s="21">
        <f t="shared" ca="1" si="31"/>
        <v>778</v>
      </c>
    </row>
    <row r="978" spans="1:2" x14ac:dyDescent="0.25">
      <c r="A978" s="20">
        <f t="shared" ca="1" si="30"/>
        <v>0.44495730980437742</v>
      </c>
      <c r="B978" s="21">
        <f t="shared" ca="1" si="31"/>
        <v>2082</v>
      </c>
    </row>
    <row r="979" spans="1:2" x14ac:dyDescent="0.25">
      <c r="A979" s="20">
        <f t="shared" ca="1" si="30"/>
        <v>0.66126333922974045</v>
      </c>
      <c r="B979" s="21">
        <f t="shared" ca="1" si="31"/>
        <v>3068</v>
      </c>
    </row>
    <row r="980" spans="1:2" x14ac:dyDescent="0.25">
      <c r="A980" s="20">
        <f t="shared" ca="1" si="30"/>
        <v>0.40037778452686146</v>
      </c>
      <c r="B980" s="21">
        <f t="shared" ca="1" si="31"/>
        <v>1882</v>
      </c>
    </row>
    <row r="981" spans="1:2" x14ac:dyDescent="0.25">
      <c r="A981" s="20">
        <f t="shared" ca="1" si="30"/>
        <v>0.63288733087911397</v>
      </c>
      <c r="B981" s="21">
        <f t="shared" ca="1" si="31"/>
        <v>2932</v>
      </c>
    </row>
    <row r="982" spans="1:2" x14ac:dyDescent="0.25">
      <c r="A982" s="20">
        <f t="shared" ca="1" si="30"/>
        <v>0.44108965136025313</v>
      </c>
      <c r="B982" s="21">
        <f t="shared" ca="1" si="31"/>
        <v>2064</v>
      </c>
    </row>
    <row r="983" spans="1:2" x14ac:dyDescent="0.25">
      <c r="A983" s="20">
        <f t="shared" ca="1" si="30"/>
        <v>0.13906400045711509</v>
      </c>
      <c r="B983" s="21">
        <f t="shared" ca="1" si="31"/>
        <v>610</v>
      </c>
    </row>
    <row r="984" spans="1:2" x14ac:dyDescent="0.25">
      <c r="A984" s="20">
        <f t="shared" ca="1" si="30"/>
        <v>0.7527087774179182</v>
      </c>
      <c r="B984" s="21">
        <f t="shared" ca="1" si="31"/>
        <v>3486</v>
      </c>
    </row>
    <row r="985" spans="1:2" x14ac:dyDescent="0.25">
      <c r="A985" s="20">
        <f t="shared" ca="1" si="30"/>
        <v>0.53700742753567665</v>
      </c>
      <c r="B985" s="21">
        <f t="shared" ca="1" si="31"/>
        <v>2504</v>
      </c>
    </row>
    <row r="986" spans="1:2" x14ac:dyDescent="0.25">
      <c r="A986" s="20">
        <f t="shared" ca="1" si="30"/>
        <v>0.17306493706589809</v>
      </c>
      <c r="B986" s="21">
        <f t="shared" ca="1" si="31"/>
        <v>785</v>
      </c>
    </row>
    <row r="987" spans="1:2" x14ac:dyDescent="0.25">
      <c r="A987" s="20">
        <f t="shared" ca="1" si="30"/>
        <v>0.36957712560909239</v>
      </c>
      <c r="B987" s="21">
        <f t="shared" ca="1" si="31"/>
        <v>1756</v>
      </c>
    </row>
    <row r="988" spans="1:2" x14ac:dyDescent="0.25">
      <c r="A988" s="20">
        <f t="shared" ca="1" si="30"/>
        <v>0.70515692591651835</v>
      </c>
      <c r="B988" s="21">
        <f t="shared" ca="1" si="31"/>
        <v>3263</v>
      </c>
    </row>
    <row r="989" spans="1:2" x14ac:dyDescent="0.25">
      <c r="A989" s="20">
        <f t="shared" ca="1" si="30"/>
        <v>2.9710072543279398E-2</v>
      </c>
      <c r="B989" s="21">
        <f t="shared" ca="1" si="31"/>
        <v>111</v>
      </c>
    </row>
    <row r="990" spans="1:2" x14ac:dyDescent="0.25">
      <c r="A990" s="20">
        <f t="shared" ca="1" si="30"/>
        <v>0.99804589644729835</v>
      </c>
      <c r="B990" s="21">
        <f t="shared" ca="1" si="31"/>
        <v>4609</v>
      </c>
    </row>
    <row r="991" spans="1:2" x14ac:dyDescent="0.25">
      <c r="A991" s="20">
        <f t="shared" ca="1" si="30"/>
        <v>0.12089547077159746</v>
      </c>
      <c r="B991" s="21">
        <f t="shared" ca="1" si="31"/>
        <v>531</v>
      </c>
    </row>
    <row r="992" spans="1:2" x14ac:dyDescent="0.25">
      <c r="A992" s="20">
        <f t="shared" ca="1" si="30"/>
        <v>0.62889530943172611</v>
      </c>
      <c r="B992" s="21">
        <f t="shared" ca="1" si="31"/>
        <v>2913</v>
      </c>
    </row>
    <row r="993" spans="1:2" x14ac:dyDescent="0.25">
      <c r="A993" s="20">
        <f t="shared" ca="1" si="30"/>
        <v>0.92928946172433646</v>
      </c>
      <c r="B993" s="21">
        <f t="shared" ca="1" si="31"/>
        <v>4289</v>
      </c>
    </row>
    <row r="994" spans="1:2" x14ac:dyDescent="0.25">
      <c r="A994" s="20">
        <f t="shared" ca="1" si="30"/>
        <v>0.29883388247966403</v>
      </c>
      <c r="B994" s="21">
        <f t="shared" ca="1" si="31"/>
        <v>1400</v>
      </c>
    </row>
    <row r="995" spans="1:2" x14ac:dyDescent="0.25">
      <c r="A995" s="20">
        <f t="shared" ca="1" si="30"/>
        <v>0.8530931030216411</v>
      </c>
      <c r="B995" s="21">
        <f t="shared" ca="1" si="31"/>
        <v>3943</v>
      </c>
    </row>
    <row r="996" spans="1:2" x14ac:dyDescent="0.25">
      <c r="A996" s="20">
        <f t="shared" ca="1" si="30"/>
        <v>0.93747062730068065</v>
      </c>
      <c r="B996" s="21">
        <f t="shared" ca="1" si="31"/>
        <v>4335</v>
      </c>
    </row>
    <row r="997" spans="1:2" x14ac:dyDescent="0.25">
      <c r="A997" s="20">
        <f t="shared" ca="1" si="30"/>
        <v>0.38465421115405696</v>
      </c>
      <c r="B997" s="21">
        <f t="shared" ca="1" si="31"/>
        <v>1803</v>
      </c>
    </row>
    <row r="998" spans="1:2" x14ac:dyDescent="0.25">
      <c r="A998" s="20">
        <f t="shared" ca="1" si="30"/>
        <v>0.94804271440246912</v>
      </c>
      <c r="B998" s="21">
        <f t="shared" ca="1" si="31"/>
        <v>4393</v>
      </c>
    </row>
    <row r="999" spans="1:2" x14ac:dyDescent="0.25">
      <c r="A999" s="20">
        <f t="shared" ca="1" si="30"/>
        <v>0.67734781362003893</v>
      </c>
      <c r="B999" s="21">
        <f t="shared" ca="1" si="31"/>
        <v>3134</v>
      </c>
    </row>
    <row r="1000" spans="1:2" x14ac:dyDescent="0.25">
      <c r="A1000" s="20">
        <f t="shared" ca="1" si="30"/>
        <v>8.8991712909406551E-2</v>
      </c>
      <c r="B1000" s="21">
        <f t="shared" ca="1" si="31"/>
        <v>399</v>
      </c>
    </row>
    <row r="1001" spans="1:2" x14ac:dyDescent="0.25">
      <c r="A1001" s="20">
        <f t="shared" ca="1" si="30"/>
        <v>0.51091779601339338</v>
      </c>
      <c r="B1001" s="21">
        <f t="shared" ca="1" si="31"/>
        <v>2381</v>
      </c>
    </row>
    <row r="1002" spans="1:2" x14ac:dyDescent="0.25">
      <c r="A1002" s="20">
        <f t="shared" ca="1" si="30"/>
        <v>0.74201186759803517</v>
      </c>
      <c r="B1002" s="21">
        <f t="shared" ca="1" si="31"/>
        <v>3431</v>
      </c>
    </row>
    <row r="1003" spans="1:2" x14ac:dyDescent="0.25">
      <c r="A1003" s="20">
        <f t="shared" ca="1" si="30"/>
        <v>0.5570076700676877</v>
      </c>
      <c r="B1003" s="21">
        <f t="shared" ca="1" si="31"/>
        <v>2606</v>
      </c>
    </row>
    <row r="1004" spans="1:2" x14ac:dyDescent="0.25">
      <c r="A1004" s="20">
        <f t="shared" ca="1" si="30"/>
        <v>0.68095847785637897</v>
      </c>
      <c r="B1004" s="21">
        <f t="shared" ca="1" si="31"/>
        <v>3159</v>
      </c>
    </row>
    <row r="1005" spans="1:2" x14ac:dyDescent="0.25">
      <c r="A1005" s="20">
        <f t="shared" ca="1" si="30"/>
        <v>0.31750551208463995</v>
      </c>
      <c r="B1005" s="21">
        <f t="shared" ca="1" si="31"/>
        <v>1489</v>
      </c>
    </row>
    <row r="1006" spans="1:2" x14ac:dyDescent="0.25">
      <c r="A1006" s="20">
        <f t="shared" ca="1" si="30"/>
        <v>0.60106637782580807</v>
      </c>
      <c r="B1006" s="21">
        <f t="shared" ca="1" si="31"/>
        <v>2806</v>
      </c>
    </row>
    <row r="1007" spans="1:2" x14ac:dyDescent="0.25">
      <c r="A1007" s="20">
        <f t="shared" ca="1" si="30"/>
        <v>0.46735100013574005</v>
      </c>
      <c r="B1007" s="21">
        <f t="shared" ca="1" si="31"/>
        <v>2185</v>
      </c>
    </row>
    <row r="1008" spans="1:2" x14ac:dyDescent="0.25">
      <c r="A1008" s="20">
        <f t="shared" ca="1" si="30"/>
        <v>0.85285379191153032</v>
      </c>
      <c r="B1008" s="21">
        <f t="shared" ca="1" si="31"/>
        <v>3942</v>
      </c>
    </row>
    <row r="1009" spans="1:2" x14ac:dyDescent="0.25">
      <c r="A1009" s="20">
        <f t="shared" ca="1" si="30"/>
        <v>0.6977616147206307</v>
      </c>
      <c r="B1009" s="21">
        <f t="shared" ca="1" si="31"/>
        <v>3230</v>
      </c>
    </row>
    <row r="1010" spans="1:2" x14ac:dyDescent="0.25">
      <c r="A1010" s="20">
        <f t="shared" ca="1" si="30"/>
        <v>6.1716755337539952E-2</v>
      </c>
      <c r="B1010" s="21">
        <f t="shared" ca="1" si="31"/>
        <v>267</v>
      </c>
    </row>
    <row r="1011" spans="1:2" x14ac:dyDescent="0.25">
      <c r="A1011" s="20">
        <f t="shared" ca="1" si="30"/>
        <v>0.19816667141104127</v>
      </c>
      <c r="B1011" s="21">
        <f t="shared" ca="1" si="31"/>
        <v>919</v>
      </c>
    </row>
    <row r="1012" spans="1:2" x14ac:dyDescent="0.25">
      <c r="A1012" s="20">
        <f t="shared" ca="1" si="30"/>
        <v>0.12159832693594375</v>
      </c>
      <c r="B1012" s="21">
        <f t="shared" ca="1" si="31"/>
        <v>534</v>
      </c>
    </row>
    <row r="1013" spans="1:2" x14ac:dyDescent="0.25">
      <c r="A1013" s="20">
        <f t="shared" ca="1" si="30"/>
        <v>0.91634219512204584</v>
      </c>
      <c r="B1013" s="21">
        <f t="shared" ca="1" si="31"/>
        <v>4230</v>
      </c>
    </row>
    <row r="1014" spans="1:2" x14ac:dyDescent="0.25">
      <c r="A1014" s="20">
        <f t="shared" ca="1" si="30"/>
        <v>0.70325640704040115</v>
      </c>
      <c r="B1014" s="21">
        <f t="shared" ca="1" si="31"/>
        <v>3253</v>
      </c>
    </row>
    <row r="1015" spans="1:2" x14ac:dyDescent="0.25">
      <c r="A1015" s="20">
        <f t="shared" ca="1" si="30"/>
        <v>0.53400197930680848</v>
      </c>
      <c r="B1015" s="21">
        <f t="shared" ca="1" si="31"/>
        <v>2493</v>
      </c>
    </row>
    <row r="1016" spans="1:2" x14ac:dyDescent="0.25">
      <c r="A1016" s="20">
        <f t="shared" ca="1" si="30"/>
        <v>0.30300219848870091</v>
      </c>
      <c r="B1016" s="21">
        <f t="shared" ca="1" si="31"/>
        <v>1419</v>
      </c>
    </row>
    <row r="1017" spans="1:2" x14ac:dyDescent="0.25">
      <c r="A1017" s="20">
        <f t="shared" ca="1" si="30"/>
        <v>0.26388179146792945</v>
      </c>
      <c r="B1017" s="21">
        <f t="shared" ca="1" si="31"/>
        <v>1231</v>
      </c>
    </row>
    <row r="1018" spans="1:2" x14ac:dyDescent="0.25">
      <c r="A1018" s="20">
        <f t="shared" ca="1" si="30"/>
        <v>0.4704864407610333</v>
      </c>
      <c r="B1018" s="21">
        <f t="shared" ca="1" si="31"/>
        <v>2199</v>
      </c>
    </row>
    <row r="1019" spans="1:2" x14ac:dyDescent="0.25">
      <c r="A1019" s="20">
        <f t="shared" ca="1" si="30"/>
        <v>0.75020053250289243</v>
      </c>
      <c r="B1019" s="21">
        <f t="shared" ca="1" si="31"/>
        <v>3476</v>
      </c>
    </row>
    <row r="1020" spans="1:2" x14ac:dyDescent="0.25">
      <c r="A1020" s="20">
        <f t="shared" ca="1" si="30"/>
        <v>0.9630050613838731</v>
      </c>
      <c r="B1020" s="21">
        <f t="shared" ca="1" si="31"/>
        <v>4457</v>
      </c>
    </row>
    <row r="1021" spans="1:2" x14ac:dyDescent="0.25">
      <c r="A1021" s="20">
        <f t="shared" ca="1" si="30"/>
        <v>0.1955191004350334</v>
      </c>
      <c r="B1021" s="21">
        <f t="shared" ca="1" si="31"/>
        <v>907</v>
      </c>
    </row>
    <row r="1022" spans="1:2" x14ac:dyDescent="0.25">
      <c r="A1022" s="20">
        <f t="shared" ca="1" si="30"/>
        <v>0.47407468118666851</v>
      </c>
      <c r="B1022" s="21">
        <f t="shared" ca="1" si="31"/>
        <v>2214</v>
      </c>
    </row>
    <row r="1023" spans="1:2" x14ac:dyDescent="0.25">
      <c r="A1023" s="20">
        <f t="shared" ca="1" si="30"/>
        <v>0.5492415195694339</v>
      </c>
      <c r="B1023" s="21">
        <f t="shared" ca="1" si="31"/>
        <v>2565</v>
      </c>
    </row>
    <row r="1024" spans="1:2" x14ac:dyDescent="0.25">
      <c r="A1024" s="20">
        <f t="shared" ca="1" si="30"/>
        <v>0.71638966125706605</v>
      </c>
      <c r="B1024" s="21">
        <f t="shared" ca="1" si="31"/>
        <v>3315</v>
      </c>
    </row>
    <row r="1025" spans="1:2" x14ac:dyDescent="0.25">
      <c r="A1025" s="20">
        <f t="shared" ca="1" si="30"/>
        <v>0.63419649365746367</v>
      </c>
      <c r="B1025" s="21">
        <f t="shared" ca="1" si="31"/>
        <v>2939</v>
      </c>
    </row>
    <row r="1026" spans="1:2" x14ac:dyDescent="0.25">
      <c r="A1026" s="20">
        <f t="shared" ca="1" si="30"/>
        <v>0.42839472257813471</v>
      </c>
      <c r="B1026" s="21">
        <f t="shared" ca="1" si="31"/>
        <v>2011</v>
      </c>
    </row>
    <row r="1027" spans="1:2" x14ac:dyDescent="0.25">
      <c r="A1027" s="20">
        <f t="shared" ref="A1027:A1090" ca="1" si="32">RAND()</f>
        <v>9.9221432210197524E-2</v>
      </c>
      <c r="B1027" s="21">
        <f t="shared" ref="B1027:B1090" ca="1" si="33">_xlfn.RANK.EQ($A1027,$A:$A,1)</f>
        <v>448</v>
      </c>
    </row>
    <row r="1028" spans="1:2" x14ac:dyDescent="0.25">
      <c r="A1028" s="20">
        <f t="shared" ca="1" si="32"/>
        <v>0.74438586440680343</v>
      </c>
      <c r="B1028" s="21">
        <f t="shared" ca="1" si="33"/>
        <v>3439</v>
      </c>
    </row>
    <row r="1029" spans="1:2" x14ac:dyDescent="0.25">
      <c r="A1029" s="20">
        <f t="shared" ca="1" si="32"/>
        <v>0.62204606390395778</v>
      </c>
      <c r="B1029" s="21">
        <f t="shared" ca="1" si="33"/>
        <v>2886</v>
      </c>
    </row>
    <row r="1030" spans="1:2" x14ac:dyDescent="0.25">
      <c r="A1030" s="20">
        <f t="shared" ca="1" si="32"/>
        <v>0.45808509713776202</v>
      </c>
      <c r="B1030" s="21">
        <f t="shared" ca="1" si="33"/>
        <v>2155</v>
      </c>
    </row>
    <row r="1031" spans="1:2" x14ac:dyDescent="0.25">
      <c r="A1031" s="20">
        <f t="shared" ca="1" si="32"/>
        <v>0.83670926424906611</v>
      </c>
      <c r="B1031" s="21">
        <f t="shared" ca="1" si="33"/>
        <v>3864</v>
      </c>
    </row>
    <row r="1032" spans="1:2" x14ac:dyDescent="0.25">
      <c r="A1032" s="20">
        <f t="shared" ca="1" si="32"/>
        <v>0.49297306537342755</v>
      </c>
      <c r="B1032" s="21">
        <f t="shared" ca="1" si="33"/>
        <v>2291</v>
      </c>
    </row>
    <row r="1033" spans="1:2" x14ac:dyDescent="0.25">
      <c r="A1033" s="20">
        <f t="shared" ca="1" si="32"/>
        <v>0.33451479173108634</v>
      </c>
      <c r="B1033" s="21">
        <f t="shared" ca="1" si="33"/>
        <v>1569</v>
      </c>
    </row>
    <row r="1034" spans="1:2" x14ac:dyDescent="0.25">
      <c r="A1034" s="20">
        <f t="shared" ca="1" si="32"/>
        <v>0.32084783458361266</v>
      </c>
      <c r="B1034" s="21">
        <f t="shared" ca="1" si="33"/>
        <v>1509</v>
      </c>
    </row>
    <row r="1035" spans="1:2" x14ac:dyDescent="0.25">
      <c r="A1035" s="20">
        <f t="shared" ca="1" si="32"/>
        <v>0.51117816293003238</v>
      </c>
      <c r="B1035" s="21">
        <f t="shared" ca="1" si="33"/>
        <v>2385</v>
      </c>
    </row>
    <row r="1036" spans="1:2" x14ac:dyDescent="0.25">
      <c r="A1036" s="20">
        <f t="shared" ca="1" si="32"/>
        <v>0.55057058365023204</v>
      </c>
      <c r="B1036" s="21">
        <f t="shared" ca="1" si="33"/>
        <v>2571</v>
      </c>
    </row>
    <row r="1037" spans="1:2" x14ac:dyDescent="0.25">
      <c r="A1037" s="20">
        <f t="shared" ca="1" si="32"/>
        <v>0.48615969623973532</v>
      </c>
      <c r="B1037" s="21">
        <f t="shared" ca="1" si="33"/>
        <v>2266</v>
      </c>
    </row>
    <row r="1038" spans="1:2" x14ac:dyDescent="0.25">
      <c r="A1038" s="20">
        <f t="shared" ca="1" si="32"/>
        <v>0.40344688480885538</v>
      </c>
      <c r="B1038" s="21">
        <f t="shared" ca="1" si="33"/>
        <v>1892</v>
      </c>
    </row>
    <row r="1039" spans="1:2" x14ac:dyDescent="0.25">
      <c r="A1039" s="20">
        <f t="shared" ca="1" si="32"/>
        <v>5.3896737099484726E-3</v>
      </c>
      <c r="B1039" s="21">
        <f t="shared" ca="1" si="33"/>
        <v>21</v>
      </c>
    </row>
    <row r="1040" spans="1:2" x14ac:dyDescent="0.25">
      <c r="A1040" s="20">
        <f t="shared" ca="1" si="32"/>
        <v>0.84026767964061522</v>
      </c>
      <c r="B1040" s="21">
        <f t="shared" ca="1" si="33"/>
        <v>3876</v>
      </c>
    </row>
    <row r="1041" spans="1:2" x14ac:dyDescent="0.25">
      <c r="A1041" s="20">
        <f t="shared" ca="1" si="32"/>
        <v>0.72842036628443074</v>
      </c>
      <c r="B1041" s="21">
        <f t="shared" ca="1" si="33"/>
        <v>3371</v>
      </c>
    </row>
    <row r="1042" spans="1:2" x14ac:dyDescent="0.25">
      <c r="A1042" s="20">
        <f t="shared" ca="1" si="32"/>
        <v>0.51201954802966843</v>
      </c>
      <c r="B1042" s="21">
        <f t="shared" ca="1" si="33"/>
        <v>2391</v>
      </c>
    </row>
    <row r="1043" spans="1:2" x14ac:dyDescent="0.25">
      <c r="A1043" s="20">
        <f t="shared" ca="1" si="32"/>
        <v>0.28030949341845834</v>
      </c>
      <c r="B1043" s="21">
        <f t="shared" ca="1" si="33"/>
        <v>1305</v>
      </c>
    </row>
    <row r="1044" spans="1:2" x14ac:dyDescent="0.25">
      <c r="A1044" s="20">
        <f t="shared" ca="1" si="32"/>
        <v>0.51481125277513595</v>
      </c>
      <c r="B1044" s="21">
        <f t="shared" ca="1" si="33"/>
        <v>2403</v>
      </c>
    </row>
    <row r="1045" spans="1:2" x14ac:dyDescent="0.25">
      <c r="A1045" s="20">
        <f t="shared" ca="1" si="32"/>
        <v>0.14683377653320517</v>
      </c>
      <c r="B1045" s="21">
        <f t="shared" ca="1" si="33"/>
        <v>650</v>
      </c>
    </row>
    <row r="1046" spans="1:2" x14ac:dyDescent="0.25">
      <c r="A1046" s="20">
        <f t="shared" ca="1" si="32"/>
        <v>0.30021403582546458</v>
      </c>
      <c r="B1046" s="21">
        <f t="shared" ca="1" si="33"/>
        <v>1408</v>
      </c>
    </row>
    <row r="1047" spans="1:2" x14ac:dyDescent="0.25">
      <c r="A1047" s="20">
        <f t="shared" ca="1" si="32"/>
        <v>0.50011469627287064</v>
      </c>
      <c r="B1047" s="21">
        <f t="shared" ca="1" si="33"/>
        <v>2321</v>
      </c>
    </row>
    <row r="1048" spans="1:2" x14ac:dyDescent="0.25">
      <c r="A1048" s="20">
        <f t="shared" ca="1" si="32"/>
        <v>0.60306308383998286</v>
      </c>
      <c r="B1048" s="21">
        <f t="shared" ca="1" si="33"/>
        <v>2815</v>
      </c>
    </row>
    <row r="1049" spans="1:2" x14ac:dyDescent="0.25">
      <c r="A1049" s="20">
        <f t="shared" ca="1" si="32"/>
        <v>0.84460468513689613</v>
      </c>
      <c r="B1049" s="21">
        <f t="shared" ca="1" si="33"/>
        <v>3898</v>
      </c>
    </row>
    <row r="1050" spans="1:2" x14ac:dyDescent="0.25">
      <c r="A1050" s="20">
        <f t="shared" ca="1" si="32"/>
        <v>5.3227767411268001E-2</v>
      </c>
      <c r="B1050" s="21">
        <f t="shared" ca="1" si="33"/>
        <v>225</v>
      </c>
    </row>
    <row r="1051" spans="1:2" x14ac:dyDescent="0.25">
      <c r="A1051" s="20">
        <f t="shared" ca="1" si="32"/>
        <v>0.32204155687019986</v>
      </c>
      <c r="B1051" s="21">
        <f t="shared" ca="1" si="33"/>
        <v>1516</v>
      </c>
    </row>
    <row r="1052" spans="1:2" x14ac:dyDescent="0.25">
      <c r="A1052" s="20">
        <f t="shared" ca="1" si="32"/>
        <v>0.88364434511321077</v>
      </c>
      <c r="B1052" s="21">
        <f t="shared" ca="1" si="33"/>
        <v>4071</v>
      </c>
    </row>
    <row r="1053" spans="1:2" x14ac:dyDescent="0.25">
      <c r="A1053" s="20">
        <f t="shared" ca="1" si="32"/>
        <v>0.20547557331560495</v>
      </c>
      <c r="B1053" s="21">
        <f t="shared" ca="1" si="33"/>
        <v>956</v>
      </c>
    </row>
    <row r="1054" spans="1:2" x14ac:dyDescent="0.25">
      <c r="A1054" s="20">
        <f t="shared" ca="1" si="32"/>
        <v>0.15456416382822813</v>
      </c>
      <c r="B1054" s="21">
        <f t="shared" ca="1" si="33"/>
        <v>691</v>
      </c>
    </row>
    <row r="1055" spans="1:2" x14ac:dyDescent="0.25">
      <c r="A1055" s="20">
        <f t="shared" ca="1" si="32"/>
        <v>0.71794137540568448</v>
      </c>
      <c r="B1055" s="21">
        <f t="shared" ca="1" si="33"/>
        <v>3319</v>
      </c>
    </row>
    <row r="1056" spans="1:2" x14ac:dyDescent="0.25">
      <c r="A1056" s="20">
        <f t="shared" ca="1" si="32"/>
        <v>0.15066619467267361</v>
      </c>
      <c r="B1056" s="21">
        <f t="shared" ca="1" si="33"/>
        <v>673</v>
      </c>
    </row>
    <row r="1057" spans="1:2" x14ac:dyDescent="0.25">
      <c r="A1057" s="20">
        <f t="shared" ca="1" si="32"/>
        <v>0.53206226430897763</v>
      </c>
      <c r="B1057" s="21">
        <f t="shared" ca="1" si="33"/>
        <v>2484</v>
      </c>
    </row>
    <row r="1058" spans="1:2" x14ac:dyDescent="0.25">
      <c r="A1058" s="20">
        <f t="shared" ca="1" si="32"/>
        <v>0.39220566242158694</v>
      </c>
      <c r="B1058" s="21">
        <f t="shared" ca="1" si="33"/>
        <v>1845</v>
      </c>
    </row>
    <row r="1059" spans="1:2" x14ac:dyDescent="0.25">
      <c r="A1059" s="20">
        <f t="shared" ca="1" si="32"/>
        <v>8.7500820098054155E-2</v>
      </c>
      <c r="B1059" s="21">
        <f t="shared" ca="1" si="33"/>
        <v>392</v>
      </c>
    </row>
    <row r="1060" spans="1:2" x14ac:dyDescent="0.25">
      <c r="A1060" s="20">
        <f t="shared" ca="1" si="32"/>
        <v>0.97895332547697822</v>
      </c>
      <c r="B1060" s="21">
        <f t="shared" ca="1" si="33"/>
        <v>4537</v>
      </c>
    </row>
    <row r="1061" spans="1:2" x14ac:dyDescent="0.25">
      <c r="A1061" s="20">
        <f t="shared" ca="1" si="32"/>
        <v>0.93795827206242288</v>
      </c>
      <c r="B1061" s="21">
        <f t="shared" ca="1" si="33"/>
        <v>4337</v>
      </c>
    </row>
    <row r="1062" spans="1:2" x14ac:dyDescent="0.25">
      <c r="A1062" s="20">
        <f t="shared" ca="1" si="32"/>
        <v>0.54827552695432635</v>
      </c>
      <c r="B1062" s="21">
        <f t="shared" ca="1" si="33"/>
        <v>2561</v>
      </c>
    </row>
    <row r="1063" spans="1:2" x14ac:dyDescent="0.25">
      <c r="A1063" s="20">
        <f t="shared" ca="1" si="32"/>
        <v>0.31326561020234978</v>
      </c>
      <c r="B1063" s="21">
        <f t="shared" ca="1" si="33"/>
        <v>1468</v>
      </c>
    </row>
    <row r="1064" spans="1:2" x14ac:dyDescent="0.25">
      <c r="A1064" s="20">
        <f t="shared" ca="1" si="32"/>
        <v>0.87583042303931546</v>
      </c>
      <c r="B1064" s="21">
        <f t="shared" ca="1" si="33"/>
        <v>4037</v>
      </c>
    </row>
    <row r="1065" spans="1:2" x14ac:dyDescent="0.25">
      <c r="A1065" s="20">
        <f t="shared" ca="1" si="32"/>
        <v>0.34529876027652173</v>
      </c>
      <c r="B1065" s="21">
        <f t="shared" ca="1" si="33"/>
        <v>1622</v>
      </c>
    </row>
    <row r="1066" spans="1:2" x14ac:dyDescent="0.25">
      <c r="A1066" s="20">
        <f t="shared" ca="1" si="32"/>
        <v>0.72318554058179552</v>
      </c>
      <c r="B1066" s="21">
        <f t="shared" ca="1" si="33"/>
        <v>3343</v>
      </c>
    </row>
    <row r="1067" spans="1:2" x14ac:dyDescent="0.25">
      <c r="A1067" s="20">
        <f t="shared" ca="1" si="32"/>
        <v>2.0938839133859743E-2</v>
      </c>
      <c r="B1067" s="21">
        <f t="shared" ca="1" si="33"/>
        <v>84</v>
      </c>
    </row>
    <row r="1068" spans="1:2" x14ac:dyDescent="0.25">
      <c r="A1068" s="20">
        <f t="shared" ca="1" si="32"/>
        <v>3.1425565196164462E-2</v>
      </c>
      <c r="B1068" s="21">
        <f t="shared" ca="1" si="33"/>
        <v>120</v>
      </c>
    </row>
    <row r="1069" spans="1:2" x14ac:dyDescent="0.25">
      <c r="A1069" s="20">
        <f t="shared" ca="1" si="32"/>
        <v>0.91357301907872301</v>
      </c>
      <c r="B1069" s="21">
        <f t="shared" ca="1" si="33"/>
        <v>4215</v>
      </c>
    </row>
    <row r="1070" spans="1:2" x14ac:dyDescent="0.25">
      <c r="A1070" s="20">
        <f t="shared" ca="1" si="32"/>
        <v>0.84044218838648677</v>
      </c>
      <c r="B1070" s="21">
        <f t="shared" ca="1" si="33"/>
        <v>3878</v>
      </c>
    </row>
    <row r="1071" spans="1:2" x14ac:dyDescent="0.25">
      <c r="A1071" s="20">
        <f t="shared" ca="1" si="32"/>
        <v>0.97919423593708022</v>
      </c>
      <c r="B1071" s="21">
        <f t="shared" ca="1" si="33"/>
        <v>4540</v>
      </c>
    </row>
    <row r="1072" spans="1:2" x14ac:dyDescent="0.25">
      <c r="A1072" s="20">
        <f t="shared" ca="1" si="32"/>
        <v>0.56662825582363363</v>
      </c>
      <c r="B1072" s="21">
        <f t="shared" ca="1" si="33"/>
        <v>2649</v>
      </c>
    </row>
    <row r="1073" spans="1:2" x14ac:dyDescent="0.25">
      <c r="A1073" s="20">
        <f t="shared" ca="1" si="32"/>
        <v>0.45928813338384367</v>
      </c>
      <c r="B1073" s="21">
        <f t="shared" ca="1" si="33"/>
        <v>2158</v>
      </c>
    </row>
    <row r="1074" spans="1:2" x14ac:dyDescent="0.25">
      <c r="A1074" s="20">
        <f t="shared" ca="1" si="32"/>
        <v>0.58380790987245723</v>
      </c>
      <c r="B1074" s="21">
        <f t="shared" ca="1" si="33"/>
        <v>2734</v>
      </c>
    </row>
    <row r="1075" spans="1:2" x14ac:dyDescent="0.25">
      <c r="A1075" s="20">
        <f t="shared" ca="1" si="32"/>
        <v>0.62635148646221295</v>
      </c>
      <c r="B1075" s="21">
        <f t="shared" ca="1" si="33"/>
        <v>2898</v>
      </c>
    </row>
    <row r="1076" spans="1:2" x14ac:dyDescent="0.25">
      <c r="A1076" s="20">
        <f t="shared" ca="1" si="32"/>
        <v>0.27021388645985855</v>
      </c>
      <c r="B1076" s="21">
        <f t="shared" ca="1" si="33"/>
        <v>1260</v>
      </c>
    </row>
    <row r="1077" spans="1:2" x14ac:dyDescent="0.25">
      <c r="A1077" s="20">
        <f t="shared" ca="1" si="32"/>
        <v>4.3014506089260274E-2</v>
      </c>
      <c r="B1077" s="21">
        <f t="shared" ca="1" si="33"/>
        <v>170</v>
      </c>
    </row>
    <row r="1078" spans="1:2" x14ac:dyDescent="0.25">
      <c r="A1078" s="20">
        <f t="shared" ca="1" si="32"/>
        <v>8.90518145361473E-2</v>
      </c>
      <c r="B1078" s="21">
        <f t="shared" ca="1" si="33"/>
        <v>400</v>
      </c>
    </row>
    <row r="1079" spans="1:2" x14ac:dyDescent="0.25">
      <c r="A1079" s="20">
        <f t="shared" ca="1" si="32"/>
        <v>0.4907915713146479</v>
      </c>
      <c r="B1079" s="21">
        <f t="shared" ca="1" si="33"/>
        <v>2281</v>
      </c>
    </row>
    <row r="1080" spans="1:2" x14ac:dyDescent="0.25">
      <c r="A1080" s="20">
        <f t="shared" ca="1" si="32"/>
        <v>0.24801919185179</v>
      </c>
      <c r="B1080" s="21">
        <f t="shared" ca="1" si="33"/>
        <v>1158</v>
      </c>
    </row>
    <row r="1081" spans="1:2" x14ac:dyDescent="0.25">
      <c r="A1081" s="20">
        <f t="shared" ca="1" si="32"/>
        <v>0.25047288437338577</v>
      </c>
      <c r="B1081" s="21">
        <f t="shared" ca="1" si="33"/>
        <v>1169</v>
      </c>
    </row>
    <row r="1082" spans="1:2" x14ac:dyDescent="0.25">
      <c r="A1082" s="20">
        <f t="shared" ca="1" si="32"/>
        <v>0.39454230220209219</v>
      </c>
      <c r="B1082" s="21">
        <f t="shared" ca="1" si="33"/>
        <v>1853</v>
      </c>
    </row>
    <row r="1083" spans="1:2" x14ac:dyDescent="0.25">
      <c r="A1083" s="20">
        <f t="shared" ca="1" si="32"/>
        <v>0.12937863833212193</v>
      </c>
      <c r="B1083" s="21">
        <f t="shared" ca="1" si="33"/>
        <v>573</v>
      </c>
    </row>
    <row r="1084" spans="1:2" x14ac:dyDescent="0.25">
      <c r="A1084" s="20">
        <f t="shared" ca="1" si="32"/>
        <v>0.14270879973960715</v>
      </c>
      <c r="B1084" s="21">
        <f t="shared" ca="1" si="33"/>
        <v>624</v>
      </c>
    </row>
    <row r="1085" spans="1:2" x14ac:dyDescent="0.25">
      <c r="A1085" s="20">
        <f t="shared" ca="1" si="32"/>
        <v>0.62149744705867505</v>
      </c>
      <c r="B1085" s="21">
        <f t="shared" ca="1" si="33"/>
        <v>2884</v>
      </c>
    </row>
    <row r="1086" spans="1:2" x14ac:dyDescent="0.25">
      <c r="A1086" s="20">
        <f t="shared" ca="1" si="32"/>
        <v>0.50740704208139054</v>
      </c>
      <c r="B1086" s="21">
        <f t="shared" ca="1" si="33"/>
        <v>2363</v>
      </c>
    </row>
    <row r="1087" spans="1:2" x14ac:dyDescent="0.25">
      <c r="A1087" s="20">
        <f t="shared" ca="1" si="32"/>
        <v>0.59474753742442177</v>
      </c>
      <c r="B1087" s="21">
        <f t="shared" ca="1" si="33"/>
        <v>2779</v>
      </c>
    </row>
    <row r="1088" spans="1:2" x14ac:dyDescent="0.25">
      <c r="A1088" s="20">
        <f t="shared" ca="1" si="32"/>
        <v>0.95312700949241735</v>
      </c>
      <c r="B1088" s="21">
        <f t="shared" ca="1" si="33"/>
        <v>4417</v>
      </c>
    </row>
    <row r="1089" spans="1:2" x14ac:dyDescent="0.25">
      <c r="A1089" s="20">
        <f t="shared" ca="1" si="32"/>
        <v>1.6918177007862134E-2</v>
      </c>
      <c r="B1089" s="21">
        <f t="shared" ca="1" si="33"/>
        <v>58</v>
      </c>
    </row>
    <row r="1090" spans="1:2" x14ac:dyDescent="0.25">
      <c r="A1090" s="20">
        <f t="shared" ca="1" si="32"/>
        <v>0.6565574902514707</v>
      </c>
      <c r="B1090" s="21">
        <f t="shared" ca="1" si="33"/>
        <v>3045</v>
      </c>
    </row>
    <row r="1091" spans="1:2" x14ac:dyDescent="0.25">
      <c r="A1091" s="20">
        <f t="shared" ref="A1091:A1154" ca="1" si="34">RAND()</f>
        <v>0.28248238976983187</v>
      </c>
      <c r="B1091" s="21">
        <f t="shared" ref="B1091:B1154" ca="1" si="35">_xlfn.RANK.EQ($A1091,$A:$A,1)</f>
        <v>1319</v>
      </c>
    </row>
    <row r="1092" spans="1:2" x14ac:dyDescent="0.25">
      <c r="A1092" s="20">
        <f t="shared" ca="1" si="34"/>
        <v>0.41081649938706799</v>
      </c>
      <c r="B1092" s="21">
        <f t="shared" ca="1" si="35"/>
        <v>1929</v>
      </c>
    </row>
    <row r="1093" spans="1:2" x14ac:dyDescent="0.25">
      <c r="A1093" s="20">
        <f t="shared" ca="1" si="34"/>
        <v>0.95953588602194184</v>
      </c>
      <c r="B1093" s="21">
        <f t="shared" ca="1" si="35"/>
        <v>4442</v>
      </c>
    </row>
    <row r="1094" spans="1:2" x14ac:dyDescent="0.25">
      <c r="A1094" s="20">
        <f t="shared" ca="1" si="34"/>
        <v>0.22878467829774707</v>
      </c>
      <c r="B1094" s="21">
        <f t="shared" ca="1" si="35"/>
        <v>1074</v>
      </c>
    </row>
    <row r="1095" spans="1:2" x14ac:dyDescent="0.25">
      <c r="A1095" s="20">
        <f t="shared" ca="1" si="34"/>
        <v>7.8602308250631636E-2</v>
      </c>
      <c r="B1095" s="21">
        <f t="shared" ca="1" si="35"/>
        <v>352</v>
      </c>
    </row>
    <row r="1096" spans="1:2" x14ac:dyDescent="0.25">
      <c r="A1096" s="20">
        <f t="shared" ca="1" si="34"/>
        <v>0.10613133036642064</v>
      </c>
      <c r="B1096" s="21">
        <f t="shared" ca="1" si="35"/>
        <v>473</v>
      </c>
    </row>
    <row r="1097" spans="1:2" x14ac:dyDescent="0.25">
      <c r="A1097" s="20">
        <f t="shared" ca="1" si="34"/>
        <v>0.96866476900223641</v>
      </c>
      <c r="B1097" s="21">
        <f t="shared" ca="1" si="35"/>
        <v>4490</v>
      </c>
    </row>
    <row r="1098" spans="1:2" x14ac:dyDescent="0.25">
      <c r="A1098" s="20">
        <f t="shared" ca="1" si="34"/>
        <v>0.9406325101586025</v>
      </c>
      <c r="B1098" s="21">
        <f t="shared" ca="1" si="35"/>
        <v>4350</v>
      </c>
    </row>
    <row r="1099" spans="1:2" x14ac:dyDescent="0.25">
      <c r="A1099" s="20">
        <f t="shared" ca="1" si="34"/>
        <v>0.28716305155930089</v>
      </c>
      <c r="B1099" s="21">
        <f t="shared" ca="1" si="35"/>
        <v>1344</v>
      </c>
    </row>
    <row r="1100" spans="1:2" x14ac:dyDescent="0.25">
      <c r="A1100" s="20">
        <f t="shared" ca="1" si="34"/>
        <v>0.83111252790121526</v>
      </c>
      <c r="B1100" s="21">
        <f t="shared" ca="1" si="35"/>
        <v>3845</v>
      </c>
    </row>
    <row r="1101" spans="1:2" x14ac:dyDescent="0.25">
      <c r="A1101" s="20">
        <f t="shared" ca="1" si="34"/>
        <v>0.71135191470977877</v>
      </c>
      <c r="B1101" s="21">
        <f t="shared" ca="1" si="35"/>
        <v>3291</v>
      </c>
    </row>
    <row r="1102" spans="1:2" x14ac:dyDescent="0.25">
      <c r="A1102" s="20">
        <f t="shared" ca="1" si="34"/>
        <v>6.5071664906144799E-2</v>
      </c>
      <c r="B1102" s="21">
        <f t="shared" ca="1" si="35"/>
        <v>285</v>
      </c>
    </row>
    <row r="1103" spans="1:2" x14ac:dyDescent="0.25">
      <c r="A1103" s="20">
        <f t="shared" ca="1" si="34"/>
        <v>0.74647978914124824</v>
      </c>
      <c r="B1103" s="21">
        <f t="shared" ca="1" si="35"/>
        <v>3451</v>
      </c>
    </row>
    <row r="1104" spans="1:2" x14ac:dyDescent="0.25">
      <c r="A1104" s="20">
        <f t="shared" ca="1" si="34"/>
        <v>0.1079133756768369</v>
      </c>
      <c r="B1104" s="21">
        <f t="shared" ca="1" si="35"/>
        <v>476</v>
      </c>
    </row>
    <row r="1105" spans="1:2" x14ac:dyDescent="0.25">
      <c r="A1105" s="20">
        <f t="shared" ca="1" si="34"/>
        <v>0.40392032895446539</v>
      </c>
      <c r="B1105" s="21">
        <f t="shared" ca="1" si="35"/>
        <v>1895</v>
      </c>
    </row>
    <row r="1106" spans="1:2" x14ac:dyDescent="0.25">
      <c r="A1106" s="20">
        <f t="shared" ca="1" si="34"/>
        <v>0.27283167976774225</v>
      </c>
      <c r="B1106" s="21">
        <f t="shared" ca="1" si="35"/>
        <v>1270</v>
      </c>
    </row>
    <row r="1107" spans="1:2" x14ac:dyDescent="0.25">
      <c r="A1107" s="20">
        <f t="shared" ca="1" si="34"/>
        <v>1.5855135624764927E-3</v>
      </c>
      <c r="B1107" s="21">
        <f t="shared" ca="1" si="35"/>
        <v>7</v>
      </c>
    </row>
    <row r="1108" spans="1:2" x14ac:dyDescent="0.25">
      <c r="A1108" s="20">
        <f t="shared" ca="1" si="34"/>
        <v>0.12301986289786637</v>
      </c>
      <c r="B1108" s="21">
        <f t="shared" ca="1" si="35"/>
        <v>544</v>
      </c>
    </row>
    <row r="1109" spans="1:2" x14ac:dyDescent="0.25">
      <c r="A1109" s="20">
        <f t="shared" ca="1" si="34"/>
        <v>0.88815011231135521</v>
      </c>
      <c r="B1109" s="21">
        <f t="shared" ca="1" si="35"/>
        <v>4092</v>
      </c>
    </row>
    <row r="1110" spans="1:2" x14ac:dyDescent="0.25">
      <c r="A1110" s="20">
        <f t="shared" ca="1" si="34"/>
        <v>0.63917365536530957</v>
      </c>
      <c r="B1110" s="21">
        <f t="shared" ca="1" si="35"/>
        <v>2961</v>
      </c>
    </row>
    <row r="1111" spans="1:2" x14ac:dyDescent="0.25">
      <c r="A1111" s="20">
        <f t="shared" ca="1" si="34"/>
        <v>0.86187372722543742</v>
      </c>
      <c r="B1111" s="21">
        <f t="shared" ca="1" si="35"/>
        <v>3979</v>
      </c>
    </row>
    <row r="1112" spans="1:2" x14ac:dyDescent="0.25">
      <c r="A1112" s="20">
        <f t="shared" ca="1" si="34"/>
        <v>0.97731439379745089</v>
      </c>
      <c r="B1112" s="21">
        <f t="shared" ca="1" si="35"/>
        <v>4527</v>
      </c>
    </row>
    <row r="1113" spans="1:2" x14ac:dyDescent="0.25">
      <c r="A1113" s="20">
        <f t="shared" ca="1" si="34"/>
        <v>0.29890521551445481</v>
      </c>
      <c r="B1113" s="21">
        <f t="shared" ca="1" si="35"/>
        <v>1401</v>
      </c>
    </row>
    <row r="1114" spans="1:2" x14ac:dyDescent="0.25">
      <c r="A1114" s="20">
        <f t="shared" ca="1" si="34"/>
        <v>0.28033096393162238</v>
      </c>
      <c r="B1114" s="21">
        <f t="shared" ca="1" si="35"/>
        <v>1306</v>
      </c>
    </row>
    <row r="1115" spans="1:2" x14ac:dyDescent="0.25">
      <c r="A1115" s="20">
        <f t="shared" ca="1" si="34"/>
        <v>0.23889440219462588</v>
      </c>
      <c r="B1115" s="21">
        <f t="shared" ca="1" si="35"/>
        <v>1119</v>
      </c>
    </row>
    <row r="1116" spans="1:2" x14ac:dyDescent="0.25">
      <c r="A1116" s="20">
        <f t="shared" ca="1" si="34"/>
        <v>0.15863116837386659</v>
      </c>
      <c r="B1116" s="21">
        <f t="shared" ca="1" si="35"/>
        <v>713</v>
      </c>
    </row>
    <row r="1117" spans="1:2" x14ac:dyDescent="0.25">
      <c r="A1117" s="20">
        <f t="shared" ca="1" si="34"/>
        <v>0.18073914564558591</v>
      </c>
      <c r="B1117" s="21">
        <f t="shared" ca="1" si="35"/>
        <v>826</v>
      </c>
    </row>
    <row r="1118" spans="1:2" x14ac:dyDescent="0.25">
      <c r="A1118" s="20">
        <f t="shared" ca="1" si="34"/>
        <v>0.15288701247945857</v>
      </c>
      <c r="B1118" s="21">
        <f t="shared" ca="1" si="35"/>
        <v>683</v>
      </c>
    </row>
    <row r="1119" spans="1:2" x14ac:dyDescent="0.25">
      <c r="A1119" s="20">
        <f t="shared" ca="1" si="34"/>
        <v>0.27269581226484962</v>
      </c>
      <c r="B1119" s="21">
        <f t="shared" ca="1" si="35"/>
        <v>1269</v>
      </c>
    </row>
    <row r="1120" spans="1:2" x14ac:dyDescent="0.25">
      <c r="A1120" s="20">
        <f t="shared" ca="1" si="34"/>
        <v>0.14026813182011688</v>
      </c>
      <c r="B1120" s="21">
        <f t="shared" ca="1" si="35"/>
        <v>619</v>
      </c>
    </row>
    <row r="1121" spans="1:2" x14ac:dyDescent="0.25">
      <c r="A1121" s="20">
        <f t="shared" ca="1" si="34"/>
        <v>2.3610657655050327E-2</v>
      </c>
      <c r="B1121" s="21">
        <f t="shared" ca="1" si="35"/>
        <v>92</v>
      </c>
    </row>
    <row r="1122" spans="1:2" x14ac:dyDescent="0.25">
      <c r="A1122" s="20">
        <f t="shared" ca="1" si="34"/>
        <v>0.17580238783665325</v>
      </c>
      <c r="B1122" s="21">
        <f t="shared" ca="1" si="35"/>
        <v>799</v>
      </c>
    </row>
    <row r="1123" spans="1:2" x14ac:dyDescent="0.25">
      <c r="A1123" s="20">
        <f t="shared" ca="1" si="34"/>
        <v>0.7141971038271786</v>
      </c>
      <c r="B1123" s="21">
        <f t="shared" ca="1" si="35"/>
        <v>3305</v>
      </c>
    </row>
    <row r="1124" spans="1:2" x14ac:dyDescent="0.25">
      <c r="A1124" s="20">
        <f t="shared" ca="1" si="34"/>
        <v>0.31116532235261274</v>
      </c>
      <c r="B1124" s="21">
        <f t="shared" ca="1" si="35"/>
        <v>1457</v>
      </c>
    </row>
    <row r="1125" spans="1:2" x14ac:dyDescent="0.25">
      <c r="A1125" s="20">
        <f t="shared" ca="1" si="34"/>
        <v>0.79927656402907676</v>
      </c>
      <c r="B1125" s="21">
        <f t="shared" ca="1" si="35"/>
        <v>3703</v>
      </c>
    </row>
    <row r="1126" spans="1:2" x14ac:dyDescent="0.25">
      <c r="A1126" s="20">
        <f t="shared" ca="1" si="34"/>
        <v>0.93214767905319396</v>
      </c>
      <c r="B1126" s="21">
        <f t="shared" ca="1" si="35"/>
        <v>4308</v>
      </c>
    </row>
    <row r="1127" spans="1:2" x14ac:dyDescent="0.25">
      <c r="A1127" s="20">
        <f t="shared" ca="1" si="34"/>
        <v>0.58292159850633873</v>
      </c>
      <c r="B1127" s="21">
        <f t="shared" ca="1" si="35"/>
        <v>2729</v>
      </c>
    </row>
    <row r="1128" spans="1:2" x14ac:dyDescent="0.25">
      <c r="A1128" s="20">
        <f t="shared" ca="1" si="34"/>
        <v>0.11953121291227853</v>
      </c>
      <c r="B1128" s="21">
        <f t="shared" ca="1" si="35"/>
        <v>522</v>
      </c>
    </row>
    <row r="1129" spans="1:2" x14ac:dyDescent="0.25">
      <c r="A1129" s="20">
        <f t="shared" ca="1" si="34"/>
        <v>0.77279107436509087</v>
      </c>
      <c r="B1129" s="21">
        <f t="shared" ca="1" si="35"/>
        <v>3587</v>
      </c>
    </row>
    <row r="1130" spans="1:2" x14ac:dyDescent="0.25">
      <c r="A1130" s="20">
        <f t="shared" ca="1" si="34"/>
        <v>0.32507907227701038</v>
      </c>
      <c r="B1130" s="21">
        <f t="shared" ca="1" si="35"/>
        <v>1526</v>
      </c>
    </row>
    <row r="1131" spans="1:2" x14ac:dyDescent="0.25">
      <c r="A1131" s="20">
        <f t="shared" ca="1" si="34"/>
        <v>0.96192754520899515</v>
      </c>
      <c r="B1131" s="21">
        <f t="shared" ca="1" si="35"/>
        <v>4452</v>
      </c>
    </row>
    <row r="1132" spans="1:2" x14ac:dyDescent="0.25">
      <c r="A1132" s="20">
        <f t="shared" ca="1" si="34"/>
        <v>0.62710793672667631</v>
      </c>
      <c r="B1132" s="21">
        <f t="shared" ca="1" si="35"/>
        <v>2903</v>
      </c>
    </row>
    <row r="1133" spans="1:2" x14ac:dyDescent="0.25">
      <c r="A1133" s="20">
        <f t="shared" ca="1" si="34"/>
        <v>0.28943916248794987</v>
      </c>
      <c r="B1133" s="21">
        <f t="shared" ca="1" si="35"/>
        <v>1359</v>
      </c>
    </row>
    <row r="1134" spans="1:2" x14ac:dyDescent="0.25">
      <c r="A1134" s="20">
        <f t="shared" ca="1" si="34"/>
        <v>7.6498734302700044E-2</v>
      </c>
      <c r="B1134" s="21">
        <f t="shared" ca="1" si="35"/>
        <v>342</v>
      </c>
    </row>
    <row r="1135" spans="1:2" x14ac:dyDescent="0.25">
      <c r="A1135" s="20">
        <f t="shared" ca="1" si="34"/>
        <v>0.11742844200667057</v>
      </c>
      <c r="B1135" s="21">
        <f t="shared" ca="1" si="35"/>
        <v>515</v>
      </c>
    </row>
    <row r="1136" spans="1:2" x14ac:dyDescent="0.25">
      <c r="A1136" s="20">
        <f t="shared" ca="1" si="34"/>
        <v>0.69846261510224061</v>
      </c>
      <c r="B1136" s="21">
        <f t="shared" ca="1" si="35"/>
        <v>3236</v>
      </c>
    </row>
    <row r="1137" spans="1:2" x14ac:dyDescent="0.25">
      <c r="A1137" s="20">
        <f t="shared" ca="1" si="34"/>
        <v>1.870556704341686E-2</v>
      </c>
      <c r="B1137" s="21">
        <f t="shared" ca="1" si="35"/>
        <v>70</v>
      </c>
    </row>
    <row r="1138" spans="1:2" x14ac:dyDescent="0.25">
      <c r="A1138" s="20">
        <f t="shared" ca="1" si="34"/>
        <v>0.66976001157619869</v>
      </c>
      <c r="B1138" s="21">
        <f t="shared" ca="1" si="35"/>
        <v>3107</v>
      </c>
    </row>
    <row r="1139" spans="1:2" x14ac:dyDescent="0.25">
      <c r="A1139" s="20">
        <f t="shared" ca="1" si="34"/>
        <v>0.79624093690659214</v>
      </c>
      <c r="B1139" s="21">
        <f t="shared" ca="1" si="35"/>
        <v>3685</v>
      </c>
    </row>
    <row r="1140" spans="1:2" x14ac:dyDescent="0.25">
      <c r="A1140" s="20">
        <f t="shared" ca="1" si="34"/>
        <v>0.21520537173270693</v>
      </c>
      <c r="B1140" s="21">
        <f t="shared" ca="1" si="35"/>
        <v>1005</v>
      </c>
    </row>
    <row r="1141" spans="1:2" x14ac:dyDescent="0.25">
      <c r="A1141" s="20">
        <f t="shared" ca="1" si="34"/>
        <v>0.75609352081060754</v>
      </c>
      <c r="B1141" s="21">
        <f t="shared" ca="1" si="35"/>
        <v>3507</v>
      </c>
    </row>
    <row r="1142" spans="1:2" x14ac:dyDescent="0.25">
      <c r="A1142" s="20">
        <f t="shared" ca="1" si="34"/>
        <v>0.98840236707860252</v>
      </c>
      <c r="B1142" s="21">
        <f t="shared" ca="1" si="35"/>
        <v>4575</v>
      </c>
    </row>
    <row r="1143" spans="1:2" x14ac:dyDescent="0.25">
      <c r="A1143" s="20">
        <f t="shared" ca="1" si="34"/>
        <v>0.7930928971832919</v>
      </c>
      <c r="B1143" s="21">
        <f t="shared" ca="1" si="35"/>
        <v>3669</v>
      </c>
    </row>
    <row r="1144" spans="1:2" x14ac:dyDescent="0.25">
      <c r="A1144" s="20">
        <f t="shared" ca="1" si="34"/>
        <v>0.50886682126767457</v>
      </c>
      <c r="B1144" s="21">
        <f t="shared" ca="1" si="35"/>
        <v>2371</v>
      </c>
    </row>
    <row r="1145" spans="1:2" x14ac:dyDescent="0.25">
      <c r="A1145" s="20">
        <f t="shared" ca="1" si="34"/>
        <v>0.16735441711619492</v>
      </c>
      <c r="B1145" s="21">
        <f t="shared" ca="1" si="35"/>
        <v>749</v>
      </c>
    </row>
    <row r="1146" spans="1:2" x14ac:dyDescent="0.25">
      <c r="A1146" s="20">
        <f t="shared" ca="1" si="34"/>
        <v>0.77595769082833388</v>
      </c>
      <c r="B1146" s="21">
        <f t="shared" ca="1" si="35"/>
        <v>3601</v>
      </c>
    </row>
    <row r="1147" spans="1:2" x14ac:dyDescent="0.25">
      <c r="A1147" s="20">
        <f t="shared" ca="1" si="34"/>
        <v>4.9158298732095429E-2</v>
      </c>
      <c r="B1147" s="21">
        <f t="shared" ca="1" si="35"/>
        <v>204</v>
      </c>
    </row>
    <row r="1148" spans="1:2" x14ac:dyDescent="0.25">
      <c r="A1148" s="20">
        <f t="shared" ca="1" si="34"/>
        <v>0.4148881650754449</v>
      </c>
      <c r="B1148" s="21">
        <f t="shared" ca="1" si="35"/>
        <v>1945</v>
      </c>
    </row>
    <row r="1149" spans="1:2" x14ac:dyDescent="0.25">
      <c r="A1149" s="20">
        <f t="shared" ca="1" si="34"/>
        <v>0.63410842661701672</v>
      </c>
      <c r="B1149" s="21">
        <f t="shared" ca="1" si="35"/>
        <v>2937</v>
      </c>
    </row>
    <row r="1150" spans="1:2" x14ac:dyDescent="0.25">
      <c r="A1150" s="20">
        <f t="shared" ca="1" si="34"/>
        <v>0.48325409647472506</v>
      </c>
      <c r="B1150" s="21">
        <f t="shared" ca="1" si="35"/>
        <v>2254</v>
      </c>
    </row>
    <row r="1151" spans="1:2" x14ac:dyDescent="0.25">
      <c r="A1151" s="20">
        <f t="shared" ca="1" si="34"/>
        <v>0.83313979163016738</v>
      </c>
      <c r="B1151" s="21">
        <f t="shared" ca="1" si="35"/>
        <v>3852</v>
      </c>
    </row>
    <row r="1152" spans="1:2" x14ac:dyDescent="0.25">
      <c r="A1152" s="20">
        <f t="shared" ca="1" si="34"/>
        <v>0.75387621859629994</v>
      </c>
      <c r="B1152" s="21">
        <f t="shared" ca="1" si="35"/>
        <v>3494</v>
      </c>
    </row>
    <row r="1153" spans="1:2" x14ac:dyDescent="0.25">
      <c r="A1153" s="20">
        <f t="shared" ca="1" si="34"/>
        <v>0.49384604195688031</v>
      </c>
      <c r="B1153" s="21">
        <f t="shared" ca="1" si="35"/>
        <v>2299</v>
      </c>
    </row>
    <row r="1154" spans="1:2" x14ac:dyDescent="0.25">
      <c r="A1154" s="20">
        <f t="shared" ca="1" si="34"/>
        <v>0.5534128816042172</v>
      </c>
      <c r="B1154" s="21">
        <f t="shared" ca="1" si="35"/>
        <v>2586</v>
      </c>
    </row>
    <row r="1155" spans="1:2" x14ac:dyDescent="0.25">
      <c r="A1155" s="20">
        <f t="shared" ref="A1155:A1218" ca="1" si="36">RAND()</f>
        <v>0.75330957426768863</v>
      </c>
      <c r="B1155" s="21">
        <f t="shared" ref="B1155:B1218" ca="1" si="37">_xlfn.RANK.EQ($A1155,$A:$A,1)</f>
        <v>3491</v>
      </c>
    </row>
    <row r="1156" spans="1:2" x14ac:dyDescent="0.25">
      <c r="A1156" s="20">
        <f t="shared" ca="1" si="36"/>
        <v>0.81390230218273563</v>
      </c>
      <c r="B1156" s="21">
        <f t="shared" ca="1" si="37"/>
        <v>3764</v>
      </c>
    </row>
    <row r="1157" spans="1:2" x14ac:dyDescent="0.25">
      <c r="A1157" s="20">
        <f t="shared" ca="1" si="36"/>
        <v>0.43053588950679389</v>
      </c>
      <c r="B1157" s="21">
        <f t="shared" ca="1" si="37"/>
        <v>2022</v>
      </c>
    </row>
    <row r="1158" spans="1:2" x14ac:dyDescent="0.25">
      <c r="A1158" s="20">
        <f t="shared" ca="1" si="36"/>
        <v>2.4702748262092289E-2</v>
      </c>
      <c r="B1158" s="21">
        <f t="shared" ca="1" si="37"/>
        <v>98</v>
      </c>
    </row>
    <row r="1159" spans="1:2" x14ac:dyDescent="0.25">
      <c r="A1159" s="20">
        <f t="shared" ca="1" si="36"/>
        <v>0.22570804005557732</v>
      </c>
      <c r="B1159" s="21">
        <f t="shared" ca="1" si="37"/>
        <v>1060</v>
      </c>
    </row>
    <row r="1160" spans="1:2" x14ac:dyDescent="0.25">
      <c r="A1160" s="20">
        <f t="shared" ca="1" si="36"/>
        <v>0.92183897396518555</v>
      </c>
      <c r="B1160" s="21">
        <f t="shared" ca="1" si="37"/>
        <v>4255</v>
      </c>
    </row>
    <row r="1161" spans="1:2" x14ac:dyDescent="0.25">
      <c r="A1161" s="20">
        <f t="shared" ca="1" si="36"/>
        <v>0.34885861703614773</v>
      </c>
      <c r="B1161" s="21">
        <f t="shared" ca="1" si="37"/>
        <v>1640</v>
      </c>
    </row>
    <row r="1162" spans="1:2" x14ac:dyDescent="0.25">
      <c r="A1162" s="20">
        <f t="shared" ca="1" si="36"/>
        <v>0.84044078514216802</v>
      </c>
      <c r="B1162" s="21">
        <f t="shared" ca="1" si="37"/>
        <v>3877</v>
      </c>
    </row>
    <row r="1163" spans="1:2" x14ac:dyDescent="0.25">
      <c r="A1163" s="20">
        <f t="shared" ca="1" si="36"/>
        <v>0.679332194672294</v>
      </c>
      <c r="B1163" s="21">
        <f t="shared" ca="1" si="37"/>
        <v>3150</v>
      </c>
    </row>
    <row r="1164" spans="1:2" x14ac:dyDescent="0.25">
      <c r="A1164" s="20">
        <f t="shared" ca="1" si="36"/>
        <v>0.10114557678913427</v>
      </c>
      <c r="B1164" s="21">
        <f t="shared" ca="1" si="37"/>
        <v>458</v>
      </c>
    </row>
    <row r="1165" spans="1:2" x14ac:dyDescent="0.25">
      <c r="A1165" s="20">
        <f t="shared" ca="1" si="36"/>
        <v>0.62249983308355461</v>
      </c>
      <c r="B1165" s="21">
        <f t="shared" ca="1" si="37"/>
        <v>2887</v>
      </c>
    </row>
    <row r="1166" spans="1:2" x14ac:dyDescent="0.25">
      <c r="A1166" s="20">
        <f t="shared" ca="1" si="36"/>
        <v>0.11978240791343264</v>
      </c>
      <c r="B1166" s="21">
        <f t="shared" ca="1" si="37"/>
        <v>524</v>
      </c>
    </row>
    <row r="1167" spans="1:2" x14ac:dyDescent="0.25">
      <c r="A1167" s="20">
        <f t="shared" ca="1" si="36"/>
        <v>0.38503083093719959</v>
      </c>
      <c r="B1167" s="21">
        <f t="shared" ca="1" si="37"/>
        <v>1806</v>
      </c>
    </row>
    <row r="1168" spans="1:2" x14ac:dyDescent="0.25">
      <c r="A1168" s="20">
        <f t="shared" ca="1" si="36"/>
        <v>5.1246140918886685E-2</v>
      </c>
      <c r="B1168" s="21">
        <f t="shared" ca="1" si="37"/>
        <v>216</v>
      </c>
    </row>
    <row r="1169" spans="1:2" x14ac:dyDescent="0.25">
      <c r="A1169" s="20">
        <f t="shared" ca="1" si="36"/>
        <v>0.84263112572539278</v>
      </c>
      <c r="B1169" s="21">
        <f t="shared" ca="1" si="37"/>
        <v>3888</v>
      </c>
    </row>
    <row r="1170" spans="1:2" x14ac:dyDescent="0.25">
      <c r="A1170" s="20">
        <f t="shared" ca="1" si="36"/>
        <v>0.64108266679221571</v>
      </c>
      <c r="B1170" s="21">
        <f t="shared" ca="1" si="37"/>
        <v>2973</v>
      </c>
    </row>
    <row r="1171" spans="1:2" x14ac:dyDescent="0.25">
      <c r="A1171" s="20">
        <f t="shared" ca="1" si="36"/>
        <v>0.71885448435414379</v>
      </c>
      <c r="B1171" s="21">
        <f t="shared" ca="1" si="37"/>
        <v>3327</v>
      </c>
    </row>
    <row r="1172" spans="1:2" x14ac:dyDescent="0.25">
      <c r="A1172" s="20">
        <f t="shared" ca="1" si="36"/>
        <v>0.37128404998306119</v>
      </c>
      <c r="B1172" s="21">
        <f t="shared" ca="1" si="37"/>
        <v>1763</v>
      </c>
    </row>
    <row r="1173" spans="1:2" x14ac:dyDescent="0.25">
      <c r="A1173" s="20">
        <f t="shared" ca="1" si="36"/>
        <v>0.31795263636715176</v>
      </c>
      <c r="B1173" s="21">
        <f t="shared" ca="1" si="37"/>
        <v>1491</v>
      </c>
    </row>
    <row r="1174" spans="1:2" x14ac:dyDescent="0.25">
      <c r="A1174" s="20">
        <f t="shared" ca="1" si="36"/>
        <v>0.35586526449008216</v>
      </c>
      <c r="B1174" s="21">
        <f t="shared" ca="1" si="37"/>
        <v>1681</v>
      </c>
    </row>
    <row r="1175" spans="1:2" x14ac:dyDescent="0.25">
      <c r="A1175" s="20">
        <f t="shared" ca="1" si="36"/>
        <v>0.39117293294504751</v>
      </c>
      <c r="B1175" s="21">
        <f t="shared" ca="1" si="37"/>
        <v>1840</v>
      </c>
    </row>
    <row r="1176" spans="1:2" x14ac:dyDescent="0.25">
      <c r="A1176" s="20">
        <f t="shared" ca="1" si="36"/>
        <v>0.95930295788927011</v>
      </c>
      <c r="B1176" s="21">
        <f t="shared" ca="1" si="37"/>
        <v>4440</v>
      </c>
    </row>
    <row r="1177" spans="1:2" x14ac:dyDescent="0.25">
      <c r="A1177" s="20">
        <f t="shared" ca="1" si="36"/>
        <v>0.29504670200769978</v>
      </c>
      <c r="B1177" s="21">
        <f t="shared" ca="1" si="37"/>
        <v>1388</v>
      </c>
    </row>
    <row r="1178" spans="1:2" x14ac:dyDescent="0.25">
      <c r="A1178" s="20">
        <f t="shared" ca="1" si="36"/>
        <v>0.75365600384505549</v>
      </c>
      <c r="B1178" s="21">
        <f t="shared" ca="1" si="37"/>
        <v>3493</v>
      </c>
    </row>
    <row r="1179" spans="1:2" x14ac:dyDescent="0.25">
      <c r="A1179" s="20">
        <f t="shared" ca="1" si="36"/>
        <v>0.26576525659680106</v>
      </c>
      <c r="B1179" s="21">
        <f t="shared" ca="1" si="37"/>
        <v>1246</v>
      </c>
    </row>
    <row r="1180" spans="1:2" x14ac:dyDescent="0.25">
      <c r="A1180" s="20">
        <f t="shared" ca="1" si="36"/>
        <v>0.94306704301066646</v>
      </c>
      <c r="B1180" s="21">
        <f t="shared" ca="1" si="37"/>
        <v>4361</v>
      </c>
    </row>
    <row r="1181" spans="1:2" x14ac:dyDescent="0.25">
      <c r="A1181" s="20">
        <f t="shared" ca="1" si="36"/>
        <v>0.58185474100614787</v>
      </c>
      <c r="B1181" s="21">
        <f t="shared" ca="1" si="37"/>
        <v>2721</v>
      </c>
    </row>
    <row r="1182" spans="1:2" x14ac:dyDescent="0.25">
      <c r="A1182" s="20">
        <f t="shared" ca="1" si="36"/>
        <v>0.77444203853951255</v>
      </c>
      <c r="B1182" s="21">
        <f t="shared" ca="1" si="37"/>
        <v>3593</v>
      </c>
    </row>
    <row r="1183" spans="1:2" x14ac:dyDescent="0.25">
      <c r="A1183" s="20">
        <f t="shared" ca="1" si="36"/>
        <v>0.32193591381124842</v>
      </c>
      <c r="B1183" s="21">
        <f t="shared" ca="1" si="37"/>
        <v>1515</v>
      </c>
    </row>
    <row r="1184" spans="1:2" x14ac:dyDescent="0.25">
      <c r="A1184" s="20">
        <f t="shared" ca="1" si="36"/>
        <v>0.17139171165065636</v>
      </c>
      <c r="B1184" s="21">
        <f t="shared" ca="1" si="37"/>
        <v>777</v>
      </c>
    </row>
    <row r="1185" spans="1:2" x14ac:dyDescent="0.25">
      <c r="A1185" s="20">
        <f t="shared" ca="1" si="36"/>
        <v>0.14315134396276985</v>
      </c>
      <c r="B1185" s="21">
        <f t="shared" ca="1" si="37"/>
        <v>629</v>
      </c>
    </row>
    <row r="1186" spans="1:2" x14ac:dyDescent="0.25">
      <c r="A1186" s="20">
        <f t="shared" ca="1" si="36"/>
        <v>8.3982127268882989E-2</v>
      </c>
      <c r="B1186" s="21">
        <f t="shared" ca="1" si="37"/>
        <v>377</v>
      </c>
    </row>
    <row r="1187" spans="1:2" x14ac:dyDescent="0.25">
      <c r="A1187" s="20">
        <f t="shared" ca="1" si="36"/>
        <v>0.27249468958384393</v>
      </c>
      <c r="B1187" s="21">
        <f t="shared" ca="1" si="37"/>
        <v>1268</v>
      </c>
    </row>
    <row r="1188" spans="1:2" x14ac:dyDescent="0.25">
      <c r="A1188" s="20">
        <f t="shared" ca="1" si="36"/>
        <v>0.2111972101360402</v>
      </c>
      <c r="B1188" s="21">
        <f t="shared" ca="1" si="37"/>
        <v>987</v>
      </c>
    </row>
    <row r="1189" spans="1:2" x14ac:dyDescent="0.25">
      <c r="A1189" s="20">
        <f t="shared" ca="1" si="36"/>
        <v>5.2666241139263215E-2</v>
      </c>
      <c r="B1189" s="21">
        <f t="shared" ca="1" si="37"/>
        <v>221</v>
      </c>
    </row>
    <row r="1190" spans="1:2" x14ac:dyDescent="0.25">
      <c r="A1190" s="20">
        <f t="shared" ca="1" si="36"/>
        <v>0.15379354217598229</v>
      </c>
      <c r="B1190" s="21">
        <f t="shared" ca="1" si="37"/>
        <v>687</v>
      </c>
    </row>
    <row r="1191" spans="1:2" x14ac:dyDescent="0.25">
      <c r="A1191" s="20">
        <f t="shared" ca="1" si="36"/>
        <v>0.13449974484102256</v>
      </c>
      <c r="B1191" s="21">
        <f t="shared" ca="1" si="37"/>
        <v>589</v>
      </c>
    </row>
    <row r="1192" spans="1:2" x14ac:dyDescent="0.25">
      <c r="A1192" s="20">
        <f t="shared" ca="1" si="36"/>
        <v>0.70428936354995331</v>
      </c>
      <c r="B1192" s="21">
        <f t="shared" ca="1" si="37"/>
        <v>3258</v>
      </c>
    </row>
    <row r="1193" spans="1:2" x14ac:dyDescent="0.25">
      <c r="A1193" s="20">
        <f t="shared" ca="1" si="36"/>
        <v>3.0958362559203478E-2</v>
      </c>
      <c r="B1193" s="21">
        <f t="shared" ca="1" si="37"/>
        <v>114</v>
      </c>
    </row>
    <row r="1194" spans="1:2" x14ac:dyDescent="0.25">
      <c r="A1194" s="20">
        <f t="shared" ca="1" si="36"/>
        <v>0.81602009123466546</v>
      </c>
      <c r="B1194" s="21">
        <f t="shared" ca="1" si="37"/>
        <v>3774</v>
      </c>
    </row>
    <row r="1195" spans="1:2" x14ac:dyDescent="0.25">
      <c r="A1195" s="20">
        <f t="shared" ca="1" si="36"/>
        <v>0.98977168523400694</v>
      </c>
      <c r="B1195" s="21">
        <f t="shared" ca="1" si="37"/>
        <v>4584</v>
      </c>
    </row>
    <row r="1196" spans="1:2" x14ac:dyDescent="0.25">
      <c r="A1196" s="20">
        <f t="shared" ca="1" si="36"/>
        <v>0.43312493187236423</v>
      </c>
      <c r="B1196" s="21">
        <f t="shared" ca="1" si="37"/>
        <v>2031</v>
      </c>
    </row>
    <row r="1197" spans="1:2" x14ac:dyDescent="0.25">
      <c r="A1197" s="20">
        <f t="shared" ca="1" si="36"/>
        <v>0.70732418551808496</v>
      </c>
      <c r="B1197" s="21">
        <f t="shared" ca="1" si="37"/>
        <v>3274</v>
      </c>
    </row>
    <row r="1198" spans="1:2" x14ac:dyDescent="0.25">
      <c r="A1198" s="20">
        <f t="shared" ca="1" si="36"/>
        <v>0.28729735127183553</v>
      </c>
      <c r="B1198" s="21">
        <f t="shared" ca="1" si="37"/>
        <v>1345</v>
      </c>
    </row>
    <row r="1199" spans="1:2" x14ac:dyDescent="0.25">
      <c r="A1199" s="20">
        <f t="shared" ca="1" si="36"/>
        <v>0.43909227052861699</v>
      </c>
      <c r="B1199" s="21">
        <f t="shared" ca="1" si="37"/>
        <v>2058</v>
      </c>
    </row>
    <row r="1200" spans="1:2" x14ac:dyDescent="0.25">
      <c r="A1200" s="20">
        <f t="shared" ca="1" si="36"/>
        <v>0.5578888530433217</v>
      </c>
      <c r="B1200" s="21">
        <f t="shared" ca="1" si="37"/>
        <v>2609</v>
      </c>
    </row>
    <row r="1201" spans="1:2" x14ac:dyDescent="0.25">
      <c r="A1201" s="20">
        <f t="shared" ca="1" si="36"/>
        <v>0.306968541633866</v>
      </c>
      <c r="B1201" s="21">
        <f t="shared" ca="1" si="37"/>
        <v>1439</v>
      </c>
    </row>
    <row r="1202" spans="1:2" x14ac:dyDescent="0.25">
      <c r="A1202" s="20">
        <f t="shared" ca="1" si="36"/>
        <v>0.71851776261787215</v>
      </c>
      <c r="B1202" s="21">
        <f t="shared" ca="1" si="37"/>
        <v>3325</v>
      </c>
    </row>
    <row r="1203" spans="1:2" x14ac:dyDescent="0.25">
      <c r="A1203" s="20">
        <f t="shared" ca="1" si="36"/>
        <v>0.3675491289548839</v>
      </c>
      <c r="B1203" s="21">
        <f t="shared" ca="1" si="37"/>
        <v>1744</v>
      </c>
    </row>
    <row r="1204" spans="1:2" x14ac:dyDescent="0.25">
      <c r="A1204" s="20">
        <f t="shared" ca="1" si="36"/>
        <v>0.89500663141722814</v>
      </c>
      <c r="B1204" s="21">
        <f t="shared" ca="1" si="37"/>
        <v>4129</v>
      </c>
    </row>
    <row r="1205" spans="1:2" x14ac:dyDescent="0.25">
      <c r="A1205" s="20">
        <f t="shared" ca="1" si="36"/>
        <v>0.56098721430762155</v>
      </c>
      <c r="B1205" s="21">
        <f t="shared" ca="1" si="37"/>
        <v>2623</v>
      </c>
    </row>
    <row r="1206" spans="1:2" x14ac:dyDescent="0.25">
      <c r="A1206" s="20">
        <f t="shared" ca="1" si="36"/>
        <v>0.68338812815192918</v>
      </c>
      <c r="B1206" s="21">
        <f t="shared" ca="1" si="37"/>
        <v>3171</v>
      </c>
    </row>
    <row r="1207" spans="1:2" x14ac:dyDescent="0.25">
      <c r="A1207" s="20">
        <f t="shared" ca="1" si="36"/>
        <v>6.4045049921520047E-2</v>
      </c>
      <c r="B1207" s="21">
        <f t="shared" ca="1" si="37"/>
        <v>279</v>
      </c>
    </row>
    <row r="1208" spans="1:2" x14ac:dyDescent="0.25">
      <c r="A1208" s="20">
        <f t="shared" ca="1" si="36"/>
        <v>0.63118900139295053</v>
      </c>
      <c r="B1208" s="21">
        <f t="shared" ca="1" si="37"/>
        <v>2925</v>
      </c>
    </row>
    <row r="1209" spans="1:2" x14ac:dyDescent="0.25">
      <c r="A1209" s="20">
        <f t="shared" ca="1" si="36"/>
        <v>0.77770040029262111</v>
      </c>
      <c r="B1209" s="21">
        <f t="shared" ca="1" si="37"/>
        <v>3607</v>
      </c>
    </row>
    <row r="1210" spans="1:2" x14ac:dyDescent="0.25">
      <c r="A1210" s="20">
        <f t="shared" ca="1" si="36"/>
        <v>0.88573026215288997</v>
      </c>
      <c r="B1210" s="21">
        <f t="shared" ca="1" si="37"/>
        <v>4083</v>
      </c>
    </row>
    <row r="1211" spans="1:2" x14ac:dyDescent="0.25">
      <c r="A1211" s="20">
        <f t="shared" ca="1" si="36"/>
        <v>0.65216439973659224</v>
      </c>
      <c r="B1211" s="21">
        <f t="shared" ca="1" si="37"/>
        <v>3028</v>
      </c>
    </row>
    <row r="1212" spans="1:2" x14ac:dyDescent="0.25">
      <c r="A1212" s="20">
        <f t="shared" ca="1" si="36"/>
        <v>0.59539602943951497</v>
      </c>
      <c r="B1212" s="21">
        <f t="shared" ca="1" si="37"/>
        <v>2784</v>
      </c>
    </row>
    <row r="1213" spans="1:2" x14ac:dyDescent="0.25">
      <c r="A1213" s="20">
        <f t="shared" ca="1" si="36"/>
        <v>0.94134880377760055</v>
      </c>
      <c r="B1213" s="21">
        <f t="shared" ca="1" si="37"/>
        <v>4353</v>
      </c>
    </row>
    <row r="1214" spans="1:2" x14ac:dyDescent="0.25">
      <c r="A1214" s="20">
        <f t="shared" ca="1" si="36"/>
        <v>0.6117653476099485</v>
      </c>
      <c r="B1214" s="21">
        <f t="shared" ca="1" si="37"/>
        <v>2849</v>
      </c>
    </row>
    <row r="1215" spans="1:2" x14ac:dyDescent="0.25">
      <c r="A1215" s="20">
        <f t="shared" ca="1" si="36"/>
        <v>0.43370665308848766</v>
      </c>
      <c r="B1215" s="21">
        <f t="shared" ca="1" si="37"/>
        <v>2034</v>
      </c>
    </row>
    <row r="1216" spans="1:2" x14ac:dyDescent="0.25">
      <c r="A1216" s="20">
        <f t="shared" ca="1" si="36"/>
        <v>0.90742592002350397</v>
      </c>
      <c r="B1216" s="21">
        <f t="shared" ca="1" si="37"/>
        <v>4187</v>
      </c>
    </row>
    <row r="1217" spans="1:2" x14ac:dyDescent="0.25">
      <c r="A1217" s="20">
        <f t="shared" ca="1" si="36"/>
        <v>0.76778267725631033</v>
      </c>
      <c r="B1217" s="21">
        <f t="shared" ca="1" si="37"/>
        <v>3558</v>
      </c>
    </row>
    <row r="1218" spans="1:2" x14ac:dyDescent="0.25">
      <c r="A1218" s="20">
        <f t="shared" ca="1" si="36"/>
        <v>0.77891780914971986</v>
      </c>
      <c r="B1218" s="21">
        <f t="shared" ca="1" si="37"/>
        <v>3611</v>
      </c>
    </row>
    <row r="1219" spans="1:2" x14ac:dyDescent="0.25">
      <c r="A1219" s="20">
        <f t="shared" ref="A1219:A1282" ca="1" si="38">RAND()</f>
        <v>0.36666067405490221</v>
      </c>
      <c r="B1219" s="21">
        <f t="shared" ref="B1219:B1282" ca="1" si="39">_xlfn.RANK.EQ($A1219,$A:$A,1)</f>
        <v>1738</v>
      </c>
    </row>
    <row r="1220" spans="1:2" x14ac:dyDescent="0.25">
      <c r="A1220" s="20">
        <f t="shared" ca="1" si="38"/>
        <v>0.38741685183300456</v>
      </c>
      <c r="B1220" s="21">
        <f t="shared" ca="1" si="39"/>
        <v>1817</v>
      </c>
    </row>
    <row r="1221" spans="1:2" x14ac:dyDescent="0.25">
      <c r="A1221" s="20">
        <f t="shared" ca="1" si="38"/>
        <v>0.87047438936834232</v>
      </c>
      <c r="B1221" s="21">
        <f t="shared" ca="1" si="39"/>
        <v>4019</v>
      </c>
    </row>
    <row r="1222" spans="1:2" x14ac:dyDescent="0.25">
      <c r="A1222" s="20">
        <f t="shared" ca="1" si="38"/>
        <v>0.44156407176283774</v>
      </c>
      <c r="B1222" s="21">
        <f t="shared" ca="1" si="39"/>
        <v>2066</v>
      </c>
    </row>
    <row r="1223" spans="1:2" x14ac:dyDescent="0.25">
      <c r="A1223" s="20">
        <f t="shared" ca="1" si="38"/>
        <v>0.50876060334919504</v>
      </c>
      <c r="B1223" s="21">
        <f t="shared" ca="1" si="39"/>
        <v>2370</v>
      </c>
    </row>
    <row r="1224" spans="1:2" x14ac:dyDescent="0.25">
      <c r="A1224" s="20">
        <f t="shared" ca="1" si="38"/>
        <v>0.19712279654147324</v>
      </c>
      <c r="B1224" s="21">
        <f t="shared" ca="1" si="39"/>
        <v>914</v>
      </c>
    </row>
    <row r="1225" spans="1:2" x14ac:dyDescent="0.25">
      <c r="A1225" s="20">
        <f t="shared" ca="1" si="38"/>
        <v>0.72461036311185578</v>
      </c>
      <c r="B1225" s="21">
        <f t="shared" ca="1" si="39"/>
        <v>3354</v>
      </c>
    </row>
    <row r="1226" spans="1:2" x14ac:dyDescent="0.25">
      <c r="A1226" s="20">
        <f t="shared" ca="1" si="38"/>
        <v>0.50101074007621083</v>
      </c>
      <c r="B1226" s="21">
        <f t="shared" ca="1" si="39"/>
        <v>2325</v>
      </c>
    </row>
    <row r="1227" spans="1:2" x14ac:dyDescent="0.25">
      <c r="A1227" s="20">
        <f t="shared" ca="1" si="38"/>
        <v>0.35304187968368828</v>
      </c>
      <c r="B1227" s="21">
        <f t="shared" ca="1" si="39"/>
        <v>1664</v>
      </c>
    </row>
    <row r="1228" spans="1:2" x14ac:dyDescent="0.25">
      <c r="A1228" s="20">
        <f t="shared" ca="1" si="38"/>
        <v>0.81527147539140121</v>
      </c>
      <c r="B1228" s="21">
        <f t="shared" ca="1" si="39"/>
        <v>3771</v>
      </c>
    </row>
    <row r="1229" spans="1:2" x14ac:dyDescent="0.25">
      <c r="A1229" s="20">
        <f t="shared" ca="1" si="38"/>
        <v>0.17921693405944694</v>
      </c>
      <c r="B1229" s="21">
        <f t="shared" ca="1" si="39"/>
        <v>819</v>
      </c>
    </row>
    <row r="1230" spans="1:2" x14ac:dyDescent="0.25">
      <c r="A1230" s="20">
        <f t="shared" ca="1" si="38"/>
        <v>0.74132144641432751</v>
      </c>
      <c r="B1230" s="21">
        <f t="shared" ca="1" si="39"/>
        <v>3430</v>
      </c>
    </row>
    <row r="1231" spans="1:2" x14ac:dyDescent="0.25">
      <c r="A1231" s="20">
        <f t="shared" ca="1" si="38"/>
        <v>0.29902754405886911</v>
      </c>
      <c r="B1231" s="21">
        <f t="shared" ca="1" si="39"/>
        <v>1402</v>
      </c>
    </row>
    <row r="1232" spans="1:2" x14ac:dyDescent="0.25">
      <c r="A1232" s="20">
        <f t="shared" ca="1" si="38"/>
        <v>0.76835797172411702</v>
      </c>
      <c r="B1232" s="21">
        <f t="shared" ca="1" si="39"/>
        <v>3562</v>
      </c>
    </row>
    <row r="1233" spans="1:2" x14ac:dyDescent="0.25">
      <c r="A1233" s="20">
        <f t="shared" ca="1" si="38"/>
        <v>0.44792262279745532</v>
      </c>
      <c r="B1233" s="21">
        <f t="shared" ca="1" si="39"/>
        <v>2095</v>
      </c>
    </row>
    <row r="1234" spans="1:2" x14ac:dyDescent="0.25">
      <c r="A1234" s="20">
        <f t="shared" ca="1" si="38"/>
        <v>0.47353700742753757</v>
      </c>
      <c r="B1234" s="21">
        <f t="shared" ca="1" si="39"/>
        <v>2212</v>
      </c>
    </row>
    <row r="1235" spans="1:2" x14ac:dyDescent="0.25">
      <c r="A1235" s="20">
        <f t="shared" ca="1" si="38"/>
        <v>0.3549484564569656</v>
      </c>
      <c r="B1235" s="21">
        <f t="shared" ca="1" si="39"/>
        <v>1677</v>
      </c>
    </row>
    <row r="1236" spans="1:2" x14ac:dyDescent="0.25">
      <c r="A1236" s="20">
        <f t="shared" ca="1" si="38"/>
        <v>0.23081707839850196</v>
      </c>
      <c r="B1236" s="21">
        <f t="shared" ca="1" si="39"/>
        <v>1082</v>
      </c>
    </row>
    <row r="1237" spans="1:2" x14ac:dyDescent="0.25">
      <c r="A1237" s="20">
        <f t="shared" ca="1" si="38"/>
        <v>0.59672751195820206</v>
      </c>
      <c r="B1237" s="21">
        <f t="shared" ca="1" si="39"/>
        <v>2790</v>
      </c>
    </row>
    <row r="1238" spans="1:2" x14ac:dyDescent="0.25">
      <c r="A1238" s="20">
        <f t="shared" ca="1" si="38"/>
        <v>0.64642242971427211</v>
      </c>
      <c r="B1238" s="21">
        <f t="shared" ca="1" si="39"/>
        <v>3000</v>
      </c>
    </row>
    <row r="1239" spans="1:2" x14ac:dyDescent="0.25">
      <c r="A1239" s="20">
        <f t="shared" ca="1" si="38"/>
        <v>0.45185312243664244</v>
      </c>
      <c r="B1239" s="21">
        <f t="shared" ca="1" si="39"/>
        <v>2112</v>
      </c>
    </row>
    <row r="1240" spans="1:2" x14ac:dyDescent="0.25">
      <c r="A1240" s="20">
        <f t="shared" ca="1" si="38"/>
        <v>0.79583570795174485</v>
      </c>
      <c r="B1240" s="21">
        <f t="shared" ca="1" si="39"/>
        <v>3683</v>
      </c>
    </row>
    <row r="1241" spans="1:2" x14ac:dyDescent="0.25">
      <c r="A1241" s="20">
        <f t="shared" ca="1" si="38"/>
        <v>0.59840257938338282</v>
      </c>
      <c r="B1241" s="21">
        <f t="shared" ca="1" si="39"/>
        <v>2800</v>
      </c>
    </row>
    <row r="1242" spans="1:2" x14ac:dyDescent="0.25">
      <c r="A1242" s="20">
        <f t="shared" ca="1" si="38"/>
        <v>0.51225883126289451</v>
      </c>
      <c r="B1242" s="21">
        <f t="shared" ca="1" si="39"/>
        <v>2393</v>
      </c>
    </row>
    <row r="1243" spans="1:2" x14ac:dyDescent="0.25">
      <c r="A1243" s="20">
        <f t="shared" ca="1" si="38"/>
        <v>0.70126541123199093</v>
      </c>
      <c r="B1243" s="21">
        <f t="shared" ca="1" si="39"/>
        <v>3248</v>
      </c>
    </row>
    <row r="1244" spans="1:2" x14ac:dyDescent="0.25">
      <c r="A1244" s="20">
        <f t="shared" ca="1" si="38"/>
        <v>0.39829494161384549</v>
      </c>
      <c r="B1244" s="21">
        <f t="shared" ca="1" si="39"/>
        <v>1871</v>
      </c>
    </row>
    <row r="1245" spans="1:2" x14ac:dyDescent="0.25">
      <c r="A1245" s="20">
        <f t="shared" ca="1" si="38"/>
        <v>0.30165780003187159</v>
      </c>
      <c r="B1245" s="21">
        <f t="shared" ca="1" si="39"/>
        <v>1412</v>
      </c>
    </row>
    <row r="1246" spans="1:2" x14ac:dyDescent="0.25">
      <c r="A1246" s="20">
        <f t="shared" ca="1" si="38"/>
        <v>0.77388720134497957</v>
      </c>
      <c r="B1246" s="21">
        <f t="shared" ca="1" si="39"/>
        <v>3592</v>
      </c>
    </row>
    <row r="1247" spans="1:2" x14ac:dyDescent="0.25">
      <c r="A1247" s="20">
        <f t="shared" ca="1" si="38"/>
        <v>0.82926723918431067</v>
      </c>
      <c r="B1247" s="21">
        <f t="shared" ca="1" si="39"/>
        <v>3842</v>
      </c>
    </row>
    <row r="1248" spans="1:2" x14ac:dyDescent="0.25">
      <c r="A1248" s="20">
        <f t="shared" ca="1" si="38"/>
        <v>0.68101581612052475</v>
      </c>
      <c r="B1248" s="21">
        <f t="shared" ca="1" si="39"/>
        <v>3160</v>
      </c>
    </row>
    <row r="1249" spans="1:2" x14ac:dyDescent="0.25">
      <c r="A1249" s="20">
        <f t="shared" ca="1" si="38"/>
        <v>0.85163680549873189</v>
      </c>
      <c r="B1249" s="21">
        <f t="shared" ca="1" si="39"/>
        <v>3936</v>
      </c>
    </row>
    <row r="1250" spans="1:2" x14ac:dyDescent="0.25">
      <c r="A1250" s="20">
        <f t="shared" ca="1" si="38"/>
        <v>0.80797128637303839</v>
      </c>
      <c r="B1250" s="21">
        <f t="shared" ca="1" si="39"/>
        <v>3737</v>
      </c>
    </row>
    <row r="1251" spans="1:2" x14ac:dyDescent="0.25">
      <c r="A1251" s="20">
        <f t="shared" ca="1" si="38"/>
        <v>0.92197141836809149</v>
      </c>
      <c r="B1251" s="21">
        <f t="shared" ca="1" si="39"/>
        <v>4256</v>
      </c>
    </row>
    <row r="1252" spans="1:2" x14ac:dyDescent="0.25">
      <c r="A1252" s="20">
        <f t="shared" ca="1" si="38"/>
        <v>0.23824503089440208</v>
      </c>
      <c r="B1252" s="21">
        <f t="shared" ca="1" si="39"/>
        <v>1115</v>
      </c>
    </row>
    <row r="1253" spans="1:2" x14ac:dyDescent="0.25">
      <c r="A1253" s="20">
        <f t="shared" ca="1" si="38"/>
        <v>7.7197656232556144E-2</v>
      </c>
      <c r="B1253" s="21">
        <f t="shared" ca="1" si="39"/>
        <v>344</v>
      </c>
    </row>
    <row r="1254" spans="1:2" x14ac:dyDescent="0.25">
      <c r="A1254" s="20">
        <f t="shared" ca="1" si="38"/>
        <v>0.78435777823243891</v>
      </c>
      <c r="B1254" s="21">
        <f t="shared" ca="1" si="39"/>
        <v>3634</v>
      </c>
    </row>
    <row r="1255" spans="1:2" x14ac:dyDescent="0.25">
      <c r="A1255" s="20">
        <f t="shared" ca="1" si="38"/>
        <v>0.34787442266001267</v>
      </c>
      <c r="B1255" s="21">
        <f t="shared" ca="1" si="39"/>
        <v>1633</v>
      </c>
    </row>
    <row r="1256" spans="1:2" x14ac:dyDescent="0.25">
      <c r="A1256" s="20">
        <f t="shared" ca="1" si="38"/>
        <v>0.76620567348764157</v>
      </c>
      <c r="B1256" s="21">
        <f t="shared" ca="1" si="39"/>
        <v>3550</v>
      </c>
    </row>
    <row r="1257" spans="1:2" x14ac:dyDescent="0.25">
      <c r="A1257" s="20">
        <f t="shared" ca="1" si="38"/>
        <v>0.76258017111858611</v>
      </c>
      <c r="B1257" s="21">
        <f t="shared" ca="1" si="39"/>
        <v>3536</v>
      </c>
    </row>
    <row r="1258" spans="1:2" x14ac:dyDescent="0.25">
      <c r="A1258" s="20">
        <f t="shared" ca="1" si="38"/>
        <v>0.13498757220608648</v>
      </c>
      <c r="B1258" s="21">
        <f t="shared" ca="1" si="39"/>
        <v>592</v>
      </c>
    </row>
    <row r="1259" spans="1:2" x14ac:dyDescent="0.25">
      <c r="A1259" s="20">
        <f t="shared" ca="1" si="38"/>
        <v>0.25859439417722674</v>
      </c>
      <c r="B1259" s="21">
        <f t="shared" ca="1" si="39"/>
        <v>1207</v>
      </c>
    </row>
    <row r="1260" spans="1:2" x14ac:dyDescent="0.25">
      <c r="A1260" s="20">
        <f t="shared" ca="1" si="38"/>
        <v>0.79135384016249533</v>
      </c>
      <c r="B1260" s="21">
        <f t="shared" ca="1" si="39"/>
        <v>3662</v>
      </c>
    </row>
    <row r="1261" spans="1:2" x14ac:dyDescent="0.25">
      <c r="A1261" s="20">
        <f t="shared" ca="1" si="38"/>
        <v>0.92384351621390681</v>
      </c>
      <c r="B1261" s="21">
        <f t="shared" ca="1" si="39"/>
        <v>4263</v>
      </c>
    </row>
    <row r="1262" spans="1:2" x14ac:dyDescent="0.25">
      <c r="A1262" s="20">
        <f t="shared" ca="1" si="38"/>
        <v>0.58554900211518035</v>
      </c>
      <c r="B1262" s="21">
        <f t="shared" ca="1" si="39"/>
        <v>2744</v>
      </c>
    </row>
    <row r="1263" spans="1:2" x14ac:dyDescent="0.25">
      <c r="A1263" s="20">
        <f t="shared" ca="1" si="38"/>
        <v>0.8257346262743176</v>
      </c>
      <c r="B1263" s="21">
        <f t="shared" ca="1" si="39"/>
        <v>3824</v>
      </c>
    </row>
    <row r="1264" spans="1:2" x14ac:dyDescent="0.25">
      <c r="A1264" s="20">
        <f t="shared" ca="1" si="38"/>
        <v>0.2338669463584907</v>
      </c>
      <c r="B1264" s="21">
        <f t="shared" ca="1" si="39"/>
        <v>1098</v>
      </c>
    </row>
    <row r="1265" spans="1:2" x14ac:dyDescent="0.25">
      <c r="A1265" s="20">
        <f t="shared" ca="1" si="38"/>
        <v>5.0887594215405674E-2</v>
      </c>
      <c r="B1265" s="21">
        <f t="shared" ca="1" si="39"/>
        <v>213</v>
      </c>
    </row>
    <row r="1266" spans="1:2" x14ac:dyDescent="0.25">
      <c r="A1266" s="20">
        <f t="shared" ca="1" si="38"/>
        <v>1.7054561122791689E-2</v>
      </c>
      <c r="B1266" s="21">
        <f t="shared" ca="1" si="39"/>
        <v>59</v>
      </c>
    </row>
    <row r="1267" spans="1:2" x14ac:dyDescent="0.25">
      <c r="A1267" s="20">
        <f t="shared" ca="1" si="38"/>
        <v>0.19258433781422202</v>
      </c>
      <c r="B1267" s="21">
        <f t="shared" ca="1" si="39"/>
        <v>886</v>
      </c>
    </row>
    <row r="1268" spans="1:2" x14ac:dyDescent="0.25">
      <c r="A1268" s="20">
        <f t="shared" ca="1" si="38"/>
        <v>0.16943661802082333</v>
      </c>
      <c r="B1268" s="21">
        <f t="shared" ca="1" si="39"/>
        <v>765</v>
      </c>
    </row>
    <row r="1269" spans="1:2" x14ac:dyDescent="0.25">
      <c r="A1269" s="20">
        <f t="shared" ca="1" si="38"/>
        <v>0.76046149030466825</v>
      </c>
      <c r="B1269" s="21">
        <f t="shared" ca="1" si="39"/>
        <v>3525</v>
      </c>
    </row>
    <row r="1270" spans="1:2" x14ac:dyDescent="0.25">
      <c r="A1270" s="20">
        <f t="shared" ca="1" si="38"/>
        <v>0.68536428076122702</v>
      </c>
      <c r="B1270" s="21">
        <f t="shared" ca="1" si="39"/>
        <v>3183</v>
      </c>
    </row>
    <row r="1271" spans="1:2" x14ac:dyDescent="0.25">
      <c r="A1271" s="20">
        <f t="shared" ca="1" si="38"/>
        <v>0.61361624569022732</v>
      </c>
      <c r="B1271" s="21">
        <f t="shared" ca="1" si="39"/>
        <v>2855</v>
      </c>
    </row>
    <row r="1272" spans="1:2" x14ac:dyDescent="0.25">
      <c r="A1272" s="20">
        <f t="shared" ca="1" si="38"/>
        <v>0.28340782645212914</v>
      </c>
      <c r="B1272" s="21">
        <f t="shared" ca="1" si="39"/>
        <v>1325</v>
      </c>
    </row>
    <row r="1273" spans="1:2" x14ac:dyDescent="0.25">
      <c r="A1273" s="20">
        <f t="shared" ca="1" si="38"/>
        <v>0.48989357260448529</v>
      </c>
      <c r="B1273" s="21">
        <f t="shared" ca="1" si="39"/>
        <v>2278</v>
      </c>
    </row>
    <row r="1274" spans="1:2" x14ac:dyDescent="0.25">
      <c r="A1274" s="20">
        <f t="shared" ca="1" si="38"/>
        <v>0.5691821178181502</v>
      </c>
      <c r="B1274" s="21">
        <f t="shared" ca="1" si="39"/>
        <v>2659</v>
      </c>
    </row>
    <row r="1275" spans="1:2" x14ac:dyDescent="0.25">
      <c r="A1275" s="20">
        <f t="shared" ca="1" si="38"/>
        <v>0.66406988860606486</v>
      </c>
      <c r="B1275" s="21">
        <f t="shared" ca="1" si="39"/>
        <v>3076</v>
      </c>
    </row>
    <row r="1276" spans="1:2" x14ac:dyDescent="0.25">
      <c r="A1276" s="20">
        <f t="shared" ca="1" si="38"/>
        <v>0.9226228930610153</v>
      </c>
      <c r="B1276" s="21">
        <f t="shared" ca="1" si="39"/>
        <v>4257</v>
      </c>
    </row>
    <row r="1277" spans="1:2" x14ac:dyDescent="0.25">
      <c r="A1277" s="20">
        <f t="shared" ca="1" si="38"/>
        <v>0.82271506049022436</v>
      </c>
      <c r="B1277" s="21">
        <f t="shared" ca="1" si="39"/>
        <v>3809</v>
      </c>
    </row>
    <row r="1278" spans="1:2" x14ac:dyDescent="0.25">
      <c r="A1278" s="20">
        <f t="shared" ca="1" si="38"/>
        <v>0.81836445999777774</v>
      </c>
      <c r="B1278" s="21">
        <f t="shared" ca="1" si="39"/>
        <v>3788</v>
      </c>
    </row>
    <row r="1279" spans="1:2" x14ac:dyDescent="0.25">
      <c r="A1279" s="20">
        <f t="shared" ca="1" si="38"/>
        <v>0.93907900581521953</v>
      </c>
      <c r="B1279" s="21">
        <f t="shared" ca="1" si="39"/>
        <v>4344</v>
      </c>
    </row>
    <row r="1280" spans="1:2" x14ac:dyDescent="0.25">
      <c r="A1280" s="20">
        <f t="shared" ca="1" si="38"/>
        <v>0.47632851547642507</v>
      </c>
      <c r="B1280" s="21">
        <f t="shared" ca="1" si="39"/>
        <v>2220</v>
      </c>
    </row>
    <row r="1281" spans="1:2" x14ac:dyDescent="0.25">
      <c r="A1281" s="20">
        <f t="shared" ca="1" si="38"/>
        <v>0.45278756830869038</v>
      </c>
      <c r="B1281" s="21">
        <f t="shared" ca="1" si="39"/>
        <v>2116</v>
      </c>
    </row>
    <row r="1282" spans="1:2" x14ac:dyDescent="0.25">
      <c r="A1282" s="20">
        <f t="shared" ca="1" si="38"/>
        <v>0.92337604100047743</v>
      </c>
      <c r="B1282" s="21">
        <f t="shared" ca="1" si="39"/>
        <v>4260</v>
      </c>
    </row>
    <row r="1283" spans="1:2" x14ac:dyDescent="0.25">
      <c r="A1283" s="20">
        <f t="shared" ref="A1283:A1346" ca="1" si="40">RAND()</f>
        <v>0.28730771270607791</v>
      </c>
      <c r="B1283" s="21">
        <f t="shared" ref="B1283:B1346" ca="1" si="41">_xlfn.RANK.EQ($A1283,$A:$A,1)</f>
        <v>1346</v>
      </c>
    </row>
    <row r="1284" spans="1:2" x14ac:dyDescent="0.25">
      <c r="A1284" s="20">
        <f t="shared" ca="1" si="40"/>
        <v>0.15470672317411427</v>
      </c>
      <c r="B1284" s="21">
        <f t="shared" ca="1" si="41"/>
        <v>694</v>
      </c>
    </row>
    <row r="1285" spans="1:2" x14ac:dyDescent="0.25">
      <c r="A1285" s="20">
        <f t="shared" ca="1" si="40"/>
        <v>0.34893595441364678</v>
      </c>
      <c r="B1285" s="21">
        <f t="shared" ca="1" si="41"/>
        <v>1643</v>
      </c>
    </row>
    <row r="1286" spans="1:2" x14ac:dyDescent="0.25">
      <c r="A1286" s="20">
        <f t="shared" ca="1" si="40"/>
        <v>0.49357739501244879</v>
      </c>
      <c r="B1286" s="21">
        <f t="shared" ca="1" si="41"/>
        <v>2298</v>
      </c>
    </row>
    <row r="1287" spans="1:2" x14ac:dyDescent="0.25">
      <c r="A1287" s="20">
        <f t="shared" ca="1" si="40"/>
        <v>0.34974103395140299</v>
      </c>
      <c r="B1287" s="21">
        <f t="shared" ca="1" si="41"/>
        <v>1649</v>
      </c>
    </row>
    <row r="1288" spans="1:2" x14ac:dyDescent="0.25">
      <c r="A1288" s="20">
        <f t="shared" ca="1" si="40"/>
        <v>0.60896798590358403</v>
      </c>
      <c r="B1288" s="21">
        <f t="shared" ca="1" si="41"/>
        <v>2836</v>
      </c>
    </row>
    <row r="1289" spans="1:2" x14ac:dyDescent="0.25">
      <c r="A1289" s="20">
        <f t="shared" ca="1" si="40"/>
        <v>0.15774447869156361</v>
      </c>
      <c r="B1289" s="21">
        <f t="shared" ca="1" si="41"/>
        <v>708</v>
      </c>
    </row>
    <row r="1290" spans="1:2" x14ac:dyDescent="0.25">
      <c r="A1290" s="20">
        <f t="shared" ca="1" si="40"/>
        <v>0.88798056401590075</v>
      </c>
      <c r="B1290" s="21">
        <f t="shared" ca="1" si="41"/>
        <v>4091</v>
      </c>
    </row>
    <row r="1291" spans="1:2" x14ac:dyDescent="0.25">
      <c r="A1291" s="20">
        <f t="shared" ca="1" si="40"/>
        <v>0.57458442366479912</v>
      </c>
      <c r="B1291" s="21">
        <f t="shared" ca="1" si="41"/>
        <v>2682</v>
      </c>
    </row>
    <row r="1292" spans="1:2" x14ac:dyDescent="0.25">
      <c r="A1292" s="20">
        <f t="shared" ca="1" si="40"/>
        <v>0.8401693444965731</v>
      </c>
      <c r="B1292" s="21">
        <f t="shared" ca="1" si="41"/>
        <v>3874</v>
      </c>
    </row>
    <row r="1293" spans="1:2" x14ac:dyDescent="0.25">
      <c r="A1293" s="20">
        <f t="shared" ca="1" si="40"/>
        <v>0.72619220972997922</v>
      </c>
      <c r="B1293" s="21">
        <f t="shared" ca="1" si="41"/>
        <v>3359</v>
      </c>
    </row>
    <row r="1294" spans="1:2" x14ac:dyDescent="0.25">
      <c r="A1294" s="20">
        <f t="shared" ca="1" si="40"/>
        <v>0.64390419657576592</v>
      </c>
      <c r="B1294" s="21">
        <f t="shared" ca="1" si="41"/>
        <v>2992</v>
      </c>
    </row>
    <row r="1295" spans="1:2" x14ac:dyDescent="0.25">
      <c r="A1295" s="20">
        <f t="shared" ca="1" si="40"/>
        <v>0.64879216201221768</v>
      </c>
      <c r="B1295" s="21">
        <f t="shared" ca="1" si="41"/>
        <v>3015</v>
      </c>
    </row>
    <row r="1296" spans="1:2" x14ac:dyDescent="0.25">
      <c r="A1296" s="20">
        <f t="shared" ca="1" si="40"/>
        <v>0.32038331405126663</v>
      </c>
      <c r="B1296" s="21">
        <f t="shared" ca="1" si="41"/>
        <v>1504</v>
      </c>
    </row>
    <row r="1297" spans="1:2" x14ac:dyDescent="0.25">
      <c r="A1297" s="20">
        <f t="shared" ca="1" si="40"/>
        <v>0.66552477489799011</v>
      </c>
      <c r="B1297" s="21">
        <f t="shared" ca="1" si="41"/>
        <v>3082</v>
      </c>
    </row>
    <row r="1298" spans="1:2" x14ac:dyDescent="0.25">
      <c r="A1298" s="20">
        <f t="shared" ca="1" si="40"/>
        <v>0.96888713695715045</v>
      </c>
      <c r="B1298" s="21">
        <f t="shared" ca="1" si="41"/>
        <v>4492</v>
      </c>
    </row>
    <row r="1299" spans="1:2" x14ac:dyDescent="0.25">
      <c r="A1299" s="20">
        <f t="shared" ca="1" si="40"/>
        <v>0.16974906162069836</v>
      </c>
      <c r="B1299" s="21">
        <f t="shared" ca="1" si="41"/>
        <v>767</v>
      </c>
    </row>
    <row r="1300" spans="1:2" x14ac:dyDescent="0.25">
      <c r="A1300" s="20">
        <f t="shared" ca="1" si="40"/>
        <v>0.76907010801397424</v>
      </c>
      <c r="B1300" s="21">
        <f t="shared" ca="1" si="41"/>
        <v>3566</v>
      </c>
    </row>
    <row r="1301" spans="1:2" x14ac:dyDescent="0.25">
      <c r="A1301" s="20">
        <f t="shared" ca="1" si="40"/>
        <v>0.72366866085004999</v>
      </c>
      <c r="B1301" s="21">
        <f t="shared" ca="1" si="41"/>
        <v>3347</v>
      </c>
    </row>
    <row r="1302" spans="1:2" x14ac:dyDescent="0.25">
      <c r="A1302" s="20">
        <f t="shared" ca="1" si="40"/>
        <v>0.70704892162537381</v>
      </c>
      <c r="B1302" s="21">
        <f t="shared" ca="1" si="41"/>
        <v>3273</v>
      </c>
    </row>
    <row r="1303" spans="1:2" x14ac:dyDescent="0.25">
      <c r="A1303" s="20">
        <f t="shared" ca="1" si="40"/>
        <v>0.68483467604255222</v>
      </c>
      <c r="B1303" s="21">
        <f t="shared" ca="1" si="41"/>
        <v>3181</v>
      </c>
    </row>
    <row r="1304" spans="1:2" x14ac:dyDescent="0.25">
      <c r="A1304" s="20">
        <f t="shared" ca="1" si="40"/>
        <v>0.69085440623935979</v>
      </c>
      <c r="B1304" s="21">
        <f t="shared" ca="1" si="41"/>
        <v>3205</v>
      </c>
    </row>
    <row r="1305" spans="1:2" x14ac:dyDescent="0.25">
      <c r="A1305" s="20">
        <f t="shared" ca="1" si="40"/>
        <v>0.44388797415263692</v>
      </c>
      <c r="B1305" s="21">
        <f t="shared" ca="1" si="41"/>
        <v>2076</v>
      </c>
    </row>
    <row r="1306" spans="1:2" x14ac:dyDescent="0.25">
      <c r="A1306" s="20">
        <f t="shared" ca="1" si="40"/>
        <v>0.90921730313217974</v>
      </c>
      <c r="B1306" s="21">
        <f t="shared" ca="1" si="41"/>
        <v>4197</v>
      </c>
    </row>
    <row r="1307" spans="1:2" x14ac:dyDescent="0.25">
      <c r="A1307" s="20">
        <f t="shared" ca="1" si="40"/>
        <v>0.42237554184288095</v>
      </c>
      <c r="B1307" s="21">
        <f t="shared" ca="1" si="41"/>
        <v>1986</v>
      </c>
    </row>
    <row r="1308" spans="1:2" x14ac:dyDescent="0.25">
      <c r="A1308" s="20">
        <f t="shared" ca="1" si="40"/>
        <v>0.68815321552630704</v>
      </c>
      <c r="B1308" s="21">
        <f t="shared" ca="1" si="41"/>
        <v>3195</v>
      </c>
    </row>
    <row r="1309" spans="1:2" x14ac:dyDescent="0.25">
      <c r="A1309" s="20">
        <f t="shared" ca="1" si="40"/>
        <v>0.37534324535663688</v>
      </c>
      <c r="B1309" s="21">
        <f t="shared" ca="1" si="41"/>
        <v>1779</v>
      </c>
    </row>
    <row r="1310" spans="1:2" x14ac:dyDescent="0.25">
      <c r="A1310" s="20">
        <f t="shared" ca="1" si="40"/>
        <v>0.31611563389446318</v>
      </c>
      <c r="B1310" s="21">
        <f t="shared" ca="1" si="41"/>
        <v>1481</v>
      </c>
    </row>
    <row r="1311" spans="1:2" x14ac:dyDescent="0.25">
      <c r="A1311" s="20">
        <f t="shared" ca="1" si="40"/>
        <v>0.957619423995826</v>
      </c>
      <c r="B1311" s="21">
        <f t="shared" ca="1" si="41"/>
        <v>4432</v>
      </c>
    </row>
    <row r="1312" spans="1:2" x14ac:dyDescent="0.25">
      <c r="A1312" s="20">
        <f t="shared" ca="1" si="40"/>
        <v>0.40087373646582758</v>
      </c>
      <c r="B1312" s="21">
        <f t="shared" ca="1" si="41"/>
        <v>1886</v>
      </c>
    </row>
    <row r="1313" spans="1:2" x14ac:dyDescent="0.25">
      <c r="A1313" s="20">
        <f t="shared" ca="1" si="40"/>
        <v>7.8609469120302866E-2</v>
      </c>
      <c r="B1313" s="21">
        <f t="shared" ca="1" si="41"/>
        <v>353</v>
      </c>
    </row>
    <row r="1314" spans="1:2" x14ac:dyDescent="0.25">
      <c r="A1314" s="20">
        <f t="shared" ca="1" si="40"/>
        <v>0.40736800263896755</v>
      </c>
      <c r="B1314" s="21">
        <f t="shared" ca="1" si="41"/>
        <v>1911</v>
      </c>
    </row>
    <row r="1315" spans="1:2" x14ac:dyDescent="0.25">
      <c r="A1315" s="20">
        <f t="shared" ca="1" si="40"/>
        <v>0.30970643526972108</v>
      </c>
      <c r="B1315" s="21">
        <f t="shared" ca="1" si="41"/>
        <v>1453</v>
      </c>
    </row>
    <row r="1316" spans="1:2" x14ac:dyDescent="0.25">
      <c r="A1316" s="20">
        <f t="shared" ca="1" si="40"/>
        <v>0.6062543490929756</v>
      </c>
      <c r="B1316" s="21">
        <f t="shared" ca="1" si="41"/>
        <v>2825</v>
      </c>
    </row>
    <row r="1317" spans="1:2" x14ac:dyDescent="0.25">
      <c r="A1317" s="20">
        <f t="shared" ca="1" si="40"/>
        <v>0.55732643670821647</v>
      </c>
      <c r="B1317" s="21">
        <f t="shared" ca="1" si="41"/>
        <v>2608</v>
      </c>
    </row>
    <row r="1318" spans="1:2" x14ac:dyDescent="0.25">
      <c r="A1318" s="20">
        <f t="shared" ca="1" si="40"/>
        <v>0.52122012393699257</v>
      </c>
      <c r="B1318" s="21">
        <f t="shared" ca="1" si="41"/>
        <v>2435</v>
      </c>
    </row>
    <row r="1319" spans="1:2" x14ac:dyDescent="0.25">
      <c r="A1319" s="20">
        <f t="shared" ca="1" si="40"/>
        <v>8.8949811132547962E-2</v>
      </c>
      <c r="B1319" s="21">
        <f t="shared" ca="1" si="41"/>
        <v>398</v>
      </c>
    </row>
    <row r="1320" spans="1:2" x14ac:dyDescent="0.25">
      <c r="A1320" s="20">
        <f t="shared" ca="1" si="40"/>
        <v>0.48420500430284441</v>
      </c>
      <c r="B1320" s="21">
        <f t="shared" ca="1" si="41"/>
        <v>2256</v>
      </c>
    </row>
    <row r="1321" spans="1:2" x14ac:dyDescent="0.25">
      <c r="A1321" s="20">
        <f t="shared" ca="1" si="40"/>
        <v>0.42670045979360782</v>
      </c>
      <c r="B1321" s="21">
        <f t="shared" ca="1" si="41"/>
        <v>2003</v>
      </c>
    </row>
    <row r="1322" spans="1:2" x14ac:dyDescent="0.25">
      <c r="A1322" s="20">
        <f t="shared" ca="1" si="40"/>
        <v>0.80240599901533216</v>
      </c>
      <c r="B1322" s="21">
        <f t="shared" ca="1" si="41"/>
        <v>3716</v>
      </c>
    </row>
    <row r="1323" spans="1:2" x14ac:dyDescent="0.25">
      <c r="A1323" s="20">
        <f t="shared" ca="1" si="40"/>
        <v>0.29683287410961523</v>
      </c>
      <c r="B1323" s="21">
        <f t="shared" ca="1" si="41"/>
        <v>1393</v>
      </c>
    </row>
    <row r="1324" spans="1:2" x14ac:dyDescent="0.25">
      <c r="A1324" s="20">
        <f t="shared" ca="1" si="40"/>
        <v>1.3885711621824282E-2</v>
      </c>
      <c r="B1324" s="21">
        <f t="shared" ca="1" si="41"/>
        <v>50</v>
      </c>
    </row>
    <row r="1325" spans="1:2" x14ac:dyDescent="0.25">
      <c r="A1325" s="20">
        <f t="shared" ca="1" si="40"/>
        <v>0.44334233210060459</v>
      </c>
      <c r="B1325" s="21">
        <f t="shared" ca="1" si="41"/>
        <v>2071</v>
      </c>
    </row>
    <row r="1326" spans="1:2" x14ac:dyDescent="0.25">
      <c r="A1326" s="20">
        <f t="shared" ca="1" si="40"/>
        <v>0.91966886266374226</v>
      </c>
      <c r="B1326" s="21">
        <f t="shared" ca="1" si="41"/>
        <v>4239</v>
      </c>
    </row>
    <row r="1327" spans="1:2" x14ac:dyDescent="0.25">
      <c r="A1327" s="20">
        <f t="shared" ca="1" si="40"/>
        <v>0.16847541336398297</v>
      </c>
      <c r="B1327" s="21">
        <f t="shared" ca="1" si="41"/>
        <v>755</v>
      </c>
    </row>
    <row r="1328" spans="1:2" x14ac:dyDescent="0.25">
      <c r="A1328" s="20">
        <f t="shared" ca="1" si="40"/>
        <v>0.34095998941185235</v>
      </c>
      <c r="B1328" s="21">
        <f t="shared" ca="1" si="41"/>
        <v>1602</v>
      </c>
    </row>
    <row r="1329" spans="1:2" x14ac:dyDescent="0.25">
      <c r="A1329" s="20">
        <f t="shared" ca="1" si="40"/>
        <v>0.25192115194338749</v>
      </c>
      <c r="B1329" s="21">
        <f t="shared" ca="1" si="41"/>
        <v>1177</v>
      </c>
    </row>
    <row r="1330" spans="1:2" x14ac:dyDescent="0.25">
      <c r="A1330" s="20">
        <f t="shared" ca="1" si="40"/>
        <v>0.12227311798569007</v>
      </c>
      <c r="B1330" s="21">
        <f t="shared" ca="1" si="41"/>
        <v>540</v>
      </c>
    </row>
    <row r="1331" spans="1:2" x14ac:dyDescent="0.25">
      <c r="A1331" s="20">
        <f t="shared" ca="1" si="40"/>
        <v>6.8951606701956991E-2</v>
      </c>
      <c r="B1331" s="21">
        <f t="shared" ca="1" si="41"/>
        <v>308</v>
      </c>
    </row>
    <row r="1332" spans="1:2" x14ac:dyDescent="0.25">
      <c r="A1332" s="20">
        <f t="shared" ca="1" si="40"/>
        <v>0.38354668500118039</v>
      </c>
      <c r="B1332" s="21">
        <f t="shared" ca="1" si="41"/>
        <v>1798</v>
      </c>
    </row>
    <row r="1333" spans="1:2" x14ac:dyDescent="0.25">
      <c r="A1333" s="20">
        <f t="shared" ca="1" si="40"/>
        <v>0.95843547845998922</v>
      </c>
      <c r="B1333" s="21">
        <f t="shared" ca="1" si="41"/>
        <v>4435</v>
      </c>
    </row>
    <row r="1334" spans="1:2" x14ac:dyDescent="0.25">
      <c r="A1334" s="20">
        <f t="shared" ca="1" si="40"/>
        <v>0.68151895085457859</v>
      </c>
      <c r="B1334" s="21">
        <f t="shared" ca="1" si="41"/>
        <v>3164</v>
      </c>
    </row>
    <row r="1335" spans="1:2" x14ac:dyDescent="0.25">
      <c r="A1335" s="20">
        <f t="shared" ca="1" si="40"/>
        <v>0.36695672004319657</v>
      </c>
      <c r="B1335" s="21">
        <f t="shared" ca="1" si="41"/>
        <v>1741</v>
      </c>
    </row>
    <row r="1336" spans="1:2" x14ac:dyDescent="0.25">
      <c r="A1336" s="20">
        <f t="shared" ca="1" si="40"/>
        <v>0.45020696553471895</v>
      </c>
      <c r="B1336" s="21">
        <f t="shared" ca="1" si="41"/>
        <v>2104</v>
      </c>
    </row>
    <row r="1337" spans="1:2" x14ac:dyDescent="0.25">
      <c r="A1337" s="20">
        <f t="shared" ca="1" si="40"/>
        <v>0.39996300778695082</v>
      </c>
      <c r="B1337" s="21">
        <f t="shared" ca="1" si="41"/>
        <v>1879</v>
      </c>
    </row>
    <row r="1338" spans="1:2" x14ac:dyDescent="0.25">
      <c r="A1338" s="20">
        <f t="shared" ca="1" si="40"/>
        <v>0.72735547927966882</v>
      </c>
      <c r="B1338" s="21">
        <f t="shared" ca="1" si="41"/>
        <v>3365</v>
      </c>
    </row>
    <row r="1339" spans="1:2" x14ac:dyDescent="0.25">
      <c r="A1339" s="20">
        <f t="shared" ca="1" si="40"/>
        <v>6.742612610256693E-2</v>
      </c>
      <c r="B1339" s="21">
        <f t="shared" ca="1" si="41"/>
        <v>298</v>
      </c>
    </row>
    <row r="1340" spans="1:2" x14ac:dyDescent="0.25">
      <c r="A1340" s="20">
        <f t="shared" ca="1" si="40"/>
        <v>0.20614151402160341</v>
      </c>
      <c r="B1340" s="21">
        <f t="shared" ca="1" si="41"/>
        <v>958</v>
      </c>
    </row>
    <row r="1341" spans="1:2" x14ac:dyDescent="0.25">
      <c r="A1341" s="20">
        <f t="shared" ca="1" si="40"/>
        <v>0.50119763161013975</v>
      </c>
      <c r="B1341" s="21">
        <f t="shared" ca="1" si="41"/>
        <v>2328</v>
      </c>
    </row>
    <row r="1342" spans="1:2" x14ac:dyDescent="0.25">
      <c r="A1342" s="20">
        <f t="shared" ca="1" si="40"/>
        <v>0.31296664934463303</v>
      </c>
      <c r="B1342" s="21">
        <f t="shared" ca="1" si="41"/>
        <v>1466</v>
      </c>
    </row>
    <row r="1343" spans="1:2" x14ac:dyDescent="0.25">
      <c r="A1343" s="20">
        <f t="shared" ca="1" si="40"/>
        <v>0.30312770044178439</v>
      </c>
      <c r="B1343" s="21">
        <f t="shared" ca="1" si="41"/>
        <v>1420</v>
      </c>
    </row>
    <row r="1344" spans="1:2" x14ac:dyDescent="0.25">
      <c r="A1344" s="20">
        <f t="shared" ca="1" si="40"/>
        <v>0.94707891807613964</v>
      </c>
      <c r="B1344" s="21">
        <f t="shared" ca="1" si="41"/>
        <v>4387</v>
      </c>
    </row>
    <row r="1345" spans="1:2" x14ac:dyDescent="0.25">
      <c r="A1345" s="20">
        <f t="shared" ca="1" si="40"/>
        <v>0.64577709725989962</v>
      </c>
      <c r="B1345" s="21">
        <f t="shared" ca="1" si="41"/>
        <v>2996</v>
      </c>
    </row>
    <row r="1346" spans="1:2" x14ac:dyDescent="0.25">
      <c r="A1346" s="20">
        <f t="shared" ca="1" si="40"/>
        <v>0.29242900200555</v>
      </c>
      <c r="B1346" s="21">
        <f t="shared" ca="1" si="41"/>
        <v>1377</v>
      </c>
    </row>
    <row r="1347" spans="1:2" x14ac:dyDescent="0.25">
      <c r="A1347" s="20">
        <f t="shared" ref="A1347:A1410" ca="1" si="42">RAND()</f>
        <v>0.32068524106542684</v>
      </c>
      <c r="B1347" s="21">
        <f t="shared" ref="B1347:B1410" ca="1" si="43">_xlfn.RANK.EQ($A1347,$A:$A,1)</f>
        <v>1507</v>
      </c>
    </row>
    <row r="1348" spans="1:2" x14ac:dyDescent="0.25">
      <c r="A1348" s="20">
        <f t="shared" ca="1" si="42"/>
        <v>0.43396521194712123</v>
      </c>
      <c r="B1348" s="21">
        <f t="shared" ca="1" si="43"/>
        <v>2035</v>
      </c>
    </row>
    <row r="1349" spans="1:2" x14ac:dyDescent="0.25">
      <c r="A1349" s="20">
        <f t="shared" ca="1" si="42"/>
        <v>0.18078324010311686</v>
      </c>
      <c r="B1349" s="21">
        <f t="shared" ca="1" si="43"/>
        <v>827</v>
      </c>
    </row>
    <row r="1350" spans="1:2" x14ac:dyDescent="0.25">
      <c r="A1350" s="20">
        <f t="shared" ca="1" si="42"/>
        <v>0.42373682402646551</v>
      </c>
      <c r="B1350" s="21">
        <f t="shared" ca="1" si="43"/>
        <v>1992</v>
      </c>
    </row>
    <row r="1351" spans="1:2" x14ac:dyDescent="0.25">
      <c r="A1351" s="20">
        <f t="shared" ca="1" si="42"/>
        <v>4.7723559640696744E-2</v>
      </c>
      <c r="B1351" s="21">
        <f t="shared" ca="1" si="43"/>
        <v>196</v>
      </c>
    </row>
    <row r="1352" spans="1:2" x14ac:dyDescent="0.25">
      <c r="A1352" s="20">
        <f t="shared" ca="1" si="42"/>
        <v>0.41583343226602976</v>
      </c>
      <c r="B1352" s="21">
        <f t="shared" ca="1" si="43"/>
        <v>1951</v>
      </c>
    </row>
    <row r="1353" spans="1:2" x14ac:dyDescent="0.25">
      <c r="A1353" s="20">
        <f t="shared" ca="1" si="42"/>
        <v>4.3172061423963015E-2</v>
      </c>
      <c r="B1353" s="21">
        <f t="shared" ca="1" si="43"/>
        <v>172</v>
      </c>
    </row>
    <row r="1354" spans="1:2" x14ac:dyDescent="0.25">
      <c r="A1354" s="20">
        <f t="shared" ca="1" si="42"/>
        <v>0.79920241928459756</v>
      </c>
      <c r="B1354" s="21">
        <f t="shared" ca="1" si="43"/>
        <v>3701</v>
      </c>
    </row>
    <row r="1355" spans="1:2" x14ac:dyDescent="0.25">
      <c r="A1355" s="20">
        <f t="shared" ca="1" si="42"/>
        <v>0.16866258965110514</v>
      </c>
      <c r="B1355" s="21">
        <f t="shared" ca="1" si="43"/>
        <v>758</v>
      </c>
    </row>
    <row r="1356" spans="1:2" x14ac:dyDescent="0.25">
      <c r="A1356" s="20">
        <f t="shared" ca="1" si="42"/>
        <v>2.8548529648841914E-4</v>
      </c>
      <c r="B1356" s="21">
        <f t="shared" ca="1" si="43"/>
        <v>2</v>
      </c>
    </row>
    <row r="1357" spans="1:2" x14ac:dyDescent="0.25">
      <c r="A1357" s="20">
        <f t="shared" ca="1" si="42"/>
        <v>0.75299982497359619</v>
      </c>
      <c r="B1357" s="21">
        <f t="shared" ca="1" si="43"/>
        <v>3489</v>
      </c>
    </row>
    <row r="1358" spans="1:2" x14ac:dyDescent="0.25">
      <c r="A1358" s="20">
        <f t="shared" ca="1" si="42"/>
        <v>0.5653573057086293</v>
      </c>
      <c r="B1358" s="21">
        <f t="shared" ca="1" si="43"/>
        <v>2641</v>
      </c>
    </row>
    <row r="1359" spans="1:2" x14ac:dyDescent="0.25">
      <c r="A1359" s="20">
        <f t="shared" ca="1" si="42"/>
        <v>0.245262197827538</v>
      </c>
      <c r="B1359" s="21">
        <f t="shared" ca="1" si="43"/>
        <v>1141</v>
      </c>
    </row>
    <row r="1360" spans="1:2" x14ac:dyDescent="0.25">
      <c r="A1360" s="20">
        <f t="shared" ca="1" si="42"/>
        <v>0.15459877075094586</v>
      </c>
      <c r="B1360" s="21">
        <f t="shared" ca="1" si="43"/>
        <v>692</v>
      </c>
    </row>
    <row r="1361" spans="1:2" x14ac:dyDescent="0.25">
      <c r="A1361" s="20">
        <f t="shared" ca="1" si="42"/>
        <v>0.9373790220089665</v>
      </c>
      <c r="B1361" s="21">
        <f t="shared" ca="1" si="43"/>
        <v>4334</v>
      </c>
    </row>
    <row r="1362" spans="1:2" x14ac:dyDescent="0.25">
      <c r="A1362" s="20">
        <f t="shared" ca="1" si="42"/>
        <v>6.8915053349451361E-2</v>
      </c>
      <c r="B1362" s="21">
        <f t="shared" ca="1" si="43"/>
        <v>307</v>
      </c>
    </row>
    <row r="1363" spans="1:2" x14ac:dyDescent="0.25">
      <c r="A1363" s="20">
        <f t="shared" ca="1" si="42"/>
        <v>0.22458928291432334</v>
      </c>
      <c r="B1363" s="21">
        <f t="shared" ca="1" si="43"/>
        <v>1052</v>
      </c>
    </row>
    <row r="1364" spans="1:2" x14ac:dyDescent="0.25">
      <c r="A1364" s="20">
        <f t="shared" ca="1" si="42"/>
        <v>0.40774748858280374</v>
      </c>
      <c r="B1364" s="21">
        <f t="shared" ca="1" si="43"/>
        <v>1913</v>
      </c>
    </row>
    <row r="1365" spans="1:2" x14ac:dyDescent="0.25">
      <c r="A1365" s="20">
        <f t="shared" ca="1" si="42"/>
        <v>0.17608275557787956</v>
      </c>
      <c r="B1365" s="21">
        <f t="shared" ca="1" si="43"/>
        <v>801</v>
      </c>
    </row>
    <row r="1366" spans="1:2" x14ac:dyDescent="0.25">
      <c r="A1366" s="20">
        <f t="shared" ca="1" si="42"/>
        <v>0.36393994926913598</v>
      </c>
      <c r="B1366" s="21">
        <f t="shared" ca="1" si="43"/>
        <v>1724</v>
      </c>
    </row>
    <row r="1367" spans="1:2" x14ac:dyDescent="0.25">
      <c r="A1367" s="20">
        <f t="shared" ca="1" si="42"/>
        <v>0.31725663392510861</v>
      </c>
      <c r="B1367" s="21">
        <f t="shared" ca="1" si="43"/>
        <v>1487</v>
      </c>
    </row>
    <row r="1368" spans="1:2" x14ac:dyDescent="0.25">
      <c r="A1368" s="20">
        <f t="shared" ca="1" si="42"/>
        <v>0.94615355682910751</v>
      </c>
      <c r="B1368" s="21">
        <f t="shared" ca="1" si="43"/>
        <v>4380</v>
      </c>
    </row>
    <row r="1369" spans="1:2" x14ac:dyDescent="0.25">
      <c r="A1369" s="20">
        <f t="shared" ca="1" si="42"/>
        <v>0.35126603603153583</v>
      </c>
      <c r="B1369" s="21">
        <f t="shared" ca="1" si="43"/>
        <v>1658</v>
      </c>
    </row>
    <row r="1370" spans="1:2" x14ac:dyDescent="0.25">
      <c r="A1370" s="20">
        <f t="shared" ca="1" si="42"/>
        <v>0.65361363708338238</v>
      </c>
      <c r="B1370" s="21">
        <f t="shared" ca="1" si="43"/>
        <v>3030</v>
      </c>
    </row>
    <row r="1371" spans="1:2" x14ac:dyDescent="0.25">
      <c r="A1371" s="20">
        <f t="shared" ca="1" si="42"/>
        <v>0.25847285629021599</v>
      </c>
      <c r="B1371" s="21">
        <f t="shared" ca="1" si="43"/>
        <v>1205</v>
      </c>
    </row>
    <row r="1372" spans="1:2" x14ac:dyDescent="0.25">
      <c r="A1372" s="20">
        <f t="shared" ca="1" si="42"/>
        <v>0.66811667758773363</v>
      </c>
      <c r="B1372" s="21">
        <f t="shared" ca="1" si="43"/>
        <v>3103</v>
      </c>
    </row>
    <row r="1373" spans="1:2" x14ac:dyDescent="0.25">
      <c r="A1373" s="20">
        <f t="shared" ca="1" si="42"/>
        <v>0.70886291917408073</v>
      </c>
      <c r="B1373" s="21">
        <f t="shared" ca="1" si="43"/>
        <v>3284</v>
      </c>
    </row>
    <row r="1374" spans="1:2" x14ac:dyDescent="0.25">
      <c r="A1374" s="20">
        <f t="shared" ca="1" si="42"/>
        <v>0.18921453117252862</v>
      </c>
      <c r="B1374" s="21">
        <f t="shared" ca="1" si="43"/>
        <v>869</v>
      </c>
    </row>
    <row r="1375" spans="1:2" x14ac:dyDescent="0.25">
      <c r="A1375" s="20">
        <f t="shared" ca="1" si="42"/>
        <v>0.25153536564708956</v>
      </c>
      <c r="B1375" s="21">
        <f t="shared" ca="1" si="43"/>
        <v>1176</v>
      </c>
    </row>
    <row r="1376" spans="1:2" x14ac:dyDescent="0.25">
      <c r="A1376" s="20">
        <f t="shared" ca="1" si="42"/>
        <v>0.26998716977197412</v>
      </c>
      <c r="B1376" s="21">
        <f t="shared" ca="1" si="43"/>
        <v>1257</v>
      </c>
    </row>
    <row r="1377" spans="1:2" x14ac:dyDescent="0.25">
      <c r="A1377" s="20">
        <f t="shared" ca="1" si="42"/>
        <v>0.63482662439184812</v>
      </c>
      <c r="B1377" s="21">
        <f t="shared" ca="1" si="43"/>
        <v>2943</v>
      </c>
    </row>
    <row r="1378" spans="1:2" x14ac:dyDescent="0.25">
      <c r="A1378" s="20">
        <f t="shared" ca="1" si="42"/>
        <v>0.98928422584574527</v>
      </c>
      <c r="B1378" s="21">
        <f t="shared" ca="1" si="43"/>
        <v>4581</v>
      </c>
    </row>
    <row r="1379" spans="1:2" x14ac:dyDescent="0.25">
      <c r="A1379" s="20">
        <f t="shared" ca="1" si="42"/>
        <v>0.57439821343795994</v>
      </c>
      <c r="B1379" s="21">
        <f t="shared" ca="1" si="43"/>
        <v>2680</v>
      </c>
    </row>
    <row r="1380" spans="1:2" x14ac:dyDescent="0.25">
      <c r="A1380" s="20">
        <f t="shared" ca="1" si="42"/>
        <v>0.99898329322736379</v>
      </c>
      <c r="B1380" s="21">
        <f t="shared" ca="1" si="43"/>
        <v>4615</v>
      </c>
    </row>
    <row r="1381" spans="1:2" x14ac:dyDescent="0.25">
      <c r="A1381" s="20">
        <f t="shared" ca="1" si="42"/>
        <v>3.2565896960524032E-2</v>
      </c>
      <c r="B1381" s="21">
        <f t="shared" ca="1" si="43"/>
        <v>128</v>
      </c>
    </row>
    <row r="1382" spans="1:2" x14ac:dyDescent="0.25">
      <c r="A1382" s="20">
        <f t="shared" ca="1" si="42"/>
        <v>0.16454896295998778</v>
      </c>
      <c r="B1382" s="21">
        <f t="shared" ca="1" si="43"/>
        <v>735</v>
      </c>
    </row>
    <row r="1383" spans="1:2" x14ac:dyDescent="0.25">
      <c r="A1383" s="20">
        <f t="shared" ca="1" si="42"/>
        <v>0.99787095694902839</v>
      </c>
      <c r="B1383" s="21">
        <f t="shared" ca="1" si="43"/>
        <v>4608</v>
      </c>
    </row>
    <row r="1384" spans="1:2" x14ac:dyDescent="0.25">
      <c r="A1384" s="20">
        <f t="shared" ca="1" si="42"/>
        <v>0.56544771287624596</v>
      </c>
      <c r="B1384" s="21">
        <f t="shared" ca="1" si="43"/>
        <v>2643</v>
      </c>
    </row>
    <row r="1385" spans="1:2" x14ac:dyDescent="0.25">
      <c r="A1385" s="20">
        <f t="shared" ca="1" si="42"/>
        <v>0.1577852933659758</v>
      </c>
      <c r="B1385" s="21">
        <f t="shared" ca="1" si="43"/>
        <v>709</v>
      </c>
    </row>
    <row r="1386" spans="1:2" x14ac:dyDescent="0.25">
      <c r="A1386" s="20">
        <f t="shared" ca="1" si="42"/>
        <v>0.59499157440848183</v>
      </c>
      <c r="B1386" s="21">
        <f t="shared" ca="1" si="43"/>
        <v>2781</v>
      </c>
    </row>
    <row r="1387" spans="1:2" x14ac:dyDescent="0.25">
      <c r="A1387" s="20">
        <f t="shared" ca="1" si="42"/>
        <v>0.81446801282701053</v>
      </c>
      <c r="B1387" s="21">
        <f t="shared" ca="1" si="43"/>
        <v>3769</v>
      </c>
    </row>
    <row r="1388" spans="1:2" x14ac:dyDescent="0.25">
      <c r="A1388" s="20">
        <f t="shared" ca="1" si="42"/>
        <v>0.80254324385929277</v>
      </c>
      <c r="B1388" s="21">
        <f t="shared" ca="1" si="43"/>
        <v>3717</v>
      </c>
    </row>
    <row r="1389" spans="1:2" x14ac:dyDescent="0.25">
      <c r="A1389" s="20">
        <f t="shared" ca="1" si="42"/>
        <v>0.19241075215472647</v>
      </c>
      <c r="B1389" s="21">
        <f t="shared" ca="1" si="43"/>
        <v>885</v>
      </c>
    </row>
    <row r="1390" spans="1:2" x14ac:dyDescent="0.25">
      <c r="A1390" s="20">
        <f t="shared" ca="1" si="42"/>
        <v>0.7374358015350293</v>
      </c>
      <c r="B1390" s="21">
        <f t="shared" ca="1" si="43"/>
        <v>3411</v>
      </c>
    </row>
    <row r="1391" spans="1:2" x14ac:dyDescent="0.25">
      <c r="A1391" s="20">
        <f t="shared" ca="1" si="42"/>
        <v>0.34268490567626375</v>
      </c>
      <c r="B1391" s="21">
        <f t="shared" ca="1" si="43"/>
        <v>1609</v>
      </c>
    </row>
    <row r="1392" spans="1:2" x14ac:dyDescent="0.25">
      <c r="A1392" s="20">
        <f t="shared" ca="1" si="42"/>
        <v>0.11075366737934167</v>
      </c>
      <c r="B1392" s="21">
        <f t="shared" ca="1" si="43"/>
        <v>486</v>
      </c>
    </row>
    <row r="1393" spans="1:2" x14ac:dyDescent="0.25">
      <c r="A1393" s="20">
        <f t="shared" ca="1" si="42"/>
        <v>0.7446953185934766</v>
      </c>
      <c r="B1393" s="21">
        <f t="shared" ca="1" si="43"/>
        <v>3440</v>
      </c>
    </row>
    <row r="1394" spans="1:2" x14ac:dyDescent="0.25">
      <c r="A1394" s="20">
        <f t="shared" ca="1" si="42"/>
        <v>0.72966349797042185</v>
      </c>
      <c r="B1394" s="21">
        <f t="shared" ca="1" si="43"/>
        <v>3383</v>
      </c>
    </row>
    <row r="1395" spans="1:2" x14ac:dyDescent="0.25">
      <c r="A1395" s="20">
        <f t="shared" ca="1" si="42"/>
        <v>0.34377851468882792</v>
      </c>
      <c r="B1395" s="21">
        <f t="shared" ca="1" si="43"/>
        <v>1615</v>
      </c>
    </row>
    <row r="1396" spans="1:2" x14ac:dyDescent="0.25">
      <c r="A1396" s="20">
        <f t="shared" ca="1" si="42"/>
        <v>0.4083404604095846</v>
      </c>
      <c r="B1396" s="21">
        <f t="shared" ca="1" si="43"/>
        <v>1920</v>
      </c>
    </row>
    <row r="1397" spans="1:2" x14ac:dyDescent="0.25">
      <c r="A1397" s="20">
        <f t="shared" ca="1" si="42"/>
        <v>0.91489679338927332</v>
      </c>
      <c r="B1397" s="21">
        <f t="shared" ca="1" si="43"/>
        <v>4224</v>
      </c>
    </row>
    <row r="1398" spans="1:2" x14ac:dyDescent="0.25">
      <c r="A1398" s="20">
        <f t="shared" ca="1" si="42"/>
        <v>0.91975393363444269</v>
      </c>
      <c r="B1398" s="21">
        <f t="shared" ca="1" si="43"/>
        <v>4240</v>
      </c>
    </row>
    <row r="1399" spans="1:2" x14ac:dyDescent="0.25">
      <c r="A1399" s="20">
        <f t="shared" ca="1" si="42"/>
        <v>0.62873037931071585</v>
      </c>
      <c r="B1399" s="21">
        <f t="shared" ca="1" si="43"/>
        <v>2910</v>
      </c>
    </row>
    <row r="1400" spans="1:2" x14ac:dyDescent="0.25">
      <c r="A1400" s="20">
        <f t="shared" ca="1" si="42"/>
        <v>0.65508719044882091</v>
      </c>
      <c r="B1400" s="21">
        <f t="shared" ca="1" si="43"/>
        <v>3038</v>
      </c>
    </row>
    <row r="1401" spans="1:2" x14ac:dyDescent="0.25">
      <c r="A1401" s="20">
        <f t="shared" ca="1" si="42"/>
        <v>0.91297245927059634</v>
      </c>
      <c r="B1401" s="21">
        <f t="shared" ca="1" si="43"/>
        <v>4210</v>
      </c>
    </row>
    <row r="1402" spans="1:2" x14ac:dyDescent="0.25">
      <c r="A1402" s="20">
        <f t="shared" ca="1" si="42"/>
        <v>0.79733197293374702</v>
      </c>
      <c r="B1402" s="21">
        <f t="shared" ca="1" si="43"/>
        <v>3692</v>
      </c>
    </row>
    <row r="1403" spans="1:2" x14ac:dyDescent="0.25">
      <c r="A1403" s="20">
        <f t="shared" ca="1" si="42"/>
        <v>0.71620984867769777</v>
      </c>
      <c r="B1403" s="21">
        <f t="shared" ca="1" si="43"/>
        <v>3313</v>
      </c>
    </row>
    <row r="1404" spans="1:2" x14ac:dyDescent="0.25">
      <c r="A1404" s="20">
        <f t="shared" ca="1" si="42"/>
        <v>3.1042781272484388E-2</v>
      </c>
      <c r="B1404" s="21">
        <f t="shared" ca="1" si="43"/>
        <v>117</v>
      </c>
    </row>
    <row r="1405" spans="1:2" x14ac:dyDescent="0.25">
      <c r="A1405" s="20">
        <f t="shared" ca="1" si="42"/>
        <v>0.56372001368016811</v>
      </c>
      <c r="B1405" s="21">
        <f t="shared" ca="1" si="43"/>
        <v>2635</v>
      </c>
    </row>
    <row r="1406" spans="1:2" x14ac:dyDescent="0.25">
      <c r="A1406" s="20">
        <f t="shared" ca="1" si="42"/>
        <v>0.72858044495368002</v>
      </c>
      <c r="B1406" s="21">
        <f t="shared" ca="1" si="43"/>
        <v>3373</v>
      </c>
    </row>
    <row r="1407" spans="1:2" x14ac:dyDescent="0.25">
      <c r="A1407" s="20">
        <f t="shared" ca="1" si="42"/>
        <v>0.83065097946918443</v>
      </c>
      <c r="B1407" s="21">
        <f t="shared" ca="1" si="43"/>
        <v>3844</v>
      </c>
    </row>
    <row r="1408" spans="1:2" x14ac:dyDescent="0.25">
      <c r="A1408" s="20">
        <f t="shared" ca="1" si="42"/>
        <v>0.41181342857294589</v>
      </c>
      <c r="B1408" s="21">
        <f t="shared" ca="1" si="43"/>
        <v>1933</v>
      </c>
    </row>
    <row r="1409" spans="1:2" x14ac:dyDescent="0.25">
      <c r="A1409" s="20">
        <f t="shared" ca="1" si="42"/>
        <v>0.62905477052605252</v>
      </c>
      <c r="B1409" s="21">
        <f t="shared" ca="1" si="43"/>
        <v>2914</v>
      </c>
    </row>
    <row r="1410" spans="1:2" x14ac:dyDescent="0.25">
      <c r="A1410" s="20">
        <f t="shared" ca="1" si="42"/>
        <v>0.94250437416081156</v>
      </c>
      <c r="B1410" s="21">
        <f t="shared" ca="1" si="43"/>
        <v>4359</v>
      </c>
    </row>
    <row r="1411" spans="1:2" x14ac:dyDescent="0.25">
      <c r="A1411" s="20">
        <f t="shared" ref="A1411:A1474" ca="1" si="44">RAND()</f>
        <v>0.11191531556550949</v>
      </c>
      <c r="B1411" s="21">
        <f t="shared" ref="B1411:B1474" ca="1" si="45">_xlfn.RANK.EQ($A1411,$A:$A,1)</f>
        <v>495</v>
      </c>
    </row>
    <row r="1412" spans="1:2" x14ac:dyDescent="0.25">
      <c r="A1412" s="20">
        <f t="shared" ca="1" si="44"/>
        <v>6.1852951810764001E-2</v>
      </c>
      <c r="B1412" s="21">
        <f t="shared" ca="1" si="45"/>
        <v>269</v>
      </c>
    </row>
    <row r="1413" spans="1:2" x14ac:dyDescent="0.25">
      <c r="A1413" s="20">
        <f t="shared" ca="1" si="44"/>
        <v>0.90132399025684906</v>
      </c>
      <c r="B1413" s="21">
        <f t="shared" ca="1" si="45"/>
        <v>4160</v>
      </c>
    </row>
    <row r="1414" spans="1:2" x14ac:dyDescent="0.25">
      <c r="A1414" s="20">
        <f t="shared" ca="1" si="44"/>
        <v>0.16032966254746128</v>
      </c>
      <c r="B1414" s="21">
        <f t="shared" ca="1" si="45"/>
        <v>717</v>
      </c>
    </row>
    <row r="1415" spans="1:2" x14ac:dyDescent="0.25">
      <c r="A1415" s="20">
        <f t="shared" ca="1" si="44"/>
        <v>0.28262302295191444</v>
      </c>
      <c r="B1415" s="21">
        <f t="shared" ca="1" si="45"/>
        <v>1320</v>
      </c>
    </row>
    <row r="1416" spans="1:2" x14ac:dyDescent="0.25">
      <c r="A1416" s="20">
        <f t="shared" ca="1" si="44"/>
        <v>3.1348942206979924E-2</v>
      </c>
      <c r="B1416" s="21">
        <f t="shared" ca="1" si="45"/>
        <v>119</v>
      </c>
    </row>
    <row r="1417" spans="1:2" x14ac:dyDescent="0.25">
      <c r="A1417" s="20">
        <f t="shared" ca="1" si="44"/>
        <v>3.6672092246447296E-2</v>
      </c>
      <c r="B1417" s="21">
        <f t="shared" ca="1" si="45"/>
        <v>143</v>
      </c>
    </row>
    <row r="1418" spans="1:2" x14ac:dyDescent="0.25">
      <c r="A1418" s="20">
        <f t="shared" ca="1" si="44"/>
        <v>0.9144862394365626</v>
      </c>
      <c r="B1418" s="21">
        <f t="shared" ca="1" si="45"/>
        <v>4218</v>
      </c>
    </row>
    <row r="1419" spans="1:2" x14ac:dyDescent="0.25">
      <c r="A1419" s="20">
        <f t="shared" ca="1" si="44"/>
        <v>0.40680357694406022</v>
      </c>
      <c r="B1419" s="21">
        <f t="shared" ca="1" si="45"/>
        <v>1907</v>
      </c>
    </row>
    <row r="1420" spans="1:2" x14ac:dyDescent="0.25">
      <c r="A1420" s="20">
        <f t="shared" ca="1" si="44"/>
        <v>1.8831160252918866E-2</v>
      </c>
      <c r="B1420" s="21">
        <f t="shared" ca="1" si="45"/>
        <v>73</v>
      </c>
    </row>
    <row r="1421" spans="1:2" x14ac:dyDescent="0.25">
      <c r="A1421" s="20">
        <f t="shared" ca="1" si="44"/>
        <v>0.44574436214754554</v>
      </c>
      <c r="B1421" s="21">
        <f t="shared" ca="1" si="45"/>
        <v>2085</v>
      </c>
    </row>
    <row r="1422" spans="1:2" x14ac:dyDescent="0.25">
      <c r="A1422" s="20">
        <f t="shared" ca="1" si="44"/>
        <v>0.16666879965192727</v>
      </c>
      <c r="B1422" s="21">
        <f t="shared" ca="1" si="45"/>
        <v>743</v>
      </c>
    </row>
    <row r="1423" spans="1:2" x14ac:dyDescent="0.25">
      <c r="A1423" s="20">
        <f t="shared" ca="1" si="44"/>
        <v>0.80064110894332297</v>
      </c>
      <c r="B1423" s="21">
        <f t="shared" ca="1" si="45"/>
        <v>3711</v>
      </c>
    </row>
    <row r="1424" spans="1:2" x14ac:dyDescent="0.25">
      <c r="A1424" s="20">
        <f t="shared" ca="1" si="44"/>
        <v>0.60408018272012443</v>
      </c>
      <c r="B1424" s="21">
        <f t="shared" ca="1" si="45"/>
        <v>2819</v>
      </c>
    </row>
    <row r="1425" spans="1:2" x14ac:dyDescent="0.25">
      <c r="A1425" s="20">
        <f t="shared" ca="1" si="44"/>
        <v>0.79067619944365675</v>
      </c>
      <c r="B1425" s="21">
        <f t="shared" ca="1" si="45"/>
        <v>3658</v>
      </c>
    </row>
    <row r="1426" spans="1:2" x14ac:dyDescent="0.25">
      <c r="A1426" s="20">
        <f t="shared" ca="1" si="44"/>
        <v>0.1981793712740969</v>
      </c>
      <c r="B1426" s="21">
        <f t="shared" ca="1" si="45"/>
        <v>920</v>
      </c>
    </row>
    <row r="1427" spans="1:2" x14ac:dyDescent="0.25">
      <c r="A1427" s="20">
        <f t="shared" ca="1" si="44"/>
        <v>0.28650393382906592</v>
      </c>
      <c r="B1427" s="21">
        <f t="shared" ca="1" si="45"/>
        <v>1341</v>
      </c>
    </row>
    <row r="1428" spans="1:2" x14ac:dyDescent="0.25">
      <c r="A1428" s="20">
        <f t="shared" ca="1" si="44"/>
        <v>0.3869550816540579</v>
      </c>
      <c r="B1428" s="21">
        <f t="shared" ca="1" si="45"/>
        <v>1812</v>
      </c>
    </row>
    <row r="1429" spans="1:2" x14ac:dyDescent="0.25">
      <c r="A1429" s="20">
        <f t="shared" ca="1" si="44"/>
        <v>0.74840803988195359</v>
      </c>
      <c r="B1429" s="21">
        <f t="shared" ca="1" si="45"/>
        <v>3463</v>
      </c>
    </row>
    <row r="1430" spans="1:2" x14ac:dyDescent="0.25">
      <c r="A1430" s="20">
        <f t="shared" ca="1" si="44"/>
        <v>5.9792566245508105E-2</v>
      </c>
      <c r="B1430" s="21">
        <f t="shared" ca="1" si="45"/>
        <v>258</v>
      </c>
    </row>
    <row r="1431" spans="1:2" x14ac:dyDescent="0.25">
      <c r="A1431" s="20">
        <f t="shared" ca="1" si="44"/>
        <v>0.1615095122861977</v>
      </c>
      <c r="B1431" s="21">
        <f t="shared" ca="1" si="45"/>
        <v>721</v>
      </c>
    </row>
    <row r="1432" spans="1:2" x14ac:dyDescent="0.25">
      <c r="A1432" s="20">
        <f t="shared" ca="1" si="44"/>
        <v>0.66674133960126036</v>
      </c>
      <c r="B1432" s="21">
        <f t="shared" ca="1" si="45"/>
        <v>3094</v>
      </c>
    </row>
    <row r="1433" spans="1:2" x14ac:dyDescent="0.25">
      <c r="A1433" s="20">
        <f t="shared" ca="1" si="44"/>
        <v>0.36083173824935189</v>
      </c>
      <c r="B1433" s="21">
        <f t="shared" ca="1" si="45"/>
        <v>1709</v>
      </c>
    </row>
    <row r="1434" spans="1:2" x14ac:dyDescent="0.25">
      <c r="A1434" s="20">
        <f t="shared" ca="1" si="44"/>
        <v>0.12062015404488269</v>
      </c>
      <c r="B1434" s="21">
        <f t="shared" ca="1" si="45"/>
        <v>529</v>
      </c>
    </row>
    <row r="1435" spans="1:2" x14ac:dyDescent="0.25">
      <c r="A1435" s="20">
        <f t="shared" ca="1" si="44"/>
        <v>0.35885868710540503</v>
      </c>
      <c r="B1435" s="21">
        <f t="shared" ca="1" si="45"/>
        <v>1698</v>
      </c>
    </row>
    <row r="1436" spans="1:2" x14ac:dyDescent="0.25">
      <c r="A1436" s="20">
        <f t="shared" ca="1" si="44"/>
        <v>0.23240076477528859</v>
      </c>
      <c r="B1436" s="21">
        <f t="shared" ca="1" si="45"/>
        <v>1089</v>
      </c>
    </row>
    <row r="1437" spans="1:2" x14ac:dyDescent="0.25">
      <c r="A1437" s="20">
        <f t="shared" ca="1" si="44"/>
        <v>0.92592156523525293</v>
      </c>
      <c r="B1437" s="21">
        <f t="shared" ca="1" si="45"/>
        <v>4274</v>
      </c>
    </row>
    <row r="1438" spans="1:2" x14ac:dyDescent="0.25">
      <c r="A1438" s="20">
        <f t="shared" ca="1" si="44"/>
        <v>0.9145456221082785</v>
      </c>
      <c r="B1438" s="21">
        <f t="shared" ca="1" si="45"/>
        <v>4220</v>
      </c>
    </row>
    <row r="1439" spans="1:2" x14ac:dyDescent="0.25">
      <c r="A1439" s="20">
        <f t="shared" ca="1" si="44"/>
        <v>1.1701057952919758E-3</v>
      </c>
      <c r="B1439" s="21">
        <f t="shared" ca="1" si="45"/>
        <v>5</v>
      </c>
    </row>
    <row r="1440" spans="1:2" x14ac:dyDescent="0.25">
      <c r="A1440" s="20">
        <f t="shared" ca="1" si="44"/>
        <v>5.8560200624410252E-2</v>
      </c>
      <c r="B1440" s="21">
        <f t="shared" ca="1" si="45"/>
        <v>253</v>
      </c>
    </row>
    <row r="1441" spans="1:2" x14ac:dyDescent="0.25">
      <c r="A1441" s="20">
        <f t="shared" ca="1" si="44"/>
        <v>0.75017295548409924</v>
      </c>
      <c r="B1441" s="21">
        <f t="shared" ca="1" si="45"/>
        <v>3475</v>
      </c>
    </row>
    <row r="1442" spans="1:2" x14ac:dyDescent="0.25">
      <c r="A1442" s="20">
        <f t="shared" ca="1" si="44"/>
        <v>0.21495406438404596</v>
      </c>
      <c r="B1442" s="21">
        <f t="shared" ca="1" si="45"/>
        <v>1003</v>
      </c>
    </row>
    <row r="1443" spans="1:2" x14ac:dyDescent="0.25">
      <c r="A1443" s="20">
        <f t="shared" ca="1" si="44"/>
        <v>0.5008028941777074</v>
      </c>
      <c r="B1443" s="21">
        <f t="shared" ca="1" si="45"/>
        <v>2323</v>
      </c>
    </row>
    <row r="1444" spans="1:2" x14ac:dyDescent="0.25">
      <c r="A1444" s="20">
        <f t="shared" ca="1" si="44"/>
        <v>0.81568611473636032</v>
      </c>
      <c r="B1444" s="21">
        <f t="shared" ca="1" si="45"/>
        <v>3772</v>
      </c>
    </row>
    <row r="1445" spans="1:2" x14ac:dyDescent="0.25">
      <c r="A1445" s="20">
        <f t="shared" ca="1" si="44"/>
        <v>0.67766534653647559</v>
      </c>
      <c r="B1445" s="21">
        <f t="shared" ca="1" si="45"/>
        <v>3135</v>
      </c>
    </row>
    <row r="1446" spans="1:2" x14ac:dyDescent="0.25">
      <c r="A1446" s="20">
        <f t="shared" ca="1" si="44"/>
        <v>0.31890918258281165</v>
      </c>
      <c r="B1446" s="21">
        <f t="shared" ca="1" si="45"/>
        <v>1497</v>
      </c>
    </row>
    <row r="1447" spans="1:2" x14ac:dyDescent="0.25">
      <c r="A1447" s="20">
        <f t="shared" ca="1" si="44"/>
        <v>0.34066052856738416</v>
      </c>
      <c r="B1447" s="21">
        <f t="shared" ca="1" si="45"/>
        <v>1598</v>
      </c>
    </row>
    <row r="1448" spans="1:2" x14ac:dyDescent="0.25">
      <c r="A1448" s="20">
        <f t="shared" ca="1" si="44"/>
        <v>0.64363837369664934</v>
      </c>
      <c r="B1448" s="21">
        <f t="shared" ca="1" si="45"/>
        <v>2989</v>
      </c>
    </row>
    <row r="1449" spans="1:2" x14ac:dyDescent="0.25">
      <c r="A1449" s="20">
        <f t="shared" ca="1" si="44"/>
        <v>0.25462915429300181</v>
      </c>
      <c r="B1449" s="21">
        <f t="shared" ca="1" si="45"/>
        <v>1188</v>
      </c>
    </row>
    <row r="1450" spans="1:2" x14ac:dyDescent="0.25">
      <c r="A1450" s="20">
        <f t="shared" ca="1" si="44"/>
        <v>0.42891140863453647</v>
      </c>
      <c r="B1450" s="21">
        <f t="shared" ca="1" si="45"/>
        <v>2015</v>
      </c>
    </row>
    <row r="1451" spans="1:2" x14ac:dyDescent="0.25">
      <c r="A1451" s="20">
        <f t="shared" ca="1" si="44"/>
        <v>0.51658707779722468</v>
      </c>
      <c r="B1451" s="21">
        <f t="shared" ca="1" si="45"/>
        <v>2410</v>
      </c>
    </row>
    <row r="1452" spans="1:2" x14ac:dyDescent="0.25">
      <c r="A1452" s="20">
        <f t="shared" ca="1" si="44"/>
        <v>0.81397030714297525</v>
      </c>
      <c r="B1452" s="21">
        <f t="shared" ca="1" si="45"/>
        <v>3765</v>
      </c>
    </row>
    <row r="1453" spans="1:2" x14ac:dyDescent="0.25">
      <c r="A1453" s="20">
        <f t="shared" ca="1" si="44"/>
        <v>0.33278238125188064</v>
      </c>
      <c r="B1453" s="21">
        <f t="shared" ca="1" si="45"/>
        <v>1560</v>
      </c>
    </row>
    <row r="1454" spans="1:2" x14ac:dyDescent="0.25">
      <c r="A1454" s="20">
        <f t="shared" ca="1" si="44"/>
        <v>0.16330530665957788</v>
      </c>
      <c r="B1454" s="21">
        <f t="shared" ca="1" si="45"/>
        <v>732</v>
      </c>
    </row>
    <row r="1455" spans="1:2" x14ac:dyDescent="0.25">
      <c r="A1455" s="20">
        <f t="shared" ca="1" si="44"/>
        <v>0.14951992272756465</v>
      </c>
      <c r="B1455" s="21">
        <f t="shared" ca="1" si="45"/>
        <v>665</v>
      </c>
    </row>
    <row r="1456" spans="1:2" x14ac:dyDescent="0.25">
      <c r="A1456" s="20">
        <f t="shared" ca="1" si="44"/>
        <v>0.84651920883980014</v>
      </c>
      <c r="B1456" s="21">
        <f t="shared" ca="1" si="45"/>
        <v>3912</v>
      </c>
    </row>
    <row r="1457" spans="1:2" x14ac:dyDescent="0.25">
      <c r="A1457" s="20">
        <f t="shared" ca="1" si="44"/>
        <v>0.69639290611935301</v>
      </c>
      <c r="B1457" s="21">
        <f t="shared" ca="1" si="45"/>
        <v>3224</v>
      </c>
    </row>
    <row r="1458" spans="1:2" x14ac:dyDescent="0.25">
      <c r="A1458" s="20">
        <f t="shared" ca="1" si="44"/>
        <v>0.75054711072475588</v>
      </c>
      <c r="B1458" s="21">
        <f t="shared" ca="1" si="45"/>
        <v>3479</v>
      </c>
    </row>
    <row r="1459" spans="1:2" x14ac:dyDescent="0.25">
      <c r="A1459" s="20">
        <f t="shared" ca="1" si="44"/>
        <v>0.95001691415774336</v>
      </c>
      <c r="B1459" s="21">
        <f t="shared" ca="1" si="45"/>
        <v>4404</v>
      </c>
    </row>
    <row r="1460" spans="1:2" x14ac:dyDescent="0.25">
      <c r="A1460" s="20">
        <f t="shared" ca="1" si="44"/>
        <v>7.6078644549320451E-2</v>
      </c>
      <c r="B1460" s="21">
        <f t="shared" ca="1" si="45"/>
        <v>340</v>
      </c>
    </row>
    <row r="1461" spans="1:2" x14ac:dyDescent="0.25">
      <c r="A1461" s="20">
        <f t="shared" ca="1" si="44"/>
        <v>0.48062337054936832</v>
      </c>
      <c r="B1461" s="21">
        <f t="shared" ca="1" si="45"/>
        <v>2244</v>
      </c>
    </row>
    <row r="1462" spans="1:2" x14ac:dyDescent="0.25">
      <c r="A1462" s="20">
        <f t="shared" ca="1" si="44"/>
        <v>5.5729033566077613E-2</v>
      </c>
      <c r="B1462" s="21">
        <f t="shared" ca="1" si="45"/>
        <v>240</v>
      </c>
    </row>
    <row r="1463" spans="1:2" x14ac:dyDescent="0.25">
      <c r="A1463" s="20">
        <f t="shared" ca="1" si="44"/>
        <v>4.7015570617468971E-2</v>
      </c>
      <c r="B1463" s="21">
        <f t="shared" ca="1" si="45"/>
        <v>191</v>
      </c>
    </row>
    <row r="1464" spans="1:2" x14ac:dyDescent="0.25">
      <c r="A1464" s="20">
        <f t="shared" ca="1" si="44"/>
        <v>0.43688480263368235</v>
      </c>
      <c r="B1464" s="21">
        <f t="shared" ca="1" si="45"/>
        <v>2049</v>
      </c>
    </row>
    <row r="1465" spans="1:2" x14ac:dyDescent="0.25">
      <c r="A1465" s="20">
        <f t="shared" ca="1" si="44"/>
        <v>0.86446262006669772</v>
      </c>
      <c r="B1465" s="21">
        <f t="shared" ca="1" si="45"/>
        <v>3987</v>
      </c>
    </row>
    <row r="1466" spans="1:2" x14ac:dyDescent="0.25">
      <c r="A1466" s="20">
        <f t="shared" ca="1" si="44"/>
        <v>0.21879951046853208</v>
      </c>
      <c r="B1466" s="21">
        <f t="shared" ca="1" si="45"/>
        <v>1025</v>
      </c>
    </row>
    <row r="1467" spans="1:2" x14ac:dyDescent="0.25">
      <c r="A1467" s="20">
        <f t="shared" ca="1" si="44"/>
        <v>0.90375597163391741</v>
      </c>
      <c r="B1467" s="21">
        <f t="shared" ca="1" si="45"/>
        <v>4173</v>
      </c>
    </row>
    <row r="1468" spans="1:2" x14ac:dyDescent="0.25">
      <c r="A1468" s="20">
        <f t="shared" ca="1" si="44"/>
        <v>0.32717888186540089</v>
      </c>
      <c r="B1468" s="21">
        <f t="shared" ca="1" si="45"/>
        <v>1533</v>
      </c>
    </row>
    <row r="1469" spans="1:2" x14ac:dyDescent="0.25">
      <c r="A1469" s="20">
        <f t="shared" ca="1" si="44"/>
        <v>0.49315986087812491</v>
      </c>
      <c r="B1469" s="21">
        <f t="shared" ca="1" si="45"/>
        <v>2295</v>
      </c>
    </row>
    <row r="1470" spans="1:2" x14ac:dyDescent="0.25">
      <c r="A1470" s="20">
        <f t="shared" ca="1" si="44"/>
        <v>0.22858629530624774</v>
      </c>
      <c r="B1470" s="21">
        <f t="shared" ca="1" si="45"/>
        <v>1073</v>
      </c>
    </row>
    <row r="1471" spans="1:2" x14ac:dyDescent="0.25">
      <c r="A1471" s="20">
        <f t="shared" ca="1" si="44"/>
        <v>0.86129231456713451</v>
      </c>
      <c r="B1471" s="21">
        <f t="shared" ca="1" si="45"/>
        <v>3975</v>
      </c>
    </row>
    <row r="1472" spans="1:2" x14ac:dyDescent="0.25">
      <c r="A1472" s="20">
        <f t="shared" ca="1" si="44"/>
        <v>0.74484514773000676</v>
      </c>
      <c r="B1472" s="21">
        <f t="shared" ca="1" si="45"/>
        <v>3443</v>
      </c>
    </row>
    <row r="1473" spans="1:2" x14ac:dyDescent="0.25">
      <c r="A1473" s="20">
        <f t="shared" ca="1" si="44"/>
        <v>0.98890201081907703</v>
      </c>
      <c r="B1473" s="21">
        <f t="shared" ca="1" si="45"/>
        <v>4578</v>
      </c>
    </row>
    <row r="1474" spans="1:2" x14ac:dyDescent="0.25">
      <c r="A1474" s="20">
        <f t="shared" ca="1" si="44"/>
        <v>0.48793717026076189</v>
      </c>
      <c r="B1474" s="21">
        <f t="shared" ca="1" si="45"/>
        <v>2273</v>
      </c>
    </row>
    <row r="1475" spans="1:2" x14ac:dyDescent="0.25">
      <c r="A1475" s="20">
        <f t="shared" ref="A1475:A1538" ca="1" si="46">RAND()</f>
        <v>0.9148529900011857</v>
      </c>
      <c r="B1475" s="21">
        <f t="shared" ref="B1475:B1538" ca="1" si="47">_xlfn.RANK.EQ($A1475,$A:$A,1)</f>
        <v>4223</v>
      </c>
    </row>
    <row r="1476" spans="1:2" x14ac:dyDescent="0.25">
      <c r="A1476" s="20">
        <f t="shared" ca="1" si="46"/>
        <v>0.90076030616090408</v>
      </c>
      <c r="B1476" s="21">
        <f t="shared" ca="1" si="47"/>
        <v>4155</v>
      </c>
    </row>
    <row r="1477" spans="1:2" x14ac:dyDescent="0.25">
      <c r="A1477" s="20">
        <f t="shared" ca="1" si="46"/>
        <v>0.60771654556181076</v>
      </c>
      <c r="B1477" s="21">
        <f t="shared" ca="1" si="47"/>
        <v>2830</v>
      </c>
    </row>
    <row r="1478" spans="1:2" x14ac:dyDescent="0.25">
      <c r="A1478" s="20">
        <f t="shared" ca="1" si="46"/>
        <v>0.15790128125417413</v>
      </c>
      <c r="B1478" s="21">
        <f t="shared" ca="1" si="47"/>
        <v>712</v>
      </c>
    </row>
    <row r="1479" spans="1:2" x14ac:dyDescent="0.25">
      <c r="A1479" s="20">
        <f t="shared" ca="1" si="46"/>
        <v>0.53067185045130416</v>
      </c>
      <c r="B1479" s="21">
        <f t="shared" ca="1" si="47"/>
        <v>2477</v>
      </c>
    </row>
    <row r="1480" spans="1:2" x14ac:dyDescent="0.25">
      <c r="A1480" s="20">
        <f t="shared" ca="1" si="46"/>
        <v>0.55955625657522112</v>
      </c>
      <c r="B1480" s="21">
        <f t="shared" ca="1" si="47"/>
        <v>2615</v>
      </c>
    </row>
    <row r="1481" spans="1:2" x14ac:dyDescent="0.25">
      <c r="A1481" s="20">
        <f t="shared" ca="1" si="46"/>
        <v>0.40393428762477068</v>
      </c>
      <c r="B1481" s="21">
        <f t="shared" ca="1" si="47"/>
        <v>1896</v>
      </c>
    </row>
    <row r="1482" spans="1:2" x14ac:dyDescent="0.25">
      <c r="A1482" s="20">
        <f t="shared" ca="1" si="46"/>
        <v>0.23010556526090453</v>
      </c>
      <c r="B1482" s="21">
        <f t="shared" ca="1" si="47"/>
        <v>1077</v>
      </c>
    </row>
    <row r="1483" spans="1:2" x14ac:dyDescent="0.25">
      <c r="A1483" s="20">
        <f t="shared" ca="1" si="46"/>
        <v>0.79427580935865816</v>
      </c>
      <c r="B1483" s="21">
        <f t="shared" ca="1" si="47"/>
        <v>3675</v>
      </c>
    </row>
    <row r="1484" spans="1:2" x14ac:dyDescent="0.25">
      <c r="A1484" s="20">
        <f t="shared" ca="1" si="46"/>
        <v>4.6141425911287448E-2</v>
      </c>
      <c r="B1484" s="21">
        <f t="shared" ca="1" si="47"/>
        <v>186</v>
      </c>
    </row>
    <row r="1485" spans="1:2" x14ac:dyDescent="0.25">
      <c r="A1485" s="20">
        <f t="shared" ca="1" si="46"/>
        <v>0.2651722255863308</v>
      </c>
      <c r="B1485" s="21">
        <f t="shared" ca="1" si="47"/>
        <v>1239</v>
      </c>
    </row>
    <row r="1486" spans="1:2" x14ac:dyDescent="0.25">
      <c r="A1486" s="20">
        <f t="shared" ca="1" si="46"/>
        <v>0.86561330439709161</v>
      </c>
      <c r="B1486" s="21">
        <f t="shared" ca="1" si="47"/>
        <v>3994</v>
      </c>
    </row>
    <row r="1487" spans="1:2" x14ac:dyDescent="0.25">
      <c r="A1487" s="20">
        <f t="shared" ca="1" si="46"/>
        <v>0.24933093537386786</v>
      </c>
      <c r="B1487" s="21">
        <f t="shared" ca="1" si="47"/>
        <v>1162</v>
      </c>
    </row>
    <row r="1488" spans="1:2" x14ac:dyDescent="0.25">
      <c r="A1488" s="20">
        <f t="shared" ca="1" si="46"/>
        <v>0.28425218255527362</v>
      </c>
      <c r="B1488" s="21">
        <f t="shared" ca="1" si="47"/>
        <v>1327</v>
      </c>
    </row>
    <row r="1489" spans="1:2" x14ac:dyDescent="0.25">
      <c r="A1489" s="20">
        <f t="shared" ca="1" si="46"/>
        <v>0.93796128395487977</v>
      </c>
      <c r="B1489" s="21">
        <f t="shared" ca="1" si="47"/>
        <v>4338</v>
      </c>
    </row>
    <row r="1490" spans="1:2" x14ac:dyDescent="0.25">
      <c r="A1490" s="20">
        <f t="shared" ca="1" si="46"/>
        <v>0.95020983611275089</v>
      </c>
      <c r="B1490" s="21">
        <f t="shared" ca="1" si="47"/>
        <v>4405</v>
      </c>
    </row>
    <row r="1491" spans="1:2" x14ac:dyDescent="0.25">
      <c r="A1491" s="20">
        <f t="shared" ca="1" si="46"/>
        <v>0.86827701977203475</v>
      </c>
      <c r="B1491" s="21">
        <f t="shared" ca="1" si="47"/>
        <v>4008</v>
      </c>
    </row>
    <row r="1492" spans="1:2" x14ac:dyDescent="0.25">
      <c r="A1492" s="20">
        <f t="shared" ca="1" si="46"/>
        <v>0.26108166558705681</v>
      </c>
      <c r="B1492" s="21">
        <f t="shared" ca="1" si="47"/>
        <v>1216</v>
      </c>
    </row>
    <row r="1493" spans="1:2" x14ac:dyDescent="0.25">
      <c r="A1493" s="20">
        <f t="shared" ca="1" si="46"/>
        <v>0.50015610771404628</v>
      </c>
      <c r="B1493" s="21">
        <f t="shared" ca="1" si="47"/>
        <v>2322</v>
      </c>
    </row>
    <row r="1494" spans="1:2" x14ac:dyDescent="0.25">
      <c r="A1494" s="20">
        <f t="shared" ca="1" si="46"/>
        <v>0.56018662742218928</v>
      </c>
      <c r="B1494" s="21">
        <f t="shared" ca="1" si="47"/>
        <v>2621</v>
      </c>
    </row>
    <row r="1495" spans="1:2" x14ac:dyDescent="0.25">
      <c r="A1495" s="20">
        <f t="shared" ca="1" si="46"/>
        <v>0.51102374143509277</v>
      </c>
      <c r="B1495" s="21">
        <f t="shared" ca="1" si="47"/>
        <v>2382</v>
      </c>
    </row>
    <row r="1496" spans="1:2" x14ac:dyDescent="0.25">
      <c r="A1496" s="20">
        <f t="shared" ca="1" si="46"/>
        <v>0.89005076173650488</v>
      </c>
      <c r="B1496" s="21">
        <f t="shared" ca="1" si="47"/>
        <v>4101</v>
      </c>
    </row>
    <row r="1497" spans="1:2" x14ac:dyDescent="0.25">
      <c r="A1497" s="20">
        <f t="shared" ca="1" si="46"/>
        <v>0.10529281884750352</v>
      </c>
      <c r="B1497" s="21">
        <f t="shared" ca="1" si="47"/>
        <v>470</v>
      </c>
    </row>
    <row r="1498" spans="1:2" x14ac:dyDescent="0.25">
      <c r="A1498" s="20">
        <f t="shared" ca="1" si="46"/>
        <v>0.63120224921932622</v>
      </c>
      <c r="B1498" s="21">
        <f t="shared" ca="1" si="47"/>
        <v>2926</v>
      </c>
    </row>
    <row r="1499" spans="1:2" x14ac:dyDescent="0.25">
      <c r="A1499" s="20">
        <f t="shared" ca="1" si="46"/>
        <v>0.53770609080674581</v>
      </c>
      <c r="B1499" s="21">
        <f t="shared" ca="1" si="47"/>
        <v>2508</v>
      </c>
    </row>
    <row r="1500" spans="1:2" x14ac:dyDescent="0.25">
      <c r="A1500" s="20">
        <f t="shared" ca="1" si="46"/>
        <v>0.52961609936271115</v>
      </c>
      <c r="B1500" s="21">
        <f t="shared" ca="1" si="47"/>
        <v>2474</v>
      </c>
    </row>
    <row r="1501" spans="1:2" x14ac:dyDescent="0.25">
      <c r="A1501" s="20">
        <f t="shared" ca="1" si="46"/>
        <v>0.15045805492664621</v>
      </c>
      <c r="B1501" s="21">
        <f t="shared" ca="1" si="47"/>
        <v>671</v>
      </c>
    </row>
    <row r="1502" spans="1:2" x14ac:dyDescent="0.25">
      <c r="A1502" s="20">
        <f t="shared" ca="1" si="46"/>
        <v>0.97562775992232398</v>
      </c>
      <c r="B1502" s="21">
        <f t="shared" ca="1" si="47"/>
        <v>4521</v>
      </c>
    </row>
    <row r="1503" spans="1:2" x14ac:dyDescent="0.25">
      <c r="A1503" s="20">
        <f t="shared" ca="1" si="46"/>
        <v>0.55878846464048693</v>
      </c>
      <c r="B1503" s="21">
        <f t="shared" ca="1" si="47"/>
        <v>2613</v>
      </c>
    </row>
    <row r="1504" spans="1:2" x14ac:dyDescent="0.25">
      <c r="A1504" s="20">
        <f t="shared" ca="1" si="46"/>
        <v>0.46536395437372713</v>
      </c>
      <c r="B1504" s="21">
        <f t="shared" ca="1" si="47"/>
        <v>2179</v>
      </c>
    </row>
    <row r="1505" spans="1:2" x14ac:dyDescent="0.25">
      <c r="A1505" s="20">
        <f t="shared" ca="1" si="46"/>
        <v>0.1916451173668815</v>
      </c>
      <c r="B1505" s="21">
        <f t="shared" ca="1" si="47"/>
        <v>878</v>
      </c>
    </row>
    <row r="1506" spans="1:2" x14ac:dyDescent="0.25">
      <c r="A1506" s="20">
        <f t="shared" ca="1" si="46"/>
        <v>7.9834721691471433E-2</v>
      </c>
      <c r="B1506" s="21">
        <f t="shared" ca="1" si="47"/>
        <v>361</v>
      </c>
    </row>
    <row r="1507" spans="1:2" x14ac:dyDescent="0.25">
      <c r="A1507" s="20">
        <f t="shared" ca="1" si="46"/>
        <v>0.40792588765659077</v>
      </c>
      <c r="B1507" s="21">
        <f t="shared" ca="1" si="47"/>
        <v>1916</v>
      </c>
    </row>
    <row r="1508" spans="1:2" x14ac:dyDescent="0.25">
      <c r="A1508" s="20">
        <f t="shared" ca="1" si="46"/>
        <v>0.52588791789823852</v>
      </c>
      <c r="B1508" s="21">
        <f t="shared" ca="1" si="47"/>
        <v>2457</v>
      </c>
    </row>
    <row r="1509" spans="1:2" x14ac:dyDescent="0.25">
      <c r="A1509" s="20">
        <f t="shared" ca="1" si="46"/>
        <v>0.75043099222123244</v>
      </c>
      <c r="B1509" s="21">
        <f t="shared" ca="1" si="47"/>
        <v>3478</v>
      </c>
    </row>
    <row r="1510" spans="1:2" x14ac:dyDescent="0.25">
      <c r="A1510" s="20">
        <f t="shared" ca="1" si="46"/>
        <v>0.92551859832683536</v>
      </c>
      <c r="B1510" s="21">
        <f t="shared" ca="1" si="47"/>
        <v>4272</v>
      </c>
    </row>
    <row r="1511" spans="1:2" x14ac:dyDescent="0.25">
      <c r="A1511" s="20">
        <f t="shared" ca="1" si="46"/>
        <v>0.55413793658446275</v>
      </c>
      <c r="B1511" s="21">
        <f t="shared" ca="1" si="47"/>
        <v>2592</v>
      </c>
    </row>
    <row r="1512" spans="1:2" x14ac:dyDescent="0.25">
      <c r="A1512" s="20">
        <f t="shared" ca="1" si="46"/>
        <v>0.50434947156942289</v>
      </c>
      <c r="B1512" s="21">
        <f t="shared" ca="1" si="47"/>
        <v>2347</v>
      </c>
    </row>
    <row r="1513" spans="1:2" x14ac:dyDescent="0.25">
      <c r="A1513" s="20">
        <f t="shared" ca="1" si="46"/>
        <v>0.56011937723443361</v>
      </c>
      <c r="B1513" s="21">
        <f t="shared" ca="1" si="47"/>
        <v>2619</v>
      </c>
    </row>
    <row r="1514" spans="1:2" x14ac:dyDescent="0.25">
      <c r="A1514" s="20">
        <f t="shared" ca="1" si="46"/>
        <v>0.65994095107049666</v>
      </c>
      <c r="B1514" s="21">
        <f t="shared" ca="1" si="47"/>
        <v>3062</v>
      </c>
    </row>
    <row r="1515" spans="1:2" x14ac:dyDescent="0.25">
      <c r="A1515" s="20">
        <f t="shared" ca="1" si="46"/>
        <v>0.68297302334027565</v>
      </c>
      <c r="B1515" s="21">
        <f t="shared" ca="1" si="47"/>
        <v>3169</v>
      </c>
    </row>
    <row r="1516" spans="1:2" x14ac:dyDescent="0.25">
      <c r="A1516" s="20">
        <f t="shared" ca="1" si="46"/>
        <v>0.2328985732936345</v>
      </c>
      <c r="B1516" s="21">
        <f t="shared" ca="1" si="47"/>
        <v>1092</v>
      </c>
    </row>
    <row r="1517" spans="1:2" x14ac:dyDescent="0.25">
      <c r="A1517" s="20">
        <f t="shared" ca="1" si="46"/>
        <v>0.25123796842682222</v>
      </c>
      <c r="B1517" s="21">
        <f t="shared" ca="1" si="47"/>
        <v>1175</v>
      </c>
    </row>
    <row r="1518" spans="1:2" x14ac:dyDescent="0.25">
      <c r="A1518" s="20">
        <f t="shared" ca="1" si="46"/>
        <v>6.0011362859784589E-2</v>
      </c>
      <c r="B1518" s="21">
        <f t="shared" ca="1" si="47"/>
        <v>261</v>
      </c>
    </row>
    <row r="1519" spans="1:2" x14ac:dyDescent="0.25">
      <c r="A1519" s="20">
        <f t="shared" ca="1" si="46"/>
        <v>0.69251054425857517</v>
      </c>
      <c r="B1519" s="21">
        <f t="shared" ca="1" si="47"/>
        <v>3211</v>
      </c>
    </row>
    <row r="1520" spans="1:2" x14ac:dyDescent="0.25">
      <c r="A1520" s="20">
        <f t="shared" ca="1" si="46"/>
        <v>0.99536517116160206</v>
      </c>
      <c r="B1520" s="21">
        <f t="shared" ca="1" si="47"/>
        <v>4599</v>
      </c>
    </row>
    <row r="1521" spans="1:2" x14ac:dyDescent="0.25">
      <c r="A1521" s="20">
        <f t="shared" ca="1" si="46"/>
        <v>0.44620766755248187</v>
      </c>
      <c r="B1521" s="21">
        <f t="shared" ca="1" si="47"/>
        <v>2089</v>
      </c>
    </row>
    <row r="1522" spans="1:2" x14ac:dyDescent="0.25">
      <c r="A1522" s="20">
        <f t="shared" ca="1" si="46"/>
        <v>0.66242964948464644</v>
      </c>
      <c r="B1522" s="21">
        <f t="shared" ca="1" si="47"/>
        <v>3073</v>
      </c>
    </row>
    <row r="1523" spans="1:2" x14ac:dyDescent="0.25">
      <c r="A1523" s="20">
        <f t="shared" ca="1" si="46"/>
        <v>2.1366535118161778E-2</v>
      </c>
      <c r="B1523" s="21">
        <f t="shared" ca="1" si="47"/>
        <v>86</v>
      </c>
    </row>
    <row r="1524" spans="1:2" x14ac:dyDescent="0.25">
      <c r="A1524" s="20">
        <f t="shared" ca="1" si="46"/>
        <v>0.33432285904122383</v>
      </c>
      <c r="B1524" s="21">
        <f t="shared" ca="1" si="47"/>
        <v>1568</v>
      </c>
    </row>
    <row r="1525" spans="1:2" x14ac:dyDescent="0.25">
      <c r="A1525" s="20">
        <f t="shared" ca="1" si="46"/>
        <v>0.51324905690498179</v>
      </c>
      <c r="B1525" s="21">
        <f t="shared" ca="1" si="47"/>
        <v>2399</v>
      </c>
    </row>
    <row r="1526" spans="1:2" x14ac:dyDescent="0.25">
      <c r="A1526" s="20">
        <f t="shared" ca="1" si="46"/>
        <v>4.5239552684858464E-2</v>
      </c>
      <c r="B1526" s="21">
        <f t="shared" ca="1" si="47"/>
        <v>183</v>
      </c>
    </row>
    <row r="1527" spans="1:2" x14ac:dyDescent="0.25">
      <c r="A1527" s="20">
        <f t="shared" ca="1" si="46"/>
        <v>0.76993535582065509</v>
      </c>
      <c r="B1527" s="21">
        <f t="shared" ca="1" si="47"/>
        <v>3569</v>
      </c>
    </row>
    <row r="1528" spans="1:2" x14ac:dyDescent="0.25">
      <c r="A1528" s="20">
        <f t="shared" ca="1" si="46"/>
        <v>0.42137486989328143</v>
      </c>
      <c r="B1528" s="21">
        <f t="shared" ca="1" si="47"/>
        <v>1977</v>
      </c>
    </row>
    <row r="1529" spans="1:2" x14ac:dyDescent="0.25">
      <c r="A1529" s="20">
        <f t="shared" ca="1" si="46"/>
        <v>0.42907231704233229</v>
      </c>
      <c r="B1529" s="21">
        <f t="shared" ca="1" si="47"/>
        <v>2016</v>
      </c>
    </row>
    <row r="1530" spans="1:2" x14ac:dyDescent="0.25">
      <c r="A1530" s="20">
        <f t="shared" ca="1" si="46"/>
        <v>0.63872638829916695</v>
      </c>
      <c r="B1530" s="21">
        <f t="shared" ca="1" si="47"/>
        <v>2958</v>
      </c>
    </row>
    <row r="1531" spans="1:2" x14ac:dyDescent="0.25">
      <c r="A1531" s="20">
        <f t="shared" ca="1" si="46"/>
        <v>5.3064686232340619E-2</v>
      </c>
      <c r="B1531" s="21">
        <f t="shared" ca="1" si="47"/>
        <v>224</v>
      </c>
    </row>
    <row r="1532" spans="1:2" x14ac:dyDescent="0.25">
      <c r="A1532" s="20">
        <f t="shared" ca="1" si="46"/>
        <v>0.34085769602809035</v>
      </c>
      <c r="B1532" s="21">
        <f t="shared" ca="1" si="47"/>
        <v>1601</v>
      </c>
    </row>
    <row r="1533" spans="1:2" x14ac:dyDescent="0.25">
      <c r="A1533" s="20">
        <f t="shared" ca="1" si="46"/>
        <v>0.77075177243334314</v>
      </c>
      <c r="B1533" s="21">
        <f t="shared" ca="1" si="47"/>
        <v>3574</v>
      </c>
    </row>
    <row r="1534" spans="1:2" x14ac:dyDescent="0.25">
      <c r="A1534" s="20">
        <f t="shared" ca="1" si="46"/>
        <v>0.22062546587067378</v>
      </c>
      <c r="B1534" s="21">
        <f t="shared" ca="1" si="47"/>
        <v>1036</v>
      </c>
    </row>
    <row r="1535" spans="1:2" x14ac:dyDescent="0.25">
      <c r="A1535" s="20">
        <f t="shared" ca="1" si="46"/>
        <v>0.94158823804545699</v>
      </c>
      <c r="B1535" s="21">
        <f t="shared" ca="1" si="47"/>
        <v>4354</v>
      </c>
    </row>
    <row r="1536" spans="1:2" x14ac:dyDescent="0.25">
      <c r="A1536" s="20">
        <f t="shared" ca="1" si="46"/>
        <v>0.43612718974278475</v>
      </c>
      <c r="B1536" s="21">
        <f t="shared" ca="1" si="47"/>
        <v>2046</v>
      </c>
    </row>
    <row r="1537" spans="1:2" x14ac:dyDescent="0.25">
      <c r="A1537" s="20">
        <f t="shared" ca="1" si="46"/>
        <v>0.64090893694090201</v>
      </c>
      <c r="B1537" s="21">
        <f t="shared" ca="1" si="47"/>
        <v>2971</v>
      </c>
    </row>
    <row r="1538" spans="1:2" x14ac:dyDescent="0.25">
      <c r="A1538" s="20">
        <f t="shared" ca="1" si="46"/>
        <v>0.50861825978284503</v>
      </c>
      <c r="B1538" s="21">
        <f t="shared" ca="1" si="47"/>
        <v>2368</v>
      </c>
    </row>
    <row r="1539" spans="1:2" x14ac:dyDescent="0.25">
      <c r="A1539" s="20">
        <f t="shared" ref="A1539:A1602" ca="1" si="48">RAND()</f>
        <v>0.55868286673875078</v>
      </c>
      <c r="B1539" s="21">
        <f t="shared" ref="B1539:B1602" ca="1" si="49">_xlfn.RANK.EQ($A1539,$A:$A,1)</f>
        <v>2612</v>
      </c>
    </row>
    <row r="1540" spans="1:2" x14ac:dyDescent="0.25">
      <c r="A1540" s="20">
        <f t="shared" ca="1" si="48"/>
        <v>0.28787629990561414</v>
      </c>
      <c r="B1540" s="21">
        <f t="shared" ca="1" si="49"/>
        <v>1351</v>
      </c>
    </row>
    <row r="1541" spans="1:2" x14ac:dyDescent="0.25">
      <c r="A1541" s="20">
        <f t="shared" ca="1" si="48"/>
        <v>0.64772740995583367</v>
      </c>
      <c r="B1541" s="21">
        <f t="shared" ca="1" si="49"/>
        <v>3008</v>
      </c>
    </row>
    <row r="1542" spans="1:2" x14ac:dyDescent="0.25">
      <c r="A1542" s="20">
        <f t="shared" ca="1" si="48"/>
        <v>0.61273578670183881</v>
      </c>
      <c r="B1542" s="21">
        <f t="shared" ca="1" si="49"/>
        <v>2853</v>
      </c>
    </row>
    <row r="1543" spans="1:2" x14ac:dyDescent="0.25">
      <c r="A1543" s="20">
        <f t="shared" ca="1" si="48"/>
        <v>0.96216578349138782</v>
      </c>
      <c r="B1543" s="21">
        <f t="shared" ca="1" si="49"/>
        <v>4455</v>
      </c>
    </row>
    <row r="1544" spans="1:2" x14ac:dyDescent="0.25">
      <c r="A1544" s="20">
        <f t="shared" ca="1" si="48"/>
        <v>0.88524899822304193</v>
      </c>
      <c r="B1544" s="21">
        <f t="shared" ca="1" si="49"/>
        <v>4081</v>
      </c>
    </row>
    <row r="1545" spans="1:2" x14ac:dyDescent="0.25">
      <c r="A1545" s="20">
        <f t="shared" ca="1" si="48"/>
        <v>0.18705162695191691</v>
      </c>
      <c r="B1545" s="21">
        <f t="shared" ca="1" si="49"/>
        <v>858</v>
      </c>
    </row>
    <row r="1546" spans="1:2" x14ac:dyDescent="0.25">
      <c r="A1546" s="20">
        <f t="shared" ca="1" si="48"/>
        <v>0.39820415456751468</v>
      </c>
      <c r="B1546" s="21">
        <f t="shared" ca="1" si="49"/>
        <v>1870</v>
      </c>
    </row>
    <row r="1547" spans="1:2" x14ac:dyDescent="0.25">
      <c r="A1547" s="20">
        <f t="shared" ca="1" si="48"/>
        <v>0.3329675630248079</v>
      </c>
      <c r="B1547" s="21">
        <f t="shared" ca="1" si="49"/>
        <v>1561</v>
      </c>
    </row>
    <row r="1548" spans="1:2" x14ac:dyDescent="0.25">
      <c r="A1548" s="20">
        <f t="shared" ca="1" si="48"/>
        <v>0.47977350790807849</v>
      </c>
      <c r="B1548" s="21">
        <f t="shared" ca="1" si="49"/>
        <v>2239</v>
      </c>
    </row>
    <row r="1549" spans="1:2" x14ac:dyDescent="0.25">
      <c r="A1549" s="20">
        <f t="shared" ca="1" si="48"/>
        <v>0.96449502214945526</v>
      </c>
      <c r="B1549" s="21">
        <f t="shared" ca="1" si="49"/>
        <v>4471</v>
      </c>
    </row>
    <row r="1550" spans="1:2" x14ac:dyDescent="0.25">
      <c r="A1550" s="20">
        <f t="shared" ca="1" si="48"/>
        <v>0.13227360095937024</v>
      </c>
      <c r="B1550" s="21">
        <f t="shared" ca="1" si="49"/>
        <v>584</v>
      </c>
    </row>
    <row r="1551" spans="1:2" x14ac:dyDescent="0.25">
      <c r="A1551" s="20">
        <f t="shared" ca="1" si="48"/>
        <v>0.11087834649963291</v>
      </c>
      <c r="B1551" s="21">
        <f t="shared" ca="1" si="49"/>
        <v>488</v>
      </c>
    </row>
    <row r="1552" spans="1:2" x14ac:dyDescent="0.25">
      <c r="A1552" s="20">
        <f t="shared" ca="1" si="48"/>
        <v>0.29297179210805324</v>
      </c>
      <c r="B1552" s="21">
        <f t="shared" ca="1" si="49"/>
        <v>1379</v>
      </c>
    </row>
    <row r="1553" spans="1:2" x14ac:dyDescent="0.25">
      <c r="A1553" s="20">
        <f t="shared" ca="1" si="48"/>
        <v>0.44402640990157505</v>
      </c>
      <c r="B1553" s="21">
        <f t="shared" ca="1" si="49"/>
        <v>2077</v>
      </c>
    </row>
    <row r="1554" spans="1:2" x14ac:dyDescent="0.25">
      <c r="A1554" s="20">
        <f t="shared" ca="1" si="48"/>
        <v>0.16670376795770936</v>
      </c>
      <c r="B1554" s="21">
        <f t="shared" ca="1" si="49"/>
        <v>744</v>
      </c>
    </row>
    <row r="1555" spans="1:2" x14ac:dyDescent="0.25">
      <c r="A1555" s="20">
        <f t="shared" ca="1" si="48"/>
        <v>1.1194470971098713E-3</v>
      </c>
      <c r="B1555" s="21">
        <f t="shared" ca="1" si="49"/>
        <v>4</v>
      </c>
    </row>
    <row r="1556" spans="1:2" x14ac:dyDescent="0.25">
      <c r="A1556" s="20">
        <f t="shared" ca="1" si="48"/>
        <v>0.480635433511723</v>
      </c>
      <c r="B1556" s="21">
        <f t="shared" ca="1" si="49"/>
        <v>2245</v>
      </c>
    </row>
    <row r="1557" spans="1:2" x14ac:dyDescent="0.25">
      <c r="A1557" s="20">
        <f t="shared" ca="1" si="48"/>
        <v>0.80523007762314647</v>
      </c>
      <c r="B1557" s="21">
        <f t="shared" ca="1" si="49"/>
        <v>3726</v>
      </c>
    </row>
    <row r="1558" spans="1:2" x14ac:dyDescent="0.25">
      <c r="A1558" s="20">
        <f t="shared" ca="1" si="48"/>
        <v>0.58890090976676224</v>
      </c>
      <c r="B1558" s="21">
        <f t="shared" ca="1" si="49"/>
        <v>2749</v>
      </c>
    </row>
    <row r="1559" spans="1:2" x14ac:dyDescent="0.25">
      <c r="A1559" s="20">
        <f t="shared" ca="1" si="48"/>
        <v>0.29304379112495615</v>
      </c>
      <c r="B1559" s="21">
        <f t="shared" ca="1" si="49"/>
        <v>1380</v>
      </c>
    </row>
    <row r="1560" spans="1:2" x14ac:dyDescent="0.25">
      <c r="A1560" s="20">
        <f t="shared" ca="1" si="48"/>
        <v>0.67715992388848667</v>
      </c>
      <c r="B1560" s="21">
        <f t="shared" ca="1" si="49"/>
        <v>3133</v>
      </c>
    </row>
    <row r="1561" spans="1:2" x14ac:dyDescent="0.25">
      <c r="A1561" s="20">
        <f t="shared" ca="1" si="48"/>
        <v>0.87381623977210909</v>
      </c>
      <c r="B1561" s="21">
        <f t="shared" ca="1" si="49"/>
        <v>4029</v>
      </c>
    </row>
    <row r="1562" spans="1:2" x14ac:dyDescent="0.25">
      <c r="A1562" s="20">
        <f t="shared" ca="1" si="48"/>
        <v>0.3995115239798982</v>
      </c>
      <c r="B1562" s="21">
        <f t="shared" ca="1" si="49"/>
        <v>1876</v>
      </c>
    </row>
    <row r="1563" spans="1:2" x14ac:dyDescent="0.25">
      <c r="A1563" s="20">
        <f t="shared" ca="1" si="48"/>
        <v>0.25331611066932969</v>
      </c>
      <c r="B1563" s="21">
        <f t="shared" ca="1" si="49"/>
        <v>1183</v>
      </c>
    </row>
    <row r="1564" spans="1:2" x14ac:dyDescent="0.25">
      <c r="A1564" s="20">
        <f t="shared" ca="1" si="48"/>
        <v>0.37643158899586127</v>
      </c>
      <c r="B1564" s="21">
        <f t="shared" ca="1" si="49"/>
        <v>1783</v>
      </c>
    </row>
    <row r="1565" spans="1:2" x14ac:dyDescent="0.25">
      <c r="A1565" s="20">
        <f t="shared" ca="1" si="48"/>
        <v>0.39650569382837531</v>
      </c>
      <c r="B1565" s="21">
        <f t="shared" ca="1" si="49"/>
        <v>1862</v>
      </c>
    </row>
    <row r="1566" spans="1:2" x14ac:dyDescent="0.25">
      <c r="A1566" s="20">
        <f t="shared" ca="1" si="48"/>
        <v>0.50284031749652247</v>
      </c>
      <c r="B1566" s="21">
        <f t="shared" ca="1" si="49"/>
        <v>2336</v>
      </c>
    </row>
    <row r="1567" spans="1:2" x14ac:dyDescent="0.25">
      <c r="A1567" s="20">
        <f t="shared" ca="1" si="48"/>
        <v>0.70491139563354521</v>
      </c>
      <c r="B1567" s="21">
        <f t="shared" ca="1" si="49"/>
        <v>3261</v>
      </c>
    </row>
    <row r="1568" spans="1:2" x14ac:dyDescent="0.25">
      <c r="A1568" s="20">
        <f t="shared" ca="1" si="48"/>
        <v>0.85121525738543069</v>
      </c>
      <c r="B1568" s="21">
        <f t="shared" ca="1" si="49"/>
        <v>3934</v>
      </c>
    </row>
    <row r="1569" spans="1:2" x14ac:dyDescent="0.25">
      <c r="A1569" s="20">
        <f t="shared" ca="1" si="48"/>
        <v>0.92916417381925509</v>
      </c>
      <c r="B1569" s="21">
        <f t="shared" ca="1" si="49"/>
        <v>4288</v>
      </c>
    </row>
    <row r="1570" spans="1:2" x14ac:dyDescent="0.25">
      <c r="A1570" s="20">
        <f t="shared" ca="1" si="48"/>
        <v>0.8144291693413932</v>
      </c>
      <c r="B1570" s="21">
        <f t="shared" ca="1" si="49"/>
        <v>3768</v>
      </c>
    </row>
    <row r="1571" spans="1:2" x14ac:dyDescent="0.25">
      <c r="A1571" s="20">
        <f t="shared" ca="1" si="48"/>
        <v>0.33859554472606934</v>
      </c>
      <c r="B1571" s="21">
        <f t="shared" ca="1" si="49"/>
        <v>1593</v>
      </c>
    </row>
    <row r="1572" spans="1:2" x14ac:dyDescent="0.25">
      <c r="A1572" s="20">
        <f t="shared" ca="1" si="48"/>
        <v>0.79456191883492577</v>
      </c>
      <c r="B1572" s="21">
        <f t="shared" ca="1" si="49"/>
        <v>3678</v>
      </c>
    </row>
    <row r="1573" spans="1:2" x14ac:dyDescent="0.25">
      <c r="A1573" s="20">
        <f t="shared" ca="1" si="48"/>
        <v>0.81019831052668345</v>
      </c>
      <c r="B1573" s="21">
        <f t="shared" ca="1" si="49"/>
        <v>3745</v>
      </c>
    </row>
    <row r="1574" spans="1:2" x14ac:dyDescent="0.25">
      <c r="A1574" s="20">
        <f t="shared" ca="1" si="48"/>
        <v>0.80462129244434322</v>
      </c>
      <c r="B1574" s="21">
        <f t="shared" ca="1" si="49"/>
        <v>3723</v>
      </c>
    </row>
    <row r="1575" spans="1:2" x14ac:dyDescent="0.25">
      <c r="A1575" s="20">
        <f t="shared" ca="1" si="48"/>
        <v>0.97501041428963509</v>
      </c>
      <c r="B1575" s="21">
        <f t="shared" ca="1" si="49"/>
        <v>4519</v>
      </c>
    </row>
    <row r="1576" spans="1:2" x14ac:dyDescent="0.25">
      <c r="A1576" s="20">
        <f t="shared" ca="1" si="48"/>
        <v>0.28616168973528044</v>
      </c>
      <c r="B1576" s="21">
        <f t="shared" ca="1" si="49"/>
        <v>1340</v>
      </c>
    </row>
    <row r="1577" spans="1:2" x14ac:dyDescent="0.25">
      <c r="A1577" s="20">
        <f t="shared" ca="1" si="48"/>
        <v>0.43760352404645231</v>
      </c>
      <c r="B1577" s="21">
        <f t="shared" ca="1" si="49"/>
        <v>2053</v>
      </c>
    </row>
    <row r="1578" spans="1:2" x14ac:dyDescent="0.25">
      <c r="A1578" s="20">
        <f t="shared" ca="1" si="48"/>
        <v>0.9215654543437829</v>
      </c>
      <c r="B1578" s="21">
        <f t="shared" ca="1" si="49"/>
        <v>4254</v>
      </c>
    </row>
    <row r="1579" spans="1:2" x14ac:dyDescent="0.25">
      <c r="A1579" s="20">
        <f t="shared" ca="1" si="48"/>
        <v>0.8410701163072527</v>
      </c>
      <c r="B1579" s="21">
        <f t="shared" ca="1" si="49"/>
        <v>3881</v>
      </c>
    </row>
    <row r="1580" spans="1:2" x14ac:dyDescent="0.25">
      <c r="A1580" s="20">
        <f t="shared" ca="1" si="48"/>
        <v>0.78740179780451869</v>
      </c>
      <c r="B1580" s="21">
        <f t="shared" ca="1" si="49"/>
        <v>3648</v>
      </c>
    </row>
    <row r="1581" spans="1:2" x14ac:dyDescent="0.25">
      <c r="A1581" s="20">
        <f t="shared" ca="1" si="48"/>
        <v>0.73872648190827361</v>
      </c>
      <c r="B1581" s="21">
        <f t="shared" ca="1" si="49"/>
        <v>3419</v>
      </c>
    </row>
    <row r="1582" spans="1:2" x14ac:dyDescent="0.25">
      <c r="A1582" s="20">
        <f t="shared" ca="1" si="48"/>
        <v>0.51875683554492957</v>
      </c>
      <c r="B1582" s="21">
        <f t="shared" ca="1" si="49"/>
        <v>2425</v>
      </c>
    </row>
    <row r="1583" spans="1:2" x14ac:dyDescent="0.25">
      <c r="A1583" s="20">
        <f t="shared" ca="1" si="48"/>
        <v>0.57065821764230429</v>
      </c>
      <c r="B1583" s="21">
        <f t="shared" ca="1" si="49"/>
        <v>2662</v>
      </c>
    </row>
    <row r="1584" spans="1:2" x14ac:dyDescent="0.25">
      <c r="A1584" s="20">
        <f t="shared" ca="1" si="48"/>
        <v>0.53175289361754607</v>
      </c>
      <c r="B1584" s="21">
        <f t="shared" ca="1" si="49"/>
        <v>2483</v>
      </c>
    </row>
    <row r="1585" spans="1:2" x14ac:dyDescent="0.25">
      <c r="A1585" s="20">
        <f t="shared" ca="1" si="48"/>
        <v>0.57646920506955468</v>
      </c>
      <c r="B1585" s="21">
        <f t="shared" ca="1" si="49"/>
        <v>2692</v>
      </c>
    </row>
    <row r="1586" spans="1:2" x14ac:dyDescent="0.25">
      <c r="A1586" s="20">
        <f t="shared" ca="1" si="48"/>
        <v>0.42636355242406643</v>
      </c>
      <c r="B1586" s="21">
        <f t="shared" ca="1" si="49"/>
        <v>2002</v>
      </c>
    </row>
    <row r="1587" spans="1:2" x14ac:dyDescent="0.25">
      <c r="A1587" s="20">
        <f t="shared" ca="1" si="48"/>
        <v>0.35446477227958917</v>
      </c>
      <c r="B1587" s="21">
        <f t="shared" ca="1" si="49"/>
        <v>1674</v>
      </c>
    </row>
    <row r="1588" spans="1:2" x14ac:dyDescent="0.25">
      <c r="A1588" s="20">
        <f t="shared" ca="1" si="48"/>
        <v>0.8645178505465474</v>
      </c>
      <c r="B1588" s="21">
        <f t="shared" ca="1" si="49"/>
        <v>3988</v>
      </c>
    </row>
    <row r="1589" spans="1:2" x14ac:dyDescent="0.25">
      <c r="A1589" s="20">
        <f t="shared" ca="1" si="48"/>
        <v>0.92491215462181575</v>
      </c>
      <c r="B1589" s="21">
        <f t="shared" ca="1" si="49"/>
        <v>4269</v>
      </c>
    </row>
    <row r="1590" spans="1:2" x14ac:dyDescent="0.25">
      <c r="A1590" s="20">
        <f t="shared" ca="1" si="48"/>
        <v>4.7892429627085398E-2</v>
      </c>
      <c r="B1590" s="21">
        <f t="shared" ca="1" si="49"/>
        <v>197</v>
      </c>
    </row>
    <row r="1591" spans="1:2" x14ac:dyDescent="0.25">
      <c r="A1591" s="20">
        <f t="shared" ca="1" si="48"/>
        <v>0.50340777599987974</v>
      </c>
      <c r="B1591" s="21">
        <f t="shared" ca="1" si="49"/>
        <v>2340</v>
      </c>
    </row>
    <row r="1592" spans="1:2" x14ac:dyDescent="0.25">
      <c r="A1592" s="20">
        <f t="shared" ca="1" si="48"/>
        <v>0.72286607623549448</v>
      </c>
      <c r="B1592" s="21">
        <f t="shared" ca="1" si="49"/>
        <v>3342</v>
      </c>
    </row>
    <row r="1593" spans="1:2" x14ac:dyDescent="0.25">
      <c r="A1593" s="20">
        <f t="shared" ca="1" si="48"/>
        <v>0.36529776511199763</v>
      </c>
      <c r="B1593" s="21">
        <f t="shared" ca="1" si="49"/>
        <v>1731</v>
      </c>
    </row>
    <row r="1594" spans="1:2" x14ac:dyDescent="0.25">
      <c r="A1594" s="20">
        <f t="shared" ca="1" si="48"/>
        <v>0.76344318886300044</v>
      </c>
      <c r="B1594" s="21">
        <f t="shared" ca="1" si="49"/>
        <v>3539</v>
      </c>
    </row>
    <row r="1595" spans="1:2" x14ac:dyDescent="0.25">
      <c r="A1595" s="20">
        <f t="shared" ca="1" si="48"/>
        <v>0.66759928228512833</v>
      </c>
      <c r="B1595" s="21">
        <f t="shared" ca="1" si="49"/>
        <v>3098</v>
      </c>
    </row>
    <row r="1596" spans="1:2" x14ac:dyDescent="0.25">
      <c r="A1596" s="20">
        <f t="shared" ca="1" si="48"/>
        <v>0.44599891593196905</v>
      </c>
      <c r="B1596" s="21">
        <f t="shared" ca="1" si="49"/>
        <v>2087</v>
      </c>
    </row>
    <row r="1597" spans="1:2" x14ac:dyDescent="0.25">
      <c r="A1597" s="20">
        <f t="shared" ca="1" si="48"/>
        <v>0.93272700888573112</v>
      </c>
      <c r="B1597" s="21">
        <f t="shared" ca="1" si="49"/>
        <v>4311</v>
      </c>
    </row>
    <row r="1598" spans="1:2" x14ac:dyDescent="0.25">
      <c r="A1598" s="20">
        <f t="shared" ca="1" si="48"/>
        <v>0.40590283197421462</v>
      </c>
      <c r="B1598" s="21">
        <f t="shared" ca="1" si="49"/>
        <v>1903</v>
      </c>
    </row>
    <row r="1599" spans="1:2" x14ac:dyDescent="0.25">
      <c r="A1599" s="20">
        <f t="shared" ca="1" si="48"/>
        <v>0.84307001442559126</v>
      </c>
      <c r="B1599" s="21">
        <f t="shared" ca="1" si="49"/>
        <v>3893</v>
      </c>
    </row>
    <row r="1600" spans="1:2" x14ac:dyDescent="0.25">
      <c r="A1600" s="20">
        <f t="shared" ca="1" si="48"/>
        <v>0.65449877745833074</v>
      </c>
      <c r="B1600" s="21">
        <f t="shared" ca="1" si="49"/>
        <v>3034</v>
      </c>
    </row>
    <row r="1601" spans="1:2" x14ac:dyDescent="0.25">
      <c r="A1601" s="20">
        <f t="shared" ca="1" si="48"/>
        <v>0.46068504370508367</v>
      </c>
      <c r="B1601" s="21">
        <f t="shared" ca="1" si="49"/>
        <v>2162</v>
      </c>
    </row>
    <row r="1602" spans="1:2" x14ac:dyDescent="0.25">
      <c r="A1602" s="20">
        <f t="shared" ca="1" si="48"/>
        <v>0.39428711932444904</v>
      </c>
      <c r="B1602" s="21">
        <f t="shared" ca="1" si="49"/>
        <v>1851</v>
      </c>
    </row>
    <row r="1603" spans="1:2" x14ac:dyDescent="0.25">
      <c r="A1603" s="20">
        <f t="shared" ref="A1603:A1666" ca="1" si="50">RAND()</f>
        <v>4.2769134737129066E-2</v>
      </c>
      <c r="B1603" s="21">
        <f t="shared" ref="B1603:B1666" ca="1" si="51">_xlfn.RANK.EQ($A1603,$A:$A,1)</f>
        <v>169</v>
      </c>
    </row>
    <row r="1604" spans="1:2" x14ac:dyDescent="0.25">
      <c r="A1604" s="20">
        <f t="shared" ca="1" si="50"/>
        <v>0.2680632945749386</v>
      </c>
      <c r="B1604" s="21">
        <f t="shared" ca="1" si="51"/>
        <v>1252</v>
      </c>
    </row>
    <row r="1605" spans="1:2" x14ac:dyDescent="0.25">
      <c r="A1605" s="20">
        <f t="shared" ca="1" si="50"/>
        <v>0.32790776799392374</v>
      </c>
      <c r="B1605" s="21">
        <f t="shared" ca="1" si="51"/>
        <v>1537</v>
      </c>
    </row>
    <row r="1606" spans="1:2" x14ac:dyDescent="0.25">
      <c r="A1606" s="20">
        <f t="shared" ca="1" si="50"/>
        <v>0.92024868861728415</v>
      </c>
      <c r="B1606" s="21">
        <f t="shared" ca="1" si="51"/>
        <v>4244</v>
      </c>
    </row>
    <row r="1607" spans="1:2" x14ac:dyDescent="0.25">
      <c r="A1607" s="20">
        <f t="shared" ca="1" si="50"/>
        <v>0.69937954954672832</v>
      </c>
      <c r="B1607" s="21">
        <f t="shared" ca="1" si="51"/>
        <v>3238</v>
      </c>
    </row>
    <row r="1608" spans="1:2" x14ac:dyDescent="0.25">
      <c r="A1608" s="20">
        <f t="shared" ca="1" si="50"/>
        <v>0.67163517708648024</v>
      </c>
      <c r="B1608" s="21">
        <f t="shared" ca="1" si="51"/>
        <v>3111</v>
      </c>
    </row>
    <row r="1609" spans="1:2" x14ac:dyDescent="0.25">
      <c r="A1609" s="20">
        <f t="shared" ca="1" si="50"/>
        <v>0.78016437416418516</v>
      </c>
      <c r="B1609" s="21">
        <f t="shared" ca="1" si="51"/>
        <v>3616</v>
      </c>
    </row>
    <row r="1610" spans="1:2" x14ac:dyDescent="0.25">
      <c r="A1610" s="20">
        <f t="shared" ca="1" si="50"/>
        <v>0.36165795177650584</v>
      </c>
      <c r="B1610" s="21">
        <f t="shared" ca="1" si="51"/>
        <v>1711</v>
      </c>
    </row>
    <row r="1611" spans="1:2" x14ac:dyDescent="0.25">
      <c r="A1611" s="20">
        <f t="shared" ca="1" si="50"/>
        <v>0.41270968576933587</v>
      </c>
      <c r="B1611" s="21">
        <f t="shared" ca="1" si="51"/>
        <v>1937</v>
      </c>
    </row>
    <row r="1612" spans="1:2" x14ac:dyDescent="0.25">
      <c r="A1612" s="20">
        <f t="shared" ca="1" si="50"/>
        <v>0.82065422948047129</v>
      </c>
      <c r="B1612" s="21">
        <f t="shared" ca="1" si="51"/>
        <v>3798</v>
      </c>
    </row>
    <row r="1613" spans="1:2" x14ac:dyDescent="0.25">
      <c r="A1613" s="20">
        <f t="shared" ca="1" si="50"/>
        <v>0.82575053924636899</v>
      </c>
      <c r="B1613" s="21">
        <f t="shared" ca="1" si="51"/>
        <v>3825</v>
      </c>
    </row>
    <row r="1614" spans="1:2" x14ac:dyDescent="0.25">
      <c r="A1614" s="20">
        <f t="shared" ca="1" si="50"/>
        <v>5.5307574864321918E-2</v>
      </c>
      <c r="B1614" s="21">
        <f t="shared" ca="1" si="51"/>
        <v>238</v>
      </c>
    </row>
    <row r="1615" spans="1:2" x14ac:dyDescent="0.25">
      <c r="A1615" s="20">
        <f t="shared" ca="1" si="50"/>
        <v>7.3295612411525157E-2</v>
      </c>
      <c r="B1615" s="21">
        <f t="shared" ca="1" si="51"/>
        <v>328</v>
      </c>
    </row>
    <row r="1616" spans="1:2" x14ac:dyDescent="0.25">
      <c r="A1616" s="20">
        <f t="shared" ca="1" si="50"/>
        <v>0.32186797990636506</v>
      </c>
      <c r="B1616" s="21">
        <f t="shared" ca="1" si="51"/>
        <v>1514</v>
      </c>
    </row>
    <row r="1617" spans="1:2" x14ac:dyDescent="0.25">
      <c r="A1617" s="20">
        <f t="shared" ca="1" si="50"/>
        <v>3.2361964742636751E-2</v>
      </c>
      <c r="B1617" s="21">
        <f t="shared" ca="1" si="51"/>
        <v>126</v>
      </c>
    </row>
    <row r="1618" spans="1:2" x14ac:dyDescent="0.25">
      <c r="A1618" s="20">
        <f t="shared" ca="1" si="50"/>
        <v>0.31246120339569117</v>
      </c>
      <c r="B1618" s="21">
        <f t="shared" ca="1" si="51"/>
        <v>1463</v>
      </c>
    </row>
    <row r="1619" spans="1:2" x14ac:dyDescent="0.25">
      <c r="A1619" s="20">
        <f t="shared" ca="1" si="50"/>
        <v>0.32826488028505518</v>
      </c>
      <c r="B1619" s="21">
        <f t="shared" ca="1" si="51"/>
        <v>1539</v>
      </c>
    </row>
    <row r="1620" spans="1:2" x14ac:dyDescent="0.25">
      <c r="A1620" s="20">
        <f t="shared" ca="1" si="50"/>
        <v>0.14910711888283834</v>
      </c>
      <c r="B1620" s="21">
        <f t="shared" ca="1" si="51"/>
        <v>662</v>
      </c>
    </row>
    <row r="1621" spans="1:2" x14ac:dyDescent="0.25">
      <c r="A1621" s="20">
        <f t="shared" ca="1" si="50"/>
        <v>6.9085478002171907E-2</v>
      </c>
      <c r="B1621" s="21">
        <f t="shared" ca="1" si="51"/>
        <v>310</v>
      </c>
    </row>
    <row r="1622" spans="1:2" x14ac:dyDescent="0.25">
      <c r="A1622" s="20">
        <f t="shared" ca="1" si="50"/>
        <v>0.92861928205514888</v>
      </c>
      <c r="B1622" s="21">
        <f t="shared" ca="1" si="51"/>
        <v>4285</v>
      </c>
    </row>
    <row r="1623" spans="1:2" x14ac:dyDescent="0.25">
      <c r="A1623" s="20">
        <f t="shared" ca="1" si="50"/>
        <v>0.84279665946218563</v>
      </c>
      <c r="B1623" s="21">
        <f t="shared" ca="1" si="51"/>
        <v>3891</v>
      </c>
    </row>
    <row r="1624" spans="1:2" x14ac:dyDescent="0.25">
      <c r="A1624" s="20">
        <f t="shared" ca="1" si="50"/>
        <v>0.21503610650068083</v>
      </c>
      <c r="B1624" s="21">
        <f t="shared" ca="1" si="51"/>
        <v>1004</v>
      </c>
    </row>
    <row r="1625" spans="1:2" x14ac:dyDescent="0.25">
      <c r="A1625" s="20">
        <f t="shared" ca="1" si="50"/>
        <v>0.13846681418629669</v>
      </c>
      <c r="B1625" s="21">
        <f t="shared" ca="1" si="51"/>
        <v>606</v>
      </c>
    </row>
    <row r="1626" spans="1:2" x14ac:dyDescent="0.25">
      <c r="A1626" s="20">
        <f t="shared" ca="1" si="50"/>
        <v>0.94647043287986876</v>
      </c>
      <c r="B1626" s="21">
        <f t="shared" ca="1" si="51"/>
        <v>4384</v>
      </c>
    </row>
    <row r="1627" spans="1:2" x14ac:dyDescent="0.25">
      <c r="A1627" s="20">
        <f t="shared" ca="1" si="50"/>
        <v>0.31683620145284008</v>
      </c>
      <c r="B1627" s="21">
        <f t="shared" ca="1" si="51"/>
        <v>1485</v>
      </c>
    </row>
    <row r="1628" spans="1:2" x14ac:dyDescent="0.25">
      <c r="A1628" s="20">
        <f t="shared" ca="1" si="50"/>
        <v>0.30641154968869966</v>
      </c>
      <c r="B1628" s="21">
        <f t="shared" ca="1" si="51"/>
        <v>1436</v>
      </c>
    </row>
    <row r="1629" spans="1:2" x14ac:dyDescent="0.25">
      <c r="A1629" s="20">
        <f t="shared" ca="1" si="50"/>
        <v>0.27368870720868943</v>
      </c>
      <c r="B1629" s="21">
        <f t="shared" ca="1" si="51"/>
        <v>1277</v>
      </c>
    </row>
    <row r="1630" spans="1:2" x14ac:dyDescent="0.25">
      <c r="A1630" s="20">
        <f t="shared" ca="1" si="50"/>
        <v>0.55677946095917763</v>
      </c>
      <c r="B1630" s="21">
        <f t="shared" ca="1" si="51"/>
        <v>2605</v>
      </c>
    </row>
    <row r="1631" spans="1:2" x14ac:dyDescent="0.25">
      <c r="A1631" s="20">
        <f t="shared" ca="1" si="50"/>
        <v>0.12495793441439995</v>
      </c>
      <c r="B1631" s="21">
        <f t="shared" ca="1" si="51"/>
        <v>553</v>
      </c>
    </row>
    <row r="1632" spans="1:2" x14ac:dyDescent="0.25">
      <c r="A1632" s="20">
        <f t="shared" ca="1" si="50"/>
        <v>0.18880691823234164</v>
      </c>
      <c r="B1632" s="21">
        <f t="shared" ca="1" si="51"/>
        <v>865</v>
      </c>
    </row>
    <row r="1633" spans="1:2" x14ac:dyDescent="0.25">
      <c r="A1633" s="20">
        <f t="shared" ca="1" si="50"/>
        <v>0.64176283065701423</v>
      </c>
      <c r="B1633" s="21">
        <f t="shared" ca="1" si="51"/>
        <v>2978</v>
      </c>
    </row>
    <row r="1634" spans="1:2" x14ac:dyDescent="0.25">
      <c r="A1634" s="20">
        <f t="shared" ca="1" si="50"/>
        <v>0.19417865094555276</v>
      </c>
      <c r="B1634" s="21">
        <f t="shared" ca="1" si="51"/>
        <v>897</v>
      </c>
    </row>
    <row r="1635" spans="1:2" x14ac:dyDescent="0.25">
      <c r="A1635" s="20">
        <f t="shared" ca="1" si="50"/>
        <v>6.2910261382273513E-2</v>
      </c>
      <c r="B1635" s="21">
        <f t="shared" ca="1" si="51"/>
        <v>273</v>
      </c>
    </row>
    <row r="1636" spans="1:2" x14ac:dyDescent="0.25">
      <c r="A1636" s="20">
        <f t="shared" ca="1" si="50"/>
        <v>0.27866048947563815</v>
      </c>
      <c r="B1636" s="21">
        <f t="shared" ca="1" si="51"/>
        <v>1295</v>
      </c>
    </row>
    <row r="1637" spans="1:2" x14ac:dyDescent="0.25">
      <c r="A1637" s="20">
        <f t="shared" ca="1" si="50"/>
        <v>0.45337548848151821</v>
      </c>
      <c r="B1637" s="21">
        <f t="shared" ca="1" si="51"/>
        <v>2124</v>
      </c>
    </row>
    <row r="1638" spans="1:2" x14ac:dyDescent="0.25">
      <c r="A1638" s="20">
        <f t="shared" ca="1" si="50"/>
        <v>0.10007391256333209</v>
      </c>
      <c r="B1638" s="21">
        <f t="shared" ca="1" si="51"/>
        <v>452</v>
      </c>
    </row>
    <row r="1639" spans="1:2" x14ac:dyDescent="0.25">
      <c r="A1639" s="20">
        <f t="shared" ca="1" si="50"/>
        <v>0.6501997650868403</v>
      </c>
      <c r="B1639" s="21">
        <f t="shared" ca="1" si="51"/>
        <v>3018</v>
      </c>
    </row>
    <row r="1640" spans="1:2" x14ac:dyDescent="0.25">
      <c r="A1640" s="20">
        <f t="shared" ca="1" si="50"/>
        <v>0.23524749632816044</v>
      </c>
      <c r="B1640" s="21">
        <f t="shared" ca="1" si="51"/>
        <v>1105</v>
      </c>
    </row>
    <row r="1641" spans="1:2" x14ac:dyDescent="0.25">
      <c r="A1641" s="20">
        <f t="shared" ca="1" si="50"/>
        <v>6.9753482156298618E-2</v>
      </c>
      <c r="B1641" s="21">
        <f t="shared" ca="1" si="51"/>
        <v>314</v>
      </c>
    </row>
    <row r="1642" spans="1:2" x14ac:dyDescent="0.25">
      <c r="A1642" s="20">
        <f t="shared" ca="1" si="50"/>
        <v>0.21345749535433911</v>
      </c>
      <c r="B1642" s="21">
        <f t="shared" ca="1" si="51"/>
        <v>1001</v>
      </c>
    </row>
    <row r="1643" spans="1:2" x14ac:dyDescent="0.25">
      <c r="A1643" s="20">
        <f t="shared" ca="1" si="50"/>
        <v>0.82019654070804326</v>
      </c>
      <c r="B1643" s="21">
        <f t="shared" ca="1" si="51"/>
        <v>3797</v>
      </c>
    </row>
    <row r="1644" spans="1:2" x14ac:dyDescent="0.25">
      <c r="A1644" s="20">
        <f t="shared" ca="1" si="50"/>
        <v>0.7469496115944797</v>
      </c>
      <c r="B1644" s="21">
        <f t="shared" ca="1" si="51"/>
        <v>3454</v>
      </c>
    </row>
    <row r="1645" spans="1:2" x14ac:dyDescent="0.25">
      <c r="A1645" s="20">
        <f t="shared" ca="1" si="50"/>
        <v>0.17567672615761576</v>
      </c>
      <c r="B1645" s="21">
        <f t="shared" ca="1" si="51"/>
        <v>798</v>
      </c>
    </row>
    <row r="1646" spans="1:2" x14ac:dyDescent="0.25">
      <c r="A1646" s="20">
        <f t="shared" ca="1" si="50"/>
        <v>9.2466549860009462E-2</v>
      </c>
      <c r="B1646" s="21">
        <f t="shared" ca="1" si="51"/>
        <v>415</v>
      </c>
    </row>
    <row r="1647" spans="1:2" x14ac:dyDescent="0.25">
      <c r="A1647" s="20">
        <f t="shared" ca="1" si="50"/>
        <v>0.1087770207432196</v>
      </c>
      <c r="B1647" s="21">
        <f t="shared" ca="1" si="51"/>
        <v>481</v>
      </c>
    </row>
    <row r="1648" spans="1:2" x14ac:dyDescent="0.25">
      <c r="A1648" s="20">
        <f t="shared" ca="1" si="50"/>
        <v>0.61967894575688587</v>
      </c>
      <c r="B1648" s="21">
        <f t="shared" ca="1" si="51"/>
        <v>2876</v>
      </c>
    </row>
    <row r="1649" spans="1:2" x14ac:dyDescent="0.25">
      <c r="A1649" s="20">
        <f t="shared" ca="1" si="50"/>
        <v>0.30900579465528144</v>
      </c>
      <c r="B1649" s="21">
        <f t="shared" ca="1" si="51"/>
        <v>1448</v>
      </c>
    </row>
    <row r="1650" spans="1:2" x14ac:dyDescent="0.25">
      <c r="A1650" s="20">
        <f t="shared" ca="1" si="50"/>
        <v>0.44643119884470472</v>
      </c>
      <c r="B1650" s="21">
        <f t="shared" ca="1" si="51"/>
        <v>2091</v>
      </c>
    </row>
    <row r="1651" spans="1:2" x14ac:dyDescent="0.25">
      <c r="A1651" s="20">
        <f t="shared" ca="1" si="50"/>
        <v>0.8378111698251115</v>
      </c>
      <c r="B1651" s="21">
        <f t="shared" ca="1" si="51"/>
        <v>3865</v>
      </c>
    </row>
    <row r="1652" spans="1:2" x14ac:dyDescent="0.25">
      <c r="A1652" s="20">
        <f t="shared" ca="1" si="50"/>
        <v>0.81385397361177136</v>
      </c>
      <c r="B1652" s="21">
        <f t="shared" ca="1" si="51"/>
        <v>3763</v>
      </c>
    </row>
    <row r="1653" spans="1:2" x14ac:dyDescent="0.25">
      <c r="A1653" s="20">
        <f t="shared" ca="1" si="50"/>
        <v>0.75531592609677478</v>
      </c>
      <c r="B1653" s="21">
        <f t="shared" ca="1" si="51"/>
        <v>3501</v>
      </c>
    </row>
    <row r="1654" spans="1:2" x14ac:dyDescent="0.25">
      <c r="A1654" s="20">
        <f t="shared" ca="1" si="50"/>
        <v>0.29141305274716911</v>
      </c>
      <c r="B1654" s="21">
        <f t="shared" ca="1" si="51"/>
        <v>1375</v>
      </c>
    </row>
    <row r="1655" spans="1:2" x14ac:dyDescent="0.25">
      <c r="A1655" s="20">
        <f t="shared" ca="1" si="50"/>
        <v>0.24252650447159296</v>
      </c>
      <c r="B1655" s="21">
        <f t="shared" ca="1" si="51"/>
        <v>1134</v>
      </c>
    </row>
    <row r="1656" spans="1:2" x14ac:dyDescent="0.25">
      <c r="A1656" s="20">
        <f t="shared" ca="1" si="50"/>
        <v>9.5877135859657958E-2</v>
      </c>
      <c r="B1656" s="21">
        <f t="shared" ca="1" si="51"/>
        <v>430</v>
      </c>
    </row>
    <row r="1657" spans="1:2" x14ac:dyDescent="0.25">
      <c r="A1657" s="20">
        <f t="shared" ca="1" si="50"/>
        <v>0.90491358856740711</v>
      </c>
      <c r="B1657" s="21">
        <f t="shared" ca="1" si="51"/>
        <v>4176</v>
      </c>
    </row>
    <row r="1658" spans="1:2" x14ac:dyDescent="0.25">
      <c r="A1658" s="20">
        <f t="shared" ca="1" si="50"/>
        <v>0.21928661288944928</v>
      </c>
      <c r="B1658" s="21">
        <f t="shared" ca="1" si="51"/>
        <v>1028</v>
      </c>
    </row>
    <row r="1659" spans="1:2" x14ac:dyDescent="0.25">
      <c r="A1659" s="20">
        <f t="shared" ca="1" si="50"/>
        <v>0.39355284229607435</v>
      </c>
      <c r="B1659" s="21">
        <f t="shared" ca="1" si="51"/>
        <v>1850</v>
      </c>
    </row>
    <row r="1660" spans="1:2" x14ac:dyDescent="0.25">
      <c r="A1660" s="20">
        <f t="shared" ca="1" si="50"/>
        <v>0.19187527744939703</v>
      </c>
      <c r="B1660" s="21">
        <f t="shared" ca="1" si="51"/>
        <v>880</v>
      </c>
    </row>
    <row r="1661" spans="1:2" x14ac:dyDescent="0.25">
      <c r="A1661" s="20">
        <f t="shared" ca="1" si="50"/>
        <v>0.6237138667545834</v>
      </c>
      <c r="B1661" s="21">
        <f t="shared" ca="1" si="51"/>
        <v>2889</v>
      </c>
    </row>
    <row r="1662" spans="1:2" x14ac:dyDescent="0.25">
      <c r="A1662" s="20">
        <f t="shared" ca="1" si="50"/>
        <v>0.976699090248624</v>
      </c>
      <c r="B1662" s="21">
        <f t="shared" ca="1" si="51"/>
        <v>4525</v>
      </c>
    </row>
    <row r="1663" spans="1:2" x14ac:dyDescent="0.25">
      <c r="A1663" s="20">
        <f t="shared" ca="1" si="50"/>
        <v>0.56924912685382856</v>
      </c>
      <c r="B1663" s="21">
        <f t="shared" ca="1" si="51"/>
        <v>2660</v>
      </c>
    </row>
    <row r="1664" spans="1:2" x14ac:dyDescent="0.25">
      <c r="A1664" s="20">
        <f t="shared" ca="1" si="50"/>
        <v>0.47029220044799291</v>
      </c>
      <c r="B1664" s="21">
        <f t="shared" ca="1" si="51"/>
        <v>2196</v>
      </c>
    </row>
    <row r="1665" spans="1:2" x14ac:dyDescent="0.25">
      <c r="A1665" s="20">
        <f t="shared" ca="1" si="50"/>
        <v>4.4922127112125398E-2</v>
      </c>
      <c r="B1665" s="21">
        <f t="shared" ca="1" si="51"/>
        <v>180</v>
      </c>
    </row>
    <row r="1666" spans="1:2" x14ac:dyDescent="0.25">
      <c r="A1666" s="20">
        <f t="shared" ca="1" si="50"/>
        <v>0.93876344015081681</v>
      </c>
      <c r="B1666" s="21">
        <f t="shared" ca="1" si="51"/>
        <v>4343</v>
      </c>
    </row>
    <row r="1667" spans="1:2" x14ac:dyDescent="0.25">
      <c r="A1667" s="20">
        <f t="shared" ref="A1667:A1730" ca="1" si="52">RAND()</f>
        <v>6.4032423084465551E-2</v>
      </c>
      <c r="B1667" s="21">
        <f t="shared" ref="B1667:B1730" ca="1" si="53">_xlfn.RANK.EQ($A1667,$A:$A,1)</f>
        <v>278</v>
      </c>
    </row>
    <row r="1668" spans="1:2" x14ac:dyDescent="0.25">
      <c r="A1668" s="20">
        <f t="shared" ca="1" si="52"/>
        <v>0.11529707235928244</v>
      </c>
      <c r="B1668" s="21">
        <f t="shared" ca="1" si="53"/>
        <v>507</v>
      </c>
    </row>
    <row r="1669" spans="1:2" x14ac:dyDescent="0.25">
      <c r="A1669" s="20">
        <f t="shared" ca="1" si="52"/>
        <v>0.79349157326675757</v>
      </c>
      <c r="B1669" s="21">
        <f t="shared" ca="1" si="53"/>
        <v>3672</v>
      </c>
    </row>
    <row r="1670" spans="1:2" x14ac:dyDescent="0.25">
      <c r="A1670" s="20">
        <f t="shared" ca="1" si="52"/>
        <v>0.90618683793119026</v>
      </c>
      <c r="B1670" s="21">
        <f t="shared" ca="1" si="53"/>
        <v>4183</v>
      </c>
    </row>
    <row r="1671" spans="1:2" x14ac:dyDescent="0.25">
      <c r="A1671" s="20">
        <f t="shared" ca="1" si="52"/>
        <v>0.21844823474412556</v>
      </c>
      <c r="B1671" s="21">
        <f t="shared" ca="1" si="53"/>
        <v>1022</v>
      </c>
    </row>
    <row r="1672" spans="1:2" x14ac:dyDescent="0.25">
      <c r="A1672" s="20">
        <f t="shared" ca="1" si="52"/>
        <v>0.18542306987311663</v>
      </c>
      <c r="B1672" s="21">
        <f t="shared" ca="1" si="53"/>
        <v>852</v>
      </c>
    </row>
    <row r="1673" spans="1:2" x14ac:dyDescent="0.25">
      <c r="A1673" s="20">
        <f t="shared" ca="1" si="52"/>
        <v>0.7135926987289567</v>
      </c>
      <c r="B1673" s="21">
        <f t="shared" ca="1" si="53"/>
        <v>3299</v>
      </c>
    </row>
    <row r="1674" spans="1:2" x14ac:dyDescent="0.25">
      <c r="A1674" s="20">
        <f t="shared" ca="1" si="52"/>
        <v>0.60179396242119765</v>
      </c>
      <c r="B1674" s="21">
        <f t="shared" ca="1" si="53"/>
        <v>2807</v>
      </c>
    </row>
    <row r="1675" spans="1:2" x14ac:dyDescent="0.25">
      <c r="A1675" s="20">
        <f t="shared" ca="1" si="52"/>
        <v>0.39795626719557986</v>
      </c>
      <c r="B1675" s="21">
        <f t="shared" ca="1" si="53"/>
        <v>1869</v>
      </c>
    </row>
    <row r="1676" spans="1:2" x14ac:dyDescent="0.25">
      <c r="A1676" s="20">
        <f t="shared" ca="1" si="52"/>
        <v>0.56749675994875781</v>
      </c>
      <c r="B1676" s="21">
        <f t="shared" ca="1" si="53"/>
        <v>2653</v>
      </c>
    </row>
    <row r="1677" spans="1:2" x14ac:dyDescent="0.25">
      <c r="A1677" s="20">
        <f t="shared" ca="1" si="52"/>
        <v>0.91940333619400494</v>
      </c>
      <c r="B1677" s="21">
        <f t="shared" ca="1" si="53"/>
        <v>4238</v>
      </c>
    </row>
    <row r="1678" spans="1:2" x14ac:dyDescent="0.25">
      <c r="A1678" s="20">
        <f t="shared" ca="1" si="52"/>
        <v>0.32274719198062163</v>
      </c>
      <c r="B1678" s="21">
        <f t="shared" ca="1" si="53"/>
        <v>1518</v>
      </c>
    </row>
    <row r="1679" spans="1:2" x14ac:dyDescent="0.25">
      <c r="A1679" s="20">
        <f t="shared" ca="1" si="52"/>
        <v>0.5181273039925256</v>
      </c>
      <c r="B1679" s="21">
        <f t="shared" ca="1" si="53"/>
        <v>2420</v>
      </c>
    </row>
    <row r="1680" spans="1:2" x14ac:dyDescent="0.25">
      <c r="A1680" s="20">
        <f t="shared" ca="1" si="52"/>
        <v>0.72358357602578638</v>
      </c>
      <c r="B1680" s="21">
        <f t="shared" ca="1" si="53"/>
        <v>3345</v>
      </c>
    </row>
    <row r="1681" spans="1:2" x14ac:dyDescent="0.25">
      <c r="A1681" s="20">
        <f t="shared" ca="1" si="52"/>
        <v>0.18741688171206716</v>
      </c>
      <c r="B1681" s="21">
        <f t="shared" ca="1" si="53"/>
        <v>859</v>
      </c>
    </row>
    <row r="1682" spans="1:2" x14ac:dyDescent="0.25">
      <c r="A1682" s="20">
        <f t="shared" ca="1" si="52"/>
        <v>0.41833124388992515</v>
      </c>
      <c r="B1682" s="21">
        <f t="shared" ca="1" si="53"/>
        <v>1958</v>
      </c>
    </row>
    <row r="1683" spans="1:2" x14ac:dyDescent="0.25">
      <c r="A1683" s="20">
        <f t="shared" ca="1" si="52"/>
        <v>0.45310279814793308</v>
      </c>
      <c r="B1683" s="21">
        <f t="shared" ca="1" si="53"/>
        <v>2121</v>
      </c>
    </row>
    <row r="1684" spans="1:2" x14ac:dyDescent="0.25">
      <c r="A1684" s="20">
        <f t="shared" ca="1" si="52"/>
        <v>0.84313642126486532</v>
      </c>
      <c r="B1684" s="21">
        <f t="shared" ca="1" si="53"/>
        <v>3894</v>
      </c>
    </row>
    <row r="1685" spans="1:2" x14ac:dyDescent="0.25">
      <c r="A1685" s="20">
        <f t="shared" ca="1" si="52"/>
        <v>0.20760336371236199</v>
      </c>
      <c r="B1685" s="21">
        <f t="shared" ca="1" si="53"/>
        <v>967</v>
      </c>
    </row>
    <row r="1686" spans="1:2" x14ac:dyDescent="0.25">
      <c r="A1686" s="20">
        <f t="shared" ca="1" si="52"/>
        <v>2.4181003666242873E-2</v>
      </c>
      <c r="B1686" s="21">
        <f t="shared" ca="1" si="53"/>
        <v>94</v>
      </c>
    </row>
    <row r="1687" spans="1:2" x14ac:dyDescent="0.25">
      <c r="A1687" s="20">
        <f t="shared" ca="1" si="52"/>
        <v>0.79071539456702233</v>
      </c>
      <c r="B1687" s="21">
        <f t="shared" ca="1" si="53"/>
        <v>3659</v>
      </c>
    </row>
    <row r="1688" spans="1:2" x14ac:dyDescent="0.25">
      <c r="A1688" s="20">
        <f t="shared" ca="1" si="52"/>
        <v>0.54319446390255677</v>
      </c>
      <c r="B1688" s="21">
        <f t="shared" ca="1" si="53"/>
        <v>2537</v>
      </c>
    </row>
    <row r="1689" spans="1:2" x14ac:dyDescent="0.25">
      <c r="A1689" s="20">
        <f t="shared" ca="1" si="52"/>
        <v>0.88311411657840999</v>
      </c>
      <c r="B1689" s="21">
        <f t="shared" ca="1" si="53"/>
        <v>4068</v>
      </c>
    </row>
    <row r="1690" spans="1:2" x14ac:dyDescent="0.25">
      <c r="A1690" s="20">
        <f t="shared" ca="1" si="52"/>
        <v>0.7138626599132023</v>
      </c>
      <c r="B1690" s="21">
        <f t="shared" ca="1" si="53"/>
        <v>3302</v>
      </c>
    </row>
    <row r="1691" spans="1:2" x14ac:dyDescent="0.25">
      <c r="A1691" s="20">
        <f t="shared" ca="1" si="52"/>
        <v>0.51236813785446444</v>
      </c>
      <c r="B1691" s="21">
        <f t="shared" ca="1" si="53"/>
        <v>2394</v>
      </c>
    </row>
    <row r="1692" spans="1:2" x14ac:dyDescent="0.25">
      <c r="A1692" s="20">
        <f t="shared" ca="1" si="52"/>
        <v>0.15409869539236376</v>
      </c>
      <c r="B1692" s="21">
        <f t="shared" ca="1" si="53"/>
        <v>689</v>
      </c>
    </row>
    <row r="1693" spans="1:2" x14ac:dyDescent="0.25">
      <c r="A1693" s="20">
        <f t="shared" ca="1" si="52"/>
        <v>0.14749605030919966</v>
      </c>
      <c r="B1693" s="21">
        <f t="shared" ca="1" si="53"/>
        <v>654</v>
      </c>
    </row>
    <row r="1694" spans="1:2" x14ac:dyDescent="0.25">
      <c r="A1694" s="20">
        <f t="shared" ca="1" si="52"/>
        <v>0.72861784137794283</v>
      </c>
      <c r="B1694" s="21">
        <f t="shared" ca="1" si="53"/>
        <v>3374</v>
      </c>
    </row>
    <row r="1695" spans="1:2" x14ac:dyDescent="0.25">
      <c r="A1695" s="20">
        <f t="shared" ca="1" si="52"/>
        <v>0.3730216403137383</v>
      </c>
      <c r="B1695" s="21">
        <f t="shared" ca="1" si="53"/>
        <v>1767</v>
      </c>
    </row>
    <row r="1696" spans="1:2" x14ac:dyDescent="0.25">
      <c r="A1696" s="20">
        <f t="shared" ca="1" si="52"/>
        <v>9.7655038991373955E-2</v>
      </c>
      <c r="B1696" s="21">
        <f t="shared" ca="1" si="53"/>
        <v>436</v>
      </c>
    </row>
    <row r="1697" spans="1:2" x14ac:dyDescent="0.25">
      <c r="A1697" s="20">
        <f t="shared" ca="1" si="52"/>
        <v>3.6704812467525438E-2</v>
      </c>
      <c r="B1697" s="21">
        <f t="shared" ca="1" si="53"/>
        <v>144</v>
      </c>
    </row>
    <row r="1698" spans="1:2" x14ac:dyDescent="0.25">
      <c r="A1698" s="20">
        <f t="shared" ca="1" si="52"/>
        <v>0.74751413988072257</v>
      </c>
      <c r="B1698" s="21">
        <f t="shared" ca="1" si="53"/>
        <v>3455</v>
      </c>
    </row>
    <row r="1699" spans="1:2" x14ac:dyDescent="0.25">
      <c r="A1699" s="20">
        <f t="shared" ca="1" si="52"/>
        <v>0.56502237074577244</v>
      </c>
      <c r="B1699" s="21">
        <f t="shared" ca="1" si="53"/>
        <v>2638</v>
      </c>
    </row>
    <row r="1700" spans="1:2" x14ac:dyDescent="0.25">
      <c r="A1700" s="20">
        <f t="shared" ca="1" si="52"/>
        <v>0.14354593799894844</v>
      </c>
      <c r="B1700" s="21">
        <f t="shared" ca="1" si="53"/>
        <v>631</v>
      </c>
    </row>
    <row r="1701" spans="1:2" x14ac:dyDescent="0.25">
      <c r="A1701" s="20">
        <f t="shared" ca="1" si="52"/>
        <v>0.26500837588600334</v>
      </c>
      <c r="B1701" s="21">
        <f t="shared" ca="1" si="53"/>
        <v>1236</v>
      </c>
    </row>
    <row r="1702" spans="1:2" x14ac:dyDescent="0.25">
      <c r="A1702" s="20">
        <f t="shared" ca="1" si="52"/>
        <v>0.94386899423131632</v>
      </c>
      <c r="B1702" s="21">
        <f t="shared" ca="1" si="53"/>
        <v>4364</v>
      </c>
    </row>
    <row r="1703" spans="1:2" x14ac:dyDescent="0.25">
      <c r="A1703" s="20">
        <f t="shared" ca="1" si="52"/>
        <v>0.22243182693489438</v>
      </c>
      <c r="B1703" s="21">
        <f t="shared" ca="1" si="53"/>
        <v>1044</v>
      </c>
    </row>
    <row r="1704" spans="1:2" x14ac:dyDescent="0.25">
      <c r="A1704" s="20">
        <f t="shared" ca="1" si="52"/>
        <v>0.89333096012466817</v>
      </c>
      <c r="B1704" s="21">
        <f t="shared" ca="1" si="53"/>
        <v>4119</v>
      </c>
    </row>
    <row r="1705" spans="1:2" x14ac:dyDescent="0.25">
      <c r="A1705" s="20">
        <f t="shared" ca="1" si="52"/>
        <v>0.34145750205847647</v>
      </c>
      <c r="B1705" s="21">
        <f t="shared" ca="1" si="53"/>
        <v>1605</v>
      </c>
    </row>
    <row r="1706" spans="1:2" x14ac:dyDescent="0.25">
      <c r="A1706" s="20">
        <f t="shared" ca="1" si="52"/>
        <v>0.65766562900183501</v>
      </c>
      <c r="B1706" s="21">
        <f t="shared" ca="1" si="53"/>
        <v>3051</v>
      </c>
    </row>
    <row r="1707" spans="1:2" x14ac:dyDescent="0.25">
      <c r="A1707" s="20">
        <f t="shared" ca="1" si="52"/>
        <v>0.43461254602770261</v>
      </c>
      <c r="B1707" s="21">
        <f t="shared" ca="1" si="53"/>
        <v>2039</v>
      </c>
    </row>
    <row r="1708" spans="1:2" x14ac:dyDescent="0.25">
      <c r="A1708" s="20">
        <f t="shared" ca="1" si="52"/>
        <v>0.78851343637446192</v>
      </c>
      <c r="B1708" s="21">
        <f t="shared" ca="1" si="53"/>
        <v>3651</v>
      </c>
    </row>
    <row r="1709" spans="1:2" x14ac:dyDescent="0.25">
      <c r="A1709" s="20">
        <f t="shared" ca="1" si="52"/>
        <v>0.58523156013645028</v>
      </c>
      <c r="B1709" s="21">
        <f t="shared" ca="1" si="53"/>
        <v>2743</v>
      </c>
    </row>
    <row r="1710" spans="1:2" x14ac:dyDescent="0.25">
      <c r="A1710" s="20">
        <f t="shared" ca="1" si="52"/>
        <v>0.61602277241195036</v>
      </c>
      <c r="B1710" s="21">
        <f t="shared" ca="1" si="53"/>
        <v>2862</v>
      </c>
    </row>
    <row r="1711" spans="1:2" x14ac:dyDescent="0.25">
      <c r="A1711" s="20">
        <f t="shared" ca="1" si="52"/>
        <v>0.66569755321509794</v>
      </c>
      <c r="B1711" s="21">
        <f t="shared" ca="1" si="53"/>
        <v>3083</v>
      </c>
    </row>
    <row r="1712" spans="1:2" x14ac:dyDescent="0.25">
      <c r="A1712" s="20">
        <f t="shared" ca="1" si="52"/>
        <v>0.7650666354415846</v>
      </c>
      <c r="B1712" s="21">
        <f t="shared" ca="1" si="53"/>
        <v>3545</v>
      </c>
    </row>
    <row r="1713" spans="1:2" x14ac:dyDescent="0.25">
      <c r="A1713" s="20">
        <f t="shared" ca="1" si="52"/>
        <v>0.98171518886670561</v>
      </c>
      <c r="B1713" s="21">
        <f t="shared" ca="1" si="53"/>
        <v>4547</v>
      </c>
    </row>
    <row r="1714" spans="1:2" x14ac:dyDescent="0.25">
      <c r="A1714" s="20">
        <f t="shared" ca="1" si="52"/>
        <v>0.98341794756746848</v>
      </c>
      <c r="B1714" s="21">
        <f t="shared" ca="1" si="53"/>
        <v>4551</v>
      </c>
    </row>
    <row r="1715" spans="1:2" x14ac:dyDescent="0.25">
      <c r="A1715" s="20">
        <f t="shared" ca="1" si="52"/>
        <v>0.94097806060995881</v>
      </c>
      <c r="B1715" s="21">
        <f t="shared" ca="1" si="53"/>
        <v>4351</v>
      </c>
    </row>
    <row r="1716" spans="1:2" x14ac:dyDescent="0.25">
      <c r="A1716" s="20">
        <f t="shared" ca="1" si="52"/>
        <v>0.38356985408428923</v>
      </c>
      <c r="B1716" s="21">
        <f t="shared" ca="1" si="53"/>
        <v>1799</v>
      </c>
    </row>
    <row r="1717" spans="1:2" x14ac:dyDescent="0.25">
      <c r="A1717" s="20">
        <f t="shared" ca="1" si="52"/>
        <v>0.95024426640284887</v>
      </c>
      <c r="B1717" s="21">
        <f t="shared" ca="1" si="53"/>
        <v>4407</v>
      </c>
    </row>
    <row r="1718" spans="1:2" x14ac:dyDescent="0.25">
      <c r="A1718" s="20">
        <f t="shared" ca="1" si="52"/>
        <v>0.69843494207376977</v>
      </c>
      <c r="B1718" s="21">
        <f t="shared" ca="1" si="53"/>
        <v>3235</v>
      </c>
    </row>
    <row r="1719" spans="1:2" x14ac:dyDescent="0.25">
      <c r="A1719" s="20">
        <f t="shared" ca="1" si="52"/>
        <v>0.35487057007305112</v>
      </c>
      <c r="B1719" s="21">
        <f t="shared" ca="1" si="53"/>
        <v>1676</v>
      </c>
    </row>
    <row r="1720" spans="1:2" x14ac:dyDescent="0.25">
      <c r="A1720" s="20">
        <f t="shared" ca="1" si="52"/>
        <v>0.14789947704776762</v>
      </c>
      <c r="B1720" s="21">
        <f t="shared" ca="1" si="53"/>
        <v>656</v>
      </c>
    </row>
    <row r="1721" spans="1:2" x14ac:dyDescent="0.25">
      <c r="A1721" s="20">
        <f t="shared" ca="1" si="52"/>
        <v>0.32613875860857366</v>
      </c>
      <c r="B1721" s="21">
        <f t="shared" ca="1" si="53"/>
        <v>1530</v>
      </c>
    </row>
    <row r="1722" spans="1:2" x14ac:dyDescent="0.25">
      <c r="A1722" s="20">
        <f t="shared" ca="1" si="52"/>
        <v>0.6628051186088173</v>
      </c>
      <c r="B1722" s="21">
        <f t="shared" ca="1" si="53"/>
        <v>3074</v>
      </c>
    </row>
    <row r="1723" spans="1:2" x14ac:dyDescent="0.25">
      <c r="A1723" s="20">
        <f t="shared" ca="1" si="52"/>
        <v>0.43267377158775444</v>
      </c>
      <c r="B1723" s="21">
        <f t="shared" ca="1" si="53"/>
        <v>2029</v>
      </c>
    </row>
    <row r="1724" spans="1:2" x14ac:dyDescent="0.25">
      <c r="A1724" s="20">
        <f t="shared" ca="1" si="52"/>
        <v>0.71191775563668203</v>
      </c>
      <c r="B1724" s="21">
        <f t="shared" ca="1" si="53"/>
        <v>3294</v>
      </c>
    </row>
    <row r="1725" spans="1:2" x14ac:dyDescent="0.25">
      <c r="A1725" s="20">
        <f t="shared" ca="1" si="52"/>
        <v>0.80259660868000904</v>
      </c>
      <c r="B1725" s="21">
        <f t="shared" ca="1" si="53"/>
        <v>3718</v>
      </c>
    </row>
    <row r="1726" spans="1:2" x14ac:dyDescent="0.25">
      <c r="A1726" s="20">
        <f t="shared" ca="1" si="52"/>
        <v>0.91006082587543891</v>
      </c>
      <c r="B1726" s="21">
        <f t="shared" ca="1" si="53"/>
        <v>4199</v>
      </c>
    </row>
    <row r="1727" spans="1:2" x14ac:dyDescent="0.25">
      <c r="A1727" s="20">
        <f t="shared" ca="1" si="52"/>
        <v>0.25267093357190584</v>
      </c>
      <c r="B1727" s="21">
        <f t="shared" ca="1" si="53"/>
        <v>1182</v>
      </c>
    </row>
    <row r="1728" spans="1:2" x14ac:dyDescent="0.25">
      <c r="A1728" s="20">
        <f t="shared" ca="1" si="52"/>
        <v>0.39901748478725985</v>
      </c>
      <c r="B1728" s="21">
        <f t="shared" ca="1" si="53"/>
        <v>1873</v>
      </c>
    </row>
    <row r="1729" spans="1:2" x14ac:dyDescent="0.25">
      <c r="A1729" s="20">
        <f t="shared" ca="1" si="52"/>
        <v>0.73976055065849133</v>
      </c>
      <c r="B1729" s="21">
        <f t="shared" ca="1" si="53"/>
        <v>3423</v>
      </c>
    </row>
    <row r="1730" spans="1:2" x14ac:dyDescent="0.25">
      <c r="A1730" s="20">
        <f t="shared" ca="1" si="52"/>
        <v>0.84688649478330358</v>
      </c>
      <c r="B1730" s="21">
        <f t="shared" ca="1" si="53"/>
        <v>3914</v>
      </c>
    </row>
    <row r="1731" spans="1:2" x14ac:dyDescent="0.25">
      <c r="A1731" s="20">
        <f t="shared" ref="A1731:A1794" ca="1" si="54">RAND()</f>
        <v>0.19273195350075034</v>
      </c>
      <c r="B1731" s="21">
        <f t="shared" ref="B1731:B1794" ca="1" si="55">_xlfn.RANK.EQ($A1731,$A:$A,1)</f>
        <v>888</v>
      </c>
    </row>
    <row r="1732" spans="1:2" x14ac:dyDescent="0.25">
      <c r="A1732" s="20">
        <f t="shared" ca="1" si="54"/>
        <v>5.0902175456750576E-2</v>
      </c>
      <c r="B1732" s="21">
        <f t="shared" ca="1" si="55"/>
        <v>214</v>
      </c>
    </row>
    <row r="1733" spans="1:2" x14ac:dyDescent="0.25">
      <c r="A1733" s="20">
        <f t="shared" ca="1" si="54"/>
        <v>0.35971875814266763</v>
      </c>
      <c r="B1733" s="21">
        <f t="shared" ca="1" si="55"/>
        <v>1703</v>
      </c>
    </row>
    <row r="1734" spans="1:2" x14ac:dyDescent="0.25">
      <c r="A1734" s="20">
        <f t="shared" ca="1" si="54"/>
        <v>0.57441928545532184</v>
      </c>
      <c r="B1734" s="21">
        <f t="shared" ca="1" si="55"/>
        <v>2681</v>
      </c>
    </row>
    <row r="1735" spans="1:2" x14ac:dyDescent="0.25">
      <c r="A1735" s="20">
        <f t="shared" ca="1" si="54"/>
        <v>0.63970415453678808</v>
      </c>
      <c r="B1735" s="21">
        <f t="shared" ca="1" si="55"/>
        <v>2963</v>
      </c>
    </row>
    <row r="1736" spans="1:2" x14ac:dyDescent="0.25">
      <c r="A1736" s="20">
        <f t="shared" ca="1" si="54"/>
        <v>0.9458872891927268</v>
      </c>
      <c r="B1736" s="21">
        <f t="shared" ca="1" si="55"/>
        <v>4379</v>
      </c>
    </row>
    <row r="1737" spans="1:2" x14ac:dyDescent="0.25">
      <c r="A1737" s="20">
        <f t="shared" ca="1" si="54"/>
        <v>0.76798090796354124</v>
      </c>
      <c r="B1737" s="21">
        <f t="shared" ca="1" si="55"/>
        <v>3560</v>
      </c>
    </row>
    <row r="1738" spans="1:2" x14ac:dyDescent="0.25">
      <c r="A1738" s="20">
        <f t="shared" ca="1" si="54"/>
        <v>3.4182116474155255E-2</v>
      </c>
      <c r="B1738" s="21">
        <f t="shared" ca="1" si="55"/>
        <v>131</v>
      </c>
    </row>
    <row r="1739" spans="1:2" x14ac:dyDescent="0.25">
      <c r="A1739" s="20">
        <f t="shared" ca="1" si="54"/>
        <v>0.21579742659885603</v>
      </c>
      <c r="B1739" s="21">
        <f t="shared" ca="1" si="55"/>
        <v>1008</v>
      </c>
    </row>
    <row r="1740" spans="1:2" x14ac:dyDescent="0.25">
      <c r="A1740" s="20">
        <f t="shared" ca="1" si="54"/>
        <v>0.58500089463458738</v>
      </c>
      <c r="B1740" s="21">
        <f t="shared" ca="1" si="55"/>
        <v>2738</v>
      </c>
    </row>
    <row r="1741" spans="1:2" x14ac:dyDescent="0.25">
      <c r="A1741" s="20">
        <f t="shared" ca="1" si="54"/>
        <v>0.26512490919144804</v>
      </c>
      <c r="B1741" s="21">
        <f t="shared" ca="1" si="55"/>
        <v>1238</v>
      </c>
    </row>
    <row r="1742" spans="1:2" x14ac:dyDescent="0.25">
      <c r="A1742" s="20">
        <f t="shared" ca="1" si="54"/>
        <v>0.54541823108376297</v>
      </c>
      <c r="B1742" s="21">
        <f t="shared" ca="1" si="55"/>
        <v>2546</v>
      </c>
    </row>
    <row r="1743" spans="1:2" x14ac:dyDescent="0.25">
      <c r="A1743" s="20">
        <f t="shared" ca="1" si="54"/>
        <v>9.3265454567135309E-2</v>
      </c>
      <c r="B1743" s="21">
        <f t="shared" ca="1" si="55"/>
        <v>419</v>
      </c>
    </row>
    <row r="1744" spans="1:2" x14ac:dyDescent="0.25">
      <c r="A1744" s="20">
        <f t="shared" ca="1" si="54"/>
        <v>0.22848583797927013</v>
      </c>
      <c r="B1744" s="21">
        <f t="shared" ca="1" si="55"/>
        <v>1072</v>
      </c>
    </row>
    <row r="1745" spans="1:2" x14ac:dyDescent="0.25">
      <c r="A1745" s="20">
        <f t="shared" ca="1" si="54"/>
        <v>1.8317035830793249E-2</v>
      </c>
      <c r="B1745" s="21">
        <f t="shared" ca="1" si="55"/>
        <v>66</v>
      </c>
    </row>
    <row r="1746" spans="1:2" x14ac:dyDescent="0.25">
      <c r="A1746" s="20">
        <f t="shared" ca="1" si="54"/>
        <v>0.84610345378720642</v>
      </c>
      <c r="B1746" s="21">
        <f t="shared" ca="1" si="55"/>
        <v>3908</v>
      </c>
    </row>
    <row r="1747" spans="1:2" x14ac:dyDescent="0.25">
      <c r="A1747" s="20">
        <f t="shared" ca="1" si="54"/>
        <v>0.33168872462810506</v>
      </c>
      <c r="B1747" s="21">
        <f t="shared" ca="1" si="55"/>
        <v>1554</v>
      </c>
    </row>
    <row r="1748" spans="1:2" x14ac:dyDescent="0.25">
      <c r="A1748" s="20">
        <f t="shared" ca="1" si="54"/>
        <v>0.88110605091791816</v>
      </c>
      <c r="B1748" s="21">
        <f t="shared" ca="1" si="55"/>
        <v>4060</v>
      </c>
    </row>
    <row r="1749" spans="1:2" x14ac:dyDescent="0.25">
      <c r="A1749" s="20">
        <f t="shared" ca="1" si="54"/>
        <v>0.35690551476765586</v>
      </c>
      <c r="B1749" s="21">
        <f t="shared" ca="1" si="55"/>
        <v>1687</v>
      </c>
    </row>
    <row r="1750" spans="1:2" x14ac:dyDescent="0.25">
      <c r="A1750" s="20">
        <f t="shared" ca="1" si="54"/>
        <v>0.38165778848274134</v>
      </c>
      <c r="B1750" s="21">
        <f t="shared" ca="1" si="55"/>
        <v>1791</v>
      </c>
    </row>
    <row r="1751" spans="1:2" x14ac:dyDescent="0.25">
      <c r="A1751" s="20">
        <f t="shared" ca="1" si="54"/>
        <v>0.57542599277930362</v>
      </c>
      <c r="B1751" s="21">
        <f t="shared" ca="1" si="55"/>
        <v>2686</v>
      </c>
    </row>
    <row r="1752" spans="1:2" x14ac:dyDescent="0.25">
      <c r="A1752" s="20">
        <f t="shared" ca="1" si="54"/>
        <v>0.9380167065285695</v>
      </c>
      <c r="B1752" s="21">
        <f t="shared" ca="1" si="55"/>
        <v>4339</v>
      </c>
    </row>
    <row r="1753" spans="1:2" x14ac:dyDescent="0.25">
      <c r="A1753" s="20">
        <f t="shared" ca="1" si="54"/>
        <v>0.66637394985683351</v>
      </c>
      <c r="B1753" s="21">
        <f t="shared" ca="1" si="55"/>
        <v>3091</v>
      </c>
    </row>
    <row r="1754" spans="1:2" x14ac:dyDescent="0.25">
      <c r="A1754" s="20">
        <f t="shared" ca="1" si="54"/>
        <v>0.82788129752680184</v>
      </c>
      <c r="B1754" s="21">
        <f t="shared" ca="1" si="55"/>
        <v>3834</v>
      </c>
    </row>
    <row r="1755" spans="1:2" x14ac:dyDescent="0.25">
      <c r="A1755" s="20">
        <f t="shared" ca="1" si="54"/>
        <v>0.54185336398991246</v>
      </c>
      <c r="B1755" s="21">
        <f t="shared" ca="1" si="55"/>
        <v>2530</v>
      </c>
    </row>
    <row r="1756" spans="1:2" x14ac:dyDescent="0.25">
      <c r="A1756" s="20">
        <f t="shared" ca="1" si="54"/>
        <v>0.92131493539993414</v>
      </c>
      <c r="B1756" s="21">
        <f t="shared" ca="1" si="55"/>
        <v>4251</v>
      </c>
    </row>
    <row r="1757" spans="1:2" x14ac:dyDescent="0.25">
      <c r="A1757" s="20">
        <f t="shared" ca="1" si="54"/>
        <v>0.81197548735884872</v>
      </c>
      <c r="B1757" s="21">
        <f t="shared" ca="1" si="55"/>
        <v>3753</v>
      </c>
    </row>
    <row r="1758" spans="1:2" x14ac:dyDescent="0.25">
      <c r="A1758" s="20">
        <f t="shared" ca="1" si="54"/>
        <v>0.43658694808858745</v>
      </c>
      <c r="B1758" s="21">
        <f t="shared" ca="1" si="55"/>
        <v>2048</v>
      </c>
    </row>
    <row r="1759" spans="1:2" x14ac:dyDescent="0.25">
      <c r="A1759" s="20">
        <f t="shared" ca="1" si="54"/>
        <v>0.2156102812707924</v>
      </c>
      <c r="B1759" s="21">
        <f t="shared" ca="1" si="55"/>
        <v>1006</v>
      </c>
    </row>
    <row r="1760" spans="1:2" x14ac:dyDescent="0.25">
      <c r="A1760" s="20">
        <f t="shared" ca="1" si="54"/>
        <v>0.97181164118135699</v>
      </c>
      <c r="B1760" s="21">
        <f t="shared" ca="1" si="55"/>
        <v>4509</v>
      </c>
    </row>
    <row r="1761" spans="1:2" x14ac:dyDescent="0.25">
      <c r="A1761" s="20">
        <f t="shared" ca="1" si="54"/>
        <v>0.39745518581953243</v>
      </c>
      <c r="B1761" s="21">
        <f t="shared" ca="1" si="55"/>
        <v>1868</v>
      </c>
    </row>
    <row r="1762" spans="1:2" x14ac:dyDescent="0.25">
      <c r="A1762" s="20">
        <f t="shared" ca="1" si="54"/>
        <v>0.30289628482097719</v>
      </c>
      <c r="B1762" s="21">
        <f t="shared" ca="1" si="55"/>
        <v>1418</v>
      </c>
    </row>
    <row r="1763" spans="1:2" x14ac:dyDescent="0.25">
      <c r="A1763" s="20">
        <f t="shared" ca="1" si="54"/>
        <v>0.66639324769771047</v>
      </c>
      <c r="B1763" s="21">
        <f t="shared" ca="1" si="55"/>
        <v>3092</v>
      </c>
    </row>
    <row r="1764" spans="1:2" x14ac:dyDescent="0.25">
      <c r="A1764" s="20">
        <f t="shared" ca="1" si="54"/>
        <v>0.32741540697455485</v>
      </c>
      <c r="B1764" s="21">
        <f t="shared" ca="1" si="55"/>
        <v>1535</v>
      </c>
    </row>
    <row r="1765" spans="1:2" x14ac:dyDescent="0.25">
      <c r="A1765" s="20">
        <f t="shared" ca="1" si="54"/>
        <v>0.53693313295836342</v>
      </c>
      <c r="B1765" s="21">
        <f t="shared" ca="1" si="55"/>
        <v>2503</v>
      </c>
    </row>
    <row r="1766" spans="1:2" x14ac:dyDescent="0.25">
      <c r="A1766" s="20">
        <f t="shared" ca="1" si="54"/>
        <v>0.45292266257140179</v>
      </c>
      <c r="B1766" s="21">
        <f t="shared" ca="1" si="55"/>
        <v>2120</v>
      </c>
    </row>
    <row r="1767" spans="1:2" x14ac:dyDescent="0.25">
      <c r="A1767" s="20">
        <f t="shared" ca="1" si="54"/>
        <v>0.82843630909756061</v>
      </c>
      <c r="B1767" s="21">
        <f t="shared" ca="1" si="55"/>
        <v>3838</v>
      </c>
    </row>
    <row r="1768" spans="1:2" x14ac:dyDescent="0.25">
      <c r="A1768" s="20">
        <f t="shared" ca="1" si="54"/>
        <v>0.35146661588737371</v>
      </c>
      <c r="B1768" s="21">
        <f t="shared" ca="1" si="55"/>
        <v>1659</v>
      </c>
    </row>
    <row r="1769" spans="1:2" x14ac:dyDescent="0.25">
      <c r="A1769" s="20">
        <f t="shared" ca="1" si="54"/>
        <v>4.0032578883226089E-2</v>
      </c>
      <c r="B1769" s="21">
        <f t="shared" ca="1" si="55"/>
        <v>157</v>
      </c>
    </row>
    <row r="1770" spans="1:2" x14ac:dyDescent="0.25">
      <c r="A1770" s="20">
        <f t="shared" ca="1" si="54"/>
        <v>0.59002755819168484</v>
      </c>
      <c r="B1770" s="21">
        <f t="shared" ca="1" si="55"/>
        <v>2754</v>
      </c>
    </row>
    <row r="1771" spans="1:2" x14ac:dyDescent="0.25">
      <c r="A1771" s="20">
        <f t="shared" ca="1" si="54"/>
        <v>1.9876150876757759E-2</v>
      </c>
      <c r="B1771" s="21">
        <f t="shared" ca="1" si="55"/>
        <v>79</v>
      </c>
    </row>
    <row r="1772" spans="1:2" x14ac:dyDescent="0.25">
      <c r="A1772" s="20">
        <f t="shared" ca="1" si="54"/>
        <v>0.89060127912392861</v>
      </c>
      <c r="B1772" s="21">
        <f t="shared" ca="1" si="55"/>
        <v>4106</v>
      </c>
    </row>
    <row r="1773" spans="1:2" x14ac:dyDescent="0.25">
      <c r="A1773" s="20">
        <f t="shared" ca="1" si="54"/>
        <v>0.14213794096572252</v>
      </c>
      <c r="B1773" s="21">
        <f t="shared" ca="1" si="55"/>
        <v>623</v>
      </c>
    </row>
    <row r="1774" spans="1:2" x14ac:dyDescent="0.25">
      <c r="A1774" s="20">
        <f t="shared" ca="1" si="54"/>
        <v>0.15009210251153982</v>
      </c>
      <c r="B1774" s="21">
        <f t="shared" ca="1" si="55"/>
        <v>669</v>
      </c>
    </row>
    <row r="1775" spans="1:2" x14ac:dyDescent="0.25">
      <c r="A1775" s="20">
        <f t="shared" ca="1" si="54"/>
        <v>0.58504237333376929</v>
      </c>
      <c r="B1775" s="21">
        <f t="shared" ca="1" si="55"/>
        <v>2739</v>
      </c>
    </row>
    <row r="1776" spans="1:2" x14ac:dyDescent="0.25">
      <c r="A1776" s="20">
        <f t="shared" ca="1" si="54"/>
        <v>0.90792190708483034</v>
      </c>
      <c r="B1776" s="21">
        <f t="shared" ca="1" si="55"/>
        <v>4189</v>
      </c>
    </row>
    <row r="1777" spans="1:2" x14ac:dyDescent="0.25">
      <c r="A1777" s="20">
        <f t="shared" ca="1" si="54"/>
        <v>0.9645511299051307</v>
      </c>
      <c r="B1777" s="21">
        <f t="shared" ca="1" si="55"/>
        <v>4472</v>
      </c>
    </row>
    <row r="1778" spans="1:2" x14ac:dyDescent="0.25">
      <c r="A1778" s="20">
        <f t="shared" ca="1" si="54"/>
        <v>0.39676380930228794</v>
      </c>
      <c r="B1778" s="21">
        <f t="shared" ca="1" si="55"/>
        <v>1864</v>
      </c>
    </row>
    <row r="1779" spans="1:2" x14ac:dyDescent="0.25">
      <c r="A1779" s="20">
        <f t="shared" ca="1" si="54"/>
        <v>0.37639602255453408</v>
      </c>
      <c r="B1779" s="21">
        <f t="shared" ca="1" si="55"/>
        <v>1782</v>
      </c>
    </row>
    <row r="1780" spans="1:2" x14ac:dyDescent="0.25">
      <c r="A1780" s="20">
        <f t="shared" ca="1" si="54"/>
        <v>0.4686357577525313</v>
      </c>
      <c r="B1780" s="21">
        <f t="shared" ca="1" si="55"/>
        <v>2189</v>
      </c>
    </row>
    <row r="1781" spans="1:2" x14ac:dyDescent="0.25">
      <c r="A1781" s="20">
        <f t="shared" ca="1" si="54"/>
        <v>0.96324947929199412</v>
      </c>
      <c r="B1781" s="21">
        <f t="shared" ca="1" si="55"/>
        <v>4459</v>
      </c>
    </row>
    <row r="1782" spans="1:2" x14ac:dyDescent="0.25">
      <c r="A1782" s="20">
        <f t="shared" ca="1" si="54"/>
        <v>0.75400330213442235</v>
      </c>
      <c r="B1782" s="21">
        <f t="shared" ca="1" si="55"/>
        <v>3496</v>
      </c>
    </row>
    <row r="1783" spans="1:2" x14ac:dyDescent="0.25">
      <c r="A1783" s="20">
        <f t="shared" ca="1" si="54"/>
        <v>0.85141930331202187</v>
      </c>
      <c r="B1783" s="21">
        <f t="shared" ca="1" si="55"/>
        <v>3935</v>
      </c>
    </row>
    <row r="1784" spans="1:2" x14ac:dyDescent="0.25">
      <c r="A1784" s="20">
        <f t="shared" ca="1" si="54"/>
        <v>0.8774835573631683</v>
      </c>
      <c r="B1784" s="21">
        <f t="shared" ca="1" si="55"/>
        <v>4041</v>
      </c>
    </row>
    <row r="1785" spans="1:2" x14ac:dyDescent="0.25">
      <c r="A1785" s="20">
        <f t="shared" ca="1" si="54"/>
        <v>0.22466278994608302</v>
      </c>
      <c r="B1785" s="21">
        <f t="shared" ca="1" si="55"/>
        <v>1054</v>
      </c>
    </row>
    <row r="1786" spans="1:2" x14ac:dyDescent="0.25">
      <c r="A1786" s="20">
        <f t="shared" ca="1" si="54"/>
        <v>0.79853523759141398</v>
      </c>
      <c r="B1786" s="21">
        <f t="shared" ca="1" si="55"/>
        <v>3696</v>
      </c>
    </row>
    <row r="1787" spans="1:2" x14ac:dyDescent="0.25">
      <c r="A1787" s="20">
        <f t="shared" ca="1" si="54"/>
        <v>0.88382698813265259</v>
      </c>
      <c r="B1787" s="21">
        <f t="shared" ca="1" si="55"/>
        <v>4073</v>
      </c>
    </row>
    <row r="1788" spans="1:2" x14ac:dyDescent="0.25">
      <c r="A1788" s="20">
        <f t="shared" ca="1" si="54"/>
        <v>0.79054633189515944</v>
      </c>
      <c r="B1788" s="21">
        <f t="shared" ca="1" si="55"/>
        <v>3657</v>
      </c>
    </row>
    <row r="1789" spans="1:2" x14ac:dyDescent="0.25">
      <c r="A1789" s="20">
        <f t="shared" ca="1" si="54"/>
        <v>0.36570395930720212</v>
      </c>
      <c r="B1789" s="21">
        <f t="shared" ca="1" si="55"/>
        <v>1735</v>
      </c>
    </row>
    <row r="1790" spans="1:2" x14ac:dyDescent="0.25">
      <c r="A1790" s="20">
        <f t="shared" ca="1" si="54"/>
        <v>3.1621768618295576E-2</v>
      </c>
      <c r="B1790" s="21">
        <f t="shared" ca="1" si="55"/>
        <v>121</v>
      </c>
    </row>
    <row r="1791" spans="1:2" x14ac:dyDescent="0.25">
      <c r="A1791" s="20">
        <f t="shared" ca="1" si="54"/>
        <v>0.58944887556707748</v>
      </c>
      <c r="B1791" s="21">
        <f t="shared" ca="1" si="55"/>
        <v>2752</v>
      </c>
    </row>
    <row r="1792" spans="1:2" x14ac:dyDescent="0.25">
      <c r="A1792" s="20">
        <f t="shared" ca="1" si="54"/>
        <v>0.28527201917517853</v>
      </c>
      <c r="B1792" s="21">
        <f t="shared" ca="1" si="55"/>
        <v>1332</v>
      </c>
    </row>
    <row r="1793" spans="1:2" x14ac:dyDescent="0.25">
      <c r="A1793" s="20">
        <f t="shared" ca="1" si="54"/>
        <v>0.81792278080211567</v>
      </c>
      <c r="B1793" s="21">
        <f t="shared" ca="1" si="55"/>
        <v>3781</v>
      </c>
    </row>
    <row r="1794" spans="1:2" x14ac:dyDescent="0.25">
      <c r="A1794" s="20">
        <f t="shared" ca="1" si="54"/>
        <v>0.82446648074034423</v>
      </c>
      <c r="B1794" s="21">
        <f t="shared" ca="1" si="55"/>
        <v>3816</v>
      </c>
    </row>
    <row r="1795" spans="1:2" x14ac:dyDescent="0.25">
      <c r="A1795" s="20">
        <f t="shared" ref="A1795:A1858" ca="1" si="56">RAND()</f>
        <v>0.52509398841753308</v>
      </c>
      <c r="B1795" s="21">
        <f t="shared" ref="B1795:B1858" ca="1" si="57">_xlfn.RANK.EQ($A1795,$A:$A,1)</f>
        <v>2453</v>
      </c>
    </row>
    <row r="1796" spans="1:2" x14ac:dyDescent="0.25">
      <c r="A1796" s="20">
        <f t="shared" ca="1" si="56"/>
        <v>0.88407204700372821</v>
      </c>
      <c r="B1796" s="21">
        <f t="shared" ca="1" si="57"/>
        <v>4077</v>
      </c>
    </row>
    <row r="1797" spans="1:2" x14ac:dyDescent="0.25">
      <c r="A1797" s="20">
        <f t="shared" ca="1" si="56"/>
        <v>0.52950328839032146</v>
      </c>
      <c r="B1797" s="21">
        <f t="shared" ca="1" si="57"/>
        <v>2473</v>
      </c>
    </row>
    <row r="1798" spans="1:2" x14ac:dyDescent="0.25">
      <c r="A1798" s="20">
        <f t="shared" ca="1" si="56"/>
        <v>0.85702284698245701</v>
      </c>
      <c r="B1798" s="21">
        <f t="shared" ca="1" si="57"/>
        <v>3958</v>
      </c>
    </row>
    <row r="1799" spans="1:2" x14ac:dyDescent="0.25">
      <c r="A1799" s="20">
        <f t="shared" ca="1" si="56"/>
        <v>0.67829834756929619</v>
      </c>
      <c r="B1799" s="21">
        <f t="shared" ca="1" si="57"/>
        <v>3140</v>
      </c>
    </row>
    <row r="1800" spans="1:2" x14ac:dyDescent="0.25">
      <c r="A1800" s="20">
        <f t="shared" ca="1" si="56"/>
        <v>6.5803890361851303E-2</v>
      </c>
      <c r="B1800" s="21">
        <f t="shared" ca="1" si="57"/>
        <v>289</v>
      </c>
    </row>
    <row r="1801" spans="1:2" x14ac:dyDescent="0.25">
      <c r="A1801" s="20">
        <f t="shared" ca="1" si="56"/>
        <v>0.98675511567191465</v>
      </c>
      <c r="B1801" s="21">
        <f t="shared" ca="1" si="57"/>
        <v>4569</v>
      </c>
    </row>
    <row r="1802" spans="1:2" x14ac:dyDescent="0.25">
      <c r="A1802" s="20">
        <f t="shared" ca="1" si="56"/>
        <v>0.34646923259068585</v>
      </c>
      <c r="B1802" s="21">
        <f t="shared" ca="1" si="57"/>
        <v>1629</v>
      </c>
    </row>
    <row r="1803" spans="1:2" x14ac:dyDescent="0.25">
      <c r="A1803" s="20">
        <f t="shared" ca="1" si="56"/>
        <v>0.14953562082221528</v>
      </c>
      <c r="B1803" s="21">
        <f t="shared" ca="1" si="57"/>
        <v>666</v>
      </c>
    </row>
    <row r="1804" spans="1:2" x14ac:dyDescent="0.25">
      <c r="A1804" s="20">
        <f t="shared" ca="1" si="56"/>
        <v>0.48767804446557805</v>
      </c>
      <c r="B1804" s="21">
        <f t="shared" ca="1" si="57"/>
        <v>2272</v>
      </c>
    </row>
    <row r="1805" spans="1:2" x14ac:dyDescent="0.25">
      <c r="A1805" s="20">
        <f t="shared" ca="1" si="56"/>
        <v>8.2262884076832798E-2</v>
      </c>
      <c r="B1805" s="21">
        <f t="shared" ca="1" si="57"/>
        <v>370</v>
      </c>
    </row>
    <row r="1806" spans="1:2" x14ac:dyDescent="0.25">
      <c r="A1806" s="20">
        <f t="shared" ca="1" si="56"/>
        <v>8.6526054403801456E-2</v>
      </c>
      <c r="B1806" s="21">
        <f t="shared" ca="1" si="57"/>
        <v>388</v>
      </c>
    </row>
    <row r="1807" spans="1:2" x14ac:dyDescent="0.25">
      <c r="A1807" s="20">
        <f t="shared" ca="1" si="56"/>
        <v>0.84022256555416863</v>
      </c>
      <c r="B1807" s="21">
        <f t="shared" ca="1" si="57"/>
        <v>3875</v>
      </c>
    </row>
    <row r="1808" spans="1:2" x14ac:dyDescent="0.25">
      <c r="A1808" s="20">
        <f t="shared" ca="1" si="56"/>
        <v>0.20202067546921043</v>
      </c>
      <c r="B1808" s="21">
        <f t="shared" ca="1" si="57"/>
        <v>937</v>
      </c>
    </row>
    <row r="1809" spans="1:2" x14ac:dyDescent="0.25">
      <c r="A1809" s="20">
        <f t="shared" ca="1" si="56"/>
        <v>0.98352648962435418</v>
      </c>
      <c r="B1809" s="21">
        <f t="shared" ca="1" si="57"/>
        <v>4553</v>
      </c>
    </row>
    <row r="1810" spans="1:2" x14ac:dyDescent="0.25">
      <c r="A1810" s="20">
        <f t="shared" ca="1" si="56"/>
        <v>0.72760313760910111</v>
      </c>
      <c r="B1810" s="21">
        <f t="shared" ca="1" si="57"/>
        <v>3368</v>
      </c>
    </row>
    <row r="1811" spans="1:2" x14ac:dyDescent="0.25">
      <c r="A1811" s="20">
        <f t="shared" ca="1" si="56"/>
        <v>8.0174592643079579E-2</v>
      </c>
      <c r="B1811" s="21">
        <f t="shared" ca="1" si="57"/>
        <v>362</v>
      </c>
    </row>
    <row r="1812" spans="1:2" x14ac:dyDescent="0.25">
      <c r="A1812" s="20">
        <f t="shared" ca="1" si="56"/>
        <v>0.28197399204493645</v>
      </c>
      <c r="B1812" s="21">
        <f t="shared" ca="1" si="57"/>
        <v>1314</v>
      </c>
    </row>
    <row r="1813" spans="1:2" x14ac:dyDescent="0.25">
      <c r="A1813" s="20">
        <f t="shared" ca="1" si="56"/>
        <v>0.81875107732483332</v>
      </c>
      <c r="B1813" s="21">
        <f t="shared" ca="1" si="57"/>
        <v>3790</v>
      </c>
    </row>
    <row r="1814" spans="1:2" x14ac:dyDescent="0.25">
      <c r="A1814" s="20">
        <f t="shared" ca="1" si="56"/>
        <v>0.14333846192071786</v>
      </c>
      <c r="B1814" s="21">
        <f t="shared" ca="1" si="57"/>
        <v>630</v>
      </c>
    </row>
    <row r="1815" spans="1:2" x14ac:dyDescent="0.25">
      <c r="A1815" s="20">
        <f t="shared" ca="1" si="56"/>
        <v>8.0881848232200793E-2</v>
      </c>
      <c r="B1815" s="21">
        <f t="shared" ca="1" si="57"/>
        <v>366</v>
      </c>
    </row>
    <row r="1816" spans="1:2" x14ac:dyDescent="0.25">
      <c r="A1816" s="20">
        <f t="shared" ca="1" si="56"/>
        <v>0.2875424450836237</v>
      </c>
      <c r="B1816" s="21">
        <f t="shared" ca="1" si="57"/>
        <v>1349</v>
      </c>
    </row>
    <row r="1817" spans="1:2" x14ac:dyDescent="0.25">
      <c r="A1817" s="20">
        <f t="shared" ca="1" si="56"/>
        <v>0.25101676030234343</v>
      </c>
      <c r="B1817" s="21">
        <f t="shared" ca="1" si="57"/>
        <v>1172</v>
      </c>
    </row>
    <row r="1818" spans="1:2" x14ac:dyDescent="0.25">
      <c r="A1818" s="20">
        <f t="shared" ca="1" si="56"/>
        <v>0.23374993649968834</v>
      </c>
      <c r="B1818" s="21">
        <f t="shared" ca="1" si="57"/>
        <v>1096</v>
      </c>
    </row>
    <row r="1819" spans="1:2" x14ac:dyDescent="0.25">
      <c r="A1819" s="20">
        <f t="shared" ca="1" si="56"/>
        <v>0.18628875548392221</v>
      </c>
      <c r="B1819" s="21">
        <f t="shared" ca="1" si="57"/>
        <v>854</v>
      </c>
    </row>
    <row r="1820" spans="1:2" x14ac:dyDescent="0.25">
      <c r="A1820" s="20">
        <f t="shared" ca="1" si="56"/>
        <v>1.766023296572039E-2</v>
      </c>
      <c r="B1820" s="21">
        <f t="shared" ca="1" si="57"/>
        <v>63</v>
      </c>
    </row>
    <row r="1821" spans="1:2" x14ac:dyDescent="0.25">
      <c r="A1821" s="20">
        <f t="shared" ca="1" si="56"/>
        <v>0.60438625861612194</v>
      </c>
      <c r="B1821" s="21">
        <f t="shared" ca="1" si="57"/>
        <v>2822</v>
      </c>
    </row>
    <row r="1822" spans="1:2" x14ac:dyDescent="0.25">
      <c r="A1822" s="20">
        <f t="shared" ca="1" si="56"/>
        <v>0.66448487799751299</v>
      </c>
      <c r="B1822" s="21">
        <f t="shared" ca="1" si="57"/>
        <v>3077</v>
      </c>
    </row>
    <row r="1823" spans="1:2" x14ac:dyDescent="0.25">
      <c r="A1823" s="20">
        <f t="shared" ca="1" si="56"/>
        <v>0.37190830911210271</v>
      </c>
      <c r="B1823" s="21">
        <f t="shared" ca="1" si="57"/>
        <v>1765</v>
      </c>
    </row>
    <row r="1824" spans="1:2" x14ac:dyDescent="0.25">
      <c r="A1824" s="20">
        <f t="shared" ca="1" si="56"/>
        <v>0.62752584877344608</v>
      </c>
      <c r="B1824" s="21">
        <f t="shared" ca="1" si="57"/>
        <v>2906</v>
      </c>
    </row>
    <row r="1825" spans="1:2" x14ac:dyDescent="0.25">
      <c r="A1825" s="20">
        <f t="shared" ca="1" si="56"/>
        <v>0.2252870709479925</v>
      </c>
      <c r="B1825" s="21">
        <f t="shared" ca="1" si="57"/>
        <v>1056</v>
      </c>
    </row>
    <row r="1826" spans="1:2" x14ac:dyDescent="0.25">
      <c r="A1826" s="20">
        <f t="shared" ca="1" si="56"/>
        <v>0.31494605186082947</v>
      </c>
      <c r="B1826" s="21">
        <f t="shared" ca="1" si="57"/>
        <v>1475</v>
      </c>
    </row>
    <row r="1827" spans="1:2" x14ac:dyDescent="0.25">
      <c r="A1827" s="20">
        <f t="shared" ca="1" si="56"/>
        <v>0.15473731155713133</v>
      </c>
      <c r="B1827" s="21">
        <f t="shared" ca="1" si="57"/>
        <v>695</v>
      </c>
    </row>
    <row r="1828" spans="1:2" x14ac:dyDescent="0.25">
      <c r="A1828" s="20">
        <f t="shared" ca="1" si="56"/>
        <v>0.64293589054516154</v>
      </c>
      <c r="B1828" s="21">
        <f t="shared" ca="1" si="57"/>
        <v>2983</v>
      </c>
    </row>
    <row r="1829" spans="1:2" x14ac:dyDescent="0.25">
      <c r="A1829" s="20">
        <f t="shared" ca="1" si="56"/>
        <v>0.26143930399667903</v>
      </c>
      <c r="B1829" s="21">
        <f t="shared" ca="1" si="57"/>
        <v>1218</v>
      </c>
    </row>
    <row r="1830" spans="1:2" x14ac:dyDescent="0.25">
      <c r="A1830" s="20">
        <f t="shared" ca="1" si="56"/>
        <v>0.3890634358946381</v>
      </c>
      <c r="B1830" s="21">
        <f t="shared" ca="1" si="57"/>
        <v>1824</v>
      </c>
    </row>
    <row r="1831" spans="1:2" x14ac:dyDescent="0.25">
      <c r="A1831" s="20">
        <f t="shared" ca="1" si="56"/>
        <v>0.99529060224936505</v>
      </c>
      <c r="B1831" s="21">
        <f t="shared" ca="1" si="57"/>
        <v>4598</v>
      </c>
    </row>
    <row r="1832" spans="1:2" x14ac:dyDescent="0.25">
      <c r="A1832" s="20">
        <f t="shared" ca="1" si="56"/>
        <v>0.92322725085634172</v>
      </c>
      <c r="B1832" s="21">
        <f t="shared" ca="1" si="57"/>
        <v>4259</v>
      </c>
    </row>
    <row r="1833" spans="1:2" x14ac:dyDescent="0.25">
      <c r="A1833" s="20">
        <f t="shared" ca="1" si="56"/>
        <v>0.62683429358903298</v>
      </c>
      <c r="B1833" s="21">
        <f t="shared" ca="1" si="57"/>
        <v>2900</v>
      </c>
    </row>
    <row r="1834" spans="1:2" x14ac:dyDescent="0.25">
      <c r="A1834" s="20">
        <f t="shared" ca="1" si="56"/>
        <v>0.37958603895466325</v>
      </c>
      <c r="B1834" s="21">
        <f t="shared" ca="1" si="57"/>
        <v>1785</v>
      </c>
    </row>
    <row r="1835" spans="1:2" x14ac:dyDescent="0.25">
      <c r="A1835" s="20">
        <f t="shared" ca="1" si="56"/>
        <v>0.40805119575829418</v>
      </c>
      <c r="B1835" s="21">
        <f t="shared" ca="1" si="57"/>
        <v>1919</v>
      </c>
    </row>
    <row r="1836" spans="1:2" x14ac:dyDescent="0.25">
      <c r="A1836" s="20">
        <f t="shared" ca="1" si="56"/>
        <v>0.25620235436892869</v>
      </c>
      <c r="B1836" s="21">
        <f t="shared" ca="1" si="57"/>
        <v>1196</v>
      </c>
    </row>
    <row r="1837" spans="1:2" x14ac:dyDescent="0.25">
      <c r="A1837" s="20">
        <f t="shared" ca="1" si="56"/>
        <v>0.92906930671797627</v>
      </c>
      <c r="B1837" s="21">
        <f t="shared" ca="1" si="57"/>
        <v>4287</v>
      </c>
    </row>
    <row r="1838" spans="1:2" x14ac:dyDescent="0.25">
      <c r="A1838" s="20">
        <f t="shared" ca="1" si="56"/>
        <v>0.89217251412978693</v>
      </c>
      <c r="B1838" s="21">
        <f t="shared" ca="1" si="57"/>
        <v>4113</v>
      </c>
    </row>
    <row r="1839" spans="1:2" x14ac:dyDescent="0.25">
      <c r="A1839" s="20">
        <f t="shared" ca="1" si="56"/>
        <v>0.66988173736757572</v>
      </c>
      <c r="B1839" s="21">
        <f t="shared" ca="1" si="57"/>
        <v>3109</v>
      </c>
    </row>
    <row r="1840" spans="1:2" x14ac:dyDescent="0.25">
      <c r="A1840" s="20">
        <f t="shared" ca="1" si="56"/>
        <v>4.5807555034297232E-2</v>
      </c>
      <c r="B1840" s="21">
        <f t="shared" ca="1" si="57"/>
        <v>185</v>
      </c>
    </row>
    <row r="1841" spans="1:2" x14ac:dyDescent="0.25">
      <c r="A1841" s="20">
        <f t="shared" ca="1" si="56"/>
        <v>0.68044507283605438</v>
      </c>
      <c r="B1841" s="21">
        <f t="shared" ca="1" si="57"/>
        <v>3154</v>
      </c>
    </row>
    <row r="1842" spans="1:2" x14ac:dyDescent="0.25">
      <c r="A1842" s="20">
        <f t="shared" ca="1" si="56"/>
        <v>0.35858857559583501</v>
      </c>
      <c r="B1842" s="21">
        <f t="shared" ca="1" si="57"/>
        <v>1697</v>
      </c>
    </row>
    <row r="1843" spans="1:2" x14ac:dyDescent="0.25">
      <c r="A1843" s="20">
        <f t="shared" ca="1" si="56"/>
        <v>0.93088696213938105</v>
      </c>
      <c r="B1843" s="21">
        <f t="shared" ca="1" si="57"/>
        <v>4299</v>
      </c>
    </row>
    <row r="1844" spans="1:2" x14ac:dyDescent="0.25">
      <c r="A1844" s="20">
        <f t="shared" ca="1" si="56"/>
        <v>0.41526403805352097</v>
      </c>
      <c r="B1844" s="21">
        <f t="shared" ca="1" si="57"/>
        <v>1948</v>
      </c>
    </row>
    <row r="1845" spans="1:2" x14ac:dyDescent="0.25">
      <c r="A1845" s="20">
        <f t="shared" ca="1" si="56"/>
        <v>0.17443921158867903</v>
      </c>
      <c r="B1845" s="21">
        <f t="shared" ca="1" si="57"/>
        <v>789</v>
      </c>
    </row>
    <row r="1846" spans="1:2" x14ac:dyDescent="0.25">
      <c r="A1846" s="20">
        <f t="shared" ca="1" si="56"/>
        <v>0.30891110597201932</v>
      </c>
      <c r="B1846" s="21">
        <f t="shared" ca="1" si="57"/>
        <v>1444</v>
      </c>
    </row>
    <row r="1847" spans="1:2" x14ac:dyDescent="0.25">
      <c r="A1847" s="20">
        <f t="shared" ca="1" si="56"/>
        <v>0.42081153578479791</v>
      </c>
      <c r="B1847" s="21">
        <f t="shared" ca="1" si="57"/>
        <v>1970</v>
      </c>
    </row>
    <row r="1848" spans="1:2" x14ac:dyDescent="0.25">
      <c r="A1848" s="20">
        <f t="shared" ca="1" si="56"/>
        <v>0.19425565647688448</v>
      </c>
      <c r="B1848" s="21">
        <f t="shared" ca="1" si="57"/>
        <v>898</v>
      </c>
    </row>
    <row r="1849" spans="1:2" x14ac:dyDescent="0.25">
      <c r="A1849" s="20">
        <f t="shared" ca="1" si="56"/>
        <v>0.66460650507211472</v>
      </c>
      <c r="B1849" s="21">
        <f t="shared" ca="1" si="57"/>
        <v>3079</v>
      </c>
    </row>
    <row r="1850" spans="1:2" x14ac:dyDescent="0.25">
      <c r="A1850" s="20">
        <f t="shared" ca="1" si="56"/>
        <v>0.20103499932954549</v>
      </c>
      <c r="B1850" s="21">
        <f t="shared" ca="1" si="57"/>
        <v>931</v>
      </c>
    </row>
    <row r="1851" spans="1:2" x14ac:dyDescent="0.25">
      <c r="A1851" s="20">
        <f t="shared" ca="1" si="56"/>
        <v>0.80992747746344318</v>
      </c>
      <c r="B1851" s="21">
        <f t="shared" ca="1" si="57"/>
        <v>3744</v>
      </c>
    </row>
    <row r="1852" spans="1:2" x14ac:dyDescent="0.25">
      <c r="A1852" s="20">
        <f t="shared" ca="1" si="56"/>
        <v>0.33074338973622042</v>
      </c>
      <c r="B1852" s="21">
        <f t="shared" ca="1" si="57"/>
        <v>1549</v>
      </c>
    </row>
    <row r="1853" spans="1:2" x14ac:dyDescent="0.25">
      <c r="A1853" s="20">
        <f t="shared" ca="1" si="56"/>
        <v>0.52014259042051869</v>
      </c>
      <c r="B1853" s="21">
        <f t="shared" ca="1" si="57"/>
        <v>2429</v>
      </c>
    </row>
    <row r="1854" spans="1:2" x14ac:dyDescent="0.25">
      <c r="A1854" s="20">
        <f t="shared" ca="1" si="56"/>
        <v>0.59458371495907159</v>
      </c>
      <c r="B1854" s="21">
        <f t="shared" ca="1" si="57"/>
        <v>2774</v>
      </c>
    </row>
    <row r="1855" spans="1:2" x14ac:dyDescent="0.25">
      <c r="A1855" s="20">
        <f t="shared" ca="1" si="56"/>
        <v>0.51238112839835936</v>
      </c>
      <c r="B1855" s="21">
        <f t="shared" ca="1" si="57"/>
        <v>2395</v>
      </c>
    </row>
    <row r="1856" spans="1:2" x14ac:dyDescent="0.25">
      <c r="A1856" s="20">
        <f t="shared" ca="1" si="56"/>
        <v>0.54222776677004147</v>
      </c>
      <c r="B1856" s="21">
        <f t="shared" ca="1" si="57"/>
        <v>2533</v>
      </c>
    </row>
    <row r="1857" spans="1:2" x14ac:dyDescent="0.25">
      <c r="A1857" s="20">
        <f t="shared" ca="1" si="56"/>
        <v>0.11088190303302625</v>
      </c>
      <c r="B1857" s="21">
        <f t="shared" ca="1" si="57"/>
        <v>489</v>
      </c>
    </row>
    <row r="1858" spans="1:2" x14ac:dyDescent="0.25">
      <c r="A1858" s="20">
        <f t="shared" ca="1" si="56"/>
        <v>0.63777547031689219</v>
      </c>
      <c r="B1858" s="21">
        <f t="shared" ca="1" si="57"/>
        <v>2955</v>
      </c>
    </row>
    <row r="1859" spans="1:2" x14ac:dyDescent="0.25">
      <c r="A1859" s="20">
        <f t="shared" ref="A1859:A1922" ca="1" si="58">RAND()</f>
        <v>0.34662433366389167</v>
      </c>
      <c r="B1859" s="21">
        <f t="shared" ref="B1859:B1922" ca="1" si="59">_xlfn.RANK.EQ($A1859,$A:$A,1)</f>
        <v>1630</v>
      </c>
    </row>
    <row r="1860" spans="1:2" x14ac:dyDescent="0.25">
      <c r="A1860" s="20">
        <f t="shared" ca="1" si="58"/>
        <v>0.74942338906077755</v>
      </c>
      <c r="B1860" s="21">
        <f t="shared" ca="1" si="59"/>
        <v>3469</v>
      </c>
    </row>
    <row r="1861" spans="1:2" x14ac:dyDescent="0.25">
      <c r="A1861" s="20">
        <f t="shared" ca="1" si="58"/>
        <v>0.19742560223261285</v>
      </c>
      <c r="B1861" s="21">
        <f t="shared" ca="1" si="59"/>
        <v>916</v>
      </c>
    </row>
    <row r="1862" spans="1:2" x14ac:dyDescent="0.25">
      <c r="A1862" s="20">
        <f t="shared" ca="1" si="58"/>
        <v>0.24134323866540608</v>
      </c>
      <c r="B1862" s="21">
        <f t="shared" ca="1" si="59"/>
        <v>1129</v>
      </c>
    </row>
    <row r="1863" spans="1:2" x14ac:dyDescent="0.25">
      <c r="A1863" s="20">
        <f t="shared" ca="1" si="58"/>
        <v>0.17393035664615497</v>
      </c>
      <c r="B1863" s="21">
        <f t="shared" ca="1" si="59"/>
        <v>787</v>
      </c>
    </row>
    <row r="1864" spans="1:2" x14ac:dyDescent="0.25">
      <c r="A1864" s="20">
        <f t="shared" ca="1" si="58"/>
        <v>0.35397919021132074</v>
      </c>
      <c r="B1864" s="21">
        <f t="shared" ca="1" si="59"/>
        <v>1671</v>
      </c>
    </row>
    <row r="1865" spans="1:2" x14ac:dyDescent="0.25">
      <c r="A1865" s="20">
        <f t="shared" ca="1" si="58"/>
        <v>0.22106508406308267</v>
      </c>
      <c r="B1865" s="21">
        <f t="shared" ca="1" si="59"/>
        <v>1038</v>
      </c>
    </row>
    <row r="1866" spans="1:2" x14ac:dyDescent="0.25">
      <c r="A1866" s="20">
        <f t="shared" ca="1" si="58"/>
        <v>0.91994176429469088</v>
      </c>
      <c r="B1866" s="21">
        <f t="shared" ca="1" si="59"/>
        <v>4242</v>
      </c>
    </row>
    <row r="1867" spans="1:2" x14ac:dyDescent="0.25">
      <c r="A1867" s="20">
        <f t="shared" ca="1" si="58"/>
        <v>0.30032827002007978</v>
      </c>
      <c r="B1867" s="21">
        <f t="shared" ca="1" si="59"/>
        <v>1410</v>
      </c>
    </row>
    <row r="1868" spans="1:2" x14ac:dyDescent="0.25">
      <c r="A1868" s="20">
        <f t="shared" ca="1" si="58"/>
        <v>0.1351975003246163</v>
      </c>
      <c r="B1868" s="21">
        <f t="shared" ca="1" si="59"/>
        <v>593</v>
      </c>
    </row>
    <row r="1869" spans="1:2" x14ac:dyDescent="0.25">
      <c r="A1869" s="20">
        <f t="shared" ca="1" si="58"/>
        <v>0.24028078820076559</v>
      </c>
      <c r="B1869" s="21">
        <f t="shared" ca="1" si="59"/>
        <v>1124</v>
      </c>
    </row>
    <row r="1870" spans="1:2" x14ac:dyDescent="0.25">
      <c r="A1870" s="20">
        <f t="shared" ca="1" si="58"/>
        <v>0.82330687503616762</v>
      </c>
      <c r="B1870" s="21">
        <f t="shared" ca="1" si="59"/>
        <v>3810</v>
      </c>
    </row>
    <row r="1871" spans="1:2" x14ac:dyDescent="0.25">
      <c r="A1871" s="20">
        <f t="shared" ca="1" si="58"/>
        <v>0.24879965325505771</v>
      </c>
      <c r="B1871" s="21">
        <f t="shared" ca="1" si="59"/>
        <v>1159</v>
      </c>
    </row>
    <row r="1872" spans="1:2" x14ac:dyDescent="0.25">
      <c r="A1872" s="20">
        <f t="shared" ca="1" si="58"/>
        <v>0.8177670752361671</v>
      </c>
      <c r="B1872" s="21">
        <f t="shared" ca="1" si="59"/>
        <v>3779</v>
      </c>
    </row>
    <row r="1873" spans="1:2" x14ac:dyDescent="0.25">
      <c r="A1873" s="20">
        <f t="shared" ca="1" si="58"/>
        <v>0.65965896136461477</v>
      </c>
      <c r="B1873" s="21">
        <f t="shared" ca="1" si="59"/>
        <v>3061</v>
      </c>
    </row>
    <row r="1874" spans="1:2" x14ac:dyDescent="0.25">
      <c r="A1874" s="20">
        <f t="shared" ca="1" si="58"/>
        <v>5.6633076369944857E-2</v>
      </c>
      <c r="B1874" s="21">
        <f t="shared" ca="1" si="59"/>
        <v>244</v>
      </c>
    </row>
    <row r="1875" spans="1:2" x14ac:dyDescent="0.25">
      <c r="A1875" s="20">
        <f t="shared" ca="1" si="58"/>
        <v>2.7555436996602789E-2</v>
      </c>
      <c r="B1875" s="21">
        <f t="shared" ca="1" si="59"/>
        <v>107</v>
      </c>
    </row>
    <row r="1876" spans="1:2" x14ac:dyDescent="0.25">
      <c r="A1876" s="20">
        <f t="shared" ca="1" si="58"/>
        <v>0.38625445619489895</v>
      </c>
      <c r="B1876" s="21">
        <f t="shared" ca="1" si="59"/>
        <v>1809</v>
      </c>
    </row>
    <row r="1877" spans="1:2" x14ac:dyDescent="0.25">
      <c r="A1877" s="20">
        <f t="shared" ca="1" si="58"/>
        <v>0.60978668305574901</v>
      </c>
      <c r="B1877" s="21">
        <f t="shared" ca="1" si="59"/>
        <v>2841</v>
      </c>
    </row>
    <row r="1878" spans="1:2" x14ac:dyDescent="0.25">
      <c r="A1878" s="20">
        <f t="shared" ca="1" si="58"/>
        <v>0.86291057292061168</v>
      </c>
      <c r="B1878" s="21">
        <f t="shared" ca="1" si="59"/>
        <v>3982</v>
      </c>
    </row>
    <row r="1879" spans="1:2" x14ac:dyDescent="0.25">
      <c r="A1879" s="20">
        <f t="shared" ca="1" si="58"/>
        <v>0.19848573376547285</v>
      </c>
      <c r="B1879" s="21">
        <f t="shared" ca="1" si="59"/>
        <v>921</v>
      </c>
    </row>
    <row r="1880" spans="1:2" x14ac:dyDescent="0.25">
      <c r="A1880" s="20">
        <f t="shared" ca="1" si="58"/>
        <v>0.81490513781899998</v>
      </c>
      <c r="B1880" s="21">
        <f t="shared" ca="1" si="59"/>
        <v>3770</v>
      </c>
    </row>
    <row r="1881" spans="1:2" x14ac:dyDescent="0.25">
      <c r="A1881" s="20">
        <f t="shared" ca="1" si="58"/>
        <v>0.53874091025914184</v>
      </c>
      <c r="B1881" s="21">
        <f t="shared" ca="1" si="59"/>
        <v>2514</v>
      </c>
    </row>
    <row r="1882" spans="1:2" x14ac:dyDescent="0.25">
      <c r="A1882" s="20">
        <f t="shared" ca="1" si="58"/>
        <v>0.15977466431687382</v>
      </c>
      <c r="B1882" s="21">
        <f t="shared" ca="1" si="59"/>
        <v>715</v>
      </c>
    </row>
    <row r="1883" spans="1:2" x14ac:dyDescent="0.25">
      <c r="A1883" s="20">
        <f t="shared" ca="1" si="58"/>
        <v>0.57428031344290786</v>
      </c>
      <c r="B1883" s="21">
        <f t="shared" ca="1" si="59"/>
        <v>2679</v>
      </c>
    </row>
    <row r="1884" spans="1:2" x14ac:dyDescent="0.25">
      <c r="A1884" s="20">
        <f t="shared" ca="1" si="58"/>
        <v>8.5983539847180324E-2</v>
      </c>
      <c r="B1884" s="21">
        <f t="shared" ca="1" si="59"/>
        <v>387</v>
      </c>
    </row>
    <row r="1885" spans="1:2" x14ac:dyDescent="0.25">
      <c r="A1885" s="20">
        <f t="shared" ca="1" si="58"/>
        <v>0.95797873092140773</v>
      </c>
      <c r="B1885" s="21">
        <f t="shared" ca="1" si="59"/>
        <v>4433</v>
      </c>
    </row>
    <row r="1886" spans="1:2" x14ac:dyDescent="0.25">
      <c r="A1886" s="20">
        <f t="shared" ca="1" si="58"/>
        <v>0.82859424790931113</v>
      </c>
      <c r="B1886" s="21">
        <f t="shared" ca="1" si="59"/>
        <v>3839</v>
      </c>
    </row>
    <row r="1887" spans="1:2" x14ac:dyDescent="0.25">
      <c r="A1887" s="20">
        <f t="shared" ca="1" si="58"/>
        <v>0.21206002823065717</v>
      </c>
      <c r="B1887" s="21">
        <f t="shared" ca="1" si="59"/>
        <v>993</v>
      </c>
    </row>
    <row r="1888" spans="1:2" x14ac:dyDescent="0.25">
      <c r="A1888" s="20">
        <f t="shared" ca="1" si="58"/>
        <v>0.80233819608063162</v>
      </c>
      <c r="B1888" s="21">
        <f t="shared" ca="1" si="59"/>
        <v>3715</v>
      </c>
    </row>
    <row r="1889" spans="1:2" x14ac:dyDescent="0.25">
      <c r="A1889" s="20">
        <f t="shared" ca="1" si="58"/>
        <v>0.13659254177814417</v>
      </c>
      <c r="B1889" s="21">
        <f t="shared" ca="1" si="59"/>
        <v>600</v>
      </c>
    </row>
    <row r="1890" spans="1:2" x14ac:dyDescent="0.25">
      <c r="A1890" s="20">
        <f t="shared" ca="1" si="58"/>
        <v>6.1732666214402654E-2</v>
      </c>
      <c r="B1890" s="21">
        <f t="shared" ca="1" si="59"/>
        <v>268</v>
      </c>
    </row>
    <row r="1891" spans="1:2" x14ac:dyDescent="0.25">
      <c r="A1891" s="20">
        <f t="shared" ca="1" si="58"/>
        <v>9.7896004698345473E-2</v>
      </c>
      <c r="B1891" s="21">
        <f t="shared" ca="1" si="59"/>
        <v>437</v>
      </c>
    </row>
    <row r="1892" spans="1:2" x14ac:dyDescent="0.25">
      <c r="A1892" s="20">
        <f t="shared" ca="1" si="58"/>
        <v>1.9833197887804355E-2</v>
      </c>
      <c r="B1892" s="21">
        <f t="shared" ca="1" si="59"/>
        <v>78</v>
      </c>
    </row>
    <row r="1893" spans="1:2" x14ac:dyDescent="0.25">
      <c r="A1893" s="20">
        <f t="shared" ca="1" si="58"/>
        <v>0.34487396529763326</v>
      </c>
      <c r="B1893" s="21">
        <f t="shared" ca="1" si="59"/>
        <v>1620</v>
      </c>
    </row>
    <row r="1894" spans="1:2" x14ac:dyDescent="0.25">
      <c r="A1894" s="20">
        <f t="shared" ca="1" si="58"/>
        <v>7.8581118275907524E-2</v>
      </c>
      <c r="B1894" s="21">
        <f t="shared" ca="1" si="59"/>
        <v>351</v>
      </c>
    </row>
    <row r="1895" spans="1:2" x14ac:dyDescent="0.25">
      <c r="A1895" s="20">
        <f t="shared" ca="1" si="58"/>
        <v>0.69871078336166814</v>
      </c>
      <c r="B1895" s="21">
        <f t="shared" ca="1" si="59"/>
        <v>3237</v>
      </c>
    </row>
    <row r="1896" spans="1:2" x14ac:dyDescent="0.25">
      <c r="A1896" s="20">
        <f t="shared" ca="1" si="58"/>
        <v>0.27052741043269801</v>
      </c>
      <c r="B1896" s="21">
        <f t="shared" ca="1" si="59"/>
        <v>1263</v>
      </c>
    </row>
    <row r="1897" spans="1:2" x14ac:dyDescent="0.25">
      <c r="A1897" s="20">
        <f t="shared" ca="1" si="58"/>
        <v>0.61144461733933275</v>
      </c>
      <c r="B1897" s="21">
        <f t="shared" ca="1" si="59"/>
        <v>2848</v>
      </c>
    </row>
    <row r="1898" spans="1:2" x14ac:dyDescent="0.25">
      <c r="A1898" s="20">
        <f t="shared" ca="1" si="58"/>
        <v>0.42720653974190836</v>
      </c>
      <c r="B1898" s="21">
        <f t="shared" ca="1" si="59"/>
        <v>2007</v>
      </c>
    </row>
    <row r="1899" spans="1:2" x14ac:dyDescent="0.25">
      <c r="A1899" s="20">
        <f t="shared" ca="1" si="58"/>
        <v>0.64991157098887209</v>
      </c>
      <c r="B1899" s="21">
        <f t="shared" ca="1" si="59"/>
        <v>3017</v>
      </c>
    </row>
    <row r="1900" spans="1:2" x14ac:dyDescent="0.25">
      <c r="A1900" s="20">
        <f t="shared" ca="1" si="58"/>
        <v>0.8974730321794252</v>
      </c>
      <c r="B1900" s="21">
        <f t="shared" ca="1" si="59"/>
        <v>4138</v>
      </c>
    </row>
    <row r="1901" spans="1:2" x14ac:dyDescent="0.25">
      <c r="A1901" s="20">
        <f t="shared" ca="1" si="58"/>
        <v>4.0419621211627232E-2</v>
      </c>
      <c r="B1901" s="21">
        <f t="shared" ca="1" si="59"/>
        <v>159</v>
      </c>
    </row>
    <row r="1902" spans="1:2" x14ac:dyDescent="0.25">
      <c r="A1902" s="20">
        <f t="shared" ca="1" si="58"/>
        <v>0.18327847607741954</v>
      </c>
      <c r="B1902" s="21">
        <f t="shared" ca="1" si="59"/>
        <v>841</v>
      </c>
    </row>
    <row r="1903" spans="1:2" x14ac:dyDescent="0.25">
      <c r="A1903" s="20">
        <f t="shared" ca="1" si="58"/>
        <v>0.68510999909184078</v>
      </c>
      <c r="B1903" s="21">
        <f t="shared" ca="1" si="59"/>
        <v>3182</v>
      </c>
    </row>
    <row r="1904" spans="1:2" x14ac:dyDescent="0.25">
      <c r="A1904" s="20">
        <f t="shared" ca="1" si="58"/>
        <v>8.8586726787424075E-2</v>
      </c>
      <c r="B1904" s="21">
        <f t="shared" ca="1" si="59"/>
        <v>395</v>
      </c>
    </row>
    <row r="1905" spans="1:2" x14ac:dyDescent="0.25">
      <c r="A1905" s="20">
        <f t="shared" ca="1" si="58"/>
        <v>9.577961267964008E-2</v>
      </c>
      <c r="B1905" s="21">
        <f t="shared" ca="1" si="59"/>
        <v>429</v>
      </c>
    </row>
    <row r="1906" spans="1:2" x14ac:dyDescent="0.25">
      <c r="A1906" s="20">
        <f t="shared" ca="1" si="58"/>
        <v>6.9696147063881941E-2</v>
      </c>
      <c r="B1906" s="21">
        <f t="shared" ca="1" si="59"/>
        <v>313</v>
      </c>
    </row>
    <row r="1907" spans="1:2" x14ac:dyDescent="0.25">
      <c r="A1907" s="20">
        <f t="shared" ca="1" si="58"/>
        <v>1.4305030587074774E-2</v>
      </c>
      <c r="B1907" s="21">
        <f t="shared" ca="1" si="59"/>
        <v>53</v>
      </c>
    </row>
    <row r="1908" spans="1:2" x14ac:dyDescent="0.25">
      <c r="A1908" s="20">
        <f t="shared" ca="1" si="58"/>
        <v>0.18436138785605638</v>
      </c>
      <c r="B1908" s="21">
        <f t="shared" ca="1" si="59"/>
        <v>847</v>
      </c>
    </row>
    <row r="1909" spans="1:2" x14ac:dyDescent="0.25">
      <c r="A1909" s="20">
        <f t="shared" ca="1" si="58"/>
        <v>6.1652696147265984E-2</v>
      </c>
      <c r="B1909" s="21">
        <f t="shared" ca="1" si="59"/>
        <v>266</v>
      </c>
    </row>
    <row r="1910" spans="1:2" x14ac:dyDescent="0.25">
      <c r="A1910" s="20">
        <f t="shared" ca="1" si="58"/>
        <v>0.47025835131683247</v>
      </c>
      <c r="B1910" s="21">
        <f t="shared" ca="1" si="59"/>
        <v>2195</v>
      </c>
    </row>
    <row r="1911" spans="1:2" x14ac:dyDescent="0.25">
      <c r="A1911" s="20">
        <f t="shared" ca="1" si="58"/>
        <v>0.27813450008689866</v>
      </c>
      <c r="B1911" s="21">
        <f t="shared" ca="1" si="59"/>
        <v>1294</v>
      </c>
    </row>
    <row r="1912" spans="1:2" x14ac:dyDescent="0.25">
      <c r="A1912" s="20">
        <f t="shared" ca="1" si="58"/>
        <v>0.9106063711793656</v>
      </c>
      <c r="B1912" s="21">
        <f t="shared" ca="1" si="59"/>
        <v>4201</v>
      </c>
    </row>
    <row r="1913" spans="1:2" x14ac:dyDescent="0.25">
      <c r="A1913" s="20">
        <f t="shared" ca="1" si="58"/>
        <v>0.21926803505182912</v>
      </c>
      <c r="B1913" s="21">
        <f t="shared" ca="1" si="59"/>
        <v>1027</v>
      </c>
    </row>
    <row r="1914" spans="1:2" x14ac:dyDescent="0.25">
      <c r="A1914" s="20">
        <f t="shared" ca="1" si="58"/>
        <v>0.53884179205150706</v>
      </c>
      <c r="B1914" s="21">
        <f t="shared" ca="1" si="59"/>
        <v>2516</v>
      </c>
    </row>
    <row r="1915" spans="1:2" x14ac:dyDescent="0.25">
      <c r="A1915" s="20">
        <f t="shared" ca="1" si="58"/>
        <v>0.33721691625672456</v>
      </c>
      <c r="B1915" s="21">
        <f t="shared" ca="1" si="59"/>
        <v>1584</v>
      </c>
    </row>
    <row r="1916" spans="1:2" x14ac:dyDescent="0.25">
      <c r="A1916" s="20">
        <f t="shared" ca="1" si="58"/>
        <v>0.96973949614099453</v>
      </c>
      <c r="B1916" s="21">
        <f t="shared" ca="1" si="59"/>
        <v>4498</v>
      </c>
    </row>
    <row r="1917" spans="1:2" x14ac:dyDescent="0.25">
      <c r="A1917" s="20">
        <f t="shared" ca="1" si="58"/>
        <v>0.65665877988401566</v>
      </c>
      <c r="B1917" s="21">
        <f t="shared" ca="1" si="59"/>
        <v>3047</v>
      </c>
    </row>
    <row r="1918" spans="1:2" x14ac:dyDescent="0.25">
      <c r="A1918" s="20">
        <f t="shared" ca="1" si="58"/>
        <v>0.84391065909835417</v>
      </c>
      <c r="B1918" s="21">
        <f t="shared" ca="1" si="59"/>
        <v>3897</v>
      </c>
    </row>
    <row r="1919" spans="1:2" x14ac:dyDescent="0.25">
      <c r="A1919" s="20">
        <f t="shared" ca="1" si="58"/>
        <v>0.52787153741318271</v>
      </c>
      <c r="B1919" s="21">
        <f t="shared" ca="1" si="59"/>
        <v>2468</v>
      </c>
    </row>
    <row r="1920" spans="1:2" x14ac:dyDescent="0.25">
      <c r="A1920" s="20">
        <f t="shared" ca="1" si="58"/>
        <v>0.160492018864276</v>
      </c>
      <c r="B1920" s="21">
        <f t="shared" ca="1" si="59"/>
        <v>719</v>
      </c>
    </row>
    <row r="1921" spans="1:2" x14ac:dyDescent="0.25">
      <c r="A1921" s="20">
        <f t="shared" ca="1" si="58"/>
        <v>0.81240158557421049</v>
      </c>
      <c r="B1921" s="21">
        <f t="shared" ca="1" si="59"/>
        <v>3755</v>
      </c>
    </row>
    <row r="1922" spans="1:2" x14ac:dyDescent="0.25">
      <c r="A1922" s="20">
        <f t="shared" ca="1" si="58"/>
        <v>0.86807675579003318</v>
      </c>
      <c r="B1922" s="21">
        <f t="shared" ca="1" si="59"/>
        <v>4007</v>
      </c>
    </row>
    <row r="1923" spans="1:2" x14ac:dyDescent="0.25">
      <c r="A1923" s="20">
        <f t="shared" ref="A1923:A1986" ca="1" si="60">RAND()</f>
        <v>0.30469455077061414</v>
      </c>
      <c r="B1923" s="21">
        <f t="shared" ref="B1923:B1986" ca="1" si="61">_xlfn.RANK.EQ($A1923,$A:$A,1)</f>
        <v>1429</v>
      </c>
    </row>
    <row r="1924" spans="1:2" x14ac:dyDescent="0.25">
      <c r="A1924" s="20">
        <f t="shared" ca="1" si="60"/>
        <v>0.20679552421316139</v>
      </c>
      <c r="B1924" s="21">
        <f t="shared" ca="1" si="61"/>
        <v>962</v>
      </c>
    </row>
    <row r="1925" spans="1:2" x14ac:dyDescent="0.25">
      <c r="A1925" s="20">
        <f t="shared" ca="1" si="60"/>
        <v>0.98881717362630317</v>
      </c>
      <c r="B1925" s="21">
        <f t="shared" ca="1" si="61"/>
        <v>4577</v>
      </c>
    </row>
    <row r="1926" spans="1:2" x14ac:dyDescent="0.25">
      <c r="A1926" s="20">
        <f t="shared" ca="1" si="60"/>
        <v>0.13940107176022731</v>
      </c>
      <c r="B1926" s="21">
        <f t="shared" ca="1" si="61"/>
        <v>615</v>
      </c>
    </row>
    <row r="1927" spans="1:2" x14ac:dyDescent="0.25">
      <c r="A1927" s="20">
        <f t="shared" ca="1" si="60"/>
        <v>0.99100572982224189</v>
      </c>
      <c r="B1927" s="21">
        <f t="shared" ca="1" si="61"/>
        <v>4586</v>
      </c>
    </row>
    <row r="1928" spans="1:2" x14ac:dyDescent="0.25">
      <c r="A1928" s="20">
        <f t="shared" ca="1" si="60"/>
        <v>0.11731650373936742</v>
      </c>
      <c r="B1928" s="21">
        <f t="shared" ca="1" si="61"/>
        <v>514</v>
      </c>
    </row>
    <row r="1929" spans="1:2" x14ac:dyDescent="0.25">
      <c r="A1929" s="20">
        <f t="shared" ca="1" si="60"/>
        <v>0.41115683212582488</v>
      </c>
      <c r="B1929" s="21">
        <f t="shared" ca="1" si="61"/>
        <v>1931</v>
      </c>
    </row>
    <row r="1930" spans="1:2" x14ac:dyDescent="0.25">
      <c r="A1930" s="20">
        <f t="shared" ca="1" si="60"/>
        <v>0.78791921636203577</v>
      </c>
      <c r="B1930" s="21">
        <f t="shared" ca="1" si="61"/>
        <v>3649</v>
      </c>
    </row>
    <row r="1931" spans="1:2" x14ac:dyDescent="0.25">
      <c r="A1931" s="20">
        <f t="shared" ca="1" si="60"/>
        <v>0.17560016009394663</v>
      </c>
      <c r="B1931" s="21">
        <f t="shared" ca="1" si="61"/>
        <v>797</v>
      </c>
    </row>
    <row r="1932" spans="1:2" x14ac:dyDescent="0.25">
      <c r="A1932" s="20">
        <f t="shared" ca="1" si="60"/>
        <v>0.36193225374394156</v>
      </c>
      <c r="B1932" s="21">
        <f t="shared" ca="1" si="61"/>
        <v>1713</v>
      </c>
    </row>
    <row r="1933" spans="1:2" x14ac:dyDescent="0.25">
      <c r="A1933" s="20">
        <f t="shared" ca="1" si="60"/>
        <v>0.87757061671471415</v>
      </c>
      <c r="B1933" s="21">
        <f t="shared" ca="1" si="61"/>
        <v>4042</v>
      </c>
    </row>
    <row r="1934" spans="1:2" x14ac:dyDescent="0.25">
      <c r="A1934" s="20">
        <f t="shared" ca="1" si="60"/>
        <v>0.94848479879619707</v>
      </c>
      <c r="B1934" s="21">
        <f t="shared" ca="1" si="61"/>
        <v>4397</v>
      </c>
    </row>
    <row r="1935" spans="1:2" x14ac:dyDescent="0.25">
      <c r="A1935" s="20">
        <f t="shared" ca="1" si="60"/>
        <v>0.94255828737742131</v>
      </c>
      <c r="B1935" s="21">
        <f t="shared" ca="1" si="61"/>
        <v>4360</v>
      </c>
    </row>
    <row r="1936" spans="1:2" x14ac:dyDescent="0.25">
      <c r="A1936" s="20">
        <f t="shared" ca="1" si="60"/>
        <v>0.22263652840359227</v>
      </c>
      <c r="B1936" s="21">
        <f t="shared" ca="1" si="61"/>
        <v>1045</v>
      </c>
    </row>
    <row r="1937" spans="1:2" x14ac:dyDescent="0.25">
      <c r="A1937" s="20">
        <f t="shared" ca="1" si="60"/>
        <v>0.65675850571169769</v>
      </c>
      <c r="B1937" s="21">
        <f t="shared" ca="1" si="61"/>
        <v>3048</v>
      </c>
    </row>
    <row r="1938" spans="1:2" x14ac:dyDescent="0.25">
      <c r="A1938" s="20">
        <f t="shared" ca="1" si="60"/>
        <v>0.85939129577885898</v>
      </c>
      <c r="B1938" s="21">
        <f t="shared" ca="1" si="61"/>
        <v>3968</v>
      </c>
    </row>
    <row r="1939" spans="1:2" x14ac:dyDescent="0.25">
      <c r="A1939" s="20">
        <f t="shared" ca="1" si="60"/>
        <v>0.77788421526298079</v>
      </c>
      <c r="B1939" s="21">
        <f t="shared" ca="1" si="61"/>
        <v>3608</v>
      </c>
    </row>
    <row r="1940" spans="1:2" x14ac:dyDescent="0.25">
      <c r="A1940" s="20">
        <f t="shared" ca="1" si="60"/>
        <v>0.3319394871002862</v>
      </c>
      <c r="B1940" s="21">
        <f t="shared" ca="1" si="61"/>
        <v>1555</v>
      </c>
    </row>
    <row r="1941" spans="1:2" x14ac:dyDescent="0.25">
      <c r="A1941" s="20">
        <f t="shared" ca="1" si="60"/>
        <v>7.2945766682608104E-2</v>
      </c>
      <c r="B1941" s="21">
        <f t="shared" ca="1" si="61"/>
        <v>324</v>
      </c>
    </row>
    <row r="1942" spans="1:2" x14ac:dyDescent="0.25">
      <c r="A1942" s="20">
        <f t="shared" ca="1" si="60"/>
        <v>0.23318971018983492</v>
      </c>
      <c r="B1942" s="21">
        <f t="shared" ca="1" si="61"/>
        <v>1093</v>
      </c>
    </row>
    <row r="1943" spans="1:2" x14ac:dyDescent="0.25">
      <c r="A1943" s="20">
        <f t="shared" ca="1" si="60"/>
        <v>0.42071101386322141</v>
      </c>
      <c r="B1943" s="21">
        <f t="shared" ca="1" si="61"/>
        <v>1968</v>
      </c>
    </row>
    <row r="1944" spans="1:2" x14ac:dyDescent="0.25">
      <c r="A1944" s="20">
        <f t="shared" ca="1" si="60"/>
        <v>0.20803722888508636</v>
      </c>
      <c r="B1944" s="21">
        <f t="shared" ca="1" si="61"/>
        <v>970</v>
      </c>
    </row>
    <row r="1945" spans="1:2" x14ac:dyDescent="0.25">
      <c r="A1945" s="20">
        <f t="shared" ca="1" si="60"/>
        <v>0.53881055962693014</v>
      </c>
      <c r="B1945" s="21">
        <f t="shared" ca="1" si="61"/>
        <v>2515</v>
      </c>
    </row>
    <row r="1946" spans="1:2" x14ac:dyDescent="0.25">
      <c r="A1946" s="20">
        <f t="shared" ca="1" si="60"/>
        <v>0.51500930554417335</v>
      </c>
      <c r="B1946" s="21">
        <f t="shared" ca="1" si="61"/>
        <v>2406</v>
      </c>
    </row>
    <row r="1947" spans="1:2" x14ac:dyDescent="0.25">
      <c r="A1947" s="20">
        <f t="shared" ca="1" si="60"/>
        <v>0.92601373778774154</v>
      </c>
      <c r="B1947" s="21">
        <f t="shared" ca="1" si="61"/>
        <v>4276</v>
      </c>
    </row>
    <row r="1948" spans="1:2" x14ac:dyDescent="0.25">
      <c r="A1948" s="20">
        <f t="shared" ca="1" si="60"/>
        <v>0.10860623754360366</v>
      </c>
      <c r="B1948" s="21">
        <f t="shared" ca="1" si="61"/>
        <v>480</v>
      </c>
    </row>
    <row r="1949" spans="1:2" x14ac:dyDescent="0.25">
      <c r="A1949" s="20">
        <f t="shared" ca="1" si="60"/>
        <v>0.75638217801545859</v>
      </c>
      <c r="B1949" s="21">
        <f t="shared" ca="1" si="61"/>
        <v>3509</v>
      </c>
    </row>
    <row r="1950" spans="1:2" x14ac:dyDescent="0.25">
      <c r="A1950" s="20">
        <f t="shared" ca="1" si="60"/>
        <v>0.98342371162092945</v>
      </c>
      <c r="B1950" s="21">
        <f t="shared" ca="1" si="61"/>
        <v>4552</v>
      </c>
    </row>
    <row r="1951" spans="1:2" x14ac:dyDescent="0.25">
      <c r="A1951" s="20">
        <f t="shared" ca="1" si="60"/>
        <v>0.98257220189428707</v>
      </c>
      <c r="B1951" s="21">
        <f t="shared" ca="1" si="61"/>
        <v>4549</v>
      </c>
    </row>
    <row r="1952" spans="1:2" x14ac:dyDescent="0.25">
      <c r="A1952" s="20">
        <f t="shared" ca="1" si="60"/>
        <v>0.16914228774941731</v>
      </c>
      <c r="B1952" s="21">
        <f t="shared" ca="1" si="61"/>
        <v>761</v>
      </c>
    </row>
    <row r="1953" spans="1:2" x14ac:dyDescent="0.25">
      <c r="A1953" s="20">
        <f t="shared" ca="1" si="60"/>
        <v>0.99410250886858598</v>
      </c>
      <c r="B1953" s="21">
        <f t="shared" ca="1" si="61"/>
        <v>4595</v>
      </c>
    </row>
    <row r="1954" spans="1:2" x14ac:dyDescent="0.25">
      <c r="A1954" s="20">
        <f t="shared" ca="1" si="60"/>
        <v>0.40888041739970582</v>
      </c>
      <c r="B1954" s="21">
        <f t="shared" ca="1" si="61"/>
        <v>1923</v>
      </c>
    </row>
    <row r="1955" spans="1:2" x14ac:dyDescent="0.25">
      <c r="A1955" s="20">
        <f t="shared" ca="1" si="60"/>
        <v>0.70845280881676098</v>
      </c>
      <c r="B1955" s="21">
        <f t="shared" ca="1" si="61"/>
        <v>3281</v>
      </c>
    </row>
    <row r="1956" spans="1:2" x14ac:dyDescent="0.25">
      <c r="A1956" s="20">
        <f t="shared" ca="1" si="60"/>
        <v>0.57923847417381424</v>
      </c>
      <c r="B1956" s="21">
        <f t="shared" ca="1" si="61"/>
        <v>2702</v>
      </c>
    </row>
    <row r="1957" spans="1:2" x14ac:dyDescent="0.25">
      <c r="A1957" s="20">
        <f t="shared" ca="1" si="60"/>
        <v>0.1082546651830385</v>
      </c>
      <c r="B1957" s="21">
        <f t="shared" ca="1" si="61"/>
        <v>478</v>
      </c>
    </row>
    <row r="1958" spans="1:2" x14ac:dyDescent="0.25">
      <c r="A1958" s="20">
        <f t="shared" ca="1" si="60"/>
        <v>0.47645527612508176</v>
      </c>
      <c r="B1958" s="21">
        <f t="shared" ca="1" si="61"/>
        <v>2221</v>
      </c>
    </row>
    <row r="1959" spans="1:2" x14ac:dyDescent="0.25">
      <c r="A1959" s="20">
        <f t="shared" ca="1" si="60"/>
        <v>0.5837629073883922</v>
      </c>
      <c r="B1959" s="21">
        <f t="shared" ca="1" si="61"/>
        <v>2733</v>
      </c>
    </row>
    <row r="1960" spans="1:2" x14ac:dyDescent="0.25">
      <c r="A1960" s="20">
        <f t="shared" ca="1" si="60"/>
        <v>0.70003000670707205</v>
      </c>
      <c r="B1960" s="21">
        <f t="shared" ca="1" si="61"/>
        <v>3242</v>
      </c>
    </row>
    <row r="1961" spans="1:2" x14ac:dyDescent="0.25">
      <c r="A1961" s="20">
        <f t="shared" ca="1" si="60"/>
        <v>2.0448437221540772E-3</v>
      </c>
      <c r="B1961" s="21">
        <f t="shared" ca="1" si="61"/>
        <v>10</v>
      </c>
    </row>
    <row r="1962" spans="1:2" x14ac:dyDescent="0.25">
      <c r="A1962" s="20">
        <f t="shared" ca="1" si="60"/>
        <v>0.88427912570607892</v>
      </c>
      <c r="B1962" s="21">
        <f t="shared" ca="1" si="61"/>
        <v>4078</v>
      </c>
    </row>
    <row r="1963" spans="1:2" x14ac:dyDescent="0.25">
      <c r="A1963" s="20">
        <f t="shared" ca="1" si="60"/>
        <v>0.3090871985749718</v>
      </c>
      <c r="B1963" s="21">
        <f t="shared" ca="1" si="61"/>
        <v>1449</v>
      </c>
    </row>
    <row r="1964" spans="1:2" x14ac:dyDescent="0.25">
      <c r="A1964" s="20">
        <f t="shared" ca="1" si="60"/>
        <v>0.2534861878606226</v>
      </c>
      <c r="B1964" s="21">
        <f t="shared" ca="1" si="61"/>
        <v>1184</v>
      </c>
    </row>
    <row r="1965" spans="1:2" x14ac:dyDescent="0.25">
      <c r="A1965" s="20">
        <f t="shared" ca="1" si="60"/>
        <v>0.33247452698163071</v>
      </c>
      <c r="B1965" s="21">
        <f t="shared" ca="1" si="61"/>
        <v>1558</v>
      </c>
    </row>
    <row r="1966" spans="1:2" x14ac:dyDescent="0.25">
      <c r="A1966" s="20">
        <f t="shared" ca="1" si="60"/>
        <v>0.96562688337139013</v>
      </c>
      <c r="B1966" s="21">
        <f t="shared" ca="1" si="61"/>
        <v>4478</v>
      </c>
    </row>
    <row r="1967" spans="1:2" x14ac:dyDescent="0.25">
      <c r="A1967" s="20">
        <f t="shared" ca="1" si="60"/>
        <v>0.66230248841430983</v>
      </c>
      <c r="B1967" s="21">
        <f t="shared" ca="1" si="61"/>
        <v>3072</v>
      </c>
    </row>
    <row r="1968" spans="1:2" x14ac:dyDescent="0.25">
      <c r="A1968" s="20">
        <f t="shared" ca="1" si="60"/>
        <v>0.86045411125978544</v>
      </c>
      <c r="B1968" s="21">
        <f t="shared" ca="1" si="61"/>
        <v>3971</v>
      </c>
    </row>
    <row r="1969" spans="1:2" x14ac:dyDescent="0.25">
      <c r="A1969" s="20">
        <f t="shared" ca="1" si="60"/>
        <v>0.61098176805110216</v>
      </c>
      <c r="B1969" s="21">
        <f t="shared" ca="1" si="61"/>
        <v>2846</v>
      </c>
    </row>
    <row r="1970" spans="1:2" x14ac:dyDescent="0.25">
      <c r="A1970" s="20">
        <f t="shared" ca="1" si="60"/>
        <v>0.48518791578981046</v>
      </c>
      <c r="B1970" s="21">
        <f t="shared" ca="1" si="61"/>
        <v>2260</v>
      </c>
    </row>
    <row r="1971" spans="1:2" x14ac:dyDescent="0.25">
      <c r="A1971" s="20">
        <f t="shared" ca="1" si="60"/>
        <v>0.14154018702163162</v>
      </c>
      <c r="B1971" s="21">
        <f t="shared" ca="1" si="61"/>
        <v>621</v>
      </c>
    </row>
    <row r="1972" spans="1:2" x14ac:dyDescent="0.25">
      <c r="A1972" s="20">
        <f t="shared" ca="1" si="60"/>
        <v>7.434370692482084E-2</v>
      </c>
      <c r="B1972" s="21">
        <f t="shared" ca="1" si="61"/>
        <v>331</v>
      </c>
    </row>
    <row r="1973" spans="1:2" x14ac:dyDescent="0.25">
      <c r="A1973" s="20">
        <f t="shared" ca="1" si="60"/>
        <v>0.94581751065788622</v>
      </c>
      <c r="B1973" s="21">
        <f t="shared" ca="1" si="61"/>
        <v>4378</v>
      </c>
    </row>
    <row r="1974" spans="1:2" x14ac:dyDescent="0.25">
      <c r="A1974" s="20">
        <f t="shared" ca="1" si="60"/>
        <v>0.98808580282883762</v>
      </c>
      <c r="B1974" s="21">
        <f t="shared" ca="1" si="61"/>
        <v>4573</v>
      </c>
    </row>
    <row r="1975" spans="1:2" x14ac:dyDescent="0.25">
      <c r="A1975" s="20">
        <f t="shared" ca="1" si="60"/>
        <v>0.29196780905555764</v>
      </c>
      <c r="B1975" s="21">
        <f t="shared" ca="1" si="61"/>
        <v>1376</v>
      </c>
    </row>
    <row r="1976" spans="1:2" x14ac:dyDescent="0.25">
      <c r="A1976" s="20">
        <f t="shared" ca="1" si="60"/>
        <v>9.9760066602703423E-2</v>
      </c>
      <c r="B1976" s="21">
        <f t="shared" ca="1" si="61"/>
        <v>451</v>
      </c>
    </row>
    <row r="1977" spans="1:2" x14ac:dyDescent="0.25">
      <c r="A1977" s="20">
        <f t="shared" ca="1" si="60"/>
        <v>0.7171941586374484</v>
      </c>
      <c r="B1977" s="21">
        <f t="shared" ca="1" si="61"/>
        <v>3317</v>
      </c>
    </row>
    <row r="1978" spans="1:2" x14ac:dyDescent="0.25">
      <c r="A1978" s="20">
        <f t="shared" ca="1" si="60"/>
        <v>5.215891884244217E-2</v>
      </c>
      <c r="B1978" s="21">
        <f t="shared" ca="1" si="61"/>
        <v>220</v>
      </c>
    </row>
    <row r="1979" spans="1:2" x14ac:dyDescent="0.25">
      <c r="A1979" s="20">
        <f t="shared" ca="1" si="60"/>
        <v>0.99984604293314716</v>
      </c>
      <c r="B1979" s="21">
        <f t="shared" ca="1" si="61"/>
        <v>4617</v>
      </c>
    </row>
    <row r="1980" spans="1:2" x14ac:dyDescent="0.25">
      <c r="A1980" s="20">
        <f t="shared" ca="1" si="60"/>
        <v>0.67583850691774505</v>
      </c>
      <c r="B1980" s="21">
        <f t="shared" ca="1" si="61"/>
        <v>3130</v>
      </c>
    </row>
    <row r="1981" spans="1:2" x14ac:dyDescent="0.25">
      <c r="A1981" s="20">
        <f t="shared" ca="1" si="60"/>
        <v>9.8511492461370254E-2</v>
      </c>
      <c r="B1981" s="21">
        <f t="shared" ca="1" si="61"/>
        <v>443</v>
      </c>
    </row>
    <row r="1982" spans="1:2" x14ac:dyDescent="0.25">
      <c r="A1982" s="20">
        <f t="shared" ca="1" si="60"/>
        <v>0.2377218894264933</v>
      </c>
      <c r="B1982" s="21">
        <f t="shared" ca="1" si="61"/>
        <v>1113</v>
      </c>
    </row>
    <row r="1983" spans="1:2" x14ac:dyDescent="0.25">
      <c r="A1983" s="20">
        <f t="shared" ca="1" si="60"/>
        <v>0.97365599250319856</v>
      </c>
      <c r="B1983" s="21">
        <f t="shared" ca="1" si="61"/>
        <v>4514</v>
      </c>
    </row>
    <row r="1984" spans="1:2" x14ac:dyDescent="0.25">
      <c r="A1984" s="20">
        <f t="shared" ca="1" si="60"/>
        <v>0.17469114188369828</v>
      </c>
      <c r="B1984" s="21">
        <f t="shared" ca="1" si="61"/>
        <v>790</v>
      </c>
    </row>
    <row r="1985" spans="1:2" x14ac:dyDescent="0.25">
      <c r="A1985" s="20">
        <f t="shared" ca="1" si="60"/>
        <v>0.79919629718148844</v>
      </c>
      <c r="B1985" s="21">
        <f t="shared" ca="1" si="61"/>
        <v>3700</v>
      </c>
    </row>
    <row r="1986" spans="1:2" x14ac:dyDescent="0.25">
      <c r="A1986" s="20">
        <f t="shared" ca="1" si="60"/>
        <v>0.76455136875107532</v>
      </c>
      <c r="B1986" s="21">
        <f t="shared" ca="1" si="61"/>
        <v>3543</v>
      </c>
    </row>
    <row r="1987" spans="1:2" x14ac:dyDescent="0.25">
      <c r="A1987" s="20">
        <f t="shared" ref="A1987:A2050" ca="1" si="62">RAND()</f>
        <v>6.6813812508203285E-2</v>
      </c>
      <c r="B1987" s="21">
        <f t="shared" ref="B1987:B2050" ca="1" si="63">_xlfn.RANK.EQ($A1987,$A:$A,1)</f>
        <v>294</v>
      </c>
    </row>
    <row r="1988" spans="1:2" x14ac:dyDescent="0.25">
      <c r="A1988" s="20">
        <f t="shared" ca="1" si="62"/>
        <v>0.28311307613553083</v>
      </c>
      <c r="B1988" s="21">
        <f t="shared" ca="1" si="63"/>
        <v>1324</v>
      </c>
    </row>
    <row r="1989" spans="1:2" x14ac:dyDescent="0.25">
      <c r="A1989" s="20">
        <f t="shared" ca="1" si="62"/>
        <v>0.79609279014429279</v>
      </c>
      <c r="B1989" s="21">
        <f t="shared" ca="1" si="63"/>
        <v>3684</v>
      </c>
    </row>
    <row r="1990" spans="1:2" x14ac:dyDescent="0.25">
      <c r="A1990" s="20">
        <f t="shared" ca="1" si="62"/>
        <v>0.97766133806536315</v>
      </c>
      <c r="B1990" s="21">
        <f t="shared" ca="1" si="63"/>
        <v>4529</v>
      </c>
    </row>
    <row r="1991" spans="1:2" x14ac:dyDescent="0.25">
      <c r="A1991" s="20">
        <f t="shared" ca="1" si="62"/>
        <v>0.94159943970209958</v>
      </c>
      <c r="B1991" s="21">
        <f t="shared" ca="1" si="63"/>
        <v>4355</v>
      </c>
    </row>
    <row r="1992" spans="1:2" x14ac:dyDescent="0.25">
      <c r="A1992" s="20">
        <f t="shared" ca="1" si="62"/>
        <v>0.44707259543155209</v>
      </c>
      <c r="B1992" s="21">
        <f t="shared" ca="1" si="63"/>
        <v>2093</v>
      </c>
    </row>
    <row r="1993" spans="1:2" x14ac:dyDescent="0.25">
      <c r="A1993" s="20">
        <f t="shared" ca="1" si="62"/>
        <v>0.35788954702066111</v>
      </c>
      <c r="B1993" s="21">
        <f t="shared" ca="1" si="63"/>
        <v>1691</v>
      </c>
    </row>
    <row r="1994" spans="1:2" x14ac:dyDescent="0.25">
      <c r="A1994" s="20">
        <f t="shared" ca="1" si="62"/>
        <v>0.36603880135269107</v>
      </c>
      <c r="B1994" s="21">
        <f t="shared" ca="1" si="63"/>
        <v>1736</v>
      </c>
    </row>
    <row r="1995" spans="1:2" x14ac:dyDescent="0.25">
      <c r="A1995" s="20">
        <f t="shared" ca="1" si="62"/>
        <v>0.29380988269366848</v>
      </c>
      <c r="B1995" s="21">
        <f t="shared" ca="1" si="63"/>
        <v>1383</v>
      </c>
    </row>
    <row r="1996" spans="1:2" x14ac:dyDescent="0.25">
      <c r="A1996" s="20">
        <f t="shared" ca="1" si="62"/>
        <v>0.54791058322351882</v>
      </c>
      <c r="B1996" s="21">
        <f t="shared" ca="1" si="63"/>
        <v>2556</v>
      </c>
    </row>
    <row r="1997" spans="1:2" x14ac:dyDescent="0.25">
      <c r="A1997" s="20">
        <f t="shared" ca="1" si="62"/>
        <v>0.31364525748490157</v>
      </c>
      <c r="B1997" s="21">
        <f t="shared" ca="1" si="63"/>
        <v>1470</v>
      </c>
    </row>
    <row r="1998" spans="1:2" x14ac:dyDescent="0.25">
      <c r="A1998" s="20">
        <f t="shared" ca="1" si="62"/>
        <v>0.72786437709058172</v>
      </c>
      <c r="B1998" s="21">
        <f t="shared" ca="1" si="63"/>
        <v>3369</v>
      </c>
    </row>
    <row r="1999" spans="1:2" x14ac:dyDescent="0.25">
      <c r="A1999" s="20">
        <f t="shared" ca="1" si="62"/>
        <v>0.89862102061114024</v>
      </c>
      <c r="B1999" s="21">
        <f t="shared" ca="1" si="63"/>
        <v>4140</v>
      </c>
    </row>
    <row r="2000" spans="1:2" x14ac:dyDescent="0.25">
      <c r="A2000" s="20">
        <f t="shared" ca="1" si="62"/>
        <v>0.68771259397510665</v>
      </c>
      <c r="B2000" s="21">
        <f t="shared" ca="1" si="63"/>
        <v>3194</v>
      </c>
    </row>
    <row r="2001" spans="1:2" x14ac:dyDescent="0.25">
      <c r="A2001" s="20">
        <f t="shared" ca="1" si="62"/>
        <v>0.8491899267904971</v>
      </c>
      <c r="B2001" s="21">
        <f t="shared" ca="1" si="63"/>
        <v>3921</v>
      </c>
    </row>
    <row r="2002" spans="1:2" x14ac:dyDescent="0.25">
      <c r="A2002" s="20">
        <f t="shared" ca="1" si="62"/>
        <v>0.47221693354463545</v>
      </c>
      <c r="B2002" s="21">
        <f t="shared" ca="1" si="63"/>
        <v>2206</v>
      </c>
    </row>
    <row r="2003" spans="1:2" x14ac:dyDescent="0.25">
      <c r="A2003" s="20">
        <f t="shared" ca="1" si="62"/>
        <v>1.3169411632857675E-2</v>
      </c>
      <c r="B2003" s="21">
        <f t="shared" ca="1" si="63"/>
        <v>48</v>
      </c>
    </row>
    <row r="2004" spans="1:2" x14ac:dyDescent="0.25">
      <c r="A2004" s="20">
        <f t="shared" ca="1" si="62"/>
        <v>0.4148361370158713</v>
      </c>
      <c r="B2004" s="21">
        <f t="shared" ca="1" si="63"/>
        <v>1944</v>
      </c>
    </row>
    <row r="2005" spans="1:2" x14ac:dyDescent="0.25">
      <c r="A2005" s="20">
        <f t="shared" ca="1" si="62"/>
        <v>0.81904553478883158</v>
      </c>
      <c r="B2005" s="21">
        <f t="shared" ca="1" si="63"/>
        <v>3791</v>
      </c>
    </row>
    <row r="2006" spans="1:2" x14ac:dyDescent="0.25">
      <c r="A2006" s="20">
        <f t="shared" ca="1" si="62"/>
        <v>0.91343542570867164</v>
      </c>
      <c r="B2006" s="21">
        <f t="shared" ca="1" si="63"/>
        <v>4213</v>
      </c>
    </row>
    <row r="2007" spans="1:2" x14ac:dyDescent="0.25">
      <c r="A2007" s="20">
        <f t="shared" ca="1" si="62"/>
        <v>0.15072896016763981</v>
      </c>
      <c r="B2007" s="21">
        <f t="shared" ca="1" si="63"/>
        <v>674</v>
      </c>
    </row>
    <row r="2008" spans="1:2" x14ac:dyDescent="0.25">
      <c r="A2008" s="20">
        <f t="shared" ca="1" si="62"/>
        <v>0.43811108375854446</v>
      </c>
      <c r="B2008" s="21">
        <f t="shared" ca="1" si="63"/>
        <v>2054</v>
      </c>
    </row>
    <row r="2009" spans="1:2" x14ac:dyDescent="0.25">
      <c r="A2009" s="20">
        <f t="shared" ca="1" si="62"/>
        <v>7.9617985320449725E-2</v>
      </c>
      <c r="B2009" s="21">
        <f t="shared" ca="1" si="63"/>
        <v>360</v>
      </c>
    </row>
    <row r="2010" spans="1:2" x14ac:dyDescent="0.25">
      <c r="A2010" s="20">
        <f t="shared" ca="1" si="62"/>
        <v>7.7272574221076917E-2</v>
      </c>
      <c r="B2010" s="21">
        <f t="shared" ca="1" si="63"/>
        <v>345</v>
      </c>
    </row>
    <row r="2011" spans="1:2" x14ac:dyDescent="0.25">
      <c r="A2011" s="20">
        <f t="shared" ca="1" si="62"/>
        <v>0.18891071641667989</v>
      </c>
      <c r="B2011" s="21">
        <f t="shared" ca="1" si="63"/>
        <v>867</v>
      </c>
    </row>
    <row r="2012" spans="1:2" x14ac:dyDescent="0.25">
      <c r="A2012" s="20">
        <f t="shared" ca="1" si="62"/>
        <v>0.78916314925591036</v>
      </c>
      <c r="B2012" s="21">
        <f t="shared" ca="1" si="63"/>
        <v>3654</v>
      </c>
    </row>
    <row r="2013" spans="1:2" x14ac:dyDescent="0.25">
      <c r="A2013" s="20">
        <f t="shared" ca="1" si="62"/>
        <v>0.95500866313297561</v>
      </c>
      <c r="B2013" s="21">
        <f t="shared" ca="1" si="63"/>
        <v>4419</v>
      </c>
    </row>
    <row r="2014" spans="1:2" x14ac:dyDescent="0.25">
      <c r="A2014" s="20">
        <f t="shared" ca="1" si="62"/>
        <v>0.60490551217292998</v>
      </c>
      <c r="B2014" s="21">
        <f t="shared" ca="1" si="63"/>
        <v>2824</v>
      </c>
    </row>
    <row r="2015" spans="1:2" x14ac:dyDescent="0.25">
      <c r="A2015" s="20">
        <f t="shared" ca="1" si="62"/>
        <v>6.5287997453994384E-2</v>
      </c>
      <c r="B2015" s="21">
        <f t="shared" ca="1" si="63"/>
        <v>288</v>
      </c>
    </row>
    <row r="2016" spans="1:2" x14ac:dyDescent="0.25">
      <c r="A2016" s="20">
        <f t="shared" ca="1" si="62"/>
        <v>0.22719727994795735</v>
      </c>
      <c r="B2016" s="21">
        <f t="shared" ca="1" si="63"/>
        <v>1066</v>
      </c>
    </row>
    <row r="2017" spans="1:2" x14ac:dyDescent="0.25">
      <c r="A2017" s="20">
        <f t="shared" ca="1" si="62"/>
        <v>0.21025925458353933</v>
      </c>
      <c r="B2017" s="21">
        <f t="shared" ca="1" si="63"/>
        <v>980</v>
      </c>
    </row>
    <row r="2018" spans="1:2" x14ac:dyDescent="0.25">
      <c r="A2018" s="20">
        <f t="shared" ca="1" si="62"/>
        <v>0.95951820252438857</v>
      </c>
      <c r="B2018" s="21">
        <f t="shared" ca="1" si="63"/>
        <v>4441</v>
      </c>
    </row>
    <row r="2019" spans="1:2" x14ac:dyDescent="0.25">
      <c r="A2019" s="20">
        <f t="shared" ca="1" si="62"/>
        <v>0.89376567818109531</v>
      </c>
      <c r="B2019" s="21">
        <f t="shared" ca="1" si="63"/>
        <v>4121</v>
      </c>
    </row>
    <row r="2020" spans="1:2" x14ac:dyDescent="0.25">
      <c r="A2020" s="20">
        <f t="shared" ca="1" si="62"/>
        <v>0.485522179727777</v>
      </c>
      <c r="B2020" s="21">
        <f t="shared" ca="1" si="63"/>
        <v>2262</v>
      </c>
    </row>
    <row r="2021" spans="1:2" x14ac:dyDescent="0.25">
      <c r="A2021" s="20">
        <f t="shared" ca="1" si="62"/>
        <v>2.1058879374153738E-2</v>
      </c>
      <c r="B2021" s="21">
        <f t="shared" ca="1" si="63"/>
        <v>85</v>
      </c>
    </row>
    <row r="2022" spans="1:2" x14ac:dyDescent="0.25">
      <c r="A2022" s="20">
        <f t="shared" ca="1" si="62"/>
        <v>0.8992150238044041</v>
      </c>
      <c r="B2022" s="21">
        <f t="shared" ca="1" si="63"/>
        <v>4143</v>
      </c>
    </row>
    <row r="2023" spans="1:2" x14ac:dyDescent="0.25">
      <c r="A2023" s="20">
        <f t="shared" ca="1" si="62"/>
        <v>6.3994583560526341E-2</v>
      </c>
      <c r="B2023" s="21">
        <f t="shared" ca="1" si="63"/>
        <v>277</v>
      </c>
    </row>
    <row r="2024" spans="1:2" x14ac:dyDescent="0.25">
      <c r="A2024" s="20">
        <f t="shared" ca="1" si="62"/>
        <v>0.29845334582518745</v>
      </c>
      <c r="B2024" s="21">
        <f t="shared" ca="1" si="63"/>
        <v>1399</v>
      </c>
    </row>
    <row r="2025" spans="1:2" x14ac:dyDescent="0.25">
      <c r="A2025" s="20">
        <f t="shared" ca="1" si="62"/>
        <v>0.29099731244918936</v>
      </c>
      <c r="B2025" s="21">
        <f t="shared" ca="1" si="63"/>
        <v>1371</v>
      </c>
    </row>
    <row r="2026" spans="1:2" x14ac:dyDescent="0.25">
      <c r="A2026" s="20">
        <f t="shared" ca="1" si="62"/>
        <v>0.82213269234034336</v>
      </c>
      <c r="B2026" s="21">
        <f t="shared" ca="1" si="63"/>
        <v>3806</v>
      </c>
    </row>
    <row r="2027" spans="1:2" x14ac:dyDescent="0.25">
      <c r="A2027" s="20">
        <f t="shared" ca="1" si="62"/>
        <v>0.76240509859241523</v>
      </c>
      <c r="B2027" s="21">
        <f t="shared" ca="1" si="63"/>
        <v>3535</v>
      </c>
    </row>
    <row r="2028" spans="1:2" x14ac:dyDescent="0.25">
      <c r="A2028" s="20">
        <f t="shared" ca="1" si="62"/>
        <v>0.2165433447191919</v>
      </c>
      <c r="B2028" s="21">
        <f t="shared" ca="1" si="63"/>
        <v>1013</v>
      </c>
    </row>
    <row r="2029" spans="1:2" x14ac:dyDescent="0.25">
      <c r="A2029" s="20">
        <f t="shared" ca="1" si="62"/>
        <v>0.99592371515594602</v>
      </c>
      <c r="B2029" s="21">
        <f t="shared" ca="1" si="63"/>
        <v>4601</v>
      </c>
    </row>
    <row r="2030" spans="1:2" x14ac:dyDescent="0.25">
      <c r="A2030" s="20">
        <f t="shared" ca="1" si="62"/>
        <v>0.42087244365090237</v>
      </c>
      <c r="B2030" s="21">
        <f t="shared" ca="1" si="63"/>
        <v>1973</v>
      </c>
    </row>
    <row r="2031" spans="1:2" x14ac:dyDescent="0.25">
      <c r="A2031" s="20">
        <f t="shared" ca="1" si="62"/>
        <v>0.18744567819036073</v>
      </c>
      <c r="B2031" s="21">
        <f t="shared" ca="1" si="63"/>
        <v>860</v>
      </c>
    </row>
    <row r="2032" spans="1:2" x14ac:dyDescent="0.25">
      <c r="A2032" s="20">
        <f t="shared" ca="1" si="62"/>
        <v>0.86717655237175484</v>
      </c>
      <c r="B2032" s="21">
        <f t="shared" ca="1" si="63"/>
        <v>4003</v>
      </c>
    </row>
    <row r="2033" spans="1:2" x14ac:dyDescent="0.25">
      <c r="A2033" s="20">
        <f t="shared" ca="1" si="62"/>
        <v>0.31796264704406241</v>
      </c>
      <c r="B2033" s="21">
        <f t="shared" ca="1" si="63"/>
        <v>1492</v>
      </c>
    </row>
    <row r="2034" spans="1:2" x14ac:dyDescent="0.25">
      <c r="A2034" s="20">
        <f t="shared" ca="1" si="62"/>
        <v>0.11411545286606872</v>
      </c>
      <c r="B2034" s="21">
        <f t="shared" ca="1" si="63"/>
        <v>503</v>
      </c>
    </row>
    <row r="2035" spans="1:2" x14ac:dyDescent="0.25">
      <c r="A2035" s="20">
        <f t="shared" ca="1" si="62"/>
        <v>0.24918062322208367</v>
      </c>
      <c r="B2035" s="21">
        <f t="shared" ca="1" si="63"/>
        <v>1161</v>
      </c>
    </row>
    <row r="2036" spans="1:2" x14ac:dyDescent="0.25">
      <c r="A2036" s="20">
        <f t="shared" ca="1" si="62"/>
        <v>0.23498217043033753</v>
      </c>
      <c r="B2036" s="21">
        <f t="shared" ca="1" si="63"/>
        <v>1102</v>
      </c>
    </row>
    <row r="2037" spans="1:2" x14ac:dyDescent="0.25">
      <c r="A2037" s="20">
        <f t="shared" ca="1" si="62"/>
        <v>9.8109313804241149E-2</v>
      </c>
      <c r="B2037" s="21">
        <f t="shared" ca="1" si="63"/>
        <v>440</v>
      </c>
    </row>
    <row r="2038" spans="1:2" x14ac:dyDescent="0.25">
      <c r="A2038" s="20">
        <f t="shared" ca="1" si="62"/>
        <v>1.2652688769976161E-2</v>
      </c>
      <c r="B2038" s="21">
        <f t="shared" ca="1" si="63"/>
        <v>43</v>
      </c>
    </row>
    <row r="2039" spans="1:2" x14ac:dyDescent="0.25">
      <c r="A2039" s="20">
        <f t="shared" ca="1" si="62"/>
        <v>0.6408732303461927</v>
      </c>
      <c r="B2039" s="21">
        <f t="shared" ca="1" si="63"/>
        <v>2970</v>
      </c>
    </row>
    <row r="2040" spans="1:2" x14ac:dyDescent="0.25">
      <c r="A2040" s="20">
        <f t="shared" ca="1" si="62"/>
        <v>0.84629013324060676</v>
      </c>
      <c r="B2040" s="21">
        <f t="shared" ca="1" si="63"/>
        <v>3911</v>
      </c>
    </row>
    <row r="2041" spans="1:2" x14ac:dyDescent="0.25">
      <c r="A2041" s="20">
        <f t="shared" ca="1" si="62"/>
        <v>0.90829664487346629</v>
      </c>
      <c r="B2041" s="21">
        <f t="shared" ca="1" si="63"/>
        <v>4192</v>
      </c>
    </row>
    <row r="2042" spans="1:2" x14ac:dyDescent="0.25">
      <c r="A2042" s="20">
        <f t="shared" ca="1" si="62"/>
        <v>0.69626373590156987</v>
      </c>
      <c r="B2042" s="21">
        <f t="shared" ca="1" si="63"/>
        <v>3223</v>
      </c>
    </row>
    <row r="2043" spans="1:2" x14ac:dyDescent="0.25">
      <c r="A2043" s="20">
        <f t="shared" ca="1" si="62"/>
        <v>0.35763215263351256</v>
      </c>
      <c r="B2043" s="21">
        <f t="shared" ca="1" si="63"/>
        <v>1689</v>
      </c>
    </row>
    <row r="2044" spans="1:2" x14ac:dyDescent="0.25">
      <c r="A2044" s="20">
        <f t="shared" ca="1" si="62"/>
        <v>5.127702013980362E-2</v>
      </c>
      <c r="B2044" s="21">
        <f t="shared" ca="1" si="63"/>
        <v>217</v>
      </c>
    </row>
    <row r="2045" spans="1:2" x14ac:dyDescent="0.25">
      <c r="A2045" s="20">
        <f t="shared" ca="1" si="62"/>
        <v>0.100591762820057</v>
      </c>
      <c r="B2045" s="21">
        <f t="shared" ca="1" si="63"/>
        <v>455</v>
      </c>
    </row>
    <row r="2046" spans="1:2" x14ac:dyDescent="0.25">
      <c r="A2046" s="20">
        <f t="shared" ca="1" si="62"/>
        <v>0.40870478584713399</v>
      </c>
      <c r="B2046" s="21">
        <f t="shared" ca="1" si="63"/>
        <v>1921</v>
      </c>
    </row>
    <row r="2047" spans="1:2" x14ac:dyDescent="0.25">
      <c r="A2047" s="20">
        <f t="shared" ca="1" si="62"/>
        <v>0.55282733789334926</v>
      </c>
      <c r="B2047" s="21">
        <f t="shared" ca="1" si="63"/>
        <v>2583</v>
      </c>
    </row>
    <row r="2048" spans="1:2" x14ac:dyDescent="0.25">
      <c r="A2048" s="20">
        <f t="shared" ca="1" si="62"/>
        <v>0.57244075555123131</v>
      </c>
      <c r="B2048" s="21">
        <f t="shared" ca="1" si="63"/>
        <v>2670</v>
      </c>
    </row>
    <row r="2049" spans="1:2" x14ac:dyDescent="0.25">
      <c r="A2049" s="20">
        <f t="shared" ca="1" si="62"/>
        <v>0.4588375103686364</v>
      </c>
      <c r="B2049" s="21">
        <f t="shared" ca="1" si="63"/>
        <v>2156</v>
      </c>
    </row>
    <row r="2050" spans="1:2" x14ac:dyDescent="0.25">
      <c r="A2050" s="20">
        <f t="shared" ca="1" si="62"/>
        <v>0.90491676764071838</v>
      </c>
      <c r="B2050" s="21">
        <f t="shared" ca="1" si="63"/>
        <v>4177</v>
      </c>
    </row>
    <row r="2051" spans="1:2" x14ac:dyDescent="0.25">
      <c r="A2051" s="20">
        <f t="shared" ref="A2051:A2114" ca="1" si="64">RAND()</f>
        <v>0.52850629368616553</v>
      </c>
      <c r="B2051" s="21">
        <f t="shared" ref="B2051:B2114" ca="1" si="65">_xlfn.RANK.EQ($A2051,$A:$A,1)</f>
        <v>2471</v>
      </c>
    </row>
    <row r="2052" spans="1:2" x14ac:dyDescent="0.25">
      <c r="A2052" s="20">
        <f t="shared" ca="1" si="64"/>
        <v>0.62979363760965645</v>
      </c>
      <c r="B2052" s="21">
        <f t="shared" ca="1" si="65"/>
        <v>2917</v>
      </c>
    </row>
    <row r="2053" spans="1:2" x14ac:dyDescent="0.25">
      <c r="A2053" s="20">
        <f t="shared" ca="1" si="64"/>
        <v>0.35546883953636066</v>
      </c>
      <c r="B2053" s="21">
        <f t="shared" ca="1" si="65"/>
        <v>1679</v>
      </c>
    </row>
    <row r="2054" spans="1:2" x14ac:dyDescent="0.25">
      <c r="A2054" s="20">
        <f t="shared" ca="1" si="64"/>
        <v>0.64156677295484599</v>
      </c>
      <c r="B2054" s="21">
        <f t="shared" ca="1" si="65"/>
        <v>2976</v>
      </c>
    </row>
    <row r="2055" spans="1:2" x14ac:dyDescent="0.25">
      <c r="A2055" s="20">
        <f t="shared" ca="1" si="64"/>
        <v>0.42004608676759736</v>
      </c>
      <c r="B2055" s="21">
        <f t="shared" ca="1" si="65"/>
        <v>1962</v>
      </c>
    </row>
    <row r="2056" spans="1:2" x14ac:dyDescent="0.25">
      <c r="A2056" s="20">
        <f t="shared" ca="1" si="64"/>
        <v>0.68274187509671447</v>
      </c>
      <c r="B2056" s="21">
        <f t="shared" ca="1" si="65"/>
        <v>3168</v>
      </c>
    </row>
    <row r="2057" spans="1:2" x14ac:dyDescent="0.25">
      <c r="A2057" s="20">
        <f t="shared" ca="1" si="64"/>
        <v>0.50568546229842781</v>
      </c>
      <c r="B2057" s="21">
        <f t="shared" ca="1" si="65"/>
        <v>2354</v>
      </c>
    </row>
    <row r="2058" spans="1:2" x14ac:dyDescent="0.25">
      <c r="A2058" s="20">
        <f t="shared" ca="1" si="64"/>
        <v>0.93172743720534923</v>
      </c>
      <c r="B2058" s="21">
        <f t="shared" ca="1" si="65"/>
        <v>4306</v>
      </c>
    </row>
    <row r="2059" spans="1:2" x14ac:dyDescent="0.25">
      <c r="A2059" s="20">
        <f t="shared" ca="1" si="64"/>
        <v>5.5037423708771738E-2</v>
      </c>
      <c r="B2059" s="21">
        <f t="shared" ca="1" si="65"/>
        <v>235</v>
      </c>
    </row>
    <row r="2060" spans="1:2" x14ac:dyDescent="0.25">
      <c r="A2060" s="20">
        <f t="shared" ca="1" si="64"/>
        <v>0.3557595569495523</v>
      </c>
      <c r="B2060" s="21">
        <f t="shared" ca="1" si="65"/>
        <v>1680</v>
      </c>
    </row>
    <row r="2061" spans="1:2" x14ac:dyDescent="0.25">
      <c r="A2061" s="20">
        <f t="shared" ca="1" si="64"/>
        <v>0.45344920676919687</v>
      </c>
      <c r="B2061" s="21">
        <f t="shared" ca="1" si="65"/>
        <v>2125</v>
      </c>
    </row>
    <row r="2062" spans="1:2" x14ac:dyDescent="0.25">
      <c r="A2062" s="20">
        <f t="shared" ca="1" si="64"/>
        <v>0.63694107886166251</v>
      </c>
      <c r="B2062" s="21">
        <f t="shared" ca="1" si="65"/>
        <v>2950</v>
      </c>
    </row>
    <row r="2063" spans="1:2" x14ac:dyDescent="0.25">
      <c r="A2063" s="20">
        <f t="shared" ca="1" si="64"/>
        <v>0.51976449998801277</v>
      </c>
      <c r="B2063" s="21">
        <f t="shared" ca="1" si="65"/>
        <v>2428</v>
      </c>
    </row>
    <row r="2064" spans="1:2" x14ac:dyDescent="0.25">
      <c r="A2064" s="20">
        <f t="shared" ca="1" si="64"/>
        <v>0.13454498407375726</v>
      </c>
      <c r="B2064" s="21">
        <f t="shared" ca="1" si="65"/>
        <v>590</v>
      </c>
    </row>
    <row r="2065" spans="1:2" x14ac:dyDescent="0.25">
      <c r="A2065" s="20">
        <f t="shared" ca="1" si="64"/>
        <v>0.89637941508586261</v>
      </c>
      <c r="B2065" s="21">
        <f t="shared" ca="1" si="65"/>
        <v>4135</v>
      </c>
    </row>
    <row r="2066" spans="1:2" x14ac:dyDescent="0.25">
      <c r="A2066" s="20">
        <f t="shared" ca="1" si="64"/>
        <v>0.28684127964276807</v>
      </c>
      <c r="B2066" s="21">
        <f t="shared" ca="1" si="65"/>
        <v>1343</v>
      </c>
    </row>
    <row r="2067" spans="1:2" x14ac:dyDescent="0.25">
      <c r="A2067" s="20">
        <f t="shared" ca="1" si="64"/>
        <v>0.3292509259410944</v>
      </c>
      <c r="B2067" s="21">
        <f t="shared" ca="1" si="65"/>
        <v>1543</v>
      </c>
    </row>
    <row r="2068" spans="1:2" x14ac:dyDescent="0.25">
      <c r="A2068" s="20">
        <f t="shared" ca="1" si="64"/>
        <v>0.59707482804624601</v>
      </c>
      <c r="B2068" s="21">
        <f t="shared" ca="1" si="65"/>
        <v>2792</v>
      </c>
    </row>
    <row r="2069" spans="1:2" x14ac:dyDescent="0.25">
      <c r="A2069" s="20">
        <f t="shared" ca="1" si="64"/>
        <v>0.97172970027865246</v>
      </c>
      <c r="B2069" s="21">
        <f t="shared" ca="1" si="65"/>
        <v>4508</v>
      </c>
    </row>
    <row r="2070" spans="1:2" x14ac:dyDescent="0.25">
      <c r="A2070" s="20">
        <f t="shared" ca="1" si="64"/>
        <v>0.93720732267641171</v>
      </c>
      <c r="B2070" s="21">
        <f t="shared" ca="1" si="65"/>
        <v>4332</v>
      </c>
    </row>
    <row r="2071" spans="1:2" x14ac:dyDescent="0.25">
      <c r="A2071" s="20">
        <f t="shared" ca="1" si="64"/>
        <v>0.69403189417895261</v>
      </c>
      <c r="B2071" s="21">
        <f t="shared" ca="1" si="65"/>
        <v>3218</v>
      </c>
    </row>
    <row r="2072" spans="1:2" x14ac:dyDescent="0.25">
      <c r="A2072" s="20">
        <f t="shared" ca="1" si="64"/>
        <v>0.5119925577189075</v>
      </c>
      <c r="B2072" s="21">
        <f t="shared" ca="1" si="65"/>
        <v>2389</v>
      </c>
    </row>
    <row r="2073" spans="1:2" x14ac:dyDescent="0.25">
      <c r="A2073" s="20">
        <f t="shared" ca="1" si="64"/>
        <v>0.75243881506286059</v>
      </c>
      <c r="B2073" s="21">
        <f t="shared" ca="1" si="65"/>
        <v>3483</v>
      </c>
    </row>
    <row r="2074" spans="1:2" x14ac:dyDescent="0.25">
      <c r="A2074" s="20">
        <f t="shared" ca="1" si="64"/>
        <v>0.32364457432472471</v>
      </c>
      <c r="B2074" s="21">
        <f t="shared" ca="1" si="65"/>
        <v>1522</v>
      </c>
    </row>
    <row r="2075" spans="1:2" x14ac:dyDescent="0.25">
      <c r="A2075" s="20">
        <f t="shared" ca="1" si="64"/>
        <v>0.27923158833931883</v>
      </c>
      <c r="B2075" s="21">
        <f t="shared" ca="1" si="65"/>
        <v>1299</v>
      </c>
    </row>
    <row r="2076" spans="1:2" x14ac:dyDescent="0.25">
      <c r="A2076" s="20">
        <f t="shared" ca="1" si="64"/>
        <v>0.87939867862589649</v>
      </c>
      <c r="B2076" s="21">
        <f t="shared" ca="1" si="65"/>
        <v>4054</v>
      </c>
    </row>
    <row r="2077" spans="1:2" x14ac:dyDescent="0.25">
      <c r="A2077" s="20">
        <f t="shared" ca="1" si="64"/>
        <v>0.56148044316981394</v>
      </c>
      <c r="B2077" s="21">
        <f t="shared" ca="1" si="65"/>
        <v>2630</v>
      </c>
    </row>
    <row r="2078" spans="1:2" x14ac:dyDescent="0.25">
      <c r="A2078" s="20">
        <f t="shared" ca="1" si="64"/>
        <v>0.87296694006329745</v>
      </c>
      <c r="B2078" s="21">
        <f t="shared" ca="1" si="65"/>
        <v>4027</v>
      </c>
    </row>
    <row r="2079" spans="1:2" x14ac:dyDescent="0.25">
      <c r="A2079" s="20">
        <f t="shared" ca="1" si="64"/>
        <v>0.73517310998658236</v>
      </c>
      <c r="B2079" s="21">
        <f t="shared" ca="1" si="65"/>
        <v>3404</v>
      </c>
    </row>
    <row r="2080" spans="1:2" x14ac:dyDescent="0.25">
      <c r="A2080" s="20">
        <f t="shared" ca="1" si="64"/>
        <v>0.64703222722930154</v>
      </c>
      <c r="B2080" s="21">
        <f t="shared" ca="1" si="65"/>
        <v>3004</v>
      </c>
    </row>
    <row r="2081" spans="1:2" x14ac:dyDescent="0.25">
      <c r="A2081" s="20">
        <f t="shared" ca="1" si="64"/>
        <v>3.6582118151570309E-2</v>
      </c>
      <c r="B2081" s="21">
        <f t="shared" ca="1" si="65"/>
        <v>142</v>
      </c>
    </row>
    <row r="2082" spans="1:2" x14ac:dyDescent="0.25">
      <c r="A2082" s="20">
        <f t="shared" ca="1" si="64"/>
        <v>0.41836708254073085</v>
      </c>
      <c r="B2082" s="21">
        <f t="shared" ca="1" si="65"/>
        <v>1959</v>
      </c>
    </row>
    <row r="2083" spans="1:2" x14ac:dyDescent="0.25">
      <c r="A2083" s="20">
        <f t="shared" ca="1" si="64"/>
        <v>0.60466297978861538</v>
      </c>
      <c r="B2083" s="21">
        <f t="shared" ca="1" si="65"/>
        <v>2823</v>
      </c>
    </row>
    <row r="2084" spans="1:2" x14ac:dyDescent="0.25">
      <c r="A2084" s="20">
        <f t="shared" ca="1" si="64"/>
        <v>0.33700673083627819</v>
      </c>
      <c r="B2084" s="21">
        <f t="shared" ca="1" si="65"/>
        <v>1583</v>
      </c>
    </row>
    <row r="2085" spans="1:2" x14ac:dyDescent="0.25">
      <c r="A2085" s="20">
        <f t="shared" ca="1" si="64"/>
        <v>0.44481999118255333</v>
      </c>
      <c r="B2085" s="21">
        <f t="shared" ca="1" si="65"/>
        <v>2081</v>
      </c>
    </row>
    <row r="2086" spans="1:2" x14ac:dyDescent="0.25">
      <c r="A2086" s="20">
        <f t="shared" ca="1" si="64"/>
        <v>0.151165001486815</v>
      </c>
      <c r="B2086" s="21">
        <f t="shared" ca="1" si="65"/>
        <v>676</v>
      </c>
    </row>
    <row r="2087" spans="1:2" x14ac:dyDescent="0.25">
      <c r="A2087" s="20">
        <f t="shared" ca="1" si="64"/>
        <v>0.62998427274269986</v>
      </c>
      <c r="B2087" s="21">
        <f t="shared" ca="1" si="65"/>
        <v>2918</v>
      </c>
    </row>
    <row r="2088" spans="1:2" x14ac:dyDescent="0.25">
      <c r="A2088" s="20">
        <f t="shared" ca="1" si="64"/>
        <v>0.42322360631202571</v>
      </c>
      <c r="B2088" s="21">
        <f t="shared" ca="1" si="65"/>
        <v>1990</v>
      </c>
    </row>
    <row r="2089" spans="1:2" x14ac:dyDescent="0.25">
      <c r="A2089" s="20">
        <f t="shared" ca="1" si="64"/>
        <v>0.54574601528304112</v>
      </c>
      <c r="B2089" s="21">
        <f t="shared" ca="1" si="65"/>
        <v>2549</v>
      </c>
    </row>
    <row r="2090" spans="1:2" x14ac:dyDescent="0.25">
      <c r="A2090" s="20">
        <f t="shared" ca="1" si="64"/>
        <v>0.21859259005058851</v>
      </c>
      <c r="B2090" s="21">
        <f t="shared" ca="1" si="65"/>
        <v>1023</v>
      </c>
    </row>
    <row r="2091" spans="1:2" x14ac:dyDescent="0.25">
      <c r="A2091" s="20">
        <f t="shared" ca="1" si="64"/>
        <v>0.86624105867885681</v>
      </c>
      <c r="B2091" s="21">
        <f t="shared" ca="1" si="65"/>
        <v>3998</v>
      </c>
    </row>
    <row r="2092" spans="1:2" x14ac:dyDescent="0.25">
      <c r="A2092" s="20">
        <f t="shared" ca="1" si="64"/>
        <v>0.29475325426863319</v>
      </c>
      <c r="B2092" s="21">
        <f t="shared" ca="1" si="65"/>
        <v>1386</v>
      </c>
    </row>
    <row r="2093" spans="1:2" x14ac:dyDescent="0.25">
      <c r="A2093" s="20">
        <f t="shared" ca="1" si="64"/>
        <v>0.39302818711677445</v>
      </c>
      <c r="B2093" s="21">
        <f t="shared" ca="1" si="65"/>
        <v>1849</v>
      </c>
    </row>
    <row r="2094" spans="1:2" x14ac:dyDescent="0.25">
      <c r="A2094" s="20">
        <f t="shared" ca="1" si="64"/>
        <v>0.56473243184897537</v>
      </c>
      <c r="B2094" s="21">
        <f t="shared" ca="1" si="65"/>
        <v>2637</v>
      </c>
    </row>
    <row r="2095" spans="1:2" x14ac:dyDescent="0.25">
      <c r="A2095" s="20">
        <f t="shared" ca="1" si="64"/>
        <v>0.68598756078933043</v>
      </c>
      <c r="B2095" s="21">
        <f t="shared" ca="1" si="65"/>
        <v>3185</v>
      </c>
    </row>
    <row r="2096" spans="1:2" x14ac:dyDescent="0.25">
      <c r="A2096" s="20">
        <f t="shared" ca="1" si="64"/>
        <v>0.9732071602887199</v>
      </c>
      <c r="B2096" s="21">
        <f t="shared" ca="1" si="65"/>
        <v>4512</v>
      </c>
    </row>
    <row r="2097" spans="1:2" x14ac:dyDescent="0.25">
      <c r="A2097" s="20">
        <f t="shared" ca="1" si="64"/>
        <v>0.755952101182646</v>
      </c>
      <c r="B2097" s="21">
        <f t="shared" ca="1" si="65"/>
        <v>3505</v>
      </c>
    </row>
    <row r="2098" spans="1:2" x14ac:dyDescent="0.25">
      <c r="A2098" s="20">
        <f t="shared" ca="1" si="64"/>
        <v>0.64616268179897907</v>
      </c>
      <c r="B2098" s="21">
        <f t="shared" ca="1" si="65"/>
        <v>2999</v>
      </c>
    </row>
    <row r="2099" spans="1:2" x14ac:dyDescent="0.25">
      <c r="A2099" s="20">
        <f t="shared" ca="1" si="64"/>
        <v>0.52593233265563577</v>
      </c>
      <c r="B2099" s="21">
        <f t="shared" ca="1" si="65"/>
        <v>2459</v>
      </c>
    </row>
    <row r="2100" spans="1:2" x14ac:dyDescent="0.25">
      <c r="A2100" s="20">
        <f t="shared" ca="1" si="64"/>
        <v>0.68976398867722644</v>
      </c>
      <c r="B2100" s="21">
        <f t="shared" ca="1" si="65"/>
        <v>3198</v>
      </c>
    </row>
    <row r="2101" spans="1:2" x14ac:dyDescent="0.25">
      <c r="A2101" s="20">
        <f t="shared" ca="1" si="64"/>
        <v>0.32737992097081203</v>
      </c>
      <c r="B2101" s="21">
        <f t="shared" ca="1" si="65"/>
        <v>1534</v>
      </c>
    </row>
    <row r="2102" spans="1:2" x14ac:dyDescent="0.25">
      <c r="A2102" s="20">
        <f t="shared" ca="1" si="64"/>
        <v>0.38721549842242708</v>
      </c>
      <c r="B2102" s="21">
        <f t="shared" ca="1" si="65"/>
        <v>1815</v>
      </c>
    </row>
    <row r="2103" spans="1:2" x14ac:dyDescent="0.25">
      <c r="A2103" s="20">
        <f t="shared" ca="1" si="64"/>
        <v>0.94477691822565069</v>
      </c>
      <c r="B2103" s="21">
        <f t="shared" ca="1" si="65"/>
        <v>4373</v>
      </c>
    </row>
    <row r="2104" spans="1:2" x14ac:dyDescent="0.25">
      <c r="A2104" s="20">
        <f t="shared" ca="1" si="64"/>
        <v>0.62440341561256751</v>
      </c>
      <c r="B2104" s="21">
        <f t="shared" ca="1" si="65"/>
        <v>2893</v>
      </c>
    </row>
    <row r="2105" spans="1:2" x14ac:dyDescent="0.25">
      <c r="A2105" s="20">
        <f t="shared" ca="1" si="64"/>
        <v>3.1029130829847817E-2</v>
      </c>
      <c r="B2105" s="21">
        <f t="shared" ca="1" si="65"/>
        <v>116</v>
      </c>
    </row>
    <row r="2106" spans="1:2" x14ac:dyDescent="0.25">
      <c r="A2106" s="20">
        <f t="shared" ca="1" si="64"/>
        <v>0.20494874208319991</v>
      </c>
      <c r="B2106" s="21">
        <f t="shared" ca="1" si="65"/>
        <v>951</v>
      </c>
    </row>
    <row r="2107" spans="1:2" x14ac:dyDescent="0.25">
      <c r="A2107" s="20">
        <f t="shared" ca="1" si="64"/>
        <v>0.50358421050871649</v>
      </c>
      <c r="B2107" s="21">
        <f t="shared" ca="1" si="65"/>
        <v>2341</v>
      </c>
    </row>
    <row r="2108" spans="1:2" x14ac:dyDescent="0.25">
      <c r="A2108" s="20">
        <f t="shared" ca="1" si="64"/>
        <v>0.83582332264463544</v>
      </c>
      <c r="B2108" s="21">
        <f t="shared" ca="1" si="65"/>
        <v>3859</v>
      </c>
    </row>
    <row r="2109" spans="1:2" x14ac:dyDescent="0.25">
      <c r="A2109" s="20">
        <f t="shared" ca="1" si="64"/>
        <v>0.77280308125049035</v>
      </c>
      <c r="B2109" s="21">
        <f t="shared" ca="1" si="65"/>
        <v>3588</v>
      </c>
    </row>
    <row r="2110" spans="1:2" x14ac:dyDescent="0.25">
      <c r="A2110" s="20">
        <f t="shared" ca="1" si="64"/>
        <v>0.24916686359914786</v>
      </c>
      <c r="B2110" s="21">
        <f t="shared" ca="1" si="65"/>
        <v>1160</v>
      </c>
    </row>
    <row r="2111" spans="1:2" x14ac:dyDescent="0.25">
      <c r="A2111" s="20">
        <f t="shared" ca="1" si="64"/>
        <v>0.62176049800755173</v>
      </c>
      <c r="B2111" s="21">
        <f t="shared" ca="1" si="65"/>
        <v>2885</v>
      </c>
    </row>
    <row r="2112" spans="1:2" x14ac:dyDescent="0.25">
      <c r="A2112" s="20">
        <f t="shared" ca="1" si="64"/>
        <v>0.2316228181747545</v>
      </c>
      <c r="B2112" s="21">
        <f t="shared" ca="1" si="65"/>
        <v>1086</v>
      </c>
    </row>
    <row r="2113" spans="1:2" x14ac:dyDescent="0.25">
      <c r="A2113" s="20">
        <f t="shared" ca="1" si="64"/>
        <v>0.56383258536059577</v>
      </c>
      <c r="B2113" s="21">
        <f t="shared" ca="1" si="65"/>
        <v>2636</v>
      </c>
    </row>
    <row r="2114" spans="1:2" x14ac:dyDescent="0.25">
      <c r="A2114" s="20">
        <f t="shared" ca="1" si="64"/>
        <v>0.19496886984042394</v>
      </c>
      <c r="B2114" s="21">
        <f t="shared" ca="1" si="65"/>
        <v>902</v>
      </c>
    </row>
    <row r="2115" spans="1:2" x14ac:dyDescent="0.25">
      <c r="A2115" s="20">
        <f t="shared" ref="A2115:A2178" ca="1" si="66">RAND()</f>
        <v>0.70065529213790212</v>
      </c>
      <c r="B2115" s="21">
        <f t="shared" ref="B2115:B2178" ca="1" si="67">_xlfn.RANK.EQ($A2115,$A:$A,1)</f>
        <v>3246</v>
      </c>
    </row>
    <row r="2116" spans="1:2" x14ac:dyDescent="0.25">
      <c r="A2116" s="20">
        <f t="shared" ca="1" si="66"/>
        <v>0.88941508497685973</v>
      </c>
      <c r="B2116" s="21">
        <f t="shared" ca="1" si="67"/>
        <v>4098</v>
      </c>
    </row>
    <row r="2117" spans="1:2" x14ac:dyDescent="0.25">
      <c r="A2117" s="20">
        <f t="shared" ca="1" si="66"/>
        <v>0.18325626546058227</v>
      </c>
      <c r="B2117" s="21">
        <f t="shared" ca="1" si="67"/>
        <v>840</v>
      </c>
    </row>
    <row r="2118" spans="1:2" x14ac:dyDescent="0.25">
      <c r="A2118" s="20">
        <f t="shared" ca="1" si="66"/>
        <v>0.61792085982661316</v>
      </c>
      <c r="B2118" s="21">
        <f t="shared" ca="1" si="67"/>
        <v>2870</v>
      </c>
    </row>
    <row r="2119" spans="1:2" x14ac:dyDescent="0.25">
      <c r="A2119" s="20">
        <f t="shared" ca="1" si="66"/>
        <v>0.80170189518843815</v>
      </c>
      <c r="B2119" s="21">
        <f t="shared" ca="1" si="67"/>
        <v>3713</v>
      </c>
    </row>
    <row r="2120" spans="1:2" x14ac:dyDescent="0.25">
      <c r="A2120" s="20">
        <f t="shared" ca="1" si="66"/>
        <v>0.77643921652050318</v>
      </c>
      <c r="B2120" s="21">
        <f t="shared" ca="1" si="67"/>
        <v>3603</v>
      </c>
    </row>
    <row r="2121" spans="1:2" x14ac:dyDescent="0.25">
      <c r="A2121" s="20">
        <f t="shared" ca="1" si="66"/>
        <v>0.900324944366514</v>
      </c>
      <c r="B2121" s="21">
        <f t="shared" ca="1" si="67"/>
        <v>4152</v>
      </c>
    </row>
    <row r="2122" spans="1:2" x14ac:dyDescent="0.25">
      <c r="A2122" s="20">
        <f t="shared" ca="1" si="66"/>
        <v>0.55219530858375299</v>
      </c>
      <c r="B2122" s="21">
        <f t="shared" ca="1" si="67"/>
        <v>2579</v>
      </c>
    </row>
    <row r="2123" spans="1:2" x14ac:dyDescent="0.25">
      <c r="A2123" s="20">
        <f t="shared" ca="1" si="66"/>
        <v>0.26794473904240945</v>
      </c>
      <c r="B2123" s="21">
        <f t="shared" ca="1" si="67"/>
        <v>1251</v>
      </c>
    </row>
    <row r="2124" spans="1:2" x14ac:dyDescent="0.25">
      <c r="A2124" s="20">
        <f t="shared" ca="1" si="66"/>
        <v>0.87655318613089872</v>
      </c>
      <c r="B2124" s="21">
        <f t="shared" ca="1" si="67"/>
        <v>4040</v>
      </c>
    </row>
    <row r="2125" spans="1:2" x14ac:dyDescent="0.25">
      <c r="A2125" s="20">
        <f t="shared" ca="1" si="66"/>
        <v>0.28354255058941324</v>
      </c>
      <c r="B2125" s="21">
        <f t="shared" ca="1" si="67"/>
        <v>1326</v>
      </c>
    </row>
    <row r="2126" spans="1:2" x14ac:dyDescent="0.25">
      <c r="A2126" s="20">
        <f t="shared" ca="1" si="66"/>
        <v>0.45562122037269026</v>
      </c>
      <c r="B2126" s="21">
        <f t="shared" ca="1" si="67"/>
        <v>2135</v>
      </c>
    </row>
    <row r="2127" spans="1:2" x14ac:dyDescent="0.25">
      <c r="A2127" s="20">
        <f t="shared" ca="1" si="66"/>
        <v>0.31011826796692532</v>
      </c>
      <c r="B2127" s="21">
        <f t="shared" ca="1" si="67"/>
        <v>1454</v>
      </c>
    </row>
    <row r="2128" spans="1:2" x14ac:dyDescent="0.25">
      <c r="A2128" s="20">
        <f t="shared" ca="1" si="66"/>
        <v>0.3012000852716008</v>
      </c>
      <c r="B2128" s="21">
        <f t="shared" ca="1" si="67"/>
        <v>1411</v>
      </c>
    </row>
    <row r="2129" spans="1:2" x14ac:dyDescent="0.25">
      <c r="A2129" s="20">
        <f t="shared" ca="1" si="66"/>
        <v>0.75809215544356956</v>
      </c>
      <c r="B2129" s="21">
        <f t="shared" ca="1" si="67"/>
        <v>3515</v>
      </c>
    </row>
    <row r="2130" spans="1:2" x14ac:dyDescent="0.25">
      <c r="A2130" s="20">
        <f t="shared" ca="1" si="66"/>
        <v>0.57160331658029662</v>
      </c>
      <c r="B2130" s="21">
        <f t="shared" ca="1" si="67"/>
        <v>2667</v>
      </c>
    </row>
    <row r="2131" spans="1:2" x14ac:dyDescent="0.25">
      <c r="A2131" s="20">
        <f t="shared" ca="1" si="66"/>
        <v>0.7080465631180668</v>
      </c>
      <c r="B2131" s="21">
        <f t="shared" ca="1" si="67"/>
        <v>3278</v>
      </c>
    </row>
    <row r="2132" spans="1:2" x14ac:dyDescent="0.25">
      <c r="A2132" s="20">
        <f t="shared" ca="1" si="66"/>
        <v>0.52911524854474423</v>
      </c>
      <c r="B2132" s="21">
        <f t="shared" ca="1" si="67"/>
        <v>2472</v>
      </c>
    </row>
    <row r="2133" spans="1:2" x14ac:dyDescent="0.25">
      <c r="A2133" s="20">
        <f t="shared" ca="1" si="66"/>
        <v>0.37517745746185227</v>
      </c>
      <c r="B2133" s="21">
        <f t="shared" ca="1" si="67"/>
        <v>1777</v>
      </c>
    </row>
    <row r="2134" spans="1:2" x14ac:dyDescent="0.25">
      <c r="A2134" s="20">
        <f t="shared" ca="1" si="66"/>
        <v>0.72408757447084149</v>
      </c>
      <c r="B2134" s="21">
        <f t="shared" ca="1" si="67"/>
        <v>3350</v>
      </c>
    </row>
    <row r="2135" spans="1:2" x14ac:dyDescent="0.25">
      <c r="A2135" s="20">
        <f t="shared" ca="1" si="66"/>
        <v>0.93042795435054526</v>
      </c>
      <c r="B2135" s="21">
        <f t="shared" ca="1" si="67"/>
        <v>4296</v>
      </c>
    </row>
    <row r="2136" spans="1:2" x14ac:dyDescent="0.25">
      <c r="A2136" s="20">
        <f t="shared" ca="1" si="66"/>
        <v>0.45046383500359188</v>
      </c>
      <c r="B2136" s="21">
        <f t="shared" ca="1" si="67"/>
        <v>2107</v>
      </c>
    </row>
    <row r="2137" spans="1:2" x14ac:dyDescent="0.25">
      <c r="A2137" s="20">
        <f t="shared" ca="1" si="66"/>
        <v>0.80620562478099977</v>
      </c>
      <c r="B2137" s="21">
        <f t="shared" ca="1" si="67"/>
        <v>3730</v>
      </c>
    </row>
    <row r="2138" spans="1:2" x14ac:dyDescent="0.25">
      <c r="A2138" s="20">
        <f t="shared" ca="1" si="66"/>
        <v>0.53442371106833708</v>
      </c>
      <c r="B2138" s="21">
        <f t="shared" ca="1" si="67"/>
        <v>2495</v>
      </c>
    </row>
    <row r="2139" spans="1:2" x14ac:dyDescent="0.25">
      <c r="A2139" s="20">
        <f t="shared" ca="1" si="66"/>
        <v>0.55166551832850219</v>
      </c>
      <c r="B2139" s="21">
        <f t="shared" ca="1" si="67"/>
        <v>2577</v>
      </c>
    </row>
    <row r="2140" spans="1:2" x14ac:dyDescent="0.25">
      <c r="A2140" s="20">
        <f t="shared" ca="1" si="66"/>
        <v>0.41682686685124926</v>
      </c>
      <c r="B2140" s="21">
        <f t="shared" ca="1" si="67"/>
        <v>1954</v>
      </c>
    </row>
    <row r="2141" spans="1:2" x14ac:dyDescent="0.25">
      <c r="A2141" s="20">
        <f t="shared" ca="1" si="66"/>
        <v>0.4894420886619999</v>
      </c>
      <c r="B2141" s="21">
        <f t="shared" ca="1" si="67"/>
        <v>2276</v>
      </c>
    </row>
    <row r="2142" spans="1:2" x14ac:dyDescent="0.25">
      <c r="A2142" s="20">
        <f t="shared" ca="1" si="66"/>
        <v>0.29731282038545659</v>
      </c>
      <c r="B2142" s="21">
        <f t="shared" ca="1" si="67"/>
        <v>1396</v>
      </c>
    </row>
    <row r="2143" spans="1:2" x14ac:dyDescent="0.25">
      <c r="A2143" s="20">
        <f t="shared" ca="1" si="66"/>
        <v>0.17632894697472634</v>
      </c>
      <c r="B2143" s="21">
        <f t="shared" ca="1" si="67"/>
        <v>803</v>
      </c>
    </row>
    <row r="2144" spans="1:2" x14ac:dyDescent="0.25">
      <c r="A2144" s="20">
        <f t="shared" ca="1" si="66"/>
        <v>0.29448018379629426</v>
      </c>
      <c r="B2144" s="21">
        <f t="shared" ca="1" si="67"/>
        <v>1385</v>
      </c>
    </row>
    <row r="2145" spans="1:2" x14ac:dyDescent="0.25">
      <c r="A2145" s="20">
        <f t="shared" ca="1" si="66"/>
        <v>0.93351088283374029</v>
      </c>
      <c r="B2145" s="21">
        <f t="shared" ca="1" si="67"/>
        <v>4318</v>
      </c>
    </row>
    <row r="2146" spans="1:2" x14ac:dyDescent="0.25">
      <c r="A2146" s="20">
        <f t="shared" ca="1" si="66"/>
        <v>0.79157594600526415</v>
      </c>
      <c r="B2146" s="21">
        <f t="shared" ca="1" si="67"/>
        <v>3663</v>
      </c>
    </row>
    <row r="2147" spans="1:2" x14ac:dyDescent="0.25">
      <c r="A2147" s="20">
        <f t="shared" ca="1" si="66"/>
        <v>0.35809734127666937</v>
      </c>
      <c r="B2147" s="21">
        <f t="shared" ca="1" si="67"/>
        <v>1693</v>
      </c>
    </row>
    <row r="2148" spans="1:2" x14ac:dyDescent="0.25">
      <c r="A2148" s="20">
        <f t="shared" ca="1" si="66"/>
        <v>0.48040432249757314</v>
      </c>
      <c r="B2148" s="21">
        <f t="shared" ca="1" si="67"/>
        <v>2243</v>
      </c>
    </row>
    <row r="2149" spans="1:2" x14ac:dyDescent="0.25">
      <c r="A2149" s="20">
        <f t="shared" ca="1" si="66"/>
        <v>0.13859431011263523</v>
      </c>
      <c r="B2149" s="21">
        <f t="shared" ca="1" si="67"/>
        <v>607</v>
      </c>
    </row>
    <row r="2150" spans="1:2" x14ac:dyDescent="0.25">
      <c r="A2150" s="20">
        <f t="shared" ca="1" si="66"/>
        <v>5.7918046189762928E-2</v>
      </c>
      <c r="B2150" s="21">
        <f t="shared" ca="1" si="67"/>
        <v>251</v>
      </c>
    </row>
    <row r="2151" spans="1:2" x14ac:dyDescent="0.25">
      <c r="A2151" s="20">
        <f t="shared" ca="1" si="66"/>
        <v>0.35354847205261275</v>
      </c>
      <c r="B2151" s="21">
        <f t="shared" ca="1" si="67"/>
        <v>1668</v>
      </c>
    </row>
    <row r="2152" spans="1:2" x14ac:dyDescent="0.25">
      <c r="A2152" s="20">
        <f t="shared" ca="1" si="66"/>
        <v>0.17816005378025068</v>
      </c>
      <c r="B2152" s="21">
        <f t="shared" ca="1" si="67"/>
        <v>814</v>
      </c>
    </row>
    <row r="2153" spans="1:2" x14ac:dyDescent="0.25">
      <c r="A2153" s="20">
        <f t="shared" ca="1" si="66"/>
        <v>0.19426206530794399</v>
      </c>
      <c r="B2153" s="21">
        <f t="shared" ca="1" si="67"/>
        <v>899</v>
      </c>
    </row>
    <row r="2154" spans="1:2" x14ac:dyDescent="0.25">
      <c r="A2154" s="20">
        <f t="shared" ca="1" si="66"/>
        <v>0.69484603000934075</v>
      </c>
      <c r="B2154" s="21">
        <f t="shared" ca="1" si="67"/>
        <v>3220</v>
      </c>
    </row>
    <row r="2155" spans="1:2" x14ac:dyDescent="0.25">
      <c r="A2155" s="20">
        <f t="shared" ca="1" si="66"/>
        <v>0.50252787062400517</v>
      </c>
      <c r="B2155" s="21">
        <f t="shared" ca="1" si="67"/>
        <v>2335</v>
      </c>
    </row>
    <row r="2156" spans="1:2" x14ac:dyDescent="0.25">
      <c r="A2156" s="20">
        <f t="shared" ca="1" si="66"/>
        <v>0.23372425853321765</v>
      </c>
      <c r="B2156" s="21">
        <f t="shared" ca="1" si="67"/>
        <v>1095</v>
      </c>
    </row>
    <row r="2157" spans="1:2" x14ac:dyDescent="0.25">
      <c r="A2157" s="20">
        <f t="shared" ca="1" si="66"/>
        <v>0.30658894806766768</v>
      </c>
      <c r="B2157" s="21">
        <f t="shared" ca="1" si="67"/>
        <v>1438</v>
      </c>
    </row>
    <row r="2158" spans="1:2" x14ac:dyDescent="0.25">
      <c r="A2158" s="20">
        <f t="shared" ca="1" si="66"/>
        <v>0.65147665051396975</v>
      </c>
      <c r="B2158" s="21">
        <f t="shared" ca="1" si="67"/>
        <v>3025</v>
      </c>
    </row>
    <row r="2159" spans="1:2" x14ac:dyDescent="0.25">
      <c r="A2159" s="20">
        <f t="shared" ca="1" si="66"/>
        <v>0.38999981507059189</v>
      </c>
      <c r="B2159" s="21">
        <f t="shared" ca="1" si="67"/>
        <v>1831</v>
      </c>
    </row>
    <row r="2160" spans="1:2" x14ac:dyDescent="0.25">
      <c r="A2160" s="20">
        <f t="shared" ca="1" si="66"/>
        <v>0.23048206565514306</v>
      </c>
      <c r="B2160" s="21">
        <f t="shared" ca="1" si="67"/>
        <v>1081</v>
      </c>
    </row>
    <row r="2161" spans="1:2" x14ac:dyDescent="0.25">
      <c r="A2161" s="20">
        <f t="shared" ca="1" si="66"/>
        <v>0.45732546990031175</v>
      </c>
      <c r="B2161" s="21">
        <f t="shared" ca="1" si="67"/>
        <v>2149</v>
      </c>
    </row>
    <row r="2162" spans="1:2" x14ac:dyDescent="0.25">
      <c r="A2162" s="20">
        <f t="shared" ca="1" si="66"/>
        <v>0.93314150122958339</v>
      </c>
      <c r="B2162" s="21">
        <f t="shared" ca="1" si="67"/>
        <v>4315</v>
      </c>
    </row>
    <row r="2163" spans="1:2" x14ac:dyDescent="0.25">
      <c r="A2163" s="20">
        <f t="shared" ca="1" si="66"/>
        <v>0.23011775462685558</v>
      </c>
      <c r="B2163" s="21">
        <f t="shared" ca="1" si="67"/>
        <v>1078</v>
      </c>
    </row>
    <row r="2164" spans="1:2" x14ac:dyDescent="0.25">
      <c r="A2164" s="20">
        <f t="shared" ca="1" si="66"/>
        <v>0.44683312346448301</v>
      </c>
      <c r="B2164" s="21">
        <f t="shared" ca="1" si="67"/>
        <v>2092</v>
      </c>
    </row>
    <row r="2165" spans="1:2" x14ac:dyDescent="0.25">
      <c r="A2165" s="20">
        <f t="shared" ca="1" si="66"/>
        <v>0.84955532985134607</v>
      </c>
      <c r="B2165" s="21">
        <f t="shared" ca="1" si="67"/>
        <v>3925</v>
      </c>
    </row>
    <row r="2166" spans="1:2" x14ac:dyDescent="0.25">
      <c r="A2166" s="20">
        <f t="shared" ca="1" si="66"/>
        <v>0.94406052840948773</v>
      </c>
      <c r="B2166" s="21">
        <f t="shared" ca="1" si="67"/>
        <v>4365</v>
      </c>
    </row>
    <row r="2167" spans="1:2" x14ac:dyDescent="0.25">
      <c r="A2167" s="20">
        <f t="shared" ca="1" si="66"/>
        <v>0.10289425239645134</v>
      </c>
      <c r="B2167" s="21">
        <f t="shared" ca="1" si="67"/>
        <v>463</v>
      </c>
    </row>
    <row r="2168" spans="1:2" x14ac:dyDescent="0.25">
      <c r="A2168" s="20">
        <f t="shared" ca="1" si="66"/>
        <v>0.81089761807995064</v>
      </c>
      <c r="B2168" s="21">
        <f t="shared" ca="1" si="67"/>
        <v>3749</v>
      </c>
    </row>
    <row r="2169" spans="1:2" x14ac:dyDescent="0.25">
      <c r="A2169" s="20">
        <f t="shared" ca="1" si="66"/>
        <v>0.33465428413151466</v>
      </c>
      <c r="B2169" s="21">
        <f t="shared" ca="1" si="67"/>
        <v>1570</v>
      </c>
    </row>
    <row r="2170" spans="1:2" x14ac:dyDescent="0.25">
      <c r="A2170" s="20">
        <f t="shared" ca="1" si="66"/>
        <v>6.7804881614053736E-2</v>
      </c>
      <c r="B2170" s="21">
        <f t="shared" ca="1" si="67"/>
        <v>303</v>
      </c>
    </row>
    <row r="2171" spans="1:2" x14ac:dyDescent="0.25">
      <c r="A2171" s="20">
        <f t="shared" ca="1" si="66"/>
        <v>0.31807034792500177</v>
      </c>
      <c r="B2171" s="21">
        <f t="shared" ca="1" si="67"/>
        <v>1494</v>
      </c>
    </row>
    <row r="2172" spans="1:2" x14ac:dyDescent="0.25">
      <c r="A2172" s="20">
        <f t="shared" ca="1" si="66"/>
        <v>0.21084838056563227</v>
      </c>
      <c r="B2172" s="21">
        <f t="shared" ca="1" si="67"/>
        <v>984</v>
      </c>
    </row>
    <row r="2173" spans="1:2" x14ac:dyDescent="0.25">
      <c r="A2173" s="20">
        <f t="shared" ca="1" si="66"/>
        <v>7.1821965483890193E-2</v>
      </c>
      <c r="B2173" s="21">
        <f t="shared" ca="1" si="67"/>
        <v>320</v>
      </c>
    </row>
    <row r="2174" spans="1:2" x14ac:dyDescent="0.25">
      <c r="A2174" s="20">
        <f t="shared" ca="1" si="66"/>
        <v>0.49169794676987277</v>
      </c>
      <c r="B2174" s="21">
        <f t="shared" ca="1" si="67"/>
        <v>2286</v>
      </c>
    </row>
    <row r="2175" spans="1:2" x14ac:dyDescent="0.25">
      <c r="A2175" s="20">
        <f t="shared" ca="1" si="66"/>
        <v>0.43548966493069396</v>
      </c>
      <c r="B2175" s="21">
        <f t="shared" ca="1" si="67"/>
        <v>2042</v>
      </c>
    </row>
    <row r="2176" spans="1:2" x14ac:dyDescent="0.25">
      <c r="A2176" s="20">
        <f t="shared" ca="1" si="66"/>
        <v>0.57128541885782647</v>
      </c>
      <c r="B2176" s="21">
        <f t="shared" ca="1" si="67"/>
        <v>2665</v>
      </c>
    </row>
    <row r="2177" spans="1:2" x14ac:dyDescent="0.25">
      <c r="A2177" s="20">
        <f t="shared" ca="1" si="66"/>
        <v>0.14302179984109598</v>
      </c>
      <c r="B2177" s="21">
        <f t="shared" ca="1" si="67"/>
        <v>627</v>
      </c>
    </row>
    <row r="2178" spans="1:2" x14ac:dyDescent="0.25">
      <c r="A2178" s="20">
        <f t="shared" ca="1" si="66"/>
        <v>0.51184908910049465</v>
      </c>
      <c r="B2178" s="21">
        <f t="shared" ca="1" si="67"/>
        <v>2388</v>
      </c>
    </row>
    <row r="2179" spans="1:2" x14ac:dyDescent="0.25">
      <c r="A2179" s="20">
        <f t="shared" ref="A2179:A2242" ca="1" si="68">RAND()</f>
        <v>0.75590940786037208</v>
      </c>
      <c r="B2179" s="21">
        <f t="shared" ref="B2179:B2242" ca="1" si="69">_xlfn.RANK.EQ($A2179,$A:$A,1)</f>
        <v>3504</v>
      </c>
    </row>
    <row r="2180" spans="1:2" x14ac:dyDescent="0.25">
      <c r="A2180" s="20">
        <f t="shared" ca="1" si="68"/>
        <v>0.71830791514256187</v>
      </c>
      <c r="B2180" s="21">
        <f t="shared" ca="1" si="69"/>
        <v>3323</v>
      </c>
    </row>
    <row r="2181" spans="1:2" x14ac:dyDescent="0.25">
      <c r="A2181" s="20">
        <f t="shared" ca="1" si="68"/>
        <v>0.67894208610283546</v>
      </c>
      <c r="B2181" s="21">
        <f t="shared" ca="1" si="69"/>
        <v>3149</v>
      </c>
    </row>
    <row r="2182" spans="1:2" x14ac:dyDescent="0.25">
      <c r="A2182" s="20">
        <f t="shared" ca="1" si="68"/>
        <v>0.72358436212835697</v>
      </c>
      <c r="B2182" s="21">
        <f t="shared" ca="1" si="69"/>
        <v>3346</v>
      </c>
    </row>
    <row r="2183" spans="1:2" x14ac:dyDescent="0.25">
      <c r="A2183" s="20">
        <f t="shared" ca="1" si="68"/>
        <v>0.24582737724367898</v>
      </c>
      <c r="B2183" s="21">
        <f t="shared" ca="1" si="69"/>
        <v>1146</v>
      </c>
    </row>
    <row r="2184" spans="1:2" x14ac:dyDescent="0.25">
      <c r="A2184" s="20">
        <f t="shared" ca="1" si="68"/>
        <v>9.064941686804906E-2</v>
      </c>
      <c r="B2184" s="21">
        <f t="shared" ca="1" si="69"/>
        <v>409</v>
      </c>
    </row>
    <row r="2185" spans="1:2" x14ac:dyDescent="0.25">
      <c r="A2185" s="20">
        <f t="shared" ca="1" si="68"/>
        <v>0.43638749641628027</v>
      </c>
      <c r="B2185" s="21">
        <f t="shared" ca="1" si="69"/>
        <v>2047</v>
      </c>
    </row>
    <row r="2186" spans="1:2" x14ac:dyDescent="0.25">
      <c r="A2186" s="20">
        <f t="shared" ca="1" si="68"/>
        <v>0.94469394563472264</v>
      </c>
      <c r="B2186" s="21">
        <f t="shared" ca="1" si="69"/>
        <v>4371</v>
      </c>
    </row>
    <row r="2187" spans="1:2" x14ac:dyDescent="0.25">
      <c r="A2187" s="20">
        <f t="shared" ca="1" si="68"/>
        <v>0.23117758523689724</v>
      </c>
      <c r="B2187" s="21">
        <f t="shared" ca="1" si="69"/>
        <v>1084</v>
      </c>
    </row>
    <row r="2188" spans="1:2" x14ac:dyDescent="0.25">
      <c r="A2188" s="20">
        <f t="shared" ca="1" si="68"/>
        <v>0.40705113234073054</v>
      </c>
      <c r="B2188" s="21">
        <f t="shared" ca="1" si="69"/>
        <v>1909</v>
      </c>
    </row>
    <row r="2189" spans="1:2" x14ac:dyDescent="0.25">
      <c r="A2189" s="20">
        <f t="shared" ca="1" si="68"/>
        <v>0.69957530693009229</v>
      </c>
      <c r="B2189" s="21">
        <f t="shared" ca="1" si="69"/>
        <v>3239</v>
      </c>
    </row>
    <row r="2190" spans="1:2" x14ac:dyDescent="0.25">
      <c r="A2190" s="20">
        <f t="shared" ca="1" si="68"/>
        <v>0.61675073923549628</v>
      </c>
      <c r="B2190" s="21">
        <f t="shared" ca="1" si="69"/>
        <v>2865</v>
      </c>
    </row>
    <row r="2191" spans="1:2" x14ac:dyDescent="0.25">
      <c r="A2191" s="20">
        <f t="shared" ca="1" si="68"/>
        <v>0.61075851402156545</v>
      </c>
      <c r="B2191" s="21">
        <f t="shared" ca="1" si="69"/>
        <v>2842</v>
      </c>
    </row>
    <row r="2192" spans="1:2" x14ac:dyDescent="0.25">
      <c r="A2192" s="20">
        <f t="shared" ca="1" si="68"/>
        <v>0.72895500371378585</v>
      </c>
      <c r="B2192" s="21">
        <f t="shared" ca="1" si="69"/>
        <v>3376</v>
      </c>
    </row>
    <row r="2193" spans="1:2" x14ac:dyDescent="0.25">
      <c r="A2193" s="20">
        <f t="shared" ca="1" si="68"/>
        <v>0.51694276037575404</v>
      </c>
      <c r="B2193" s="21">
        <f t="shared" ca="1" si="69"/>
        <v>2413</v>
      </c>
    </row>
    <row r="2194" spans="1:2" x14ac:dyDescent="0.25">
      <c r="A2194" s="20">
        <f t="shared" ca="1" si="68"/>
        <v>0.83933479850639925</v>
      </c>
      <c r="B2194" s="21">
        <f t="shared" ca="1" si="69"/>
        <v>3872</v>
      </c>
    </row>
    <row r="2195" spans="1:2" x14ac:dyDescent="0.25">
      <c r="A2195" s="20">
        <f t="shared" ca="1" si="68"/>
        <v>0.52981694330824047</v>
      </c>
      <c r="B2195" s="21">
        <f t="shared" ca="1" si="69"/>
        <v>2475</v>
      </c>
    </row>
    <row r="2196" spans="1:2" x14ac:dyDescent="0.25">
      <c r="A2196" s="20">
        <f t="shared" ca="1" si="68"/>
        <v>0.24617145749788971</v>
      </c>
      <c r="B2196" s="21">
        <f t="shared" ca="1" si="69"/>
        <v>1149</v>
      </c>
    </row>
    <row r="2197" spans="1:2" x14ac:dyDescent="0.25">
      <c r="A2197" s="20">
        <f t="shared" ca="1" si="68"/>
        <v>0.92564934037759716</v>
      </c>
      <c r="B2197" s="21">
        <f t="shared" ca="1" si="69"/>
        <v>4273</v>
      </c>
    </row>
    <row r="2198" spans="1:2" x14ac:dyDescent="0.25">
      <c r="A2198" s="20">
        <f t="shared" ca="1" si="68"/>
        <v>0.72015130601032917</v>
      </c>
      <c r="B2198" s="21">
        <f t="shared" ca="1" si="69"/>
        <v>3333</v>
      </c>
    </row>
    <row r="2199" spans="1:2" x14ac:dyDescent="0.25">
      <c r="A2199" s="20">
        <f t="shared" ca="1" si="68"/>
        <v>0.17062646592681641</v>
      </c>
      <c r="B2199" s="21">
        <f t="shared" ca="1" si="69"/>
        <v>773</v>
      </c>
    </row>
    <row r="2200" spans="1:2" x14ac:dyDescent="0.25">
      <c r="A2200" s="20">
        <f t="shared" ca="1" si="68"/>
        <v>0.27035527109975521</v>
      </c>
      <c r="B2200" s="21">
        <f t="shared" ca="1" si="69"/>
        <v>1262</v>
      </c>
    </row>
    <row r="2201" spans="1:2" x14ac:dyDescent="0.25">
      <c r="A2201" s="20">
        <f t="shared" ca="1" si="68"/>
        <v>5.1371039281790543E-2</v>
      </c>
      <c r="B2201" s="21">
        <f t="shared" ca="1" si="69"/>
        <v>218</v>
      </c>
    </row>
    <row r="2202" spans="1:2" x14ac:dyDescent="0.25">
      <c r="A2202" s="20">
        <f t="shared" ca="1" si="68"/>
        <v>0.49684433239534453</v>
      </c>
      <c r="B2202" s="21">
        <f t="shared" ca="1" si="69"/>
        <v>2307</v>
      </c>
    </row>
    <row r="2203" spans="1:2" x14ac:dyDescent="0.25">
      <c r="A2203" s="20">
        <f t="shared" ca="1" si="68"/>
        <v>0.8753762396866599</v>
      </c>
      <c r="B2203" s="21">
        <f t="shared" ca="1" si="69"/>
        <v>4034</v>
      </c>
    </row>
    <row r="2204" spans="1:2" x14ac:dyDescent="0.25">
      <c r="A2204" s="20">
        <f t="shared" ca="1" si="68"/>
        <v>0.70051408533080417</v>
      </c>
      <c r="B2204" s="21">
        <f t="shared" ca="1" si="69"/>
        <v>3245</v>
      </c>
    </row>
    <row r="2205" spans="1:2" x14ac:dyDescent="0.25">
      <c r="A2205" s="20">
        <f t="shared" ca="1" si="68"/>
        <v>0.2905363480734674</v>
      </c>
      <c r="B2205" s="21">
        <f t="shared" ca="1" si="69"/>
        <v>1369</v>
      </c>
    </row>
    <row r="2206" spans="1:2" x14ac:dyDescent="0.25">
      <c r="A2206" s="20">
        <f t="shared" ca="1" si="68"/>
        <v>0.33388116589946171</v>
      </c>
      <c r="B2206" s="21">
        <f t="shared" ca="1" si="69"/>
        <v>1565</v>
      </c>
    </row>
    <row r="2207" spans="1:2" x14ac:dyDescent="0.25">
      <c r="A2207" s="20">
        <f t="shared" ca="1" si="68"/>
        <v>0.88678492410133802</v>
      </c>
      <c r="B2207" s="21">
        <f t="shared" ca="1" si="69"/>
        <v>4088</v>
      </c>
    </row>
    <row r="2208" spans="1:2" x14ac:dyDescent="0.25">
      <c r="A2208" s="20">
        <f t="shared" ca="1" si="68"/>
        <v>5.989231369003889E-2</v>
      </c>
      <c r="B2208" s="21">
        <f t="shared" ca="1" si="69"/>
        <v>260</v>
      </c>
    </row>
    <row r="2209" spans="1:2" x14ac:dyDescent="0.25">
      <c r="A2209" s="20">
        <f t="shared" ca="1" si="68"/>
        <v>0.89145585979975928</v>
      </c>
      <c r="B2209" s="21">
        <f t="shared" ca="1" si="69"/>
        <v>4109</v>
      </c>
    </row>
    <row r="2210" spans="1:2" x14ac:dyDescent="0.25">
      <c r="A2210" s="20">
        <f t="shared" ca="1" si="68"/>
        <v>0.34811145531970755</v>
      </c>
      <c r="B2210" s="21">
        <f t="shared" ca="1" si="69"/>
        <v>1637</v>
      </c>
    </row>
    <row r="2211" spans="1:2" x14ac:dyDescent="0.25">
      <c r="A2211" s="20">
        <f t="shared" ca="1" si="68"/>
        <v>0.73853870339077643</v>
      </c>
      <c r="B2211" s="21">
        <f t="shared" ca="1" si="69"/>
        <v>3418</v>
      </c>
    </row>
    <row r="2212" spans="1:2" x14ac:dyDescent="0.25">
      <c r="A2212" s="20">
        <f t="shared" ca="1" si="68"/>
        <v>0.71861310956491142</v>
      </c>
      <c r="B2212" s="21">
        <f t="shared" ca="1" si="69"/>
        <v>3326</v>
      </c>
    </row>
    <row r="2213" spans="1:2" x14ac:dyDescent="0.25">
      <c r="A2213" s="20">
        <f t="shared" ca="1" si="68"/>
        <v>0.82340398588903307</v>
      </c>
      <c r="B2213" s="21">
        <f t="shared" ca="1" si="69"/>
        <v>3811</v>
      </c>
    </row>
    <row r="2214" spans="1:2" x14ac:dyDescent="0.25">
      <c r="A2214" s="20">
        <f t="shared" ca="1" si="68"/>
        <v>8.9057279972987624E-2</v>
      </c>
      <c r="B2214" s="21">
        <f t="shared" ca="1" si="69"/>
        <v>401</v>
      </c>
    </row>
    <row r="2215" spans="1:2" x14ac:dyDescent="0.25">
      <c r="A2215" s="20">
        <f t="shared" ca="1" si="68"/>
        <v>0.31660541881704563</v>
      </c>
      <c r="B2215" s="21">
        <f t="shared" ca="1" si="69"/>
        <v>1483</v>
      </c>
    </row>
    <row r="2216" spans="1:2" x14ac:dyDescent="0.25">
      <c r="A2216" s="20">
        <f t="shared" ca="1" si="68"/>
        <v>7.2166894031355566E-2</v>
      </c>
      <c r="B2216" s="21">
        <f t="shared" ca="1" si="69"/>
        <v>321</v>
      </c>
    </row>
    <row r="2217" spans="1:2" x14ac:dyDescent="0.25">
      <c r="A2217" s="20">
        <f t="shared" ca="1" si="68"/>
        <v>0.49745887639180242</v>
      </c>
      <c r="B2217" s="21">
        <f t="shared" ca="1" si="69"/>
        <v>2311</v>
      </c>
    </row>
    <row r="2218" spans="1:2" x14ac:dyDescent="0.25">
      <c r="A2218" s="20">
        <f t="shared" ca="1" si="68"/>
        <v>0.77232561980064096</v>
      </c>
      <c r="B2218" s="21">
        <f t="shared" ca="1" si="69"/>
        <v>3584</v>
      </c>
    </row>
    <row r="2219" spans="1:2" x14ac:dyDescent="0.25">
      <c r="A2219" s="20">
        <f t="shared" ca="1" si="68"/>
        <v>0.85656865787303682</v>
      </c>
      <c r="B2219" s="21">
        <f t="shared" ca="1" si="69"/>
        <v>3956</v>
      </c>
    </row>
    <row r="2220" spans="1:2" x14ac:dyDescent="0.25">
      <c r="A2220" s="20">
        <f t="shared" ca="1" si="68"/>
        <v>0.1891881067714144</v>
      </c>
      <c r="B2220" s="21">
        <f t="shared" ca="1" si="69"/>
        <v>868</v>
      </c>
    </row>
    <row r="2221" spans="1:2" x14ac:dyDescent="0.25">
      <c r="A2221" s="20">
        <f t="shared" ca="1" si="68"/>
        <v>0.63978184252682235</v>
      </c>
      <c r="B2221" s="21">
        <f t="shared" ca="1" si="69"/>
        <v>2964</v>
      </c>
    </row>
    <row r="2222" spans="1:2" x14ac:dyDescent="0.25">
      <c r="A2222" s="20">
        <f t="shared" ca="1" si="68"/>
        <v>0.39600676836447435</v>
      </c>
      <c r="B2222" s="21">
        <f t="shared" ca="1" si="69"/>
        <v>1859</v>
      </c>
    </row>
    <row r="2223" spans="1:2" x14ac:dyDescent="0.25">
      <c r="A2223" s="20">
        <f t="shared" ca="1" si="68"/>
        <v>0.58904834519354776</v>
      </c>
      <c r="B2223" s="21">
        <f t="shared" ca="1" si="69"/>
        <v>2750</v>
      </c>
    </row>
    <row r="2224" spans="1:2" x14ac:dyDescent="0.25">
      <c r="A2224" s="20">
        <f t="shared" ca="1" si="68"/>
        <v>0.91383404178672301</v>
      </c>
      <c r="B2224" s="21">
        <f t="shared" ca="1" si="69"/>
        <v>4216</v>
      </c>
    </row>
    <row r="2225" spans="1:2" x14ac:dyDescent="0.25">
      <c r="A2225" s="20">
        <f t="shared" ca="1" si="68"/>
        <v>0.39193214639803442</v>
      </c>
      <c r="B2225" s="21">
        <f t="shared" ca="1" si="69"/>
        <v>1844</v>
      </c>
    </row>
    <row r="2226" spans="1:2" x14ac:dyDescent="0.25">
      <c r="A2226" s="20">
        <f t="shared" ca="1" si="68"/>
        <v>0.55204673637979695</v>
      </c>
      <c r="B2226" s="21">
        <f t="shared" ca="1" si="69"/>
        <v>2578</v>
      </c>
    </row>
    <row r="2227" spans="1:2" x14ac:dyDescent="0.25">
      <c r="A2227" s="20">
        <f t="shared" ca="1" si="68"/>
        <v>0.33593686193339467</v>
      </c>
      <c r="B2227" s="21">
        <f t="shared" ca="1" si="69"/>
        <v>1574</v>
      </c>
    </row>
    <row r="2228" spans="1:2" x14ac:dyDescent="0.25">
      <c r="A2228" s="20">
        <f t="shared" ca="1" si="68"/>
        <v>0.87208937545257603</v>
      </c>
      <c r="B2228" s="21">
        <f t="shared" ca="1" si="69"/>
        <v>4024</v>
      </c>
    </row>
    <row r="2229" spans="1:2" x14ac:dyDescent="0.25">
      <c r="A2229" s="20">
        <f t="shared" ca="1" si="68"/>
        <v>0.64304956139560532</v>
      </c>
      <c r="B2229" s="21">
        <f t="shared" ca="1" si="69"/>
        <v>2984</v>
      </c>
    </row>
    <row r="2230" spans="1:2" x14ac:dyDescent="0.25">
      <c r="A2230" s="20">
        <f t="shared" ca="1" si="68"/>
        <v>0.90077040607014958</v>
      </c>
      <c r="B2230" s="21">
        <f t="shared" ca="1" si="69"/>
        <v>4156</v>
      </c>
    </row>
    <row r="2231" spans="1:2" x14ac:dyDescent="0.25">
      <c r="A2231" s="20">
        <f t="shared" ca="1" si="68"/>
        <v>0.97846030721002819</v>
      </c>
      <c r="B2231" s="21">
        <f t="shared" ca="1" si="69"/>
        <v>4536</v>
      </c>
    </row>
    <row r="2232" spans="1:2" x14ac:dyDescent="0.25">
      <c r="A2232" s="20">
        <f t="shared" ca="1" si="68"/>
        <v>0.25246989817866994</v>
      </c>
      <c r="B2232" s="21">
        <f t="shared" ca="1" si="69"/>
        <v>1181</v>
      </c>
    </row>
    <row r="2233" spans="1:2" x14ac:dyDescent="0.25">
      <c r="A2233" s="20">
        <f t="shared" ca="1" si="68"/>
        <v>0.68137720614642872</v>
      </c>
      <c r="B2233" s="21">
        <f t="shared" ca="1" si="69"/>
        <v>3163</v>
      </c>
    </row>
    <row r="2234" spans="1:2" x14ac:dyDescent="0.25">
      <c r="A2234" s="20">
        <f t="shared" ca="1" si="68"/>
        <v>0.12343412906203888</v>
      </c>
      <c r="B2234" s="21">
        <f t="shared" ca="1" si="69"/>
        <v>550</v>
      </c>
    </row>
    <row r="2235" spans="1:2" x14ac:dyDescent="0.25">
      <c r="A2235" s="20">
        <f t="shared" ca="1" si="68"/>
        <v>0.27019960970528367</v>
      </c>
      <c r="B2235" s="21">
        <f t="shared" ca="1" si="69"/>
        <v>1259</v>
      </c>
    </row>
    <row r="2236" spans="1:2" x14ac:dyDescent="0.25">
      <c r="A2236" s="20">
        <f t="shared" ca="1" si="68"/>
        <v>0.16646667086184652</v>
      </c>
      <c r="B2236" s="21">
        <f t="shared" ca="1" si="69"/>
        <v>742</v>
      </c>
    </row>
    <row r="2237" spans="1:2" x14ac:dyDescent="0.25">
      <c r="A2237" s="20">
        <f t="shared" ca="1" si="68"/>
        <v>0.834191634713079</v>
      </c>
      <c r="B2237" s="21">
        <f t="shared" ca="1" si="69"/>
        <v>3854</v>
      </c>
    </row>
    <row r="2238" spans="1:2" x14ac:dyDescent="0.25">
      <c r="A2238" s="20">
        <f t="shared" ca="1" si="68"/>
        <v>0.92146700136611615</v>
      </c>
      <c r="B2238" s="21">
        <f t="shared" ca="1" si="69"/>
        <v>4253</v>
      </c>
    </row>
    <row r="2239" spans="1:2" x14ac:dyDescent="0.25">
      <c r="A2239" s="20">
        <f t="shared" ca="1" si="68"/>
        <v>0.31369356765117662</v>
      </c>
      <c r="B2239" s="21">
        <f t="shared" ca="1" si="69"/>
        <v>1471</v>
      </c>
    </row>
    <row r="2240" spans="1:2" x14ac:dyDescent="0.25">
      <c r="A2240" s="20">
        <f t="shared" ca="1" si="68"/>
        <v>0.53710099102022013</v>
      </c>
      <c r="B2240" s="21">
        <f t="shared" ca="1" si="69"/>
        <v>2505</v>
      </c>
    </row>
    <row r="2241" spans="1:2" x14ac:dyDescent="0.25">
      <c r="A2241" s="20">
        <f t="shared" ca="1" si="68"/>
        <v>0.9027102568702805</v>
      </c>
      <c r="B2241" s="21">
        <f t="shared" ca="1" si="69"/>
        <v>4169</v>
      </c>
    </row>
    <row r="2242" spans="1:2" x14ac:dyDescent="0.25">
      <c r="A2242" s="20">
        <f t="shared" ca="1" si="68"/>
        <v>0.27439401664936802</v>
      </c>
      <c r="B2242" s="21">
        <f t="shared" ca="1" si="69"/>
        <v>1285</v>
      </c>
    </row>
    <row r="2243" spans="1:2" x14ac:dyDescent="0.25">
      <c r="A2243" s="20">
        <f t="shared" ref="A2243:A2306" ca="1" si="70">RAND()</f>
        <v>0.96790034863862018</v>
      </c>
      <c r="B2243" s="21">
        <f t="shared" ref="B2243:B2306" ca="1" si="71">_xlfn.RANK.EQ($A2243,$A:$A,1)</f>
        <v>4487</v>
      </c>
    </row>
    <row r="2244" spans="1:2" x14ac:dyDescent="0.25">
      <c r="A2244" s="20">
        <f t="shared" ca="1" si="70"/>
        <v>0.84691339373833963</v>
      </c>
      <c r="B2244" s="21">
        <f t="shared" ca="1" si="71"/>
        <v>3915</v>
      </c>
    </row>
    <row r="2245" spans="1:2" x14ac:dyDescent="0.25">
      <c r="A2245" s="20">
        <f t="shared" ca="1" si="70"/>
        <v>0.29694871082270569</v>
      </c>
      <c r="B2245" s="21">
        <f t="shared" ca="1" si="71"/>
        <v>1394</v>
      </c>
    </row>
    <row r="2246" spans="1:2" x14ac:dyDescent="0.25">
      <c r="A2246" s="20">
        <f t="shared" ca="1" si="70"/>
        <v>0.30646780938966056</v>
      </c>
      <c r="B2246" s="21">
        <f t="shared" ca="1" si="71"/>
        <v>1437</v>
      </c>
    </row>
    <row r="2247" spans="1:2" x14ac:dyDescent="0.25">
      <c r="A2247" s="20">
        <f t="shared" ca="1" si="70"/>
        <v>0.56666185140580405</v>
      </c>
      <c r="B2247" s="21">
        <f t="shared" ca="1" si="71"/>
        <v>2650</v>
      </c>
    </row>
    <row r="2248" spans="1:2" x14ac:dyDescent="0.25">
      <c r="A2248" s="20">
        <f t="shared" ca="1" si="70"/>
        <v>0.15395728844356904</v>
      </c>
      <c r="B2248" s="21">
        <f t="shared" ca="1" si="71"/>
        <v>688</v>
      </c>
    </row>
    <row r="2249" spans="1:2" x14ac:dyDescent="0.25">
      <c r="A2249" s="20">
        <f t="shared" ca="1" si="70"/>
        <v>0.39249526069536822</v>
      </c>
      <c r="B2249" s="21">
        <f t="shared" ca="1" si="71"/>
        <v>1846</v>
      </c>
    </row>
    <row r="2250" spans="1:2" x14ac:dyDescent="0.25">
      <c r="A2250" s="20">
        <f t="shared" ca="1" si="70"/>
        <v>0.20174155639281133</v>
      </c>
      <c r="B2250" s="21">
        <f t="shared" ca="1" si="71"/>
        <v>934</v>
      </c>
    </row>
    <row r="2251" spans="1:2" x14ac:dyDescent="0.25">
      <c r="A2251" s="20">
        <f t="shared" ca="1" si="70"/>
        <v>0.82551819511295133</v>
      </c>
      <c r="B2251" s="21">
        <f t="shared" ca="1" si="71"/>
        <v>3821</v>
      </c>
    </row>
    <row r="2252" spans="1:2" x14ac:dyDescent="0.25">
      <c r="A2252" s="20">
        <f t="shared" ca="1" si="70"/>
        <v>0.58889928516804968</v>
      </c>
      <c r="B2252" s="21">
        <f t="shared" ca="1" si="71"/>
        <v>2748</v>
      </c>
    </row>
    <row r="2253" spans="1:2" x14ac:dyDescent="0.25">
      <c r="A2253" s="20">
        <f t="shared" ca="1" si="70"/>
        <v>0.1289073270627884</v>
      </c>
      <c r="B2253" s="21">
        <f t="shared" ca="1" si="71"/>
        <v>566</v>
      </c>
    </row>
    <row r="2254" spans="1:2" x14ac:dyDescent="0.25">
      <c r="A2254" s="20">
        <f t="shared" ca="1" si="70"/>
        <v>0.62643115439819907</v>
      </c>
      <c r="B2254" s="21">
        <f t="shared" ca="1" si="71"/>
        <v>2899</v>
      </c>
    </row>
    <row r="2255" spans="1:2" x14ac:dyDescent="0.25">
      <c r="A2255" s="20">
        <f t="shared" ca="1" si="70"/>
        <v>0.55270181554036446</v>
      </c>
      <c r="B2255" s="21">
        <f t="shared" ca="1" si="71"/>
        <v>2582</v>
      </c>
    </row>
    <row r="2256" spans="1:2" x14ac:dyDescent="0.25">
      <c r="A2256" s="20">
        <f t="shared" ca="1" si="70"/>
        <v>0.36867399407757095</v>
      </c>
      <c r="B2256" s="21">
        <f t="shared" ca="1" si="71"/>
        <v>1753</v>
      </c>
    </row>
    <row r="2257" spans="1:2" x14ac:dyDescent="0.25">
      <c r="A2257" s="20">
        <f t="shared" ca="1" si="70"/>
        <v>0.53265689533937222</v>
      </c>
      <c r="B2257" s="21">
        <f t="shared" ca="1" si="71"/>
        <v>2487</v>
      </c>
    </row>
    <row r="2258" spans="1:2" x14ac:dyDescent="0.25">
      <c r="A2258" s="20">
        <f t="shared" ca="1" si="70"/>
        <v>0.64124818230710234</v>
      </c>
      <c r="B2258" s="21">
        <f t="shared" ca="1" si="71"/>
        <v>2975</v>
      </c>
    </row>
    <row r="2259" spans="1:2" x14ac:dyDescent="0.25">
      <c r="A2259" s="20">
        <f t="shared" ca="1" si="70"/>
        <v>0.18886052930042219</v>
      </c>
      <c r="B2259" s="21">
        <f t="shared" ca="1" si="71"/>
        <v>866</v>
      </c>
    </row>
    <row r="2260" spans="1:2" x14ac:dyDescent="0.25">
      <c r="A2260" s="20">
        <f t="shared" ca="1" si="70"/>
        <v>0.4791333908886537</v>
      </c>
      <c r="B2260" s="21">
        <f t="shared" ca="1" si="71"/>
        <v>2235</v>
      </c>
    </row>
    <row r="2261" spans="1:2" x14ac:dyDescent="0.25">
      <c r="A2261" s="20">
        <f t="shared" ca="1" si="70"/>
        <v>2.1813406152155435E-2</v>
      </c>
      <c r="B2261" s="21">
        <f t="shared" ca="1" si="71"/>
        <v>89</v>
      </c>
    </row>
    <row r="2262" spans="1:2" x14ac:dyDescent="0.25">
      <c r="A2262" s="20">
        <f t="shared" ca="1" si="70"/>
        <v>0.88599092906406451</v>
      </c>
      <c r="B2262" s="21">
        <f t="shared" ca="1" si="71"/>
        <v>4085</v>
      </c>
    </row>
    <row r="2263" spans="1:2" x14ac:dyDescent="0.25">
      <c r="A2263" s="20">
        <f t="shared" ca="1" si="70"/>
        <v>6.2251662347806436E-2</v>
      </c>
      <c r="B2263" s="21">
        <f t="shared" ca="1" si="71"/>
        <v>270</v>
      </c>
    </row>
    <row r="2264" spans="1:2" x14ac:dyDescent="0.25">
      <c r="A2264" s="20">
        <f t="shared" ca="1" si="70"/>
        <v>0.29311580175553864</v>
      </c>
      <c r="B2264" s="21">
        <f t="shared" ca="1" si="71"/>
        <v>1381</v>
      </c>
    </row>
    <row r="2265" spans="1:2" x14ac:dyDescent="0.25">
      <c r="A2265" s="20">
        <f t="shared" ca="1" si="70"/>
        <v>0.28979724392945638</v>
      </c>
      <c r="B2265" s="21">
        <f t="shared" ca="1" si="71"/>
        <v>1362</v>
      </c>
    </row>
    <row r="2266" spans="1:2" x14ac:dyDescent="0.25">
      <c r="A2266" s="20">
        <f t="shared" ca="1" si="70"/>
        <v>0.4933209931403757</v>
      </c>
      <c r="B2266" s="21">
        <f t="shared" ca="1" si="71"/>
        <v>2296</v>
      </c>
    </row>
    <row r="2267" spans="1:2" x14ac:dyDescent="0.25">
      <c r="A2267" s="20">
        <f t="shared" ca="1" si="70"/>
        <v>0.71825048533800162</v>
      </c>
      <c r="B2267" s="21">
        <f t="shared" ca="1" si="71"/>
        <v>3322</v>
      </c>
    </row>
    <row r="2268" spans="1:2" x14ac:dyDescent="0.25">
      <c r="A2268" s="20">
        <f t="shared" ca="1" si="70"/>
        <v>0.53497160307394831</v>
      </c>
      <c r="B2268" s="21">
        <f t="shared" ca="1" si="71"/>
        <v>2498</v>
      </c>
    </row>
    <row r="2269" spans="1:2" x14ac:dyDescent="0.25">
      <c r="A2269" s="20">
        <f t="shared" ca="1" si="70"/>
        <v>0.20071790035119874</v>
      </c>
      <c r="B2269" s="21">
        <f t="shared" ca="1" si="71"/>
        <v>929</v>
      </c>
    </row>
    <row r="2270" spans="1:2" x14ac:dyDescent="0.25">
      <c r="A2270" s="20">
        <f t="shared" ca="1" si="70"/>
        <v>0.1567008641469313</v>
      </c>
      <c r="B2270" s="21">
        <f t="shared" ca="1" si="71"/>
        <v>702</v>
      </c>
    </row>
    <row r="2271" spans="1:2" x14ac:dyDescent="0.25">
      <c r="A2271" s="20">
        <f t="shared" ca="1" si="70"/>
        <v>3.9342823615979627E-2</v>
      </c>
      <c r="B2271" s="21">
        <f t="shared" ca="1" si="71"/>
        <v>152</v>
      </c>
    </row>
    <row r="2272" spans="1:2" x14ac:dyDescent="0.25">
      <c r="A2272" s="20">
        <f t="shared" ca="1" si="70"/>
        <v>0.9900537493582392</v>
      </c>
      <c r="B2272" s="21">
        <f t="shared" ca="1" si="71"/>
        <v>4585</v>
      </c>
    </row>
    <row r="2273" spans="1:2" x14ac:dyDescent="0.25">
      <c r="A2273" s="20">
        <f t="shared" ca="1" si="70"/>
        <v>0.11419175219307742</v>
      </c>
      <c r="B2273" s="21">
        <f t="shared" ca="1" si="71"/>
        <v>504</v>
      </c>
    </row>
    <row r="2274" spans="1:2" x14ac:dyDescent="0.25">
      <c r="A2274" s="20">
        <f t="shared" ca="1" si="70"/>
        <v>0.35831270635525492</v>
      </c>
      <c r="B2274" s="21">
        <f t="shared" ca="1" si="71"/>
        <v>1695</v>
      </c>
    </row>
    <row r="2275" spans="1:2" x14ac:dyDescent="0.25">
      <c r="A2275" s="20">
        <f t="shared" ca="1" si="70"/>
        <v>7.3141577258574952E-2</v>
      </c>
      <c r="B2275" s="21">
        <f t="shared" ca="1" si="71"/>
        <v>326</v>
      </c>
    </row>
    <row r="2276" spans="1:2" x14ac:dyDescent="0.25">
      <c r="A2276" s="20">
        <f t="shared" ca="1" si="70"/>
        <v>0.40650664100956746</v>
      </c>
      <c r="B2276" s="21">
        <f t="shared" ca="1" si="71"/>
        <v>1906</v>
      </c>
    </row>
    <row r="2277" spans="1:2" x14ac:dyDescent="0.25">
      <c r="A2277" s="20">
        <f t="shared" ca="1" si="70"/>
        <v>0.71227183037207231</v>
      </c>
      <c r="B2277" s="21">
        <f t="shared" ca="1" si="71"/>
        <v>3295</v>
      </c>
    </row>
    <row r="2278" spans="1:2" x14ac:dyDescent="0.25">
      <c r="A2278" s="20">
        <f t="shared" ca="1" si="70"/>
        <v>8.5089292546434159E-3</v>
      </c>
      <c r="B2278" s="21">
        <f t="shared" ca="1" si="71"/>
        <v>32</v>
      </c>
    </row>
    <row r="2279" spans="1:2" x14ac:dyDescent="0.25">
      <c r="A2279" s="20">
        <f t="shared" ca="1" si="70"/>
        <v>0.8447987822388705</v>
      </c>
      <c r="B2279" s="21">
        <f t="shared" ca="1" si="71"/>
        <v>3901</v>
      </c>
    </row>
    <row r="2280" spans="1:2" x14ac:dyDescent="0.25">
      <c r="A2280" s="20">
        <f t="shared" ca="1" si="70"/>
        <v>0.37337982730691288</v>
      </c>
      <c r="B2280" s="21">
        <f t="shared" ca="1" si="71"/>
        <v>1769</v>
      </c>
    </row>
    <row r="2281" spans="1:2" x14ac:dyDescent="0.25">
      <c r="A2281" s="20">
        <f t="shared" ca="1" si="70"/>
        <v>0.10267693514613607</v>
      </c>
      <c r="B2281" s="21">
        <f t="shared" ca="1" si="71"/>
        <v>461</v>
      </c>
    </row>
    <row r="2282" spans="1:2" x14ac:dyDescent="0.25">
      <c r="A2282" s="20">
        <f t="shared" ca="1" si="70"/>
        <v>0.34799242708327061</v>
      </c>
      <c r="B2282" s="21">
        <f t="shared" ca="1" si="71"/>
        <v>1635</v>
      </c>
    </row>
    <row r="2283" spans="1:2" x14ac:dyDescent="0.25">
      <c r="A2283" s="20">
        <f t="shared" ca="1" si="70"/>
        <v>0.75075721572779897</v>
      </c>
      <c r="B2283" s="21">
        <f t="shared" ca="1" si="71"/>
        <v>3480</v>
      </c>
    </row>
    <row r="2284" spans="1:2" x14ac:dyDescent="0.25">
      <c r="A2284" s="20">
        <f t="shared" ca="1" si="70"/>
        <v>0.38915239976771676</v>
      </c>
      <c r="B2284" s="21">
        <f t="shared" ca="1" si="71"/>
        <v>1825</v>
      </c>
    </row>
    <row r="2285" spans="1:2" x14ac:dyDescent="0.25">
      <c r="A2285" s="20">
        <f t="shared" ca="1" si="70"/>
        <v>0.89490877295084115</v>
      </c>
      <c r="B2285" s="21">
        <f t="shared" ca="1" si="71"/>
        <v>4127</v>
      </c>
    </row>
    <row r="2286" spans="1:2" x14ac:dyDescent="0.25">
      <c r="A2286" s="20">
        <f t="shared" ca="1" si="70"/>
        <v>0.63800276331321903</v>
      </c>
      <c r="B2286" s="21">
        <f t="shared" ca="1" si="71"/>
        <v>2956</v>
      </c>
    </row>
    <row r="2287" spans="1:2" x14ac:dyDescent="0.25">
      <c r="A2287" s="20">
        <f t="shared" ca="1" si="70"/>
        <v>0.52661569315305867</v>
      </c>
      <c r="B2287" s="21">
        <f t="shared" ca="1" si="71"/>
        <v>2463</v>
      </c>
    </row>
    <row r="2288" spans="1:2" x14ac:dyDescent="0.25">
      <c r="A2288" s="20">
        <f t="shared" ca="1" si="70"/>
        <v>0.72105072757359279</v>
      </c>
      <c r="B2288" s="21">
        <f t="shared" ca="1" si="71"/>
        <v>3337</v>
      </c>
    </row>
    <row r="2289" spans="1:2" x14ac:dyDescent="0.25">
      <c r="A2289" s="20">
        <f t="shared" ca="1" si="70"/>
        <v>2.649765621690825E-2</v>
      </c>
      <c r="B2289" s="21">
        <f t="shared" ca="1" si="71"/>
        <v>105</v>
      </c>
    </row>
    <row r="2290" spans="1:2" x14ac:dyDescent="0.25">
      <c r="A2290" s="20">
        <f t="shared" ca="1" si="70"/>
        <v>0.17547072205456549</v>
      </c>
      <c r="B2290" s="21">
        <f t="shared" ca="1" si="71"/>
        <v>793</v>
      </c>
    </row>
    <row r="2291" spans="1:2" x14ac:dyDescent="0.25">
      <c r="A2291" s="20">
        <f t="shared" ca="1" si="70"/>
        <v>0.54492852189803076</v>
      </c>
      <c r="B2291" s="21">
        <f t="shared" ca="1" si="71"/>
        <v>2543</v>
      </c>
    </row>
    <row r="2292" spans="1:2" x14ac:dyDescent="0.25">
      <c r="A2292" s="20">
        <f t="shared" ca="1" si="70"/>
        <v>0.28266986366346414</v>
      </c>
      <c r="B2292" s="21">
        <f t="shared" ca="1" si="71"/>
        <v>1322</v>
      </c>
    </row>
    <row r="2293" spans="1:2" x14ac:dyDescent="0.25">
      <c r="A2293" s="20">
        <f t="shared" ca="1" si="70"/>
        <v>0.45794883944482467</v>
      </c>
      <c r="B2293" s="21">
        <f t="shared" ca="1" si="71"/>
        <v>2152</v>
      </c>
    </row>
    <row r="2294" spans="1:2" x14ac:dyDescent="0.25">
      <c r="A2294" s="20">
        <f t="shared" ca="1" si="70"/>
        <v>0.73095016170306504</v>
      </c>
      <c r="B2294" s="21">
        <f t="shared" ca="1" si="71"/>
        <v>3392</v>
      </c>
    </row>
    <row r="2295" spans="1:2" x14ac:dyDescent="0.25">
      <c r="A2295" s="20">
        <f t="shared" ca="1" si="70"/>
        <v>0.84615093361395122</v>
      </c>
      <c r="B2295" s="21">
        <f t="shared" ca="1" si="71"/>
        <v>3910</v>
      </c>
    </row>
    <row r="2296" spans="1:2" x14ac:dyDescent="0.25">
      <c r="A2296" s="20">
        <f t="shared" ca="1" si="70"/>
        <v>0.22463275975220187</v>
      </c>
      <c r="B2296" s="21">
        <f t="shared" ca="1" si="71"/>
        <v>1053</v>
      </c>
    </row>
    <row r="2297" spans="1:2" x14ac:dyDescent="0.25">
      <c r="A2297" s="20">
        <f t="shared" ca="1" si="70"/>
        <v>0.30537028313113668</v>
      </c>
      <c r="B2297" s="21">
        <f t="shared" ca="1" si="71"/>
        <v>1431</v>
      </c>
    </row>
    <row r="2298" spans="1:2" x14ac:dyDescent="0.25">
      <c r="A2298" s="20">
        <f t="shared" ca="1" si="70"/>
        <v>0.59622761672047886</v>
      </c>
      <c r="B2298" s="21">
        <f t="shared" ca="1" si="71"/>
        <v>2789</v>
      </c>
    </row>
    <row r="2299" spans="1:2" x14ac:dyDescent="0.25">
      <c r="A2299" s="20">
        <f t="shared" ca="1" si="70"/>
        <v>0.84523644215137628</v>
      </c>
      <c r="B2299" s="21">
        <f t="shared" ca="1" si="71"/>
        <v>3903</v>
      </c>
    </row>
    <row r="2300" spans="1:2" x14ac:dyDescent="0.25">
      <c r="A2300" s="20">
        <f t="shared" ca="1" si="70"/>
        <v>0.28739341820186171</v>
      </c>
      <c r="B2300" s="21">
        <f t="shared" ca="1" si="71"/>
        <v>1348</v>
      </c>
    </row>
    <row r="2301" spans="1:2" x14ac:dyDescent="0.25">
      <c r="A2301" s="20">
        <f t="shared" ca="1" si="70"/>
        <v>0.16794395814712137</v>
      </c>
      <c r="B2301" s="21">
        <f t="shared" ca="1" si="71"/>
        <v>753</v>
      </c>
    </row>
    <row r="2302" spans="1:2" x14ac:dyDescent="0.25">
      <c r="A2302" s="20">
        <f t="shared" ca="1" si="70"/>
        <v>0.11382349478972786</v>
      </c>
      <c r="B2302" s="21">
        <f t="shared" ca="1" si="71"/>
        <v>501</v>
      </c>
    </row>
    <row r="2303" spans="1:2" x14ac:dyDescent="0.25">
      <c r="A2303" s="20">
        <f t="shared" ca="1" si="70"/>
        <v>0.56333636074425308</v>
      </c>
      <c r="B2303" s="21">
        <f t="shared" ca="1" si="71"/>
        <v>2634</v>
      </c>
    </row>
    <row r="2304" spans="1:2" x14ac:dyDescent="0.25">
      <c r="A2304" s="20">
        <f t="shared" ca="1" si="70"/>
        <v>0.81732131790158302</v>
      </c>
      <c r="B2304" s="21">
        <f t="shared" ca="1" si="71"/>
        <v>3778</v>
      </c>
    </row>
    <row r="2305" spans="1:2" x14ac:dyDescent="0.25">
      <c r="A2305" s="20">
        <f t="shared" ca="1" si="70"/>
        <v>0.57968989279052685</v>
      </c>
      <c r="B2305" s="21">
        <f t="shared" ca="1" si="71"/>
        <v>2707</v>
      </c>
    </row>
    <row r="2306" spans="1:2" x14ac:dyDescent="0.25">
      <c r="A2306" s="20">
        <f t="shared" ca="1" si="70"/>
        <v>0.38633117910929371</v>
      </c>
      <c r="B2306" s="21">
        <f t="shared" ca="1" si="71"/>
        <v>1811</v>
      </c>
    </row>
    <row r="2307" spans="1:2" x14ac:dyDescent="0.25">
      <c r="A2307" s="20">
        <f t="shared" ref="A2307:A2370" ca="1" si="72">RAND()</f>
        <v>0.61504561037568972</v>
      </c>
      <c r="B2307" s="21">
        <f t="shared" ref="B2307:B2370" ca="1" si="73">_xlfn.RANK.EQ($A2307,$A:$A,1)</f>
        <v>2859</v>
      </c>
    </row>
    <row r="2308" spans="1:2" x14ac:dyDescent="0.25">
      <c r="A2308" s="20">
        <f t="shared" ca="1" si="72"/>
        <v>0.54970445582458749</v>
      </c>
      <c r="B2308" s="21">
        <f t="shared" ca="1" si="73"/>
        <v>2568</v>
      </c>
    </row>
    <row r="2309" spans="1:2" x14ac:dyDescent="0.25">
      <c r="A2309" s="20">
        <f t="shared" ca="1" si="72"/>
        <v>0.70756329048110911</v>
      </c>
      <c r="B2309" s="21">
        <f t="shared" ca="1" si="73"/>
        <v>3276</v>
      </c>
    </row>
    <row r="2310" spans="1:2" x14ac:dyDescent="0.25">
      <c r="A2310" s="20">
        <f t="shared" ca="1" si="72"/>
        <v>0.53779848983915834</v>
      </c>
      <c r="B2310" s="21">
        <f t="shared" ca="1" si="73"/>
        <v>2510</v>
      </c>
    </row>
    <row r="2311" spans="1:2" x14ac:dyDescent="0.25">
      <c r="A2311" s="20">
        <f t="shared" ca="1" si="72"/>
        <v>0.90710129649731719</v>
      </c>
      <c r="B2311" s="21">
        <f t="shared" ca="1" si="73"/>
        <v>4185</v>
      </c>
    </row>
    <row r="2312" spans="1:2" x14ac:dyDescent="0.25">
      <c r="A2312" s="20">
        <f t="shared" ca="1" si="72"/>
        <v>0.26066879765819395</v>
      </c>
      <c r="B2312" s="21">
        <f t="shared" ca="1" si="73"/>
        <v>1215</v>
      </c>
    </row>
    <row r="2313" spans="1:2" x14ac:dyDescent="0.25">
      <c r="A2313" s="20">
        <f t="shared" ca="1" si="72"/>
        <v>0.31524363180094028</v>
      </c>
      <c r="B2313" s="21">
        <f t="shared" ca="1" si="73"/>
        <v>1476</v>
      </c>
    </row>
    <row r="2314" spans="1:2" x14ac:dyDescent="0.25">
      <c r="A2314" s="20">
        <f t="shared" ca="1" si="72"/>
        <v>0.53929073938323646</v>
      </c>
      <c r="B2314" s="21">
        <f t="shared" ca="1" si="73"/>
        <v>2521</v>
      </c>
    </row>
    <row r="2315" spans="1:2" x14ac:dyDescent="0.25">
      <c r="A2315" s="20">
        <f t="shared" ca="1" si="72"/>
        <v>0.97924048982023704</v>
      </c>
      <c r="B2315" s="21">
        <f t="shared" ca="1" si="73"/>
        <v>4541</v>
      </c>
    </row>
    <row r="2316" spans="1:2" x14ac:dyDescent="0.25">
      <c r="A2316" s="20">
        <f t="shared" ca="1" si="72"/>
        <v>0.6752720835495446</v>
      </c>
      <c r="B2316" s="21">
        <f t="shared" ca="1" si="73"/>
        <v>3127</v>
      </c>
    </row>
    <row r="2317" spans="1:2" x14ac:dyDescent="0.25">
      <c r="A2317" s="20">
        <f t="shared" ca="1" si="72"/>
        <v>0.63171939633650687</v>
      </c>
      <c r="B2317" s="21">
        <f t="shared" ca="1" si="73"/>
        <v>2928</v>
      </c>
    </row>
    <row r="2318" spans="1:2" x14ac:dyDescent="0.25">
      <c r="A2318" s="20">
        <f t="shared" ca="1" si="72"/>
        <v>0.8898432655043419</v>
      </c>
      <c r="B2318" s="21">
        <f t="shared" ca="1" si="73"/>
        <v>4100</v>
      </c>
    </row>
    <row r="2319" spans="1:2" x14ac:dyDescent="0.25">
      <c r="A2319" s="20">
        <f t="shared" ca="1" si="72"/>
        <v>0.17287109057127781</v>
      </c>
      <c r="B2319" s="21">
        <f t="shared" ca="1" si="73"/>
        <v>783</v>
      </c>
    </row>
    <row r="2320" spans="1:2" x14ac:dyDescent="0.25">
      <c r="A2320" s="20">
        <f t="shared" ca="1" si="72"/>
        <v>0.81618058236421376</v>
      </c>
      <c r="B2320" s="21">
        <f t="shared" ca="1" si="73"/>
        <v>3775</v>
      </c>
    </row>
    <row r="2321" spans="1:2" x14ac:dyDescent="0.25">
      <c r="A2321" s="20">
        <f t="shared" ca="1" si="72"/>
        <v>0.79699247389438399</v>
      </c>
      <c r="B2321" s="21">
        <f t="shared" ca="1" si="73"/>
        <v>3689</v>
      </c>
    </row>
    <row r="2322" spans="1:2" x14ac:dyDescent="0.25">
      <c r="A2322" s="20">
        <f t="shared" ca="1" si="72"/>
        <v>0.49701528452332611</v>
      </c>
      <c r="B2322" s="21">
        <f t="shared" ca="1" si="73"/>
        <v>2308</v>
      </c>
    </row>
    <row r="2323" spans="1:2" x14ac:dyDescent="0.25">
      <c r="A2323" s="20">
        <f t="shared" ca="1" si="72"/>
        <v>0.76736038342892576</v>
      </c>
      <c r="B2323" s="21">
        <f t="shared" ca="1" si="73"/>
        <v>3554</v>
      </c>
    </row>
    <row r="2324" spans="1:2" x14ac:dyDescent="0.25">
      <c r="A2324" s="20">
        <f t="shared" ca="1" si="72"/>
        <v>0.51069667903683058</v>
      </c>
      <c r="B2324" s="21">
        <f t="shared" ca="1" si="73"/>
        <v>2378</v>
      </c>
    </row>
    <row r="2325" spans="1:2" x14ac:dyDescent="0.25">
      <c r="A2325" s="20">
        <f t="shared" ca="1" si="72"/>
        <v>0.14908465622334188</v>
      </c>
      <c r="B2325" s="21">
        <f t="shared" ca="1" si="73"/>
        <v>661</v>
      </c>
    </row>
    <row r="2326" spans="1:2" x14ac:dyDescent="0.25">
      <c r="A2326" s="20">
        <f t="shared" ca="1" si="72"/>
        <v>0.27438838337927773</v>
      </c>
      <c r="B2326" s="21">
        <f t="shared" ca="1" si="73"/>
        <v>1283</v>
      </c>
    </row>
    <row r="2327" spans="1:2" x14ac:dyDescent="0.25">
      <c r="A2327" s="20">
        <f t="shared" ca="1" si="72"/>
        <v>0.66194764086010283</v>
      </c>
      <c r="B2327" s="21">
        <f t="shared" ca="1" si="73"/>
        <v>3071</v>
      </c>
    </row>
    <row r="2328" spans="1:2" x14ac:dyDescent="0.25">
      <c r="A2328" s="20">
        <f t="shared" ca="1" si="72"/>
        <v>0.89995199342985666</v>
      </c>
      <c r="B2328" s="21">
        <f t="shared" ca="1" si="73"/>
        <v>4149</v>
      </c>
    </row>
    <row r="2329" spans="1:2" x14ac:dyDescent="0.25">
      <c r="A2329" s="20">
        <f t="shared" ca="1" si="72"/>
        <v>4.0271732620123846E-2</v>
      </c>
      <c r="B2329" s="21">
        <f t="shared" ca="1" si="73"/>
        <v>158</v>
      </c>
    </row>
    <row r="2330" spans="1:2" x14ac:dyDescent="0.25">
      <c r="A2330" s="20">
        <f t="shared" ca="1" si="72"/>
        <v>0.36768433482225904</v>
      </c>
      <c r="B2330" s="21">
        <f t="shared" ca="1" si="73"/>
        <v>1747</v>
      </c>
    </row>
    <row r="2331" spans="1:2" x14ac:dyDescent="0.25">
      <c r="A2331" s="20">
        <f t="shared" ca="1" si="72"/>
        <v>8.2603484013647366E-2</v>
      </c>
      <c r="B2331" s="21">
        <f t="shared" ca="1" si="73"/>
        <v>372</v>
      </c>
    </row>
    <row r="2332" spans="1:2" x14ac:dyDescent="0.25">
      <c r="A2332" s="20">
        <f t="shared" ca="1" si="72"/>
        <v>1.7150158037088747E-2</v>
      </c>
      <c r="B2332" s="21">
        <f t="shared" ca="1" si="73"/>
        <v>60</v>
      </c>
    </row>
    <row r="2333" spans="1:2" x14ac:dyDescent="0.25">
      <c r="A2333" s="20">
        <f t="shared" ca="1" si="72"/>
        <v>0.69364228051652377</v>
      </c>
      <c r="B2333" s="21">
        <f t="shared" ca="1" si="73"/>
        <v>3215</v>
      </c>
    </row>
    <row r="2334" spans="1:2" x14ac:dyDescent="0.25">
      <c r="A2334" s="20">
        <f t="shared" ca="1" si="72"/>
        <v>0.57247154684575485</v>
      </c>
      <c r="B2334" s="21">
        <f t="shared" ca="1" si="73"/>
        <v>2671</v>
      </c>
    </row>
    <row r="2335" spans="1:2" x14ac:dyDescent="0.25">
      <c r="A2335" s="20">
        <f t="shared" ca="1" si="72"/>
        <v>0.74396141272635219</v>
      </c>
      <c r="B2335" s="21">
        <f t="shared" ca="1" si="73"/>
        <v>3438</v>
      </c>
    </row>
    <row r="2336" spans="1:2" x14ac:dyDescent="0.25">
      <c r="A2336" s="20">
        <f t="shared" ca="1" si="72"/>
        <v>0.18103717422871568</v>
      </c>
      <c r="B2336" s="21">
        <f t="shared" ca="1" si="73"/>
        <v>828</v>
      </c>
    </row>
    <row r="2337" spans="1:2" x14ac:dyDescent="0.25">
      <c r="A2337" s="20">
        <f t="shared" ca="1" si="72"/>
        <v>0.34788709577241039</v>
      </c>
      <c r="B2337" s="21">
        <f t="shared" ca="1" si="73"/>
        <v>1634</v>
      </c>
    </row>
    <row r="2338" spans="1:2" x14ac:dyDescent="0.25">
      <c r="A2338" s="20">
        <f t="shared" ca="1" si="72"/>
        <v>0.22206980726026393</v>
      </c>
      <c r="B2338" s="21">
        <f t="shared" ca="1" si="73"/>
        <v>1041</v>
      </c>
    </row>
    <row r="2339" spans="1:2" x14ac:dyDescent="0.25">
      <c r="A2339" s="20">
        <f t="shared" ca="1" si="72"/>
        <v>0.62874205846131792</v>
      </c>
      <c r="B2339" s="21">
        <f t="shared" ca="1" si="73"/>
        <v>2911</v>
      </c>
    </row>
    <row r="2340" spans="1:2" x14ac:dyDescent="0.25">
      <c r="A2340" s="20">
        <f t="shared" ca="1" si="72"/>
        <v>0.14825765095099463</v>
      </c>
      <c r="B2340" s="21">
        <f t="shared" ca="1" si="73"/>
        <v>658</v>
      </c>
    </row>
    <row r="2341" spans="1:2" x14ac:dyDescent="0.25">
      <c r="A2341" s="20">
        <f t="shared" ca="1" si="72"/>
        <v>0.94452126316672835</v>
      </c>
      <c r="B2341" s="21">
        <f t="shared" ca="1" si="73"/>
        <v>4368</v>
      </c>
    </row>
    <row r="2342" spans="1:2" x14ac:dyDescent="0.25">
      <c r="A2342" s="20">
        <f t="shared" ca="1" si="72"/>
        <v>0.19407376322931014</v>
      </c>
      <c r="B2342" s="21">
        <f t="shared" ca="1" si="73"/>
        <v>895</v>
      </c>
    </row>
    <row r="2343" spans="1:2" x14ac:dyDescent="0.25">
      <c r="A2343" s="20">
        <f t="shared" ca="1" si="72"/>
        <v>0.83602230428349678</v>
      </c>
      <c r="B2343" s="21">
        <f t="shared" ca="1" si="73"/>
        <v>3860</v>
      </c>
    </row>
    <row r="2344" spans="1:2" x14ac:dyDescent="0.25">
      <c r="A2344" s="20">
        <f t="shared" ca="1" si="72"/>
        <v>0.51744818096264655</v>
      </c>
      <c r="B2344" s="21">
        <f t="shared" ca="1" si="73"/>
        <v>2415</v>
      </c>
    </row>
    <row r="2345" spans="1:2" x14ac:dyDescent="0.25">
      <c r="A2345" s="20">
        <f t="shared" ca="1" si="72"/>
        <v>0.49983020008091028</v>
      </c>
      <c r="B2345" s="21">
        <f t="shared" ca="1" si="73"/>
        <v>2319</v>
      </c>
    </row>
    <row r="2346" spans="1:2" x14ac:dyDescent="0.25">
      <c r="A2346" s="20">
        <f t="shared" ca="1" si="72"/>
        <v>0.19272887529002136</v>
      </c>
      <c r="B2346" s="21">
        <f t="shared" ca="1" si="73"/>
        <v>887</v>
      </c>
    </row>
    <row r="2347" spans="1:2" x14ac:dyDescent="0.25">
      <c r="A2347" s="20">
        <f t="shared" ca="1" si="72"/>
        <v>0.4970926458525865</v>
      </c>
      <c r="B2347" s="21">
        <f t="shared" ca="1" si="73"/>
        <v>2309</v>
      </c>
    </row>
    <row r="2348" spans="1:2" x14ac:dyDescent="0.25">
      <c r="A2348" s="20">
        <f t="shared" ca="1" si="72"/>
        <v>0.16754089598880928</v>
      </c>
      <c r="B2348" s="21">
        <f t="shared" ca="1" si="73"/>
        <v>751</v>
      </c>
    </row>
    <row r="2349" spans="1:2" x14ac:dyDescent="0.25">
      <c r="A2349" s="20">
        <f t="shared" ca="1" si="72"/>
        <v>0.50187614632692379</v>
      </c>
      <c r="B2349" s="21">
        <f t="shared" ca="1" si="73"/>
        <v>2332</v>
      </c>
    </row>
    <row r="2350" spans="1:2" x14ac:dyDescent="0.25">
      <c r="A2350" s="20">
        <f t="shared" ca="1" si="72"/>
        <v>0.2079641927043363</v>
      </c>
      <c r="B2350" s="21">
        <f t="shared" ca="1" si="73"/>
        <v>969</v>
      </c>
    </row>
    <row r="2351" spans="1:2" x14ac:dyDescent="0.25">
      <c r="A2351" s="20">
        <f t="shared" ca="1" si="72"/>
        <v>0.97832967109135716</v>
      </c>
      <c r="B2351" s="21">
        <f t="shared" ca="1" si="73"/>
        <v>4534</v>
      </c>
    </row>
    <row r="2352" spans="1:2" x14ac:dyDescent="0.25">
      <c r="A2352" s="20">
        <f t="shared" ca="1" si="72"/>
        <v>0.39167147851394168</v>
      </c>
      <c r="B2352" s="21">
        <f t="shared" ca="1" si="73"/>
        <v>1842</v>
      </c>
    </row>
    <row r="2353" spans="1:2" x14ac:dyDescent="0.25">
      <c r="A2353" s="20">
        <f t="shared" ca="1" si="72"/>
        <v>0.97279237988521994</v>
      </c>
      <c r="B2353" s="21">
        <f t="shared" ca="1" si="73"/>
        <v>4511</v>
      </c>
    </row>
    <row r="2354" spans="1:2" x14ac:dyDescent="0.25">
      <c r="A2354" s="20">
        <f t="shared" ca="1" si="72"/>
        <v>0.65810947619572935</v>
      </c>
      <c r="B2354" s="21">
        <f t="shared" ca="1" si="73"/>
        <v>3053</v>
      </c>
    </row>
    <row r="2355" spans="1:2" x14ac:dyDescent="0.25">
      <c r="A2355" s="20">
        <f t="shared" ca="1" si="72"/>
        <v>0.35149054899877241</v>
      </c>
      <c r="B2355" s="21">
        <f t="shared" ca="1" si="73"/>
        <v>1660</v>
      </c>
    </row>
    <row r="2356" spans="1:2" x14ac:dyDescent="0.25">
      <c r="A2356" s="20">
        <f t="shared" ca="1" si="72"/>
        <v>0.38696779233534428</v>
      </c>
      <c r="B2356" s="21">
        <f t="shared" ca="1" si="73"/>
        <v>1813</v>
      </c>
    </row>
    <row r="2357" spans="1:2" x14ac:dyDescent="0.25">
      <c r="A2357" s="20">
        <f t="shared" ca="1" si="72"/>
        <v>0.85766623398112363</v>
      </c>
      <c r="B2357" s="21">
        <f t="shared" ca="1" si="73"/>
        <v>3963</v>
      </c>
    </row>
    <row r="2358" spans="1:2" x14ac:dyDescent="0.25">
      <c r="A2358" s="20">
        <f t="shared" ca="1" si="72"/>
        <v>8.2622658704422536E-2</v>
      </c>
      <c r="B2358" s="21">
        <f t="shared" ca="1" si="73"/>
        <v>373</v>
      </c>
    </row>
    <row r="2359" spans="1:2" x14ac:dyDescent="0.25">
      <c r="A2359" s="20">
        <f t="shared" ca="1" si="72"/>
        <v>0.58636647308311329</v>
      </c>
      <c r="B2359" s="21">
        <f t="shared" ca="1" si="73"/>
        <v>2746</v>
      </c>
    </row>
    <row r="2360" spans="1:2" x14ac:dyDescent="0.25">
      <c r="A2360" s="20">
        <f t="shared" ca="1" si="72"/>
        <v>0.50554293572741094</v>
      </c>
      <c r="B2360" s="21">
        <f t="shared" ca="1" si="73"/>
        <v>2353</v>
      </c>
    </row>
    <row r="2361" spans="1:2" x14ac:dyDescent="0.25">
      <c r="A2361" s="20">
        <f t="shared" ca="1" si="72"/>
        <v>8.3361125073979192E-2</v>
      </c>
      <c r="B2361" s="21">
        <f t="shared" ca="1" si="73"/>
        <v>375</v>
      </c>
    </row>
    <row r="2362" spans="1:2" x14ac:dyDescent="0.25">
      <c r="A2362" s="20">
        <f t="shared" ca="1" si="72"/>
        <v>0.70670166069003126</v>
      </c>
      <c r="B2362" s="21">
        <f t="shared" ca="1" si="73"/>
        <v>3271</v>
      </c>
    </row>
    <row r="2363" spans="1:2" x14ac:dyDescent="0.25">
      <c r="A2363" s="20">
        <f t="shared" ca="1" si="72"/>
        <v>5.5754049282493612E-2</v>
      </c>
      <c r="B2363" s="21">
        <f t="shared" ca="1" si="73"/>
        <v>241</v>
      </c>
    </row>
    <row r="2364" spans="1:2" x14ac:dyDescent="0.25">
      <c r="A2364" s="20">
        <f t="shared" ca="1" si="72"/>
        <v>0.22514909591171617</v>
      </c>
      <c r="B2364" s="21">
        <f t="shared" ca="1" si="73"/>
        <v>1055</v>
      </c>
    </row>
    <row r="2365" spans="1:2" x14ac:dyDescent="0.25">
      <c r="A2365" s="20">
        <f t="shared" ca="1" si="72"/>
        <v>0.59500532210045687</v>
      </c>
      <c r="B2365" s="21">
        <f t="shared" ca="1" si="73"/>
        <v>2782</v>
      </c>
    </row>
    <row r="2366" spans="1:2" x14ac:dyDescent="0.25">
      <c r="A2366" s="20">
        <f t="shared" ca="1" si="72"/>
        <v>0.91744910484067976</v>
      </c>
      <c r="B2366" s="21">
        <f t="shared" ca="1" si="73"/>
        <v>4234</v>
      </c>
    </row>
    <row r="2367" spans="1:2" x14ac:dyDescent="0.25">
      <c r="A2367" s="20">
        <f t="shared" ca="1" si="72"/>
        <v>8.8921931899064055E-2</v>
      </c>
      <c r="B2367" s="21">
        <f t="shared" ca="1" si="73"/>
        <v>397</v>
      </c>
    </row>
    <row r="2368" spans="1:2" x14ac:dyDescent="0.25">
      <c r="A2368" s="20">
        <f t="shared" ca="1" si="72"/>
        <v>0.75854393937610165</v>
      </c>
      <c r="B2368" s="21">
        <f t="shared" ca="1" si="73"/>
        <v>3517</v>
      </c>
    </row>
    <row r="2369" spans="1:2" x14ac:dyDescent="0.25">
      <c r="A2369" s="20">
        <f t="shared" ca="1" si="72"/>
        <v>0.74586829550650824</v>
      </c>
      <c r="B2369" s="21">
        <f t="shared" ca="1" si="73"/>
        <v>3446</v>
      </c>
    </row>
    <row r="2370" spans="1:2" x14ac:dyDescent="0.25">
      <c r="A2370" s="20">
        <f t="shared" ca="1" si="72"/>
        <v>0.37362680989067687</v>
      </c>
      <c r="B2370" s="21">
        <f t="shared" ca="1" si="73"/>
        <v>1770</v>
      </c>
    </row>
    <row r="2371" spans="1:2" x14ac:dyDescent="0.25">
      <c r="A2371" s="20">
        <f t="shared" ref="A2371:A2434" ca="1" si="74">RAND()</f>
        <v>0.94315244387964037</v>
      </c>
      <c r="B2371" s="21">
        <f t="shared" ref="B2371:B2434" ca="1" si="75">_xlfn.RANK.EQ($A2371,$A:$A,1)</f>
        <v>4362</v>
      </c>
    </row>
    <row r="2372" spans="1:2" x14ac:dyDescent="0.25">
      <c r="A2372" s="20">
        <f t="shared" ca="1" si="74"/>
        <v>0.21796722261596702</v>
      </c>
      <c r="B2372" s="21">
        <f t="shared" ca="1" si="75"/>
        <v>1019</v>
      </c>
    </row>
    <row r="2373" spans="1:2" x14ac:dyDescent="0.25">
      <c r="A2373" s="20">
        <f t="shared" ca="1" si="74"/>
        <v>0.48233250680758155</v>
      </c>
      <c r="B2373" s="21">
        <f t="shared" ca="1" si="75"/>
        <v>2251</v>
      </c>
    </row>
    <row r="2374" spans="1:2" x14ac:dyDescent="0.25">
      <c r="A2374" s="20">
        <f t="shared" ca="1" si="74"/>
        <v>0.58073113777527396</v>
      </c>
      <c r="B2374" s="21">
        <f t="shared" ca="1" si="75"/>
        <v>2715</v>
      </c>
    </row>
    <row r="2375" spans="1:2" x14ac:dyDescent="0.25">
      <c r="A2375" s="20">
        <f t="shared" ca="1" si="74"/>
        <v>0.46971312225778261</v>
      </c>
      <c r="B2375" s="21">
        <f t="shared" ca="1" si="75"/>
        <v>2192</v>
      </c>
    </row>
    <row r="2376" spans="1:2" x14ac:dyDescent="0.25">
      <c r="A2376" s="20">
        <f t="shared" ca="1" si="74"/>
        <v>0.81797625474080649</v>
      </c>
      <c r="B2376" s="21">
        <f t="shared" ca="1" si="75"/>
        <v>3782</v>
      </c>
    </row>
    <row r="2377" spans="1:2" x14ac:dyDescent="0.25">
      <c r="A2377" s="20">
        <f t="shared" ca="1" si="74"/>
        <v>0.72741108537298638</v>
      </c>
      <c r="B2377" s="21">
        <f t="shared" ca="1" si="75"/>
        <v>3366</v>
      </c>
    </row>
    <row r="2378" spans="1:2" x14ac:dyDescent="0.25">
      <c r="A2378" s="20">
        <f t="shared" ca="1" si="74"/>
        <v>0.83848278313442925</v>
      </c>
      <c r="B2378" s="21">
        <f t="shared" ca="1" si="75"/>
        <v>3868</v>
      </c>
    </row>
    <row r="2379" spans="1:2" x14ac:dyDescent="0.25">
      <c r="A2379" s="20">
        <f t="shared" ca="1" si="74"/>
        <v>0.18531961541375219</v>
      </c>
      <c r="B2379" s="21">
        <f t="shared" ca="1" si="75"/>
        <v>850</v>
      </c>
    </row>
    <row r="2380" spans="1:2" x14ac:dyDescent="0.25">
      <c r="A2380" s="20">
        <f t="shared" ca="1" si="74"/>
        <v>0.81439083130709944</v>
      </c>
      <c r="B2380" s="21">
        <f t="shared" ca="1" si="75"/>
        <v>3767</v>
      </c>
    </row>
    <row r="2381" spans="1:2" x14ac:dyDescent="0.25">
      <c r="A2381" s="20">
        <f t="shared" ca="1" si="74"/>
        <v>0.3654398174044835</v>
      </c>
      <c r="B2381" s="21">
        <f t="shared" ca="1" si="75"/>
        <v>1732</v>
      </c>
    </row>
    <row r="2382" spans="1:2" x14ac:dyDescent="0.25">
      <c r="A2382" s="20">
        <f t="shared" ca="1" si="74"/>
        <v>0.21595895876021709</v>
      </c>
      <c r="B2382" s="21">
        <f t="shared" ca="1" si="75"/>
        <v>1009</v>
      </c>
    </row>
    <row r="2383" spans="1:2" x14ac:dyDescent="0.25">
      <c r="A2383" s="20">
        <f t="shared" ca="1" si="74"/>
        <v>0.526512583325214</v>
      </c>
      <c r="B2383" s="21">
        <f t="shared" ca="1" si="75"/>
        <v>2462</v>
      </c>
    </row>
    <row r="2384" spans="1:2" x14ac:dyDescent="0.25">
      <c r="A2384" s="20">
        <f t="shared" ca="1" si="74"/>
        <v>0.86649562038035122</v>
      </c>
      <c r="B2384" s="21">
        <f t="shared" ca="1" si="75"/>
        <v>3999</v>
      </c>
    </row>
    <row r="2385" spans="1:2" x14ac:dyDescent="0.25">
      <c r="A2385" s="20">
        <f t="shared" ca="1" si="74"/>
        <v>0.89410158653735294</v>
      </c>
      <c r="B2385" s="21">
        <f t="shared" ca="1" si="75"/>
        <v>4122</v>
      </c>
    </row>
    <row r="2386" spans="1:2" x14ac:dyDescent="0.25">
      <c r="A2386" s="20">
        <f t="shared" ca="1" si="74"/>
        <v>0.51473513280663918</v>
      </c>
      <c r="B2386" s="21">
        <f t="shared" ca="1" si="75"/>
        <v>2402</v>
      </c>
    </row>
    <row r="2387" spans="1:2" x14ac:dyDescent="0.25">
      <c r="A2387" s="20">
        <f t="shared" ca="1" si="74"/>
        <v>0.34580512441211453</v>
      </c>
      <c r="B2387" s="21">
        <f t="shared" ca="1" si="75"/>
        <v>1625</v>
      </c>
    </row>
    <row r="2388" spans="1:2" x14ac:dyDescent="0.25">
      <c r="A2388" s="20">
        <f t="shared" ca="1" si="74"/>
        <v>0.35653151010545681</v>
      </c>
      <c r="B2388" s="21">
        <f t="shared" ca="1" si="75"/>
        <v>1686</v>
      </c>
    </row>
    <row r="2389" spans="1:2" x14ac:dyDescent="0.25">
      <c r="A2389" s="20">
        <f t="shared" ca="1" si="74"/>
        <v>0.63214834320842728</v>
      </c>
      <c r="B2389" s="21">
        <f t="shared" ca="1" si="75"/>
        <v>2930</v>
      </c>
    </row>
    <row r="2390" spans="1:2" x14ac:dyDescent="0.25">
      <c r="A2390" s="20">
        <f t="shared" ca="1" si="74"/>
        <v>0.95133644462233857</v>
      </c>
      <c r="B2390" s="21">
        <f t="shared" ca="1" si="75"/>
        <v>4412</v>
      </c>
    </row>
    <row r="2391" spans="1:2" x14ac:dyDescent="0.25">
      <c r="A2391" s="20">
        <f t="shared" ca="1" si="74"/>
        <v>4.3269399450422852E-2</v>
      </c>
      <c r="B2391" s="21">
        <f t="shared" ca="1" si="75"/>
        <v>173</v>
      </c>
    </row>
    <row r="2392" spans="1:2" x14ac:dyDescent="0.25">
      <c r="A2392" s="20">
        <f t="shared" ca="1" si="74"/>
        <v>0.80526234742437752</v>
      </c>
      <c r="B2392" s="21">
        <f t="shared" ca="1" si="75"/>
        <v>3727</v>
      </c>
    </row>
    <row r="2393" spans="1:2" x14ac:dyDescent="0.25">
      <c r="A2393" s="20">
        <f t="shared" ca="1" si="74"/>
        <v>1.1279204544911048E-2</v>
      </c>
      <c r="B2393" s="21">
        <f t="shared" ca="1" si="75"/>
        <v>41</v>
      </c>
    </row>
    <row r="2394" spans="1:2" x14ac:dyDescent="0.25">
      <c r="A2394" s="20">
        <f t="shared" ca="1" si="74"/>
        <v>0.91097315320358074</v>
      </c>
      <c r="B2394" s="21">
        <f t="shared" ca="1" si="75"/>
        <v>4203</v>
      </c>
    </row>
    <row r="2395" spans="1:2" x14ac:dyDescent="0.25">
      <c r="A2395" s="20">
        <f t="shared" ca="1" si="74"/>
        <v>0.44134403312060688</v>
      </c>
      <c r="B2395" s="21">
        <f t="shared" ca="1" si="75"/>
        <v>2065</v>
      </c>
    </row>
    <row r="2396" spans="1:2" x14ac:dyDescent="0.25">
      <c r="A2396" s="20">
        <f t="shared" ca="1" si="74"/>
        <v>0.88383171364030821</v>
      </c>
      <c r="B2396" s="21">
        <f t="shared" ca="1" si="75"/>
        <v>4074</v>
      </c>
    </row>
    <row r="2397" spans="1:2" x14ac:dyDescent="0.25">
      <c r="A2397" s="20">
        <f t="shared" ca="1" si="74"/>
        <v>0.70241327357557481</v>
      </c>
      <c r="B2397" s="21">
        <f t="shared" ca="1" si="75"/>
        <v>3251</v>
      </c>
    </row>
    <row r="2398" spans="1:2" x14ac:dyDescent="0.25">
      <c r="A2398" s="20">
        <f t="shared" ca="1" si="74"/>
        <v>0.43576164267823703</v>
      </c>
      <c r="B2398" s="21">
        <f t="shared" ca="1" si="75"/>
        <v>2043</v>
      </c>
    </row>
    <row r="2399" spans="1:2" x14ac:dyDescent="0.25">
      <c r="A2399" s="20">
        <f t="shared" ca="1" si="74"/>
        <v>0.39695295791725049</v>
      </c>
      <c r="B2399" s="21">
        <f t="shared" ca="1" si="75"/>
        <v>1865</v>
      </c>
    </row>
    <row r="2400" spans="1:2" x14ac:dyDescent="0.25">
      <c r="A2400" s="20">
        <f t="shared" ca="1" si="74"/>
        <v>0.10816851621470369</v>
      </c>
      <c r="B2400" s="21">
        <f t="shared" ca="1" si="75"/>
        <v>477</v>
      </c>
    </row>
    <row r="2401" spans="1:2" x14ac:dyDescent="0.25">
      <c r="A2401" s="20">
        <f t="shared" ca="1" si="74"/>
        <v>0.17830422376176969</v>
      </c>
      <c r="B2401" s="21">
        <f t="shared" ca="1" si="75"/>
        <v>815</v>
      </c>
    </row>
    <row r="2402" spans="1:2" x14ac:dyDescent="0.25">
      <c r="A2402" s="20">
        <f t="shared" ca="1" si="74"/>
        <v>0.55674187139201603</v>
      </c>
      <c r="B2402" s="21">
        <f t="shared" ca="1" si="75"/>
        <v>2604</v>
      </c>
    </row>
    <row r="2403" spans="1:2" x14ac:dyDescent="0.25">
      <c r="A2403" s="20">
        <f t="shared" ca="1" si="74"/>
        <v>0.61280664438584176</v>
      </c>
      <c r="B2403" s="21">
        <f t="shared" ca="1" si="75"/>
        <v>2854</v>
      </c>
    </row>
    <row r="2404" spans="1:2" x14ac:dyDescent="0.25">
      <c r="A2404" s="20">
        <f t="shared" ca="1" si="74"/>
        <v>0.51748651908580545</v>
      </c>
      <c r="B2404" s="21">
        <f t="shared" ca="1" si="75"/>
        <v>2417</v>
      </c>
    </row>
    <row r="2405" spans="1:2" x14ac:dyDescent="0.25">
      <c r="A2405" s="20">
        <f t="shared" ca="1" si="74"/>
        <v>0.94513234017524694</v>
      </c>
      <c r="B2405" s="21">
        <f t="shared" ca="1" si="75"/>
        <v>4376</v>
      </c>
    </row>
    <row r="2406" spans="1:2" x14ac:dyDescent="0.25">
      <c r="A2406" s="20">
        <f t="shared" ca="1" si="74"/>
        <v>0.61096151544189237</v>
      </c>
      <c r="B2406" s="21">
        <f t="shared" ca="1" si="75"/>
        <v>2845</v>
      </c>
    </row>
    <row r="2407" spans="1:2" x14ac:dyDescent="0.25">
      <c r="A2407" s="20">
        <f t="shared" ca="1" si="74"/>
        <v>0.51902002142955328</v>
      </c>
      <c r="B2407" s="21">
        <f t="shared" ca="1" si="75"/>
        <v>2427</v>
      </c>
    </row>
    <row r="2408" spans="1:2" x14ac:dyDescent="0.25">
      <c r="A2408" s="20">
        <f t="shared" ca="1" si="74"/>
        <v>0.15757560385844183</v>
      </c>
      <c r="B2408" s="21">
        <f t="shared" ca="1" si="75"/>
        <v>707</v>
      </c>
    </row>
    <row r="2409" spans="1:2" x14ac:dyDescent="0.25">
      <c r="A2409" s="20">
        <f t="shared" ca="1" si="74"/>
        <v>0.41497015426217976</v>
      </c>
      <c r="B2409" s="21">
        <f t="shared" ca="1" si="75"/>
        <v>1947</v>
      </c>
    </row>
    <row r="2410" spans="1:2" x14ac:dyDescent="0.25">
      <c r="A2410" s="20">
        <f t="shared" ca="1" si="74"/>
        <v>0.47664948771513849</v>
      </c>
      <c r="B2410" s="21">
        <f t="shared" ca="1" si="75"/>
        <v>2222</v>
      </c>
    </row>
    <row r="2411" spans="1:2" x14ac:dyDescent="0.25">
      <c r="A2411" s="20">
        <f t="shared" ca="1" si="74"/>
        <v>0.98432247510926885</v>
      </c>
      <c r="B2411" s="21">
        <f t="shared" ca="1" si="75"/>
        <v>4555</v>
      </c>
    </row>
    <row r="2412" spans="1:2" x14ac:dyDescent="0.25">
      <c r="A2412" s="20">
        <f t="shared" ca="1" si="74"/>
        <v>0.7669646095098509</v>
      </c>
      <c r="B2412" s="21">
        <f t="shared" ca="1" si="75"/>
        <v>3553</v>
      </c>
    </row>
    <row r="2413" spans="1:2" x14ac:dyDescent="0.25">
      <c r="A2413" s="20">
        <f t="shared" ca="1" si="74"/>
        <v>0.72419919124296483</v>
      </c>
      <c r="B2413" s="21">
        <f t="shared" ca="1" si="75"/>
        <v>3352</v>
      </c>
    </row>
    <row r="2414" spans="1:2" x14ac:dyDescent="0.25">
      <c r="A2414" s="20">
        <f t="shared" ca="1" si="74"/>
        <v>0.18067630006770041</v>
      </c>
      <c r="B2414" s="21">
        <f t="shared" ca="1" si="75"/>
        <v>824</v>
      </c>
    </row>
    <row r="2415" spans="1:2" x14ac:dyDescent="0.25">
      <c r="A2415" s="20">
        <f t="shared" ca="1" si="74"/>
        <v>0.84933839071970751</v>
      </c>
      <c r="B2415" s="21">
        <f t="shared" ca="1" si="75"/>
        <v>3924</v>
      </c>
    </row>
    <row r="2416" spans="1:2" x14ac:dyDescent="0.25">
      <c r="A2416" s="20">
        <f t="shared" ca="1" si="74"/>
        <v>0.24076255356835963</v>
      </c>
      <c r="B2416" s="21">
        <f t="shared" ca="1" si="75"/>
        <v>1128</v>
      </c>
    </row>
    <row r="2417" spans="1:2" x14ac:dyDescent="0.25">
      <c r="A2417" s="20">
        <f t="shared" ca="1" si="74"/>
        <v>0.47705491843394987</v>
      </c>
      <c r="B2417" s="21">
        <f t="shared" ca="1" si="75"/>
        <v>2224</v>
      </c>
    </row>
    <row r="2418" spans="1:2" x14ac:dyDescent="0.25">
      <c r="A2418" s="20">
        <f t="shared" ca="1" si="74"/>
        <v>0.40886960485053037</v>
      </c>
      <c r="B2418" s="21">
        <f t="shared" ca="1" si="75"/>
        <v>1922</v>
      </c>
    </row>
    <row r="2419" spans="1:2" x14ac:dyDescent="0.25">
      <c r="A2419" s="20">
        <f t="shared" ca="1" si="74"/>
        <v>0.93610844722685116</v>
      </c>
      <c r="B2419" s="21">
        <f t="shared" ca="1" si="75"/>
        <v>4329</v>
      </c>
    </row>
    <row r="2420" spans="1:2" x14ac:dyDescent="0.25">
      <c r="A2420" s="20">
        <f t="shared" ca="1" si="74"/>
        <v>0.64074628350202978</v>
      </c>
      <c r="B2420" s="21">
        <f t="shared" ca="1" si="75"/>
        <v>2969</v>
      </c>
    </row>
    <row r="2421" spans="1:2" x14ac:dyDescent="0.25">
      <c r="A2421" s="20">
        <f t="shared" ca="1" si="74"/>
        <v>0.85396602932161991</v>
      </c>
      <c r="B2421" s="21">
        <f t="shared" ca="1" si="75"/>
        <v>3947</v>
      </c>
    </row>
    <row r="2422" spans="1:2" x14ac:dyDescent="0.25">
      <c r="A2422" s="20">
        <f t="shared" ca="1" si="74"/>
        <v>0.39720673052798472</v>
      </c>
      <c r="B2422" s="21">
        <f t="shared" ca="1" si="75"/>
        <v>1867</v>
      </c>
    </row>
    <row r="2423" spans="1:2" x14ac:dyDescent="0.25">
      <c r="A2423" s="20">
        <f t="shared" ca="1" si="74"/>
        <v>0.36685974230864671</v>
      </c>
      <c r="B2423" s="21">
        <f t="shared" ca="1" si="75"/>
        <v>1740</v>
      </c>
    </row>
    <row r="2424" spans="1:2" x14ac:dyDescent="0.25">
      <c r="A2424" s="20">
        <f t="shared" ca="1" si="74"/>
        <v>0.73424122444212547</v>
      </c>
      <c r="B2424" s="21">
        <f t="shared" ca="1" si="75"/>
        <v>3401</v>
      </c>
    </row>
    <row r="2425" spans="1:2" x14ac:dyDescent="0.25">
      <c r="A2425" s="20">
        <f t="shared" ca="1" si="74"/>
        <v>0.69133289594171343</v>
      </c>
      <c r="B2425" s="21">
        <f t="shared" ca="1" si="75"/>
        <v>3208</v>
      </c>
    </row>
    <row r="2426" spans="1:2" x14ac:dyDescent="0.25">
      <c r="A2426" s="20">
        <f t="shared" ca="1" si="74"/>
        <v>0.11888321298785287</v>
      </c>
      <c r="B2426" s="21">
        <f t="shared" ca="1" si="75"/>
        <v>520</v>
      </c>
    </row>
    <row r="2427" spans="1:2" x14ac:dyDescent="0.25">
      <c r="A2427" s="20">
        <f t="shared" ca="1" si="74"/>
        <v>0.20748322053594215</v>
      </c>
      <c r="B2427" s="21">
        <f t="shared" ca="1" si="75"/>
        <v>965</v>
      </c>
    </row>
    <row r="2428" spans="1:2" x14ac:dyDescent="0.25">
      <c r="A2428" s="20">
        <f t="shared" ca="1" si="74"/>
        <v>0.15781555790468227</v>
      </c>
      <c r="B2428" s="21">
        <f t="shared" ca="1" si="75"/>
        <v>710</v>
      </c>
    </row>
    <row r="2429" spans="1:2" x14ac:dyDescent="0.25">
      <c r="A2429" s="20">
        <f t="shared" ca="1" si="74"/>
        <v>0.13551257754707569</v>
      </c>
      <c r="B2429" s="21">
        <f t="shared" ca="1" si="75"/>
        <v>595</v>
      </c>
    </row>
    <row r="2430" spans="1:2" x14ac:dyDescent="0.25">
      <c r="A2430" s="20">
        <f t="shared" ca="1" si="74"/>
        <v>9.6905959317434953E-2</v>
      </c>
      <c r="B2430" s="21">
        <f t="shared" ca="1" si="75"/>
        <v>434</v>
      </c>
    </row>
    <row r="2431" spans="1:2" x14ac:dyDescent="0.25">
      <c r="A2431" s="20">
        <f t="shared" ca="1" si="74"/>
        <v>0.93065856679059589</v>
      </c>
      <c r="B2431" s="21">
        <f t="shared" ca="1" si="75"/>
        <v>4297</v>
      </c>
    </row>
    <row r="2432" spans="1:2" x14ac:dyDescent="0.25">
      <c r="A2432" s="20">
        <f t="shared" ca="1" si="74"/>
        <v>0.42098506026342519</v>
      </c>
      <c r="B2432" s="21">
        <f t="shared" ca="1" si="75"/>
        <v>1974</v>
      </c>
    </row>
    <row r="2433" spans="1:2" x14ac:dyDescent="0.25">
      <c r="A2433" s="20">
        <f t="shared" ca="1" si="74"/>
        <v>5.4023197666320688E-2</v>
      </c>
      <c r="B2433" s="21">
        <f t="shared" ca="1" si="75"/>
        <v>230</v>
      </c>
    </row>
    <row r="2434" spans="1:2" x14ac:dyDescent="0.25">
      <c r="A2434" s="20">
        <f t="shared" ca="1" si="74"/>
        <v>0.77663462068405253</v>
      </c>
      <c r="B2434" s="21">
        <f t="shared" ca="1" si="75"/>
        <v>3604</v>
      </c>
    </row>
    <row r="2435" spans="1:2" x14ac:dyDescent="0.25">
      <c r="A2435" s="20">
        <f t="shared" ref="A2435:A2498" ca="1" si="76">RAND()</f>
        <v>0.48795034752345356</v>
      </c>
      <c r="B2435" s="21">
        <f t="shared" ref="B2435:B2498" ca="1" si="77">_xlfn.RANK.EQ($A2435,$A:$A,1)</f>
        <v>2274</v>
      </c>
    </row>
    <row r="2436" spans="1:2" x14ac:dyDescent="0.25">
      <c r="A2436" s="20">
        <f t="shared" ca="1" si="76"/>
        <v>0.20189308777618198</v>
      </c>
      <c r="B2436" s="21">
        <f t="shared" ca="1" si="77"/>
        <v>935</v>
      </c>
    </row>
    <row r="2437" spans="1:2" x14ac:dyDescent="0.25">
      <c r="A2437" s="20">
        <f t="shared" ca="1" si="76"/>
        <v>6.9330270626042911E-2</v>
      </c>
      <c r="B2437" s="21">
        <f t="shared" ca="1" si="77"/>
        <v>311</v>
      </c>
    </row>
    <row r="2438" spans="1:2" x14ac:dyDescent="0.25">
      <c r="A2438" s="20">
        <f t="shared" ca="1" si="76"/>
        <v>0.69428251378635486</v>
      </c>
      <c r="B2438" s="21">
        <f t="shared" ca="1" si="77"/>
        <v>3219</v>
      </c>
    </row>
    <row r="2439" spans="1:2" x14ac:dyDescent="0.25">
      <c r="A2439" s="20">
        <f t="shared" ca="1" si="76"/>
        <v>0.45686545297509895</v>
      </c>
      <c r="B2439" s="21">
        <f t="shared" ca="1" si="77"/>
        <v>2147</v>
      </c>
    </row>
    <row r="2440" spans="1:2" x14ac:dyDescent="0.25">
      <c r="A2440" s="20">
        <f t="shared" ca="1" si="76"/>
        <v>0.24674743497298957</v>
      </c>
      <c r="B2440" s="21">
        <f t="shared" ca="1" si="77"/>
        <v>1154</v>
      </c>
    </row>
    <row r="2441" spans="1:2" x14ac:dyDescent="0.25">
      <c r="A2441" s="20">
        <f t="shared" ca="1" si="76"/>
        <v>5.512109886909855E-2</v>
      </c>
      <c r="B2441" s="21">
        <f t="shared" ca="1" si="77"/>
        <v>236</v>
      </c>
    </row>
    <row r="2442" spans="1:2" x14ac:dyDescent="0.25">
      <c r="A2442" s="20">
        <f t="shared" ca="1" si="76"/>
        <v>0.74844697900132107</v>
      </c>
      <c r="B2442" s="21">
        <f t="shared" ca="1" si="77"/>
        <v>3464</v>
      </c>
    </row>
    <row r="2443" spans="1:2" x14ac:dyDescent="0.25">
      <c r="A2443" s="20">
        <f t="shared" ca="1" si="76"/>
        <v>0.2354903486889528</v>
      </c>
      <c r="B2443" s="21">
        <f t="shared" ca="1" si="77"/>
        <v>1106</v>
      </c>
    </row>
    <row r="2444" spans="1:2" x14ac:dyDescent="0.25">
      <c r="A2444" s="20">
        <f t="shared" ca="1" si="76"/>
        <v>0.67526405683684543</v>
      </c>
      <c r="B2444" s="21">
        <f t="shared" ca="1" si="77"/>
        <v>3126</v>
      </c>
    </row>
    <row r="2445" spans="1:2" x14ac:dyDescent="0.25">
      <c r="A2445" s="20">
        <f t="shared" ca="1" si="76"/>
        <v>0.36553299875950707</v>
      </c>
      <c r="B2445" s="21">
        <f t="shared" ca="1" si="77"/>
        <v>1734</v>
      </c>
    </row>
    <row r="2446" spans="1:2" x14ac:dyDescent="0.25">
      <c r="A2446" s="20">
        <f t="shared" ca="1" si="76"/>
        <v>0.70194102417230197</v>
      </c>
      <c r="B2446" s="21">
        <f t="shared" ca="1" si="77"/>
        <v>3250</v>
      </c>
    </row>
    <row r="2447" spans="1:2" x14ac:dyDescent="0.25">
      <c r="A2447" s="20">
        <f t="shared" ca="1" si="76"/>
        <v>0.64426917546322127</v>
      </c>
      <c r="B2447" s="21">
        <f t="shared" ca="1" si="77"/>
        <v>2993</v>
      </c>
    </row>
    <row r="2448" spans="1:2" x14ac:dyDescent="0.25">
      <c r="A2448" s="20">
        <f t="shared" ca="1" si="76"/>
        <v>0.20196529656112172</v>
      </c>
      <c r="B2448" s="21">
        <f t="shared" ca="1" si="77"/>
        <v>936</v>
      </c>
    </row>
    <row r="2449" spans="1:2" x14ac:dyDescent="0.25">
      <c r="A2449" s="20">
        <f t="shared" ca="1" si="76"/>
        <v>0.88075321717960353</v>
      </c>
      <c r="B2449" s="21">
        <f t="shared" ca="1" si="77"/>
        <v>4058</v>
      </c>
    </row>
    <row r="2450" spans="1:2" x14ac:dyDescent="0.25">
      <c r="A2450" s="20">
        <f t="shared" ca="1" si="76"/>
        <v>0.16436196590769747</v>
      </c>
      <c r="B2450" s="21">
        <f t="shared" ca="1" si="77"/>
        <v>734</v>
      </c>
    </row>
    <row r="2451" spans="1:2" x14ac:dyDescent="0.25">
      <c r="A2451" s="20">
        <f t="shared" ca="1" si="76"/>
        <v>0.60339994033491196</v>
      </c>
      <c r="B2451" s="21">
        <f t="shared" ca="1" si="77"/>
        <v>2816</v>
      </c>
    </row>
    <row r="2452" spans="1:2" x14ac:dyDescent="0.25">
      <c r="A2452" s="20">
        <f t="shared" ca="1" si="76"/>
        <v>0.28178884743658139</v>
      </c>
      <c r="B2452" s="21">
        <f t="shared" ca="1" si="77"/>
        <v>1311</v>
      </c>
    </row>
    <row r="2453" spans="1:2" x14ac:dyDescent="0.25">
      <c r="A2453" s="20">
        <f t="shared" ca="1" si="76"/>
        <v>0.18395495052521538</v>
      </c>
      <c r="B2453" s="21">
        <f t="shared" ca="1" si="77"/>
        <v>845</v>
      </c>
    </row>
    <row r="2454" spans="1:2" x14ac:dyDescent="0.25">
      <c r="A2454" s="20">
        <f t="shared" ca="1" si="76"/>
        <v>0.1843634761070192</v>
      </c>
      <c r="B2454" s="21">
        <f t="shared" ca="1" si="77"/>
        <v>848</v>
      </c>
    </row>
    <row r="2455" spans="1:2" x14ac:dyDescent="0.25">
      <c r="A2455" s="20">
        <f t="shared" ca="1" si="76"/>
        <v>0.79291550478086947</v>
      </c>
      <c r="B2455" s="21">
        <f t="shared" ca="1" si="77"/>
        <v>3668</v>
      </c>
    </row>
    <row r="2456" spans="1:2" x14ac:dyDescent="0.25">
      <c r="A2456" s="20">
        <f t="shared" ca="1" si="76"/>
        <v>0.71965508867827932</v>
      </c>
      <c r="B2456" s="21">
        <f t="shared" ca="1" si="77"/>
        <v>3332</v>
      </c>
    </row>
    <row r="2457" spans="1:2" x14ac:dyDescent="0.25">
      <c r="A2457" s="20">
        <f t="shared" ca="1" si="76"/>
        <v>1.653946199039702E-2</v>
      </c>
      <c r="B2457" s="21">
        <f t="shared" ca="1" si="77"/>
        <v>57</v>
      </c>
    </row>
    <row r="2458" spans="1:2" x14ac:dyDescent="0.25">
      <c r="A2458" s="20">
        <f t="shared" ca="1" si="76"/>
        <v>0.67480041364868548</v>
      </c>
      <c r="B2458" s="21">
        <f t="shared" ca="1" si="77"/>
        <v>3121</v>
      </c>
    </row>
    <row r="2459" spans="1:2" x14ac:dyDescent="0.25">
      <c r="A2459" s="20">
        <f t="shared" ca="1" si="76"/>
        <v>0.62777814202101767</v>
      </c>
      <c r="B2459" s="21">
        <f t="shared" ca="1" si="77"/>
        <v>2907</v>
      </c>
    </row>
    <row r="2460" spans="1:2" x14ac:dyDescent="0.25">
      <c r="A2460" s="20">
        <f t="shared" ca="1" si="76"/>
        <v>0.5793631736420134</v>
      </c>
      <c r="B2460" s="21">
        <f t="shared" ca="1" si="77"/>
        <v>2704</v>
      </c>
    </row>
    <row r="2461" spans="1:2" x14ac:dyDescent="0.25">
      <c r="A2461" s="20">
        <f t="shared" ca="1" si="76"/>
        <v>2.4926716888595823E-3</v>
      </c>
      <c r="B2461" s="21">
        <f t="shared" ca="1" si="77"/>
        <v>12</v>
      </c>
    </row>
    <row r="2462" spans="1:2" x14ac:dyDescent="0.25">
      <c r="A2462" s="20">
        <f t="shared" ca="1" si="76"/>
        <v>8.5047224904983731E-2</v>
      </c>
      <c r="B2462" s="21">
        <f t="shared" ca="1" si="77"/>
        <v>381</v>
      </c>
    </row>
    <row r="2463" spans="1:2" x14ac:dyDescent="0.25">
      <c r="A2463" s="20">
        <f t="shared" ca="1" si="76"/>
        <v>0.60786915290889088</v>
      </c>
      <c r="B2463" s="21">
        <f t="shared" ca="1" si="77"/>
        <v>2831</v>
      </c>
    </row>
    <row r="2464" spans="1:2" x14ac:dyDescent="0.25">
      <c r="A2464" s="20">
        <f t="shared" ca="1" si="76"/>
        <v>0.60020216454839703</v>
      </c>
      <c r="B2464" s="21">
        <f t="shared" ca="1" si="77"/>
        <v>2804</v>
      </c>
    </row>
    <row r="2465" spans="1:2" x14ac:dyDescent="0.25">
      <c r="A2465" s="20">
        <f t="shared" ca="1" si="76"/>
        <v>0.37065159410039727</v>
      </c>
      <c r="B2465" s="21">
        <f t="shared" ca="1" si="77"/>
        <v>1760</v>
      </c>
    </row>
    <row r="2466" spans="1:2" x14ac:dyDescent="0.25">
      <c r="A2466" s="20">
        <f t="shared" ca="1" si="76"/>
        <v>0.91474007350602771</v>
      </c>
      <c r="B2466" s="21">
        <f t="shared" ca="1" si="77"/>
        <v>4222</v>
      </c>
    </row>
    <row r="2467" spans="1:2" x14ac:dyDescent="0.25">
      <c r="A2467" s="20">
        <f t="shared" ca="1" si="76"/>
        <v>0.92042123402057507</v>
      </c>
      <c r="B2467" s="21">
        <f t="shared" ca="1" si="77"/>
        <v>4245</v>
      </c>
    </row>
    <row r="2468" spans="1:2" x14ac:dyDescent="0.25">
      <c r="A2468" s="20">
        <f t="shared" ca="1" si="76"/>
        <v>0.52252058494413434</v>
      </c>
      <c r="B2468" s="21">
        <f t="shared" ca="1" si="77"/>
        <v>2440</v>
      </c>
    </row>
    <row r="2469" spans="1:2" x14ac:dyDescent="0.25">
      <c r="A2469" s="20">
        <f t="shared" ca="1" si="76"/>
        <v>0.97836027085768529</v>
      </c>
      <c r="B2469" s="21">
        <f t="shared" ca="1" si="77"/>
        <v>4535</v>
      </c>
    </row>
    <row r="2470" spans="1:2" x14ac:dyDescent="0.25">
      <c r="A2470" s="20">
        <f t="shared" ca="1" si="76"/>
        <v>0.79167558385369674</v>
      </c>
      <c r="B2470" s="21">
        <f t="shared" ca="1" si="77"/>
        <v>3664</v>
      </c>
    </row>
    <row r="2471" spans="1:2" x14ac:dyDescent="0.25">
      <c r="A2471" s="20">
        <f t="shared" ca="1" si="76"/>
        <v>0.89884384702416886</v>
      </c>
      <c r="B2471" s="21">
        <f t="shared" ca="1" si="77"/>
        <v>4142</v>
      </c>
    </row>
    <row r="2472" spans="1:2" x14ac:dyDescent="0.25">
      <c r="A2472" s="20">
        <f t="shared" ca="1" si="76"/>
        <v>0.91989107562523187</v>
      </c>
      <c r="B2472" s="21">
        <f t="shared" ca="1" si="77"/>
        <v>4241</v>
      </c>
    </row>
    <row r="2473" spans="1:2" x14ac:dyDescent="0.25">
      <c r="A2473" s="20">
        <f t="shared" ca="1" si="76"/>
        <v>0.47392263111475486</v>
      </c>
      <c r="B2473" s="21">
        <f t="shared" ca="1" si="77"/>
        <v>2213</v>
      </c>
    </row>
    <row r="2474" spans="1:2" x14ac:dyDescent="0.25">
      <c r="A2474" s="20">
        <f t="shared" ca="1" si="76"/>
        <v>0.72634052967401641</v>
      </c>
      <c r="B2474" s="21">
        <f t="shared" ca="1" si="77"/>
        <v>3360</v>
      </c>
    </row>
    <row r="2475" spans="1:2" x14ac:dyDescent="0.25">
      <c r="A2475" s="20">
        <f t="shared" ca="1" si="76"/>
        <v>0.21060045834267072</v>
      </c>
      <c r="B2475" s="21">
        <f t="shared" ca="1" si="77"/>
        <v>983</v>
      </c>
    </row>
    <row r="2476" spans="1:2" x14ac:dyDescent="0.25">
      <c r="A2476" s="20">
        <f t="shared" ca="1" si="76"/>
        <v>0.39115126581818327</v>
      </c>
      <c r="B2476" s="21">
        <f t="shared" ca="1" si="77"/>
        <v>1839</v>
      </c>
    </row>
    <row r="2477" spans="1:2" x14ac:dyDescent="0.25">
      <c r="A2477" s="20">
        <f t="shared" ca="1" si="76"/>
        <v>0.33601939737258901</v>
      </c>
      <c r="B2477" s="21">
        <f t="shared" ca="1" si="77"/>
        <v>1575</v>
      </c>
    </row>
    <row r="2478" spans="1:2" x14ac:dyDescent="0.25">
      <c r="A2478" s="20">
        <f t="shared" ca="1" si="76"/>
        <v>0.53517251985168068</v>
      </c>
      <c r="B2478" s="21">
        <f t="shared" ca="1" si="77"/>
        <v>2500</v>
      </c>
    </row>
    <row r="2479" spans="1:2" x14ac:dyDescent="0.25">
      <c r="A2479" s="20">
        <f t="shared" ca="1" si="76"/>
        <v>0.86782063686611277</v>
      </c>
      <c r="B2479" s="21">
        <f t="shared" ca="1" si="77"/>
        <v>4004</v>
      </c>
    </row>
    <row r="2480" spans="1:2" x14ac:dyDescent="0.25">
      <c r="A2480" s="20">
        <f t="shared" ca="1" si="76"/>
        <v>0.5129882591342968</v>
      </c>
      <c r="B2480" s="21">
        <f t="shared" ca="1" si="77"/>
        <v>2398</v>
      </c>
    </row>
    <row r="2481" spans="1:2" x14ac:dyDescent="0.25">
      <c r="A2481" s="20">
        <f t="shared" ca="1" si="76"/>
        <v>0.6269438094522054</v>
      </c>
      <c r="B2481" s="21">
        <f t="shared" ca="1" si="77"/>
        <v>2901</v>
      </c>
    </row>
    <row r="2482" spans="1:2" x14ac:dyDescent="0.25">
      <c r="A2482" s="20">
        <f t="shared" ca="1" si="76"/>
        <v>0.45289891792551107</v>
      </c>
      <c r="B2482" s="21">
        <f t="shared" ca="1" si="77"/>
        <v>2117</v>
      </c>
    </row>
    <row r="2483" spans="1:2" x14ac:dyDescent="0.25">
      <c r="A2483" s="20">
        <f t="shared" ca="1" si="76"/>
        <v>0.21562606756507263</v>
      </c>
      <c r="B2483" s="21">
        <f t="shared" ca="1" si="77"/>
        <v>1007</v>
      </c>
    </row>
    <row r="2484" spans="1:2" x14ac:dyDescent="0.25">
      <c r="A2484" s="20">
        <f t="shared" ca="1" si="76"/>
        <v>0.12336164537625949</v>
      </c>
      <c r="B2484" s="21">
        <f t="shared" ca="1" si="77"/>
        <v>549</v>
      </c>
    </row>
    <row r="2485" spans="1:2" x14ac:dyDescent="0.25">
      <c r="A2485" s="20">
        <f t="shared" ca="1" si="76"/>
        <v>0.54439207524652244</v>
      </c>
      <c r="B2485" s="21">
        <f t="shared" ca="1" si="77"/>
        <v>2542</v>
      </c>
    </row>
    <row r="2486" spans="1:2" x14ac:dyDescent="0.25">
      <c r="A2486" s="20">
        <f t="shared" ca="1" si="76"/>
        <v>0.35023823927477704</v>
      </c>
      <c r="B2486" s="21">
        <f t="shared" ca="1" si="77"/>
        <v>1655</v>
      </c>
    </row>
    <row r="2487" spans="1:2" x14ac:dyDescent="0.25">
      <c r="A2487" s="20">
        <f t="shared" ca="1" si="76"/>
        <v>0.11100555329723683</v>
      </c>
      <c r="B2487" s="21">
        <f t="shared" ca="1" si="77"/>
        <v>490</v>
      </c>
    </row>
    <row r="2488" spans="1:2" x14ac:dyDescent="0.25">
      <c r="A2488" s="20">
        <f t="shared" ca="1" si="76"/>
        <v>0.53396901314792933</v>
      </c>
      <c r="B2488" s="21">
        <f t="shared" ca="1" si="77"/>
        <v>2492</v>
      </c>
    </row>
    <row r="2489" spans="1:2" x14ac:dyDescent="0.25">
      <c r="A2489" s="20">
        <f t="shared" ca="1" si="76"/>
        <v>0.22027537333391767</v>
      </c>
      <c r="B2489" s="21">
        <f t="shared" ca="1" si="77"/>
        <v>1033</v>
      </c>
    </row>
    <row r="2490" spans="1:2" x14ac:dyDescent="0.25">
      <c r="A2490" s="20">
        <f t="shared" ca="1" si="76"/>
        <v>0.34905846410009855</v>
      </c>
      <c r="B2490" s="21">
        <f t="shared" ca="1" si="77"/>
        <v>1646</v>
      </c>
    </row>
    <row r="2491" spans="1:2" x14ac:dyDescent="0.25">
      <c r="A2491" s="20">
        <f t="shared" ca="1" si="76"/>
        <v>0.31468952747601875</v>
      </c>
      <c r="B2491" s="21">
        <f t="shared" ca="1" si="77"/>
        <v>1474</v>
      </c>
    </row>
    <row r="2492" spans="1:2" x14ac:dyDescent="0.25">
      <c r="A2492" s="20">
        <f t="shared" ca="1" si="76"/>
        <v>0.51661230308654071</v>
      </c>
      <c r="B2492" s="21">
        <f t="shared" ca="1" si="77"/>
        <v>2411</v>
      </c>
    </row>
    <row r="2493" spans="1:2" x14ac:dyDescent="0.25">
      <c r="A2493" s="20">
        <f t="shared" ca="1" si="76"/>
        <v>1.4895993857308554E-2</v>
      </c>
      <c r="B2493" s="21">
        <f t="shared" ca="1" si="77"/>
        <v>54</v>
      </c>
    </row>
    <row r="2494" spans="1:2" x14ac:dyDescent="0.25">
      <c r="A2494" s="20">
        <f t="shared" ca="1" si="76"/>
        <v>0.60396574685073678</v>
      </c>
      <c r="B2494" s="21">
        <f t="shared" ca="1" si="77"/>
        <v>2818</v>
      </c>
    </row>
    <row r="2495" spans="1:2" x14ac:dyDescent="0.25">
      <c r="A2495" s="20">
        <f t="shared" ca="1" si="76"/>
        <v>0.32103447022539344</v>
      </c>
      <c r="B2495" s="21">
        <f t="shared" ca="1" si="77"/>
        <v>1510</v>
      </c>
    </row>
    <row r="2496" spans="1:2" x14ac:dyDescent="0.25">
      <c r="A2496" s="20">
        <f t="shared" ca="1" si="76"/>
        <v>6.0912521259522956E-2</v>
      </c>
      <c r="B2496" s="21">
        <f t="shared" ca="1" si="77"/>
        <v>262</v>
      </c>
    </row>
    <row r="2497" spans="1:2" x14ac:dyDescent="0.25">
      <c r="A2497" s="20">
        <f t="shared" ca="1" si="76"/>
        <v>4.929940115225373E-2</v>
      </c>
      <c r="B2497" s="21">
        <f t="shared" ca="1" si="77"/>
        <v>205</v>
      </c>
    </row>
    <row r="2498" spans="1:2" x14ac:dyDescent="0.25">
      <c r="A2498" s="20">
        <f t="shared" ca="1" si="76"/>
        <v>0.12001451456259382</v>
      </c>
      <c r="B2498" s="21">
        <f t="shared" ca="1" si="77"/>
        <v>526</v>
      </c>
    </row>
    <row r="2499" spans="1:2" x14ac:dyDescent="0.25">
      <c r="A2499" s="20">
        <f t="shared" ref="A2499:A2562" ca="1" si="78">RAND()</f>
        <v>0.29579432068300848</v>
      </c>
      <c r="B2499" s="21">
        <f t="shared" ref="B2499:B2562" ca="1" si="79">_xlfn.RANK.EQ($A2499,$A:$A,1)</f>
        <v>1390</v>
      </c>
    </row>
    <row r="2500" spans="1:2" x14ac:dyDescent="0.25">
      <c r="A2500" s="20">
        <f t="shared" ca="1" si="78"/>
        <v>8.5101213989001723E-2</v>
      </c>
      <c r="B2500" s="21">
        <f t="shared" ca="1" si="79"/>
        <v>382</v>
      </c>
    </row>
    <row r="2501" spans="1:2" x14ac:dyDescent="0.25">
      <c r="A2501" s="20">
        <f t="shared" ca="1" si="78"/>
        <v>0.42204988669972765</v>
      </c>
      <c r="B2501" s="21">
        <f t="shared" ca="1" si="79"/>
        <v>1983</v>
      </c>
    </row>
    <row r="2502" spans="1:2" x14ac:dyDescent="0.25">
      <c r="A2502" s="20">
        <f t="shared" ca="1" si="78"/>
        <v>0.19433391241914444</v>
      </c>
      <c r="B2502" s="21">
        <f t="shared" ca="1" si="79"/>
        <v>900</v>
      </c>
    </row>
    <row r="2503" spans="1:2" x14ac:dyDescent="0.25">
      <c r="A2503" s="20">
        <f t="shared" ca="1" si="78"/>
        <v>0.76028210293069243</v>
      </c>
      <c r="B2503" s="21">
        <f t="shared" ca="1" si="79"/>
        <v>3523</v>
      </c>
    </row>
    <row r="2504" spans="1:2" x14ac:dyDescent="0.25">
      <c r="A2504" s="20">
        <f t="shared" ca="1" si="78"/>
        <v>0.25927219210649743</v>
      </c>
      <c r="B2504" s="21">
        <f t="shared" ca="1" si="79"/>
        <v>1208</v>
      </c>
    </row>
    <row r="2505" spans="1:2" x14ac:dyDescent="0.25">
      <c r="A2505" s="20">
        <f t="shared" ca="1" si="78"/>
        <v>0.27349497112014309</v>
      </c>
      <c r="B2505" s="21">
        <f t="shared" ca="1" si="79"/>
        <v>1274</v>
      </c>
    </row>
    <row r="2506" spans="1:2" x14ac:dyDescent="0.25">
      <c r="A2506" s="20">
        <f t="shared" ca="1" si="78"/>
        <v>0.2446292439454818</v>
      </c>
      <c r="B2506" s="21">
        <f t="shared" ca="1" si="79"/>
        <v>1139</v>
      </c>
    </row>
    <row r="2507" spans="1:2" x14ac:dyDescent="0.25">
      <c r="A2507" s="20">
        <f t="shared" ca="1" si="78"/>
        <v>0.79536378095826721</v>
      </c>
      <c r="B2507" s="21">
        <f t="shared" ca="1" si="79"/>
        <v>3681</v>
      </c>
    </row>
    <row r="2508" spans="1:2" x14ac:dyDescent="0.25">
      <c r="A2508" s="20">
        <f t="shared" ca="1" si="78"/>
        <v>0.72122431944756638</v>
      </c>
      <c r="B2508" s="21">
        <f t="shared" ca="1" si="79"/>
        <v>3339</v>
      </c>
    </row>
    <row r="2509" spans="1:2" x14ac:dyDescent="0.25">
      <c r="A2509" s="20">
        <f t="shared" ca="1" si="78"/>
        <v>0.67522813144140414</v>
      </c>
      <c r="B2509" s="21">
        <f t="shared" ca="1" si="79"/>
        <v>3124</v>
      </c>
    </row>
    <row r="2510" spans="1:2" x14ac:dyDescent="0.25">
      <c r="A2510" s="20">
        <f t="shared" ca="1" si="78"/>
        <v>7.4272851481680613E-2</v>
      </c>
      <c r="B2510" s="21">
        <f t="shared" ca="1" si="79"/>
        <v>330</v>
      </c>
    </row>
    <row r="2511" spans="1:2" x14ac:dyDescent="0.25">
      <c r="A2511" s="20">
        <f t="shared" ca="1" si="78"/>
        <v>0.27457083690997119</v>
      </c>
      <c r="B2511" s="21">
        <f t="shared" ca="1" si="79"/>
        <v>1287</v>
      </c>
    </row>
    <row r="2512" spans="1:2" x14ac:dyDescent="0.25">
      <c r="A2512" s="20">
        <f t="shared" ca="1" si="78"/>
        <v>0.21047485926341813</v>
      </c>
      <c r="B2512" s="21">
        <f t="shared" ca="1" si="79"/>
        <v>982</v>
      </c>
    </row>
    <row r="2513" spans="1:2" x14ac:dyDescent="0.25">
      <c r="A2513" s="20">
        <f t="shared" ca="1" si="78"/>
        <v>0.95904173754123434</v>
      </c>
      <c r="B2513" s="21">
        <f t="shared" ca="1" si="79"/>
        <v>4438</v>
      </c>
    </row>
    <row r="2514" spans="1:2" x14ac:dyDescent="0.25">
      <c r="A2514" s="20">
        <f t="shared" ca="1" si="78"/>
        <v>0.14417011597323803</v>
      </c>
      <c r="B2514" s="21">
        <f t="shared" ca="1" si="79"/>
        <v>636</v>
      </c>
    </row>
    <row r="2515" spans="1:2" x14ac:dyDescent="0.25">
      <c r="A2515" s="20">
        <f t="shared" ca="1" si="78"/>
        <v>1.8416291674414609E-2</v>
      </c>
      <c r="B2515" s="21">
        <f t="shared" ca="1" si="79"/>
        <v>68</v>
      </c>
    </row>
    <row r="2516" spans="1:2" x14ac:dyDescent="0.25">
      <c r="A2516" s="20">
        <f t="shared" ca="1" si="78"/>
        <v>0.41342808792034191</v>
      </c>
      <c r="B2516" s="21">
        <f t="shared" ca="1" si="79"/>
        <v>1938</v>
      </c>
    </row>
    <row r="2517" spans="1:2" x14ac:dyDescent="0.25">
      <c r="A2517" s="20">
        <f t="shared" ca="1" si="78"/>
        <v>0.52591206151620618</v>
      </c>
      <c r="B2517" s="21">
        <f t="shared" ca="1" si="79"/>
        <v>2458</v>
      </c>
    </row>
    <row r="2518" spans="1:2" x14ac:dyDescent="0.25">
      <c r="A2518" s="20">
        <f t="shared" ca="1" si="78"/>
        <v>0.99384823126430821</v>
      </c>
      <c r="B2518" s="21">
        <f t="shared" ca="1" si="79"/>
        <v>4594</v>
      </c>
    </row>
    <row r="2519" spans="1:2" x14ac:dyDescent="0.25">
      <c r="A2519" s="20">
        <f t="shared" ca="1" si="78"/>
        <v>0.95539383396169031</v>
      </c>
      <c r="B2519" s="21">
        <f t="shared" ca="1" si="79"/>
        <v>4421</v>
      </c>
    </row>
    <row r="2520" spans="1:2" x14ac:dyDescent="0.25">
      <c r="A2520" s="20">
        <f t="shared" ca="1" si="78"/>
        <v>0.63746831175648511</v>
      </c>
      <c r="B2520" s="21">
        <f t="shared" ca="1" si="79"/>
        <v>2953</v>
      </c>
    </row>
    <row r="2521" spans="1:2" x14ac:dyDescent="0.25">
      <c r="A2521" s="20">
        <f t="shared" ca="1" si="78"/>
        <v>0.9052397232765399</v>
      </c>
      <c r="B2521" s="21">
        <f t="shared" ca="1" si="79"/>
        <v>4180</v>
      </c>
    </row>
    <row r="2522" spans="1:2" x14ac:dyDescent="0.25">
      <c r="A2522" s="20">
        <f t="shared" ca="1" si="78"/>
        <v>0.67399112087493973</v>
      </c>
      <c r="B2522" s="21">
        <f t="shared" ca="1" si="79"/>
        <v>3118</v>
      </c>
    </row>
    <row r="2523" spans="1:2" x14ac:dyDescent="0.25">
      <c r="A2523" s="20">
        <f t="shared" ca="1" si="78"/>
        <v>0.54329044330252441</v>
      </c>
      <c r="B2523" s="21">
        <f t="shared" ca="1" si="79"/>
        <v>2538</v>
      </c>
    </row>
    <row r="2524" spans="1:2" x14ac:dyDescent="0.25">
      <c r="A2524" s="20">
        <f t="shared" ca="1" si="78"/>
        <v>0.96575536188005728</v>
      </c>
      <c r="B2524" s="21">
        <f t="shared" ca="1" si="79"/>
        <v>4479</v>
      </c>
    </row>
    <row r="2525" spans="1:2" x14ac:dyDescent="0.25">
      <c r="A2525" s="20">
        <f t="shared" ca="1" si="78"/>
        <v>6.2981653410341454E-2</v>
      </c>
      <c r="B2525" s="21">
        <f t="shared" ca="1" si="79"/>
        <v>274</v>
      </c>
    </row>
    <row r="2526" spans="1:2" x14ac:dyDescent="0.25">
      <c r="A2526" s="20">
        <f t="shared" ca="1" si="78"/>
        <v>0.29056949696936052</v>
      </c>
      <c r="B2526" s="21">
        <f t="shared" ca="1" si="79"/>
        <v>1370</v>
      </c>
    </row>
    <row r="2527" spans="1:2" x14ac:dyDescent="0.25">
      <c r="A2527" s="20">
        <f t="shared" ca="1" si="78"/>
        <v>4.2184043595178577E-2</v>
      </c>
      <c r="B2527" s="21">
        <f t="shared" ca="1" si="79"/>
        <v>165</v>
      </c>
    </row>
    <row r="2528" spans="1:2" x14ac:dyDescent="0.25">
      <c r="A2528" s="20">
        <f t="shared" ca="1" si="78"/>
        <v>3.0653976754700718E-2</v>
      </c>
      <c r="B2528" s="21">
        <f t="shared" ca="1" si="79"/>
        <v>113</v>
      </c>
    </row>
    <row r="2529" spans="1:2" x14ac:dyDescent="0.25">
      <c r="A2529" s="20">
        <f t="shared" ca="1" si="78"/>
        <v>0.89493840296040961</v>
      </c>
      <c r="B2529" s="21">
        <f t="shared" ca="1" si="79"/>
        <v>4128</v>
      </c>
    </row>
    <row r="2530" spans="1:2" x14ac:dyDescent="0.25">
      <c r="A2530" s="20">
        <f t="shared" ca="1" si="78"/>
        <v>0.1835909291356761</v>
      </c>
      <c r="B2530" s="21">
        <f t="shared" ca="1" si="79"/>
        <v>844</v>
      </c>
    </row>
    <row r="2531" spans="1:2" x14ac:dyDescent="0.25">
      <c r="A2531" s="20">
        <f t="shared" ca="1" si="78"/>
        <v>0.65525653573479514</v>
      </c>
      <c r="B2531" s="21">
        <f t="shared" ca="1" si="79"/>
        <v>3039</v>
      </c>
    </row>
    <row r="2532" spans="1:2" x14ac:dyDescent="0.25">
      <c r="A2532" s="20">
        <f t="shared" ca="1" si="78"/>
        <v>0.97071569398332525</v>
      </c>
      <c r="B2532" s="21">
        <f t="shared" ca="1" si="79"/>
        <v>4502</v>
      </c>
    </row>
    <row r="2533" spans="1:2" x14ac:dyDescent="0.25">
      <c r="A2533" s="20">
        <f t="shared" ca="1" si="78"/>
        <v>9.2547374828687579E-3</v>
      </c>
      <c r="B2533" s="21">
        <f t="shared" ca="1" si="79"/>
        <v>35</v>
      </c>
    </row>
    <row r="2534" spans="1:2" x14ac:dyDescent="0.25">
      <c r="A2534" s="20">
        <f t="shared" ca="1" si="78"/>
        <v>0.19736193600971452</v>
      </c>
      <c r="B2534" s="21">
        <f t="shared" ca="1" si="79"/>
        <v>915</v>
      </c>
    </row>
    <row r="2535" spans="1:2" x14ac:dyDescent="0.25">
      <c r="A2535" s="20">
        <f t="shared" ca="1" si="78"/>
        <v>0.85897310470848653</v>
      </c>
      <c r="B2535" s="21">
        <f t="shared" ca="1" si="79"/>
        <v>3967</v>
      </c>
    </row>
    <row r="2536" spans="1:2" x14ac:dyDescent="0.25">
      <c r="A2536" s="20">
        <f t="shared" ca="1" si="78"/>
        <v>0.85251697720879249</v>
      </c>
      <c r="B2536" s="21">
        <f t="shared" ca="1" si="79"/>
        <v>3938</v>
      </c>
    </row>
    <row r="2537" spans="1:2" x14ac:dyDescent="0.25">
      <c r="A2537" s="20">
        <f t="shared" ca="1" si="78"/>
        <v>0.45170997677912317</v>
      </c>
      <c r="B2537" s="21">
        <f t="shared" ca="1" si="79"/>
        <v>2110</v>
      </c>
    </row>
    <row r="2538" spans="1:2" x14ac:dyDescent="0.25">
      <c r="A2538" s="20">
        <f t="shared" ca="1" si="78"/>
        <v>0.28017731393052969</v>
      </c>
      <c r="B2538" s="21">
        <f t="shared" ca="1" si="79"/>
        <v>1304</v>
      </c>
    </row>
    <row r="2539" spans="1:2" x14ac:dyDescent="0.25">
      <c r="A2539" s="20">
        <f t="shared" ca="1" si="78"/>
        <v>0.33861590485519977</v>
      </c>
      <c r="B2539" s="21">
        <f t="shared" ca="1" si="79"/>
        <v>1594</v>
      </c>
    </row>
    <row r="2540" spans="1:2" x14ac:dyDescent="0.25">
      <c r="A2540" s="20">
        <f t="shared" ca="1" si="78"/>
        <v>0.55079344504922323</v>
      </c>
      <c r="B2540" s="21">
        <f t="shared" ca="1" si="79"/>
        <v>2573</v>
      </c>
    </row>
    <row r="2541" spans="1:2" x14ac:dyDescent="0.25">
      <c r="A2541" s="20">
        <f t="shared" ca="1" si="78"/>
        <v>0.8238862557094363</v>
      </c>
      <c r="B2541" s="21">
        <f t="shared" ca="1" si="79"/>
        <v>3813</v>
      </c>
    </row>
    <row r="2542" spans="1:2" x14ac:dyDescent="0.25">
      <c r="A2542" s="20">
        <f t="shared" ca="1" si="78"/>
        <v>0.39634325637159451</v>
      </c>
      <c r="B2542" s="21">
        <f t="shared" ca="1" si="79"/>
        <v>1861</v>
      </c>
    </row>
    <row r="2543" spans="1:2" x14ac:dyDescent="0.25">
      <c r="A2543" s="20">
        <f t="shared" ca="1" si="78"/>
        <v>0.19238738818972434</v>
      </c>
      <c r="B2543" s="21">
        <f t="shared" ca="1" si="79"/>
        <v>884</v>
      </c>
    </row>
    <row r="2544" spans="1:2" x14ac:dyDescent="0.25">
      <c r="A2544" s="20">
        <f t="shared" ca="1" si="78"/>
        <v>0.55308115548221271</v>
      </c>
      <c r="B2544" s="21">
        <f t="shared" ca="1" si="79"/>
        <v>2584</v>
      </c>
    </row>
    <row r="2545" spans="1:2" x14ac:dyDescent="0.25">
      <c r="A2545" s="20">
        <f t="shared" ca="1" si="78"/>
        <v>0.36617049852224381</v>
      </c>
      <c r="B2545" s="21">
        <f t="shared" ca="1" si="79"/>
        <v>1737</v>
      </c>
    </row>
    <row r="2546" spans="1:2" x14ac:dyDescent="0.25">
      <c r="A2546" s="20">
        <f t="shared" ca="1" si="78"/>
        <v>0.78433415006453433</v>
      </c>
      <c r="B2546" s="21">
        <f t="shared" ca="1" si="79"/>
        <v>3633</v>
      </c>
    </row>
    <row r="2547" spans="1:2" x14ac:dyDescent="0.25">
      <c r="A2547" s="20">
        <f t="shared" ca="1" si="78"/>
        <v>0.24551285501487119</v>
      </c>
      <c r="B2547" s="21">
        <f t="shared" ca="1" si="79"/>
        <v>1143</v>
      </c>
    </row>
    <row r="2548" spans="1:2" x14ac:dyDescent="0.25">
      <c r="A2548" s="20">
        <f t="shared" ca="1" si="78"/>
        <v>0.89270741578773882</v>
      </c>
      <c r="B2548" s="21">
        <f t="shared" ca="1" si="79"/>
        <v>4117</v>
      </c>
    </row>
    <row r="2549" spans="1:2" x14ac:dyDescent="0.25">
      <c r="A2549" s="20">
        <f t="shared" ca="1" si="78"/>
        <v>0.36376267321136513</v>
      </c>
      <c r="B2549" s="21">
        <f t="shared" ca="1" si="79"/>
        <v>1722</v>
      </c>
    </row>
    <row r="2550" spans="1:2" x14ac:dyDescent="0.25">
      <c r="A2550" s="20">
        <f t="shared" ca="1" si="78"/>
        <v>0.81946176317264552</v>
      </c>
      <c r="B2550" s="21">
        <f t="shared" ca="1" si="79"/>
        <v>3793</v>
      </c>
    </row>
    <row r="2551" spans="1:2" x14ac:dyDescent="0.25">
      <c r="A2551" s="20">
        <f t="shared" ca="1" si="78"/>
        <v>0.49610785416043102</v>
      </c>
      <c r="B2551" s="21">
        <f t="shared" ca="1" si="79"/>
        <v>2305</v>
      </c>
    </row>
    <row r="2552" spans="1:2" x14ac:dyDescent="0.25">
      <c r="A2552" s="20">
        <f t="shared" ca="1" si="78"/>
        <v>8.5837652410791887E-2</v>
      </c>
      <c r="B2552" s="21">
        <f t="shared" ca="1" si="79"/>
        <v>386</v>
      </c>
    </row>
    <row r="2553" spans="1:2" x14ac:dyDescent="0.25">
      <c r="A2553" s="20">
        <f t="shared" ca="1" si="78"/>
        <v>0.16032604131542683</v>
      </c>
      <c r="B2553" s="21">
        <f t="shared" ca="1" si="79"/>
        <v>716</v>
      </c>
    </row>
    <row r="2554" spans="1:2" x14ac:dyDescent="0.25">
      <c r="A2554" s="20">
        <f t="shared" ca="1" si="78"/>
        <v>0.70457569904937911</v>
      </c>
      <c r="B2554" s="21">
        <f t="shared" ca="1" si="79"/>
        <v>3259</v>
      </c>
    </row>
    <row r="2555" spans="1:2" x14ac:dyDescent="0.25">
      <c r="A2555" s="20">
        <f t="shared" ca="1" si="78"/>
        <v>0.81351556485609322</v>
      </c>
      <c r="B2555" s="21">
        <f t="shared" ca="1" si="79"/>
        <v>3761</v>
      </c>
    </row>
    <row r="2556" spans="1:2" x14ac:dyDescent="0.25">
      <c r="A2556" s="20">
        <f t="shared" ca="1" si="78"/>
        <v>0.11135004042999652</v>
      </c>
      <c r="B2556" s="21">
        <f t="shared" ca="1" si="79"/>
        <v>491</v>
      </c>
    </row>
    <row r="2557" spans="1:2" x14ac:dyDescent="0.25">
      <c r="A2557" s="20">
        <f t="shared" ca="1" si="78"/>
        <v>9.5544354486644334E-2</v>
      </c>
      <c r="B2557" s="21">
        <f t="shared" ca="1" si="79"/>
        <v>428</v>
      </c>
    </row>
    <row r="2558" spans="1:2" x14ac:dyDescent="0.25">
      <c r="A2558" s="20">
        <f t="shared" ca="1" si="78"/>
        <v>0.28991195456591823</v>
      </c>
      <c r="B2558" s="21">
        <f t="shared" ca="1" si="79"/>
        <v>1363</v>
      </c>
    </row>
    <row r="2559" spans="1:2" x14ac:dyDescent="0.25">
      <c r="A2559" s="20">
        <f t="shared" ca="1" si="78"/>
        <v>0.94882197330359452</v>
      </c>
      <c r="B2559" s="21">
        <f t="shared" ca="1" si="79"/>
        <v>4398</v>
      </c>
    </row>
    <row r="2560" spans="1:2" x14ac:dyDescent="0.25">
      <c r="A2560" s="20">
        <f t="shared" ca="1" si="78"/>
        <v>0.1386648248319956</v>
      </c>
      <c r="B2560" s="21">
        <f t="shared" ca="1" si="79"/>
        <v>608</v>
      </c>
    </row>
    <row r="2561" spans="1:2" x14ac:dyDescent="0.25">
      <c r="A2561" s="20">
        <f t="shared" ca="1" si="78"/>
        <v>0.42142829852181529</v>
      </c>
      <c r="B2561" s="21">
        <f t="shared" ca="1" si="79"/>
        <v>1978</v>
      </c>
    </row>
    <row r="2562" spans="1:2" x14ac:dyDescent="0.25">
      <c r="A2562" s="20">
        <f t="shared" ca="1" si="78"/>
        <v>0.72957652497582304</v>
      </c>
      <c r="B2562" s="21">
        <f t="shared" ca="1" si="79"/>
        <v>3382</v>
      </c>
    </row>
    <row r="2563" spans="1:2" x14ac:dyDescent="0.25">
      <c r="A2563" s="20">
        <f t="shared" ref="A2563:A2626" ca="1" si="80">RAND()</f>
        <v>0.45493685853322718</v>
      </c>
      <c r="B2563" s="21">
        <f t="shared" ref="B2563:B2626" ca="1" si="81">_xlfn.RANK.EQ($A2563,$A:$A,1)</f>
        <v>2132</v>
      </c>
    </row>
    <row r="2564" spans="1:2" x14ac:dyDescent="0.25">
      <c r="A2564" s="20">
        <f t="shared" ca="1" si="80"/>
        <v>0.85017439750718504</v>
      </c>
      <c r="B2564" s="21">
        <f t="shared" ca="1" si="81"/>
        <v>3930</v>
      </c>
    </row>
    <row r="2565" spans="1:2" x14ac:dyDescent="0.25">
      <c r="A2565" s="20">
        <f t="shared" ca="1" si="80"/>
        <v>9.7060325481953535E-2</v>
      </c>
      <c r="B2565" s="21">
        <f t="shared" ca="1" si="81"/>
        <v>435</v>
      </c>
    </row>
    <row r="2566" spans="1:2" x14ac:dyDescent="0.25">
      <c r="A2566" s="20">
        <f t="shared" ca="1" si="80"/>
        <v>0.5596179644917636</v>
      </c>
      <c r="B2566" s="21">
        <f t="shared" ca="1" si="81"/>
        <v>2616</v>
      </c>
    </row>
    <row r="2567" spans="1:2" x14ac:dyDescent="0.25">
      <c r="A2567" s="20">
        <f t="shared" ca="1" si="80"/>
        <v>0.99193555144532952</v>
      </c>
      <c r="B2567" s="21">
        <f t="shared" ca="1" si="81"/>
        <v>4590</v>
      </c>
    </row>
    <row r="2568" spans="1:2" x14ac:dyDescent="0.25">
      <c r="A2568" s="20">
        <f t="shared" ca="1" si="80"/>
        <v>0.18638728274203609</v>
      </c>
      <c r="B2568" s="21">
        <f t="shared" ca="1" si="81"/>
        <v>855</v>
      </c>
    </row>
    <row r="2569" spans="1:2" x14ac:dyDescent="0.25">
      <c r="A2569" s="20">
        <f t="shared" ca="1" si="80"/>
        <v>0.93764791265566438</v>
      </c>
      <c r="B2569" s="21">
        <f t="shared" ca="1" si="81"/>
        <v>4336</v>
      </c>
    </row>
    <row r="2570" spans="1:2" x14ac:dyDescent="0.25">
      <c r="A2570" s="20">
        <f t="shared" ca="1" si="80"/>
        <v>3.4753131469006382E-2</v>
      </c>
      <c r="B2570" s="21">
        <f t="shared" ca="1" si="81"/>
        <v>133</v>
      </c>
    </row>
    <row r="2571" spans="1:2" x14ac:dyDescent="0.25">
      <c r="A2571" s="20">
        <f t="shared" ca="1" si="80"/>
        <v>5.8179529789955442E-2</v>
      </c>
      <c r="B2571" s="21">
        <f t="shared" ca="1" si="81"/>
        <v>252</v>
      </c>
    </row>
    <row r="2572" spans="1:2" x14ac:dyDescent="0.25">
      <c r="A2572" s="20">
        <f t="shared" ca="1" si="80"/>
        <v>0.22157937089715452</v>
      </c>
      <c r="B2572" s="21">
        <f t="shared" ca="1" si="81"/>
        <v>1039</v>
      </c>
    </row>
    <row r="2573" spans="1:2" x14ac:dyDescent="0.25">
      <c r="A2573" s="20">
        <f t="shared" ca="1" si="80"/>
        <v>0.91461003882158709</v>
      </c>
      <c r="B2573" s="21">
        <f t="shared" ca="1" si="81"/>
        <v>4221</v>
      </c>
    </row>
    <row r="2574" spans="1:2" x14ac:dyDescent="0.25">
      <c r="A2574" s="20">
        <f t="shared" ca="1" si="80"/>
        <v>0.74663998943698739</v>
      </c>
      <c r="B2574" s="21">
        <f t="shared" ca="1" si="81"/>
        <v>3453</v>
      </c>
    </row>
    <row r="2575" spans="1:2" x14ac:dyDescent="0.25">
      <c r="A2575" s="20">
        <f t="shared" ca="1" si="80"/>
        <v>0.74309564191931876</v>
      </c>
      <c r="B2575" s="21">
        <f t="shared" ca="1" si="81"/>
        <v>3432</v>
      </c>
    </row>
    <row r="2576" spans="1:2" x14ac:dyDescent="0.25">
      <c r="A2576" s="20">
        <f t="shared" ca="1" si="80"/>
        <v>0.59816891657129379</v>
      </c>
      <c r="B2576" s="21">
        <f t="shared" ca="1" si="81"/>
        <v>2799</v>
      </c>
    </row>
    <row r="2577" spans="1:2" x14ac:dyDescent="0.25">
      <c r="A2577" s="20">
        <f t="shared" ca="1" si="80"/>
        <v>0.53914017156290495</v>
      </c>
      <c r="B2577" s="21">
        <f t="shared" ca="1" si="81"/>
        <v>2519</v>
      </c>
    </row>
    <row r="2578" spans="1:2" x14ac:dyDescent="0.25">
      <c r="A2578" s="20">
        <f t="shared" ca="1" si="80"/>
        <v>0.24581857363305926</v>
      </c>
      <c r="B2578" s="21">
        <f t="shared" ca="1" si="81"/>
        <v>1145</v>
      </c>
    </row>
    <row r="2579" spans="1:2" x14ac:dyDescent="0.25">
      <c r="A2579" s="20">
        <f t="shared" ca="1" si="80"/>
        <v>0.68735861242535778</v>
      </c>
      <c r="B2579" s="21">
        <f t="shared" ca="1" si="81"/>
        <v>3191</v>
      </c>
    </row>
    <row r="2580" spans="1:2" x14ac:dyDescent="0.25">
      <c r="A2580" s="20">
        <f t="shared" ca="1" si="80"/>
        <v>9.593611090591736E-2</v>
      </c>
      <c r="B2580" s="21">
        <f t="shared" ca="1" si="81"/>
        <v>432</v>
      </c>
    </row>
    <row r="2581" spans="1:2" x14ac:dyDescent="0.25">
      <c r="A2581" s="20">
        <f t="shared" ca="1" si="80"/>
        <v>0.9534936423145266</v>
      </c>
      <c r="B2581" s="21">
        <f t="shared" ca="1" si="81"/>
        <v>4418</v>
      </c>
    </row>
    <row r="2582" spans="1:2" x14ac:dyDescent="0.25">
      <c r="A2582" s="20">
        <f t="shared" ca="1" si="80"/>
        <v>0.78430017251323814</v>
      </c>
      <c r="B2582" s="21">
        <f t="shared" ca="1" si="81"/>
        <v>3632</v>
      </c>
    </row>
    <row r="2583" spans="1:2" x14ac:dyDescent="0.25">
      <c r="A2583" s="20">
        <f t="shared" ca="1" si="80"/>
        <v>0.32945880170159725</v>
      </c>
      <c r="B2583" s="21">
        <f t="shared" ca="1" si="81"/>
        <v>1545</v>
      </c>
    </row>
    <row r="2584" spans="1:2" x14ac:dyDescent="0.25">
      <c r="A2584" s="20">
        <f t="shared" ca="1" si="80"/>
        <v>0.2499414313554571</v>
      </c>
      <c r="B2584" s="21">
        <f t="shared" ca="1" si="81"/>
        <v>1166</v>
      </c>
    </row>
    <row r="2585" spans="1:2" x14ac:dyDescent="0.25">
      <c r="A2585" s="20">
        <f t="shared" ca="1" si="80"/>
        <v>0.67129978261049084</v>
      </c>
      <c r="B2585" s="21">
        <f t="shared" ca="1" si="81"/>
        <v>3110</v>
      </c>
    </row>
    <row r="2586" spans="1:2" x14ac:dyDescent="0.25">
      <c r="A2586" s="20">
        <f t="shared" ca="1" si="80"/>
        <v>0.62396989449476659</v>
      </c>
      <c r="B2586" s="21">
        <f t="shared" ca="1" si="81"/>
        <v>2890</v>
      </c>
    </row>
    <row r="2587" spans="1:2" x14ac:dyDescent="0.25">
      <c r="A2587" s="20">
        <f t="shared" ca="1" si="80"/>
        <v>0.92600066185529595</v>
      </c>
      <c r="B2587" s="21">
        <f t="shared" ca="1" si="81"/>
        <v>4275</v>
      </c>
    </row>
    <row r="2588" spans="1:2" x14ac:dyDescent="0.25">
      <c r="A2588" s="20">
        <f t="shared" ca="1" si="80"/>
        <v>0.45795230398662101</v>
      </c>
      <c r="B2588" s="21">
        <f t="shared" ca="1" si="81"/>
        <v>2153</v>
      </c>
    </row>
    <row r="2589" spans="1:2" x14ac:dyDescent="0.25">
      <c r="A2589" s="20">
        <f t="shared" ca="1" si="80"/>
        <v>4.4879261906963563E-2</v>
      </c>
      <c r="B2589" s="21">
        <f t="shared" ca="1" si="81"/>
        <v>179</v>
      </c>
    </row>
    <row r="2590" spans="1:2" x14ac:dyDescent="0.25">
      <c r="A2590" s="20">
        <f t="shared" ca="1" si="80"/>
        <v>4.6957893903248782E-2</v>
      </c>
      <c r="B2590" s="21">
        <f t="shared" ca="1" si="81"/>
        <v>190</v>
      </c>
    </row>
    <row r="2591" spans="1:2" x14ac:dyDescent="0.25">
      <c r="A2591" s="20">
        <f t="shared" ca="1" si="80"/>
        <v>0.78937732156471618</v>
      </c>
      <c r="B2591" s="21">
        <f t="shared" ca="1" si="81"/>
        <v>3655</v>
      </c>
    </row>
    <row r="2592" spans="1:2" x14ac:dyDescent="0.25">
      <c r="A2592" s="20">
        <f t="shared" ca="1" si="80"/>
        <v>0.5714340245390962</v>
      </c>
      <c r="B2592" s="21">
        <f t="shared" ca="1" si="81"/>
        <v>2666</v>
      </c>
    </row>
    <row r="2593" spans="1:2" x14ac:dyDescent="0.25">
      <c r="A2593" s="20">
        <f t="shared" ca="1" si="80"/>
        <v>0.46580351422786059</v>
      </c>
      <c r="B2593" s="21">
        <f t="shared" ca="1" si="81"/>
        <v>2180</v>
      </c>
    </row>
    <row r="2594" spans="1:2" x14ac:dyDescent="0.25">
      <c r="A2594" s="20">
        <f t="shared" ca="1" si="80"/>
        <v>3.478440102064273E-2</v>
      </c>
      <c r="B2594" s="21">
        <f t="shared" ca="1" si="81"/>
        <v>134</v>
      </c>
    </row>
    <row r="2595" spans="1:2" x14ac:dyDescent="0.25">
      <c r="A2595" s="20">
        <f t="shared" ca="1" si="80"/>
        <v>7.8049558135875441E-2</v>
      </c>
      <c r="B2595" s="21">
        <f t="shared" ca="1" si="81"/>
        <v>349</v>
      </c>
    </row>
    <row r="2596" spans="1:2" x14ac:dyDescent="0.25">
      <c r="A2596" s="20">
        <f t="shared" ca="1" si="80"/>
        <v>0.71489983914925359</v>
      </c>
      <c r="B2596" s="21">
        <f t="shared" ca="1" si="81"/>
        <v>3308</v>
      </c>
    </row>
    <row r="2597" spans="1:2" x14ac:dyDescent="0.25">
      <c r="A2597" s="20">
        <f t="shared" ca="1" si="80"/>
        <v>0.83308109381621132</v>
      </c>
      <c r="B2597" s="21">
        <f t="shared" ca="1" si="81"/>
        <v>3851</v>
      </c>
    </row>
    <row r="2598" spans="1:2" x14ac:dyDescent="0.25">
      <c r="A2598" s="20">
        <f t="shared" ca="1" si="80"/>
        <v>0.92460446327756551</v>
      </c>
      <c r="B2598" s="21">
        <f t="shared" ca="1" si="81"/>
        <v>4267</v>
      </c>
    </row>
    <row r="2599" spans="1:2" x14ac:dyDescent="0.25">
      <c r="A2599" s="20">
        <f t="shared" ca="1" si="80"/>
        <v>0.20352911336984725</v>
      </c>
      <c r="B2599" s="21">
        <f t="shared" ca="1" si="81"/>
        <v>945</v>
      </c>
    </row>
    <row r="2600" spans="1:2" x14ac:dyDescent="0.25">
      <c r="A2600" s="20">
        <f t="shared" ca="1" si="80"/>
        <v>0.49049782520576246</v>
      </c>
      <c r="B2600" s="21">
        <f t="shared" ca="1" si="81"/>
        <v>2280</v>
      </c>
    </row>
    <row r="2601" spans="1:2" x14ac:dyDescent="0.25">
      <c r="A2601" s="20">
        <f t="shared" ca="1" si="80"/>
        <v>0.19685158942420244</v>
      </c>
      <c r="B2601" s="21">
        <f t="shared" ca="1" si="81"/>
        <v>913</v>
      </c>
    </row>
    <row r="2602" spans="1:2" x14ac:dyDescent="0.25">
      <c r="A2602" s="20">
        <f t="shared" ca="1" si="80"/>
        <v>0.75738746120590061</v>
      </c>
      <c r="B2602" s="21">
        <f t="shared" ca="1" si="81"/>
        <v>3511</v>
      </c>
    </row>
    <row r="2603" spans="1:2" x14ac:dyDescent="0.25">
      <c r="A2603" s="20">
        <f t="shared" ca="1" si="80"/>
        <v>0.35705839360977099</v>
      </c>
      <c r="B2603" s="21">
        <f t="shared" ca="1" si="81"/>
        <v>1688</v>
      </c>
    </row>
    <row r="2604" spans="1:2" x14ac:dyDescent="0.25">
      <c r="A2604" s="20">
        <f t="shared" ca="1" si="80"/>
        <v>0.47168765983219951</v>
      </c>
      <c r="B2604" s="21">
        <f t="shared" ca="1" si="81"/>
        <v>2203</v>
      </c>
    </row>
    <row r="2605" spans="1:2" x14ac:dyDescent="0.25">
      <c r="A2605" s="20">
        <f t="shared" ca="1" si="80"/>
        <v>0.50995925632253003</v>
      </c>
      <c r="B2605" s="21">
        <f t="shared" ca="1" si="81"/>
        <v>2375</v>
      </c>
    </row>
    <row r="2606" spans="1:2" x14ac:dyDescent="0.25">
      <c r="A2606" s="20">
        <f t="shared" ca="1" si="80"/>
        <v>0.65145489430600723</v>
      </c>
      <c r="B2606" s="21">
        <f t="shared" ca="1" si="81"/>
        <v>3023</v>
      </c>
    </row>
    <row r="2607" spans="1:2" x14ac:dyDescent="0.25">
      <c r="A2607" s="20">
        <f t="shared" ca="1" si="80"/>
        <v>0.33899901768621166</v>
      </c>
      <c r="B2607" s="21">
        <f t="shared" ca="1" si="81"/>
        <v>1595</v>
      </c>
    </row>
    <row r="2608" spans="1:2" x14ac:dyDescent="0.25">
      <c r="A2608" s="20">
        <f t="shared" ca="1" si="80"/>
        <v>0.76111981488715641</v>
      </c>
      <c r="B2608" s="21">
        <f t="shared" ca="1" si="81"/>
        <v>3529</v>
      </c>
    </row>
    <row r="2609" spans="1:2" x14ac:dyDescent="0.25">
      <c r="A2609" s="20">
        <f t="shared" ca="1" si="80"/>
        <v>0.12611165784226741</v>
      </c>
      <c r="B2609" s="21">
        <f t="shared" ca="1" si="81"/>
        <v>557</v>
      </c>
    </row>
    <row r="2610" spans="1:2" x14ac:dyDescent="0.25">
      <c r="A2610" s="20">
        <f t="shared" ca="1" si="80"/>
        <v>0.63012886309101934</v>
      </c>
      <c r="B2610" s="21">
        <f t="shared" ca="1" si="81"/>
        <v>2919</v>
      </c>
    </row>
    <row r="2611" spans="1:2" x14ac:dyDescent="0.25">
      <c r="A2611" s="20">
        <f t="shared" ca="1" si="80"/>
        <v>0.2191430243650021</v>
      </c>
      <c r="B2611" s="21">
        <f t="shared" ca="1" si="81"/>
        <v>1026</v>
      </c>
    </row>
    <row r="2612" spans="1:2" x14ac:dyDescent="0.25">
      <c r="A2612" s="20">
        <f t="shared" ca="1" si="80"/>
        <v>0.21607485166407692</v>
      </c>
      <c r="B2612" s="21">
        <f t="shared" ca="1" si="81"/>
        <v>1010</v>
      </c>
    </row>
    <row r="2613" spans="1:2" x14ac:dyDescent="0.25">
      <c r="A2613" s="20">
        <f t="shared" ca="1" si="80"/>
        <v>0.77473725226153756</v>
      </c>
      <c r="B2613" s="21">
        <f t="shared" ca="1" si="81"/>
        <v>3594</v>
      </c>
    </row>
    <row r="2614" spans="1:2" x14ac:dyDescent="0.25">
      <c r="A2614" s="20">
        <f t="shared" ca="1" si="80"/>
        <v>7.6503437754328663E-2</v>
      </c>
      <c r="B2614" s="21">
        <f t="shared" ca="1" si="81"/>
        <v>343</v>
      </c>
    </row>
    <row r="2615" spans="1:2" x14ac:dyDescent="0.25">
      <c r="A2615" s="20">
        <f t="shared" ca="1" si="80"/>
        <v>0.71892835037350222</v>
      </c>
      <c r="B2615" s="21">
        <f t="shared" ca="1" si="81"/>
        <v>3328</v>
      </c>
    </row>
    <row r="2616" spans="1:2" x14ac:dyDescent="0.25">
      <c r="A2616" s="20">
        <f t="shared" ca="1" si="80"/>
        <v>0.11213619713270939</v>
      </c>
      <c r="B2616" s="21">
        <f t="shared" ca="1" si="81"/>
        <v>496</v>
      </c>
    </row>
    <row r="2617" spans="1:2" x14ac:dyDescent="0.25">
      <c r="A2617" s="20">
        <f t="shared" ca="1" si="80"/>
        <v>0.20932617648747176</v>
      </c>
      <c r="B2617" s="21">
        <f t="shared" ca="1" si="81"/>
        <v>975</v>
      </c>
    </row>
    <row r="2618" spans="1:2" x14ac:dyDescent="0.25">
      <c r="A2618" s="20">
        <f t="shared" ca="1" si="80"/>
        <v>0.52311253361140231</v>
      </c>
      <c r="B2618" s="21">
        <f t="shared" ca="1" si="81"/>
        <v>2443</v>
      </c>
    </row>
    <row r="2619" spans="1:2" x14ac:dyDescent="0.25">
      <c r="A2619" s="20">
        <f t="shared" ca="1" si="80"/>
        <v>0.76296381198452889</v>
      </c>
      <c r="B2619" s="21">
        <f t="shared" ca="1" si="81"/>
        <v>3538</v>
      </c>
    </row>
    <row r="2620" spans="1:2" x14ac:dyDescent="0.25">
      <c r="A2620" s="20">
        <f t="shared" ca="1" si="80"/>
        <v>0.39083356771100075</v>
      </c>
      <c r="B2620" s="21">
        <f t="shared" ca="1" si="81"/>
        <v>1836</v>
      </c>
    </row>
    <row r="2621" spans="1:2" x14ac:dyDescent="0.25">
      <c r="A2621" s="20">
        <f t="shared" ca="1" si="80"/>
        <v>0.83788227679053273</v>
      </c>
      <c r="B2621" s="21">
        <f t="shared" ca="1" si="81"/>
        <v>3866</v>
      </c>
    </row>
    <row r="2622" spans="1:2" x14ac:dyDescent="0.25">
      <c r="A2622" s="20">
        <f t="shared" ca="1" si="80"/>
        <v>0.82251636824409724</v>
      </c>
      <c r="B2622" s="21">
        <f t="shared" ca="1" si="81"/>
        <v>3808</v>
      </c>
    </row>
    <row r="2623" spans="1:2" x14ac:dyDescent="0.25">
      <c r="A2623" s="20">
        <f t="shared" ca="1" si="80"/>
        <v>0.67514359604045648</v>
      </c>
      <c r="B2623" s="21">
        <f t="shared" ca="1" si="81"/>
        <v>3123</v>
      </c>
    </row>
    <row r="2624" spans="1:2" x14ac:dyDescent="0.25">
      <c r="A2624" s="20">
        <f t="shared" ca="1" si="80"/>
        <v>0.38215379753813672</v>
      </c>
      <c r="B2624" s="21">
        <f t="shared" ca="1" si="81"/>
        <v>1792</v>
      </c>
    </row>
    <row r="2625" spans="1:2" x14ac:dyDescent="0.25">
      <c r="A2625" s="20">
        <f t="shared" ca="1" si="80"/>
        <v>0.66902416355126892</v>
      </c>
      <c r="B2625" s="21">
        <f t="shared" ca="1" si="81"/>
        <v>3105</v>
      </c>
    </row>
    <row r="2626" spans="1:2" x14ac:dyDescent="0.25">
      <c r="A2626" s="20">
        <f t="shared" ca="1" si="80"/>
        <v>0.25662111672933996</v>
      </c>
      <c r="B2626" s="21">
        <f t="shared" ca="1" si="81"/>
        <v>1198</v>
      </c>
    </row>
    <row r="2627" spans="1:2" x14ac:dyDescent="0.25">
      <c r="A2627" s="20">
        <f t="shared" ref="A2627:A2690" ca="1" si="82">RAND()</f>
        <v>0.43334382832556462</v>
      </c>
      <c r="B2627" s="21">
        <f t="shared" ref="B2627:B2690" ca="1" si="83">_xlfn.RANK.EQ($A2627,$A:$A,1)</f>
        <v>2032</v>
      </c>
    </row>
    <row r="2628" spans="1:2" x14ac:dyDescent="0.25">
      <c r="A2628" s="20">
        <f t="shared" ca="1" si="82"/>
        <v>4.048520686051349E-2</v>
      </c>
      <c r="B2628" s="21">
        <f t="shared" ca="1" si="83"/>
        <v>160</v>
      </c>
    </row>
    <row r="2629" spans="1:2" x14ac:dyDescent="0.25">
      <c r="A2629" s="20">
        <f t="shared" ca="1" si="82"/>
        <v>0.55088912735599638</v>
      </c>
      <c r="B2629" s="21">
        <f t="shared" ca="1" si="83"/>
        <v>2574</v>
      </c>
    </row>
    <row r="2630" spans="1:2" x14ac:dyDescent="0.25">
      <c r="A2630" s="20">
        <f t="shared" ca="1" si="82"/>
        <v>0.88144961136767963</v>
      </c>
      <c r="B2630" s="21">
        <f t="shared" ca="1" si="83"/>
        <v>4062</v>
      </c>
    </row>
    <row r="2631" spans="1:2" x14ac:dyDescent="0.25">
      <c r="A2631" s="20">
        <f t="shared" ca="1" si="82"/>
        <v>0.55405056472859693</v>
      </c>
      <c r="B2631" s="21">
        <f t="shared" ca="1" si="83"/>
        <v>2590</v>
      </c>
    </row>
    <row r="2632" spans="1:2" x14ac:dyDescent="0.25">
      <c r="A2632" s="20">
        <f t="shared" ca="1" si="82"/>
        <v>0.56915068727312601</v>
      </c>
      <c r="B2632" s="21">
        <f t="shared" ca="1" si="83"/>
        <v>2658</v>
      </c>
    </row>
    <row r="2633" spans="1:2" x14ac:dyDescent="0.25">
      <c r="A2633" s="20">
        <f t="shared" ca="1" si="82"/>
        <v>0.21183399830691974</v>
      </c>
      <c r="B2633" s="21">
        <f t="shared" ca="1" si="83"/>
        <v>990</v>
      </c>
    </row>
    <row r="2634" spans="1:2" x14ac:dyDescent="0.25">
      <c r="A2634" s="20">
        <f t="shared" ca="1" si="82"/>
        <v>0.55231494953026394</v>
      </c>
      <c r="B2634" s="21">
        <f t="shared" ca="1" si="83"/>
        <v>2580</v>
      </c>
    </row>
    <row r="2635" spans="1:2" x14ac:dyDescent="0.25">
      <c r="A2635" s="20">
        <f t="shared" ca="1" si="82"/>
        <v>0.50794038937618857</v>
      </c>
      <c r="B2635" s="21">
        <f t="shared" ca="1" si="83"/>
        <v>2365</v>
      </c>
    </row>
    <row r="2636" spans="1:2" x14ac:dyDescent="0.25">
      <c r="A2636" s="20">
        <f t="shared" ca="1" si="82"/>
        <v>5.023390536140282E-2</v>
      </c>
      <c r="B2636" s="21">
        <f t="shared" ca="1" si="83"/>
        <v>208</v>
      </c>
    </row>
    <row r="2637" spans="1:2" x14ac:dyDescent="0.25">
      <c r="A2637" s="20">
        <f t="shared" ca="1" si="82"/>
        <v>0.35009801781827343</v>
      </c>
      <c r="B2637" s="21">
        <f t="shared" ca="1" si="83"/>
        <v>1653</v>
      </c>
    </row>
    <row r="2638" spans="1:2" x14ac:dyDescent="0.25">
      <c r="A2638" s="20">
        <f t="shared" ca="1" si="82"/>
        <v>0.84752933894100113</v>
      </c>
      <c r="B2638" s="21">
        <f t="shared" ca="1" si="83"/>
        <v>3916</v>
      </c>
    </row>
    <row r="2639" spans="1:2" x14ac:dyDescent="0.25">
      <c r="A2639" s="20">
        <f t="shared" ca="1" si="82"/>
        <v>0.58303096923698117</v>
      </c>
      <c r="B2639" s="21">
        <f t="shared" ca="1" si="83"/>
        <v>2730</v>
      </c>
    </row>
    <row r="2640" spans="1:2" x14ac:dyDescent="0.25">
      <c r="A2640" s="20">
        <f t="shared" ca="1" si="82"/>
        <v>0.28153894788869782</v>
      </c>
      <c r="B2640" s="21">
        <f t="shared" ca="1" si="83"/>
        <v>1310</v>
      </c>
    </row>
    <row r="2641" spans="1:2" x14ac:dyDescent="0.25">
      <c r="A2641" s="20">
        <f t="shared" ca="1" si="82"/>
        <v>0.23949385480863361</v>
      </c>
      <c r="B2641" s="21">
        <f t="shared" ca="1" si="83"/>
        <v>1121</v>
      </c>
    </row>
    <row r="2642" spans="1:2" x14ac:dyDescent="0.25">
      <c r="A2642" s="20">
        <f t="shared" ca="1" si="82"/>
        <v>4.9531624165893295E-2</v>
      </c>
      <c r="B2642" s="21">
        <f t="shared" ca="1" si="83"/>
        <v>206</v>
      </c>
    </row>
    <row r="2643" spans="1:2" x14ac:dyDescent="0.25">
      <c r="A2643" s="20">
        <f t="shared" ca="1" si="82"/>
        <v>0.12800569685478869</v>
      </c>
      <c r="B2643" s="21">
        <f t="shared" ca="1" si="83"/>
        <v>561</v>
      </c>
    </row>
    <row r="2644" spans="1:2" x14ac:dyDescent="0.25">
      <c r="A2644" s="20">
        <f t="shared" ca="1" si="82"/>
        <v>0.51825066424264965</v>
      </c>
      <c r="B2644" s="21">
        <f t="shared" ca="1" si="83"/>
        <v>2421</v>
      </c>
    </row>
    <row r="2645" spans="1:2" x14ac:dyDescent="0.25">
      <c r="A2645" s="20">
        <f t="shared" ca="1" si="82"/>
        <v>0.85285330332255338</v>
      </c>
      <c r="B2645" s="21">
        <f t="shared" ca="1" si="83"/>
        <v>3941</v>
      </c>
    </row>
    <row r="2646" spans="1:2" x14ac:dyDescent="0.25">
      <c r="A2646" s="20">
        <f t="shared" ca="1" si="82"/>
        <v>0.31997975864665218</v>
      </c>
      <c r="B2646" s="21">
        <f t="shared" ca="1" si="83"/>
        <v>1501</v>
      </c>
    </row>
    <row r="2647" spans="1:2" x14ac:dyDescent="0.25">
      <c r="A2647" s="20">
        <f t="shared" ca="1" si="82"/>
        <v>0.19277432510616477</v>
      </c>
      <c r="B2647" s="21">
        <f t="shared" ca="1" si="83"/>
        <v>889</v>
      </c>
    </row>
    <row r="2648" spans="1:2" x14ac:dyDescent="0.25">
      <c r="A2648" s="20">
        <f t="shared" ca="1" si="82"/>
        <v>0.31663737692447491</v>
      </c>
      <c r="B2648" s="21">
        <f t="shared" ca="1" si="83"/>
        <v>1484</v>
      </c>
    </row>
    <row r="2649" spans="1:2" x14ac:dyDescent="0.25">
      <c r="A2649" s="20">
        <f t="shared" ca="1" si="82"/>
        <v>2.7013682472317502E-2</v>
      </c>
      <c r="B2649" s="21">
        <f t="shared" ca="1" si="83"/>
        <v>106</v>
      </c>
    </row>
    <row r="2650" spans="1:2" x14ac:dyDescent="0.25">
      <c r="A2650" s="20">
        <f t="shared" ca="1" si="82"/>
        <v>0.63770212202074694</v>
      </c>
      <c r="B2650" s="21">
        <f t="shared" ca="1" si="83"/>
        <v>2954</v>
      </c>
    </row>
    <row r="2651" spans="1:2" x14ac:dyDescent="0.25">
      <c r="A2651" s="20">
        <f t="shared" ca="1" si="82"/>
        <v>0.94450810064045965</v>
      </c>
      <c r="B2651" s="21">
        <f t="shared" ca="1" si="83"/>
        <v>4367</v>
      </c>
    </row>
    <row r="2652" spans="1:2" x14ac:dyDescent="0.25">
      <c r="A2652" s="20">
        <f t="shared" ca="1" si="82"/>
        <v>0.12968385490734569</v>
      </c>
      <c r="B2652" s="21">
        <f t="shared" ca="1" si="83"/>
        <v>575</v>
      </c>
    </row>
    <row r="2653" spans="1:2" x14ac:dyDescent="0.25">
      <c r="A2653" s="20">
        <f t="shared" ca="1" si="82"/>
        <v>3.8093965200540647E-2</v>
      </c>
      <c r="B2653" s="21">
        <f t="shared" ca="1" si="83"/>
        <v>147</v>
      </c>
    </row>
    <row r="2654" spans="1:2" x14ac:dyDescent="0.25">
      <c r="A2654" s="20">
        <f t="shared" ca="1" si="82"/>
        <v>0.46504147320811562</v>
      </c>
      <c r="B2654" s="21">
        <f t="shared" ca="1" si="83"/>
        <v>2178</v>
      </c>
    </row>
    <row r="2655" spans="1:2" x14ac:dyDescent="0.25">
      <c r="A2655" s="20">
        <f t="shared" ca="1" si="82"/>
        <v>0.52337367067435814</v>
      </c>
      <c r="B2655" s="21">
        <f t="shared" ca="1" si="83"/>
        <v>2445</v>
      </c>
    </row>
    <row r="2656" spans="1:2" x14ac:dyDescent="0.25">
      <c r="A2656" s="20">
        <f t="shared" ca="1" si="82"/>
        <v>0.51481449392789158</v>
      </c>
      <c r="B2656" s="21">
        <f t="shared" ca="1" si="83"/>
        <v>2404</v>
      </c>
    </row>
    <row r="2657" spans="1:2" x14ac:dyDescent="0.25">
      <c r="A2657" s="20">
        <f t="shared" ca="1" si="82"/>
        <v>0.31797527980752882</v>
      </c>
      <c r="B2657" s="21">
        <f t="shared" ca="1" si="83"/>
        <v>1493</v>
      </c>
    </row>
    <row r="2658" spans="1:2" x14ac:dyDescent="0.25">
      <c r="A2658" s="20">
        <f t="shared" ca="1" si="82"/>
        <v>0.53885129409597532</v>
      </c>
      <c r="B2658" s="21">
        <f t="shared" ca="1" si="83"/>
        <v>2517</v>
      </c>
    </row>
    <row r="2659" spans="1:2" x14ac:dyDescent="0.25">
      <c r="A2659" s="20">
        <f t="shared" ca="1" si="82"/>
        <v>0.86310705932899345</v>
      </c>
      <c r="B2659" s="21">
        <f t="shared" ca="1" si="83"/>
        <v>3984</v>
      </c>
    </row>
    <row r="2660" spans="1:2" x14ac:dyDescent="0.25">
      <c r="A2660" s="20">
        <f t="shared" ca="1" si="82"/>
        <v>0.87884325635135618</v>
      </c>
      <c r="B2660" s="21">
        <f t="shared" ca="1" si="83"/>
        <v>4046</v>
      </c>
    </row>
    <row r="2661" spans="1:2" x14ac:dyDescent="0.25">
      <c r="A2661" s="20">
        <f t="shared" ca="1" si="82"/>
        <v>0.7712886744921732</v>
      </c>
      <c r="B2661" s="21">
        <f t="shared" ca="1" si="83"/>
        <v>3576</v>
      </c>
    </row>
    <row r="2662" spans="1:2" x14ac:dyDescent="0.25">
      <c r="A2662" s="20">
        <f t="shared" ca="1" si="82"/>
        <v>0.54000120828206566</v>
      </c>
      <c r="B2662" s="21">
        <f t="shared" ca="1" si="83"/>
        <v>2523</v>
      </c>
    </row>
    <row r="2663" spans="1:2" x14ac:dyDescent="0.25">
      <c r="A2663" s="20">
        <f t="shared" ca="1" si="82"/>
        <v>0.3153341834952289</v>
      </c>
      <c r="B2663" s="21">
        <f t="shared" ca="1" si="83"/>
        <v>1479</v>
      </c>
    </row>
    <row r="2664" spans="1:2" x14ac:dyDescent="0.25">
      <c r="A2664" s="20">
        <f t="shared" ca="1" si="82"/>
        <v>0.67889825069712739</v>
      </c>
      <c r="B2664" s="21">
        <f t="shared" ca="1" si="83"/>
        <v>3148</v>
      </c>
    </row>
    <row r="2665" spans="1:2" x14ac:dyDescent="0.25">
      <c r="A2665" s="20">
        <f t="shared" ca="1" si="82"/>
        <v>3.9586547642924574E-2</v>
      </c>
      <c r="B2665" s="21">
        <f t="shared" ca="1" si="83"/>
        <v>155</v>
      </c>
    </row>
    <row r="2666" spans="1:2" x14ac:dyDescent="0.25">
      <c r="A2666" s="20">
        <f t="shared" ca="1" si="82"/>
        <v>0.45782352062054144</v>
      </c>
      <c r="B2666" s="21">
        <f t="shared" ca="1" si="83"/>
        <v>2150</v>
      </c>
    </row>
    <row r="2667" spans="1:2" x14ac:dyDescent="0.25">
      <c r="A2667" s="20">
        <f t="shared" ca="1" si="82"/>
        <v>0.79560545537330296</v>
      </c>
      <c r="B2667" s="21">
        <f t="shared" ca="1" si="83"/>
        <v>3682</v>
      </c>
    </row>
    <row r="2668" spans="1:2" x14ac:dyDescent="0.25">
      <c r="A2668" s="20">
        <f t="shared" ca="1" si="82"/>
        <v>0.69821124894810094</v>
      </c>
      <c r="B2668" s="21">
        <f t="shared" ca="1" si="83"/>
        <v>3233</v>
      </c>
    </row>
    <row r="2669" spans="1:2" x14ac:dyDescent="0.25">
      <c r="A2669" s="20">
        <f t="shared" ca="1" si="82"/>
        <v>0.44383900016895583</v>
      </c>
      <c r="B2669" s="21">
        <f t="shared" ca="1" si="83"/>
        <v>2075</v>
      </c>
    </row>
    <row r="2670" spans="1:2" x14ac:dyDescent="0.25">
      <c r="A2670" s="20">
        <f t="shared" ca="1" si="82"/>
        <v>5.2735684351975287E-2</v>
      </c>
      <c r="B2670" s="21">
        <f t="shared" ca="1" si="83"/>
        <v>222</v>
      </c>
    </row>
    <row r="2671" spans="1:2" x14ac:dyDescent="0.25">
      <c r="A2671" s="20">
        <f t="shared" ca="1" si="82"/>
        <v>0.18939509751578754</v>
      </c>
      <c r="B2671" s="21">
        <f t="shared" ca="1" si="83"/>
        <v>870</v>
      </c>
    </row>
    <row r="2672" spans="1:2" x14ac:dyDescent="0.25">
      <c r="A2672" s="20">
        <f t="shared" ca="1" si="82"/>
        <v>7.0559459714582884E-2</v>
      </c>
      <c r="B2672" s="21">
        <f t="shared" ca="1" si="83"/>
        <v>315</v>
      </c>
    </row>
    <row r="2673" spans="1:2" x14ac:dyDescent="0.25">
      <c r="A2673" s="20">
        <f t="shared" ca="1" si="82"/>
        <v>0.67682072401182181</v>
      </c>
      <c r="B2673" s="21">
        <f t="shared" ca="1" si="83"/>
        <v>3132</v>
      </c>
    </row>
    <row r="2674" spans="1:2" x14ac:dyDescent="0.25">
      <c r="A2674" s="20">
        <f t="shared" ca="1" si="82"/>
        <v>0.97761007053628113</v>
      </c>
      <c r="B2674" s="21">
        <f t="shared" ca="1" si="83"/>
        <v>4528</v>
      </c>
    </row>
    <row r="2675" spans="1:2" x14ac:dyDescent="0.25">
      <c r="A2675" s="20">
        <f t="shared" ca="1" si="82"/>
        <v>0.79771418828752583</v>
      </c>
      <c r="B2675" s="21">
        <f t="shared" ca="1" si="83"/>
        <v>3694</v>
      </c>
    </row>
    <row r="2676" spans="1:2" x14ac:dyDescent="0.25">
      <c r="A2676" s="20">
        <f t="shared" ca="1" si="82"/>
        <v>0.42617743024586452</v>
      </c>
      <c r="B2676" s="21">
        <f t="shared" ca="1" si="83"/>
        <v>2001</v>
      </c>
    </row>
    <row r="2677" spans="1:2" x14ac:dyDescent="0.25">
      <c r="A2677" s="20">
        <f t="shared" ca="1" si="82"/>
        <v>9.0160000221969017E-2</v>
      </c>
      <c r="B2677" s="21">
        <f t="shared" ca="1" si="83"/>
        <v>406</v>
      </c>
    </row>
    <row r="2678" spans="1:2" x14ac:dyDescent="0.25">
      <c r="A2678" s="20">
        <f t="shared" ca="1" si="82"/>
        <v>0.30509519136066088</v>
      </c>
      <c r="B2678" s="21">
        <f t="shared" ca="1" si="83"/>
        <v>1430</v>
      </c>
    </row>
    <row r="2679" spans="1:2" x14ac:dyDescent="0.25">
      <c r="A2679" s="20">
        <f t="shared" ca="1" si="82"/>
        <v>4.5212976711752284E-2</v>
      </c>
      <c r="B2679" s="21">
        <f t="shared" ca="1" si="83"/>
        <v>182</v>
      </c>
    </row>
    <row r="2680" spans="1:2" x14ac:dyDescent="0.25">
      <c r="A2680" s="20">
        <f t="shared" ca="1" si="82"/>
        <v>7.7574670098972121E-3</v>
      </c>
      <c r="B2680" s="21">
        <f t="shared" ca="1" si="83"/>
        <v>30</v>
      </c>
    </row>
    <row r="2681" spans="1:2" x14ac:dyDescent="0.25">
      <c r="A2681" s="20">
        <f t="shared" ca="1" si="82"/>
        <v>0.59159738533516515</v>
      </c>
      <c r="B2681" s="21">
        <f t="shared" ca="1" si="83"/>
        <v>2761</v>
      </c>
    </row>
    <row r="2682" spans="1:2" x14ac:dyDescent="0.25">
      <c r="A2682" s="20">
        <f t="shared" ca="1" si="82"/>
        <v>0.30738050258772509</v>
      </c>
      <c r="B2682" s="21">
        <f t="shared" ca="1" si="83"/>
        <v>1441</v>
      </c>
    </row>
    <row r="2683" spans="1:2" x14ac:dyDescent="0.25">
      <c r="A2683" s="20">
        <f t="shared" ca="1" si="82"/>
        <v>0.36817428587593781</v>
      </c>
      <c r="B2683" s="21">
        <f t="shared" ca="1" si="83"/>
        <v>1749</v>
      </c>
    </row>
    <row r="2684" spans="1:2" x14ac:dyDescent="0.25">
      <c r="A2684" s="20">
        <f t="shared" ca="1" si="82"/>
        <v>0.4144029024181578</v>
      </c>
      <c r="B2684" s="21">
        <f t="shared" ca="1" si="83"/>
        <v>1942</v>
      </c>
    </row>
    <row r="2685" spans="1:2" x14ac:dyDescent="0.25">
      <c r="A2685" s="20">
        <f t="shared" ca="1" si="82"/>
        <v>0.21872358818266402</v>
      </c>
      <c r="B2685" s="21">
        <f t="shared" ca="1" si="83"/>
        <v>1024</v>
      </c>
    </row>
    <row r="2686" spans="1:2" x14ac:dyDescent="0.25">
      <c r="A2686" s="20">
        <f t="shared" ca="1" si="82"/>
        <v>0.96549308801588052</v>
      </c>
      <c r="B2686" s="21">
        <f t="shared" ca="1" si="83"/>
        <v>4476</v>
      </c>
    </row>
    <row r="2687" spans="1:2" x14ac:dyDescent="0.25">
      <c r="A2687" s="20">
        <f t="shared" ca="1" si="82"/>
        <v>9.128081777675201E-2</v>
      </c>
      <c r="B2687" s="21">
        <f t="shared" ca="1" si="83"/>
        <v>412</v>
      </c>
    </row>
    <row r="2688" spans="1:2" x14ac:dyDescent="0.25">
      <c r="A2688" s="20">
        <f t="shared" ca="1" si="82"/>
        <v>0.4479018043475167</v>
      </c>
      <c r="B2688" s="21">
        <f t="shared" ca="1" si="83"/>
        <v>2094</v>
      </c>
    </row>
    <row r="2689" spans="1:2" x14ac:dyDescent="0.25">
      <c r="A2689" s="20">
        <f t="shared" ca="1" si="82"/>
        <v>0.94061449848113832</v>
      </c>
      <c r="B2689" s="21">
        <f t="shared" ca="1" si="83"/>
        <v>4349</v>
      </c>
    </row>
    <row r="2690" spans="1:2" x14ac:dyDescent="0.25">
      <c r="A2690" s="20">
        <f t="shared" ca="1" si="82"/>
        <v>0.5656820173005237</v>
      </c>
      <c r="B2690" s="21">
        <f t="shared" ca="1" si="83"/>
        <v>2644</v>
      </c>
    </row>
    <row r="2691" spans="1:2" x14ac:dyDescent="0.25">
      <c r="A2691" s="20">
        <f t="shared" ref="A2691:A2754" ca="1" si="84">RAND()</f>
        <v>0.25676218313922738</v>
      </c>
      <c r="B2691" s="21">
        <f t="shared" ref="B2691:B2754" ca="1" si="85">_xlfn.RANK.EQ($A2691,$A:$A,1)</f>
        <v>1199</v>
      </c>
    </row>
    <row r="2692" spans="1:2" x14ac:dyDescent="0.25">
      <c r="A2692" s="20">
        <f t="shared" ca="1" si="84"/>
        <v>0.30444681005892404</v>
      </c>
      <c r="B2692" s="21">
        <f t="shared" ca="1" si="85"/>
        <v>1427</v>
      </c>
    </row>
    <row r="2693" spans="1:2" x14ac:dyDescent="0.25">
      <c r="A2693" s="20">
        <f t="shared" ca="1" si="84"/>
        <v>0.45600982564542913</v>
      </c>
      <c r="B2693" s="21">
        <f t="shared" ca="1" si="85"/>
        <v>2143</v>
      </c>
    </row>
    <row r="2694" spans="1:2" x14ac:dyDescent="0.25">
      <c r="A2694" s="20">
        <f t="shared" ca="1" si="84"/>
        <v>0.99326720525486001</v>
      </c>
      <c r="B2694" s="21">
        <f t="shared" ca="1" si="85"/>
        <v>4593</v>
      </c>
    </row>
    <row r="2695" spans="1:2" x14ac:dyDescent="0.25">
      <c r="A2695" s="20">
        <f t="shared" ca="1" si="84"/>
        <v>0.53713687582966252</v>
      </c>
      <c r="B2695" s="21">
        <f t="shared" ca="1" si="85"/>
        <v>2506</v>
      </c>
    </row>
    <row r="2696" spans="1:2" x14ac:dyDescent="0.25">
      <c r="A2696" s="20">
        <f t="shared" ca="1" si="84"/>
        <v>0.26234256336648476</v>
      </c>
      <c r="B2696" s="21">
        <f t="shared" ca="1" si="85"/>
        <v>1224</v>
      </c>
    </row>
    <row r="2697" spans="1:2" x14ac:dyDescent="0.25">
      <c r="A2697" s="20">
        <f t="shared" ca="1" si="84"/>
        <v>0.78289968134859889</v>
      </c>
      <c r="B2697" s="21">
        <f t="shared" ca="1" si="85"/>
        <v>3627</v>
      </c>
    </row>
    <row r="2698" spans="1:2" x14ac:dyDescent="0.25">
      <c r="A2698" s="20">
        <f t="shared" ca="1" si="84"/>
        <v>0.68102716314012957</v>
      </c>
      <c r="B2698" s="21">
        <f t="shared" ca="1" si="85"/>
        <v>3161</v>
      </c>
    </row>
    <row r="2699" spans="1:2" x14ac:dyDescent="0.25">
      <c r="A2699" s="20">
        <f t="shared" ca="1" si="84"/>
        <v>0.51000261542374858</v>
      </c>
      <c r="B2699" s="21">
        <f t="shared" ca="1" si="85"/>
        <v>2376</v>
      </c>
    </row>
    <row r="2700" spans="1:2" x14ac:dyDescent="0.25">
      <c r="A2700" s="20">
        <f t="shared" ca="1" si="84"/>
        <v>0.43270752534984802</v>
      </c>
      <c r="B2700" s="21">
        <f t="shared" ca="1" si="85"/>
        <v>2030</v>
      </c>
    </row>
    <row r="2701" spans="1:2" x14ac:dyDescent="0.25">
      <c r="A2701" s="20">
        <f t="shared" ca="1" si="84"/>
        <v>0.54549540667357588</v>
      </c>
      <c r="B2701" s="21">
        <f t="shared" ca="1" si="85"/>
        <v>2547</v>
      </c>
    </row>
    <row r="2702" spans="1:2" x14ac:dyDescent="0.25">
      <c r="A2702" s="20">
        <f t="shared" ca="1" si="84"/>
        <v>0.4709401418228174</v>
      </c>
      <c r="B2702" s="21">
        <f t="shared" ca="1" si="85"/>
        <v>2201</v>
      </c>
    </row>
    <row r="2703" spans="1:2" x14ac:dyDescent="0.25">
      <c r="A2703" s="20">
        <f t="shared" ca="1" si="84"/>
        <v>9.891848374372636E-2</v>
      </c>
      <c r="B2703" s="21">
        <f t="shared" ca="1" si="85"/>
        <v>446</v>
      </c>
    </row>
    <row r="2704" spans="1:2" x14ac:dyDescent="0.25">
      <c r="A2704" s="20">
        <f t="shared" ca="1" si="84"/>
        <v>0.6733881353343889</v>
      </c>
      <c r="B2704" s="21">
        <f t="shared" ca="1" si="85"/>
        <v>3115</v>
      </c>
    </row>
    <row r="2705" spans="1:2" x14ac:dyDescent="0.25">
      <c r="A2705" s="20">
        <f t="shared" ca="1" si="84"/>
        <v>0.98066058494616659</v>
      </c>
      <c r="B2705" s="21">
        <f t="shared" ca="1" si="85"/>
        <v>4546</v>
      </c>
    </row>
    <row r="2706" spans="1:2" x14ac:dyDescent="0.25">
      <c r="A2706" s="20">
        <f t="shared" ca="1" si="84"/>
        <v>0.93129911198672577</v>
      </c>
      <c r="B2706" s="21">
        <f t="shared" ca="1" si="85"/>
        <v>4300</v>
      </c>
    </row>
    <row r="2707" spans="1:2" x14ac:dyDescent="0.25">
      <c r="A2707" s="20">
        <f t="shared" ca="1" si="84"/>
        <v>0.45473751291234177</v>
      </c>
      <c r="B2707" s="21">
        <f t="shared" ca="1" si="85"/>
        <v>2130</v>
      </c>
    </row>
    <row r="2708" spans="1:2" x14ac:dyDescent="0.25">
      <c r="A2708" s="20">
        <f t="shared" ca="1" si="84"/>
        <v>0.83228680277910327</v>
      </c>
      <c r="B2708" s="21">
        <f t="shared" ca="1" si="85"/>
        <v>3849</v>
      </c>
    </row>
    <row r="2709" spans="1:2" x14ac:dyDescent="0.25">
      <c r="A2709" s="20">
        <f t="shared" ca="1" si="84"/>
        <v>0.15717923108761267</v>
      </c>
      <c r="B2709" s="21">
        <f t="shared" ca="1" si="85"/>
        <v>705</v>
      </c>
    </row>
    <row r="2710" spans="1:2" x14ac:dyDescent="0.25">
      <c r="A2710" s="20">
        <f t="shared" ca="1" si="84"/>
        <v>0.37576625103480354</v>
      </c>
      <c r="B2710" s="21">
        <f t="shared" ca="1" si="85"/>
        <v>1780</v>
      </c>
    </row>
    <row r="2711" spans="1:2" x14ac:dyDescent="0.25">
      <c r="A2711" s="20">
        <f t="shared" ca="1" si="84"/>
        <v>0.95985118754119192</v>
      </c>
      <c r="B2711" s="21">
        <f t="shared" ca="1" si="85"/>
        <v>4445</v>
      </c>
    </row>
    <row r="2712" spans="1:2" x14ac:dyDescent="0.25">
      <c r="A2712" s="20">
        <f t="shared" ca="1" si="84"/>
        <v>0.93564178803833797</v>
      </c>
      <c r="B2712" s="21">
        <f t="shared" ca="1" si="85"/>
        <v>4325</v>
      </c>
    </row>
    <row r="2713" spans="1:2" x14ac:dyDescent="0.25">
      <c r="A2713" s="20">
        <f t="shared" ca="1" si="84"/>
        <v>0.97138055614455099</v>
      </c>
      <c r="B2713" s="21">
        <f t="shared" ca="1" si="85"/>
        <v>4505</v>
      </c>
    </row>
    <row r="2714" spans="1:2" x14ac:dyDescent="0.25">
      <c r="A2714" s="20">
        <f t="shared" ca="1" si="84"/>
        <v>0.96978619719149606</v>
      </c>
      <c r="B2714" s="21">
        <f t="shared" ca="1" si="85"/>
        <v>4499</v>
      </c>
    </row>
    <row r="2715" spans="1:2" x14ac:dyDescent="0.25">
      <c r="A2715" s="20">
        <f t="shared" ca="1" si="84"/>
        <v>0.15093478636285973</v>
      </c>
      <c r="B2715" s="21">
        <f t="shared" ca="1" si="85"/>
        <v>675</v>
      </c>
    </row>
    <row r="2716" spans="1:2" x14ac:dyDescent="0.25">
      <c r="A2716" s="20">
        <f t="shared" ca="1" si="84"/>
        <v>0.39058005394717432</v>
      </c>
      <c r="B2716" s="21">
        <f t="shared" ca="1" si="85"/>
        <v>1834</v>
      </c>
    </row>
    <row r="2717" spans="1:2" x14ac:dyDescent="0.25">
      <c r="A2717" s="20">
        <f t="shared" ca="1" si="84"/>
        <v>0.22835238481784959</v>
      </c>
      <c r="B2717" s="21">
        <f t="shared" ca="1" si="85"/>
        <v>1071</v>
      </c>
    </row>
    <row r="2718" spans="1:2" x14ac:dyDescent="0.25">
      <c r="A2718" s="20">
        <f t="shared" ca="1" si="84"/>
        <v>0.23862116522885723</v>
      </c>
      <c r="B2718" s="21">
        <f t="shared" ca="1" si="85"/>
        <v>1118</v>
      </c>
    </row>
    <row r="2719" spans="1:2" x14ac:dyDescent="0.25">
      <c r="A2719" s="20">
        <f t="shared" ca="1" si="84"/>
        <v>0.68084862335797502</v>
      </c>
      <c r="B2719" s="21">
        <f t="shared" ca="1" si="85"/>
        <v>3158</v>
      </c>
    </row>
    <row r="2720" spans="1:2" x14ac:dyDescent="0.25">
      <c r="A2720" s="20">
        <f t="shared" ca="1" si="84"/>
        <v>0.32443457180472224</v>
      </c>
      <c r="B2720" s="21">
        <f t="shared" ca="1" si="85"/>
        <v>1524</v>
      </c>
    </row>
    <row r="2721" spans="1:2" x14ac:dyDescent="0.25">
      <c r="A2721" s="20">
        <f t="shared" ca="1" si="84"/>
        <v>0.93608248837855657</v>
      </c>
      <c r="B2721" s="21">
        <f t="shared" ca="1" si="85"/>
        <v>4328</v>
      </c>
    </row>
    <row r="2722" spans="1:2" x14ac:dyDescent="0.25">
      <c r="A2722" s="20">
        <f t="shared" ca="1" si="84"/>
        <v>0.63574875613320936</v>
      </c>
      <c r="B2722" s="21">
        <f t="shared" ca="1" si="85"/>
        <v>2948</v>
      </c>
    </row>
    <row r="2723" spans="1:2" x14ac:dyDescent="0.25">
      <c r="A2723" s="20">
        <f t="shared" ca="1" si="84"/>
        <v>0.16612095554390283</v>
      </c>
      <c r="B2723" s="21">
        <f t="shared" ca="1" si="85"/>
        <v>741</v>
      </c>
    </row>
    <row r="2724" spans="1:2" x14ac:dyDescent="0.25">
      <c r="A2724" s="20">
        <f t="shared" ca="1" si="84"/>
        <v>0.25848543175732697</v>
      </c>
      <c r="B2724" s="21">
        <f t="shared" ca="1" si="85"/>
        <v>1206</v>
      </c>
    </row>
    <row r="2725" spans="1:2" x14ac:dyDescent="0.25">
      <c r="A2725" s="20">
        <f t="shared" ca="1" si="84"/>
        <v>0.19547146996621512</v>
      </c>
      <c r="B2725" s="21">
        <f t="shared" ca="1" si="85"/>
        <v>905</v>
      </c>
    </row>
    <row r="2726" spans="1:2" x14ac:dyDescent="0.25">
      <c r="A2726" s="20">
        <f t="shared" ca="1" si="84"/>
        <v>0.33159471123169715</v>
      </c>
      <c r="B2726" s="21">
        <f t="shared" ca="1" si="85"/>
        <v>1553</v>
      </c>
    </row>
    <row r="2727" spans="1:2" x14ac:dyDescent="0.25">
      <c r="A2727" s="20">
        <f t="shared" ca="1" si="84"/>
        <v>0.94924124275826083</v>
      </c>
      <c r="B2727" s="21">
        <f t="shared" ca="1" si="85"/>
        <v>4399</v>
      </c>
    </row>
    <row r="2728" spans="1:2" x14ac:dyDescent="0.25">
      <c r="A2728" s="20">
        <f t="shared" ca="1" si="84"/>
        <v>0.82119328152738813</v>
      </c>
      <c r="B2728" s="21">
        <f t="shared" ca="1" si="85"/>
        <v>3800</v>
      </c>
    </row>
    <row r="2729" spans="1:2" x14ac:dyDescent="0.25">
      <c r="A2729" s="20">
        <f t="shared" ca="1" si="84"/>
        <v>0.12593044261660524</v>
      </c>
      <c r="B2729" s="21">
        <f t="shared" ca="1" si="85"/>
        <v>555</v>
      </c>
    </row>
    <row r="2730" spans="1:2" x14ac:dyDescent="0.25">
      <c r="A2730" s="20">
        <f t="shared" ca="1" si="84"/>
        <v>0.86896969871435958</v>
      </c>
      <c r="B2730" s="21">
        <f t="shared" ca="1" si="85"/>
        <v>4015</v>
      </c>
    </row>
    <row r="2731" spans="1:2" x14ac:dyDescent="0.25">
      <c r="A2731" s="20">
        <f t="shared" ca="1" si="84"/>
        <v>0.818233315169557</v>
      </c>
      <c r="B2731" s="21">
        <f t="shared" ca="1" si="85"/>
        <v>3786</v>
      </c>
    </row>
    <row r="2732" spans="1:2" x14ac:dyDescent="0.25">
      <c r="A2732" s="20">
        <f t="shared" ca="1" si="84"/>
        <v>0.17640745881800979</v>
      </c>
      <c r="B2732" s="21">
        <f t="shared" ca="1" si="85"/>
        <v>805</v>
      </c>
    </row>
    <row r="2733" spans="1:2" x14ac:dyDescent="0.25">
      <c r="A2733" s="20">
        <f t="shared" ca="1" si="84"/>
        <v>0.66283557831629569</v>
      </c>
      <c r="B2733" s="21">
        <f t="shared" ca="1" si="85"/>
        <v>3075</v>
      </c>
    </row>
    <row r="2734" spans="1:2" x14ac:dyDescent="0.25">
      <c r="A2734" s="20">
        <f t="shared" ca="1" si="84"/>
        <v>0.65656683180078002</v>
      </c>
      <c r="B2734" s="21">
        <f t="shared" ca="1" si="85"/>
        <v>3046</v>
      </c>
    </row>
    <row r="2735" spans="1:2" x14ac:dyDescent="0.25">
      <c r="A2735" s="20">
        <f t="shared" ca="1" si="84"/>
        <v>4.1588628002526828E-3</v>
      </c>
      <c r="B2735" s="21">
        <f t="shared" ca="1" si="85"/>
        <v>19</v>
      </c>
    </row>
    <row r="2736" spans="1:2" x14ac:dyDescent="0.25">
      <c r="A2736" s="20">
        <f t="shared" ca="1" si="84"/>
        <v>0.74054856598991048</v>
      </c>
      <c r="B2736" s="21">
        <f t="shared" ca="1" si="85"/>
        <v>3426</v>
      </c>
    </row>
    <row r="2737" spans="1:2" x14ac:dyDescent="0.25">
      <c r="A2737" s="20">
        <f t="shared" ca="1" si="84"/>
        <v>0.73491996486025513</v>
      </c>
      <c r="B2737" s="21">
        <f t="shared" ca="1" si="85"/>
        <v>3403</v>
      </c>
    </row>
    <row r="2738" spans="1:2" x14ac:dyDescent="0.25">
      <c r="A2738" s="20">
        <f t="shared" ca="1" si="84"/>
        <v>0.65537202761355318</v>
      </c>
      <c r="B2738" s="21">
        <f t="shared" ca="1" si="85"/>
        <v>3040</v>
      </c>
    </row>
    <row r="2739" spans="1:2" x14ac:dyDescent="0.25">
      <c r="A2739" s="20">
        <f t="shared" ca="1" si="84"/>
        <v>0.60208400841960075</v>
      </c>
      <c r="B2739" s="21">
        <f t="shared" ca="1" si="85"/>
        <v>2810</v>
      </c>
    </row>
    <row r="2740" spans="1:2" x14ac:dyDescent="0.25">
      <c r="A2740" s="20">
        <f t="shared" ca="1" si="84"/>
        <v>0.40386788662464712</v>
      </c>
      <c r="B2740" s="21">
        <f t="shared" ca="1" si="85"/>
        <v>1894</v>
      </c>
    </row>
    <row r="2741" spans="1:2" x14ac:dyDescent="0.25">
      <c r="A2741" s="20">
        <f t="shared" ca="1" si="84"/>
        <v>0.4220998844785151</v>
      </c>
      <c r="B2741" s="21">
        <f t="shared" ca="1" si="85"/>
        <v>1984</v>
      </c>
    </row>
    <row r="2742" spans="1:2" x14ac:dyDescent="0.25">
      <c r="A2742" s="20">
        <f t="shared" ca="1" si="84"/>
        <v>0.65422963307035664</v>
      </c>
      <c r="B2742" s="21">
        <f t="shared" ca="1" si="85"/>
        <v>3032</v>
      </c>
    </row>
    <row r="2743" spans="1:2" x14ac:dyDescent="0.25">
      <c r="A2743" s="20">
        <f t="shared" ca="1" si="84"/>
        <v>0.64097891970265997</v>
      </c>
      <c r="B2743" s="21">
        <f t="shared" ca="1" si="85"/>
        <v>2972</v>
      </c>
    </row>
    <row r="2744" spans="1:2" x14ac:dyDescent="0.25">
      <c r="A2744" s="20">
        <f t="shared" ca="1" si="84"/>
        <v>0.54338118453322115</v>
      </c>
      <c r="B2744" s="21">
        <f t="shared" ca="1" si="85"/>
        <v>2539</v>
      </c>
    </row>
    <row r="2745" spans="1:2" x14ac:dyDescent="0.25">
      <c r="A2745" s="20">
        <f t="shared" ca="1" si="84"/>
        <v>0.54985986576250756</v>
      </c>
      <c r="B2745" s="21">
        <f t="shared" ca="1" si="85"/>
        <v>2570</v>
      </c>
    </row>
    <row r="2746" spans="1:2" x14ac:dyDescent="0.25">
      <c r="A2746" s="20">
        <f t="shared" ca="1" si="84"/>
        <v>0.57278595521664788</v>
      </c>
      <c r="B2746" s="21">
        <f t="shared" ca="1" si="85"/>
        <v>2674</v>
      </c>
    </row>
    <row r="2747" spans="1:2" x14ac:dyDescent="0.25">
      <c r="A2747" s="20">
        <f t="shared" ca="1" si="84"/>
        <v>0.95670445612706012</v>
      </c>
      <c r="B2747" s="21">
        <f t="shared" ca="1" si="85"/>
        <v>4428</v>
      </c>
    </row>
    <row r="2748" spans="1:2" x14ac:dyDescent="0.25">
      <c r="A2748" s="20">
        <f t="shared" ca="1" si="84"/>
        <v>6.7165918423516269E-2</v>
      </c>
      <c r="B2748" s="21">
        <f t="shared" ca="1" si="85"/>
        <v>296</v>
      </c>
    </row>
    <row r="2749" spans="1:2" x14ac:dyDescent="0.25">
      <c r="A2749" s="20">
        <f t="shared" ca="1" si="84"/>
        <v>0.63470236985095907</v>
      </c>
      <c r="B2749" s="21">
        <f t="shared" ca="1" si="85"/>
        <v>2942</v>
      </c>
    </row>
    <row r="2750" spans="1:2" x14ac:dyDescent="0.25">
      <c r="A2750" s="20">
        <f t="shared" ca="1" si="84"/>
        <v>0.59477083568777978</v>
      </c>
      <c r="B2750" s="21">
        <f t="shared" ca="1" si="85"/>
        <v>2780</v>
      </c>
    </row>
    <row r="2751" spans="1:2" x14ac:dyDescent="0.25">
      <c r="A2751" s="20">
        <f t="shared" ca="1" si="84"/>
        <v>0.25468179698208415</v>
      </c>
      <c r="B2751" s="21">
        <f t="shared" ca="1" si="85"/>
        <v>1189</v>
      </c>
    </row>
    <row r="2752" spans="1:2" x14ac:dyDescent="0.25">
      <c r="A2752" s="20">
        <f t="shared" ca="1" si="84"/>
        <v>0.7466113414897948</v>
      </c>
      <c r="B2752" s="21">
        <f t="shared" ca="1" si="85"/>
        <v>3452</v>
      </c>
    </row>
    <row r="2753" spans="1:2" x14ac:dyDescent="0.25">
      <c r="A2753" s="20">
        <f t="shared" ca="1" si="84"/>
        <v>0.19810017964951865</v>
      </c>
      <c r="B2753" s="21">
        <f t="shared" ca="1" si="85"/>
        <v>917</v>
      </c>
    </row>
    <row r="2754" spans="1:2" x14ac:dyDescent="0.25">
      <c r="A2754" s="20">
        <f t="shared" ca="1" si="84"/>
        <v>0.43056668374982565</v>
      </c>
      <c r="B2754" s="21">
        <f t="shared" ca="1" si="85"/>
        <v>2023</v>
      </c>
    </row>
    <row r="2755" spans="1:2" x14ac:dyDescent="0.25">
      <c r="A2755" s="20">
        <f t="shared" ref="A2755:A2818" ca="1" si="86">RAND()</f>
        <v>0.38066793530571641</v>
      </c>
      <c r="B2755" s="21">
        <f t="shared" ref="B2755:B2818" ca="1" si="87">_xlfn.RANK.EQ($A2755,$A:$A,1)</f>
        <v>1787</v>
      </c>
    </row>
    <row r="2756" spans="1:2" x14ac:dyDescent="0.25">
      <c r="A2756" s="20">
        <f t="shared" ca="1" si="86"/>
        <v>0.36263731810439537</v>
      </c>
      <c r="B2756" s="21">
        <f t="shared" ca="1" si="87"/>
        <v>1715</v>
      </c>
    </row>
    <row r="2757" spans="1:2" x14ac:dyDescent="0.25">
      <c r="A2757" s="20">
        <f t="shared" ca="1" si="86"/>
        <v>0.4093638779295522</v>
      </c>
      <c r="B2757" s="21">
        <f t="shared" ca="1" si="87"/>
        <v>1927</v>
      </c>
    </row>
    <row r="2758" spans="1:2" x14ac:dyDescent="0.25">
      <c r="A2758" s="20">
        <f t="shared" ca="1" si="86"/>
        <v>0.72121994554787849</v>
      </c>
      <c r="B2758" s="21">
        <f t="shared" ca="1" si="87"/>
        <v>3338</v>
      </c>
    </row>
    <row r="2759" spans="1:2" x14ac:dyDescent="0.25">
      <c r="A2759" s="20">
        <f t="shared" ca="1" si="86"/>
        <v>0.51110746127070239</v>
      </c>
      <c r="B2759" s="21">
        <f t="shared" ca="1" si="87"/>
        <v>2384</v>
      </c>
    </row>
    <row r="2760" spans="1:2" x14ac:dyDescent="0.25">
      <c r="A2760" s="20">
        <f t="shared" ca="1" si="86"/>
        <v>0.70357439753900919</v>
      </c>
      <c r="B2760" s="21">
        <f t="shared" ca="1" si="87"/>
        <v>3255</v>
      </c>
    </row>
    <row r="2761" spans="1:2" x14ac:dyDescent="0.25">
      <c r="A2761" s="20">
        <f t="shared" ca="1" si="86"/>
        <v>0.60709881662736431</v>
      </c>
      <c r="B2761" s="21">
        <f t="shared" ca="1" si="87"/>
        <v>2826</v>
      </c>
    </row>
    <row r="2762" spans="1:2" x14ac:dyDescent="0.25">
      <c r="A2762" s="20">
        <f t="shared" ca="1" si="86"/>
        <v>0.39258623400174819</v>
      </c>
      <c r="B2762" s="21">
        <f t="shared" ca="1" si="87"/>
        <v>1847</v>
      </c>
    </row>
    <row r="2763" spans="1:2" x14ac:dyDescent="0.25">
      <c r="A2763" s="20">
        <f t="shared" ca="1" si="86"/>
        <v>0.16920503391702046</v>
      </c>
      <c r="B2763" s="21">
        <f t="shared" ca="1" si="87"/>
        <v>764</v>
      </c>
    </row>
    <row r="2764" spans="1:2" x14ac:dyDescent="0.25">
      <c r="A2764" s="20">
        <f t="shared" ca="1" si="86"/>
        <v>0.47536655082327939</v>
      </c>
      <c r="B2764" s="21">
        <f t="shared" ca="1" si="87"/>
        <v>2218</v>
      </c>
    </row>
    <row r="2765" spans="1:2" x14ac:dyDescent="0.25">
      <c r="A2765" s="20">
        <f t="shared" ca="1" si="86"/>
        <v>0.56015444362197231</v>
      </c>
      <c r="B2765" s="21">
        <f t="shared" ca="1" si="87"/>
        <v>2620</v>
      </c>
    </row>
    <row r="2766" spans="1:2" x14ac:dyDescent="0.25">
      <c r="A2766" s="20">
        <f t="shared" ca="1" si="86"/>
        <v>0.43689341849553509</v>
      </c>
      <c r="B2766" s="21">
        <f t="shared" ca="1" si="87"/>
        <v>2050</v>
      </c>
    </row>
    <row r="2767" spans="1:2" x14ac:dyDescent="0.25">
      <c r="A2767" s="20">
        <f t="shared" ca="1" si="86"/>
        <v>0.73077129200635926</v>
      </c>
      <c r="B2767" s="21">
        <f t="shared" ca="1" si="87"/>
        <v>3391</v>
      </c>
    </row>
    <row r="2768" spans="1:2" x14ac:dyDescent="0.25">
      <c r="A2768" s="20">
        <f t="shared" ca="1" si="86"/>
        <v>0.82762784774574871</v>
      </c>
      <c r="B2768" s="21">
        <f t="shared" ca="1" si="87"/>
        <v>3832</v>
      </c>
    </row>
    <row r="2769" spans="1:2" x14ac:dyDescent="0.25">
      <c r="A2769" s="20">
        <f t="shared" ca="1" si="86"/>
        <v>0.69672407588104412</v>
      </c>
      <c r="B2769" s="21">
        <f t="shared" ca="1" si="87"/>
        <v>3226</v>
      </c>
    </row>
    <row r="2770" spans="1:2" x14ac:dyDescent="0.25">
      <c r="A2770" s="20">
        <f t="shared" ca="1" si="86"/>
        <v>0.633210282873786</v>
      </c>
      <c r="B2770" s="21">
        <f t="shared" ca="1" si="87"/>
        <v>2933</v>
      </c>
    </row>
    <row r="2771" spans="1:2" x14ac:dyDescent="0.25">
      <c r="A2771" s="20">
        <f t="shared" ca="1" si="86"/>
        <v>0.30701249048413515</v>
      </c>
      <c r="B2771" s="21">
        <f t="shared" ca="1" si="87"/>
        <v>1440</v>
      </c>
    </row>
    <row r="2772" spans="1:2" x14ac:dyDescent="0.25">
      <c r="A2772" s="20">
        <f t="shared" ca="1" si="86"/>
        <v>0.41826007136983723</v>
      </c>
      <c r="B2772" s="21">
        <f t="shared" ca="1" si="87"/>
        <v>1957</v>
      </c>
    </row>
    <row r="2773" spans="1:2" x14ac:dyDescent="0.25">
      <c r="A2773" s="20">
        <f t="shared" ca="1" si="86"/>
        <v>0.84929978826534769</v>
      </c>
      <c r="B2773" s="21">
        <f t="shared" ca="1" si="87"/>
        <v>3923</v>
      </c>
    </row>
    <row r="2774" spans="1:2" x14ac:dyDescent="0.25">
      <c r="A2774" s="20">
        <f t="shared" ca="1" si="86"/>
        <v>0.93486034639734539</v>
      </c>
      <c r="B2774" s="21">
        <f t="shared" ca="1" si="87"/>
        <v>4323</v>
      </c>
    </row>
    <row r="2775" spans="1:2" x14ac:dyDescent="0.25">
      <c r="A2775" s="20">
        <f t="shared" ca="1" si="86"/>
        <v>0.57058821568648821</v>
      </c>
      <c r="B2775" s="21">
        <f t="shared" ca="1" si="87"/>
        <v>2661</v>
      </c>
    </row>
    <row r="2776" spans="1:2" x14ac:dyDescent="0.25">
      <c r="A2776" s="20">
        <f t="shared" ca="1" si="86"/>
        <v>0.72599934181363068</v>
      </c>
      <c r="B2776" s="21">
        <f t="shared" ca="1" si="87"/>
        <v>3358</v>
      </c>
    </row>
    <row r="2777" spans="1:2" x14ac:dyDescent="0.25">
      <c r="A2777" s="20">
        <f t="shared" ca="1" si="86"/>
        <v>0.88272723722372859</v>
      </c>
      <c r="B2777" s="21">
        <f t="shared" ca="1" si="87"/>
        <v>4065</v>
      </c>
    </row>
    <row r="2778" spans="1:2" x14ac:dyDescent="0.25">
      <c r="A2778" s="20">
        <f t="shared" ca="1" si="86"/>
        <v>0.94348203194820035</v>
      </c>
      <c r="B2778" s="21">
        <f t="shared" ca="1" si="87"/>
        <v>4363</v>
      </c>
    </row>
    <row r="2779" spans="1:2" x14ac:dyDescent="0.25">
      <c r="A2779" s="20">
        <f t="shared" ca="1" si="86"/>
        <v>0.94935854849696921</v>
      </c>
      <c r="B2779" s="21">
        <f t="shared" ca="1" si="87"/>
        <v>4400</v>
      </c>
    </row>
    <row r="2780" spans="1:2" x14ac:dyDescent="0.25">
      <c r="A2780" s="20">
        <f t="shared" ca="1" si="86"/>
        <v>0.93824545473614485</v>
      </c>
      <c r="B2780" s="21">
        <f t="shared" ca="1" si="87"/>
        <v>4341</v>
      </c>
    </row>
    <row r="2781" spans="1:2" x14ac:dyDescent="0.25">
      <c r="A2781" s="20">
        <f t="shared" ca="1" si="86"/>
        <v>0.85412193620800714</v>
      </c>
      <c r="B2781" s="21">
        <f t="shared" ca="1" si="87"/>
        <v>3948</v>
      </c>
    </row>
    <row r="2782" spans="1:2" x14ac:dyDescent="0.25">
      <c r="A2782" s="20">
        <f t="shared" ca="1" si="86"/>
        <v>0.57623643930583623</v>
      </c>
      <c r="B2782" s="21">
        <f t="shared" ca="1" si="87"/>
        <v>2687</v>
      </c>
    </row>
    <row r="2783" spans="1:2" x14ac:dyDescent="0.25">
      <c r="A2783" s="20">
        <f t="shared" ca="1" si="86"/>
        <v>0.20329781048320128</v>
      </c>
      <c r="B2783" s="21">
        <f t="shared" ca="1" si="87"/>
        <v>943</v>
      </c>
    </row>
    <row r="2784" spans="1:2" x14ac:dyDescent="0.25">
      <c r="A2784" s="20">
        <f t="shared" ca="1" si="86"/>
        <v>0.69505323483369696</v>
      </c>
      <c r="B2784" s="21">
        <f t="shared" ca="1" si="87"/>
        <v>3222</v>
      </c>
    </row>
    <row r="2785" spans="1:2" x14ac:dyDescent="0.25">
      <c r="A2785" s="20">
        <f t="shared" ca="1" si="86"/>
        <v>0.14937257531208925</v>
      </c>
      <c r="B2785" s="21">
        <f t="shared" ca="1" si="87"/>
        <v>663</v>
      </c>
    </row>
    <row r="2786" spans="1:2" x14ac:dyDescent="0.25">
      <c r="A2786" s="20">
        <f t="shared" ca="1" si="86"/>
        <v>0.49745851644886263</v>
      </c>
      <c r="B2786" s="21">
        <f t="shared" ca="1" si="87"/>
        <v>2310</v>
      </c>
    </row>
    <row r="2787" spans="1:2" x14ac:dyDescent="0.25">
      <c r="A2787" s="20">
        <f t="shared" ca="1" si="86"/>
        <v>0.20109522392192758</v>
      </c>
      <c r="B2787" s="21">
        <f t="shared" ca="1" si="87"/>
        <v>932</v>
      </c>
    </row>
    <row r="2788" spans="1:2" x14ac:dyDescent="0.25">
      <c r="A2788" s="20">
        <f t="shared" ca="1" si="86"/>
        <v>0.6936260037190084</v>
      </c>
      <c r="B2788" s="21">
        <f t="shared" ca="1" si="87"/>
        <v>3214</v>
      </c>
    </row>
    <row r="2789" spans="1:2" x14ac:dyDescent="0.25">
      <c r="A2789" s="20">
        <f t="shared" ca="1" si="86"/>
        <v>0.59458988701791693</v>
      </c>
      <c r="B2789" s="21">
        <f t="shared" ca="1" si="87"/>
        <v>2775</v>
      </c>
    </row>
    <row r="2790" spans="1:2" x14ac:dyDescent="0.25">
      <c r="A2790" s="20">
        <f t="shared" ca="1" si="86"/>
        <v>0.37525968798477694</v>
      </c>
      <c r="B2790" s="21">
        <f t="shared" ca="1" si="87"/>
        <v>1778</v>
      </c>
    </row>
    <row r="2791" spans="1:2" x14ac:dyDescent="0.25">
      <c r="A2791" s="20">
        <f t="shared" ca="1" si="86"/>
        <v>0.88665422311191167</v>
      </c>
      <c r="B2791" s="21">
        <f t="shared" ca="1" si="87"/>
        <v>4087</v>
      </c>
    </row>
    <row r="2792" spans="1:2" x14ac:dyDescent="0.25">
      <c r="A2792" s="20">
        <f t="shared" ca="1" si="86"/>
        <v>0.20938158818495989</v>
      </c>
      <c r="B2792" s="21">
        <f t="shared" ca="1" si="87"/>
        <v>976</v>
      </c>
    </row>
    <row r="2793" spans="1:2" x14ac:dyDescent="0.25">
      <c r="A2793" s="20">
        <f t="shared" ca="1" si="86"/>
        <v>6.6263627558199145E-2</v>
      </c>
      <c r="B2793" s="21">
        <f t="shared" ca="1" si="87"/>
        <v>292</v>
      </c>
    </row>
    <row r="2794" spans="1:2" x14ac:dyDescent="0.25">
      <c r="A2794" s="20">
        <f t="shared" ca="1" si="86"/>
        <v>0.78981130552208012</v>
      </c>
      <c r="B2794" s="21">
        <f t="shared" ca="1" si="87"/>
        <v>3656</v>
      </c>
    </row>
    <row r="2795" spans="1:2" x14ac:dyDescent="0.25">
      <c r="A2795" s="20">
        <f t="shared" ca="1" si="86"/>
        <v>0.21946953530158964</v>
      </c>
      <c r="B2795" s="21">
        <f t="shared" ca="1" si="87"/>
        <v>1030</v>
      </c>
    </row>
    <row r="2796" spans="1:2" x14ac:dyDescent="0.25">
      <c r="A2796" s="20">
        <f t="shared" ca="1" si="86"/>
        <v>0.90604288956737422</v>
      </c>
      <c r="B2796" s="21">
        <f t="shared" ca="1" si="87"/>
        <v>4182</v>
      </c>
    </row>
    <row r="2797" spans="1:2" x14ac:dyDescent="0.25">
      <c r="A2797" s="20">
        <f t="shared" ca="1" si="86"/>
        <v>0.72830515858731848</v>
      </c>
      <c r="B2797" s="21">
        <f t="shared" ca="1" si="87"/>
        <v>3370</v>
      </c>
    </row>
    <row r="2798" spans="1:2" x14ac:dyDescent="0.25">
      <c r="A2798" s="20">
        <f t="shared" ca="1" si="86"/>
        <v>0.29288887274114572</v>
      </c>
      <c r="B2798" s="21">
        <f t="shared" ca="1" si="87"/>
        <v>1378</v>
      </c>
    </row>
    <row r="2799" spans="1:2" x14ac:dyDescent="0.25">
      <c r="A2799" s="20">
        <f t="shared" ca="1" si="86"/>
        <v>0.53139824001551172</v>
      </c>
      <c r="B2799" s="21">
        <f t="shared" ca="1" si="87"/>
        <v>2482</v>
      </c>
    </row>
    <row r="2800" spans="1:2" x14ac:dyDescent="0.25">
      <c r="A2800" s="20">
        <f t="shared" ca="1" si="86"/>
        <v>0.41686612808943058</v>
      </c>
      <c r="B2800" s="21">
        <f t="shared" ca="1" si="87"/>
        <v>1955</v>
      </c>
    </row>
    <row r="2801" spans="1:2" x14ac:dyDescent="0.25">
      <c r="A2801" s="20">
        <f t="shared" ca="1" si="86"/>
        <v>0.43823292963809279</v>
      </c>
      <c r="B2801" s="21">
        <f t="shared" ca="1" si="87"/>
        <v>2055</v>
      </c>
    </row>
    <row r="2802" spans="1:2" x14ac:dyDescent="0.25">
      <c r="A2802" s="20">
        <f t="shared" ca="1" si="86"/>
        <v>0.3252840802669682</v>
      </c>
      <c r="B2802" s="21">
        <f t="shared" ca="1" si="87"/>
        <v>1527</v>
      </c>
    </row>
    <row r="2803" spans="1:2" x14ac:dyDescent="0.25">
      <c r="A2803" s="20">
        <f t="shared" ca="1" si="86"/>
        <v>6.5950672748111727E-2</v>
      </c>
      <c r="B2803" s="21">
        <f t="shared" ca="1" si="87"/>
        <v>290</v>
      </c>
    </row>
    <row r="2804" spans="1:2" x14ac:dyDescent="0.25">
      <c r="A2804" s="20">
        <f t="shared" ca="1" si="86"/>
        <v>0.22007380847602154</v>
      </c>
      <c r="B2804" s="21">
        <f t="shared" ca="1" si="87"/>
        <v>1032</v>
      </c>
    </row>
    <row r="2805" spans="1:2" x14ac:dyDescent="0.25">
      <c r="A2805" s="20">
        <f t="shared" ca="1" si="86"/>
        <v>0.77941038704706056</v>
      </c>
      <c r="B2805" s="21">
        <f t="shared" ca="1" si="87"/>
        <v>3613</v>
      </c>
    </row>
    <row r="2806" spans="1:2" x14ac:dyDescent="0.25">
      <c r="A2806" s="20">
        <f t="shared" ca="1" si="86"/>
        <v>7.8026568121199014E-2</v>
      </c>
      <c r="B2806" s="21">
        <f t="shared" ca="1" si="87"/>
        <v>348</v>
      </c>
    </row>
    <row r="2807" spans="1:2" x14ac:dyDescent="0.25">
      <c r="A2807" s="20">
        <f t="shared" ca="1" si="86"/>
        <v>0.9858362455741706</v>
      </c>
      <c r="B2807" s="21">
        <f t="shared" ca="1" si="87"/>
        <v>4564</v>
      </c>
    </row>
    <row r="2808" spans="1:2" x14ac:dyDescent="0.25">
      <c r="A2808" s="20">
        <f t="shared" ca="1" si="86"/>
        <v>9.9511599572551179E-2</v>
      </c>
      <c r="B2808" s="21">
        <f t="shared" ca="1" si="87"/>
        <v>450</v>
      </c>
    </row>
    <row r="2809" spans="1:2" x14ac:dyDescent="0.25">
      <c r="A2809" s="20">
        <f t="shared" ca="1" si="86"/>
        <v>0.20526969529425509</v>
      </c>
      <c r="B2809" s="21">
        <f t="shared" ca="1" si="87"/>
        <v>954</v>
      </c>
    </row>
    <row r="2810" spans="1:2" x14ac:dyDescent="0.25">
      <c r="A2810" s="20">
        <f t="shared" ca="1" si="86"/>
        <v>0.50171703601702988</v>
      </c>
      <c r="B2810" s="21">
        <f t="shared" ca="1" si="87"/>
        <v>2331</v>
      </c>
    </row>
    <row r="2811" spans="1:2" x14ac:dyDescent="0.25">
      <c r="A2811" s="20">
        <f t="shared" ca="1" si="86"/>
        <v>0.26236133731605116</v>
      </c>
      <c r="B2811" s="21">
        <f t="shared" ca="1" si="87"/>
        <v>1225</v>
      </c>
    </row>
    <row r="2812" spans="1:2" x14ac:dyDescent="0.25">
      <c r="A2812" s="20">
        <f t="shared" ca="1" si="86"/>
        <v>0.12315092676929673</v>
      </c>
      <c r="B2812" s="21">
        <f t="shared" ca="1" si="87"/>
        <v>548</v>
      </c>
    </row>
    <row r="2813" spans="1:2" x14ac:dyDescent="0.25">
      <c r="A2813" s="20">
        <f t="shared" ca="1" si="86"/>
        <v>0.54902356710657774</v>
      </c>
      <c r="B2813" s="21">
        <f t="shared" ca="1" si="87"/>
        <v>2563</v>
      </c>
    </row>
    <row r="2814" spans="1:2" x14ac:dyDescent="0.25">
      <c r="A2814" s="20">
        <f t="shared" ca="1" si="86"/>
        <v>0.28761040429534501</v>
      </c>
      <c r="B2814" s="21">
        <f t="shared" ca="1" si="87"/>
        <v>1350</v>
      </c>
    </row>
    <row r="2815" spans="1:2" x14ac:dyDescent="0.25">
      <c r="A2815" s="20">
        <f t="shared" ca="1" si="86"/>
        <v>0.63911876512136134</v>
      </c>
      <c r="B2815" s="21">
        <f t="shared" ca="1" si="87"/>
        <v>2960</v>
      </c>
    </row>
    <row r="2816" spans="1:2" x14ac:dyDescent="0.25">
      <c r="A2816" s="20">
        <f t="shared" ca="1" si="86"/>
        <v>0.15216054579280991</v>
      </c>
      <c r="B2816" s="21">
        <f t="shared" ca="1" si="87"/>
        <v>681</v>
      </c>
    </row>
    <row r="2817" spans="1:2" x14ac:dyDescent="0.25">
      <c r="A2817" s="20">
        <f t="shared" ca="1" si="86"/>
        <v>0.96546176847424248</v>
      </c>
      <c r="B2817" s="21">
        <f t="shared" ca="1" si="87"/>
        <v>4474</v>
      </c>
    </row>
    <row r="2818" spans="1:2" x14ac:dyDescent="0.25">
      <c r="A2818" s="20">
        <f t="shared" ca="1" si="86"/>
        <v>0.57073281484050897</v>
      </c>
      <c r="B2818" s="21">
        <f t="shared" ca="1" si="87"/>
        <v>2663</v>
      </c>
    </row>
    <row r="2819" spans="1:2" x14ac:dyDescent="0.25">
      <c r="A2819" s="20">
        <f t="shared" ref="A2819:A2882" ca="1" si="88">RAND()</f>
        <v>7.4754095020208133E-2</v>
      </c>
      <c r="B2819" s="21">
        <f t="shared" ref="B2819:B2882" ca="1" si="89">_xlfn.RANK.EQ($A2819,$A:$A,1)</f>
        <v>334</v>
      </c>
    </row>
    <row r="2820" spans="1:2" x14ac:dyDescent="0.25">
      <c r="A2820" s="20">
        <f t="shared" ca="1" si="88"/>
        <v>0.84611120696653008</v>
      </c>
      <c r="B2820" s="21">
        <f t="shared" ca="1" si="89"/>
        <v>3909</v>
      </c>
    </row>
    <row r="2821" spans="1:2" x14ac:dyDescent="0.25">
      <c r="A2821" s="20">
        <f t="shared" ca="1" si="88"/>
        <v>0.20835538016361099</v>
      </c>
      <c r="B2821" s="21">
        <f t="shared" ca="1" si="89"/>
        <v>971</v>
      </c>
    </row>
    <row r="2822" spans="1:2" x14ac:dyDescent="0.25">
      <c r="A2822" s="20">
        <f t="shared" ca="1" si="88"/>
        <v>0.73975682041176316</v>
      </c>
      <c r="B2822" s="21">
        <f t="shared" ca="1" si="89"/>
        <v>3422</v>
      </c>
    </row>
    <row r="2823" spans="1:2" x14ac:dyDescent="0.25">
      <c r="A2823" s="20">
        <f t="shared" ca="1" si="88"/>
        <v>0.5609223374853588</v>
      </c>
      <c r="B2823" s="21">
        <f t="shared" ca="1" si="89"/>
        <v>2622</v>
      </c>
    </row>
    <row r="2824" spans="1:2" x14ac:dyDescent="0.25">
      <c r="A2824" s="20">
        <f t="shared" ca="1" si="88"/>
        <v>0.89411498213551865</v>
      </c>
      <c r="B2824" s="21">
        <f t="shared" ca="1" si="89"/>
        <v>4123</v>
      </c>
    </row>
    <row r="2825" spans="1:2" x14ac:dyDescent="0.25">
      <c r="A2825" s="20">
        <f t="shared" ca="1" si="88"/>
        <v>0.45040213354660941</v>
      </c>
      <c r="B2825" s="21">
        <f t="shared" ca="1" si="89"/>
        <v>2105</v>
      </c>
    </row>
    <row r="2826" spans="1:2" x14ac:dyDescent="0.25">
      <c r="A2826" s="20">
        <f t="shared" ca="1" si="88"/>
        <v>0.99829086537513145</v>
      </c>
      <c r="B2826" s="21">
        <f t="shared" ca="1" si="89"/>
        <v>4610</v>
      </c>
    </row>
    <row r="2827" spans="1:2" x14ac:dyDescent="0.25">
      <c r="A2827" s="20">
        <f t="shared" ca="1" si="88"/>
        <v>8.4407370519959946E-2</v>
      </c>
      <c r="B2827" s="21">
        <f t="shared" ca="1" si="89"/>
        <v>378</v>
      </c>
    </row>
    <row r="2828" spans="1:2" x14ac:dyDescent="0.25">
      <c r="A2828" s="20">
        <f t="shared" ca="1" si="88"/>
        <v>0.44345907697314046</v>
      </c>
      <c r="B2828" s="21">
        <f t="shared" ca="1" si="89"/>
        <v>2072</v>
      </c>
    </row>
    <row r="2829" spans="1:2" x14ac:dyDescent="0.25">
      <c r="A2829" s="20">
        <f t="shared" ca="1" si="88"/>
        <v>0.41392521996167086</v>
      </c>
      <c r="B2829" s="21">
        <f t="shared" ca="1" si="89"/>
        <v>1940</v>
      </c>
    </row>
    <row r="2830" spans="1:2" x14ac:dyDescent="0.25">
      <c r="A2830" s="20">
        <f t="shared" ca="1" si="88"/>
        <v>0.26561991265951956</v>
      </c>
      <c r="B2830" s="21">
        <f t="shared" ca="1" si="89"/>
        <v>1243</v>
      </c>
    </row>
    <row r="2831" spans="1:2" x14ac:dyDescent="0.25">
      <c r="A2831" s="20">
        <f t="shared" ca="1" si="88"/>
        <v>0.30022562776394845</v>
      </c>
      <c r="B2831" s="21">
        <f t="shared" ca="1" si="89"/>
        <v>1409</v>
      </c>
    </row>
    <row r="2832" spans="1:2" x14ac:dyDescent="0.25">
      <c r="A2832" s="20">
        <f t="shared" ca="1" si="88"/>
        <v>0.61710683649930786</v>
      </c>
      <c r="B2832" s="21">
        <f t="shared" ca="1" si="89"/>
        <v>2866</v>
      </c>
    </row>
    <row r="2833" spans="1:2" x14ac:dyDescent="0.25">
      <c r="A2833" s="20">
        <f t="shared" ca="1" si="88"/>
        <v>0.23500954781946248</v>
      </c>
      <c r="B2833" s="21">
        <f t="shared" ca="1" si="89"/>
        <v>1104</v>
      </c>
    </row>
    <row r="2834" spans="1:2" x14ac:dyDescent="0.25">
      <c r="A2834" s="20">
        <f t="shared" ca="1" si="88"/>
        <v>0.5395465463181448</v>
      </c>
      <c r="B2834" s="21">
        <f t="shared" ca="1" si="89"/>
        <v>2522</v>
      </c>
    </row>
    <row r="2835" spans="1:2" x14ac:dyDescent="0.25">
      <c r="A2835" s="20">
        <f t="shared" ca="1" si="88"/>
        <v>0.78215039079731963</v>
      </c>
      <c r="B2835" s="21">
        <f t="shared" ca="1" si="89"/>
        <v>3624</v>
      </c>
    </row>
    <row r="2836" spans="1:2" x14ac:dyDescent="0.25">
      <c r="A2836" s="20">
        <f t="shared" ca="1" si="88"/>
        <v>0.37492380983146389</v>
      </c>
      <c r="B2836" s="21">
        <f t="shared" ca="1" si="89"/>
        <v>1776</v>
      </c>
    </row>
    <row r="2837" spans="1:2" x14ac:dyDescent="0.25">
      <c r="A2837" s="20">
        <f t="shared" ca="1" si="88"/>
        <v>0.43024759825497449</v>
      </c>
      <c r="B2837" s="21">
        <f t="shared" ca="1" si="89"/>
        <v>2021</v>
      </c>
    </row>
    <row r="2838" spans="1:2" x14ac:dyDescent="0.25">
      <c r="A2838" s="20">
        <f t="shared" ca="1" si="88"/>
        <v>0.20473430088953204</v>
      </c>
      <c r="B2838" s="21">
        <f t="shared" ca="1" si="89"/>
        <v>950</v>
      </c>
    </row>
    <row r="2839" spans="1:2" x14ac:dyDescent="0.25">
      <c r="A2839" s="20">
        <f t="shared" ca="1" si="88"/>
        <v>0.53342461579783484</v>
      </c>
      <c r="B2839" s="21">
        <f t="shared" ca="1" si="89"/>
        <v>2490</v>
      </c>
    </row>
    <row r="2840" spans="1:2" x14ac:dyDescent="0.25">
      <c r="A2840" s="20">
        <f t="shared" ca="1" si="88"/>
        <v>0.26044914063431157</v>
      </c>
      <c r="B2840" s="21">
        <f t="shared" ca="1" si="89"/>
        <v>1214</v>
      </c>
    </row>
    <row r="2841" spans="1:2" x14ac:dyDescent="0.25">
      <c r="A2841" s="20">
        <f t="shared" ca="1" si="88"/>
        <v>0.14518322957957808</v>
      </c>
      <c r="B2841" s="21">
        <f t="shared" ca="1" si="89"/>
        <v>639</v>
      </c>
    </row>
    <row r="2842" spans="1:2" x14ac:dyDescent="0.25">
      <c r="A2842" s="20">
        <f t="shared" ca="1" si="88"/>
        <v>0.14765038727727131</v>
      </c>
      <c r="B2842" s="21">
        <f t="shared" ca="1" si="89"/>
        <v>655</v>
      </c>
    </row>
    <row r="2843" spans="1:2" x14ac:dyDescent="0.25">
      <c r="A2843" s="20">
        <f t="shared" ca="1" si="88"/>
        <v>0.57671331242601742</v>
      </c>
      <c r="B2843" s="21">
        <f t="shared" ca="1" si="89"/>
        <v>2694</v>
      </c>
    </row>
    <row r="2844" spans="1:2" x14ac:dyDescent="0.25">
      <c r="A2844" s="20">
        <f t="shared" ca="1" si="88"/>
        <v>0.76376389541177891</v>
      </c>
      <c r="B2844" s="21">
        <f t="shared" ca="1" si="89"/>
        <v>3540</v>
      </c>
    </row>
    <row r="2845" spans="1:2" x14ac:dyDescent="0.25">
      <c r="A2845" s="20">
        <f t="shared" ca="1" si="88"/>
        <v>0.1997535641132332</v>
      </c>
      <c r="B2845" s="21">
        <f t="shared" ca="1" si="89"/>
        <v>926</v>
      </c>
    </row>
    <row r="2846" spans="1:2" x14ac:dyDescent="0.25">
      <c r="A2846" s="20">
        <f t="shared" ca="1" si="88"/>
        <v>0.79313111768781952</v>
      </c>
      <c r="B2846" s="21">
        <f t="shared" ca="1" si="89"/>
        <v>3670</v>
      </c>
    </row>
    <row r="2847" spans="1:2" x14ac:dyDescent="0.25">
      <c r="A2847" s="20">
        <f t="shared" ca="1" si="88"/>
        <v>0.34921593925911998</v>
      </c>
      <c r="B2847" s="21">
        <f t="shared" ca="1" si="89"/>
        <v>1648</v>
      </c>
    </row>
    <row r="2848" spans="1:2" x14ac:dyDescent="0.25">
      <c r="A2848" s="20">
        <f t="shared" ca="1" si="88"/>
        <v>0.23282119650931421</v>
      </c>
      <c r="B2848" s="21">
        <f t="shared" ca="1" si="89"/>
        <v>1091</v>
      </c>
    </row>
    <row r="2849" spans="1:2" x14ac:dyDescent="0.25">
      <c r="A2849" s="20">
        <f t="shared" ca="1" si="88"/>
        <v>5.5051091540422314E-3</v>
      </c>
      <c r="B2849" s="21">
        <f t="shared" ca="1" si="89"/>
        <v>23</v>
      </c>
    </row>
    <row r="2850" spans="1:2" x14ac:dyDescent="0.25">
      <c r="A2850" s="20">
        <f t="shared" ca="1" si="88"/>
        <v>0.80530909866974398</v>
      </c>
      <c r="B2850" s="21">
        <f t="shared" ca="1" si="89"/>
        <v>3728</v>
      </c>
    </row>
    <row r="2851" spans="1:2" x14ac:dyDescent="0.25">
      <c r="A2851" s="20">
        <f t="shared" ca="1" si="88"/>
        <v>0.76999066048643738</v>
      </c>
      <c r="B2851" s="21">
        <f t="shared" ca="1" si="89"/>
        <v>3571</v>
      </c>
    </row>
    <row r="2852" spans="1:2" x14ac:dyDescent="0.25">
      <c r="A2852" s="20">
        <f t="shared" ca="1" si="88"/>
        <v>0.40069861668652496</v>
      </c>
      <c r="B2852" s="21">
        <f t="shared" ca="1" si="89"/>
        <v>1885</v>
      </c>
    </row>
    <row r="2853" spans="1:2" x14ac:dyDescent="0.25">
      <c r="A2853" s="20">
        <f t="shared" ca="1" si="88"/>
        <v>0.27342609248539329</v>
      </c>
      <c r="B2853" s="21">
        <f t="shared" ca="1" si="89"/>
        <v>1272</v>
      </c>
    </row>
    <row r="2854" spans="1:2" x14ac:dyDescent="0.25">
      <c r="A2854" s="20">
        <f t="shared" ca="1" si="88"/>
        <v>0.51172149975108894</v>
      </c>
      <c r="B2854" s="21">
        <f t="shared" ca="1" si="89"/>
        <v>2387</v>
      </c>
    </row>
    <row r="2855" spans="1:2" x14ac:dyDescent="0.25">
      <c r="A2855" s="20">
        <f t="shared" ca="1" si="88"/>
        <v>0.86085464093192665</v>
      </c>
      <c r="B2855" s="21">
        <f t="shared" ca="1" si="89"/>
        <v>3973</v>
      </c>
    </row>
    <row r="2856" spans="1:2" x14ac:dyDescent="0.25">
      <c r="A2856" s="20">
        <f t="shared" ca="1" si="88"/>
        <v>0.68463430590317131</v>
      </c>
      <c r="B2856" s="21">
        <f t="shared" ca="1" si="89"/>
        <v>3179</v>
      </c>
    </row>
    <row r="2857" spans="1:2" x14ac:dyDescent="0.25">
      <c r="A2857" s="20">
        <f t="shared" ca="1" si="88"/>
        <v>0.31262573568223695</v>
      </c>
      <c r="B2857" s="21">
        <f t="shared" ca="1" si="89"/>
        <v>1464</v>
      </c>
    </row>
    <row r="2858" spans="1:2" x14ac:dyDescent="0.25">
      <c r="A2858" s="20">
        <f t="shared" ca="1" si="88"/>
        <v>4.3663137758128912E-2</v>
      </c>
      <c r="B2858" s="21">
        <f t="shared" ca="1" si="89"/>
        <v>176</v>
      </c>
    </row>
    <row r="2859" spans="1:2" x14ac:dyDescent="0.25">
      <c r="A2859" s="20">
        <f t="shared" ca="1" si="88"/>
        <v>0.20598221823532781</v>
      </c>
      <c r="B2859" s="21">
        <f t="shared" ca="1" si="89"/>
        <v>957</v>
      </c>
    </row>
    <row r="2860" spans="1:2" x14ac:dyDescent="0.25">
      <c r="A2860" s="20">
        <f t="shared" ca="1" si="88"/>
        <v>0.59050763600899259</v>
      </c>
      <c r="B2860" s="21">
        <f t="shared" ca="1" si="89"/>
        <v>2756</v>
      </c>
    </row>
    <row r="2861" spans="1:2" x14ac:dyDescent="0.25">
      <c r="A2861" s="20">
        <f t="shared" ca="1" si="88"/>
        <v>0.28605842712113061</v>
      </c>
      <c r="B2861" s="21">
        <f t="shared" ca="1" si="89"/>
        <v>1338</v>
      </c>
    </row>
    <row r="2862" spans="1:2" x14ac:dyDescent="0.25">
      <c r="A2862" s="20">
        <f t="shared" ca="1" si="88"/>
        <v>0.87887124474150446</v>
      </c>
      <c r="B2862" s="21">
        <f t="shared" ca="1" si="89"/>
        <v>4047</v>
      </c>
    </row>
    <row r="2863" spans="1:2" x14ac:dyDescent="0.25">
      <c r="A2863" s="20">
        <f t="shared" ca="1" si="88"/>
        <v>0.64179159253308138</v>
      </c>
      <c r="B2863" s="21">
        <f t="shared" ca="1" si="89"/>
        <v>2979</v>
      </c>
    </row>
    <row r="2864" spans="1:2" x14ac:dyDescent="0.25">
      <c r="A2864" s="20">
        <f t="shared" ca="1" si="88"/>
        <v>0.47949417937109606</v>
      </c>
      <c r="B2864" s="21">
        <f t="shared" ca="1" si="89"/>
        <v>2238</v>
      </c>
    </row>
    <row r="2865" spans="1:2" x14ac:dyDescent="0.25">
      <c r="A2865" s="20">
        <f t="shared" ca="1" si="88"/>
        <v>0.68338860058594375</v>
      </c>
      <c r="B2865" s="21">
        <f t="shared" ca="1" si="89"/>
        <v>3172</v>
      </c>
    </row>
    <row r="2866" spans="1:2" x14ac:dyDescent="0.25">
      <c r="A2866" s="20">
        <f t="shared" ca="1" si="88"/>
        <v>0.46463059299578791</v>
      </c>
      <c r="B2866" s="21">
        <f t="shared" ca="1" si="89"/>
        <v>2175</v>
      </c>
    </row>
    <row r="2867" spans="1:2" x14ac:dyDescent="0.25">
      <c r="A2867" s="20">
        <f t="shared" ca="1" si="88"/>
        <v>0.92134789520893401</v>
      </c>
      <c r="B2867" s="21">
        <f t="shared" ca="1" si="89"/>
        <v>4252</v>
      </c>
    </row>
    <row r="2868" spans="1:2" x14ac:dyDescent="0.25">
      <c r="A2868" s="20">
        <f t="shared" ca="1" si="88"/>
        <v>2.6388838481035015E-2</v>
      </c>
      <c r="B2868" s="21">
        <f t="shared" ca="1" si="89"/>
        <v>104</v>
      </c>
    </row>
    <row r="2869" spans="1:2" x14ac:dyDescent="0.25">
      <c r="A2869" s="20">
        <f t="shared" ca="1" si="88"/>
        <v>0.88872822076855851</v>
      </c>
      <c r="B2869" s="21">
        <f t="shared" ca="1" si="89"/>
        <v>4095</v>
      </c>
    </row>
    <row r="2870" spans="1:2" x14ac:dyDescent="0.25">
      <c r="A2870" s="20">
        <f t="shared" ca="1" si="88"/>
        <v>0.88313068576870846</v>
      </c>
      <c r="B2870" s="21">
        <f t="shared" ca="1" si="89"/>
        <v>4069</v>
      </c>
    </row>
    <row r="2871" spans="1:2" x14ac:dyDescent="0.25">
      <c r="A2871" s="20">
        <f t="shared" ca="1" si="88"/>
        <v>0.35046256293809708</v>
      </c>
      <c r="B2871" s="21">
        <f t="shared" ca="1" si="89"/>
        <v>1656</v>
      </c>
    </row>
    <row r="2872" spans="1:2" x14ac:dyDescent="0.25">
      <c r="A2872" s="20">
        <f t="shared" ca="1" si="88"/>
        <v>0.44637879706155625</v>
      </c>
      <c r="B2872" s="21">
        <f t="shared" ca="1" si="89"/>
        <v>2090</v>
      </c>
    </row>
    <row r="2873" spans="1:2" x14ac:dyDescent="0.25">
      <c r="A2873" s="20">
        <f t="shared" ca="1" si="88"/>
        <v>0.28527901096620134</v>
      </c>
      <c r="B2873" s="21">
        <f t="shared" ca="1" si="89"/>
        <v>1333</v>
      </c>
    </row>
    <row r="2874" spans="1:2" x14ac:dyDescent="0.25">
      <c r="A2874" s="20">
        <f t="shared" ca="1" si="88"/>
        <v>0.11878544707418437</v>
      </c>
      <c r="B2874" s="21">
        <f t="shared" ca="1" si="89"/>
        <v>519</v>
      </c>
    </row>
    <row r="2875" spans="1:2" x14ac:dyDescent="0.25">
      <c r="A2875" s="20">
        <f t="shared" ca="1" si="88"/>
        <v>0.12476656917251372</v>
      </c>
      <c r="B2875" s="21">
        <f t="shared" ca="1" si="89"/>
        <v>552</v>
      </c>
    </row>
    <row r="2876" spans="1:2" x14ac:dyDescent="0.25">
      <c r="A2876" s="20">
        <f t="shared" ca="1" si="88"/>
        <v>0.75262311534791027</v>
      </c>
      <c r="B2876" s="21">
        <f t="shared" ca="1" si="89"/>
        <v>3484</v>
      </c>
    </row>
    <row r="2877" spans="1:2" x14ac:dyDescent="0.25">
      <c r="A2877" s="20">
        <f t="shared" ca="1" si="88"/>
        <v>0.49214167537820686</v>
      </c>
      <c r="B2877" s="21">
        <f t="shared" ca="1" si="89"/>
        <v>2287</v>
      </c>
    </row>
    <row r="2878" spans="1:2" x14ac:dyDescent="0.25">
      <c r="A2878" s="20">
        <f t="shared" ca="1" si="88"/>
        <v>0.6466134218097026</v>
      </c>
      <c r="B2878" s="21">
        <f t="shared" ca="1" si="89"/>
        <v>3003</v>
      </c>
    </row>
    <row r="2879" spans="1:2" x14ac:dyDescent="0.25">
      <c r="A2879" s="20">
        <f t="shared" ca="1" si="88"/>
        <v>0.43444153123404283</v>
      </c>
      <c r="B2879" s="21">
        <f t="shared" ca="1" si="89"/>
        <v>2037</v>
      </c>
    </row>
    <row r="2880" spans="1:2" x14ac:dyDescent="0.25">
      <c r="A2880" s="20">
        <f t="shared" ca="1" si="88"/>
        <v>0.71936295390792926</v>
      </c>
      <c r="B2880" s="21">
        <f t="shared" ca="1" si="89"/>
        <v>3330</v>
      </c>
    </row>
    <row r="2881" spans="1:2" x14ac:dyDescent="0.25">
      <c r="A2881" s="20">
        <f t="shared" ca="1" si="88"/>
        <v>0.89063265854818718</v>
      </c>
      <c r="B2881" s="21">
        <f t="shared" ca="1" si="89"/>
        <v>4107</v>
      </c>
    </row>
    <row r="2882" spans="1:2" x14ac:dyDescent="0.25">
      <c r="A2882" s="20">
        <f t="shared" ca="1" si="88"/>
        <v>0.77219148794275816</v>
      </c>
      <c r="B2882" s="21">
        <f t="shared" ca="1" si="89"/>
        <v>3581</v>
      </c>
    </row>
    <row r="2883" spans="1:2" x14ac:dyDescent="0.25">
      <c r="A2883" s="20">
        <f t="shared" ref="A2883:A2946" ca="1" si="90">RAND()</f>
        <v>0.21322432257103063</v>
      </c>
      <c r="B2883" s="21">
        <f t="shared" ref="B2883:B2946" ca="1" si="91">_xlfn.RANK.EQ($A2883,$A:$A,1)</f>
        <v>998</v>
      </c>
    </row>
    <row r="2884" spans="1:2" x14ac:dyDescent="0.25">
      <c r="A2884" s="20">
        <f t="shared" ca="1" si="90"/>
        <v>0.62400106600779359</v>
      </c>
      <c r="B2884" s="21">
        <f t="shared" ca="1" si="91"/>
        <v>2891</v>
      </c>
    </row>
    <row r="2885" spans="1:2" x14ac:dyDescent="0.25">
      <c r="A2885" s="20">
        <f t="shared" ca="1" si="90"/>
        <v>0.16037053154624104</v>
      </c>
      <c r="B2885" s="21">
        <f t="shared" ca="1" si="91"/>
        <v>718</v>
      </c>
    </row>
    <row r="2886" spans="1:2" x14ac:dyDescent="0.25">
      <c r="A2886" s="20">
        <f t="shared" ca="1" si="90"/>
        <v>0.4729578405650241</v>
      </c>
      <c r="B2886" s="21">
        <f t="shared" ca="1" si="91"/>
        <v>2209</v>
      </c>
    </row>
    <row r="2887" spans="1:2" x14ac:dyDescent="0.25">
      <c r="A2887" s="20">
        <f t="shared" ca="1" si="90"/>
        <v>0.1818599717620043</v>
      </c>
      <c r="B2887" s="21">
        <f t="shared" ca="1" si="91"/>
        <v>831</v>
      </c>
    </row>
    <row r="2888" spans="1:2" x14ac:dyDescent="0.25">
      <c r="A2888" s="20">
        <f t="shared" ca="1" si="90"/>
        <v>0.13492809205178635</v>
      </c>
      <c r="B2888" s="21">
        <f t="shared" ca="1" si="91"/>
        <v>591</v>
      </c>
    </row>
    <row r="2889" spans="1:2" x14ac:dyDescent="0.25">
      <c r="A2889" s="20">
        <f t="shared" ca="1" si="90"/>
        <v>0.74873014229144563</v>
      </c>
      <c r="B2889" s="21">
        <f t="shared" ca="1" si="91"/>
        <v>3466</v>
      </c>
    </row>
    <row r="2890" spans="1:2" x14ac:dyDescent="0.25">
      <c r="A2890" s="20">
        <f t="shared" ca="1" si="90"/>
        <v>0.55886244560538623</v>
      </c>
      <c r="B2890" s="21">
        <f t="shared" ca="1" si="91"/>
        <v>2614</v>
      </c>
    </row>
    <row r="2891" spans="1:2" x14ac:dyDescent="0.25">
      <c r="A2891" s="20">
        <f t="shared" ca="1" si="90"/>
        <v>0.85641874287051967</v>
      </c>
      <c r="B2891" s="21">
        <f t="shared" ca="1" si="91"/>
        <v>3955</v>
      </c>
    </row>
    <row r="2892" spans="1:2" x14ac:dyDescent="0.25">
      <c r="A2892" s="20">
        <f t="shared" ca="1" si="90"/>
        <v>0.87496939545186247</v>
      </c>
      <c r="B2892" s="21">
        <f t="shared" ca="1" si="91"/>
        <v>4032</v>
      </c>
    </row>
    <row r="2893" spans="1:2" x14ac:dyDescent="0.25">
      <c r="A2893" s="20">
        <f t="shared" ca="1" si="90"/>
        <v>0.76773202065220325</v>
      </c>
      <c r="B2893" s="21">
        <f t="shared" ca="1" si="91"/>
        <v>3556</v>
      </c>
    </row>
    <row r="2894" spans="1:2" x14ac:dyDescent="0.25">
      <c r="A2894" s="20">
        <f t="shared" ca="1" si="90"/>
        <v>0.13022836339851473</v>
      </c>
      <c r="B2894" s="21">
        <f t="shared" ca="1" si="91"/>
        <v>577</v>
      </c>
    </row>
    <row r="2895" spans="1:2" x14ac:dyDescent="0.25">
      <c r="A2895" s="20">
        <f t="shared" ca="1" si="90"/>
        <v>0.91424788127965162</v>
      </c>
      <c r="B2895" s="21">
        <f t="shared" ca="1" si="91"/>
        <v>4217</v>
      </c>
    </row>
    <row r="2896" spans="1:2" x14ac:dyDescent="0.25">
      <c r="A2896" s="20">
        <f t="shared" ca="1" si="90"/>
        <v>0.16810948377859525</v>
      </c>
      <c r="B2896" s="21">
        <f t="shared" ca="1" si="91"/>
        <v>754</v>
      </c>
    </row>
    <row r="2897" spans="1:2" x14ac:dyDescent="0.25">
      <c r="A2897" s="20">
        <f t="shared" ca="1" si="90"/>
        <v>0.52623047400925893</v>
      </c>
      <c r="B2897" s="21">
        <f t="shared" ca="1" si="91"/>
        <v>2460</v>
      </c>
    </row>
    <row r="2898" spans="1:2" x14ac:dyDescent="0.25">
      <c r="A2898" s="20">
        <f t="shared" ca="1" si="90"/>
        <v>0.7859141823673429</v>
      </c>
      <c r="B2898" s="21">
        <f t="shared" ca="1" si="91"/>
        <v>3640</v>
      </c>
    </row>
    <row r="2899" spans="1:2" x14ac:dyDescent="0.25">
      <c r="A2899" s="20">
        <f t="shared" ca="1" si="90"/>
        <v>0.57631190058176318</v>
      </c>
      <c r="B2899" s="21">
        <f t="shared" ca="1" si="91"/>
        <v>2688</v>
      </c>
    </row>
    <row r="2900" spans="1:2" x14ac:dyDescent="0.25">
      <c r="A2900" s="20">
        <f t="shared" ca="1" si="90"/>
        <v>0.34136080404965186</v>
      </c>
      <c r="B2900" s="21">
        <f t="shared" ca="1" si="91"/>
        <v>1603</v>
      </c>
    </row>
    <row r="2901" spans="1:2" x14ac:dyDescent="0.25">
      <c r="A2901" s="20">
        <f t="shared" ca="1" si="90"/>
        <v>0.16182872822729388</v>
      </c>
      <c r="B2901" s="21">
        <f t="shared" ca="1" si="91"/>
        <v>725</v>
      </c>
    </row>
    <row r="2902" spans="1:2" x14ac:dyDescent="0.25">
      <c r="A2902" s="20">
        <f t="shared" ca="1" si="90"/>
        <v>0.75491910040015919</v>
      </c>
      <c r="B2902" s="21">
        <f t="shared" ca="1" si="91"/>
        <v>3500</v>
      </c>
    </row>
    <row r="2903" spans="1:2" x14ac:dyDescent="0.25">
      <c r="A2903" s="20">
        <f t="shared" ca="1" si="90"/>
        <v>0.42177153535644396</v>
      </c>
      <c r="B2903" s="21">
        <f t="shared" ca="1" si="91"/>
        <v>1981</v>
      </c>
    </row>
    <row r="2904" spans="1:2" x14ac:dyDescent="0.25">
      <c r="A2904" s="20">
        <f t="shared" ca="1" si="90"/>
        <v>0.68643745243331811</v>
      </c>
      <c r="B2904" s="21">
        <f t="shared" ca="1" si="91"/>
        <v>3186</v>
      </c>
    </row>
    <row r="2905" spans="1:2" x14ac:dyDescent="0.25">
      <c r="A2905" s="20">
        <f t="shared" ca="1" si="90"/>
        <v>4.753336572592326E-2</v>
      </c>
      <c r="B2905" s="21">
        <f t="shared" ca="1" si="91"/>
        <v>195</v>
      </c>
    </row>
    <row r="2906" spans="1:2" x14ac:dyDescent="0.25">
      <c r="A2906" s="20">
        <f t="shared" ca="1" si="90"/>
        <v>0.17962237314950491</v>
      </c>
      <c r="B2906" s="21">
        <f t="shared" ca="1" si="91"/>
        <v>822</v>
      </c>
    </row>
    <row r="2907" spans="1:2" x14ac:dyDescent="0.25">
      <c r="A2907" s="20">
        <f t="shared" ca="1" si="90"/>
        <v>0.27499021891765929</v>
      </c>
      <c r="B2907" s="21">
        <f t="shared" ca="1" si="91"/>
        <v>1288</v>
      </c>
    </row>
    <row r="2908" spans="1:2" x14ac:dyDescent="0.25">
      <c r="A2908" s="20">
        <f t="shared" ca="1" si="90"/>
        <v>0.45451085732790852</v>
      </c>
      <c r="B2908" s="21">
        <f t="shared" ca="1" si="91"/>
        <v>2129</v>
      </c>
    </row>
    <row r="2909" spans="1:2" x14ac:dyDescent="0.25">
      <c r="A2909" s="20">
        <f t="shared" ca="1" si="90"/>
        <v>0.29566452853599234</v>
      </c>
      <c r="B2909" s="21">
        <f t="shared" ca="1" si="91"/>
        <v>1389</v>
      </c>
    </row>
    <row r="2910" spans="1:2" x14ac:dyDescent="0.25">
      <c r="A2910" s="20">
        <f t="shared" ca="1" si="90"/>
        <v>0.24999149223969619</v>
      </c>
      <c r="B2910" s="21">
        <f t="shared" ca="1" si="91"/>
        <v>1167</v>
      </c>
    </row>
    <row r="2911" spans="1:2" x14ac:dyDescent="0.25">
      <c r="A2911" s="20">
        <f t="shared" ca="1" si="90"/>
        <v>0.97901499731767616</v>
      </c>
      <c r="B2911" s="21">
        <f t="shared" ca="1" si="91"/>
        <v>4538</v>
      </c>
    </row>
    <row r="2912" spans="1:2" x14ac:dyDescent="0.25">
      <c r="A2912" s="20">
        <f t="shared" ca="1" si="90"/>
        <v>0.6080697241981019</v>
      </c>
      <c r="B2912" s="21">
        <f t="shared" ca="1" si="91"/>
        <v>2833</v>
      </c>
    </row>
    <row r="2913" spans="1:2" x14ac:dyDescent="0.25">
      <c r="A2913" s="20">
        <f t="shared" ca="1" si="90"/>
        <v>0.24960140581497281</v>
      </c>
      <c r="B2913" s="21">
        <f t="shared" ca="1" si="91"/>
        <v>1165</v>
      </c>
    </row>
    <row r="2914" spans="1:2" x14ac:dyDescent="0.25">
      <c r="A2914" s="20">
        <f t="shared" ca="1" si="90"/>
        <v>0.38776572718117353</v>
      </c>
      <c r="B2914" s="21">
        <f t="shared" ca="1" si="91"/>
        <v>1818</v>
      </c>
    </row>
    <row r="2915" spans="1:2" x14ac:dyDescent="0.25">
      <c r="A2915" s="20">
        <f t="shared" ca="1" si="90"/>
        <v>0.7118299018608093</v>
      </c>
      <c r="B2915" s="21">
        <f t="shared" ca="1" si="91"/>
        <v>3293</v>
      </c>
    </row>
    <row r="2916" spans="1:2" x14ac:dyDescent="0.25">
      <c r="A2916" s="20">
        <f t="shared" ca="1" si="90"/>
        <v>0.68644406598897656</v>
      </c>
      <c r="B2916" s="21">
        <f t="shared" ca="1" si="91"/>
        <v>3187</v>
      </c>
    </row>
    <row r="2917" spans="1:2" x14ac:dyDescent="0.25">
      <c r="A2917" s="20">
        <f t="shared" ca="1" si="90"/>
        <v>0.67864594435693515</v>
      </c>
      <c r="B2917" s="21">
        <f t="shared" ca="1" si="91"/>
        <v>3145</v>
      </c>
    </row>
    <row r="2918" spans="1:2" x14ac:dyDescent="0.25">
      <c r="A2918" s="20">
        <f t="shared" ca="1" si="90"/>
        <v>0.7360764575041201</v>
      </c>
      <c r="B2918" s="21">
        <f t="shared" ca="1" si="91"/>
        <v>3406</v>
      </c>
    </row>
    <row r="2919" spans="1:2" x14ac:dyDescent="0.25">
      <c r="A2919" s="20">
        <f t="shared" ca="1" si="90"/>
        <v>0.46809820692369741</v>
      </c>
      <c r="B2919" s="21">
        <f t="shared" ca="1" si="91"/>
        <v>2187</v>
      </c>
    </row>
    <row r="2920" spans="1:2" x14ac:dyDescent="0.25">
      <c r="A2920" s="20">
        <f t="shared" ca="1" si="90"/>
        <v>0.73808134258392966</v>
      </c>
      <c r="B2920" s="21">
        <f t="shared" ca="1" si="91"/>
        <v>3415</v>
      </c>
    </row>
    <row r="2921" spans="1:2" x14ac:dyDescent="0.25">
      <c r="A2921" s="20">
        <f t="shared" ca="1" si="90"/>
        <v>0.87812957987556939</v>
      </c>
      <c r="B2921" s="21">
        <f t="shared" ca="1" si="91"/>
        <v>4044</v>
      </c>
    </row>
    <row r="2922" spans="1:2" x14ac:dyDescent="0.25">
      <c r="A2922" s="20">
        <f t="shared" ca="1" si="90"/>
        <v>0.91632774970107389</v>
      </c>
      <c r="B2922" s="21">
        <f t="shared" ca="1" si="91"/>
        <v>4229</v>
      </c>
    </row>
    <row r="2923" spans="1:2" x14ac:dyDescent="0.25">
      <c r="A2923" s="20">
        <f t="shared" ca="1" si="90"/>
        <v>0.62705127014217854</v>
      </c>
      <c r="B2923" s="21">
        <f t="shared" ca="1" si="91"/>
        <v>2902</v>
      </c>
    </row>
    <row r="2924" spans="1:2" x14ac:dyDescent="0.25">
      <c r="A2924" s="20">
        <f t="shared" ca="1" si="90"/>
        <v>0.54493376689377615</v>
      </c>
      <c r="B2924" s="21">
        <f t="shared" ca="1" si="91"/>
        <v>2544</v>
      </c>
    </row>
    <row r="2925" spans="1:2" x14ac:dyDescent="0.25">
      <c r="A2925" s="20">
        <f t="shared" ca="1" si="90"/>
        <v>0.57082890489416438</v>
      </c>
      <c r="B2925" s="21">
        <f t="shared" ca="1" si="91"/>
        <v>2664</v>
      </c>
    </row>
    <row r="2926" spans="1:2" x14ac:dyDescent="0.25">
      <c r="A2926" s="20">
        <f t="shared" ca="1" si="90"/>
        <v>0.41651011951481676</v>
      </c>
      <c r="B2926" s="21">
        <f t="shared" ca="1" si="91"/>
        <v>1953</v>
      </c>
    </row>
    <row r="2927" spans="1:2" x14ac:dyDescent="0.25">
      <c r="A2927" s="20">
        <f t="shared" ca="1" si="90"/>
        <v>0.59975068266150589</v>
      </c>
      <c r="B2927" s="21">
        <f t="shared" ca="1" si="91"/>
        <v>2803</v>
      </c>
    </row>
    <row r="2928" spans="1:2" x14ac:dyDescent="0.25">
      <c r="A2928" s="20">
        <f t="shared" ca="1" si="90"/>
        <v>0.8553598351489804</v>
      </c>
      <c r="B2928" s="21">
        <f t="shared" ca="1" si="91"/>
        <v>3952</v>
      </c>
    </row>
    <row r="2929" spans="1:2" x14ac:dyDescent="0.25">
      <c r="A2929" s="20">
        <f t="shared" ca="1" si="90"/>
        <v>0.97673338457048209</v>
      </c>
      <c r="B2929" s="21">
        <f t="shared" ca="1" si="91"/>
        <v>4526</v>
      </c>
    </row>
    <row r="2930" spans="1:2" x14ac:dyDescent="0.25">
      <c r="A2930" s="20">
        <f t="shared" ca="1" si="90"/>
        <v>0.58258494742731759</v>
      </c>
      <c r="B2930" s="21">
        <f t="shared" ca="1" si="91"/>
        <v>2726</v>
      </c>
    </row>
    <row r="2931" spans="1:2" x14ac:dyDescent="0.25">
      <c r="A2931" s="20">
        <f t="shared" ca="1" si="90"/>
        <v>0.93226142779195009</v>
      </c>
      <c r="B2931" s="21">
        <f t="shared" ca="1" si="91"/>
        <v>4309</v>
      </c>
    </row>
    <row r="2932" spans="1:2" x14ac:dyDescent="0.25">
      <c r="A2932" s="20">
        <f t="shared" ca="1" si="90"/>
        <v>0.60958459992399305</v>
      </c>
      <c r="B2932" s="21">
        <f t="shared" ca="1" si="91"/>
        <v>2839</v>
      </c>
    </row>
    <row r="2933" spans="1:2" x14ac:dyDescent="0.25">
      <c r="A2933" s="20">
        <f t="shared" ca="1" si="90"/>
        <v>0.90105913351420808</v>
      </c>
      <c r="B2933" s="21">
        <f t="shared" ca="1" si="91"/>
        <v>4158</v>
      </c>
    </row>
    <row r="2934" spans="1:2" x14ac:dyDescent="0.25">
      <c r="A2934" s="20">
        <f t="shared" ca="1" si="90"/>
        <v>0.56136698774195171</v>
      </c>
      <c r="B2934" s="21">
        <f t="shared" ca="1" si="91"/>
        <v>2627</v>
      </c>
    </row>
    <row r="2935" spans="1:2" x14ac:dyDescent="0.25">
      <c r="A2935" s="20">
        <f t="shared" ca="1" si="90"/>
        <v>0.34078492683496775</v>
      </c>
      <c r="B2935" s="21">
        <f t="shared" ca="1" si="91"/>
        <v>1600</v>
      </c>
    </row>
    <row r="2936" spans="1:2" x14ac:dyDescent="0.25">
      <c r="A2936" s="20">
        <f t="shared" ca="1" si="90"/>
        <v>0.90502987441152605</v>
      </c>
      <c r="B2936" s="21">
        <f t="shared" ca="1" si="91"/>
        <v>4179</v>
      </c>
    </row>
    <row r="2937" spans="1:2" x14ac:dyDescent="0.25">
      <c r="A2937" s="20">
        <f t="shared" ca="1" si="90"/>
        <v>5.0472439606934039E-2</v>
      </c>
      <c r="B2937" s="21">
        <f t="shared" ca="1" si="91"/>
        <v>211</v>
      </c>
    </row>
    <row r="2938" spans="1:2" x14ac:dyDescent="0.25">
      <c r="A2938" s="20">
        <f t="shared" ca="1" si="90"/>
        <v>0.70538136606100077</v>
      </c>
      <c r="B2938" s="21">
        <f t="shared" ca="1" si="91"/>
        <v>3264</v>
      </c>
    </row>
    <row r="2939" spans="1:2" x14ac:dyDescent="0.25">
      <c r="A2939" s="20">
        <f t="shared" ca="1" si="90"/>
        <v>0.95135064187194107</v>
      </c>
      <c r="B2939" s="21">
        <f t="shared" ca="1" si="91"/>
        <v>4413</v>
      </c>
    </row>
    <row r="2940" spans="1:2" x14ac:dyDescent="0.25">
      <c r="A2940" s="20">
        <f t="shared" ca="1" si="90"/>
        <v>0.88859182980513907</v>
      </c>
      <c r="B2940" s="21">
        <f t="shared" ca="1" si="91"/>
        <v>4093</v>
      </c>
    </row>
    <row r="2941" spans="1:2" x14ac:dyDescent="0.25">
      <c r="A2941" s="20">
        <f t="shared" ca="1" si="90"/>
        <v>0.44421717855625487</v>
      </c>
      <c r="B2941" s="21">
        <f t="shared" ca="1" si="91"/>
        <v>2079</v>
      </c>
    </row>
    <row r="2942" spans="1:2" x14ac:dyDescent="0.25">
      <c r="A2942" s="20">
        <f t="shared" ca="1" si="90"/>
        <v>0.62294798300490184</v>
      </c>
      <c r="B2942" s="21">
        <f t="shared" ca="1" si="91"/>
        <v>2888</v>
      </c>
    </row>
    <row r="2943" spans="1:2" x14ac:dyDescent="0.25">
      <c r="A2943" s="20">
        <f t="shared" ca="1" si="90"/>
        <v>0.92470581319548661</v>
      </c>
      <c r="B2943" s="21">
        <f t="shared" ca="1" si="91"/>
        <v>4268</v>
      </c>
    </row>
    <row r="2944" spans="1:2" x14ac:dyDescent="0.25">
      <c r="A2944" s="20">
        <f t="shared" ca="1" si="90"/>
        <v>0.70030073118801983</v>
      </c>
      <c r="B2944" s="21">
        <f t="shared" ca="1" si="91"/>
        <v>3244</v>
      </c>
    </row>
    <row r="2945" spans="1:2" x14ac:dyDescent="0.25">
      <c r="A2945" s="20">
        <f t="shared" ca="1" si="90"/>
        <v>0.33737574626635081</v>
      </c>
      <c r="B2945" s="21">
        <f t="shared" ca="1" si="91"/>
        <v>1585</v>
      </c>
    </row>
    <row r="2946" spans="1:2" x14ac:dyDescent="0.25">
      <c r="A2946" s="20">
        <f t="shared" ca="1" si="90"/>
        <v>0.94786595002593532</v>
      </c>
      <c r="B2946" s="21">
        <f t="shared" ca="1" si="91"/>
        <v>4391</v>
      </c>
    </row>
    <row r="2947" spans="1:2" x14ac:dyDescent="0.25">
      <c r="A2947" s="20">
        <f t="shared" ref="A2947:A3010" ca="1" si="92">RAND()</f>
        <v>0.56145584257827752</v>
      </c>
      <c r="B2947" s="21">
        <f t="shared" ref="B2947:B3010" ca="1" si="93">_xlfn.RANK.EQ($A2947,$A:$A,1)</f>
        <v>2629</v>
      </c>
    </row>
    <row r="2948" spans="1:2" x14ac:dyDescent="0.25">
      <c r="A2948" s="20">
        <f t="shared" ca="1" si="92"/>
        <v>0.18235477543926426</v>
      </c>
      <c r="B2948" s="21">
        <f t="shared" ca="1" si="93"/>
        <v>834</v>
      </c>
    </row>
    <row r="2949" spans="1:2" x14ac:dyDescent="0.25">
      <c r="A2949" s="20">
        <f t="shared" ca="1" si="92"/>
        <v>0.91089358571145651</v>
      </c>
      <c r="B2949" s="21">
        <f t="shared" ca="1" si="93"/>
        <v>4202</v>
      </c>
    </row>
    <row r="2950" spans="1:2" x14ac:dyDescent="0.25">
      <c r="A2950" s="20">
        <f t="shared" ca="1" si="92"/>
        <v>0.70824917617757732</v>
      </c>
      <c r="B2950" s="21">
        <f t="shared" ca="1" si="93"/>
        <v>3279</v>
      </c>
    </row>
    <row r="2951" spans="1:2" x14ac:dyDescent="0.25">
      <c r="A2951" s="20">
        <f t="shared" ca="1" si="92"/>
        <v>0.33632177038104494</v>
      </c>
      <c r="B2951" s="21">
        <f t="shared" ca="1" si="93"/>
        <v>1579</v>
      </c>
    </row>
    <row r="2952" spans="1:2" x14ac:dyDescent="0.25">
      <c r="A2952" s="20">
        <f t="shared" ca="1" si="92"/>
        <v>0.50293267004946096</v>
      </c>
      <c r="B2952" s="21">
        <f t="shared" ca="1" si="93"/>
        <v>2338</v>
      </c>
    </row>
    <row r="2953" spans="1:2" x14ac:dyDescent="0.25">
      <c r="A2953" s="20">
        <f t="shared" ca="1" si="92"/>
        <v>0.78125848387017927</v>
      </c>
      <c r="B2953" s="21">
        <f t="shared" ca="1" si="93"/>
        <v>3620</v>
      </c>
    </row>
    <row r="2954" spans="1:2" x14ac:dyDescent="0.25">
      <c r="A2954" s="20">
        <f t="shared" ca="1" si="92"/>
        <v>0.43144896245029074</v>
      </c>
      <c r="B2954" s="21">
        <f t="shared" ca="1" si="93"/>
        <v>2027</v>
      </c>
    </row>
    <row r="2955" spans="1:2" x14ac:dyDescent="0.25">
      <c r="A2955" s="20">
        <f t="shared" ca="1" si="92"/>
        <v>0.96447629141762514</v>
      </c>
      <c r="B2955" s="21">
        <f t="shared" ca="1" si="93"/>
        <v>4470</v>
      </c>
    </row>
    <row r="2956" spans="1:2" x14ac:dyDescent="0.25">
      <c r="A2956" s="20">
        <f t="shared" ca="1" si="92"/>
        <v>5.3996874837652031E-2</v>
      </c>
      <c r="B2956" s="21">
        <f t="shared" ca="1" si="93"/>
        <v>229</v>
      </c>
    </row>
    <row r="2957" spans="1:2" x14ac:dyDescent="0.25">
      <c r="A2957" s="20">
        <f t="shared" ca="1" si="92"/>
        <v>0.55557446895694196</v>
      </c>
      <c r="B2957" s="21">
        <f t="shared" ca="1" si="93"/>
        <v>2601</v>
      </c>
    </row>
    <row r="2958" spans="1:2" x14ac:dyDescent="0.25">
      <c r="A2958" s="20">
        <f t="shared" ca="1" si="92"/>
        <v>0.70929856153466542</v>
      </c>
      <c r="B2958" s="21">
        <f t="shared" ca="1" si="93"/>
        <v>3286</v>
      </c>
    </row>
    <row r="2959" spans="1:2" x14ac:dyDescent="0.25">
      <c r="A2959" s="20">
        <f t="shared" ca="1" si="92"/>
        <v>0.55106667181225721</v>
      </c>
      <c r="B2959" s="21">
        <f t="shared" ca="1" si="93"/>
        <v>2575</v>
      </c>
    </row>
    <row r="2960" spans="1:2" x14ac:dyDescent="0.25">
      <c r="A2960" s="20">
        <f t="shared" ca="1" si="92"/>
        <v>0.86948267553591274</v>
      </c>
      <c r="B2960" s="21">
        <f t="shared" ca="1" si="93"/>
        <v>4017</v>
      </c>
    </row>
    <row r="2961" spans="1:2" x14ac:dyDescent="0.25">
      <c r="A2961" s="20">
        <f t="shared" ca="1" si="92"/>
        <v>0.46744591401240398</v>
      </c>
      <c r="B2961" s="21">
        <f t="shared" ca="1" si="93"/>
        <v>2186</v>
      </c>
    </row>
    <row r="2962" spans="1:2" x14ac:dyDescent="0.25">
      <c r="A2962" s="20">
        <f t="shared" ca="1" si="92"/>
        <v>0.75263941256312195</v>
      </c>
      <c r="B2962" s="21">
        <f t="shared" ca="1" si="93"/>
        <v>3485</v>
      </c>
    </row>
    <row r="2963" spans="1:2" x14ac:dyDescent="0.25">
      <c r="A2963" s="20">
        <f t="shared" ca="1" si="92"/>
        <v>0.86118495997272271</v>
      </c>
      <c r="B2963" s="21">
        <f t="shared" ca="1" si="93"/>
        <v>3974</v>
      </c>
    </row>
    <row r="2964" spans="1:2" x14ac:dyDescent="0.25">
      <c r="A2964" s="20">
        <f t="shared" ca="1" si="92"/>
        <v>0.59804862575127249</v>
      </c>
      <c r="B2964" s="21">
        <f t="shared" ca="1" si="93"/>
        <v>2796</v>
      </c>
    </row>
    <row r="2965" spans="1:2" x14ac:dyDescent="0.25">
      <c r="A2965" s="20">
        <f t="shared" ca="1" si="92"/>
        <v>0.26492517513387237</v>
      </c>
      <c r="B2965" s="21">
        <f t="shared" ca="1" si="93"/>
        <v>1235</v>
      </c>
    </row>
    <row r="2966" spans="1:2" x14ac:dyDescent="0.25">
      <c r="A2966" s="20">
        <f t="shared" ca="1" si="92"/>
        <v>0.24296608687659293</v>
      </c>
      <c r="B2966" s="21">
        <f t="shared" ca="1" si="93"/>
        <v>1135</v>
      </c>
    </row>
    <row r="2967" spans="1:2" x14ac:dyDescent="0.25">
      <c r="A2967" s="20">
        <f t="shared" ca="1" si="92"/>
        <v>0.31973537506648697</v>
      </c>
      <c r="B2967" s="21">
        <f t="shared" ca="1" si="93"/>
        <v>1500</v>
      </c>
    </row>
    <row r="2968" spans="1:2" x14ac:dyDescent="0.25">
      <c r="A2968" s="20">
        <f t="shared" ca="1" si="92"/>
        <v>0.42670196119313963</v>
      </c>
      <c r="B2968" s="21">
        <f t="shared" ca="1" si="93"/>
        <v>2004</v>
      </c>
    </row>
    <row r="2969" spans="1:2" x14ac:dyDescent="0.25">
      <c r="A2969" s="20">
        <f t="shared" ca="1" si="92"/>
        <v>0.56520217664419536</v>
      </c>
      <c r="B2969" s="21">
        <f t="shared" ca="1" si="93"/>
        <v>2640</v>
      </c>
    </row>
    <row r="2970" spans="1:2" x14ac:dyDescent="0.25">
      <c r="A2970" s="20">
        <f t="shared" ca="1" si="92"/>
        <v>0.14577545316918283</v>
      </c>
      <c r="B2970" s="21">
        <f t="shared" ca="1" si="93"/>
        <v>641</v>
      </c>
    </row>
    <row r="2971" spans="1:2" x14ac:dyDescent="0.25">
      <c r="A2971" s="20">
        <f t="shared" ca="1" si="92"/>
        <v>0.41564210403368207</v>
      </c>
      <c r="B2971" s="21">
        <f t="shared" ca="1" si="93"/>
        <v>1950</v>
      </c>
    </row>
    <row r="2972" spans="1:2" x14ac:dyDescent="0.25">
      <c r="A2972" s="20">
        <f t="shared" ca="1" si="92"/>
        <v>0.59305122587601844</v>
      </c>
      <c r="B2972" s="21">
        <f t="shared" ca="1" si="93"/>
        <v>2766</v>
      </c>
    </row>
    <row r="2973" spans="1:2" x14ac:dyDescent="0.25">
      <c r="A2973" s="20">
        <f t="shared" ca="1" si="92"/>
        <v>0.96138733180370806</v>
      </c>
      <c r="B2973" s="21">
        <f t="shared" ca="1" si="93"/>
        <v>4448</v>
      </c>
    </row>
    <row r="2974" spans="1:2" x14ac:dyDescent="0.25">
      <c r="A2974" s="20">
        <f t="shared" ca="1" si="92"/>
        <v>0.9638374251150803</v>
      </c>
      <c r="B2974" s="21">
        <f t="shared" ca="1" si="93"/>
        <v>4464</v>
      </c>
    </row>
    <row r="2975" spans="1:2" x14ac:dyDescent="0.25">
      <c r="A2975" s="20">
        <f t="shared" ca="1" si="92"/>
        <v>0.33342694639983828</v>
      </c>
      <c r="B2975" s="21">
        <f t="shared" ca="1" si="93"/>
        <v>1563</v>
      </c>
    </row>
    <row r="2976" spans="1:2" x14ac:dyDescent="0.25">
      <c r="A2976" s="20">
        <f t="shared" ca="1" si="92"/>
        <v>0.59431963589434289</v>
      </c>
      <c r="B2976" s="21">
        <f t="shared" ca="1" si="93"/>
        <v>2770</v>
      </c>
    </row>
    <row r="2977" spans="1:2" x14ac:dyDescent="0.25">
      <c r="A2977" s="20">
        <f t="shared" ca="1" si="92"/>
        <v>0.63337388395255467</v>
      </c>
      <c r="B2977" s="21">
        <f t="shared" ca="1" si="93"/>
        <v>2935</v>
      </c>
    </row>
    <row r="2978" spans="1:2" x14ac:dyDescent="0.25">
      <c r="A2978" s="20">
        <f t="shared" ca="1" si="92"/>
        <v>0.74801614953574502</v>
      </c>
      <c r="B2978" s="21">
        <f t="shared" ca="1" si="93"/>
        <v>3461</v>
      </c>
    </row>
    <row r="2979" spans="1:2" x14ac:dyDescent="0.25">
      <c r="A2979" s="20">
        <f t="shared" ca="1" si="92"/>
        <v>0.78490871890373226</v>
      </c>
      <c r="B2979" s="21">
        <f t="shared" ca="1" si="93"/>
        <v>3635</v>
      </c>
    </row>
    <row r="2980" spans="1:2" x14ac:dyDescent="0.25">
      <c r="A2980" s="20">
        <f t="shared" ca="1" si="92"/>
        <v>0.25486403534940938</v>
      </c>
      <c r="B2980" s="21">
        <f t="shared" ca="1" si="93"/>
        <v>1190</v>
      </c>
    </row>
    <row r="2981" spans="1:2" x14ac:dyDescent="0.25">
      <c r="A2981" s="20">
        <f t="shared" ca="1" si="92"/>
        <v>0.75933135395608342</v>
      </c>
      <c r="B2981" s="21">
        <f t="shared" ca="1" si="93"/>
        <v>3520</v>
      </c>
    </row>
    <row r="2982" spans="1:2" x14ac:dyDescent="0.25">
      <c r="A2982" s="20">
        <f t="shared" ca="1" si="92"/>
        <v>0.30610975380480809</v>
      </c>
      <c r="B2982" s="21">
        <f t="shared" ca="1" si="93"/>
        <v>1435</v>
      </c>
    </row>
    <row r="2983" spans="1:2" x14ac:dyDescent="0.25">
      <c r="A2983" s="20">
        <f t="shared" ca="1" si="92"/>
        <v>0.5096565694486288</v>
      </c>
      <c r="B2983" s="21">
        <f t="shared" ca="1" si="93"/>
        <v>2374</v>
      </c>
    </row>
    <row r="2984" spans="1:2" x14ac:dyDescent="0.25">
      <c r="A2984" s="20">
        <f t="shared" ca="1" si="92"/>
        <v>0.30774492217406879</v>
      </c>
      <c r="B2984" s="21">
        <f t="shared" ca="1" si="93"/>
        <v>1442</v>
      </c>
    </row>
    <row r="2985" spans="1:2" x14ac:dyDescent="0.25">
      <c r="A2985" s="20">
        <f t="shared" ca="1" si="92"/>
        <v>0.34534494860858289</v>
      </c>
      <c r="B2985" s="21">
        <f t="shared" ca="1" si="93"/>
        <v>1623</v>
      </c>
    </row>
    <row r="2986" spans="1:2" x14ac:dyDescent="0.25">
      <c r="A2986" s="20">
        <f t="shared" ca="1" si="92"/>
        <v>0.44995683181298174</v>
      </c>
      <c r="B2986" s="21">
        <f t="shared" ca="1" si="93"/>
        <v>2102</v>
      </c>
    </row>
    <row r="2987" spans="1:2" x14ac:dyDescent="0.25">
      <c r="A2987" s="20">
        <f t="shared" ca="1" si="92"/>
        <v>0.49272790550519263</v>
      </c>
      <c r="B2987" s="21">
        <f t="shared" ca="1" si="93"/>
        <v>2290</v>
      </c>
    </row>
    <row r="2988" spans="1:2" x14ac:dyDescent="0.25">
      <c r="A2988" s="20">
        <f t="shared" ca="1" si="92"/>
        <v>0.60962198475892382</v>
      </c>
      <c r="B2988" s="21">
        <f t="shared" ca="1" si="93"/>
        <v>2840</v>
      </c>
    </row>
    <row r="2989" spans="1:2" x14ac:dyDescent="0.25">
      <c r="A2989" s="20">
        <f t="shared" ca="1" si="92"/>
        <v>0.42084558643970638</v>
      </c>
      <c r="B2989" s="21">
        <f t="shared" ca="1" si="93"/>
        <v>1972</v>
      </c>
    </row>
    <row r="2990" spans="1:2" x14ac:dyDescent="0.25">
      <c r="A2990" s="20">
        <f t="shared" ca="1" si="92"/>
        <v>0.77020676743221039</v>
      </c>
      <c r="B2990" s="21">
        <f t="shared" ca="1" si="93"/>
        <v>3572</v>
      </c>
    </row>
    <row r="2991" spans="1:2" x14ac:dyDescent="0.25">
      <c r="A2991" s="20">
        <f t="shared" ca="1" si="92"/>
        <v>3.9924526510050851E-2</v>
      </c>
      <c r="B2991" s="21">
        <f t="shared" ca="1" si="93"/>
        <v>156</v>
      </c>
    </row>
    <row r="2992" spans="1:2" x14ac:dyDescent="0.25">
      <c r="A2992" s="20">
        <f t="shared" ca="1" si="92"/>
        <v>0.92895203316448971</v>
      </c>
      <c r="B2992" s="21">
        <f t="shared" ca="1" si="93"/>
        <v>4286</v>
      </c>
    </row>
    <row r="2993" spans="1:2" x14ac:dyDescent="0.25">
      <c r="A2993" s="20">
        <f t="shared" ca="1" si="92"/>
        <v>0.37679898298392667</v>
      </c>
      <c r="B2993" s="21">
        <f t="shared" ca="1" si="93"/>
        <v>1784</v>
      </c>
    </row>
    <row r="2994" spans="1:2" x14ac:dyDescent="0.25">
      <c r="A2994" s="20">
        <f t="shared" ca="1" si="92"/>
        <v>0.101000826593724</v>
      </c>
      <c r="B2994" s="21">
        <f t="shared" ca="1" si="93"/>
        <v>457</v>
      </c>
    </row>
    <row r="2995" spans="1:2" x14ac:dyDescent="0.25">
      <c r="A2995" s="20">
        <f t="shared" ca="1" si="92"/>
        <v>0.35255534546554612</v>
      </c>
      <c r="B2995" s="21">
        <f t="shared" ca="1" si="93"/>
        <v>1663</v>
      </c>
    </row>
    <row r="2996" spans="1:2" x14ac:dyDescent="0.25">
      <c r="A2996" s="20">
        <f t="shared" ca="1" si="92"/>
        <v>0.45442348529880039</v>
      </c>
      <c r="B2996" s="21">
        <f t="shared" ca="1" si="93"/>
        <v>2128</v>
      </c>
    </row>
    <row r="2997" spans="1:2" x14ac:dyDescent="0.25">
      <c r="A2997" s="20">
        <f t="shared" ca="1" si="92"/>
        <v>3.6505282003753581E-2</v>
      </c>
      <c r="B2997" s="21">
        <f t="shared" ca="1" si="93"/>
        <v>141</v>
      </c>
    </row>
    <row r="2998" spans="1:2" x14ac:dyDescent="0.25">
      <c r="A2998" s="20">
        <f t="shared" ca="1" si="92"/>
        <v>0.97808159453608035</v>
      </c>
      <c r="B2998" s="21">
        <f t="shared" ca="1" si="93"/>
        <v>4533</v>
      </c>
    </row>
    <row r="2999" spans="1:2" x14ac:dyDescent="0.25">
      <c r="A2999" s="20">
        <f t="shared" ca="1" si="92"/>
        <v>0.55499594897206461</v>
      </c>
      <c r="B2999" s="21">
        <f t="shared" ca="1" si="93"/>
        <v>2597</v>
      </c>
    </row>
    <row r="3000" spans="1:2" x14ac:dyDescent="0.25">
      <c r="A3000" s="20">
        <f t="shared" ca="1" si="92"/>
        <v>0.58338164402761705</v>
      </c>
      <c r="B3000" s="21">
        <f t="shared" ca="1" si="93"/>
        <v>2731</v>
      </c>
    </row>
    <row r="3001" spans="1:2" x14ac:dyDescent="0.25">
      <c r="A3001" s="20">
        <f t="shared" ca="1" si="92"/>
        <v>0.33512270434494329</v>
      </c>
      <c r="B3001" s="21">
        <f t="shared" ca="1" si="93"/>
        <v>1571</v>
      </c>
    </row>
    <row r="3002" spans="1:2" x14ac:dyDescent="0.25">
      <c r="A3002" s="20">
        <f t="shared" ca="1" si="92"/>
        <v>7.1207655403815462E-4</v>
      </c>
      <c r="B3002" s="21">
        <f t="shared" ca="1" si="93"/>
        <v>3</v>
      </c>
    </row>
    <row r="3003" spans="1:2" x14ac:dyDescent="0.25">
      <c r="A3003" s="20">
        <f t="shared" ca="1" si="92"/>
        <v>0.90003110182437429</v>
      </c>
      <c r="B3003" s="21">
        <f t="shared" ca="1" si="93"/>
        <v>4150</v>
      </c>
    </row>
    <row r="3004" spans="1:2" x14ac:dyDescent="0.25">
      <c r="A3004" s="20">
        <f t="shared" ca="1" si="92"/>
        <v>0.71130399097897301</v>
      </c>
      <c r="B3004" s="21">
        <f t="shared" ca="1" si="93"/>
        <v>3290</v>
      </c>
    </row>
    <row r="3005" spans="1:2" x14ac:dyDescent="0.25">
      <c r="A3005" s="20">
        <f t="shared" ca="1" si="92"/>
        <v>0.82474343187320887</v>
      </c>
      <c r="B3005" s="21">
        <f t="shared" ca="1" si="93"/>
        <v>3817</v>
      </c>
    </row>
    <row r="3006" spans="1:2" x14ac:dyDescent="0.25">
      <c r="A3006" s="20">
        <f t="shared" ca="1" si="92"/>
        <v>0.76028725002935216</v>
      </c>
      <c r="B3006" s="21">
        <f t="shared" ca="1" si="93"/>
        <v>3524</v>
      </c>
    </row>
    <row r="3007" spans="1:2" x14ac:dyDescent="0.25">
      <c r="A3007" s="20">
        <f t="shared" ca="1" si="92"/>
        <v>0.5453771729857726</v>
      </c>
      <c r="B3007" s="21">
        <f t="shared" ca="1" si="93"/>
        <v>2545</v>
      </c>
    </row>
    <row r="3008" spans="1:2" x14ac:dyDescent="0.25">
      <c r="A3008" s="20">
        <f t="shared" ca="1" si="92"/>
        <v>4.8516300441831972E-2</v>
      </c>
      <c r="B3008" s="21">
        <f t="shared" ca="1" si="93"/>
        <v>202</v>
      </c>
    </row>
    <row r="3009" spans="1:2" x14ac:dyDescent="0.25">
      <c r="A3009" s="20">
        <f t="shared" ca="1" si="92"/>
        <v>0.38484324772447043</v>
      </c>
      <c r="B3009" s="21">
        <f t="shared" ca="1" si="93"/>
        <v>1804</v>
      </c>
    </row>
    <row r="3010" spans="1:2" x14ac:dyDescent="0.25">
      <c r="A3010" s="20">
        <f t="shared" ca="1" si="92"/>
        <v>0.63435025167359504</v>
      </c>
      <c r="B3010" s="21">
        <f t="shared" ca="1" si="93"/>
        <v>2940</v>
      </c>
    </row>
    <row r="3011" spans="1:2" x14ac:dyDescent="0.25">
      <c r="A3011" s="20">
        <f t="shared" ref="A3011:A3074" ca="1" si="94">RAND()</f>
        <v>0.10949106090203731</v>
      </c>
      <c r="B3011" s="21">
        <f t="shared" ref="B3011:B3074" ca="1" si="95">_xlfn.RANK.EQ($A3011,$A:$A,1)</f>
        <v>482</v>
      </c>
    </row>
    <row r="3012" spans="1:2" x14ac:dyDescent="0.25">
      <c r="A3012" s="20">
        <f t="shared" ca="1" si="94"/>
        <v>0.94016473290010705</v>
      </c>
      <c r="B3012" s="21">
        <f t="shared" ca="1" si="95"/>
        <v>4347</v>
      </c>
    </row>
    <row r="3013" spans="1:2" x14ac:dyDescent="0.25">
      <c r="A3013" s="20">
        <f t="shared" ca="1" si="94"/>
        <v>0.11859791493368321</v>
      </c>
      <c r="B3013" s="21">
        <f t="shared" ca="1" si="95"/>
        <v>518</v>
      </c>
    </row>
    <row r="3014" spans="1:2" x14ac:dyDescent="0.25">
      <c r="A3014" s="20">
        <f t="shared" ca="1" si="94"/>
        <v>0.56107505500408883</v>
      </c>
      <c r="B3014" s="21">
        <f t="shared" ca="1" si="95"/>
        <v>2625</v>
      </c>
    </row>
    <row r="3015" spans="1:2" x14ac:dyDescent="0.25">
      <c r="A3015" s="20">
        <f t="shared" ca="1" si="94"/>
        <v>0.6595876656628521</v>
      </c>
      <c r="B3015" s="21">
        <f t="shared" ca="1" si="95"/>
        <v>3060</v>
      </c>
    </row>
    <row r="3016" spans="1:2" x14ac:dyDescent="0.25">
      <c r="A3016" s="20">
        <f t="shared" ca="1" si="94"/>
        <v>0.65893509873505851</v>
      </c>
      <c r="B3016" s="21">
        <f t="shared" ca="1" si="95"/>
        <v>3058</v>
      </c>
    </row>
    <row r="3017" spans="1:2" x14ac:dyDescent="0.25">
      <c r="A3017" s="20">
        <f t="shared" ca="1" si="94"/>
        <v>0.6255450710665067</v>
      </c>
      <c r="B3017" s="21">
        <f t="shared" ca="1" si="95"/>
        <v>2896</v>
      </c>
    </row>
    <row r="3018" spans="1:2" x14ac:dyDescent="0.25">
      <c r="A3018" s="20">
        <f t="shared" ca="1" si="94"/>
        <v>6.1469518696914416E-2</v>
      </c>
      <c r="B3018" s="21">
        <f t="shared" ca="1" si="95"/>
        <v>264</v>
      </c>
    </row>
    <row r="3019" spans="1:2" x14ac:dyDescent="0.25">
      <c r="A3019" s="20">
        <f t="shared" ca="1" si="94"/>
        <v>0.57935675978444867</v>
      </c>
      <c r="B3019" s="21">
        <f t="shared" ca="1" si="95"/>
        <v>2703</v>
      </c>
    </row>
    <row r="3020" spans="1:2" x14ac:dyDescent="0.25">
      <c r="A3020" s="20">
        <f t="shared" ca="1" si="94"/>
        <v>0.83663463479278555</v>
      </c>
      <c r="B3020" s="21">
        <f t="shared" ca="1" si="95"/>
        <v>3863</v>
      </c>
    </row>
    <row r="3021" spans="1:2" x14ac:dyDescent="0.25">
      <c r="A3021" s="20">
        <f t="shared" ca="1" si="94"/>
        <v>0.60735038569644439</v>
      </c>
      <c r="B3021" s="21">
        <f t="shared" ca="1" si="95"/>
        <v>2827</v>
      </c>
    </row>
    <row r="3022" spans="1:2" x14ac:dyDescent="0.25">
      <c r="A3022" s="20">
        <f t="shared" ca="1" si="94"/>
        <v>0.10049794435385029</v>
      </c>
      <c r="B3022" s="21">
        <f t="shared" ca="1" si="95"/>
        <v>454</v>
      </c>
    </row>
    <row r="3023" spans="1:2" x14ac:dyDescent="0.25">
      <c r="A3023" s="20">
        <f t="shared" ca="1" si="94"/>
        <v>0.52483684614527248</v>
      </c>
      <c r="B3023" s="21">
        <f t="shared" ca="1" si="95"/>
        <v>2451</v>
      </c>
    </row>
    <row r="3024" spans="1:2" x14ac:dyDescent="0.25">
      <c r="A3024" s="20">
        <f t="shared" ca="1" si="94"/>
        <v>0.90339226797814753</v>
      </c>
      <c r="B3024" s="21">
        <f t="shared" ca="1" si="95"/>
        <v>4172</v>
      </c>
    </row>
    <row r="3025" spans="1:2" x14ac:dyDescent="0.25">
      <c r="A3025" s="20">
        <f t="shared" ca="1" si="94"/>
        <v>0.46231578823698916</v>
      </c>
      <c r="B3025" s="21">
        <f t="shared" ca="1" si="95"/>
        <v>2169</v>
      </c>
    </row>
    <row r="3026" spans="1:2" x14ac:dyDescent="0.25">
      <c r="A3026" s="20">
        <f t="shared" ca="1" si="94"/>
        <v>0.88135773588438271</v>
      </c>
      <c r="B3026" s="21">
        <f t="shared" ca="1" si="95"/>
        <v>4061</v>
      </c>
    </row>
    <row r="3027" spans="1:2" x14ac:dyDescent="0.25">
      <c r="A3027" s="20">
        <f t="shared" ca="1" si="94"/>
        <v>0.19556458669588361</v>
      </c>
      <c r="B3027" s="21">
        <f t="shared" ca="1" si="95"/>
        <v>908</v>
      </c>
    </row>
    <row r="3028" spans="1:2" x14ac:dyDescent="0.25">
      <c r="A3028" s="20">
        <f t="shared" ca="1" si="94"/>
        <v>0.23590111897903032</v>
      </c>
      <c r="B3028" s="21">
        <f t="shared" ca="1" si="95"/>
        <v>1107</v>
      </c>
    </row>
    <row r="3029" spans="1:2" x14ac:dyDescent="0.25">
      <c r="A3029" s="20">
        <f t="shared" ca="1" si="94"/>
        <v>0.81298783535703834</v>
      </c>
      <c r="B3029" s="21">
        <f t="shared" ca="1" si="95"/>
        <v>3759</v>
      </c>
    </row>
    <row r="3030" spans="1:2" x14ac:dyDescent="0.25">
      <c r="A3030" s="20">
        <f t="shared" ca="1" si="94"/>
        <v>0.60771374464727601</v>
      </c>
      <c r="B3030" s="21">
        <f t="shared" ca="1" si="95"/>
        <v>2829</v>
      </c>
    </row>
    <row r="3031" spans="1:2" x14ac:dyDescent="0.25">
      <c r="A3031" s="20">
        <f t="shared" ca="1" si="94"/>
        <v>0.14652004568672117</v>
      </c>
      <c r="B3031" s="21">
        <f t="shared" ca="1" si="95"/>
        <v>648</v>
      </c>
    </row>
    <row r="3032" spans="1:2" x14ac:dyDescent="0.25">
      <c r="A3032" s="20">
        <f t="shared" ca="1" si="94"/>
        <v>4.3891669509340425E-2</v>
      </c>
      <c r="B3032" s="21">
        <f t="shared" ca="1" si="95"/>
        <v>177</v>
      </c>
    </row>
    <row r="3033" spans="1:2" x14ac:dyDescent="0.25">
      <c r="A3033" s="20">
        <f t="shared" ca="1" si="94"/>
        <v>0.74481038465391203</v>
      </c>
      <c r="B3033" s="21">
        <f t="shared" ca="1" si="95"/>
        <v>3442</v>
      </c>
    </row>
    <row r="3034" spans="1:2" x14ac:dyDescent="0.25">
      <c r="A3034" s="20">
        <f t="shared" ca="1" si="94"/>
        <v>0.66459707214627517</v>
      </c>
      <c r="B3034" s="21">
        <f t="shared" ca="1" si="95"/>
        <v>3078</v>
      </c>
    </row>
    <row r="3035" spans="1:2" x14ac:dyDescent="0.25">
      <c r="A3035" s="20">
        <f t="shared" ca="1" si="94"/>
        <v>0.19237093787463777</v>
      </c>
      <c r="B3035" s="21">
        <f t="shared" ca="1" si="95"/>
        <v>883</v>
      </c>
    </row>
    <row r="3036" spans="1:2" x14ac:dyDescent="0.25">
      <c r="A3036" s="20">
        <f t="shared" ca="1" si="94"/>
        <v>0.116314621384075</v>
      </c>
      <c r="B3036" s="21">
        <f t="shared" ca="1" si="95"/>
        <v>512</v>
      </c>
    </row>
    <row r="3037" spans="1:2" x14ac:dyDescent="0.25">
      <c r="A3037" s="20">
        <f t="shared" ca="1" si="94"/>
        <v>0.35944075993341806</v>
      </c>
      <c r="B3037" s="21">
        <f t="shared" ca="1" si="95"/>
        <v>1701</v>
      </c>
    </row>
    <row r="3038" spans="1:2" x14ac:dyDescent="0.25">
      <c r="A3038" s="20">
        <f t="shared" ca="1" si="94"/>
        <v>0.70019163826720865</v>
      </c>
      <c r="B3038" s="21">
        <f t="shared" ca="1" si="95"/>
        <v>3243</v>
      </c>
    </row>
    <row r="3039" spans="1:2" x14ac:dyDescent="0.25">
      <c r="A3039" s="20">
        <f t="shared" ca="1" si="94"/>
        <v>0.33983268441125236</v>
      </c>
      <c r="B3039" s="21">
        <f t="shared" ca="1" si="95"/>
        <v>1596</v>
      </c>
    </row>
    <row r="3040" spans="1:2" x14ac:dyDescent="0.25">
      <c r="A3040" s="20">
        <f t="shared" ca="1" si="94"/>
        <v>0.21310990912818362</v>
      </c>
      <c r="B3040" s="21">
        <f t="shared" ca="1" si="95"/>
        <v>997</v>
      </c>
    </row>
    <row r="3041" spans="1:2" x14ac:dyDescent="0.25">
      <c r="A3041" s="20">
        <f t="shared" ca="1" si="94"/>
        <v>0.64326951780301811</v>
      </c>
      <c r="B3041" s="21">
        <f t="shared" ca="1" si="95"/>
        <v>2987</v>
      </c>
    </row>
    <row r="3042" spans="1:2" x14ac:dyDescent="0.25">
      <c r="A3042" s="20">
        <f t="shared" ca="1" si="94"/>
        <v>0.90226357488674847</v>
      </c>
      <c r="B3042" s="21">
        <f t="shared" ca="1" si="95"/>
        <v>4168</v>
      </c>
    </row>
    <row r="3043" spans="1:2" x14ac:dyDescent="0.25">
      <c r="A3043" s="20">
        <f t="shared" ca="1" si="94"/>
        <v>0.15328382677293417</v>
      </c>
      <c r="B3043" s="21">
        <f t="shared" ca="1" si="95"/>
        <v>684</v>
      </c>
    </row>
    <row r="3044" spans="1:2" x14ac:dyDescent="0.25">
      <c r="A3044" s="20">
        <f t="shared" ca="1" si="94"/>
        <v>0.209038785207601</v>
      </c>
      <c r="B3044" s="21">
        <f t="shared" ca="1" si="95"/>
        <v>972</v>
      </c>
    </row>
    <row r="3045" spans="1:2" x14ac:dyDescent="0.25">
      <c r="A3045" s="20">
        <f t="shared" ca="1" si="94"/>
        <v>0.57234351050771748</v>
      </c>
      <c r="B3045" s="21">
        <f t="shared" ca="1" si="95"/>
        <v>2669</v>
      </c>
    </row>
    <row r="3046" spans="1:2" x14ac:dyDescent="0.25">
      <c r="A3046" s="20">
        <f t="shared" ca="1" si="94"/>
        <v>0.81947906000505832</v>
      </c>
      <c r="B3046" s="21">
        <f t="shared" ca="1" si="95"/>
        <v>3794</v>
      </c>
    </row>
    <row r="3047" spans="1:2" x14ac:dyDescent="0.25">
      <c r="A3047" s="20">
        <f t="shared" ca="1" si="94"/>
        <v>0.67872767272410484</v>
      </c>
      <c r="B3047" s="21">
        <f t="shared" ca="1" si="95"/>
        <v>3146</v>
      </c>
    </row>
    <row r="3048" spans="1:2" x14ac:dyDescent="0.25">
      <c r="A3048" s="20">
        <f t="shared" ca="1" si="94"/>
        <v>0.23418565311122985</v>
      </c>
      <c r="B3048" s="21">
        <f t="shared" ca="1" si="95"/>
        <v>1099</v>
      </c>
    </row>
    <row r="3049" spans="1:2" x14ac:dyDescent="0.25">
      <c r="A3049" s="20">
        <f t="shared" ca="1" si="94"/>
        <v>0.92730724409403653</v>
      </c>
      <c r="B3049" s="21">
        <f t="shared" ca="1" si="95"/>
        <v>4280</v>
      </c>
    </row>
    <row r="3050" spans="1:2" x14ac:dyDescent="0.25">
      <c r="A3050" s="20">
        <f t="shared" ca="1" si="94"/>
        <v>0.47419002001712773</v>
      </c>
      <c r="B3050" s="21">
        <f t="shared" ca="1" si="95"/>
        <v>2215</v>
      </c>
    </row>
    <row r="3051" spans="1:2" x14ac:dyDescent="0.25">
      <c r="A3051" s="20">
        <f t="shared" ca="1" si="94"/>
        <v>0.98818533278482001</v>
      </c>
      <c r="B3051" s="21">
        <f t="shared" ca="1" si="95"/>
        <v>4574</v>
      </c>
    </row>
    <row r="3052" spans="1:2" x14ac:dyDescent="0.25">
      <c r="A3052" s="20">
        <f t="shared" ca="1" si="94"/>
        <v>0.66193620731353131</v>
      </c>
      <c r="B3052" s="21">
        <f t="shared" ca="1" si="95"/>
        <v>3070</v>
      </c>
    </row>
    <row r="3053" spans="1:2" x14ac:dyDescent="0.25">
      <c r="A3053" s="20">
        <f t="shared" ca="1" si="94"/>
        <v>0.28195200981992929</v>
      </c>
      <c r="B3053" s="21">
        <f t="shared" ca="1" si="95"/>
        <v>1313</v>
      </c>
    </row>
    <row r="3054" spans="1:2" x14ac:dyDescent="0.25">
      <c r="A3054" s="20">
        <f t="shared" ca="1" si="94"/>
        <v>0.91594560711500261</v>
      </c>
      <c r="B3054" s="21">
        <f t="shared" ca="1" si="95"/>
        <v>4228</v>
      </c>
    </row>
    <row r="3055" spans="1:2" x14ac:dyDescent="0.25">
      <c r="A3055" s="20">
        <f t="shared" ca="1" si="94"/>
        <v>0.96180490943862096</v>
      </c>
      <c r="B3055" s="21">
        <f t="shared" ca="1" si="95"/>
        <v>4451</v>
      </c>
    </row>
    <row r="3056" spans="1:2" x14ac:dyDescent="0.25">
      <c r="A3056" s="20">
        <f t="shared" ca="1" si="94"/>
        <v>0.79318595436020489</v>
      </c>
      <c r="B3056" s="21">
        <f t="shared" ca="1" si="95"/>
        <v>3671</v>
      </c>
    </row>
    <row r="3057" spans="1:2" x14ac:dyDescent="0.25">
      <c r="A3057" s="20">
        <f t="shared" ca="1" si="94"/>
        <v>0.19191127563204002</v>
      </c>
      <c r="B3057" s="21">
        <f t="shared" ca="1" si="95"/>
        <v>881</v>
      </c>
    </row>
    <row r="3058" spans="1:2" x14ac:dyDescent="0.25">
      <c r="A3058" s="20">
        <f t="shared" ca="1" si="94"/>
        <v>0.44263762970333698</v>
      </c>
      <c r="B3058" s="21">
        <f t="shared" ca="1" si="95"/>
        <v>2068</v>
      </c>
    </row>
    <row r="3059" spans="1:2" x14ac:dyDescent="0.25">
      <c r="A3059" s="20">
        <f t="shared" ca="1" si="94"/>
        <v>0.45562951260935802</v>
      </c>
      <c r="B3059" s="21">
        <f t="shared" ca="1" si="95"/>
        <v>2136</v>
      </c>
    </row>
    <row r="3060" spans="1:2" x14ac:dyDescent="0.25">
      <c r="A3060" s="20">
        <f t="shared" ca="1" si="94"/>
        <v>1.8775362314645716E-2</v>
      </c>
      <c r="B3060" s="21">
        <f t="shared" ca="1" si="95"/>
        <v>71</v>
      </c>
    </row>
    <row r="3061" spans="1:2" x14ac:dyDescent="0.25">
      <c r="A3061" s="20">
        <f t="shared" ca="1" si="94"/>
        <v>0.58420667889615618</v>
      </c>
      <c r="B3061" s="21">
        <f t="shared" ca="1" si="95"/>
        <v>2735</v>
      </c>
    </row>
    <row r="3062" spans="1:2" x14ac:dyDescent="0.25">
      <c r="A3062" s="20">
        <f t="shared" ca="1" si="94"/>
        <v>0.12926617923053407</v>
      </c>
      <c r="B3062" s="21">
        <f t="shared" ca="1" si="95"/>
        <v>571</v>
      </c>
    </row>
    <row r="3063" spans="1:2" x14ac:dyDescent="0.25">
      <c r="A3063" s="20">
        <f t="shared" ca="1" si="94"/>
        <v>0.77599247855716436</v>
      </c>
      <c r="B3063" s="21">
        <f t="shared" ca="1" si="95"/>
        <v>3602</v>
      </c>
    </row>
    <row r="3064" spans="1:2" x14ac:dyDescent="0.25">
      <c r="A3064" s="20">
        <f t="shared" ca="1" si="94"/>
        <v>0.6107906563475739</v>
      </c>
      <c r="B3064" s="21">
        <f t="shared" ca="1" si="95"/>
        <v>2843</v>
      </c>
    </row>
    <row r="3065" spans="1:2" x14ac:dyDescent="0.25">
      <c r="A3065" s="20">
        <f t="shared" ca="1" si="94"/>
        <v>0.85481786459485742</v>
      </c>
      <c r="B3065" s="21">
        <f t="shared" ca="1" si="95"/>
        <v>3951</v>
      </c>
    </row>
    <row r="3066" spans="1:2" x14ac:dyDescent="0.25">
      <c r="A3066" s="20">
        <f t="shared" ca="1" si="94"/>
        <v>0.11768267079499328</v>
      </c>
      <c r="B3066" s="21">
        <f t="shared" ca="1" si="95"/>
        <v>516</v>
      </c>
    </row>
    <row r="3067" spans="1:2" x14ac:dyDescent="0.25">
      <c r="A3067" s="20">
        <f t="shared" ca="1" si="94"/>
        <v>0.40411833826869736</v>
      </c>
      <c r="B3067" s="21">
        <f t="shared" ca="1" si="95"/>
        <v>1897</v>
      </c>
    </row>
    <row r="3068" spans="1:2" x14ac:dyDescent="0.25">
      <c r="A3068" s="20">
        <f t="shared" ca="1" si="94"/>
        <v>3.1983512743047005E-2</v>
      </c>
      <c r="B3068" s="21">
        <f t="shared" ca="1" si="95"/>
        <v>123</v>
      </c>
    </row>
    <row r="3069" spans="1:2" x14ac:dyDescent="0.25">
      <c r="A3069" s="20">
        <f t="shared" ca="1" si="94"/>
        <v>0.62746571766139836</v>
      </c>
      <c r="B3069" s="21">
        <f t="shared" ca="1" si="95"/>
        <v>2905</v>
      </c>
    </row>
    <row r="3070" spans="1:2" x14ac:dyDescent="0.25">
      <c r="A3070" s="20">
        <f t="shared" ca="1" si="94"/>
        <v>0.82177692217828446</v>
      </c>
      <c r="B3070" s="21">
        <f t="shared" ca="1" si="95"/>
        <v>3805</v>
      </c>
    </row>
    <row r="3071" spans="1:2" x14ac:dyDescent="0.25">
      <c r="A3071" s="20">
        <f t="shared" ca="1" si="94"/>
        <v>0.17871678534573598</v>
      </c>
      <c r="B3071" s="21">
        <f t="shared" ca="1" si="95"/>
        <v>817</v>
      </c>
    </row>
    <row r="3072" spans="1:2" x14ac:dyDescent="0.25">
      <c r="A3072" s="20">
        <f t="shared" ca="1" si="94"/>
        <v>0.95965199001673962</v>
      </c>
      <c r="B3072" s="21">
        <f t="shared" ca="1" si="95"/>
        <v>4444</v>
      </c>
    </row>
    <row r="3073" spans="1:2" x14ac:dyDescent="0.25">
      <c r="A3073" s="20">
        <f t="shared" ca="1" si="94"/>
        <v>0.86528694254408467</v>
      </c>
      <c r="B3073" s="21">
        <f t="shared" ca="1" si="95"/>
        <v>3992</v>
      </c>
    </row>
    <row r="3074" spans="1:2" x14ac:dyDescent="0.25">
      <c r="A3074" s="20">
        <f t="shared" ca="1" si="94"/>
        <v>0.47936018568200123</v>
      </c>
      <c r="B3074" s="21">
        <f t="shared" ca="1" si="95"/>
        <v>2237</v>
      </c>
    </row>
    <row r="3075" spans="1:2" x14ac:dyDescent="0.25">
      <c r="A3075" s="20">
        <f t="shared" ref="A3075:A3138" ca="1" si="96">RAND()</f>
        <v>0.57944871165128997</v>
      </c>
      <c r="B3075" s="21">
        <f t="shared" ref="B3075:B3138" ca="1" si="97">_xlfn.RANK.EQ($A3075,$A:$A,1)</f>
        <v>2705</v>
      </c>
    </row>
    <row r="3076" spans="1:2" x14ac:dyDescent="0.25">
      <c r="A3076" s="20">
        <f t="shared" ca="1" si="96"/>
        <v>0.61753828722751214</v>
      </c>
      <c r="B3076" s="21">
        <f t="shared" ca="1" si="97"/>
        <v>2868</v>
      </c>
    </row>
    <row r="3077" spans="1:2" x14ac:dyDescent="0.25">
      <c r="A3077" s="20">
        <f t="shared" ca="1" si="96"/>
        <v>0.83852406579476313</v>
      </c>
      <c r="B3077" s="21">
        <f t="shared" ca="1" si="97"/>
        <v>3869</v>
      </c>
    </row>
    <row r="3078" spans="1:2" x14ac:dyDescent="0.25">
      <c r="A3078" s="20">
        <f t="shared" ca="1" si="96"/>
        <v>0.73647814527330124</v>
      </c>
      <c r="B3078" s="21">
        <f t="shared" ca="1" si="97"/>
        <v>3408</v>
      </c>
    </row>
    <row r="3079" spans="1:2" x14ac:dyDescent="0.25">
      <c r="A3079" s="20">
        <f t="shared" ca="1" si="96"/>
        <v>0.8380740791943444</v>
      </c>
      <c r="B3079" s="21">
        <f t="shared" ca="1" si="97"/>
        <v>3867</v>
      </c>
    </row>
    <row r="3080" spans="1:2" x14ac:dyDescent="0.25">
      <c r="A3080" s="20">
        <f t="shared" ca="1" si="96"/>
        <v>0.56889791238354015</v>
      </c>
      <c r="B3080" s="21">
        <f t="shared" ca="1" si="97"/>
        <v>2657</v>
      </c>
    </row>
    <row r="3081" spans="1:2" x14ac:dyDescent="0.25">
      <c r="A3081" s="20">
        <f t="shared" ca="1" si="96"/>
        <v>1.5021188407239316E-3</v>
      </c>
      <c r="B3081" s="21">
        <f t="shared" ca="1" si="97"/>
        <v>6</v>
      </c>
    </row>
    <row r="3082" spans="1:2" x14ac:dyDescent="0.25">
      <c r="A3082" s="20">
        <f t="shared" ca="1" si="96"/>
        <v>0.9022051328705698</v>
      </c>
      <c r="B3082" s="21">
        <f t="shared" ca="1" si="97"/>
        <v>4167</v>
      </c>
    </row>
    <row r="3083" spans="1:2" x14ac:dyDescent="0.25">
      <c r="A3083" s="20">
        <f t="shared" ca="1" si="96"/>
        <v>0.89375463954090106</v>
      </c>
      <c r="B3083" s="21">
        <f t="shared" ca="1" si="97"/>
        <v>4120</v>
      </c>
    </row>
    <row r="3084" spans="1:2" x14ac:dyDescent="0.25">
      <c r="A3084" s="20">
        <f t="shared" ca="1" si="96"/>
        <v>0.62825352855996208</v>
      </c>
      <c r="B3084" s="21">
        <f t="shared" ca="1" si="97"/>
        <v>2908</v>
      </c>
    </row>
    <row r="3085" spans="1:2" x14ac:dyDescent="0.25">
      <c r="A3085" s="20">
        <f t="shared" ca="1" si="96"/>
        <v>0.37492172979812732</v>
      </c>
      <c r="B3085" s="21">
        <f t="shared" ca="1" si="97"/>
        <v>1775</v>
      </c>
    </row>
    <row r="3086" spans="1:2" x14ac:dyDescent="0.25">
      <c r="A3086" s="20">
        <f t="shared" ca="1" si="96"/>
        <v>0.54787036291131563</v>
      </c>
      <c r="B3086" s="21">
        <f t="shared" ca="1" si="97"/>
        <v>2555</v>
      </c>
    </row>
    <row r="3087" spans="1:2" x14ac:dyDescent="0.25">
      <c r="A3087" s="20">
        <f t="shared" ca="1" si="96"/>
        <v>0.85590665392486798</v>
      </c>
      <c r="B3087" s="21">
        <f t="shared" ca="1" si="97"/>
        <v>3954</v>
      </c>
    </row>
    <row r="3088" spans="1:2" x14ac:dyDescent="0.25">
      <c r="A3088" s="20">
        <f t="shared" ca="1" si="96"/>
        <v>0.71001109247954552</v>
      </c>
      <c r="B3088" s="21">
        <f t="shared" ca="1" si="97"/>
        <v>3287</v>
      </c>
    </row>
    <row r="3089" spans="1:2" x14ac:dyDescent="0.25">
      <c r="A3089" s="20">
        <f t="shared" ca="1" si="96"/>
        <v>0.59434486776233841</v>
      </c>
      <c r="B3089" s="21">
        <f t="shared" ca="1" si="97"/>
        <v>2771</v>
      </c>
    </row>
    <row r="3090" spans="1:2" x14ac:dyDescent="0.25">
      <c r="A3090" s="20">
        <f t="shared" ca="1" si="96"/>
        <v>0.5038566334630874</v>
      </c>
      <c r="B3090" s="21">
        <f t="shared" ca="1" si="97"/>
        <v>2343</v>
      </c>
    </row>
    <row r="3091" spans="1:2" x14ac:dyDescent="0.25">
      <c r="A3091" s="20">
        <f t="shared" ca="1" si="96"/>
        <v>3.5173514829874297E-2</v>
      </c>
      <c r="B3091" s="21">
        <f t="shared" ca="1" si="97"/>
        <v>136</v>
      </c>
    </row>
    <row r="3092" spans="1:2" x14ac:dyDescent="0.25">
      <c r="A3092" s="20">
        <f t="shared" ca="1" si="96"/>
        <v>0.65482901465423693</v>
      </c>
      <c r="B3092" s="21">
        <f t="shared" ca="1" si="97"/>
        <v>3036</v>
      </c>
    </row>
    <row r="3093" spans="1:2" x14ac:dyDescent="0.25">
      <c r="A3093" s="20">
        <f t="shared" ca="1" si="96"/>
        <v>4.3537129674277364E-2</v>
      </c>
      <c r="B3093" s="21">
        <f t="shared" ca="1" si="97"/>
        <v>175</v>
      </c>
    </row>
    <row r="3094" spans="1:2" x14ac:dyDescent="0.25">
      <c r="A3094" s="20">
        <f t="shared" ca="1" si="96"/>
        <v>0.88394383401756671</v>
      </c>
      <c r="B3094" s="21">
        <f t="shared" ca="1" si="97"/>
        <v>4075</v>
      </c>
    </row>
    <row r="3095" spans="1:2" x14ac:dyDescent="0.25">
      <c r="A3095" s="20">
        <f t="shared" ca="1" si="96"/>
        <v>0.50729989595942671</v>
      </c>
      <c r="B3095" s="21">
        <f t="shared" ca="1" si="97"/>
        <v>2361</v>
      </c>
    </row>
    <row r="3096" spans="1:2" x14ac:dyDescent="0.25">
      <c r="A3096" s="20">
        <f t="shared" ca="1" si="96"/>
        <v>0.21335416314765743</v>
      </c>
      <c r="B3096" s="21">
        <f t="shared" ca="1" si="97"/>
        <v>999</v>
      </c>
    </row>
    <row r="3097" spans="1:2" x14ac:dyDescent="0.25">
      <c r="A3097" s="20">
        <f t="shared" ca="1" si="96"/>
        <v>0.92399097660748863</v>
      </c>
      <c r="B3097" s="21">
        <f t="shared" ca="1" si="97"/>
        <v>4264</v>
      </c>
    </row>
    <row r="3098" spans="1:2" x14ac:dyDescent="0.25">
      <c r="A3098" s="20">
        <f t="shared" ca="1" si="96"/>
        <v>6.8872044612395489E-2</v>
      </c>
      <c r="B3098" s="21">
        <f t="shared" ca="1" si="97"/>
        <v>306</v>
      </c>
    </row>
    <row r="3099" spans="1:2" x14ac:dyDescent="0.25">
      <c r="A3099" s="20">
        <f t="shared" ca="1" si="96"/>
        <v>0.50661121137070442</v>
      </c>
      <c r="B3099" s="21">
        <f t="shared" ca="1" si="97"/>
        <v>2359</v>
      </c>
    </row>
    <row r="3100" spans="1:2" x14ac:dyDescent="0.25">
      <c r="A3100" s="20">
        <f t="shared" ca="1" si="96"/>
        <v>0.74779737452562933</v>
      </c>
      <c r="B3100" s="21">
        <f t="shared" ca="1" si="97"/>
        <v>3459</v>
      </c>
    </row>
    <row r="3101" spans="1:2" x14ac:dyDescent="0.25">
      <c r="A3101" s="20">
        <f t="shared" ca="1" si="96"/>
        <v>0.59300888200188084</v>
      </c>
      <c r="B3101" s="21">
        <f t="shared" ca="1" si="97"/>
        <v>2765</v>
      </c>
    </row>
    <row r="3102" spans="1:2" x14ac:dyDescent="0.25">
      <c r="A3102" s="20">
        <f t="shared" ca="1" si="96"/>
        <v>0.59396358813474448</v>
      </c>
      <c r="B3102" s="21">
        <f t="shared" ca="1" si="97"/>
        <v>2768</v>
      </c>
    </row>
    <row r="3103" spans="1:2" x14ac:dyDescent="0.25">
      <c r="A3103" s="20">
        <f t="shared" ca="1" si="96"/>
        <v>0.13774759448913942</v>
      </c>
      <c r="B3103" s="21">
        <f t="shared" ca="1" si="97"/>
        <v>604</v>
      </c>
    </row>
    <row r="3104" spans="1:2" x14ac:dyDescent="0.25">
      <c r="A3104" s="20">
        <f t="shared" ca="1" si="96"/>
        <v>0.77475489078629889</v>
      </c>
      <c r="B3104" s="21">
        <f t="shared" ca="1" si="97"/>
        <v>3595</v>
      </c>
    </row>
    <row r="3105" spans="1:2" x14ac:dyDescent="0.25">
      <c r="A3105" s="20">
        <f t="shared" ca="1" si="96"/>
        <v>0.12759023113760637</v>
      </c>
      <c r="B3105" s="21">
        <f t="shared" ca="1" si="97"/>
        <v>559</v>
      </c>
    </row>
    <row r="3106" spans="1:2" x14ac:dyDescent="0.25">
      <c r="A3106" s="20">
        <f t="shared" ca="1" si="96"/>
        <v>0.62105010641005542</v>
      </c>
      <c r="B3106" s="21">
        <f t="shared" ca="1" si="97"/>
        <v>2881</v>
      </c>
    </row>
    <row r="3107" spans="1:2" x14ac:dyDescent="0.25">
      <c r="A3107" s="20">
        <f t="shared" ca="1" si="96"/>
        <v>0.53091266615804156</v>
      </c>
      <c r="B3107" s="21">
        <f t="shared" ca="1" si="97"/>
        <v>2478</v>
      </c>
    </row>
    <row r="3108" spans="1:2" x14ac:dyDescent="0.25">
      <c r="A3108" s="20">
        <f t="shared" ca="1" si="96"/>
        <v>0.17558758627212867</v>
      </c>
      <c r="B3108" s="21">
        <f t="shared" ca="1" si="97"/>
        <v>796</v>
      </c>
    </row>
    <row r="3109" spans="1:2" x14ac:dyDescent="0.25">
      <c r="A3109" s="20">
        <f t="shared" ca="1" si="96"/>
        <v>0.12784477422023444</v>
      </c>
      <c r="B3109" s="21">
        <f t="shared" ca="1" si="97"/>
        <v>560</v>
      </c>
    </row>
    <row r="3110" spans="1:2" x14ac:dyDescent="0.25">
      <c r="A3110" s="20">
        <f t="shared" ca="1" si="96"/>
        <v>6.3741075942127301E-2</v>
      </c>
      <c r="B3110" s="21">
        <f t="shared" ca="1" si="97"/>
        <v>276</v>
      </c>
    </row>
    <row r="3111" spans="1:2" x14ac:dyDescent="0.25">
      <c r="A3111" s="20">
        <f t="shared" ca="1" si="96"/>
        <v>0.20128004241532327</v>
      </c>
      <c r="B3111" s="21">
        <f t="shared" ca="1" si="97"/>
        <v>933</v>
      </c>
    </row>
    <row r="3112" spans="1:2" x14ac:dyDescent="0.25">
      <c r="A3112" s="20">
        <f t="shared" ca="1" si="96"/>
        <v>0.28264328483510293</v>
      </c>
      <c r="B3112" s="21">
        <f t="shared" ca="1" si="97"/>
        <v>1321</v>
      </c>
    </row>
    <row r="3113" spans="1:2" x14ac:dyDescent="0.25">
      <c r="A3113" s="20">
        <f t="shared" ca="1" si="96"/>
        <v>0.50461661074761754</v>
      </c>
      <c r="B3113" s="21">
        <f t="shared" ca="1" si="97"/>
        <v>2350</v>
      </c>
    </row>
    <row r="3114" spans="1:2" x14ac:dyDescent="0.25">
      <c r="A3114" s="20">
        <f t="shared" ca="1" si="96"/>
        <v>0.56740583208778339</v>
      </c>
      <c r="B3114" s="21">
        <f t="shared" ca="1" si="97"/>
        <v>2652</v>
      </c>
    </row>
    <row r="3115" spans="1:2" x14ac:dyDescent="0.25">
      <c r="A3115" s="20">
        <f t="shared" ca="1" si="96"/>
        <v>0.48592806278107004</v>
      </c>
      <c r="B3115" s="21">
        <f t="shared" ca="1" si="97"/>
        <v>2265</v>
      </c>
    </row>
    <row r="3116" spans="1:2" x14ac:dyDescent="0.25">
      <c r="A3116" s="20">
        <f t="shared" ca="1" si="96"/>
        <v>0.96961156207015564</v>
      </c>
      <c r="B3116" s="21">
        <f t="shared" ca="1" si="97"/>
        <v>4497</v>
      </c>
    </row>
    <row r="3117" spans="1:2" x14ac:dyDescent="0.25">
      <c r="A3117" s="20">
        <f t="shared" ca="1" si="96"/>
        <v>0.93941115068171632</v>
      </c>
      <c r="B3117" s="21">
        <f t="shared" ca="1" si="97"/>
        <v>4345</v>
      </c>
    </row>
    <row r="3118" spans="1:2" x14ac:dyDescent="0.25">
      <c r="A3118" s="20">
        <f t="shared" ca="1" si="96"/>
        <v>0.79441444361529423</v>
      </c>
      <c r="B3118" s="21">
        <f t="shared" ca="1" si="97"/>
        <v>3676</v>
      </c>
    </row>
    <row r="3119" spans="1:2" x14ac:dyDescent="0.25">
      <c r="A3119" s="20">
        <f t="shared" ca="1" si="96"/>
        <v>0.79678324496599484</v>
      </c>
      <c r="B3119" s="21">
        <f t="shared" ca="1" si="97"/>
        <v>3687</v>
      </c>
    </row>
    <row r="3120" spans="1:2" x14ac:dyDescent="0.25">
      <c r="A3120" s="20">
        <f t="shared" ca="1" si="96"/>
        <v>0.3810725433603358</v>
      </c>
      <c r="B3120" s="21">
        <f t="shared" ca="1" si="97"/>
        <v>1789</v>
      </c>
    </row>
    <row r="3121" spans="1:2" x14ac:dyDescent="0.25">
      <c r="A3121" s="20">
        <f t="shared" ca="1" si="96"/>
        <v>0.7462904694123994</v>
      </c>
      <c r="B3121" s="21">
        <f t="shared" ca="1" si="97"/>
        <v>3448</v>
      </c>
    </row>
    <row r="3122" spans="1:2" x14ac:dyDescent="0.25">
      <c r="A3122" s="20">
        <f t="shared" ca="1" si="96"/>
        <v>6.4463494250612596E-2</v>
      </c>
      <c r="B3122" s="21">
        <f t="shared" ca="1" si="97"/>
        <v>281</v>
      </c>
    </row>
    <row r="3123" spans="1:2" x14ac:dyDescent="0.25">
      <c r="A3123" s="20">
        <f t="shared" ca="1" si="96"/>
        <v>0.35405328460058161</v>
      </c>
      <c r="B3123" s="21">
        <f t="shared" ca="1" si="97"/>
        <v>1672</v>
      </c>
    </row>
    <row r="3124" spans="1:2" x14ac:dyDescent="0.25">
      <c r="A3124" s="20">
        <f t="shared" ca="1" si="96"/>
        <v>0.63333138426995728</v>
      </c>
      <c r="B3124" s="21">
        <f t="shared" ca="1" si="97"/>
        <v>2934</v>
      </c>
    </row>
    <row r="3125" spans="1:2" x14ac:dyDescent="0.25">
      <c r="A3125" s="20">
        <f t="shared" ca="1" si="96"/>
        <v>0.77851691532152445</v>
      </c>
      <c r="B3125" s="21">
        <f t="shared" ca="1" si="97"/>
        <v>3609</v>
      </c>
    </row>
    <row r="3126" spans="1:2" x14ac:dyDescent="0.25">
      <c r="A3126" s="20">
        <f t="shared" ca="1" si="96"/>
        <v>0.44979556778049246</v>
      </c>
      <c r="B3126" s="21">
        <f t="shared" ca="1" si="97"/>
        <v>2101</v>
      </c>
    </row>
    <row r="3127" spans="1:2" x14ac:dyDescent="0.25">
      <c r="A3127" s="20">
        <f t="shared" ca="1" si="96"/>
        <v>0.16266716024440653</v>
      </c>
      <c r="B3127" s="21">
        <f t="shared" ca="1" si="97"/>
        <v>728</v>
      </c>
    </row>
    <row r="3128" spans="1:2" x14ac:dyDescent="0.25">
      <c r="A3128" s="20">
        <f t="shared" ca="1" si="96"/>
        <v>0.47838260605870631</v>
      </c>
      <c r="B3128" s="21">
        <f t="shared" ca="1" si="97"/>
        <v>2232</v>
      </c>
    </row>
    <row r="3129" spans="1:2" x14ac:dyDescent="0.25">
      <c r="A3129" s="20">
        <f t="shared" ca="1" si="96"/>
        <v>0.63961817350471484</v>
      </c>
      <c r="B3129" s="21">
        <f t="shared" ca="1" si="97"/>
        <v>2962</v>
      </c>
    </row>
    <row r="3130" spans="1:2" x14ac:dyDescent="0.25">
      <c r="A3130" s="20">
        <f t="shared" ca="1" si="96"/>
        <v>0.48643408747704597</v>
      </c>
      <c r="B3130" s="21">
        <f t="shared" ca="1" si="97"/>
        <v>2269</v>
      </c>
    </row>
    <row r="3131" spans="1:2" x14ac:dyDescent="0.25">
      <c r="A3131" s="20">
        <f t="shared" ca="1" si="96"/>
        <v>0.94807842131594966</v>
      </c>
      <c r="B3131" s="21">
        <f t="shared" ca="1" si="97"/>
        <v>4394</v>
      </c>
    </row>
    <row r="3132" spans="1:2" x14ac:dyDescent="0.25">
      <c r="A3132" s="20">
        <f t="shared" ca="1" si="96"/>
        <v>0.56509309203369984</v>
      </c>
      <c r="B3132" s="21">
        <f t="shared" ca="1" si="97"/>
        <v>2639</v>
      </c>
    </row>
    <row r="3133" spans="1:2" x14ac:dyDescent="0.25">
      <c r="A3133" s="20">
        <f t="shared" ca="1" si="96"/>
        <v>0.33684948809534609</v>
      </c>
      <c r="B3133" s="21">
        <f t="shared" ca="1" si="97"/>
        <v>1580</v>
      </c>
    </row>
    <row r="3134" spans="1:2" x14ac:dyDescent="0.25">
      <c r="A3134" s="20">
        <f t="shared" ca="1" si="96"/>
        <v>0.19292793640647088</v>
      </c>
      <c r="B3134" s="21">
        <f t="shared" ca="1" si="97"/>
        <v>891</v>
      </c>
    </row>
    <row r="3135" spans="1:2" x14ac:dyDescent="0.25">
      <c r="A3135" s="20">
        <f t="shared" ca="1" si="96"/>
        <v>0.67362065598248044</v>
      </c>
      <c r="B3135" s="21">
        <f t="shared" ca="1" si="97"/>
        <v>3116</v>
      </c>
    </row>
    <row r="3136" spans="1:2" x14ac:dyDescent="0.25">
      <c r="A3136" s="20">
        <f t="shared" ca="1" si="96"/>
        <v>0.42842924164468099</v>
      </c>
      <c r="B3136" s="21">
        <f t="shared" ca="1" si="97"/>
        <v>2012</v>
      </c>
    </row>
    <row r="3137" spans="1:2" x14ac:dyDescent="0.25">
      <c r="A3137" s="20">
        <f t="shared" ca="1" si="96"/>
        <v>0.19592960343039501</v>
      </c>
      <c r="B3137" s="21">
        <f t="shared" ca="1" si="97"/>
        <v>910</v>
      </c>
    </row>
    <row r="3138" spans="1:2" x14ac:dyDescent="0.25">
      <c r="A3138" s="20">
        <f t="shared" ca="1" si="96"/>
        <v>0.26180985768652976</v>
      </c>
      <c r="B3138" s="21">
        <f t="shared" ca="1" si="97"/>
        <v>1220</v>
      </c>
    </row>
    <row r="3139" spans="1:2" x14ac:dyDescent="0.25">
      <c r="A3139" s="20">
        <f t="shared" ref="A3139:A3202" ca="1" si="98">RAND()</f>
        <v>0.42081456715093324</v>
      </c>
      <c r="B3139" s="21">
        <f t="shared" ref="B3139:B3202" ca="1" si="99">_xlfn.RANK.EQ($A3139,$A:$A,1)</f>
        <v>1971</v>
      </c>
    </row>
    <row r="3140" spans="1:2" x14ac:dyDescent="0.25">
      <c r="A3140" s="20">
        <f t="shared" ca="1" si="98"/>
        <v>0.18310909539426079</v>
      </c>
      <c r="B3140" s="21">
        <f t="shared" ca="1" si="99"/>
        <v>839</v>
      </c>
    </row>
    <row r="3141" spans="1:2" x14ac:dyDescent="0.25">
      <c r="A3141" s="20">
        <f t="shared" ca="1" si="98"/>
        <v>0.2109965011286643</v>
      </c>
      <c r="B3141" s="21">
        <f t="shared" ca="1" si="99"/>
        <v>985</v>
      </c>
    </row>
    <row r="3142" spans="1:2" x14ac:dyDescent="0.25">
      <c r="A3142" s="20">
        <f t="shared" ca="1" si="98"/>
        <v>0.93682750286926786</v>
      </c>
      <c r="B3142" s="21">
        <f t="shared" ca="1" si="99"/>
        <v>4330</v>
      </c>
    </row>
    <row r="3143" spans="1:2" x14ac:dyDescent="0.25">
      <c r="A3143" s="20">
        <f t="shared" ca="1" si="98"/>
        <v>5.0564630481535033E-2</v>
      </c>
      <c r="B3143" s="21">
        <f t="shared" ca="1" si="99"/>
        <v>212</v>
      </c>
    </row>
    <row r="3144" spans="1:2" x14ac:dyDescent="0.25">
      <c r="A3144" s="20">
        <f t="shared" ca="1" si="98"/>
        <v>0.73757305516494776</v>
      </c>
      <c r="B3144" s="21">
        <f t="shared" ca="1" si="99"/>
        <v>3413</v>
      </c>
    </row>
    <row r="3145" spans="1:2" x14ac:dyDescent="0.25">
      <c r="A3145" s="20">
        <f t="shared" ca="1" si="98"/>
        <v>0.20918653331200809</v>
      </c>
      <c r="B3145" s="21">
        <f t="shared" ca="1" si="99"/>
        <v>974</v>
      </c>
    </row>
    <row r="3146" spans="1:2" x14ac:dyDescent="0.25">
      <c r="A3146" s="20">
        <f t="shared" ca="1" si="98"/>
        <v>0.26236477656953949</v>
      </c>
      <c r="B3146" s="21">
        <f t="shared" ca="1" si="99"/>
        <v>1226</v>
      </c>
    </row>
    <row r="3147" spans="1:2" x14ac:dyDescent="0.25">
      <c r="A3147" s="20">
        <f t="shared" ca="1" si="98"/>
        <v>0.80762098030904661</v>
      </c>
      <c r="B3147" s="21">
        <f t="shared" ca="1" si="99"/>
        <v>3733</v>
      </c>
    </row>
    <row r="3148" spans="1:2" x14ac:dyDescent="0.25">
      <c r="A3148" s="20">
        <f t="shared" ca="1" si="98"/>
        <v>0.64940259521289445</v>
      </c>
      <c r="B3148" s="21">
        <f t="shared" ca="1" si="99"/>
        <v>3016</v>
      </c>
    </row>
    <row r="3149" spans="1:2" x14ac:dyDescent="0.25">
      <c r="A3149" s="20">
        <f t="shared" ca="1" si="98"/>
        <v>0.96421478127617122</v>
      </c>
      <c r="B3149" s="21">
        <f t="shared" ca="1" si="99"/>
        <v>4468</v>
      </c>
    </row>
    <row r="3150" spans="1:2" x14ac:dyDescent="0.25">
      <c r="A3150" s="20">
        <f t="shared" ca="1" si="98"/>
        <v>0.44353466106361172</v>
      </c>
      <c r="B3150" s="21">
        <f t="shared" ca="1" si="99"/>
        <v>2074</v>
      </c>
    </row>
    <row r="3151" spans="1:2" x14ac:dyDescent="0.25">
      <c r="A3151" s="20">
        <f t="shared" ca="1" si="98"/>
        <v>0.16894791203670489</v>
      </c>
      <c r="B3151" s="21">
        <f t="shared" ca="1" si="99"/>
        <v>760</v>
      </c>
    </row>
    <row r="3152" spans="1:2" x14ac:dyDescent="0.25">
      <c r="A3152" s="20">
        <f t="shared" ca="1" si="98"/>
        <v>0.24612007877279551</v>
      </c>
      <c r="B3152" s="21">
        <f t="shared" ca="1" si="99"/>
        <v>1148</v>
      </c>
    </row>
    <row r="3153" spans="1:2" x14ac:dyDescent="0.25">
      <c r="A3153" s="20">
        <f t="shared" ca="1" si="98"/>
        <v>0.3385359703873797</v>
      </c>
      <c r="B3153" s="21">
        <f t="shared" ca="1" si="99"/>
        <v>1592</v>
      </c>
    </row>
    <row r="3154" spans="1:2" x14ac:dyDescent="0.25">
      <c r="A3154" s="20">
        <f t="shared" ca="1" si="98"/>
        <v>0.42440071521900058</v>
      </c>
      <c r="B3154" s="21">
        <f t="shared" ca="1" si="99"/>
        <v>1996</v>
      </c>
    </row>
    <row r="3155" spans="1:2" x14ac:dyDescent="0.25">
      <c r="A3155" s="20">
        <f t="shared" ca="1" si="98"/>
        <v>0.64840034678159564</v>
      </c>
      <c r="B3155" s="21">
        <f t="shared" ca="1" si="99"/>
        <v>3012</v>
      </c>
    </row>
    <row r="3156" spans="1:2" x14ac:dyDescent="0.25">
      <c r="A3156" s="20">
        <f t="shared" ca="1" si="98"/>
        <v>0.59201877597434527</v>
      </c>
      <c r="B3156" s="21">
        <f t="shared" ca="1" si="99"/>
        <v>2763</v>
      </c>
    </row>
    <row r="3157" spans="1:2" x14ac:dyDescent="0.25">
      <c r="A3157" s="20">
        <f t="shared" ca="1" si="98"/>
        <v>0.56135816151894879</v>
      </c>
      <c r="B3157" s="21">
        <f t="shared" ca="1" si="99"/>
        <v>2626</v>
      </c>
    </row>
    <row r="3158" spans="1:2" x14ac:dyDescent="0.25">
      <c r="A3158" s="20">
        <f t="shared" ca="1" si="98"/>
        <v>0.80398283221094247</v>
      </c>
      <c r="B3158" s="21">
        <f t="shared" ca="1" si="99"/>
        <v>3722</v>
      </c>
    </row>
    <row r="3159" spans="1:2" x14ac:dyDescent="0.25">
      <c r="A3159" s="20">
        <f t="shared" ca="1" si="98"/>
        <v>0.95690839457312971</v>
      </c>
      <c r="B3159" s="21">
        <f t="shared" ca="1" si="99"/>
        <v>4429</v>
      </c>
    </row>
    <row r="3160" spans="1:2" x14ac:dyDescent="0.25">
      <c r="A3160" s="20">
        <f t="shared" ca="1" si="98"/>
        <v>0.75286222510055389</v>
      </c>
      <c r="B3160" s="21">
        <f t="shared" ca="1" si="99"/>
        <v>3487</v>
      </c>
    </row>
    <row r="3161" spans="1:2" x14ac:dyDescent="0.25">
      <c r="A3161" s="20">
        <f t="shared" ca="1" si="98"/>
        <v>0.27594218765686229</v>
      </c>
      <c r="B3161" s="21">
        <f t="shared" ca="1" si="99"/>
        <v>1291</v>
      </c>
    </row>
    <row r="3162" spans="1:2" x14ac:dyDescent="0.25">
      <c r="A3162" s="20">
        <f t="shared" ca="1" si="98"/>
        <v>0.4389786943990206</v>
      </c>
      <c r="B3162" s="21">
        <f t="shared" ca="1" si="99"/>
        <v>2057</v>
      </c>
    </row>
    <row r="3163" spans="1:2" x14ac:dyDescent="0.25">
      <c r="A3163" s="20">
        <f t="shared" ca="1" si="98"/>
        <v>0.3639265558793352</v>
      </c>
      <c r="B3163" s="21">
        <f t="shared" ca="1" si="99"/>
        <v>1723</v>
      </c>
    </row>
    <row r="3164" spans="1:2" x14ac:dyDescent="0.25">
      <c r="A3164" s="20">
        <f t="shared" ca="1" si="98"/>
        <v>0.12921335330716777</v>
      </c>
      <c r="B3164" s="21">
        <f t="shared" ca="1" si="99"/>
        <v>570</v>
      </c>
    </row>
    <row r="3165" spans="1:2" x14ac:dyDescent="0.25">
      <c r="A3165" s="20">
        <f t="shared" ca="1" si="98"/>
        <v>0.4306353635144119</v>
      </c>
      <c r="B3165" s="21">
        <f t="shared" ca="1" si="99"/>
        <v>2024</v>
      </c>
    </row>
    <row r="3166" spans="1:2" x14ac:dyDescent="0.25">
      <c r="A3166" s="20">
        <f t="shared" ca="1" si="98"/>
        <v>0.16992890326713916</v>
      </c>
      <c r="B3166" s="21">
        <f t="shared" ca="1" si="99"/>
        <v>768</v>
      </c>
    </row>
    <row r="3167" spans="1:2" x14ac:dyDescent="0.25">
      <c r="A3167" s="20">
        <f t="shared" ca="1" si="98"/>
        <v>0.59187934542252585</v>
      </c>
      <c r="B3167" s="21">
        <f t="shared" ca="1" si="99"/>
        <v>2762</v>
      </c>
    </row>
    <row r="3168" spans="1:2" x14ac:dyDescent="0.25">
      <c r="A3168" s="20">
        <f t="shared" ca="1" si="98"/>
        <v>0.2562177160140493</v>
      </c>
      <c r="B3168" s="21">
        <f t="shared" ca="1" si="99"/>
        <v>1197</v>
      </c>
    </row>
    <row r="3169" spans="1:2" x14ac:dyDescent="0.25">
      <c r="A3169" s="20">
        <f t="shared" ca="1" si="98"/>
        <v>0.32484874119000484</v>
      </c>
      <c r="B3169" s="21">
        <f t="shared" ca="1" si="99"/>
        <v>1525</v>
      </c>
    </row>
    <row r="3170" spans="1:2" x14ac:dyDescent="0.25">
      <c r="A3170" s="20">
        <f t="shared" ca="1" si="98"/>
        <v>0.75842364443384369</v>
      </c>
      <c r="B3170" s="21">
        <f t="shared" ca="1" si="99"/>
        <v>3516</v>
      </c>
    </row>
    <row r="3171" spans="1:2" x14ac:dyDescent="0.25">
      <c r="A3171" s="20">
        <f t="shared" ca="1" si="98"/>
        <v>0.7613143644700231</v>
      </c>
      <c r="B3171" s="21">
        <f t="shared" ca="1" si="99"/>
        <v>3531</v>
      </c>
    </row>
    <row r="3172" spans="1:2" x14ac:dyDescent="0.25">
      <c r="A3172" s="20">
        <f t="shared" ca="1" si="98"/>
        <v>0.34911024731197815</v>
      </c>
      <c r="B3172" s="21">
        <f t="shared" ca="1" si="99"/>
        <v>1647</v>
      </c>
    </row>
    <row r="3173" spans="1:2" x14ac:dyDescent="0.25">
      <c r="A3173" s="20">
        <f t="shared" ca="1" si="98"/>
        <v>0.94500692268723852</v>
      </c>
      <c r="B3173" s="21">
        <f t="shared" ca="1" si="99"/>
        <v>4375</v>
      </c>
    </row>
    <row r="3174" spans="1:2" x14ac:dyDescent="0.25">
      <c r="A3174" s="20">
        <f t="shared" ca="1" si="98"/>
        <v>0.72911634792258606</v>
      </c>
      <c r="B3174" s="21">
        <f t="shared" ca="1" si="99"/>
        <v>3377</v>
      </c>
    </row>
    <row r="3175" spans="1:2" x14ac:dyDescent="0.25">
      <c r="A3175" s="20">
        <f t="shared" ca="1" si="98"/>
        <v>0.86862528032768138</v>
      </c>
      <c r="B3175" s="21">
        <f t="shared" ca="1" si="99"/>
        <v>4013</v>
      </c>
    </row>
    <row r="3176" spans="1:2" x14ac:dyDescent="0.25">
      <c r="A3176" s="20">
        <f t="shared" ca="1" si="98"/>
        <v>0.10553207746268722</v>
      </c>
      <c r="B3176" s="21">
        <f t="shared" ca="1" si="99"/>
        <v>471</v>
      </c>
    </row>
    <row r="3177" spans="1:2" x14ac:dyDescent="0.25">
      <c r="A3177" s="20">
        <f t="shared" ca="1" si="98"/>
        <v>0.3834507032403176</v>
      </c>
      <c r="B3177" s="21">
        <f t="shared" ca="1" si="99"/>
        <v>1797</v>
      </c>
    </row>
    <row r="3178" spans="1:2" x14ac:dyDescent="0.25">
      <c r="A3178" s="20">
        <f t="shared" ca="1" si="98"/>
        <v>0.32804267985597646</v>
      </c>
      <c r="B3178" s="21">
        <f t="shared" ca="1" si="99"/>
        <v>1538</v>
      </c>
    </row>
    <row r="3179" spans="1:2" x14ac:dyDescent="0.25">
      <c r="A3179" s="20">
        <f t="shared" ca="1" si="98"/>
        <v>3.4632988824946587E-2</v>
      </c>
      <c r="B3179" s="21">
        <f t="shared" ca="1" si="99"/>
        <v>132</v>
      </c>
    </row>
    <row r="3180" spans="1:2" x14ac:dyDescent="0.25">
      <c r="A3180" s="20">
        <f t="shared" ca="1" si="98"/>
        <v>0.54762777537931984</v>
      </c>
      <c r="B3180" s="21">
        <f t="shared" ca="1" si="99"/>
        <v>2554</v>
      </c>
    </row>
    <row r="3181" spans="1:2" x14ac:dyDescent="0.25">
      <c r="A3181" s="20">
        <f t="shared" ca="1" si="98"/>
        <v>0.66956700414077108</v>
      </c>
      <c r="B3181" s="21">
        <f t="shared" ca="1" si="99"/>
        <v>3106</v>
      </c>
    </row>
    <row r="3182" spans="1:2" x14ac:dyDescent="0.25">
      <c r="A3182" s="20">
        <f t="shared" ca="1" si="98"/>
        <v>0.80385803861841687</v>
      </c>
      <c r="B3182" s="21">
        <f t="shared" ca="1" si="99"/>
        <v>3721</v>
      </c>
    </row>
    <row r="3183" spans="1:2" x14ac:dyDescent="0.25">
      <c r="A3183" s="20">
        <f t="shared" ca="1" si="98"/>
        <v>9.4263910680872143E-2</v>
      </c>
      <c r="B3183" s="21">
        <f t="shared" ca="1" si="99"/>
        <v>423</v>
      </c>
    </row>
    <row r="3184" spans="1:2" x14ac:dyDescent="0.25">
      <c r="A3184" s="20">
        <f t="shared" ca="1" si="98"/>
        <v>0.96949199667632435</v>
      </c>
      <c r="B3184" s="21">
        <f t="shared" ca="1" si="99"/>
        <v>4496</v>
      </c>
    </row>
    <row r="3185" spans="1:2" x14ac:dyDescent="0.25">
      <c r="A3185" s="20">
        <f t="shared" ca="1" si="98"/>
        <v>0.46947452397342249</v>
      </c>
      <c r="B3185" s="21">
        <f t="shared" ca="1" si="99"/>
        <v>2191</v>
      </c>
    </row>
    <row r="3186" spans="1:2" x14ac:dyDescent="0.25">
      <c r="A3186" s="20">
        <f t="shared" ca="1" si="98"/>
        <v>0.22187017866127001</v>
      </c>
      <c r="B3186" s="21">
        <f t="shared" ca="1" si="99"/>
        <v>1040</v>
      </c>
    </row>
    <row r="3187" spans="1:2" x14ac:dyDescent="0.25">
      <c r="A3187" s="20">
        <f t="shared" ca="1" si="98"/>
        <v>0.9086418627568188</v>
      </c>
      <c r="B3187" s="21">
        <f t="shared" ca="1" si="99"/>
        <v>4194</v>
      </c>
    </row>
    <row r="3188" spans="1:2" x14ac:dyDescent="0.25">
      <c r="A3188" s="20">
        <f t="shared" ca="1" si="98"/>
        <v>0.89332860625007271</v>
      </c>
      <c r="B3188" s="21">
        <f t="shared" ca="1" si="99"/>
        <v>4118</v>
      </c>
    </row>
    <row r="3189" spans="1:2" x14ac:dyDescent="0.25">
      <c r="A3189" s="20">
        <f t="shared" ca="1" si="98"/>
        <v>0.83602699449087314</v>
      </c>
      <c r="B3189" s="21">
        <f t="shared" ca="1" si="99"/>
        <v>3861</v>
      </c>
    </row>
    <row r="3190" spans="1:2" x14ac:dyDescent="0.25">
      <c r="A3190" s="20">
        <f t="shared" ca="1" si="98"/>
        <v>0.54722238818092039</v>
      </c>
      <c r="B3190" s="21">
        <f t="shared" ca="1" si="99"/>
        <v>2553</v>
      </c>
    </row>
    <row r="3191" spans="1:2" x14ac:dyDescent="0.25">
      <c r="A3191" s="20">
        <f t="shared" ca="1" si="98"/>
        <v>0.13887601206271516</v>
      </c>
      <c r="B3191" s="21">
        <f t="shared" ca="1" si="99"/>
        <v>609</v>
      </c>
    </row>
    <row r="3192" spans="1:2" x14ac:dyDescent="0.25">
      <c r="A3192" s="20">
        <f t="shared" ca="1" si="98"/>
        <v>0.46028792417396813</v>
      </c>
      <c r="B3192" s="21">
        <f t="shared" ca="1" si="99"/>
        <v>2161</v>
      </c>
    </row>
    <row r="3193" spans="1:2" x14ac:dyDescent="0.25">
      <c r="A3193" s="20">
        <f t="shared" ca="1" si="98"/>
        <v>0.50535392776517774</v>
      </c>
      <c r="B3193" s="21">
        <f t="shared" ca="1" si="99"/>
        <v>2352</v>
      </c>
    </row>
    <row r="3194" spans="1:2" x14ac:dyDescent="0.25">
      <c r="A3194" s="20">
        <f t="shared" ca="1" si="98"/>
        <v>0.17439099009796888</v>
      </c>
      <c r="B3194" s="21">
        <f t="shared" ca="1" si="99"/>
        <v>788</v>
      </c>
    </row>
    <row r="3195" spans="1:2" x14ac:dyDescent="0.25">
      <c r="A3195" s="20">
        <f t="shared" ca="1" si="98"/>
        <v>8.480335498094127E-3</v>
      </c>
      <c r="B3195" s="21">
        <f t="shared" ca="1" si="99"/>
        <v>31</v>
      </c>
    </row>
    <row r="3196" spans="1:2" x14ac:dyDescent="0.25">
      <c r="A3196" s="20">
        <f t="shared" ca="1" si="98"/>
        <v>0.16498213746847135</v>
      </c>
      <c r="B3196" s="21">
        <f t="shared" ca="1" si="99"/>
        <v>736</v>
      </c>
    </row>
    <row r="3197" spans="1:2" x14ac:dyDescent="0.25">
      <c r="A3197" s="20">
        <f t="shared" ca="1" si="98"/>
        <v>0.25435436380613297</v>
      </c>
      <c r="B3197" s="21">
        <f t="shared" ca="1" si="99"/>
        <v>1186</v>
      </c>
    </row>
    <row r="3198" spans="1:2" x14ac:dyDescent="0.25">
      <c r="A3198" s="20">
        <f t="shared" ca="1" si="98"/>
        <v>0.57723935361359258</v>
      </c>
      <c r="B3198" s="21">
        <f t="shared" ca="1" si="99"/>
        <v>2696</v>
      </c>
    </row>
    <row r="3199" spans="1:2" x14ac:dyDescent="0.25">
      <c r="A3199" s="20">
        <f t="shared" ca="1" si="98"/>
        <v>0.81230686456500267</v>
      </c>
      <c r="B3199" s="21">
        <f t="shared" ca="1" si="99"/>
        <v>3754</v>
      </c>
    </row>
    <row r="3200" spans="1:2" x14ac:dyDescent="0.25">
      <c r="A3200" s="20">
        <f t="shared" ca="1" si="98"/>
        <v>0.11184315016982693</v>
      </c>
      <c r="B3200" s="21">
        <f t="shared" ca="1" si="99"/>
        <v>494</v>
      </c>
    </row>
    <row r="3201" spans="1:2" x14ac:dyDescent="0.25">
      <c r="A3201" s="20">
        <f t="shared" ca="1" si="98"/>
        <v>0.77165844491919933</v>
      </c>
      <c r="B3201" s="21">
        <f t="shared" ca="1" si="99"/>
        <v>3577</v>
      </c>
    </row>
    <row r="3202" spans="1:2" x14ac:dyDescent="0.25">
      <c r="A3202" s="20">
        <f t="shared" ca="1" si="98"/>
        <v>0.33411402733331419</v>
      </c>
      <c r="B3202" s="21">
        <f t="shared" ca="1" si="99"/>
        <v>1566</v>
      </c>
    </row>
    <row r="3203" spans="1:2" x14ac:dyDescent="0.25">
      <c r="A3203" s="20">
        <f t="shared" ref="A3203:A3266" ca="1" si="100">RAND()</f>
        <v>0.33090464931537789</v>
      </c>
      <c r="B3203" s="21">
        <f t="shared" ref="B3203:B3266" ca="1" si="101">_xlfn.RANK.EQ($A3203,$A:$A,1)</f>
        <v>1551</v>
      </c>
    </row>
    <row r="3204" spans="1:2" x14ac:dyDescent="0.25">
      <c r="A3204" s="20">
        <f t="shared" ca="1" si="100"/>
        <v>0.42072882022559543</v>
      </c>
      <c r="B3204" s="21">
        <f t="shared" ca="1" si="101"/>
        <v>1969</v>
      </c>
    </row>
    <row r="3205" spans="1:2" x14ac:dyDescent="0.25">
      <c r="A3205" s="20">
        <f t="shared" ca="1" si="100"/>
        <v>0.59461338412183018</v>
      </c>
      <c r="B3205" s="21">
        <f t="shared" ca="1" si="101"/>
        <v>2776</v>
      </c>
    </row>
    <row r="3206" spans="1:2" x14ac:dyDescent="0.25">
      <c r="A3206" s="20">
        <f t="shared" ca="1" si="100"/>
        <v>0.22831883125183028</v>
      </c>
      <c r="B3206" s="21">
        <f t="shared" ca="1" si="101"/>
        <v>1070</v>
      </c>
    </row>
    <row r="3207" spans="1:2" x14ac:dyDescent="0.25">
      <c r="A3207" s="20">
        <f t="shared" ca="1" si="100"/>
        <v>0.18304013058871749</v>
      </c>
      <c r="B3207" s="21">
        <f t="shared" ca="1" si="101"/>
        <v>837</v>
      </c>
    </row>
    <row r="3208" spans="1:2" x14ac:dyDescent="0.25">
      <c r="A3208" s="20">
        <f t="shared" ca="1" si="100"/>
        <v>0.5420505292814275</v>
      </c>
      <c r="B3208" s="21">
        <f t="shared" ca="1" si="101"/>
        <v>2532</v>
      </c>
    </row>
    <row r="3209" spans="1:2" x14ac:dyDescent="0.25">
      <c r="A3209" s="20">
        <f t="shared" ca="1" si="100"/>
        <v>0.32069085974001654</v>
      </c>
      <c r="B3209" s="21">
        <f t="shared" ca="1" si="101"/>
        <v>1508</v>
      </c>
    </row>
    <row r="3210" spans="1:2" x14ac:dyDescent="0.25">
      <c r="A3210" s="20">
        <f t="shared" ca="1" si="100"/>
        <v>0.20673767875742743</v>
      </c>
      <c r="B3210" s="21">
        <f t="shared" ca="1" si="101"/>
        <v>961</v>
      </c>
    </row>
    <row r="3211" spans="1:2" x14ac:dyDescent="0.25">
      <c r="A3211" s="20">
        <f t="shared" ca="1" si="100"/>
        <v>0.72041310570694428</v>
      </c>
      <c r="B3211" s="21">
        <f t="shared" ca="1" si="101"/>
        <v>3336</v>
      </c>
    </row>
    <row r="3212" spans="1:2" x14ac:dyDescent="0.25">
      <c r="A3212" s="20">
        <f t="shared" ca="1" si="100"/>
        <v>0.8238146395218553</v>
      </c>
      <c r="B3212" s="21">
        <f t="shared" ca="1" si="101"/>
        <v>3812</v>
      </c>
    </row>
    <row r="3213" spans="1:2" x14ac:dyDescent="0.25">
      <c r="A3213" s="20">
        <f t="shared" ca="1" si="100"/>
        <v>0.18565298200647107</v>
      </c>
      <c r="B3213" s="21">
        <f t="shared" ca="1" si="101"/>
        <v>853</v>
      </c>
    </row>
    <row r="3214" spans="1:2" x14ac:dyDescent="0.25">
      <c r="A3214" s="20">
        <f t="shared" ca="1" si="100"/>
        <v>0.28268004899549437</v>
      </c>
      <c r="B3214" s="21">
        <f t="shared" ca="1" si="101"/>
        <v>1323</v>
      </c>
    </row>
    <row r="3215" spans="1:2" x14ac:dyDescent="0.25">
      <c r="A3215" s="20">
        <f t="shared" ca="1" si="100"/>
        <v>0.45042571445270729</v>
      </c>
      <c r="B3215" s="21">
        <f t="shared" ca="1" si="101"/>
        <v>2106</v>
      </c>
    </row>
    <row r="3216" spans="1:2" x14ac:dyDescent="0.25">
      <c r="A3216" s="20">
        <f t="shared" ca="1" si="100"/>
        <v>9.2781888227977616E-2</v>
      </c>
      <c r="B3216" s="21">
        <f t="shared" ca="1" si="101"/>
        <v>417</v>
      </c>
    </row>
    <row r="3217" spans="1:2" x14ac:dyDescent="0.25">
      <c r="A3217" s="20">
        <f t="shared" ca="1" si="100"/>
        <v>0.47029943234220439</v>
      </c>
      <c r="B3217" s="21">
        <f t="shared" ca="1" si="101"/>
        <v>2197</v>
      </c>
    </row>
    <row r="3218" spans="1:2" x14ac:dyDescent="0.25">
      <c r="A3218" s="20">
        <f t="shared" ca="1" si="100"/>
        <v>0.83201226299924413</v>
      </c>
      <c r="B3218" s="21">
        <f t="shared" ca="1" si="101"/>
        <v>3848</v>
      </c>
    </row>
    <row r="3219" spans="1:2" x14ac:dyDescent="0.25">
      <c r="A3219" s="20">
        <f t="shared" ca="1" si="100"/>
        <v>9.027512682901595E-2</v>
      </c>
      <c r="B3219" s="21">
        <f t="shared" ca="1" si="101"/>
        <v>407</v>
      </c>
    </row>
    <row r="3220" spans="1:2" x14ac:dyDescent="0.25">
      <c r="A3220" s="20">
        <f t="shared" ca="1" si="100"/>
        <v>0.50285544119193082</v>
      </c>
      <c r="B3220" s="21">
        <f t="shared" ca="1" si="101"/>
        <v>2337</v>
      </c>
    </row>
    <row r="3221" spans="1:2" x14ac:dyDescent="0.25">
      <c r="A3221" s="20">
        <f t="shared" ca="1" si="100"/>
        <v>0.11394581007543447</v>
      </c>
      <c r="B3221" s="21">
        <f t="shared" ca="1" si="101"/>
        <v>502</v>
      </c>
    </row>
    <row r="3222" spans="1:2" x14ac:dyDescent="0.25">
      <c r="A3222" s="20">
        <f t="shared" ca="1" si="100"/>
        <v>0.22240526285512396</v>
      </c>
      <c r="B3222" s="21">
        <f t="shared" ca="1" si="101"/>
        <v>1043</v>
      </c>
    </row>
    <row r="3223" spans="1:2" x14ac:dyDescent="0.25">
      <c r="A3223" s="20">
        <f t="shared" ca="1" si="100"/>
        <v>0.22563736653873201</v>
      </c>
      <c r="B3223" s="21">
        <f t="shared" ca="1" si="101"/>
        <v>1058</v>
      </c>
    </row>
    <row r="3224" spans="1:2" x14ac:dyDescent="0.25">
      <c r="A3224" s="20">
        <f t="shared" ca="1" si="100"/>
        <v>0.23829730776142399</v>
      </c>
      <c r="B3224" s="21">
        <f t="shared" ca="1" si="101"/>
        <v>1116</v>
      </c>
    </row>
    <row r="3225" spans="1:2" x14ac:dyDescent="0.25">
      <c r="A3225" s="20">
        <f t="shared" ca="1" si="100"/>
        <v>0.27435918175979757</v>
      </c>
      <c r="B3225" s="21">
        <f t="shared" ca="1" si="101"/>
        <v>1282</v>
      </c>
    </row>
    <row r="3226" spans="1:2" x14ac:dyDescent="0.25">
      <c r="A3226" s="20">
        <f t="shared" ca="1" si="100"/>
        <v>0.66522588733662447</v>
      </c>
      <c r="B3226" s="21">
        <f t="shared" ca="1" si="101"/>
        <v>3081</v>
      </c>
    </row>
    <row r="3227" spans="1:2" x14ac:dyDescent="0.25">
      <c r="A3227" s="20">
        <f t="shared" ca="1" si="100"/>
        <v>0.48037855412339003</v>
      </c>
      <c r="B3227" s="21">
        <f t="shared" ca="1" si="101"/>
        <v>2242</v>
      </c>
    </row>
    <row r="3228" spans="1:2" x14ac:dyDescent="0.25">
      <c r="A3228" s="20">
        <f t="shared" ca="1" si="100"/>
        <v>0.83423756673631022</v>
      </c>
      <c r="B3228" s="21">
        <f t="shared" ca="1" si="101"/>
        <v>3855</v>
      </c>
    </row>
    <row r="3229" spans="1:2" x14ac:dyDescent="0.25">
      <c r="A3229" s="20">
        <f t="shared" ca="1" si="100"/>
        <v>0.87140647749210387</v>
      </c>
      <c r="B3229" s="21">
        <f t="shared" ca="1" si="101"/>
        <v>4021</v>
      </c>
    </row>
    <row r="3230" spans="1:2" x14ac:dyDescent="0.25">
      <c r="A3230" s="20">
        <f t="shared" ca="1" si="100"/>
        <v>0.95730756861770427</v>
      </c>
      <c r="B3230" s="21">
        <f t="shared" ca="1" si="101"/>
        <v>4431</v>
      </c>
    </row>
    <row r="3231" spans="1:2" x14ac:dyDescent="0.25">
      <c r="A3231" s="20">
        <f t="shared" ca="1" si="100"/>
        <v>0.73018056384632246</v>
      </c>
      <c r="B3231" s="21">
        <f t="shared" ca="1" si="101"/>
        <v>3387</v>
      </c>
    </row>
    <row r="3232" spans="1:2" x14ac:dyDescent="0.25">
      <c r="A3232" s="20">
        <f t="shared" ca="1" si="100"/>
        <v>0.63710456538299876</v>
      </c>
      <c r="B3232" s="21">
        <f t="shared" ca="1" si="101"/>
        <v>2952</v>
      </c>
    </row>
    <row r="3233" spans="1:2" x14ac:dyDescent="0.25">
      <c r="A3233" s="20">
        <f t="shared" ca="1" si="100"/>
        <v>0.48080627916993457</v>
      </c>
      <c r="B3233" s="21">
        <f t="shared" ca="1" si="101"/>
        <v>2246</v>
      </c>
    </row>
    <row r="3234" spans="1:2" x14ac:dyDescent="0.25">
      <c r="A3234" s="20">
        <f t="shared" ca="1" si="100"/>
        <v>0.22405570900504779</v>
      </c>
      <c r="B3234" s="21">
        <f t="shared" ca="1" si="101"/>
        <v>1048</v>
      </c>
    </row>
    <row r="3235" spans="1:2" x14ac:dyDescent="0.25">
      <c r="A3235" s="20">
        <f t="shared" ca="1" si="100"/>
        <v>0.13386055103880345</v>
      </c>
      <c r="B3235" s="21">
        <f t="shared" ca="1" si="101"/>
        <v>588</v>
      </c>
    </row>
    <row r="3236" spans="1:2" x14ac:dyDescent="0.25">
      <c r="A3236" s="20">
        <f t="shared" ca="1" si="100"/>
        <v>0.39453857793037606</v>
      </c>
      <c r="B3236" s="21">
        <f t="shared" ca="1" si="101"/>
        <v>1852</v>
      </c>
    </row>
    <row r="3237" spans="1:2" x14ac:dyDescent="0.25">
      <c r="A3237" s="20">
        <f t="shared" ca="1" si="100"/>
        <v>0.55411011012951272</v>
      </c>
      <c r="B3237" s="21">
        <f t="shared" ca="1" si="101"/>
        <v>2591</v>
      </c>
    </row>
    <row r="3238" spans="1:2" x14ac:dyDescent="0.25">
      <c r="A3238" s="20">
        <f t="shared" ca="1" si="100"/>
        <v>0.22240056601729608</v>
      </c>
      <c r="B3238" s="21">
        <f t="shared" ca="1" si="101"/>
        <v>1042</v>
      </c>
    </row>
    <row r="3239" spans="1:2" x14ac:dyDescent="0.25">
      <c r="A3239" s="20">
        <f t="shared" ca="1" si="100"/>
        <v>0.98378142475948449</v>
      </c>
      <c r="B3239" s="21">
        <f t="shared" ca="1" si="101"/>
        <v>4554</v>
      </c>
    </row>
    <row r="3240" spans="1:2" x14ac:dyDescent="0.25">
      <c r="A3240" s="20">
        <f t="shared" ca="1" si="100"/>
        <v>0.33243177269670354</v>
      </c>
      <c r="B3240" s="21">
        <f t="shared" ca="1" si="101"/>
        <v>1557</v>
      </c>
    </row>
    <row r="3241" spans="1:2" x14ac:dyDescent="0.25">
      <c r="A3241" s="20">
        <f t="shared" ca="1" si="100"/>
        <v>0.76378268037689034</v>
      </c>
      <c r="B3241" s="21">
        <f t="shared" ca="1" si="101"/>
        <v>3541</v>
      </c>
    </row>
    <row r="3242" spans="1:2" x14ac:dyDescent="0.25">
      <c r="A3242" s="20">
        <f t="shared" ca="1" si="100"/>
        <v>0.45578823372217547</v>
      </c>
      <c r="B3242" s="21">
        <f t="shared" ca="1" si="101"/>
        <v>2140</v>
      </c>
    </row>
    <row r="3243" spans="1:2" x14ac:dyDescent="0.25">
      <c r="A3243" s="20">
        <f t="shared" ca="1" si="100"/>
        <v>0.27206694817293342</v>
      </c>
      <c r="B3243" s="21">
        <f t="shared" ca="1" si="101"/>
        <v>1267</v>
      </c>
    </row>
    <row r="3244" spans="1:2" x14ac:dyDescent="0.25">
      <c r="A3244" s="20">
        <f t="shared" ca="1" si="100"/>
        <v>0.8970221741156027</v>
      </c>
      <c r="B3244" s="21">
        <f t="shared" ca="1" si="101"/>
        <v>4136</v>
      </c>
    </row>
    <row r="3245" spans="1:2" x14ac:dyDescent="0.25">
      <c r="A3245" s="20">
        <f t="shared" ca="1" si="100"/>
        <v>0.91121274987390766</v>
      </c>
      <c r="B3245" s="21">
        <f t="shared" ca="1" si="101"/>
        <v>4204</v>
      </c>
    </row>
    <row r="3246" spans="1:2" x14ac:dyDescent="0.25">
      <c r="A3246" s="20">
        <f t="shared" ca="1" si="100"/>
        <v>4.5653469350371956E-2</v>
      </c>
      <c r="B3246" s="21">
        <f t="shared" ca="1" si="101"/>
        <v>184</v>
      </c>
    </row>
    <row r="3247" spans="1:2" x14ac:dyDescent="0.25">
      <c r="A3247" s="20">
        <f t="shared" ca="1" si="100"/>
        <v>0.76788342274828603</v>
      </c>
      <c r="B3247" s="21">
        <f t="shared" ca="1" si="101"/>
        <v>3559</v>
      </c>
    </row>
    <row r="3248" spans="1:2" x14ac:dyDescent="0.25">
      <c r="A3248" s="20">
        <f t="shared" ca="1" si="100"/>
        <v>0.53614827142845534</v>
      </c>
      <c r="B3248" s="21">
        <f t="shared" ca="1" si="101"/>
        <v>2501</v>
      </c>
    </row>
    <row r="3249" spans="1:2" x14ac:dyDescent="0.25">
      <c r="A3249" s="20">
        <f t="shared" ca="1" si="100"/>
        <v>0.58112957308485791</v>
      </c>
      <c r="B3249" s="21">
        <f t="shared" ca="1" si="101"/>
        <v>2716</v>
      </c>
    </row>
    <row r="3250" spans="1:2" x14ac:dyDescent="0.25">
      <c r="A3250" s="20">
        <f t="shared" ca="1" si="100"/>
        <v>0.77692937038404619</v>
      </c>
      <c r="B3250" s="21">
        <f t="shared" ca="1" si="101"/>
        <v>3606</v>
      </c>
    </row>
    <row r="3251" spans="1:2" x14ac:dyDescent="0.25">
      <c r="A3251" s="20">
        <f t="shared" ca="1" si="100"/>
        <v>0.82823689416595225</v>
      </c>
      <c r="B3251" s="21">
        <f t="shared" ca="1" si="101"/>
        <v>3837</v>
      </c>
    </row>
    <row r="3252" spans="1:2" x14ac:dyDescent="0.25">
      <c r="A3252" s="20">
        <f t="shared" ca="1" si="100"/>
        <v>3.0145931862738173E-2</v>
      </c>
      <c r="B3252" s="21">
        <f t="shared" ca="1" si="101"/>
        <v>112</v>
      </c>
    </row>
    <row r="3253" spans="1:2" x14ac:dyDescent="0.25">
      <c r="A3253" s="20">
        <f t="shared" ca="1" si="100"/>
        <v>0.67523668854019159</v>
      </c>
      <c r="B3253" s="21">
        <f t="shared" ca="1" si="101"/>
        <v>3125</v>
      </c>
    </row>
    <row r="3254" spans="1:2" x14ac:dyDescent="0.25">
      <c r="A3254" s="20">
        <f t="shared" ca="1" si="100"/>
        <v>0.19054918663214682</v>
      </c>
      <c r="B3254" s="21">
        <f t="shared" ca="1" si="101"/>
        <v>875</v>
      </c>
    </row>
    <row r="3255" spans="1:2" x14ac:dyDescent="0.25">
      <c r="A3255" s="20">
        <f t="shared" ca="1" si="100"/>
        <v>0.94843368349591883</v>
      </c>
      <c r="B3255" s="21">
        <f t="shared" ca="1" si="101"/>
        <v>4396</v>
      </c>
    </row>
    <row r="3256" spans="1:2" x14ac:dyDescent="0.25">
      <c r="A3256" s="20">
        <f t="shared" ca="1" si="100"/>
        <v>0.8972325441209098</v>
      </c>
      <c r="B3256" s="21">
        <f t="shared" ca="1" si="101"/>
        <v>4137</v>
      </c>
    </row>
    <row r="3257" spans="1:2" x14ac:dyDescent="0.25">
      <c r="A3257" s="20">
        <f t="shared" ca="1" si="100"/>
        <v>0.58257536619319872</v>
      </c>
      <c r="B3257" s="21">
        <f t="shared" ca="1" si="101"/>
        <v>2725</v>
      </c>
    </row>
    <row r="3258" spans="1:2" x14ac:dyDescent="0.25">
      <c r="A3258" s="20">
        <f t="shared" ca="1" si="100"/>
        <v>0.86790539087926655</v>
      </c>
      <c r="B3258" s="21">
        <f t="shared" ca="1" si="101"/>
        <v>4005</v>
      </c>
    </row>
    <row r="3259" spans="1:2" x14ac:dyDescent="0.25">
      <c r="A3259" s="20">
        <f t="shared" ca="1" si="100"/>
        <v>0.21169470121387812</v>
      </c>
      <c r="B3259" s="21">
        <f t="shared" ca="1" si="101"/>
        <v>989</v>
      </c>
    </row>
    <row r="3260" spans="1:2" x14ac:dyDescent="0.25">
      <c r="A3260" s="20">
        <f t="shared" ca="1" si="100"/>
        <v>0.20918469662420569</v>
      </c>
      <c r="B3260" s="21">
        <f t="shared" ca="1" si="101"/>
        <v>973</v>
      </c>
    </row>
    <row r="3261" spans="1:2" x14ac:dyDescent="0.25">
      <c r="A3261" s="20">
        <f t="shared" ca="1" si="100"/>
        <v>2.4662142801476383E-2</v>
      </c>
      <c r="B3261" s="21">
        <f t="shared" ca="1" si="101"/>
        <v>97</v>
      </c>
    </row>
    <row r="3262" spans="1:2" x14ac:dyDescent="0.25">
      <c r="A3262" s="20">
        <f t="shared" ca="1" si="100"/>
        <v>0.88298548297554103</v>
      </c>
      <c r="B3262" s="21">
        <f t="shared" ca="1" si="101"/>
        <v>4067</v>
      </c>
    </row>
    <row r="3263" spans="1:2" x14ac:dyDescent="0.25">
      <c r="A3263" s="20">
        <f t="shared" ca="1" si="100"/>
        <v>0.20518841555621758</v>
      </c>
      <c r="B3263" s="21">
        <f t="shared" ca="1" si="101"/>
        <v>953</v>
      </c>
    </row>
    <row r="3264" spans="1:2" x14ac:dyDescent="0.25">
      <c r="A3264" s="20">
        <f t="shared" ca="1" si="100"/>
        <v>0.82819432452112929</v>
      </c>
      <c r="B3264" s="21">
        <f t="shared" ca="1" si="101"/>
        <v>3835</v>
      </c>
    </row>
    <row r="3265" spans="1:2" x14ac:dyDescent="0.25">
      <c r="A3265" s="20">
        <f t="shared" ca="1" si="100"/>
        <v>0.10073385603397667</v>
      </c>
      <c r="B3265" s="21">
        <f t="shared" ca="1" si="101"/>
        <v>456</v>
      </c>
    </row>
    <row r="3266" spans="1:2" x14ac:dyDescent="0.25">
      <c r="A3266" s="20">
        <f t="shared" ca="1" si="100"/>
        <v>0.48561274817681566</v>
      </c>
      <c r="B3266" s="21">
        <f t="shared" ca="1" si="101"/>
        <v>2263</v>
      </c>
    </row>
    <row r="3267" spans="1:2" x14ac:dyDescent="0.25">
      <c r="A3267" s="20">
        <f t="shared" ref="A3267:A3330" ca="1" si="102">RAND()</f>
        <v>9.0018636495929893E-2</v>
      </c>
      <c r="B3267" s="21">
        <f t="shared" ref="B3267:B3330" ca="1" si="103">_xlfn.RANK.EQ($A3267,$A:$A,1)</f>
        <v>405</v>
      </c>
    </row>
    <row r="3268" spans="1:2" x14ac:dyDescent="0.25">
      <c r="A3268" s="20">
        <f t="shared" ca="1" si="102"/>
        <v>0.45537246876897919</v>
      </c>
      <c r="B3268" s="21">
        <f t="shared" ca="1" si="103"/>
        <v>2134</v>
      </c>
    </row>
    <row r="3269" spans="1:2" x14ac:dyDescent="0.25">
      <c r="A3269" s="20">
        <f t="shared" ca="1" si="102"/>
        <v>0.52064064096160756</v>
      </c>
      <c r="B3269" s="21">
        <f t="shared" ca="1" si="103"/>
        <v>2432</v>
      </c>
    </row>
    <row r="3270" spans="1:2" x14ac:dyDescent="0.25">
      <c r="A3270" s="20">
        <f t="shared" ca="1" si="102"/>
        <v>0.68374274960557191</v>
      </c>
      <c r="B3270" s="21">
        <f t="shared" ca="1" si="103"/>
        <v>3174</v>
      </c>
    </row>
    <row r="3271" spans="1:2" x14ac:dyDescent="0.25">
      <c r="A3271" s="20">
        <f t="shared" ca="1" si="102"/>
        <v>0.99197208555073213</v>
      </c>
      <c r="B3271" s="21">
        <f t="shared" ca="1" si="103"/>
        <v>4591</v>
      </c>
    </row>
    <row r="3272" spans="1:2" x14ac:dyDescent="0.25">
      <c r="A3272" s="20">
        <f t="shared" ca="1" si="102"/>
        <v>0.86833951916580077</v>
      </c>
      <c r="B3272" s="21">
        <f t="shared" ca="1" si="103"/>
        <v>4009</v>
      </c>
    </row>
    <row r="3273" spans="1:2" x14ac:dyDescent="0.25">
      <c r="A3273" s="20">
        <f t="shared" ca="1" si="102"/>
        <v>0.69183229786517675</v>
      </c>
      <c r="B3273" s="21">
        <f t="shared" ca="1" si="103"/>
        <v>3209</v>
      </c>
    </row>
    <row r="3274" spans="1:2" x14ac:dyDescent="0.25">
      <c r="A3274" s="20">
        <f t="shared" ca="1" si="102"/>
        <v>0.3422813360580933</v>
      </c>
      <c r="B3274" s="21">
        <f t="shared" ca="1" si="103"/>
        <v>1608</v>
      </c>
    </row>
    <row r="3275" spans="1:2" x14ac:dyDescent="0.25">
      <c r="A3275" s="20">
        <f t="shared" ca="1" si="102"/>
        <v>0.9294593965186333</v>
      </c>
      <c r="B3275" s="21">
        <f t="shared" ca="1" si="103"/>
        <v>4290</v>
      </c>
    </row>
    <row r="3276" spans="1:2" x14ac:dyDescent="0.25">
      <c r="A3276" s="20">
        <f t="shared" ca="1" si="102"/>
        <v>0.54297031413913877</v>
      </c>
      <c r="B3276" s="21">
        <f t="shared" ca="1" si="103"/>
        <v>2535</v>
      </c>
    </row>
    <row r="3277" spans="1:2" x14ac:dyDescent="0.25">
      <c r="A3277" s="20">
        <f t="shared" ca="1" si="102"/>
        <v>0.16308224408083283</v>
      </c>
      <c r="B3277" s="21">
        <f t="shared" ca="1" si="103"/>
        <v>731</v>
      </c>
    </row>
    <row r="3278" spans="1:2" x14ac:dyDescent="0.25">
      <c r="A3278" s="20">
        <f t="shared" ca="1" si="102"/>
        <v>0.19923002610480101</v>
      </c>
      <c r="B3278" s="21">
        <f t="shared" ca="1" si="103"/>
        <v>923</v>
      </c>
    </row>
    <row r="3279" spans="1:2" x14ac:dyDescent="0.25">
      <c r="A3279" s="20">
        <f t="shared" ca="1" si="102"/>
        <v>0.76645073899591176</v>
      </c>
      <c r="B3279" s="21">
        <f t="shared" ca="1" si="103"/>
        <v>3551</v>
      </c>
    </row>
    <row r="3280" spans="1:2" x14ac:dyDescent="0.25">
      <c r="A3280" s="20">
        <f t="shared" ca="1" si="102"/>
        <v>0.22323670584251321</v>
      </c>
      <c r="B3280" s="21">
        <f t="shared" ca="1" si="103"/>
        <v>1046</v>
      </c>
    </row>
    <row r="3281" spans="1:2" x14ac:dyDescent="0.25">
      <c r="A3281" s="20">
        <f t="shared" ca="1" si="102"/>
        <v>0.82403832563277168</v>
      </c>
      <c r="B3281" s="21">
        <f t="shared" ca="1" si="103"/>
        <v>3814</v>
      </c>
    </row>
    <row r="3282" spans="1:2" x14ac:dyDescent="0.25">
      <c r="A3282" s="20">
        <f t="shared" ca="1" si="102"/>
        <v>0.397073185722424</v>
      </c>
      <c r="B3282" s="21">
        <f t="shared" ca="1" si="103"/>
        <v>1866</v>
      </c>
    </row>
    <row r="3283" spans="1:2" x14ac:dyDescent="0.25">
      <c r="A3283" s="20">
        <f t="shared" ca="1" si="102"/>
        <v>0.61650208064709922</v>
      </c>
      <c r="B3283" s="21">
        <f t="shared" ca="1" si="103"/>
        <v>2864</v>
      </c>
    </row>
    <row r="3284" spans="1:2" x14ac:dyDescent="0.25">
      <c r="A3284" s="20">
        <f t="shared" ca="1" si="102"/>
        <v>0.17858931905665454</v>
      </c>
      <c r="B3284" s="21">
        <f t="shared" ca="1" si="103"/>
        <v>816</v>
      </c>
    </row>
    <row r="3285" spans="1:2" x14ac:dyDescent="0.25">
      <c r="A3285" s="20">
        <f t="shared" ca="1" si="102"/>
        <v>0.9734699821581495</v>
      </c>
      <c r="B3285" s="21">
        <f t="shared" ca="1" si="103"/>
        <v>4513</v>
      </c>
    </row>
    <row r="3286" spans="1:2" x14ac:dyDescent="0.25">
      <c r="A3286" s="20">
        <f t="shared" ca="1" si="102"/>
        <v>0.96169271088146568</v>
      </c>
      <c r="B3286" s="21">
        <f t="shared" ca="1" si="103"/>
        <v>4450</v>
      </c>
    </row>
    <row r="3287" spans="1:2" x14ac:dyDescent="0.25">
      <c r="A3287" s="20">
        <f t="shared" ca="1" si="102"/>
        <v>6.0813098519675313E-3</v>
      </c>
      <c r="B3287" s="21">
        <f t="shared" ca="1" si="103"/>
        <v>26</v>
      </c>
    </row>
    <row r="3288" spans="1:2" x14ac:dyDescent="0.25">
      <c r="A3288" s="20">
        <f t="shared" ca="1" si="102"/>
        <v>0.96435532787783629</v>
      </c>
      <c r="B3288" s="21">
        <f t="shared" ca="1" si="103"/>
        <v>4469</v>
      </c>
    </row>
    <row r="3289" spans="1:2" x14ac:dyDescent="0.25">
      <c r="A3289" s="20">
        <f t="shared" ca="1" si="102"/>
        <v>9.2783698598772335E-2</v>
      </c>
      <c r="B3289" s="21">
        <f t="shared" ca="1" si="103"/>
        <v>418</v>
      </c>
    </row>
    <row r="3290" spans="1:2" x14ac:dyDescent="0.25">
      <c r="A3290" s="20">
        <f t="shared" ca="1" si="102"/>
        <v>0.26673401255169227</v>
      </c>
      <c r="B3290" s="21">
        <f t="shared" ca="1" si="103"/>
        <v>1249</v>
      </c>
    </row>
    <row r="3291" spans="1:2" x14ac:dyDescent="0.25">
      <c r="A3291" s="20">
        <f t="shared" ca="1" si="102"/>
        <v>0.9333211194055917</v>
      </c>
      <c r="B3291" s="21">
        <f t="shared" ca="1" si="103"/>
        <v>4316</v>
      </c>
    </row>
    <row r="3292" spans="1:2" x14ac:dyDescent="0.25">
      <c r="A3292" s="20">
        <f t="shared" ca="1" si="102"/>
        <v>0.7400329655626201</v>
      </c>
      <c r="B3292" s="21">
        <f t="shared" ca="1" si="103"/>
        <v>3424</v>
      </c>
    </row>
    <row r="3293" spans="1:2" x14ac:dyDescent="0.25">
      <c r="A3293" s="20">
        <f t="shared" ca="1" si="102"/>
        <v>0.24062112229420007</v>
      </c>
      <c r="B3293" s="21">
        <f t="shared" ca="1" si="103"/>
        <v>1127</v>
      </c>
    </row>
    <row r="3294" spans="1:2" x14ac:dyDescent="0.25">
      <c r="A3294" s="20">
        <f t="shared" ca="1" si="102"/>
        <v>0.4723678220305445</v>
      </c>
      <c r="B3294" s="21">
        <f t="shared" ca="1" si="103"/>
        <v>2207</v>
      </c>
    </row>
    <row r="3295" spans="1:2" x14ac:dyDescent="0.25">
      <c r="A3295" s="20">
        <f t="shared" ca="1" si="102"/>
        <v>0.69657316988925611</v>
      </c>
      <c r="B3295" s="21">
        <f t="shared" ca="1" si="103"/>
        <v>3225</v>
      </c>
    </row>
    <row r="3296" spans="1:2" x14ac:dyDescent="0.25">
      <c r="A3296" s="20">
        <f t="shared" ca="1" si="102"/>
        <v>3.2247847966242915E-2</v>
      </c>
      <c r="B3296" s="21">
        <f t="shared" ca="1" si="103"/>
        <v>125</v>
      </c>
    </row>
    <row r="3297" spans="1:2" x14ac:dyDescent="0.25">
      <c r="A3297" s="20">
        <f t="shared" ca="1" si="102"/>
        <v>0.3381930344561902</v>
      </c>
      <c r="B3297" s="21">
        <f t="shared" ca="1" si="103"/>
        <v>1590</v>
      </c>
    </row>
    <row r="3298" spans="1:2" x14ac:dyDescent="0.25">
      <c r="A3298" s="20">
        <f t="shared" ca="1" si="102"/>
        <v>0.36507829809637382</v>
      </c>
      <c r="B3298" s="21">
        <f t="shared" ca="1" si="103"/>
        <v>1728</v>
      </c>
    </row>
    <row r="3299" spans="1:2" x14ac:dyDescent="0.25">
      <c r="A3299" s="20">
        <f t="shared" ca="1" si="102"/>
        <v>0.78630888615523331</v>
      </c>
      <c r="B3299" s="21">
        <f t="shared" ca="1" si="103"/>
        <v>3641</v>
      </c>
    </row>
    <row r="3300" spans="1:2" x14ac:dyDescent="0.25">
      <c r="A3300" s="20">
        <f t="shared" ca="1" si="102"/>
        <v>0.40365711890367983</v>
      </c>
      <c r="B3300" s="21">
        <f t="shared" ca="1" si="103"/>
        <v>1893</v>
      </c>
    </row>
    <row r="3301" spans="1:2" x14ac:dyDescent="0.25">
      <c r="A3301" s="20">
        <f t="shared" ca="1" si="102"/>
        <v>0.26458895443875374</v>
      </c>
      <c r="B3301" s="21">
        <f t="shared" ca="1" si="103"/>
        <v>1234</v>
      </c>
    </row>
    <row r="3302" spans="1:2" x14ac:dyDescent="0.25">
      <c r="A3302" s="20">
        <f t="shared" ca="1" si="102"/>
        <v>0.93356976130412095</v>
      </c>
      <c r="B3302" s="21">
        <f t="shared" ca="1" si="103"/>
        <v>4320</v>
      </c>
    </row>
    <row r="3303" spans="1:2" x14ac:dyDescent="0.25">
      <c r="A3303" s="20">
        <f t="shared" ca="1" si="102"/>
        <v>0.12073618259632135</v>
      </c>
      <c r="B3303" s="21">
        <f t="shared" ca="1" si="103"/>
        <v>530</v>
      </c>
    </row>
    <row r="3304" spans="1:2" x14ac:dyDescent="0.25">
      <c r="A3304" s="20">
        <f t="shared" ca="1" si="102"/>
        <v>0.36845441025006842</v>
      </c>
      <c r="B3304" s="21">
        <f t="shared" ca="1" si="103"/>
        <v>1752</v>
      </c>
    </row>
    <row r="3305" spans="1:2" x14ac:dyDescent="0.25">
      <c r="A3305" s="20">
        <f t="shared" ca="1" si="102"/>
        <v>0.16169839741233694</v>
      </c>
      <c r="B3305" s="21">
        <f t="shared" ca="1" si="103"/>
        <v>723</v>
      </c>
    </row>
    <row r="3306" spans="1:2" x14ac:dyDescent="0.25">
      <c r="A3306" s="20">
        <f t="shared" ca="1" si="102"/>
        <v>0.92949745962690822</v>
      </c>
      <c r="B3306" s="21">
        <f t="shared" ca="1" si="103"/>
        <v>4291</v>
      </c>
    </row>
    <row r="3307" spans="1:2" x14ac:dyDescent="0.25">
      <c r="A3307" s="20">
        <f t="shared" ca="1" si="102"/>
        <v>0.91828121978702304</v>
      </c>
      <c r="B3307" s="21">
        <f t="shared" ca="1" si="103"/>
        <v>4237</v>
      </c>
    </row>
    <row r="3308" spans="1:2" x14ac:dyDescent="0.25">
      <c r="A3308" s="20">
        <f t="shared" ca="1" si="102"/>
        <v>0.46918826842652528</v>
      </c>
      <c r="B3308" s="21">
        <f t="shared" ca="1" si="103"/>
        <v>2190</v>
      </c>
    </row>
    <row r="3309" spans="1:2" x14ac:dyDescent="0.25">
      <c r="A3309" s="20">
        <f t="shared" ca="1" si="102"/>
        <v>0.71379170658541424</v>
      </c>
      <c r="B3309" s="21">
        <f t="shared" ca="1" si="103"/>
        <v>3300</v>
      </c>
    </row>
    <row r="3310" spans="1:2" x14ac:dyDescent="0.25">
      <c r="A3310" s="20">
        <f t="shared" ca="1" si="102"/>
        <v>0.23655809682664997</v>
      </c>
      <c r="B3310" s="21">
        <f t="shared" ca="1" si="103"/>
        <v>1109</v>
      </c>
    </row>
    <row r="3311" spans="1:2" x14ac:dyDescent="0.25">
      <c r="A3311" s="20">
        <f t="shared" ca="1" si="102"/>
        <v>0.800362992288569</v>
      </c>
      <c r="B3311" s="21">
        <f t="shared" ca="1" si="103"/>
        <v>3708</v>
      </c>
    </row>
    <row r="3312" spans="1:2" x14ac:dyDescent="0.25">
      <c r="A3312" s="20">
        <f t="shared" ca="1" si="102"/>
        <v>0.55980570849056166</v>
      </c>
      <c r="B3312" s="21">
        <f t="shared" ca="1" si="103"/>
        <v>2617</v>
      </c>
    </row>
    <row r="3313" spans="1:2" x14ac:dyDescent="0.25">
      <c r="A3313" s="20">
        <f t="shared" ca="1" si="102"/>
        <v>0.97489484146507799</v>
      </c>
      <c r="B3313" s="21">
        <f t="shared" ca="1" si="103"/>
        <v>4518</v>
      </c>
    </row>
    <row r="3314" spans="1:2" x14ac:dyDescent="0.25">
      <c r="A3314" s="20">
        <f t="shared" ca="1" si="102"/>
        <v>0.44077534992865441</v>
      </c>
      <c r="B3314" s="21">
        <f t="shared" ca="1" si="103"/>
        <v>2063</v>
      </c>
    </row>
    <row r="3315" spans="1:2" x14ac:dyDescent="0.25">
      <c r="A3315" s="20">
        <f t="shared" ca="1" si="102"/>
        <v>0.96591134429879033</v>
      </c>
      <c r="B3315" s="21">
        <f t="shared" ca="1" si="103"/>
        <v>4481</v>
      </c>
    </row>
    <row r="3316" spans="1:2" x14ac:dyDescent="0.25">
      <c r="A3316" s="20">
        <f t="shared" ca="1" si="102"/>
        <v>0.66796650027621352</v>
      </c>
      <c r="B3316" s="21">
        <f t="shared" ca="1" si="103"/>
        <v>3102</v>
      </c>
    </row>
    <row r="3317" spans="1:2" x14ac:dyDescent="0.25">
      <c r="A3317" s="20">
        <f t="shared" ca="1" si="102"/>
        <v>0.40432708756401492</v>
      </c>
      <c r="B3317" s="21">
        <f t="shared" ca="1" si="103"/>
        <v>1898</v>
      </c>
    </row>
    <row r="3318" spans="1:2" x14ac:dyDescent="0.25">
      <c r="A3318" s="20">
        <f t="shared" ca="1" si="102"/>
        <v>0.6478826517578542</v>
      </c>
      <c r="B3318" s="21">
        <f t="shared" ca="1" si="103"/>
        <v>3010</v>
      </c>
    </row>
    <row r="3319" spans="1:2" x14ac:dyDescent="0.25">
      <c r="A3319" s="20">
        <f t="shared" ca="1" si="102"/>
        <v>0.76753926640969317</v>
      </c>
      <c r="B3319" s="21">
        <f t="shared" ca="1" si="103"/>
        <v>3555</v>
      </c>
    </row>
    <row r="3320" spans="1:2" x14ac:dyDescent="0.25">
      <c r="A3320" s="20">
        <f t="shared" ca="1" si="102"/>
        <v>0.89021180460338578</v>
      </c>
      <c r="B3320" s="21">
        <f t="shared" ca="1" si="103"/>
        <v>4104</v>
      </c>
    </row>
    <row r="3321" spans="1:2" x14ac:dyDescent="0.25">
      <c r="A3321" s="20">
        <f t="shared" ca="1" si="102"/>
        <v>0.87854918566936246</v>
      </c>
      <c r="B3321" s="21">
        <f t="shared" ca="1" si="103"/>
        <v>4045</v>
      </c>
    </row>
    <row r="3322" spans="1:2" x14ac:dyDescent="0.25">
      <c r="A3322" s="20">
        <f t="shared" ca="1" si="102"/>
        <v>0.82149780498178693</v>
      </c>
      <c r="B3322" s="21">
        <f t="shared" ca="1" si="103"/>
        <v>3804</v>
      </c>
    </row>
    <row r="3323" spans="1:2" x14ac:dyDescent="0.25">
      <c r="A3323" s="20">
        <f t="shared" ca="1" si="102"/>
        <v>0.34176884344293368</v>
      </c>
      <c r="B3323" s="21">
        <f t="shared" ca="1" si="103"/>
        <v>1606</v>
      </c>
    </row>
    <row r="3324" spans="1:2" x14ac:dyDescent="0.25">
      <c r="A3324" s="20">
        <f t="shared" ca="1" si="102"/>
        <v>0.27089476373668064</v>
      </c>
      <c r="B3324" s="21">
        <f t="shared" ca="1" si="103"/>
        <v>1265</v>
      </c>
    </row>
    <row r="3325" spans="1:2" x14ac:dyDescent="0.25">
      <c r="A3325" s="20">
        <f t="shared" ca="1" si="102"/>
        <v>0.69832279380098083</v>
      </c>
      <c r="B3325" s="21">
        <f t="shared" ca="1" si="103"/>
        <v>3234</v>
      </c>
    </row>
    <row r="3326" spans="1:2" x14ac:dyDescent="0.25">
      <c r="A3326" s="20">
        <f t="shared" ca="1" si="102"/>
        <v>0.14362253027287275</v>
      </c>
      <c r="B3326" s="21">
        <f t="shared" ca="1" si="103"/>
        <v>632</v>
      </c>
    </row>
    <row r="3327" spans="1:2" x14ac:dyDescent="0.25">
      <c r="A3327" s="20">
        <f t="shared" ca="1" si="102"/>
        <v>5.7218182602631118E-2</v>
      </c>
      <c r="B3327" s="21">
        <f t="shared" ca="1" si="103"/>
        <v>245</v>
      </c>
    </row>
    <row r="3328" spans="1:2" x14ac:dyDescent="0.25">
      <c r="A3328" s="20">
        <f t="shared" ca="1" si="102"/>
        <v>0.71914799025332854</v>
      </c>
      <c r="B3328" s="21">
        <f t="shared" ca="1" si="103"/>
        <v>3329</v>
      </c>
    </row>
    <row r="3329" spans="1:2" x14ac:dyDescent="0.25">
      <c r="A3329" s="20">
        <f t="shared" ca="1" si="102"/>
        <v>0.85711312739313383</v>
      </c>
      <c r="B3329" s="21">
        <f t="shared" ca="1" si="103"/>
        <v>3959</v>
      </c>
    </row>
    <row r="3330" spans="1:2" x14ac:dyDescent="0.25">
      <c r="A3330" s="20">
        <f t="shared" ca="1" si="102"/>
        <v>0.7127800836628706</v>
      </c>
      <c r="B3330" s="21">
        <f t="shared" ca="1" si="103"/>
        <v>3297</v>
      </c>
    </row>
    <row r="3331" spans="1:2" x14ac:dyDescent="0.25">
      <c r="A3331" s="20">
        <f t="shared" ref="A3331:A3394" ca="1" si="104">RAND()</f>
        <v>0.59154585605527854</v>
      </c>
      <c r="B3331" s="21">
        <f t="shared" ref="B3331:B3394" ca="1" si="105">_xlfn.RANK.EQ($A3331,$A:$A,1)</f>
        <v>2759</v>
      </c>
    </row>
    <row r="3332" spans="1:2" x14ac:dyDescent="0.25">
      <c r="A3332" s="20">
        <f t="shared" ca="1" si="104"/>
        <v>0.22583032372729728</v>
      </c>
      <c r="B3332" s="21">
        <f t="shared" ca="1" si="105"/>
        <v>1062</v>
      </c>
    </row>
    <row r="3333" spans="1:2" x14ac:dyDescent="0.25">
      <c r="A3333" s="20">
        <f t="shared" ca="1" si="104"/>
        <v>1.2793397542220863E-2</v>
      </c>
      <c r="B3333" s="21">
        <f t="shared" ca="1" si="105"/>
        <v>44</v>
      </c>
    </row>
    <row r="3334" spans="1:2" x14ac:dyDescent="0.25">
      <c r="A3334" s="20">
        <f t="shared" ca="1" si="104"/>
        <v>0.76822988821215887</v>
      </c>
      <c r="B3334" s="21">
        <f t="shared" ca="1" si="105"/>
        <v>3561</v>
      </c>
    </row>
    <row r="3335" spans="1:2" x14ac:dyDescent="0.25">
      <c r="A3335" s="20">
        <f t="shared" ca="1" si="104"/>
        <v>0.48102078518501412</v>
      </c>
      <c r="B3335" s="21">
        <f t="shared" ca="1" si="105"/>
        <v>2248</v>
      </c>
    </row>
    <row r="3336" spans="1:2" x14ac:dyDescent="0.25">
      <c r="A3336" s="20">
        <f t="shared" ca="1" si="104"/>
        <v>0.25815705066374139</v>
      </c>
      <c r="B3336" s="21">
        <f t="shared" ca="1" si="105"/>
        <v>1204</v>
      </c>
    </row>
    <row r="3337" spans="1:2" x14ac:dyDescent="0.25">
      <c r="A3337" s="20">
        <f t="shared" ca="1" si="104"/>
        <v>0.82144208449625866</v>
      </c>
      <c r="B3337" s="21">
        <f t="shared" ca="1" si="105"/>
        <v>3803</v>
      </c>
    </row>
    <row r="3338" spans="1:2" x14ac:dyDescent="0.25">
      <c r="A3338" s="20">
        <f t="shared" ca="1" si="104"/>
        <v>0.5157055541179949</v>
      </c>
      <c r="B3338" s="21">
        <f t="shared" ca="1" si="105"/>
        <v>2408</v>
      </c>
    </row>
    <row r="3339" spans="1:2" x14ac:dyDescent="0.25">
      <c r="A3339" s="20">
        <f t="shared" ca="1" si="104"/>
        <v>0.49222974392955654</v>
      </c>
      <c r="B3339" s="21">
        <f t="shared" ca="1" si="105"/>
        <v>2288</v>
      </c>
    </row>
    <row r="3340" spans="1:2" x14ac:dyDescent="0.25">
      <c r="A3340" s="20">
        <f t="shared" ca="1" si="104"/>
        <v>0.68081102201222787</v>
      </c>
      <c r="B3340" s="21">
        <f t="shared" ca="1" si="105"/>
        <v>3157</v>
      </c>
    </row>
    <row r="3341" spans="1:2" x14ac:dyDescent="0.25">
      <c r="A3341" s="20">
        <f t="shared" ca="1" si="104"/>
        <v>0.7464222714493558</v>
      </c>
      <c r="B3341" s="21">
        <f t="shared" ca="1" si="105"/>
        <v>3450</v>
      </c>
    </row>
    <row r="3342" spans="1:2" x14ac:dyDescent="0.25">
      <c r="A3342" s="20">
        <f t="shared" ca="1" si="104"/>
        <v>0.82784044738293638</v>
      </c>
      <c r="B3342" s="21">
        <f t="shared" ca="1" si="105"/>
        <v>3833</v>
      </c>
    </row>
    <row r="3343" spans="1:2" x14ac:dyDescent="0.25">
      <c r="A3343" s="20">
        <f t="shared" ca="1" si="104"/>
        <v>0.77095104461838071</v>
      </c>
      <c r="B3343" s="21">
        <f t="shared" ca="1" si="105"/>
        <v>3575</v>
      </c>
    </row>
    <row r="3344" spans="1:2" x14ac:dyDescent="0.25">
      <c r="A3344" s="20">
        <f t="shared" ca="1" si="104"/>
        <v>4.621616996011757E-2</v>
      </c>
      <c r="B3344" s="21">
        <f t="shared" ca="1" si="105"/>
        <v>188</v>
      </c>
    </row>
    <row r="3345" spans="1:2" x14ac:dyDescent="0.25">
      <c r="A3345" s="20">
        <f t="shared" ca="1" si="104"/>
        <v>0.29130982707506614</v>
      </c>
      <c r="B3345" s="21">
        <f t="shared" ca="1" si="105"/>
        <v>1373</v>
      </c>
    </row>
    <row r="3346" spans="1:2" x14ac:dyDescent="0.25">
      <c r="A3346" s="20">
        <f t="shared" ca="1" si="104"/>
        <v>0.19638052078277846</v>
      </c>
      <c r="B3346" s="21">
        <f t="shared" ca="1" si="105"/>
        <v>912</v>
      </c>
    </row>
    <row r="3347" spans="1:2" x14ac:dyDescent="0.25">
      <c r="A3347" s="20">
        <f t="shared" ca="1" si="104"/>
        <v>0.73031720677335021</v>
      </c>
      <c r="B3347" s="21">
        <f t="shared" ca="1" si="105"/>
        <v>3388</v>
      </c>
    </row>
    <row r="3348" spans="1:2" x14ac:dyDescent="0.25">
      <c r="A3348" s="20">
        <f t="shared" ca="1" si="104"/>
        <v>0.68727805170771161</v>
      </c>
      <c r="B3348" s="21">
        <f t="shared" ca="1" si="105"/>
        <v>3190</v>
      </c>
    </row>
    <row r="3349" spans="1:2" x14ac:dyDescent="0.25">
      <c r="A3349" s="20">
        <f t="shared" ca="1" si="104"/>
        <v>0.43399497044206425</v>
      </c>
      <c r="B3349" s="21">
        <f t="shared" ca="1" si="105"/>
        <v>2036</v>
      </c>
    </row>
    <row r="3350" spans="1:2" x14ac:dyDescent="0.25">
      <c r="A3350" s="20">
        <f t="shared" ca="1" si="104"/>
        <v>0.61268865681393969</v>
      </c>
      <c r="B3350" s="21">
        <f t="shared" ca="1" si="105"/>
        <v>2852</v>
      </c>
    </row>
    <row r="3351" spans="1:2" x14ac:dyDescent="0.25">
      <c r="A3351" s="20">
        <f t="shared" ca="1" si="104"/>
        <v>0.66792929813529944</v>
      </c>
      <c r="B3351" s="21">
        <f t="shared" ca="1" si="105"/>
        <v>3101</v>
      </c>
    </row>
    <row r="3352" spans="1:2" x14ac:dyDescent="0.25">
      <c r="A3352" s="20">
        <f t="shared" ca="1" si="104"/>
        <v>4.2522981809141269E-2</v>
      </c>
      <c r="B3352" s="21">
        <f t="shared" ca="1" si="105"/>
        <v>168</v>
      </c>
    </row>
    <row r="3353" spans="1:2" x14ac:dyDescent="0.25">
      <c r="A3353" s="20">
        <f t="shared" ca="1" si="104"/>
        <v>0.87108074585258244</v>
      </c>
      <c r="B3353" s="21">
        <f t="shared" ca="1" si="105"/>
        <v>4020</v>
      </c>
    </row>
    <row r="3354" spans="1:2" x14ac:dyDescent="0.25">
      <c r="A3354" s="20">
        <f t="shared" ca="1" si="104"/>
        <v>0.93594108669063192</v>
      </c>
      <c r="B3354" s="21">
        <f t="shared" ca="1" si="105"/>
        <v>4326</v>
      </c>
    </row>
    <row r="3355" spans="1:2" x14ac:dyDescent="0.25">
      <c r="A3355" s="20">
        <f t="shared" ca="1" si="104"/>
        <v>0.91194184376867338</v>
      </c>
      <c r="B3355" s="21">
        <f t="shared" ca="1" si="105"/>
        <v>4208</v>
      </c>
    </row>
    <row r="3356" spans="1:2" x14ac:dyDescent="0.25">
      <c r="A3356" s="20">
        <f t="shared" ca="1" si="104"/>
        <v>0.75749824690886314</v>
      </c>
      <c r="B3356" s="21">
        <f t="shared" ca="1" si="105"/>
        <v>3512</v>
      </c>
    </row>
    <row r="3357" spans="1:2" x14ac:dyDescent="0.25">
      <c r="A3357" s="20">
        <f t="shared" ca="1" si="104"/>
        <v>0.74129786159744049</v>
      </c>
      <c r="B3357" s="21">
        <f t="shared" ca="1" si="105"/>
        <v>3429</v>
      </c>
    </row>
    <row r="3358" spans="1:2" x14ac:dyDescent="0.25">
      <c r="A3358" s="20">
        <f t="shared" ca="1" si="104"/>
        <v>0.34203788961876413</v>
      </c>
      <c r="B3358" s="21">
        <f t="shared" ca="1" si="105"/>
        <v>1607</v>
      </c>
    </row>
    <row r="3359" spans="1:2" x14ac:dyDescent="0.25">
      <c r="A3359" s="20">
        <f t="shared" ca="1" si="104"/>
        <v>0.25793041696809837</v>
      </c>
      <c r="B3359" s="21">
        <f t="shared" ca="1" si="105"/>
        <v>1202</v>
      </c>
    </row>
    <row r="3360" spans="1:2" x14ac:dyDescent="0.25">
      <c r="A3360" s="20">
        <f t="shared" ca="1" si="104"/>
        <v>0.88925279582146488</v>
      </c>
      <c r="B3360" s="21">
        <f t="shared" ca="1" si="105"/>
        <v>4097</v>
      </c>
    </row>
    <row r="3361" spans="1:2" x14ac:dyDescent="0.25">
      <c r="A3361" s="20">
        <f t="shared" ca="1" si="104"/>
        <v>0.47818792358742135</v>
      </c>
      <c r="B3361" s="21">
        <f t="shared" ca="1" si="105"/>
        <v>2228</v>
      </c>
    </row>
    <row r="3362" spans="1:2" x14ac:dyDescent="0.25">
      <c r="A3362" s="20">
        <f t="shared" ca="1" si="104"/>
        <v>0.16969309937847865</v>
      </c>
      <c r="B3362" s="21">
        <f t="shared" ca="1" si="105"/>
        <v>766</v>
      </c>
    </row>
    <row r="3363" spans="1:2" x14ac:dyDescent="0.25">
      <c r="A3363" s="20">
        <f t="shared" ca="1" si="104"/>
        <v>0.7293559403660973</v>
      </c>
      <c r="B3363" s="21">
        <f t="shared" ca="1" si="105"/>
        <v>3381</v>
      </c>
    </row>
    <row r="3364" spans="1:2" x14ac:dyDescent="0.25">
      <c r="A3364" s="20">
        <f t="shared" ca="1" si="104"/>
        <v>0.31540815595939198</v>
      </c>
      <c r="B3364" s="21">
        <f t="shared" ca="1" si="105"/>
        <v>1480</v>
      </c>
    </row>
    <row r="3365" spans="1:2" x14ac:dyDescent="0.25">
      <c r="A3365" s="20">
        <f t="shared" ca="1" si="104"/>
        <v>8.0492574487118773E-2</v>
      </c>
      <c r="B3365" s="21">
        <f t="shared" ca="1" si="105"/>
        <v>363</v>
      </c>
    </row>
    <row r="3366" spans="1:2" x14ac:dyDescent="0.25">
      <c r="A3366" s="20">
        <f t="shared" ca="1" si="104"/>
        <v>0.1313952619044525</v>
      </c>
      <c r="B3366" s="21">
        <f t="shared" ca="1" si="105"/>
        <v>581</v>
      </c>
    </row>
    <row r="3367" spans="1:2" x14ac:dyDescent="0.25">
      <c r="A3367" s="20">
        <f t="shared" ca="1" si="104"/>
        <v>3.2036865968999351E-2</v>
      </c>
      <c r="B3367" s="21">
        <f t="shared" ca="1" si="105"/>
        <v>124</v>
      </c>
    </row>
    <row r="3368" spans="1:2" x14ac:dyDescent="0.25">
      <c r="A3368" s="20">
        <f t="shared" ca="1" si="104"/>
        <v>0.58149448542790105</v>
      </c>
      <c r="B3368" s="21">
        <f t="shared" ca="1" si="105"/>
        <v>2717</v>
      </c>
    </row>
    <row r="3369" spans="1:2" x14ac:dyDescent="0.25">
      <c r="A3369" s="20">
        <f t="shared" ca="1" si="104"/>
        <v>0.67836969788181078</v>
      </c>
      <c r="B3369" s="21">
        <f t="shared" ca="1" si="105"/>
        <v>3142</v>
      </c>
    </row>
    <row r="3370" spans="1:2" x14ac:dyDescent="0.25">
      <c r="A3370" s="20">
        <f t="shared" ca="1" si="104"/>
        <v>0.32830703708627995</v>
      </c>
      <c r="B3370" s="21">
        <f t="shared" ca="1" si="105"/>
        <v>1540</v>
      </c>
    </row>
    <row r="3371" spans="1:2" x14ac:dyDescent="0.25">
      <c r="A3371" s="20">
        <f t="shared" ca="1" si="104"/>
        <v>0.40134266000654739</v>
      </c>
      <c r="B3371" s="21">
        <f t="shared" ca="1" si="105"/>
        <v>1888</v>
      </c>
    </row>
    <row r="3372" spans="1:2" x14ac:dyDescent="0.25">
      <c r="A3372" s="20">
        <f t="shared" ca="1" si="104"/>
        <v>0.34295418891450191</v>
      </c>
      <c r="B3372" s="21">
        <f t="shared" ca="1" si="105"/>
        <v>1613</v>
      </c>
    </row>
    <row r="3373" spans="1:2" x14ac:dyDescent="0.25">
      <c r="A3373" s="20">
        <f t="shared" ca="1" si="104"/>
        <v>0.26535674842230239</v>
      </c>
      <c r="B3373" s="21">
        <f t="shared" ca="1" si="105"/>
        <v>1241</v>
      </c>
    </row>
    <row r="3374" spans="1:2" x14ac:dyDescent="0.25">
      <c r="A3374" s="20">
        <f t="shared" ca="1" si="104"/>
        <v>0.84165248976999096</v>
      </c>
      <c r="B3374" s="21">
        <f t="shared" ca="1" si="105"/>
        <v>3883</v>
      </c>
    </row>
    <row r="3375" spans="1:2" x14ac:dyDescent="0.25">
      <c r="A3375" s="20">
        <f t="shared" ca="1" si="104"/>
        <v>0.79355805103277588</v>
      </c>
      <c r="B3375" s="21">
        <f t="shared" ca="1" si="105"/>
        <v>3673</v>
      </c>
    </row>
    <row r="3376" spans="1:2" x14ac:dyDescent="0.25">
      <c r="A3376" s="20">
        <f t="shared" ca="1" si="104"/>
        <v>0.9471975391180274</v>
      </c>
      <c r="B3376" s="21">
        <f t="shared" ca="1" si="105"/>
        <v>4389</v>
      </c>
    </row>
    <row r="3377" spans="1:2" x14ac:dyDescent="0.25">
      <c r="A3377" s="20">
        <f t="shared" ca="1" si="104"/>
        <v>0.98454902148340218</v>
      </c>
      <c r="B3377" s="21">
        <f t="shared" ca="1" si="105"/>
        <v>4558</v>
      </c>
    </row>
    <row r="3378" spans="1:2" x14ac:dyDescent="0.25">
      <c r="A3378" s="20">
        <f t="shared" ca="1" si="104"/>
        <v>0.84476386524053992</v>
      </c>
      <c r="B3378" s="21">
        <f t="shared" ca="1" si="105"/>
        <v>3900</v>
      </c>
    </row>
    <row r="3379" spans="1:2" x14ac:dyDescent="0.25">
      <c r="A3379" s="20">
        <f t="shared" ca="1" si="104"/>
        <v>0.72647140423896361</v>
      </c>
      <c r="B3379" s="21">
        <f t="shared" ca="1" si="105"/>
        <v>3361</v>
      </c>
    </row>
    <row r="3380" spans="1:2" x14ac:dyDescent="0.25">
      <c r="A3380" s="20">
        <f t="shared" ca="1" si="104"/>
        <v>0.82502803955770065</v>
      </c>
      <c r="B3380" s="21">
        <f t="shared" ca="1" si="105"/>
        <v>3819</v>
      </c>
    </row>
    <row r="3381" spans="1:2" x14ac:dyDescent="0.25">
      <c r="A3381" s="20">
        <f t="shared" ca="1" si="104"/>
        <v>0.1609756840788692</v>
      </c>
      <c r="B3381" s="21">
        <f t="shared" ca="1" si="105"/>
        <v>720</v>
      </c>
    </row>
    <row r="3382" spans="1:2" x14ac:dyDescent="0.25">
      <c r="A3382" s="20">
        <f t="shared" ca="1" si="104"/>
        <v>0.89942285533233846</v>
      </c>
      <c r="B3382" s="21">
        <f t="shared" ca="1" si="105"/>
        <v>4145</v>
      </c>
    </row>
    <row r="3383" spans="1:2" x14ac:dyDescent="0.25">
      <c r="A3383" s="20">
        <f t="shared" ca="1" si="104"/>
        <v>0.8113573169070939</v>
      </c>
      <c r="B3383" s="21">
        <f t="shared" ca="1" si="105"/>
        <v>3751</v>
      </c>
    </row>
    <row r="3384" spans="1:2" x14ac:dyDescent="0.25">
      <c r="A3384" s="20">
        <f t="shared" ca="1" si="104"/>
        <v>0.49791349479863112</v>
      </c>
      <c r="B3384" s="21">
        <f t="shared" ca="1" si="105"/>
        <v>2313</v>
      </c>
    </row>
    <row r="3385" spans="1:2" x14ac:dyDescent="0.25">
      <c r="A3385" s="20">
        <f t="shared" ca="1" si="104"/>
        <v>9.1316017830081697E-2</v>
      </c>
      <c r="B3385" s="21">
        <f t="shared" ca="1" si="105"/>
        <v>413</v>
      </c>
    </row>
    <row r="3386" spans="1:2" x14ac:dyDescent="0.25">
      <c r="A3386" s="20">
        <f t="shared" ca="1" si="104"/>
        <v>0.97774842068999379</v>
      </c>
      <c r="B3386" s="21">
        <f t="shared" ca="1" si="105"/>
        <v>4531</v>
      </c>
    </row>
    <row r="3387" spans="1:2" x14ac:dyDescent="0.25">
      <c r="A3387" s="20">
        <f t="shared" ca="1" si="104"/>
        <v>0.13038831349550972</v>
      </c>
      <c r="B3387" s="21">
        <f t="shared" ca="1" si="105"/>
        <v>578</v>
      </c>
    </row>
    <row r="3388" spans="1:2" x14ac:dyDescent="0.25">
      <c r="A3388" s="20">
        <f t="shared" ca="1" si="104"/>
        <v>0.97140481640379983</v>
      </c>
      <c r="B3388" s="21">
        <f t="shared" ca="1" si="105"/>
        <v>4506</v>
      </c>
    </row>
    <row r="3389" spans="1:2" x14ac:dyDescent="0.25">
      <c r="A3389" s="20">
        <f t="shared" ca="1" si="104"/>
        <v>0.80817168750394208</v>
      </c>
      <c r="B3389" s="21">
        <f t="shared" ca="1" si="105"/>
        <v>3739</v>
      </c>
    </row>
    <row r="3390" spans="1:2" x14ac:dyDescent="0.25">
      <c r="A3390" s="20">
        <f t="shared" ca="1" si="104"/>
        <v>4.8122407114765786E-2</v>
      </c>
      <c r="B3390" s="21">
        <f t="shared" ca="1" si="105"/>
        <v>201</v>
      </c>
    </row>
    <row r="3391" spans="1:2" x14ac:dyDescent="0.25">
      <c r="A3391" s="20">
        <f t="shared" ca="1" si="104"/>
        <v>0.48589215485950288</v>
      </c>
      <c r="B3391" s="21">
        <f t="shared" ca="1" si="105"/>
        <v>2264</v>
      </c>
    </row>
    <row r="3392" spans="1:2" x14ac:dyDescent="0.25">
      <c r="A3392" s="20">
        <f t="shared" ca="1" si="104"/>
        <v>0.88924931160297782</v>
      </c>
      <c r="B3392" s="21">
        <f t="shared" ca="1" si="105"/>
        <v>4096</v>
      </c>
    </row>
    <row r="3393" spans="1:2" x14ac:dyDescent="0.25">
      <c r="A3393" s="20">
        <f t="shared" ca="1" si="104"/>
        <v>0.36711309010276127</v>
      </c>
      <c r="B3393" s="21">
        <f t="shared" ca="1" si="105"/>
        <v>1742</v>
      </c>
    </row>
    <row r="3394" spans="1:2" x14ac:dyDescent="0.25">
      <c r="A3394" s="20">
        <f t="shared" ca="1" si="104"/>
        <v>0.27348188857864675</v>
      </c>
      <c r="B3394" s="21">
        <f t="shared" ca="1" si="105"/>
        <v>1273</v>
      </c>
    </row>
    <row r="3395" spans="1:2" x14ac:dyDescent="0.25">
      <c r="A3395" s="20">
        <f t="shared" ref="A3395:A3458" ca="1" si="106">RAND()</f>
        <v>0.80466888539386383</v>
      </c>
      <c r="B3395" s="21">
        <f t="shared" ref="B3395:B3458" ca="1" si="107">_xlfn.RANK.EQ($A3395,$A:$A,1)</f>
        <v>3724</v>
      </c>
    </row>
    <row r="3396" spans="1:2" x14ac:dyDescent="0.25">
      <c r="A3396" s="20">
        <f t="shared" ca="1" si="106"/>
        <v>0.6766573745804928</v>
      </c>
      <c r="B3396" s="21">
        <f t="shared" ca="1" si="107"/>
        <v>3131</v>
      </c>
    </row>
    <row r="3397" spans="1:2" x14ac:dyDescent="0.25">
      <c r="A3397" s="20">
        <f t="shared" ca="1" si="106"/>
        <v>8.6789963278498528E-2</v>
      </c>
      <c r="B3397" s="21">
        <f t="shared" ca="1" si="107"/>
        <v>389</v>
      </c>
    </row>
    <row r="3398" spans="1:2" x14ac:dyDescent="0.25">
      <c r="A3398" s="20">
        <f t="shared" ca="1" si="106"/>
        <v>0.82602854090332101</v>
      </c>
      <c r="B3398" s="21">
        <f t="shared" ca="1" si="107"/>
        <v>3826</v>
      </c>
    </row>
    <row r="3399" spans="1:2" x14ac:dyDescent="0.25">
      <c r="A3399" s="20">
        <f t="shared" ca="1" si="106"/>
        <v>0.27407884653715886</v>
      </c>
      <c r="B3399" s="21">
        <f t="shared" ca="1" si="107"/>
        <v>1281</v>
      </c>
    </row>
    <row r="3400" spans="1:2" x14ac:dyDescent="0.25">
      <c r="A3400" s="20">
        <f t="shared" ca="1" si="106"/>
        <v>0.8866225589320621</v>
      </c>
      <c r="B3400" s="21">
        <f t="shared" ca="1" si="107"/>
        <v>4086</v>
      </c>
    </row>
    <row r="3401" spans="1:2" x14ac:dyDescent="0.25">
      <c r="A3401" s="20">
        <f t="shared" ca="1" si="106"/>
        <v>0.47904454111535655</v>
      </c>
      <c r="B3401" s="21">
        <f t="shared" ca="1" si="107"/>
        <v>2234</v>
      </c>
    </row>
    <row r="3402" spans="1:2" x14ac:dyDescent="0.25">
      <c r="A3402" s="20">
        <f t="shared" ca="1" si="106"/>
        <v>0.41147455713666758</v>
      </c>
      <c r="B3402" s="21">
        <f t="shared" ca="1" si="107"/>
        <v>1932</v>
      </c>
    </row>
    <row r="3403" spans="1:2" x14ac:dyDescent="0.25">
      <c r="A3403" s="20">
        <f t="shared" ca="1" si="106"/>
        <v>0.40620844239652498</v>
      </c>
      <c r="B3403" s="21">
        <f t="shared" ca="1" si="107"/>
        <v>1905</v>
      </c>
    </row>
    <row r="3404" spans="1:2" x14ac:dyDescent="0.25">
      <c r="A3404" s="20">
        <f t="shared" ca="1" si="106"/>
        <v>0.50389490284348115</v>
      </c>
      <c r="B3404" s="21">
        <f t="shared" ca="1" si="107"/>
        <v>2344</v>
      </c>
    </row>
    <row r="3405" spans="1:2" x14ac:dyDescent="0.25">
      <c r="A3405" s="20">
        <f t="shared" ca="1" si="106"/>
        <v>0.9327519697746226</v>
      </c>
      <c r="B3405" s="21">
        <f t="shared" ca="1" si="107"/>
        <v>4312</v>
      </c>
    </row>
    <row r="3406" spans="1:2" x14ac:dyDescent="0.25">
      <c r="A3406" s="20">
        <f t="shared" ca="1" si="106"/>
        <v>0.53648021106931243</v>
      </c>
      <c r="B3406" s="21">
        <f t="shared" ca="1" si="107"/>
        <v>2502</v>
      </c>
    </row>
    <row r="3407" spans="1:2" x14ac:dyDescent="0.25">
      <c r="A3407" s="20">
        <f t="shared" ca="1" si="106"/>
        <v>0.4767170307774532</v>
      </c>
      <c r="B3407" s="21">
        <f t="shared" ca="1" si="107"/>
        <v>2223</v>
      </c>
    </row>
    <row r="3408" spans="1:2" x14ac:dyDescent="0.25">
      <c r="A3408" s="20">
        <f t="shared" ca="1" si="106"/>
        <v>0.16916512662860972</v>
      </c>
      <c r="B3408" s="21">
        <f t="shared" ca="1" si="107"/>
        <v>762</v>
      </c>
    </row>
    <row r="3409" spans="1:2" x14ac:dyDescent="0.25">
      <c r="A3409" s="20">
        <f t="shared" ca="1" si="106"/>
        <v>7.335509750813185E-2</v>
      </c>
      <c r="B3409" s="21">
        <f t="shared" ca="1" si="107"/>
        <v>329</v>
      </c>
    </row>
    <row r="3410" spans="1:2" x14ac:dyDescent="0.25">
      <c r="A3410" s="20">
        <f t="shared" ca="1" si="106"/>
        <v>0.57640949047367906</v>
      </c>
      <c r="B3410" s="21">
        <f t="shared" ca="1" si="107"/>
        <v>2690</v>
      </c>
    </row>
    <row r="3411" spans="1:2" x14ac:dyDescent="0.25">
      <c r="A3411" s="20">
        <f t="shared" ca="1" si="106"/>
        <v>0.16526429735123793</v>
      </c>
      <c r="B3411" s="21">
        <f t="shared" ca="1" si="107"/>
        <v>738</v>
      </c>
    </row>
    <row r="3412" spans="1:2" x14ac:dyDescent="0.25">
      <c r="A3412" s="20">
        <f t="shared" ca="1" si="106"/>
        <v>0.54349521810337176</v>
      </c>
      <c r="B3412" s="21">
        <f t="shared" ca="1" si="107"/>
        <v>2540</v>
      </c>
    </row>
    <row r="3413" spans="1:2" x14ac:dyDescent="0.25">
      <c r="A3413" s="20">
        <f t="shared" ca="1" si="106"/>
        <v>0.50433073991543476</v>
      </c>
      <c r="B3413" s="21">
        <f t="shared" ca="1" si="107"/>
        <v>2346</v>
      </c>
    </row>
    <row r="3414" spans="1:2" x14ac:dyDescent="0.25">
      <c r="A3414" s="20">
        <f t="shared" ca="1" si="106"/>
        <v>0.90212172007009572</v>
      </c>
      <c r="B3414" s="21">
        <f t="shared" ca="1" si="107"/>
        <v>4166</v>
      </c>
    </row>
    <row r="3415" spans="1:2" x14ac:dyDescent="0.25">
      <c r="A3415" s="20">
        <f t="shared" ca="1" si="106"/>
        <v>0.65638968557132715</v>
      </c>
      <c r="B3415" s="21">
        <f t="shared" ca="1" si="107"/>
        <v>3043</v>
      </c>
    </row>
    <row r="3416" spans="1:2" x14ac:dyDescent="0.25">
      <c r="A3416" s="20">
        <f t="shared" ca="1" si="106"/>
        <v>0.74900902254804491</v>
      </c>
      <c r="B3416" s="21">
        <f t="shared" ca="1" si="107"/>
        <v>3468</v>
      </c>
    </row>
    <row r="3417" spans="1:2" x14ac:dyDescent="0.25">
      <c r="A3417" s="20">
        <f t="shared" ca="1" si="106"/>
        <v>2.0529591998829311E-2</v>
      </c>
      <c r="B3417" s="21">
        <f t="shared" ca="1" si="107"/>
        <v>81</v>
      </c>
    </row>
    <row r="3418" spans="1:2" x14ac:dyDescent="0.25">
      <c r="A3418" s="20">
        <f t="shared" ca="1" si="106"/>
        <v>0.21191028083113017</v>
      </c>
      <c r="B3418" s="21">
        <f t="shared" ca="1" si="107"/>
        <v>991</v>
      </c>
    </row>
    <row r="3419" spans="1:2" x14ac:dyDescent="0.25">
      <c r="A3419" s="20">
        <f t="shared" ca="1" si="106"/>
        <v>0.3488918664973325</v>
      </c>
      <c r="B3419" s="21">
        <f t="shared" ca="1" si="107"/>
        <v>1641</v>
      </c>
    </row>
    <row r="3420" spans="1:2" x14ac:dyDescent="0.25">
      <c r="A3420" s="20">
        <f t="shared" ca="1" si="106"/>
        <v>0.19539304312168115</v>
      </c>
      <c r="B3420" s="21">
        <f t="shared" ca="1" si="107"/>
        <v>904</v>
      </c>
    </row>
    <row r="3421" spans="1:2" x14ac:dyDescent="0.25">
      <c r="A3421" s="20">
        <f t="shared" ca="1" si="106"/>
        <v>1.9986523030887549E-2</v>
      </c>
      <c r="B3421" s="21">
        <f t="shared" ca="1" si="107"/>
        <v>80</v>
      </c>
    </row>
    <row r="3422" spans="1:2" x14ac:dyDescent="0.25">
      <c r="A3422" s="20">
        <f t="shared" ca="1" si="106"/>
        <v>0.16170545842236661</v>
      </c>
      <c r="B3422" s="21">
        <f t="shared" ca="1" si="107"/>
        <v>724</v>
      </c>
    </row>
    <row r="3423" spans="1:2" x14ac:dyDescent="0.25">
      <c r="A3423" s="20">
        <f t="shared" ca="1" si="106"/>
        <v>0.8996807612854012</v>
      </c>
      <c r="B3423" s="21">
        <f t="shared" ca="1" si="107"/>
        <v>4148</v>
      </c>
    </row>
    <row r="3424" spans="1:2" x14ac:dyDescent="0.25">
      <c r="A3424" s="20">
        <f t="shared" ca="1" si="106"/>
        <v>0.16776929748520075</v>
      </c>
      <c r="B3424" s="21">
        <f t="shared" ca="1" si="107"/>
        <v>752</v>
      </c>
    </row>
    <row r="3425" spans="1:2" x14ac:dyDescent="0.25">
      <c r="A3425" s="20">
        <f t="shared" ca="1" si="106"/>
        <v>0.80734342704591577</v>
      </c>
      <c r="B3425" s="21">
        <f t="shared" ca="1" si="107"/>
        <v>3731</v>
      </c>
    </row>
    <row r="3426" spans="1:2" x14ac:dyDescent="0.25">
      <c r="A3426" s="20">
        <f t="shared" ca="1" si="106"/>
        <v>5.3304502562044997E-2</v>
      </c>
      <c r="B3426" s="21">
        <f t="shared" ca="1" si="107"/>
        <v>226</v>
      </c>
    </row>
    <row r="3427" spans="1:2" x14ac:dyDescent="0.25">
      <c r="A3427" s="20">
        <f t="shared" ca="1" si="106"/>
        <v>0.98975485458600498</v>
      </c>
      <c r="B3427" s="21">
        <f t="shared" ca="1" si="107"/>
        <v>4583</v>
      </c>
    </row>
    <row r="3428" spans="1:2" x14ac:dyDescent="0.25">
      <c r="A3428" s="20">
        <f t="shared" ca="1" si="106"/>
        <v>0.20661993559494041</v>
      </c>
      <c r="B3428" s="21">
        <f t="shared" ca="1" si="107"/>
        <v>960</v>
      </c>
    </row>
    <row r="3429" spans="1:2" x14ac:dyDescent="0.25">
      <c r="A3429" s="20">
        <f t="shared" ca="1" si="106"/>
        <v>7.0155583043814973E-3</v>
      </c>
      <c r="B3429" s="21">
        <f t="shared" ca="1" si="107"/>
        <v>28</v>
      </c>
    </row>
    <row r="3430" spans="1:2" x14ac:dyDescent="0.25">
      <c r="A3430" s="20">
        <f t="shared" ca="1" si="106"/>
        <v>0.53501185932619177</v>
      </c>
      <c r="B3430" s="21">
        <f t="shared" ca="1" si="107"/>
        <v>2499</v>
      </c>
    </row>
    <row r="3431" spans="1:2" x14ac:dyDescent="0.25">
      <c r="A3431" s="20">
        <f t="shared" ca="1" si="106"/>
        <v>0.19469785159981212</v>
      </c>
      <c r="B3431" s="21">
        <f t="shared" ca="1" si="107"/>
        <v>901</v>
      </c>
    </row>
    <row r="3432" spans="1:2" x14ac:dyDescent="0.25">
      <c r="A3432" s="20">
        <f t="shared" ca="1" si="106"/>
        <v>0.90208655901464307</v>
      </c>
      <c r="B3432" s="21">
        <f t="shared" ca="1" si="107"/>
        <v>4165</v>
      </c>
    </row>
    <row r="3433" spans="1:2" x14ac:dyDescent="0.25">
      <c r="A3433" s="20">
        <f t="shared" ca="1" si="106"/>
        <v>0.6854931561033798</v>
      </c>
      <c r="B3433" s="21">
        <f t="shared" ca="1" si="107"/>
        <v>3184</v>
      </c>
    </row>
    <row r="3434" spans="1:2" x14ac:dyDescent="0.25">
      <c r="A3434" s="20">
        <f t="shared" ca="1" si="106"/>
        <v>0.7303957098262438</v>
      </c>
      <c r="B3434" s="21">
        <f t="shared" ca="1" si="107"/>
        <v>3389</v>
      </c>
    </row>
    <row r="3435" spans="1:2" x14ac:dyDescent="0.25">
      <c r="A3435" s="20">
        <f t="shared" ca="1" si="106"/>
        <v>0.52401347753315697</v>
      </c>
      <c r="B3435" s="21">
        <f t="shared" ca="1" si="107"/>
        <v>2448</v>
      </c>
    </row>
    <row r="3436" spans="1:2" x14ac:dyDescent="0.25">
      <c r="A3436" s="20">
        <f t="shared" ca="1" si="106"/>
        <v>0.4590171398634797</v>
      </c>
      <c r="B3436" s="21">
        <f t="shared" ca="1" si="107"/>
        <v>2157</v>
      </c>
    </row>
    <row r="3437" spans="1:2" x14ac:dyDescent="0.25">
      <c r="A3437" s="20">
        <f t="shared" ca="1" si="106"/>
        <v>0.11078732508195022</v>
      </c>
      <c r="B3437" s="21">
        <f t="shared" ca="1" si="107"/>
        <v>487</v>
      </c>
    </row>
    <row r="3438" spans="1:2" x14ac:dyDescent="0.25">
      <c r="A3438" s="20">
        <f t="shared" ca="1" si="106"/>
        <v>0.63414924657588811</v>
      </c>
      <c r="B3438" s="21">
        <f t="shared" ca="1" si="107"/>
        <v>2938</v>
      </c>
    </row>
    <row r="3439" spans="1:2" x14ac:dyDescent="0.25">
      <c r="A3439" s="20">
        <f t="shared" ca="1" si="106"/>
        <v>0.67555820785307596</v>
      </c>
      <c r="B3439" s="21">
        <f t="shared" ca="1" si="107"/>
        <v>3129</v>
      </c>
    </row>
    <row r="3440" spans="1:2" x14ac:dyDescent="0.25">
      <c r="A3440" s="20">
        <f t="shared" ca="1" si="106"/>
        <v>0.54925848776654951</v>
      </c>
      <c r="B3440" s="21">
        <f t="shared" ca="1" si="107"/>
        <v>2566</v>
      </c>
    </row>
    <row r="3441" spans="1:2" x14ac:dyDescent="0.25">
      <c r="A3441" s="20">
        <f t="shared" ca="1" si="106"/>
        <v>0.47040572658486457</v>
      </c>
      <c r="B3441" s="21">
        <f t="shared" ca="1" si="107"/>
        <v>2198</v>
      </c>
    </row>
    <row r="3442" spans="1:2" x14ac:dyDescent="0.25">
      <c r="A3442" s="20">
        <f t="shared" ca="1" si="106"/>
        <v>0.66063788664020939</v>
      </c>
      <c r="B3442" s="21">
        <f t="shared" ca="1" si="107"/>
        <v>3066</v>
      </c>
    </row>
    <row r="3443" spans="1:2" x14ac:dyDescent="0.25">
      <c r="A3443" s="20">
        <f t="shared" ca="1" si="106"/>
        <v>0.71557418074205725</v>
      </c>
      <c r="B3443" s="21">
        <f t="shared" ca="1" si="107"/>
        <v>3309</v>
      </c>
    </row>
    <row r="3444" spans="1:2" x14ac:dyDescent="0.25">
      <c r="A3444" s="20">
        <f t="shared" ca="1" si="106"/>
        <v>0.4286138116543442</v>
      </c>
      <c r="B3444" s="21">
        <f t="shared" ca="1" si="107"/>
        <v>2014</v>
      </c>
    </row>
    <row r="3445" spans="1:2" x14ac:dyDescent="0.25">
      <c r="A3445" s="20">
        <f t="shared" ca="1" si="106"/>
        <v>0.26399315896777864</v>
      </c>
      <c r="B3445" s="21">
        <f t="shared" ca="1" si="107"/>
        <v>1232</v>
      </c>
    </row>
    <row r="3446" spans="1:2" x14ac:dyDescent="0.25">
      <c r="A3446" s="20">
        <f t="shared" ca="1" si="106"/>
        <v>0.1670015100971225</v>
      </c>
      <c r="B3446" s="21">
        <f t="shared" ca="1" si="107"/>
        <v>747</v>
      </c>
    </row>
    <row r="3447" spans="1:2" x14ac:dyDescent="0.25">
      <c r="A3447" s="20">
        <f t="shared" ca="1" si="106"/>
        <v>0.92648551199067686</v>
      </c>
      <c r="B3447" s="21">
        <f t="shared" ca="1" si="107"/>
        <v>4279</v>
      </c>
    </row>
    <row r="3448" spans="1:2" x14ac:dyDescent="0.25">
      <c r="A3448" s="20">
        <f t="shared" ca="1" si="106"/>
        <v>0.41868184167720912</v>
      </c>
      <c r="B3448" s="21">
        <f t="shared" ca="1" si="107"/>
        <v>1960</v>
      </c>
    </row>
    <row r="3449" spans="1:2" x14ac:dyDescent="0.25">
      <c r="A3449" s="20">
        <f t="shared" ca="1" si="106"/>
        <v>0.23044744536359008</v>
      </c>
      <c r="B3449" s="21">
        <f t="shared" ca="1" si="107"/>
        <v>1080</v>
      </c>
    </row>
    <row r="3450" spans="1:2" x14ac:dyDescent="0.25">
      <c r="A3450" s="20">
        <f t="shared" ca="1" si="106"/>
        <v>0.19079403131036665</v>
      </c>
      <c r="B3450" s="21">
        <f t="shared" ca="1" si="107"/>
        <v>876</v>
      </c>
    </row>
    <row r="3451" spans="1:2" x14ac:dyDescent="0.25">
      <c r="A3451" s="20">
        <f t="shared" ca="1" si="106"/>
        <v>0.63085634198149465</v>
      </c>
      <c r="B3451" s="21">
        <f t="shared" ca="1" si="107"/>
        <v>2922</v>
      </c>
    </row>
    <row r="3452" spans="1:2" x14ac:dyDescent="0.25">
      <c r="A3452" s="20">
        <f t="shared" ca="1" si="106"/>
        <v>0.58164056931553942</v>
      </c>
      <c r="B3452" s="21">
        <f t="shared" ca="1" si="107"/>
        <v>2718</v>
      </c>
    </row>
    <row r="3453" spans="1:2" x14ac:dyDescent="0.25">
      <c r="A3453" s="20">
        <f t="shared" ca="1" si="106"/>
        <v>0.42763153210230487</v>
      </c>
      <c r="B3453" s="21">
        <f t="shared" ca="1" si="107"/>
        <v>2009</v>
      </c>
    </row>
    <row r="3454" spans="1:2" x14ac:dyDescent="0.25">
      <c r="A3454" s="20">
        <f t="shared" ca="1" si="106"/>
        <v>0.70465468186289049</v>
      </c>
      <c r="B3454" s="21">
        <f t="shared" ca="1" si="107"/>
        <v>3260</v>
      </c>
    </row>
    <row r="3455" spans="1:2" x14ac:dyDescent="0.25">
      <c r="A3455" s="20">
        <f t="shared" ca="1" si="106"/>
        <v>0.45959205394563052</v>
      </c>
      <c r="B3455" s="21">
        <f t="shared" ca="1" si="107"/>
        <v>2159</v>
      </c>
    </row>
    <row r="3456" spans="1:2" x14ac:dyDescent="0.25">
      <c r="A3456" s="20">
        <f t="shared" ca="1" si="106"/>
        <v>0.68221422053733771</v>
      </c>
      <c r="B3456" s="21">
        <f t="shared" ca="1" si="107"/>
        <v>3166</v>
      </c>
    </row>
    <row r="3457" spans="1:2" x14ac:dyDescent="0.25">
      <c r="A3457" s="20">
        <f t="shared" ca="1" si="106"/>
        <v>0.34896235134527442</v>
      </c>
      <c r="B3457" s="21">
        <f t="shared" ca="1" si="107"/>
        <v>1645</v>
      </c>
    </row>
    <row r="3458" spans="1:2" x14ac:dyDescent="0.25">
      <c r="A3458" s="20">
        <f t="shared" ca="1" si="106"/>
        <v>0.71290715263863413</v>
      </c>
      <c r="B3458" s="21">
        <f t="shared" ca="1" si="107"/>
        <v>3298</v>
      </c>
    </row>
    <row r="3459" spans="1:2" x14ac:dyDescent="0.25">
      <c r="A3459" s="20">
        <f t="shared" ref="A3459:A3522" ca="1" si="108">RAND()</f>
        <v>0.24467023864311666</v>
      </c>
      <c r="B3459" s="21">
        <f t="shared" ref="B3459:B3522" ca="1" si="109">_xlfn.RANK.EQ($A3459,$A:$A,1)</f>
        <v>1140</v>
      </c>
    </row>
    <row r="3460" spans="1:2" x14ac:dyDescent="0.25">
      <c r="A3460" s="20">
        <f t="shared" ca="1" si="108"/>
        <v>0.34992274976875148</v>
      </c>
      <c r="B3460" s="21">
        <f t="shared" ca="1" si="109"/>
        <v>1651</v>
      </c>
    </row>
    <row r="3461" spans="1:2" x14ac:dyDescent="0.25">
      <c r="A3461" s="20">
        <f t="shared" ca="1" si="108"/>
        <v>0.18149825956401178</v>
      </c>
      <c r="B3461" s="21">
        <f t="shared" ca="1" si="109"/>
        <v>830</v>
      </c>
    </row>
    <row r="3462" spans="1:2" x14ac:dyDescent="0.25">
      <c r="A3462" s="20">
        <f t="shared" ca="1" si="108"/>
        <v>0.17635568879769747</v>
      </c>
      <c r="B3462" s="21">
        <f t="shared" ca="1" si="109"/>
        <v>804</v>
      </c>
    </row>
    <row r="3463" spans="1:2" x14ac:dyDescent="0.25">
      <c r="A3463" s="20">
        <f t="shared" ca="1" si="108"/>
        <v>0.79732365373410508</v>
      </c>
      <c r="B3463" s="21">
        <f t="shared" ca="1" si="109"/>
        <v>3691</v>
      </c>
    </row>
    <row r="3464" spans="1:2" x14ac:dyDescent="0.25">
      <c r="A3464" s="20">
        <f t="shared" ca="1" si="108"/>
        <v>0.59679491168582499</v>
      </c>
      <c r="B3464" s="21">
        <f t="shared" ca="1" si="109"/>
        <v>2791</v>
      </c>
    </row>
    <row r="3465" spans="1:2" x14ac:dyDescent="0.25">
      <c r="A3465" s="20">
        <f t="shared" ca="1" si="108"/>
        <v>0.68671113915244675</v>
      </c>
      <c r="B3465" s="21">
        <f t="shared" ca="1" si="109"/>
        <v>3189</v>
      </c>
    </row>
    <row r="3466" spans="1:2" x14ac:dyDescent="0.25">
      <c r="A3466" s="20">
        <f t="shared" ca="1" si="108"/>
        <v>0.94108304776957896</v>
      </c>
      <c r="B3466" s="21">
        <f t="shared" ca="1" si="109"/>
        <v>4352</v>
      </c>
    </row>
    <row r="3467" spans="1:2" x14ac:dyDescent="0.25">
      <c r="A3467" s="20">
        <f t="shared" ca="1" si="108"/>
        <v>0.54168156186866245</v>
      </c>
      <c r="B3467" s="21">
        <f t="shared" ca="1" si="109"/>
        <v>2529</v>
      </c>
    </row>
    <row r="3468" spans="1:2" x14ac:dyDescent="0.25">
      <c r="A3468" s="20">
        <f t="shared" ca="1" si="108"/>
        <v>0.93283306636664087</v>
      </c>
      <c r="B3468" s="21">
        <f t="shared" ca="1" si="109"/>
        <v>4313</v>
      </c>
    </row>
    <row r="3469" spans="1:2" x14ac:dyDescent="0.25">
      <c r="A3469" s="20">
        <f t="shared" ca="1" si="108"/>
        <v>0.24628706732610806</v>
      </c>
      <c r="B3469" s="21">
        <f t="shared" ca="1" si="109"/>
        <v>1151</v>
      </c>
    </row>
    <row r="3470" spans="1:2" x14ac:dyDescent="0.25">
      <c r="A3470" s="20">
        <f t="shared" ca="1" si="108"/>
        <v>0.86237644334203889</v>
      </c>
      <c r="B3470" s="21">
        <f t="shared" ca="1" si="109"/>
        <v>3980</v>
      </c>
    </row>
    <row r="3471" spans="1:2" x14ac:dyDescent="0.25">
      <c r="A3471" s="20">
        <f t="shared" ca="1" si="108"/>
        <v>0.38842106855461356</v>
      </c>
      <c r="B3471" s="21">
        <f t="shared" ca="1" si="109"/>
        <v>1821</v>
      </c>
    </row>
    <row r="3472" spans="1:2" x14ac:dyDescent="0.25">
      <c r="A3472" s="20">
        <f t="shared" ca="1" si="108"/>
        <v>0.61976159867989666</v>
      </c>
      <c r="B3472" s="21">
        <f t="shared" ca="1" si="109"/>
        <v>2878</v>
      </c>
    </row>
    <row r="3473" spans="1:2" x14ac:dyDescent="0.25">
      <c r="A3473" s="20">
        <f t="shared" ca="1" si="108"/>
        <v>0.80746143039087082</v>
      </c>
      <c r="B3473" s="21">
        <f t="shared" ca="1" si="109"/>
        <v>3732</v>
      </c>
    </row>
    <row r="3474" spans="1:2" x14ac:dyDescent="0.25">
      <c r="A3474" s="20">
        <f t="shared" ca="1" si="108"/>
        <v>0.26624440444426101</v>
      </c>
      <c r="B3474" s="21">
        <f t="shared" ca="1" si="109"/>
        <v>1248</v>
      </c>
    </row>
    <row r="3475" spans="1:2" x14ac:dyDescent="0.25">
      <c r="A3475" s="20">
        <f t="shared" ca="1" si="108"/>
        <v>0.97384411985432817</v>
      </c>
      <c r="B3475" s="21">
        <f t="shared" ca="1" si="109"/>
        <v>4515</v>
      </c>
    </row>
    <row r="3476" spans="1:2" x14ac:dyDescent="0.25">
      <c r="A3476" s="20">
        <f t="shared" ca="1" si="108"/>
        <v>0.2455056384707438</v>
      </c>
      <c r="B3476" s="21">
        <f t="shared" ca="1" si="109"/>
        <v>1142</v>
      </c>
    </row>
    <row r="3477" spans="1:2" x14ac:dyDescent="0.25">
      <c r="A3477" s="20">
        <f t="shared" ca="1" si="108"/>
        <v>5.6418256243335518E-2</v>
      </c>
      <c r="B3477" s="21">
        <f t="shared" ca="1" si="109"/>
        <v>243</v>
      </c>
    </row>
    <row r="3478" spans="1:2" x14ac:dyDescent="0.25">
      <c r="A3478" s="20">
        <f t="shared" ca="1" si="108"/>
        <v>0.84598143917353907</v>
      </c>
      <c r="B3478" s="21">
        <f t="shared" ca="1" si="109"/>
        <v>3907</v>
      </c>
    </row>
    <row r="3479" spans="1:2" x14ac:dyDescent="0.25">
      <c r="A3479" s="20">
        <f t="shared" ca="1" si="108"/>
        <v>0.32049321653400498</v>
      </c>
      <c r="B3479" s="21">
        <f t="shared" ca="1" si="109"/>
        <v>1505</v>
      </c>
    </row>
    <row r="3480" spans="1:2" x14ac:dyDescent="0.25">
      <c r="A3480" s="20">
        <f t="shared" ca="1" si="108"/>
        <v>0.99467435432811069</v>
      </c>
      <c r="B3480" s="21">
        <f t="shared" ca="1" si="109"/>
        <v>4596</v>
      </c>
    </row>
    <row r="3481" spans="1:2" x14ac:dyDescent="0.25">
      <c r="A3481" s="20">
        <f t="shared" ca="1" si="108"/>
        <v>0.99901351465886445</v>
      </c>
      <c r="B3481" s="21">
        <f t="shared" ca="1" si="109"/>
        <v>4616</v>
      </c>
    </row>
    <row r="3482" spans="1:2" x14ac:dyDescent="0.25">
      <c r="A3482" s="20">
        <f t="shared" ca="1" si="108"/>
        <v>0.57877535205941377</v>
      </c>
      <c r="B3482" s="21">
        <f t="shared" ca="1" si="109"/>
        <v>2701</v>
      </c>
    </row>
    <row r="3483" spans="1:2" x14ac:dyDescent="0.25">
      <c r="A3483" s="20">
        <f t="shared" ca="1" si="108"/>
        <v>0.33753937094089703</v>
      </c>
      <c r="B3483" s="21">
        <f t="shared" ca="1" si="109"/>
        <v>1586</v>
      </c>
    </row>
    <row r="3484" spans="1:2" x14ac:dyDescent="0.25">
      <c r="A3484" s="20">
        <f t="shared" ca="1" si="108"/>
        <v>0.12309544715917675</v>
      </c>
      <c r="B3484" s="21">
        <f t="shared" ca="1" si="109"/>
        <v>546</v>
      </c>
    </row>
    <row r="3485" spans="1:2" x14ac:dyDescent="0.25">
      <c r="A3485" s="20">
        <f t="shared" ca="1" si="108"/>
        <v>0.74329571897572433</v>
      </c>
      <c r="B3485" s="21">
        <f t="shared" ca="1" si="109"/>
        <v>3435</v>
      </c>
    </row>
    <row r="3486" spans="1:2" x14ac:dyDescent="0.25">
      <c r="A3486" s="20">
        <f t="shared" ca="1" si="108"/>
        <v>0.45647928589218423</v>
      </c>
      <c r="B3486" s="21">
        <f t="shared" ca="1" si="109"/>
        <v>2145</v>
      </c>
    </row>
    <row r="3487" spans="1:2" x14ac:dyDescent="0.25">
      <c r="A3487" s="20">
        <f t="shared" ca="1" si="108"/>
        <v>0.36329754236364731</v>
      </c>
      <c r="B3487" s="21">
        <f t="shared" ca="1" si="109"/>
        <v>1719</v>
      </c>
    </row>
    <row r="3488" spans="1:2" x14ac:dyDescent="0.25">
      <c r="A3488" s="20">
        <f t="shared" ca="1" si="108"/>
        <v>0.66171801572682543</v>
      </c>
      <c r="B3488" s="21">
        <f t="shared" ca="1" si="109"/>
        <v>3069</v>
      </c>
    </row>
    <row r="3489" spans="1:2" x14ac:dyDescent="0.25">
      <c r="A3489" s="20">
        <f t="shared" ca="1" si="108"/>
        <v>0.12874918764273147</v>
      </c>
      <c r="B3489" s="21">
        <f t="shared" ca="1" si="109"/>
        <v>565</v>
      </c>
    </row>
    <row r="3490" spans="1:2" x14ac:dyDescent="0.25">
      <c r="A3490" s="20">
        <f t="shared" ca="1" si="108"/>
        <v>0.11059528297070187</v>
      </c>
      <c r="B3490" s="21">
        <f t="shared" ca="1" si="109"/>
        <v>485</v>
      </c>
    </row>
    <row r="3491" spans="1:2" x14ac:dyDescent="0.25">
      <c r="A3491" s="20">
        <f t="shared" ca="1" si="108"/>
        <v>0.16268753782181899</v>
      </c>
      <c r="B3491" s="21">
        <f t="shared" ca="1" si="109"/>
        <v>729</v>
      </c>
    </row>
    <row r="3492" spans="1:2" x14ac:dyDescent="0.25">
      <c r="A3492" s="20">
        <f t="shared" ca="1" si="108"/>
        <v>0.71177020191141549</v>
      </c>
      <c r="B3492" s="21">
        <f t="shared" ca="1" si="109"/>
        <v>3292</v>
      </c>
    </row>
    <row r="3493" spans="1:2" x14ac:dyDescent="0.25">
      <c r="A3493" s="20">
        <f t="shared" ca="1" si="108"/>
        <v>0.21618157715464126</v>
      </c>
      <c r="B3493" s="21">
        <f t="shared" ca="1" si="109"/>
        <v>1011</v>
      </c>
    </row>
    <row r="3494" spans="1:2" x14ac:dyDescent="0.25">
      <c r="A3494" s="20">
        <f t="shared" ca="1" si="108"/>
        <v>3.1846560311020622E-2</v>
      </c>
      <c r="B3494" s="21">
        <f t="shared" ca="1" si="109"/>
        <v>122</v>
      </c>
    </row>
    <row r="3495" spans="1:2" x14ac:dyDescent="0.25">
      <c r="A3495" s="20">
        <f t="shared" ca="1" si="108"/>
        <v>0.413480161519859</v>
      </c>
      <c r="B3495" s="21">
        <f t="shared" ca="1" si="109"/>
        <v>1939</v>
      </c>
    </row>
    <row r="3496" spans="1:2" x14ac:dyDescent="0.25">
      <c r="A3496" s="20">
        <f t="shared" ca="1" si="108"/>
        <v>0.765956479731426</v>
      </c>
      <c r="B3496" s="21">
        <f t="shared" ca="1" si="109"/>
        <v>3548</v>
      </c>
    </row>
    <row r="3497" spans="1:2" x14ac:dyDescent="0.25">
      <c r="A3497" s="20">
        <f t="shared" ca="1" si="108"/>
        <v>0.6160348160356246</v>
      </c>
      <c r="B3497" s="21">
        <f t="shared" ca="1" si="109"/>
        <v>2863</v>
      </c>
    </row>
    <row r="3498" spans="1:2" x14ac:dyDescent="0.25">
      <c r="A3498" s="20">
        <f t="shared" ca="1" si="108"/>
        <v>0.74573548396931577</v>
      </c>
      <c r="B3498" s="21">
        <f t="shared" ca="1" si="109"/>
        <v>3445</v>
      </c>
    </row>
    <row r="3499" spans="1:2" x14ac:dyDescent="0.25">
      <c r="A3499" s="20">
        <f t="shared" ca="1" si="108"/>
        <v>0.15150083935382752</v>
      </c>
      <c r="B3499" s="21">
        <f t="shared" ca="1" si="109"/>
        <v>679</v>
      </c>
    </row>
    <row r="3500" spans="1:2" x14ac:dyDescent="0.25">
      <c r="A3500" s="20">
        <f t="shared" ca="1" si="108"/>
        <v>0.70406142648305914</v>
      </c>
      <c r="B3500" s="21">
        <f t="shared" ca="1" si="109"/>
        <v>3257</v>
      </c>
    </row>
    <row r="3501" spans="1:2" x14ac:dyDescent="0.25">
      <c r="A3501" s="20">
        <f t="shared" ca="1" si="108"/>
        <v>4.7059726611743957E-2</v>
      </c>
      <c r="B3501" s="21">
        <f t="shared" ca="1" si="109"/>
        <v>192</v>
      </c>
    </row>
    <row r="3502" spans="1:2" x14ac:dyDescent="0.25">
      <c r="A3502" s="20">
        <f t="shared" ca="1" si="108"/>
        <v>0.97555431879285126</v>
      </c>
      <c r="B3502" s="21">
        <f t="shared" ca="1" si="109"/>
        <v>4520</v>
      </c>
    </row>
    <row r="3503" spans="1:2" x14ac:dyDescent="0.25">
      <c r="A3503" s="20">
        <f t="shared" ca="1" si="108"/>
        <v>0.17888592097379241</v>
      </c>
      <c r="B3503" s="21">
        <f t="shared" ca="1" si="109"/>
        <v>818</v>
      </c>
    </row>
    <row r="3504" spans="1:2" x14ac:dyDescent="0.25">
      <c r="A3504" s="20">
        <f t="shared" ca="1" si="108"/>
        <v>0.28233263456476287</v>
      </c>
      <c r="B3504" s="21">
        <f t="shared" ca="1" si="109"/>
        <v>1317</v>
      </c>
    </row>
    <row r="3505" spans="1:2" x14ac:dyDescent="0.25">
      <c r="A3505" s="20">
        <f t="shared" ca="1" si="108"/>
        <v>0.18221494097180568</v>
      </c>
      <c r="B3505" s="21">
        <f t="shared" ca="1" si="109"/>
        <v>833</v>
      </c>
    </row>
    <row r="3506" spans="1:2" x14ac:dyDescent="0.25">
      <c r="A3506" s="20">
        <f t="shared" ca="1" si="108"/>
        <v>0.11343395859853633</v>
      </c>
      <c r="B3506" s="21">
        <f t="shared" ca="1" si="109"/>
        <v>499</v>
      </c>
    </row>
    <row r="3507" spans="1:2" x14ac:dyDescent="0.25">
      <c r="A3507" s="20">
        <f t="shared" ca="1" si="108"/>
        <v>0.61181163313447084</v>
      </c>
      <c r="B3507" s="21">
        <f t="shared" ca="1" si="109"/>
        <v>2850</v>
      </c>
    </row>
    <row r="3508" spans="1:2" x14ac:dyDescent="0.25">
      <c r="A3508" s="20">
        <f t="shared" ca="1" si="108"/>
        <v>5.4180989833787052E-2</v>
      </c>
      <c r="B3508" s="21">
        <f t="shared" ca="1" si="109"/>
        <v>233</v>
      </c>
    </row>
    <row r="3509" spans="1:2" x14ac:dyDescent="0.25">
      <c r="A3509" s="20">
        <f t="shared" ca="1" si="108"/>
        <v>0.54390157486857971</v>
      </c>
      <c r="B3509" s="21">
        <f t="shared" ca="1" si="109"/>
        <v>2541</v>
      </c>
    </row>
    <row r="3510" spans="1:2" x14ac:dyDescent="0.25">
      <c r="A3510" s="20">
        <f t="shared" ca="1" si="108"/>
        <v>0.16735276572342694</v>
      </c>
      <c r="B3510" s="21">
        <f t="shared" ca="1" si="109"/>
        <v>748</v>
      </c>
    </row>
    <row r="3511" spans="1:2" x14ac:dyDescent="0.25">
      <c r="A3511" s="20">
        <f t="shared" ca="1" si="108"/>
        <v>5.8744251570331807E-3</v>
      </c>
      <c r="B3511" s="21">
        <f t="shared" ca="1" si="109"/>
        <v>25</v>
      </c>
    </row>
    <row r="3512" spans="1:2" x14ac:dyDescent="0.25">
      <c r="A3512" s="20">
        <f t="shared" ca="1" si="108"/>
        <v>0.65126593728343729</v>
      </c>
      <c r="B3512" s="21">
        <f t="shared" ca="1" si="109"/>
        <v>3021</v>
      </c>
    </row>
    <row r="3513" spans="1:2" x14ac:dyDescent="0.25">
      <c r="A3513" s="20">
        <f t="shared" ca="1" si="108"/>
        <v>0.4124300983717003</v>
      </c>
      <c r="B3513" s="21">
        <f t="shared" ca="1" si="109"/>
        <v>1935</v>
      </c>
    </row>
    <row r="3514" spans="1:2" x14ac:dyDescent="0.25">
      <c r="A3514" s="20">
        <f t="shared" ca="1" si="108"/>
        <v>0.80865898820011217</v>
      </c>
      <c r="B3514" s="21">
        <f t="shared" ca="1" si="109"/>
        <v>3740</v>
      </c>
    </row>
    <row r="3515" spans="1:2" x14ac:dyDescent="0.25">
      <c r="A3515" s="20">
        <f t="shared" ca="1" si="108"/>
        <v>0.86850259828470899</v>
      </c>
      <c r="B3515" s="21">
        <f t="shared" ca="1" si="109"/>
        <v>4011</v>
      </c>
    </row>
    <row r="3516" spans="1:2" x14ac:dyDescent="0.25">
      <c r="A3516" s="20">
        <f t="shared" ca="1" si="108"/>
        <v>0.73658045247886128</v>
      </c>
      <c r="B3516" s="21">
        <f t="shared" ca="1" si="109"/>
        <v>3409</v>
      </c>
    </row>
    <row r="3517" spans="1:2" x14ac:dyDescent="0.25">
      <c r="A3517" s="20">
        <f t="shared" ca="1" si="108"/>
        <v>0.57827583442977126</v>
      </c>
      <c r="B3517" s="21">
        <f t="shared" ca="1" si="109"/>
        <v>2699</v>
      </c>
    </row>
    <row r="3518" spans="1:2" x14ac:dyDescent="0.25">
      <c r="A3518" s="20">
        <f t="shared" ca="1" si="108"/>
        <v>0.95587184446431595</v>
      </c>
      <c r="B3518" s="21">
        <f t="shared" ca="1" si="109"/>
        <v>4425</v>
      </c>
    </row>
    <row r="3519" spans="1:2" x14ac:dyDescent="0.25">
      <c r="A3519" s="20">
        <f t="shared" ca="1" si="108"/>
        <v>4.1895204559259991E-2</v>
      </c>
      <c r="B3519" s="21">
        <f t="shared" ca="1" si="109"/>
        <v>164</v>
      </c>
    </row>
    <row r="3520" spans="1:2" x14ac:dyDescent="0.25">
      <c r="A3520" s="20">
        <f t="shared" ca="1" si="108"/>
        <v>0.82126198312181131</v>
      </c>
      <c r="B3520" s="21">
        <f t="shared" ca="1" si="109"/>
        <v>3801</v>
      </c>
    </row>
    <row r="3521" spans="1:2" x14ac:dyDescent="0.25">
      <c r="A3521" s="20">
        <f t="shared" ca="1" si="108"/>
        <v>0.46138003191525967</v>
      </c>
      <c r="B3521" s="21">
        <f t="shared" ca="1" si="109"/>
        <v>2165</v>
      </c>
    </row>
    <row r="3522" spans="1:2" x14ac:dyDescent="0.25">
      <c r="A3522" s="20">
        <f t="shared" ca="1" si="108"/>
        <v>0.32275001046019469</v>
      </c>
      <c r="B3522" s="21">
        <f t="shared" ca="1" si="109"/>
        <v>1519</v>
      </c>
    </row>
    <row r="3523" spans="1:2" x14ac:dyDescent="0.25">
      <c r="A3523" s="20">
        <f t="shared" ref="A3523:A3586" ca="1" si="110">RAND()</f>
        <v>0.84277641098022626</v>
      </c>
      <c r="B3523" s="21">
        <f t="shared" ref="B3523:B3586" ca="1" si="111">_xlfn.RANK.EQ($A3523,$A:$A,1)</f>
        <v>3890</v>
      </c>
    </row>
    <row r="3524" spans="1:2" x14ac:dyDescent="0.25">
      <c r="A3524" s="20">
        <f t="shared" ca="1" si="110"/>
        <v>0.50391359776091205</v>
      </c>
      <c r="B3524" s="21">
        <f t="shared" ca="1" si="111"/>
        <v>2345</v>
      </c>
    </row>
    <row r="3525" spans="1:2" x14ac:dyDescent="0.25">
      <c r="A3525" s="20">
        <f t="shared" ca="1" si="110"/>
        <v>0.64220865792278758</v>
      </c>
      <c r="B3525" s="21">
        <f t="shared" ca="1" si="111"/>
        <v>2980</v>
      </c>
    </row>
    <row r="3526" spans="1:2" x14ac:dyDescent="0.25">
      <c r="A3526" s="20">
        <f t="shared" ca="1" si="110"/>
        <v>0.26227061949030905</v>
      </c>
      <c r="B3526" s="21">
        <f t="shared" ca="1" si="111"/>
        <v>1222</v>
      </c>
    </row>
    <row r="3527" spans="1:2" x14ac:dyDescent="0.25">
      <c r="A3527" s="20">
        <f t="shared" ca="1" si="110"/>
        <v>0.90084980781286172</v>
      </c>
      <c r="B3527" s="21">
        <f t="shared" ca="1" si="111"/>
        <v>4157</v>
      </c>
    </row>
    <row r="3528" spans="1:2" x14ac:dyDescent="0.25">
      <c r="A3528" s="20">
        <f t="shared" ca="1" si="110"/>
        <v>0.28978941247176426</v>
      </c>
      <c r="B3528" s="21">
        <f t="shared" ca="1" si="111"/>
        <v>1361</v>
      </c>
    </row>
    <row r="3529" spans="1:2" x14ac:dyDescent="0.25">
      <c r="A3529" s="20">
        <f t="shared" ca="1" si="110"/>
        <v>0.42715964662858297</v>
      </c>
      <c r="B3529" s="21">
        <f t="shared" ca="1" si="111"/>
        <v>2006</v>
      </c>
    </row>
    <row r="3530" spans="1:2" x14ac:dyDescent="0.25">
      <c r="A3530" s="20">
        <f t="shared" ca="1" si="110"/>
        <v>0.66020642214564873</v>
      </c>
      <c r="B3530" s="21">
        <f t="shared" ca="1" si="111"/>
        <v>3063</v>
      </c>
    </row>
    <row r="3531" spans="1:2" x14ac:dyDescent="0.25">
      <c r="A3531" s="20">
        <f t="shared" ca="1" si="110"/>
        <v>0.78525008262442031</v>
      </c>
      <c r="B3531" s="21">
        <f t="shared" ca="1" si="111"/>
        <v>3637</v>
      </c>
    </row>
    <row r="3532" spans="1:2" x14ac:dyDescent="0.25">
      <c r="A3532" s="20">
        <f t="shared" ca="1" si="110"/>
        <v>0.30957560640812565</v>
      </c>
      <c r="B3532" s="21">
        <f t="shared" ca="1" si="111"/>
        <v>1451</v>
      </c>
    </row>
    <row r="3533" spans="1:2" x14ac:dyDescent="0.25">
      <c r="A3533" s="20">
        <f t="shared" ca="1" si="110"/>
        <v>0.38340331170414277</v>
      </c>
      <c r="B3533" s="21">
        <f t="shared" ca="1" si="111"/>
        <v>1796</v>
      </c>
    </row>
    <row r="3534" spans="1:2" x14ac:dyDescent="0.25">
      <c r="A3534" s="20">
        <f t="shared" ca="1" si="110"/>
        <v>0.98842230749926097</v>
      </c>
      <c r="B3534" s="21">
        <f t="shared" ca="1" si="111"/>
        <v>4576</v>
      </c>
    </row>
    <row r="3535" spans="1:2" x14ac:dyDescent="0.25">
      <c r="A3535" s="20">
        <f t="shared" ca="1" si="110"/>
        <v>1.7285576600525543E-2</v>
      </c>
      <c r="B3535" s="21">
        <f t="shared" ca="1" si="111"/>
        <v>61</v>
      </c>
    </row>
    <row r="3536" spans="1:2" x14ac:dyDescent="0.25">
      <c r="A3536" s="20">
        <f t="shared" ca="1" si="110"/>
        <v>0.16677456890084408</v>
      </c>
      <c r="B3536" s="21">
        <f t="shared" ca="1" si="111"/>
        <v>746</v>
      </c>
    </row>
    <row r="3537" spans="1:2" x14ac:dyDescent="0.25">
      <c r="A3537" s="20">
        <f t="shared" ca="1" si="110"/>
        <v>0.42394716625235163</v>
      </c>
      <c r="B3537" s="21">
        <f t="shared" ca="1" si="111"/>
        <v>1993</v>
      </c>
    </row>
    <row r="3538" spans="1:2" x14ac:dyDescent="0.25">
      <c r="A3538" s="20">
        <f t="shared" ca="1" si="110"/>
        <v>0.27567755067568245</v>
      </c>
      <c r="B3538" s="21">
        <f t="shared" ca="1" si="111"/>
        <v>1290</v>
      </c>
    </row>
    <row r="3539" spans="1:2" x14ac:dyDescent="0.25">
      <c r="A3539" s="20">
        <f t="shared" ca="1" si="110"/>
        <v>0.56540999628598321</v>
      </c>
      <c r="B3539" s="21">
        <f t="shared" ca="1" si="111"/>
        <v>2642</v>
      </c>
    </row>
    <row r="3540" spans="1:2" x14ac:dyDescent="0.25">
      <c r="A3540" s="20">
        <f t="shared" ca="1" si="110"/>
        <v>0.14949032013741348</v>
      </c>
      <c r="B3540" s="21">
        <f t="shared" ca="1" si="111"/>
        <v>664</v>
      </c>
    </row>
    <row r="3541" spans="1:2" x14ac:dyDescent="0.25">
      <c r="A3541" s="20">
        <f t="shared" ca="1" si="110"/>
        <v>0.97590424610682147</v>
      </c>
      <c r="B3541" s="21">
        <f t="shared" ca="1" si="111"/>
        <v>4522</v>
      </c>
    </row>
    <row r="3542" spans="1:2" x14ac:dyDescent="0.25">
      <c r="A3542" s="20">
        <f t="shared" ca="1" si="110"/>
        <v>0.89199216401881309</v>
      </c>
      <c r="B3542" s="21">
        <f t="shared" ca="1" si="111"/>
        <v>4111</v>
      </c>
    </row>
    <row r="3543" spans="1:2" x14ac:dyDescent="0.25">
      <c r="A3543" s="20">
        <f t="shared" ca="1" si="110"/>
        <v>0.76511447715086323</v>
      </c>
      <c r="B3543" s="21">
        <f t="shared" ca="1" si="111"/>
        <v>3547</v>
      </c>
    </row>
    <row r="3544" spans="1:2" x14ac:dyDescent="0.25">
      <c r="A3544" s="20">
        <f t="shared" ca="1" si="110"/>
        <v>0.17711064820685962</v>
      </c>
      <c r="B3544" s="21">
        <f t="shared" ca="1" si="111"/>
        <v>809</v>
      </c>
    </row>
    <row r="3545" spans="1:2" x14ac:dyDescent="0.25">
      <c r="A3545" s="20">
        <f t="shared" ca="1" si="110"/>
        <v>0.84917803891925303</v>
      </c>
      <c r="B3545" s="21">
        <f t="shared" ca="1" si="111"/>
        <v>3920</v>
      </c>
    </row>
    <row r="3546" spans="1:2" x14ac:dyDescent="0.25">
      <c r="A3546" s="20">
        <f t="shared" ca="1" si="110"/>
        <v>2.5857410689402949E-2</v>
      </c>
      <c r="B3546" s="21">
        <f t="shared" ca="1" si="111"/>
        <v>103</v>
      </c>
    </row>
    <row r="3547" spans="1:2" x14ac:dyDescent="0.25">
      <c r="A3547" s="20">
        <f t="shared" ca="1" si="110"/>
        <v>0.87330327526448992</v>
      </c>
      <c r="B3547" s="21">
        <f t="shared" ca="1" si="111"/>
        <v>4028</v>
      </c>
    </row>
    <row r="3548" spans="1:2" x14ac:dyDescent="0.25">
      <c r="A3548" s="20">
        <f t="shared" ca="1" si="110"/>
        <v>0.5804623161194663</v>
      </c>
      <c r="B3548" s="21">
        <f t="shared" ca="1" si="111"/>
        <v>2712</v>
      </c>
    </row>
    <row r="3549" spans="1:2" x14ac:dyDescent="0.25">
      <c r="A3549" s="20">
        <f t="shared" ca="1" si="110"/>
        <v>5.0402484183918683E-2</v>
      </c>
      <c r="B3549" s="21">
        <f t="shared" ca="1" si="111"/>
        <v>210</v>
      </c>
    </row>
    <row r="3550" spans="1:2" x14ac:dyDescent="0.25">
      <c r="A3550" s="20">
        <f t="shared" ca="1" si="110"/>
        <v>0.44914024618351533</v>
      </c>
      <c r="B3550" s="21">
        <f t="shared" ca="1" si="111"/>
        <v>2099</v>
      </c>
    </row>
    <row r="3551" spans="1:2" x14ac:dyDescent="0.25">
      <c r="A3551" s="20">
        <f t="shared" ca="1" si="110"/>
        <v>0.66743381244649702</v>
      </c>
      <c r="B3551" s="21">
        <f t="shared" ca="1" si="111"/>
        <v>3096</v>
      </c>
    </row>
    <row r="3552" spans="1:2" x14ac:dyDescent="0.25">
      <c r="A3552" s="20">
        <f t="shared" ca="1" si="110"/>
        <v>0.92859182086221337</v>
      </c>
      <c r="B3552" s="21">
        <f t="shared" ca="1" si="111"/>
        <v>4284</v>
      </c>
    </row>
    <row r="3553" spans="1:2" x14ac:dyDescent="0.25">
      <c r="A3553" s="20">
        <f t="shared" ca="1" si="110"/>
        <v>0.42541926877833347</v>
      </c>
      <c r="B3553" s="21">
        <f t="shared" ca="1" si="111"/>
        <v>1999</v>
      </c>
    </row>
    <row r="3554" spans="1:2" x14ac:dyDescent="0.25">
      <c r="A3554" s="20">
        <f t="shared" ca="1" si="110"/>
        <v>3.6784924772822136E-2</v>
      </c>
      <c r="B3554" s="21">
        <f t="shared" ca="1" si="111"/>
        <v>146</v>
      </c>
    </row>
    <row r="3555" spans="1:2" x14ac:dyDescent="0.25">
      <c r="A3555" s="20">
        <f t="shared" ca="1" si="110"/>
        <v>0.98243440537497628</v>
      </c>
      <c r="B3555" s="21">
        <f t="shared" ca="1" si="111"/>
        <v>4548</v>
      </c>
    </row>
    <row r="3556" spans="1:2" x14ac:dyDescent="0.25">
      <c r="A3556" s="20">
        <f t="shared" ca="1" si="110"/>
        <v>0.57314015064256174</v>
      </c>
      <c r="B3556" s="21">
        <f t="shared" ca="1" si="111"/>
        <v>2675</v>
      </c>
    </row>
    <row r="3557" spans="1:2" x14ac:dyDescent="0.25">
      <c r="A3557" s="20">
        <f t="shared" ca="1" si="110"/>
        <v>0.13745881172757968</v>
      </c>
      <c r="B3557" s="21">
        <f t="shared" ca="1" si="111"/>
        <v>603</v>
      </c>
    </row>
    <row r="3558" spans="1:2" x14ac:dyDescent="0.25">
      <c r="A3558" s="20">
        <f t="shared" ca="1" si="110"/>
        <v>0.27984575553671198</v>
      </c>
      <c r="B3558" s="21">
        <f t="shared" ca="1" si="111"/>
        <v>1303</v>
      </c>
    </row>
    <row r="3559" spans="1:2" x14ac:dyDescent="0.25">
      <c r="A3559" s="20">
        <f t="shared" ca="1" si="110"/>
        <v>0.70921268200986265</v>
      </c>
      <c r="B3559" s="21">
        <f t="shared" ca="1" si="111"/>
        <v>3285</v>
      </c>
    </row>
    <row r="3560" spans="1:2" x14ac:dyDescent="0.25">
      <c r="A3560" s="20">
        <f t="shared" ca="1" si="110"/>
        <v>3.9178088564990943E-2</v>
      </c>
      <c r="B3560" s="21">
        <f t="shared" ca="1" si="111"/>
        <v>151</v>
      </c>
    </row>
    <row r="3561" spans="1:2" x14ac:dyDescent="0.25">
      <c r="A3561" s="20">
        <f t="shared" ca="1" si="110"/>
        <v>0.78368044290493699</v>
      </c>
      <c r="B3561" s="21">
        <f t="shared" ca="1" si="111"/>
        <v>3629</v>
      </c>
    </row>
    <row r="3562" spans="1:2" x14ac:dyDescent="0.25">
      <c r="A3562" s="20">
        <f t="shared" ca="1" si="110"/>
        <v>0.54631797667708304</v>
      </c>
      <c r="B3562" s="21">
        <f t="shared" ca="1" si="111"/>
        <v>2552</v>
      </c>
    </row>
    <row r="3563" spans="1:2" x14ac:dyDescent="0.25">
      <c r="A3563" s="20">
        <f t="shared" ca="1" si="110"/>
        <v>0.28947932302802271</v>
      </c>
      <c r="B3563" s="21">
        <f t="shared" ca="1" si="111"/>
        <v>1360</v>
      </c>
    </row>
    <row r="3564" spans="1:2" x14ac:dyDescent="0.25">
      <c r="A3564" s="20">
        <f t="shared" ca="1" si="110"/>
        <v>0.39563609846983638</v>
      </c>
      <c r="B3564" s="21">
        <f t="shared" ca="1" si="111"/>
        <v>1858</v>
      </c>
    </row>
    <row r="3565" spans="1:2" x14ac:dyDescent="0.25">
      <c r="A3565" s="20">
        <f t="shared" ca="1" si="110"/>
        <v>0.52491247221768145</v>
      </c>
      <c r="B3565" s="21">
        <f t="shared" ca="1" si="111"/>
        <v>2452</v>
      </c>
    </row>
    <row r="3566" spans="1:2" x14ac:dyDescent="0.25">
      <c r="A3566" s="20">
        <f t="shared" ca="1" si="110"/>
        <v>4.638031595525649E-2</v>
      </c>
      <c r="B3566" s="21">
        <f t="shared" ca="1" si="111"/>
        <v>189</v>
      </c>
    </row>
    <row r="3567" spans="1:2" x14ac:dyDescent="0.25">
      <c r="A3567" s="20">
        <f t="shared" ca="1" si="110"/>
        <v>0.64267018225954542</v>
      </c>
      <c r="B3567" s="21">
        <f t="shared" ca="1" si="111"/>
        <v>2982</v>
      </c>
    </row>
    <row r="3568" spans="1:2" x14ac:dyDescent="0.25">
      <c r="A3568" s="20">
        <f t="shared" ca="1" si="110"/>
        <v>0.5239960706333705</v>
      </c>
      <c r="B3568" s="21">
        <f t="shared" ca="1" si="111"/>
        <v>2447</v>
      </c>
    </row>
    <row r="3569" spans="1:2" x14ac:dyDescent="0.25">
      <c r="A3569" s="20">
        <f t="shared" ca="1" si="110"/>
        <v>0.27438912704187901</v>
      </c>
      <c r="B3569" s="21">
        <f t="shared" ca="1" si="111"/>
        <v>1284</v>
      </c>
    </row>
    <row r="3570" spans="1:2" x14ac:dyDescent="0.25">
      <c r="A3570" s="20">
        <f t="shared" ca="1" si="110"/>
        <v>0.40766257021724484</v>
      </c>
      <c r="B3570" s="21">
        <f t="shared" ca="1" si="111"/>
        <v>1912</v>
      </c>
    </row>
    <row r="3571" spans="1:2" x14ac:dyDescent="0.25">
      <c r="A3571" s="20">
        <f t="shared" ca="1" si="110"/>
        <v>3.9479334638131247E-2</v>
      </c>
      <c r="B3571" s="21">
        <f t="shared" ca="1" si="111"/>
        <v>154</v>
      </c>
    </row>
    <row r="3572" spans="1:2" x14ac:dyDescent="0.25">
      <c r="A3572" s="20">
        <f t="shared" ca="1" si="110"/>
        <v>0.40241412359381168</v>
      </c>
      <c r="B3572" s="21">
        <f t="shared" ca="1" si="111"/>
        <v>1891</v>
      </c>
    </row>
    <row r="3573" spans="1:2" x14ac:dyDescent="0.25">
      <c r="A3573" s="20">
        <f t="shared" ca="1" si="110"/>
        <v>0.85339043787186042</v>
      </c>
      <c r="B3573" s="21">
        <f t="shared" ca="1" si="111"/>
        <v>3945</v>
      </c>
    </row>
    <row r="3574" spans="1:2" x14ac:dyDescent="0.25">
      <c r="A3574" s="20">
        <f t="shared" ca="1" si="110"/>
        <v>0.71795897878938664</v>
      </c>
      <c r="B3574" s="21">
        <f t="shared" ca="1" si="111"/>
        <v>3320</v>
      </c>
    </row>
    <row r="3575" spans="1:2" x14ac:dyDescent="0.25">
      <c r="A3575" s="20">
        <f t="shared" ca="1" si="110"/>
        <v>0.73245894103875187</v>
      </c>
      <c r="B3575" s="21">
        <f t="shared" ca="1" si="111"/>
        <v>3396</v>
      </c>
    </row>
    <row r="3576" spans="1:2" x14ac:dyDescent="0.25">
      <c r="A3576" s="20">
        <f t="shared" ca="1" si="110"/>
        <v>0.34390730021605653</v>
      </c>
      <c r="B3576" s="21">
        <f t="shared" ca="1" si="111"/>
        <v>1616</v>
      </c>
    </row>
    <row r="3577" spans="1:2" x14ac:dyDescent="0.25">
      <c r="A3577" s="20">
        <f t="shared" ca="1" si="110"/>
        <v>0.90955120601072537</v>
      </c>
      <c r="B3577" s="21">
        <f t="shared" ca="1" si="111"/>
        <v>4198</v>
      </c>
    </row>
    <row r="3578" spans="1:2" x14ac:dyDescent="0.25">
      <c r="A3578" s="20">
        <f t="shared" ca="1" si="110"/>
        <v>0.12163469101548141</v>
      </c>
      <c r="B3578" s="21">
        <f t="shared" ca="1" si="111"/>
        <v>535</v>
      </c>
    </row>
    <row r="3579" spans="1:2" x14ac:dyDescent="0.25">
      <c r="A3579" s="20">
        <f t="shared" ca="1" si="110"/>
        <v>0.95872441804436315</v>
      </c>
      <c r="B3579" s="21">
        <f t="shared" ca="1" si="111"/>
        <v>4437</v>
      </c>
    </row>
    <row r="3580" spans="1:2" x14ac:dyDescent="0.25">
      <c r="A3580" s="20">
        <f t="shared" ca="1" si="110"/>
        <v>0.63527755606432001</v>
      </c>
      <c r="B3580" s="21">
        <f t="shared" ca="1" si="111"/>
        <v>2944</v>
      </c>
    </row>
    <row r="3581" spans="1:2" x14ac:dyDescent="0.25">
      <c r="A3581" s="20">
        <f t="shared" ca="1" si="110"/>
        <v>0.1996419332061119</v>
      </c>
      <c r="B3581" s="21">
        <f t="shared" ca="1" si="111"/>
        <v>925</v>
      </c>
    </row>
    <row r="3582" spans="1:2" x14ac:dyDescent="0.25">
      <c r="A3582" s="20">
        <f t="shared" ca="1" si="110"/>
        <v>0.64857045999631291</v>
      </c>
      <c r="B3582" s="21">
        <f t="shared" ca="1" si="111"/>
        <v>3014</v>
      </c>
    </row>
    <row r="3583" spans="1:2" x14ac:dyDescent="0.25">
      <c r="A3583" s="20">
        <f t="shared" ca="1" si="110"/>
        <v>0.65443712548919275</v>
      </c>
      <c r="B3583" s="21">
        <f t="shared" ca="1" si="111"/>
        <v>3033</v>
      </c>
    </row>
    <row r="3584" spans="1:2" x14ac:dyDescent="0.25">
      <c r="A3584" s="20">
        <f t="shared" ca="1" si="110"/>
        <v>0.4782214013168602</v>
      </c>
      <c r="B3584" s="21">
        <f t="shared" ca="1" si="111"/>
        <v>2230</v>
      </c>
    </row>
    <row r="3585" spans="1:2" x14ac:dyDescent="0.25">
      <c r="A3585" s="20">
        <f t="shared" ca="1" si="110"/>
        <v>0.92083503260627575</v>
      </c>
      <c r="B3585" s="21">
        <f t="shared" ca="1" si="111"/>
        <v>4248</v>
      </c>
    </row>
    <row r="3586" spans="1:2" x14ac:dyDescent="0.25">
      <c r="A3586" s="20">
        <f t="shared" ca="1" si="110"/>
        <v>0.22421194602050676</v>
      </c>
      <c r="B3586" s="21">
        <f t="shared" ca="1" si="111"/>
        <v>1049</v>
      </c>
    </row>
    <row r="3587" spans="1:2" x14ac:dyDescent="0.25">
      <c r="A3587" s="20">
        <f t="shared" ref="A3587:A3650" ca="1" si="112">RAND()</f>
        <v>7.9307683404790552E-2</v>
      </c>
      <c r="B3587" s="21">
        <f t="shared" ref="B3587:B3650" ca="1" si="113">_xlfn.RANK.EQ($A3587,$A:$A,1)</f>
        <v>357</v>
      </c>
    </row>
    <row r="3588" spans="1:2" x14ac:dyDescent="0.25">
      <c r="A3588" s="20">
        <f t="shared" ca="1" si="112"/>
        <v>0.2819241546518042</v>
      </c>
      <c r="B3588" s="21">
        <f t="shared" ca="1" si="113"/>
        <v>1312</v>
      </c>
    </row>
    <row r="3589" spans="1:2" x14ac:dyDescent="0.25">
      <c r="A3589" s="20">
        <f t="shared" ca="1" si="112"/>
        <v>0.43741057339990042</v>
      </c>
      <c r="B3589" s="21">
        <f t="shared" ca="1" si="113"/>
        <v>2052</v>
      </c>
    </row>
    <row r="3590" spans="1:2" x14ac:dyDescent="0.25">
      <c r="A3590" s="20">
        <f t="shared" ca="1" si="112"/>
        <v>0.87552678011768137</v>
      </c>
      <c r="B3590" s="21">
        <f t="shared" ca="1" si="113"/>
        <v>4035</v>
      </c>
    </row>
    <row r="3591" spans="1:2" x14ac:dyDescent="0.25">
      <c r="A3591" s="20">
        <f t="shared" ca="1" si="112"/>
        <v>0.47834825138242199</v>
      </c>
      <c r="B3591" s="21">
        <f t="shared" ca="1" si="113"/>
        <v>2231</v>
      </c>
    </row>
    <row r="3592" spans="1:2" x14ac:dyDescent="0.25">
      <c r="A3592" s="20">
        <f t="shared" ca="1" si="112"/>
        <v>0.8131598797498415</v>
      </c>
      <c r="B3592" s="21">
        <f t="shared" ca="1" si="113"/>
        <v>3760</v>
      </c>
    </row>
    <row r="3593" spans="1:2" x14ac:dyDescent="0.25">
      <c r="A3593" s="20">
        <f t="shared" ca="1" si="112"/>
        <v>0.49826183437765481</v>
      </c>
      <c r="B3593" s="21">
        <f t="shared" ca="1" si="113"/>
        <v>2314</v>
      </c>
    </row>
    <row r="3594" spans="1:2" x14ac:dyDescent="0.25">
      <c r="A3594" s="20">
        <f t="shared" ca="1" si="112"/>
        <v>0.28872545233996771</v>
      </c>
      <c r="B3594" s="21">
        <f t="shared" ca="1" si="113"/>
        <v>1355</v>
      </c>
    </row>
    <row r="3595" spans="1:2" x14ac:dyDescent="0.25">
      <c r="A3595" s="20">
        <f t="shared" ca="1" si="112"/>
        <v>0.15183106069164676</v>
      </c>
      <c r="B3595" s="21">
        <f t="shared" ca="1" si="113"/>
        <v>680</v>
      </c>
    </row>
    <row r="3596" spans="1:2" x14ac:dyDescent="0.25">
      <c r="A3596" s="20">
        <f t="shared" ca="1" si="112"/>
        <v>0.26564134303629083</v>
      </c>
      <c r="B3596" s="21">
        <f t="shared" ca="1" si="113"/>
        <v>1244</v>
      </c>
    </row>
    <row r="3597" spans="1:2" x14ac:dyDescent="0.25">
      <c r="A3597" s="20">
        <f t="shared" ca="1" si="112"/>
        <v>0.13059906416192224</v>
      </c>
      <c r="B3597" s="21">
        <f t="shared" ca="1" si="113"/>
        <v>580</v>
      </c>
    </row>
    <row r="3598" spans="1:2" x14ac:dyDescent="0.25">
      <c r="A3598" s="20">
        <f t="shared" ca="1" si="112"/>
        <v>0.49154533369444386</v>
      </c>
      <c r="B3598" s="21">
        <f t="shared" ca="1" si="113"/>
        <v>2285</v>
      </c>
    </row>
    <row r="3599" spans="1:2" x14ac:dyDescent="0.25">
      <c r="A3599" s="20">
        <f t="shared" ca="1" si="112"/>
        <v>0.83133718829393877</v>
      </c>
      <c r="B3599" s="21">
        <f t="shared" ca="1" si="113"/>
        <v>3846</v>
      </c>
    </row>
    <row r="3600" spans="1:2" x14ac:dyDescent="0.25">
      <c r="A3600" s="20">
        <f t="shared" ca="1" si="112"/>
        <v>0.62846475815734382</v>
      </c>
      <c r="B3600" s="21">
        <f t="shared" ca="1" si="113"/>
        <v>2909</v>
      </c>
    </row>
    <row r="3601" spans="1:2" x14ac:dyDescent="0.25">
      <c r="A3601" s="20">
        <f t="shared" ca="1" si="112"/>
        <v>0.24713300607267441</v>
      </c>
      <c r="B3601" s="21">
        <f t="shared" ca="1" si="113"/>
        <v>1156</v>
      </c>
    </row>
    <row r="3602" spans="1:2" x14ac:dyDescent="0.25">
      <c r="A3602" s="20">
        <f t="shared" ca="1" si="112"/>
        <v>0.4358129959017667</v>
      </c>
      <c r="B3602" s="21">
        <f t="shared" ca="1" si="113"/>
        <v>2044</v>
      </c>
    </row>
    <row r="3603" spans="1:2" x14ac:dyDescent="0.25">
      <c r="A3603" s="20">
        <f t="shared" ca="1" si="112"/>
        <v>0.4250477349223839</v>
      </c>
      <c r="B3603" s="21">
        <f t="shared" ca="1" si="113"/>
        <v>1998</v>
      </c>
    </row>
    <row r="3604" spans="1:2" x14ac:dyDescent="0.25">
      <c r="A3604" s="20">
        <f t="shared" ca="1" si="112"/>
        <v>0.85055398598896037</v>
      </c>
      <c r="B3604" s="21">
        <f t="shared" ca="1" si="113"/>
        <v>3931</v>
      </c>
    </row>
    <row r="3605" spans="1:2" x14ac:dyDescent="0.25">
      <c r="A3605" s="20">
        <f t="shared" ca="1" si="112"/>
        <v>0.2244906979031972</v>
      </c>
      <c r="B3605" s="21">
        <f t="shared" ca="1" si="113"/>
        <v>1051</v>
      </c>
    </row>
    <row r="3606" spans="1:2" x14ac:dyDescent="0.25">
      <c r="A3606" s="20">
        <f t="shared" ca="1" si="112"/>
        <v>0.93266629539957224</v>
      </c>
      <c r="B3606" s="21">
        <f t="shared" ca="1" si="113"/>
        <v>4310</v>
      </c>
    </row>
    <row r="3607" spans="1:2" x14ac:dyDescent="0.25">
      <c r="A3607" s="20">
        <f t="shared" ca="1" si="112"/>
        <v>0.5725064741146183</v>
      </c>
      <c r="B3607" s="21">
        <f t="shared" ca="1" si="113"/>
        <v>2672</v>
      </c>
    </row>
    <row r="3608" spans="1:2" x14ac:dyDescent="0.25">
      <c r="A3608" s="20">
        <f t="shared" ca="1" si="112"/>
        <v>7.8827184254521954E-2</v>
      </c>
      <c r="B3608" s="21">
        <f t="shared" ca="1" si="113"/>
        <v>355</v>
      </c>
    </row>
    <row r="3609" spans="1:2" x14ac:dyDescent="0.25">
      <c r="A3609" s="20">
        <f t="shared" ca="1" si="112"/>
        <v>0.72844774048856931</v>
      </c>
      <c r="B3609" s="21">
        <f t="shared" ca="1" si="113"/>
        <v>3372</v>
      </c>
    </row>
    <row r="3610" spans="1:2" x14ac:dyDescent="0.25">
      <c r="A3610" s="20">
        <f t="shared" ca="1" si="112"/>
        <v>0.38945005574258118</v>
      </c>
      <c r="B3610" s="21">
        <f t="shared" ca="1" si="113"/>
        <v>1828</v>
      </c>
    </row>
    <row r="3611" spans="1:2" x14ac:dyDescent="0.25">
      <c r="A3611" s="20">
        <f t="shared" ca="1" si="112"/>
        <v>0.18504221169102464</v>
      </c>
      <c r="B3611" s="21">
        <f t="shared" ca="1" si="113"/>
        <v>849</v>
      </c>
    </row>
    <row r="3612" spans="1:2" x14ac:dyDescent="0.25">
      <c r="A3612" s="20">
        <f t="shared" ca="1" si="112"/>
        <v>0.84831550538063039</v>
      </c>
      <c r="B3612" s="21">
        <f t="shared" ca="1" si="113"/>
        <v>3918</v>
      </c>
    </row>
    <row r="3613" spans="1:2" x14ac:dyDescent="0.25">
      <c r="A3613" s="20">
        <f t="shared" ca="1" si="112"/>
        <v>0.5947198368572677</v>
      </c>
      <c r="B3613" s="21">
        <f t="shared" ca="1" si="113"/>
        <v>2777</v>
      </c>
    </row>
    <row r="3614" spans="1:2" x14ac:dyDescent="0.25">
      <c r="A3614" s="20">
        <f t="shared" ca="1" si="112"/>
        <v>0.65651225142192349</v>
      </c>
      <c r="B3614" s="21">
        <f t="shared" ca="1" si="113"/>
        <v>3044</v>
      </c>
    </row>
    <row r="3615" spans="1:2" x14ac:dyDescent="0.25">
      <c r="A3615" s="20">
        <f t="shared" ca="1" si="112"/>
        <v>0.74885446273146072</v>
      </c>
      <c r="B3615" s="21">
        <f t="shared" ca="1" si="113"/>
        <v>3467</v>
      </c>
    </row>
    <row r="3616" spans="1:2" x14ac:dyDescent="0.25">
      <c r="A3616" s="20">
        <f t="shared" ca="1" si="112"/>
        <v>0.59045108036611271</v>
      </c>
      <c r="B3616" s="21">
        <f t="shared" ca="1" si="113"/>
        <v>2755</v>
      </c>
    </row>
    <row r="3617" spans="1:2" x14ac:dyDescent="0.25">
      <c r="A3617" s="20">
        <f t="shared" ca="1" si="112"/>
        <v>8.2178297869245798E-2</v>
      </c>
      <c r="B3617" s="21">
        <f t="shared" ca="1" si="113"/>
        <v>369</v>
      </c>
    </row>
    <row r="3618" spans="1:2" x14ac:dyDescent="0.25">
      <c r="A3618" s="20">
        <f t="shared" ca="1" si="112"/>
        <v>0.8274671421800579</v>
      </c>
      <c r="B3618" s="21">
        <f t="shared" ca="1" si="113"/>
        <v>3830</v>
      </c>
    </row>
    <row r="3619" spans="1:2" x14ac:dyDescent="0.25">
      <c r="A3619" s="20">
        <f t="shared" ca="1" si="112"/>
        <v>9.0476423921743931E-2</v>
      </c>
      <c r="B3619" s="21">
        <f t="shared" ca="1" si="113"/>
        <v>408</v>
      </c>
    </row>
    <row r="3620" spans="1:2" x14ac:dyDescent="0.25">
      <c r="A3620" s="20">
        <f t="shared" ca="1" si="112"/>
        <v>0.38092372513931572</v>
      </c>
      <c r="B3620" s="21">
        <f t="shared" ca="1" si="113"/>
        <v>1788</v>
      </c>
    </row>
    <row r="3621" spans="1:2" x14ac:dyDescent="0.25">
      <c r="A3621" s="20">
        <f t="shared" ca="1" si="112"/>
        <v>0.10333082047065201</v>
      </c>
      <c r="B3621" s="21">
        <f t="shared" ca="1" si="113"/>
        <v>464</v>
      </c>
    </row>
    <row r="3622" spans="1:2" x14ac:dyDescent="0.25">
      <c r="A3622" s="20">
        <f t="shared" ca="1" si="112"/>
        <v>0.76117639876572807</v>
      </c>
      <c r="B3622" s="21">
        <f t="shared" ca="1" si="113"/>
        <v>3530</v>
      </c>
    </row>
    <row r="3623" spans="1:2" x14ac:dyDescent="0.25">
      <c r="A3623" s="20">
        <f t="shared" ca="1" si="112"/>
        <v>0.66577430412955207</v>
      </c>
      <c r="B3623" s="21">
        <f t="shared" ca="1" si="113"/>
        <v>3087</v>
      </c>
    </row>
    <row r="3624" spans="1:2" x14ac:dyDescent="0.25">
      <c r="A3624" s="20">
        <f t="shared" ca="1" si="112"/>
        <v>0.38779490415752382</v>
      </c>
      <c r="B3624" s="21">
        <f t="shared" ca="1" si="113"/>
        <v>1819</v>
      </c>
    </row>
    <row r="3625" spans="1:2" x14ac:dyDescent="0.25">
      <c r="A3625" s="20">
        <f t="shared" ca="1" si="112"/>
        <v>0.32115404356998445</v>
      </c>
      <c r="B3625" s="21">
        <f t="shared" ca="1" si="113"/>
        <v>1511</v>
      </c>
    </row>
    <row r="3626" spans="1:2" x14ac:dyDescent="0.25">
      <c r="A3626" s="20">
        <f t="shared" ca="1" si="112"/>
        <v>0.46726705801557555</v>
      </c>
      <c r="B3626" s="21">
        <f t="shared" ca="1" si="113"/>
        <v>2184</v>
      </c>
    </row>
    <row r="3627" spans="1:2" x14ac:dyDescent="0.25">
      <c r="A3627" s="20">
        <f t="shared" ca="1" si="112"/>
        <v>0.79196795281993504</v>
      </c>
      <c r="B3627" s="21">
        <f t="shared" ca="1" si="113"/>
        <v>3665</v>
      </c>
    </row>
    <row r="3628" spans="1:2" x14ac:dyDescent="0.25">
      <c r="A3628" s="20">
        <f t="shared" ca="1" si="112"/>
        <v>0.96371179766791293</v>
      </c>
      <c r="B3628" s="21">
        <f t="shared" ca="1" si="113"/>
        <v>4463</v>
      </c>
    </row>
    <row r="3629" spans="1:2" x14ac:dyDescent="0.25">
      <c r="A3629" s="20">
        <f t="shared" ca="1" si="112"/>
        <v>0.17063054332128857</v>
      </c>
      <c r="B3629" s="21">
        <f t="shared" ca="1" si="113"/>
        <v>774</v>
      </c>
    </row>
    <row r="3630" spans="1:2" x14ac:dyDescent="0.25">
      <c r="A3630" s="20">
        <f t="shared" ca="1" si="112"/>
        <v>0.59592583480317063</v>
      </c>
      <c r="B3630" s="21">
        <f t="shared" ca="1" si="113"/>
        <v>2786</v>
      </c>
    </row>
    <row r="3631" spans="1:2" x14ac:dyDescent="0.25">
      <c r="A3631" s="20">
        <f t="shared" ca="1" si="112"/>
        <v>0.69110848766414823</v>
      </c>
      <c r="B3631" s="21">
        <f t="shared" ca="1" si="113"/>
        <v>3206</v>
      </c>
    </row>
    <row r="3632" spans="1:2" x14ac:dyDescent="0.25">
      <c r="A3632" s="20">
        <f t="shared" ca="1" si="112"/>
        <v>0.48088724830782592</v>
      </c>
      <c r="B3632" s="21">
        <f t="shared" ca="1" si="113"/>
        <v>2247</v>
      </c>
    </row>
    <row r="3633" spans="1:2" x14ac:dyDescent="0.25">
      <c r="A3633" s="20">
        <f t="shared" ca="1" si="112"/>
        <v>0.65495256606295338</v>
      </c>
      <c r="B3633" s="21">
        <f t="shared" ca="1" si="113"/>
        <v>3037</v>
      </c>
    </row>
    <row r="3634" spans="1:2" x14ac:dyDescent="0.25">
      <c r="A3634" s="20">
        <f t="shared" ca="1" si="112"/>
        <v>0.43938267358809857</v>
      </c>
      <c r="B3634" s="21">
        <f t="shared" ca="1" si="113"/>
        <v>2059</v>
      </c>
    </row>
    <row r="3635" spans="1:2" x14ac:dyDescent="0.25">
      <c r="A3635" s="20">
        <f t="shared" ca="1" si="112"/>
        <v>0.21109138518055393</v>
      </c>
      <c r="B3635" s="21">
        <f t="shared" ca="1" si="113"/>
        <v>986</v>
      </c>
    </row>
    <row r="3636" spans="1:2" x14ac:dyDescent="0.25">
      <c r="A3636" s="20">
        <f t="shared" ca="1" si="112"/>
        <v>0.41267782518397611</v>
      </c>
      <c r="B3636" s="21">
        <f t="shared" ca="1" si="113"/>
        <v>1936</v>
      </c>
    </row>
    <row r="3637" spans="1:2" x14ac:dyDescent="0.25">
      <c r="A3637" s="20">
        <f t="shared" ca="1" si="112"/>
        <v>0.89880042714292319</v>
      </c>
      <c r="B3637" s="21">
        <f t="shared" ca="1" si="113"/>
        <v>4141</v>
      </c>
    </row>
    <row r="3638" spans="1:2" x14ac:dyDescent="0.25">
      <c r="A3638" s="20">
        <f t="shared" ca="1" si="112"/>
        <v>0.36280846987021098</v>
      </c>
      <c r="B3638" s="21">
        <f t="shared" ca="1" si="113"/>
        <v>1716</v>
      </c>
    </row>
    <row r="3639" spans="1:2" x14ac:dyDescent="0.25">
      <c r="A3639" s="20">
        <f t="shared" ca="1" si="112"/>
        <v>0.43596086247946164</v>
      </c>
      <c r="B3639" s="21">
        <f t="shared" ca="1" si="113"/>
        <v>2045</v>
      </c>
    </row>
    <row r="3640" spans="1:2" x14ac:dyDescent="0.25">
      <c r="A3640" s="20">
        <f t="shared" ca="1" si="112"/>
        <v>0.9463879514813599</v>
      </c>
      <c r="B3640" s="21">
        <f t="shared" ca="1" si="113"/>
        <v>4382</v>
      </c>
    </row>
    <row r="3641" spans="1:2" x14ac:dyDescent="0.25">
      <c r="A3641" s="20">
        <f t="shared" ca="1" si="112"/>
        <v>0.8186342306452844</v>
      </c>
      <c r="B3641" s="21">
        <f t="shared" ca="1" si="113"/>
        <v>3789</v>
      </c>
    </row>
    <row r="3642" spans="1:2" x14ac:dyDescent="0.25">
      <c r="A3642" s="20">
        <f t="shared" ca="1" si="112"/>
        <v>0.17929629306623718</v>
      </c>
      <c r="B3642" s="21">
        <f t="shared" ca="1" si="113"/>
        <v>821</v>
      </c>
    </row>
    <row r="3643" spans="1:2" x14ac:dyDescent="0.25">
      <c r="A3643" s="20">
        <f t="shared" ca="1" si="112"/>
        <v>0.16864162620786705</v>
      </c>
      <c r="B3643" s="21">
        <f t="shared" ca="1" si="113"/>
        <v>757</v>
      </c>
    </row>
    <row r="3644" spans="1:2" x14ac:dyDescent="0.25">
      <c r="A3644" s="20">
        <f t="shared" ca="1" si="112"/>
        <v>0.23724350929817473</v>
      </c>
      <c r="B3644" s="21">
        <f t="shared" ca="1" si="113"/>
        <v>1111</v>
      </c>
    </row>
    <row r="3645" spans="1:2" x14ac:dyDescent="0.25">
      <c r="A3645" s="20">
        <f t="shared" ca="1" si="112"/>
        <v>0.32132378079771962</v>
      </c>
      <c r="B3645" s="21">
        <f t="shared" ca="1" si="113"/>
        <v>1512</v>
      </c>
    </row>
    <row r="3646" spans="1:2" x14ac:dyDescent="0.25">
      <c r="A3646" s="20">
        <f t="shared" ca="1" si="112"/>
        <v>0.66678942317771261</v>
      </c>
      <c r="B3646" s="21">
        <f t="shared" ca="1" si="113"/>
        <v>3095</v>
      </c>
    </row>
    <row r="3647" spans="1:2" x14ac:dyDescent="0.25">
      <c r="A3647" s="20">
        <f t="shared" ca="1" si="112"/>
        <v>0.63577493912152416</v>
      </c>
      <c r="B3647" s="21">
        <f t="shared" ca="1" si="113"/>
        <v>2949</v>
      </c>
    </row>
    <row r="3648" spans="1:2" x14ac:dyDescent="0.25">
      <c r="A3648" s="20">
        <f t="shared" ca="1" si="112"/>
        <v>0.29020352522792581</v>
      </c>
      <c r="B3648" s="21">
        <f t="shared" ca="1" si="113"/>
        <v>1367</v>
      </c>
    </row>
    <row r="3649" spans="1:2" x14ac:dyDescent="0.25">
      <c r="A3649" s="20">
        <f t="shared" ca="1" si="112"/>
        <v>0.20263480037687043</v>
      </c>
      <c r="B3649" s="21">
        <f t="shared" ca="1" si="113"/>
        <v>939</v>
      </c>
    </row>
    <row r="3650" spans="1:2" x14ac:dyDescent="0.25">
      <c r="A3650" s="20">
        <f t="shared" ca="1" si="112"/>
        <v>0.53925282465819713</v>
      </c>
      <c r="B3650" s="21">
        <f t="shared" ca="1" si="113"/>
        <v>2520</v>
      </c>
    </row>
    <row r="3651" spans="1:2" x14ac:dyDescent="0.25">
      <c r="A3651" s="20">
        <f t="shared" ref="A3651:A3714" ca="1" si="114">RAND()</f>
        <v>0.14617607650480091</v>
      </c>
      <c r="B3651" s="21">
        <f t="shared" ref="B3651:B3714" ca="1" si="115">_xlfn.RANK.EQ($A3651,$A:$A,1)</f>
        <v>646</v>
      </c>
    </row>
    <row r="3652" spans="1:2" x14ac:dyDescent="0.25">
      <c r="A3652" s="20">
        <f t="shared" ca="1" si="114"/>
        <v>0.32323056341619671</v>
      </c>
      <c r="B3652" s="21">
        <f t="shared" ca="1" si="115"/>
        <v>1521</v>
      </c>
    </row>
    <row r="3653" spans="1:2" x14ac:dyDescent="0.25">
      <c r="A3653" s="20">
        <f t="shared" ca="1" si="114"/>
        <v>0.34450968994242315</v>
      </c>
      <c r="B3653" s="21">
        <f t="shared" ca="1" si="115"/>
        <v>1618</v>
      </c>
    </row>
    <row r="3654" spans="1:2" x14ac:dyDescent="0.25">
      <c r="A3654" s="20">
        <f t="shared" ca="1" si="114"/>
        <v>0.14015764258261521</v>
      </c>
      <c r="B3654" s="21">
        <f t="shared" ca="1" si="115"/>
        <v>617</v>
      </c>
    </row>
    <row r="3655" spans="1:2" x14ac:dyDescent="0.25">
      <c r="A3655" s="20">
        <f t="shared" ca="1" si="114"/>
        <v>0.50479698668507733</v>
      </c>
      <c r="B3655" s="21">
        <f t="shared" ca="1" si="115"/>
        <v>2351</v>
      </c>
    </row>
    <row r="3656" spans="1:2" x14ac:dyDescent="0.25">
      <c r="A3656" s="20">
        <f t="shared" ca="1" si="114"/>
        <v>0.66607513842857968</v>
      </c>
      <c r="B3656" s="21">
        <f t="shared" ca="1" si="115"/>
        <v>3089</v>
      </c>
    </row>
    <row r="3657" spans="1:2" x14ac:dyDescent="0.25">
      <c r="A3657" s="20">
        <f t="shared" ca="1" si="114"/>
        <v>0.76601175884771833</v>
      </c>
      <c r="B3657" s="21">
        <f t="shared" ca="1" si="115"/>
        <v>3549</v>
      </c>
    </row>
    <row r="3658" spans="1:2" x14ac:dyDescent="0.25">
      <c r="A3658" s="20">
        <f t="shared" ca="1" si="114"/>
        <v>0.81028331631519035</v>
      </c>
      <c r="B3658" s="21">
        <f t="shared" ca="1" si="115"/>
        <v>3746</v>
      </c>
    </row>
    <row r="3659" spans="1:2" x14ac:dyDescent="0.25">
      <c r="A3659" s="20">
        <f t="shared" ca="1" si="114"/>
        <v>0.15338064651132699</v>
      </c>
      <c r="B3659" s="21">
        <f t="shared" ca="1" si="115"/>
        <v>686</v>
      </c>
    </row>
    <row r="3660" spans="1:2" x14ac:dyDescent="0.25">
      <c r="A3660" s="20">
        <f t="shared" ca="1" si="114"/>
        <v>0.59913318213357891</v>
      </c>
      <c r="B3660" s="21">
        <f t="shared" ca="1" si="115"/>
        <v>2802</v>
      </c>
    </row>
    <row r="3661" spans="1:2" x14ac:dyDescent="0.25">
      <c r="A3661" s="20">
        <f t="shared" ca="1" si="114"/>
        <v>0.87211955275477837</v>
      </c>
      <c r="B3661" s="21">
        <f t="shared" ca="1" si="115"/>
        <v>4025</v>
      </c>
    </row>
    <row r="3662" spans="1:2" x14ac:dyDescent="0.25">
      <c r="A3662" s="20">
        <f t="shared" ca="1" si="114"/>
        <v>0.36764211186202944</v>
      </c>
      <c r="B3662" s="21">
        <f t="shared" ca="1" si="115"/>
        <v>1746</v>
      </c>
    </row>
    <row r="3663" spans="1:2" x14ac:dyDescent="0.25">
      <c r="A3663" s="20">
        <f t="shared" ca="1" si="114"/>
        <v>0.49832015781920569</v>
      </c>
      <c r="B3663" s="21">
        <f t="shared" ca="1" si="115"/>
        <v>2315</v>
      </c>
    </row>
    <row r="3664" spans="1:2" x14ac:dyDescent="0.25">
      <c r="A3664" s="20">
        <f t="shared" ca="1" si="114"/>
        <v>0.71962357603220051</v>
      </c>
      <c r="B3664" s="21">
        <f t="shared" ca="1" si="115"/>
        <v>3331</v>
      </c>
    </row>
    <row r="3665" spans="1:2" x14ac:dyDescent="0.25">
      <c r="A3665" s="20">
        <f t="shared" ca="1" si="114"/>
        <v>0.76924030041965918</v>
      </c>
      <c r="B3665" s="21">
        <f t="shared" ca="1" si="115"/>
        <v>3567</v>
      </c>
    </row>
    <row r="3666" spans="1:2" x14ac:dyDescent="0.25">
      <c r="A3666" s="20">
        <f t="shared" ca="1" si="114"/>
        <v>0.91638643100742079</v>
      </c>
      <c r="B3666" s="21">
        <f t="shared" ca="1" si="115"/>
        <v>4232</v>
      </c>
    </row>
    <row r="3667" spans="1:2" x14ac:dyDescent="0.25">
      <c r="A3667" s="20">
        <f t="shared" ca="1" si="114"/>
        <v>0.81113730962109687</v>
      </c>
      <c r="B3667" s="21">
        <f t="shared" ca="1" si="115"/>
        <v>3750</v>
      </c>
    </row>
    <row r="3668" spans="1:2" x14ac:dyDescent="0.25">
      <c r="A3668" s="20">
        <f t="shared" ca="1" si="114"/>
        <v>5.1537491749391151E-2</v>
      </c>
      <c r="B3668" s="21">
        <f t="shared" ca="1" si="115"/>
        <v>219</v>
      </c>
    </row>
    <row r="3669" spans="1:2" x14ac:dyDescent="0.25">
      <c r="A3669" s="20">
        <f t="shared" ca="1" si="114"/>
        <v>0.21681852058563611</v>
      </c>
      <c r="B3669" s="21">
        <f t="shared" ca="1" si="115"/>
        <v>1015</v>
      </c>
    </row>
    <row r="3670" spans="1:2" x14ac:dyDescent="0.25">
      <c r="A3670" s="20">
        <f t="shared" ca="1" si="114"/>
        <v>0.7889287847923504</v>
      </c>
      <c r="B3670" s="21">
        <f t="shared" ca="1" si="115"/>
        <v>3653</v>
      </c>
    </row>
    <row r="3671" spans="1:2" x14ac:dyDescent="0.25">
      <c r="A3671" s="20">
        <f t="shared" ca="1" si="114"/>
        <v>0.88782521408559478</v>
      </c>
      <c r="B3671" s="21">
        <f t="shared" ca="1" si="115"/>
        <v>4090</v>
      </c>
    </row>
    <row r="3672" spans="1:2" x14ac:dyDescent="0.25">
      <c r="A3672" s="20">
        <f t="shared" ca="1" si="114"/>
        <v>0.33762482047490971</v>
      </c>
      <c r="B3672" s="21">
        <f t="shared" ca="1" si="115"/>
        <v>1587</v>
      </c>
    </row>
    <row r="3673" spans="1:2" x14ac:dyDescent="0.25">
      <c r="A3673" s="20">
        <f t="shared" ca="1" si="114"/>
        <v>0.39078188284932402</v>
      </c>
      <c r="B3673" s="21">
        <f t="shared" ca="1" si="115"/>
        <v>1835</v>
      </c>
    </row>
    <row r="3674" spans="1:2" x14ac:dyDescent="0.25">
      <c r="A3674" s="20">
        <f t="shared" ca="1" si="114"/>
        <v>0.27630850871833379</v>
      </c>
      <c r="B3674" s="21">
        <f t="shared" ca="1" si="115"/>
        <v>1292</v>
      </c>
    </row>
    <row r="3675" spans="1:2" x14ac:dyDescent="0.25">
      <c r="A3675" s="20">
        <f t="shared" ca="1" si="114"/>
        <v>0.26964476109485613</v>
      </c>
      <c r="B3675" s="21">
        <f t="shared" ca="1" si="115"/>
        <v>1256</v>
      </c>
    </row>
    <row r="3676" spans="1:2" x14ac:dyDescent="0.25">
      <c r="A3676" s="20">
        <f t="shared" ca="1" si="114"/>
        <v>0.54104978782916935</v>
      </c>
      <c r="B3676" s="21">
        <f t="shared" ca="1" si="115"/>
        <v>2526</v>
      </c>
    </row>
    <row r="3677" spans="1:2" x14ac:dyDescent="0.25">
      <c r="A3677" s="20">
        <f t="shared" ca="1" si="114"/>
        <v>0.15733694644884977</v>
      </c>
      <c r="B3677" s="21">
        <f t="shared" ca="1" si="115"/>
        <v>706</v>
      </c>
    </row>
    <row r="3678" spans="1:2" x14ac:dyDescent="0.25">
      <c r="A3678" s="20">
        <f t="shared" ca="1" si="114"/>
        <v>5.866590809706751E-2</v>
      </c>
      <c r="B3678" s="21">
        <f t="shared" ca="1" si="115"/>
        <v>254</v>
      </c>
    </row>
    <row r="3679" spans="1:2" x14ac:dyDescent="0.25">
      <c r="A3679" s="20">
        <f t="shared" ca="1" si="114"/>
        <v>0.77992691539019088</v>
      </c>
      <c r="B3679" s="21">
        <f t="shared" ca="1" si="115"/>
        <v>3615</v>
      </c>
    </row>
    <row r="3680" spans="1:2" x14ac:dyDescent="0.25">
      <c r="A3680" s="20">
        <f t="shared" ca="1" si="114"/>
        <v>0.69719932157399678</v>
      </c>
      <c r="B3680" s="21">
        <f t="shared" ca="1" si="115"/>
        <v>3228</v>
      </c>
    </row>
    <row r="3681" spans="1:2" x14ac:dyDescent="0.25">
      <c r="A3681" s="20">
        <f t="shared" ca="1" si="114"/>
        <v>0.23162424134515502</v>
      </c>
      <c r="B3681" s="21">
        <f t="shared" ca="1" si="115"/>
        <v>1087</v>
      </c>
    </row>
    <row r="3682" spans="1:2" x14ac:dyDescent="0.25">
      <c r="A3682" s="20">
        <f t="shared" ca="1" si="114"/>
        <v>0.75598395561970555</v>
      </c>
      <c r="B3682" s="21">
        <f t="shared" ca="1" si="115"/>
        <v>3506</v>
      </c>
    </row>
    <row r="3683" spans="1:2" x14ac:dyDescent="0.25">
      <c r="A3683" s="20">
        <f t="shared" ca="1" si="114"/>
        <v>0.5846724446887771</v>
      </c>
      <c r="B3683" s="21">
        <f t="shared" ca="1" si="115"/>
        <v>2737</v>
      </c>
    </row>
    <row r="3684" spans="1:2" x14ac:dyDescent="0.25">
      <c r="A3684" s="20">
        <f t="shared" ca="1" si="114"/>
        <v>0.33275577247562937</v>
      </c>
      <c r="B3684" s="21">
        <f t="shared" ca="1" si="115"/>
        <v>1559</v>
      </c>
    </row>
    <row r="3685" spans="1:2" x14ac:dyDescent="0.25">
      <c r="A3685" s="20">
        <f t="shared" ca="1" si="114"/>
        <v>0.48235542826382438</v>
      </c>
      <c r="B3685" s="21">
        <f t="shared" ca="1" si="115"/>
        <v>2252</v>
      </c>
    </row>
    <row r="3686" spans="1:2" x14ac:dyDescent="0.25">
      <c r="A3686" s="20">
        <f t="shared" ca="1" si="114"/>
        <v>0.17591368488560433</v>
      </c>
      <c r="B3686" s="21">
        <f t="shared" ca="1" si="115"/>
        <v>800</v>
      </c>
    </row>
    <row r="3687" spans="1:2" x14ac:dyDescent="0.25">
      <c r="A3687" s="20">
        <f t="shared" ca="1" si="114"/>
        <v>0.27882158032554649</v>
      </c>
      <c r="B3687" s="21">
        <f t="shared" ca="1" si="115"/>
        <v>1297</v>
      </c>
    </row>
    <row r="3688" spans="1:2" x14ac:dyDescent="0.25">
      <c r="A3688" s="20">
        <f t="shared" ca="1" si="114"/>
        <v>0.47765788778495677</v>
      </c>
      <c r="B3688" s="21">
        <f t="shared" ca="1" si="115"/>
        <v>2227</v>
      </c>
    </row>
    <row r="3689" spans="1:2" x14ac:dyDescent="0.25">
      <c r="A3689" s="20">
        <f t="shared" ca="1" si="114"/>
        <v>0.42146287718637543</v>
      </c>
      <c r="B3689" s="21">
        <f t="shared" ca="1" si="115"/>
        <v>1979</v>
      </c>
    </row>
    <row r="3690" spans="1:2" x14ac:dyDescent="0.25">
      <c r="A3690" s="20">
        <f t="shared" ca="1" si="114"/>
        <v>0.41927784281055269</v>
      </c>
      <c r="B3690" s="21">
        <f t="shared" ca="1" si="115"/>
        <v>1961</v>
      </c>
    </row>
    <row r="3691" spans="1:2" x14ac:dyDescent="0.25">
      <c r="A3691" s="20">
        <f t="shared" ca="1" si="114"/>
        <v>0.25059239255376964</v>
      </c>
      <c r="B3691" s="21">
        <f t="shared" ca="1" si="115"/>
        <v>1170</v>
      </c>
    </row>
    <row r="3692" spans="1:2" x14ac:dyDescent="0.25">
      <c r="A3692" s="20">
        <f t="shared" ca="1" si="114"/>
        <v>0.79976477114865108</v>
      </c>
      <c r="B3692" s="21">
        <f t="shared" ca="1" si="115"/>
        <v>3704</v>
      </c>
    </row>
    <row r="3693" spans="1:2" x14ac:dyDescent="0.25">
      <c r="A3693" s="20">
        <f t="shared" ca="1" si="114"/>
        <v>0.99853271737137539</v>
      </c>
      <c r="B3693" s="21">
        <f t="shared" ca="1" si="115"/>
        <v>4612</v>
      </c>
    </row>
    <row r="3694" spans="1:2" x14ac:dyDescent="0.25">
      <c r="A3694" s="20">
        <f t="shared" ca="1" si="114"/>
        <v>0.67977158500245172</v>
      </c>
      <c r="B3694" s="21">
        <f t="shared" ca="1" si="115"/>
        <v>3152</v>
      </c>
    </row>
    <row r="3695" spans="1:2" x14ac:dyDescent="0.25">
      <c r="A3695" s="20">
        <f t="shared" ca="1" si="114"/>
        <v>0.37013359861846118</v>
      </c>
      <c r="B3695" s="21">
        <f t="shared" ca="1" si="115"/>
        <v>1758</v>
      </c>
    </row>
    <row r="3696" spans="1:2" x14ac:dyDescent="0.25">
      <c r="A3696" s="20">
        <f t="shared" ca="1" si="114"/>
        <v>3.9407441563148904E-2</v>
      </c>
      <c r="B3696" s="21">
        <f t="shared" ca="1" si="115"/>
        <v>153</v>
      </c>
    </row>
    <row r="3697" spans="1:2" x14ac:dyDescent="0.25">
      <c r="A3697" s="20">
        <f t="shared" ca="1" si="114"/>
        <v>0.80214268452669413</v>
      </c>
      <c r="B3697" s="21">
        <f t="shared" ca="1" si="115"/>
        <v>3714</v>
      </c>
    </row>
    <row r="3698" spans="1:2" x14ac:dyDescent="0.25">
      <c r="A3698" s="20">
        <f t="shared" ca="1" si="114"/>
        <v>0.44275972376505635</v>
      </c>
      <c r="B3698" s="21">
        <f t="shared" ca="1" si="115"/>
        <v>2069</v>
      </c>
    </row>
    <row r="3699" spans="1:2" x14ac:dyDescent="0.25">
      <c r="A3699" s="20">
        <f t="shared" ca="1" si="114"/>
        <v>0.60236136821134445</v>
      </c>
      <c r="B3699" s="21">
        <f t="shared" ca="1" si="115"/>
        <v>2813</v>
      </c>
    </row>
    <row r="3700" spans="1:2" x14ac:dyDescent="0.25">
      <c r="A3700" s="20">
        <f t="shared" ca="1" si="114"/>
        <v>0.57647368494732965</v>
      </c>
      <c r="B3700" s="21">
        <f t="shared" ca="1" si="115"/>
        <v>2693</v>
      </c>
    </row>
    <row r="3701" spans="1:2" x14ac:dyDescent="0.25">
      <c r="A3701" s="20">
        <f t="shared" ca="1" si="114"/>
        <v>0.82109101788683514</v>
      </c>
      <c r="B3701" s="21">
        <f t="shared" ca="1" si="115"/>
        <v>3799</v>
      </c>
    </row>
    <row r="3702" spans="1:2" x14ac:dyDescent="0.25">
      <c r="A3702" s="20">
        <f t="shared" ca="1" si="114"/>
        <v>0.40992381542701251</v>
      </c>
      <c r="B3702" s="21">
        <f t="shared" ca="1" si="115"/>
        <v>1928</v>
      </c>
    </row>
    <row r="3703" spans="1:2" x14ac:dyDescent="0.25">
      <c r="A3703" s="20">
        <f t="shared" ca="1" si="114"/>
        <v>9.8044763254368505E-2</v>
      </c>
      <c r="B3703" s="21">
        <f t="shared" ca="1" si="115"/>
        <v>439</v>
      </c>
    </row>
    <row r="3704" spans="1:2" x14ac:dyDescent="0.25">
      <c r="A3704" s="20">
        <f t="shared" ca="1" si="114"/>
        <v>0.86848761450921175</v>
      </c>
      <c r="B3704" s="21">
        <f t="shared" ca="1" si="115"/>
        <v>4010</v>
      </c>
    </row>
    <row r="3705" spans="1:2" x14ac:dyDescent="0.25">
      <c r="A3705" s="20">
        <f t="shared" ca="1" si="114"/>
        <v>0.20727740777529102</v>
      </c>
      <c r="B3705" s="21">
        <f t="shared" ca="1" si="115"/>
        <v>964</v>
      </c>
    </row>
    <row r="3706" spans="1:2" x14ac:dyDescent="0.25">
      <c r="A3706" s="20">
        <f t="shared" ca="1" si="114"/>
        <v>0.6458796455375837</v>
      </c>
      <c r="B3706" s="21">
        <f t="shared" ca="1" si="115"/>
        <v>2997</v>
      </c>
    </row>
    <row r="3707" spans="1:2" x14ac:dyDescent="0.25">
      <c r="A3707" s="20">
        <f t="shared" ca="1" si="114"/>
        <v>0.42149682270118749</v>
      </c>
      <c r="B3707" s="21">
        <f t="shared" ca="1" si="115"/>
        <v>1980</v>
      </c>
    </row>
    <row r="3708" spans="1:2" x14ac:dyDescent="0.25">
      <c r="A3708" s="20">
        <f t="shared" ca="1" si="114"/>
        <v>0.43949321184301471</v>
      </c>
      <c r="B3708" s="21">
        <f t="shared" ca="1" si="115"/>
        <v>2060</v>
      </c>
    </row>
    <row r="3709" spans="1:2" x14ac:dyDescent="0.25">
      <c r="A3709" s="20">
        <f t="shared" ca="1" si="114"/>
        <v>0.61378368537689232</v>
      </c>
      <c r="B3709" s="21">
        <f t="shared" ca="1" si="115"/>
        <v>2856</v>
      </c>
    </row>
    <row r="3710" spans="1:2" x14ac:dyDescent="0.25">
      <c r="A3710" s="20">
        <f t="shared" ca="1" si="114"/>
        <v>0.2168982564217129</v>
      </c>
      <c r="B3710" s="21">
        <f t="shared" ca="1" si="115"/>
        <v>1017</v>
      </c>
    </row>
    <row r="3711" spans="1:2" x14ac:dyDescent="0.25">
      <c r="A3711" s="20">
        <f t="shared" ca="1" si="114"/>
        <v>8.4894589322698E-2</v>
      </c>
      <c r="B3711" s="21">
        <f t="shared" ca="1" si="115"/>
        <v>380</v>
      </c>
    </row>
    <row r="3712" spans="1:2" x14ac:dyDescent="0.25">
      <c r="A3712" s="20">
        <f t="shared" ca="1" si="114"/>
        <v>0.43718315120385076</v>
      </c>
      <c r="B3712" s="21">
        <f t="shared" ca="1" si="115"/>
        <v>2051</v>
      </c>
    </row>
    <row r="3713" spans="1:2" x14ac:dyDescent="0.25">
      <c r="A3713" s="20">
        <f t="shared" ca="1" si="114"/>
        <v>0.21734429896811103</v>
      </c>
      <c r="B3713" s="21">
        <f t="shared" ca="1" si="115"/>
        <v>1018</v>
      </c>
    </row>
    <row r="3714" spans="1:2" x14ac:dyDescent="0.25">
      <c r="A3714" s="20">
        <f t="shared" ca="1" si="114"/>
        <v>0.86081422546143205</v>
      </c>
      <c r="B3714" s="21">
        <f t="shared" ca="1" si="115"/>
        <v>3972</v>
      </c>
    </row>
    <row r="3715" spans="1:2" x14ac:dyDescent="0.25">
      <c r="A3715" s="20">
        <f t="shared" ref="A3715:A3778" ca="1" si="116">RAND()</f>
        <v>8.7523640994617846E-3</v>
      </c>
      <c r="B3715" s="21">
        <f t="shared" ref="B3715:B3778" ca="1" si="117">_xlfn.RANK.EQ($A3715,$A:$A,1)</f>
        <v>33</v>
      </c>
    </row>
    <row r="3716" spans="1:2" x14ac:dyDescent="0.25">
      <c r="A3716" s="20">
        <f t="shared" ca="1" si="116"/>
        <v>0.64790696592652897</v>
      </c>
      <c r="B3716" s="21">
        <f t="shared" ca="1" si="117"/>
        <v>3011</v>
      </c>
    </row>
    <row r="3717" spans="1:2" x14ac:dyDescent="0.25">
      <c r="A3717" s="20">
        <f t="shared" ca="1" si="116"/>
        <v>0.57639313913770063</v>
      </c>
      <c r="B3717" s="21">
        <f t="shared" ca="1" si="117"/>
        <v>2689</v>
      </c>
    </row>
    <row r="3718" spans="1:2" x14ac:dyDescent="0.25">
      <c r="A3718" s="20">
        <f t="shared" ca="1" si="116"/>
        <v>0.3885763464637052</v>
      </c>
      <c r="B3718" s="21">
        <f t="shared" ca="1" si="117"/>
        <v>1823</v>
      </c>
    </row>
    <row r="3719" spans="1:2" x14ac:dyDescent="0.25">
      <c r="A3719" s="20">
        <f t="shared" ca="1" si="116"/>
        <v>0.71250170260886025</v>
      </c>
      <c r="B3719" s="21">
        <f t="shared" ca="1" si="117"/>
        <v>3296</v>
      </c>
    </row>
    <row r="3720" spans="1:2" x14ac:dyDescent="0.25">
      <c r="A3720" s="20">
        <f t="shared" ca="1" si="116"/>
        <v>0.74327920001173431</v>
      </c>
      <c r="B3720" s="21">
        <f t="shared" ca="1" si="117"/>
        <v>3434</v>
      </c>
    </row>
    <row r="3721" spans="1:2" x14ac:dyDescent="0.25">
      <c r="A3721" s="20">
        <f t="shared" ca="1" si="116"/>
        <v>0.52334315325667202</v>
      </c>
      <c r="B3721" s="21">
        <f t="shared" ca="1" si="117"/>
        <v>2444</v>
      </c>
    </row>
    <row r="3722" spans="1:2" x14ac:dyDescent="0.25">
      <c r="A3722" s="20">
        <f t="shared" ca="1" si="116"/>
        <v>0.78409766604994846</v>
      </c>
      <c r="B3722" s="21">
        <f t="shared" ca="1" si="117"/>
        <v>3631</v>
      </c>
    </row>
    <row r="3723" spans="1:2" x14ac:dyDescent="0.25">
      <c r="A3723" s="20">
        <f t="shared" ca="1" si="116"/>
        <v>0.58038349430658898</v>
      </c>
      <c r="B3723" s="21">
        <f t="shared" ca="1" si="117"/>
        <v>2711</v>
      </c>
    </row>
    <row r="3724" spans="1:2" x14ac:dyDescent="0.25">
      <c r="A3724" s="20">
        <f t="shared" ca="1" si="116"/>
        <v>0.77295123845769298</v>
      </c>
      <c r="B3724" s="21">
        <f t="shared" ca="1" si="117"/>
        <v>3589</v>
      </c>
    </row>
    <row r="3725" spans="1:2" x14ac:dyDescent="0.25">
      <c r="A3725" s="20">
        <f t="shared" ca="1" si="116"/>
        <v>0.46466331718636211</v>
      </c>
      <c r="B3725" s="21">
        <f t="shared" ca="1" si="117"/>
        <v>2176</v>
      </c>
    </row>
    <row r="3726" spans="1:2" x14ac:dyDescent="0.25">
      <c r="A3726" s="20">
        <f t="shared" ca="1" si="116"/>
        <v>0.51147939071027559</v>
      </c>
      <c r="B3726" s="21">
        <f t="shared" ca="1" si="117"/>
        <v>2386</v>
      </c>
    </row>
    <row r="3727" spans="1:2" x14ac:dyDescent="0.25">
      <c r="A3727" s="20">
        <f t="shared" ca="1" si="116"/>
        <v>0.75419444432683813</v>
      </c>
      <c r="B3727" s="21">
        <f t="shared" ca="1" si="117"/>
        <v>3498</v>
      </c>
    </row>
    <row r="3728" spans="1:2" x14ac:dyDescent="0.25">
      <c r="A3728" s="20">
        <f t="shared" ca="1" si="116"/>
        <v>0.55333055029314471</v>
      </c>
      <c r="B3728" s="21">
        <f t="shared" ca="1" si="117"/>
        <v>2585</v>
      </c>
    </row>
    <row r="3729" spans="1:2" x14ac:dyDescent="0.25">
      <c r="A3729" s="20">
        <f t="shared" ca="1" si="116"/>
        <v>0.20963038981341742</v>
      </c>
      <c r="B3729" s="21">
        <f t="shared" ca="1" si="117"/>
        <v>977</v>
      </c>
    </row>
    <row r="3730" spans="1:2" x14ac:dyDescent="0.25">
      <c r="A3730" s="20">
        <f t="shared" ca="1" si="116"/>
        <v>0.61093286605300279</v>
      </c>
      <c r="B3730" s="21">
        <f t="shared" ca="1" si="117"/>
        <v>2844</v>
      </c>
    </row>
    <row r="3731" spans="1:2" x14ac:dyDescent="0.25">
      <c r="A3731" s="20">
        <f t="shared" ca="1" si="116"/>
        <v>0.56655701029059435</v>
      </c>
      <c r="B3731" s="21">
        <f t="shared" ca="1" si="117"/>
        <v>2648</v>
      </c>
    </row>
    <row r="3732" spans="1:2" x14ac:dyDescent="0.25">
      <c r="A3732" s="20">
        <f t="shared" ca="1" si="116"/>
        <v>0.78179081335707412</v>
      </c>
      <c r="B3732" s="21">
        <f t="shared" ca="1" si="117"/>
        <v>3623</v>
      </c>
    </row>
    <row r="3733" spans="1:2" x14ac:dyDescent="0.25">
      <c r="A3733" s="20">
        <f t="shared" ca="1" si="116"/>
        <v>0.85441699489316214</v>
      </c>
      <c r="B3733" s="21">
        <f t="shared" ca="1" si="117"/>
        <v>3950</v>
      </c>
    </row>
    <row r="3734" spans="1:2" x14ac:dyDescent="0.25">
      <c r="A3734" s="20">
        <f t="shared" ca="1" si="116"/>
        <v>0.86366584460185514</v>
      </c>
      <c r="B3734" s="21">
        <f t="shared" ca="1" si="117"/>
        <v>3985</v>
      </c>
    </row>
    <row r="3735" spans="1:2" x14ac:dyDescent="0.25">
      <c r="A3735" s="20">
        <f t="shared" ca="1" si="116"/>
        <v>0.39036000264883819</v>
      </c>
      <c r="B3735" s="21">
        <f t="shared" ca="1" si="117"/>
        <v>1832</v>
      </c>
    </row>
    <row r="3736" spans="1:2" x14ac:dyDescent="0.25">
      <c r="A3736" s="20">
        <f t="shared" ca="1" si="116"/>
        <v>3.245671395006211E-2</v>
      </c>
      <c r="B3736" s="21">
        <f t="shared" ca="1" si="117"/>
        <v>127</v>
      </c>
    </row>
    <row r="3737" spans="1:2" x14ac:dyDescent="0.25">
      <c r="A3737" s="20">
        <f t="shared" ca="1" si="116"/>
        <v>0.62942441003484595</v>
      </c>
      <c r="B3737" s="21">
        <f t="shared" ca="1" si="117"/>
        <v>2915</v>
      </c>
    </row>
    <row r="3738" spans="1:2" x14ac:dyDescent="0.25">
      <c r="A3738" s="20">
        <f t="shared" ca="1" si="116"/>
        <v>0.96714767557278303</v>
      </c>
      <c r="B3738" s="21">
        <f t="shared" ca="1" si="117"/>
        <v>4484</v>
      </c>
    </row>
    <row r="3739" spans="1:2" x14ac:dyDescent="0.25">
      <c r="A3739" s="20">
        <f t="shared" ca="1" si="116"/>
        <v>0.91336321187790137</v>
      </c>
      <c r="B3739" s="21">
        <f t="shared" ca="1" si="117"/>
        <v>4212</v>
      </c>
    </row>
    <row r="3740" spans="1:2" x14ac:dyDescent="0.25">
      <c r="A3740" s="20">
        <f t="shared" ca="1" si="116"/>
        <v>0.6698439240663312</v>
      </c>
      <c r="B3740" s="21">
        <f t="shared" ca="1" si="117"/>
        <v>3108</v>
      </c>
    </row>
    <row r="3741" spans="1:2" x14ac:dyDescent="0.25">
      <c r="A3741" s="20">
        <f t="shared" ca="1" si="116"/>
        <v>0.85265945434336987</v>
      </c>
      <c r="B3741" s="21">
        <f t="shared" ca="1" si="117"/>
        <v>3939</v>
      </c>
    </row>
    <row r="3742" spans="1:2" x14ac:dyDescent="0.25">
      <c r="A3742" s="20">
        <f t="shared" ca="1" si="116"/>
        <v>0.28930284179090615</v>
      </c>
      <c r="B3742" s="21">
        <f t="shared" ca="1" si="117"/>
        <v>1358</v>
      </c>
    </row>
    <row r="3743" spans="1:2" x14ac:dyDescent="0.25">
      <c r="A3743" s="20">
        <f t="shared" ca="1" si="116"/>
        <v>0.28737126736179452</v>
      </c>
      <c r="B3743" s="21">
        <f t="shared" ca="1" si="117"/>
        <v>1347</v>
      </c>
    </row>
    <row r="3744" spans="1:2" x14ac:dyDescent="0.25">
      <c r="A3744" s="20">
        <f t="shared" ca="1" si="116"/>
        <v>0.1455343435492239</v>
      </c>
      <c r="B3744" s="21">
        <f t="shared" ca="1" si="117"/>
        <v>640</v>
      </c>
    </row>
    <row r="3745" spans="1:2" x14ac:dyDescent="0.25">
      <c r="A3745" s="20">
        <f t="shared" ca="1" si="116"/>
        <v>0.63271016507080535</v>
      </c>
      <c r="B3745" s="21">
        <f t="shared" ca="1" si="117"/>
        <v>2931</v>
      </c>
    </row>
    <row r="3746" spans="1:2" x14ac:dyDescent="0.25">
      <c r="A3746" s="20">
        <f t="shared" ca="1" si="116"/>
        <v>0.42055864730908255</v>
      </c>
      <c r="B3746" s="21">
        <f t="shared" ca="1" si="117"/>
        <v>1965</v>
      </c>
    </row>
    <row r="3747" spans="1:2" x14ac:dyDescent="0.25">
      <c r="A3747" s="20">
        <f t="shared" ca="1" si="116"/>
        <v>0.97771701910535325</v>
      </c>
      <c r="B3747" s="21">
        <f t="shared" ca="1" si="117"/>
        <v>4530</v>
      </c>
    </row>
    <row r="3748" spans="1:2" x14ac:dyDescent="0.25">
      <c r="A3748" s="20">
        <f t="shared" ca="1" si="116"/>
        <v>0.11554607867578315</v>
      </c>
      <c r="B3748" s="21">
        <f t="shared" ca="1" si="117"/>
        <v>508</v>
      </c>
    </row>
    <row r="3749" spans="1:2" x14ac:dyDescent="0.25">
      <c r="A3749" s="20">
        <f t="shared" ca="1" si="116"/>
        <v>0.36185801674521134</v>
      </c>
      <c r="B3749" s="21">
        <f t="shared" ca="1" si="117"/>
        <v>1712</v>
      </c>
    </row>
    <row r="3750" spans="1:2" x14ac:dyDescent="0.25">
      <c r="A3750" s="20">
        <f t="shared" ca="1" si="116"/>
        <v>0.3293348632744123</v>
      </c>
      <c r="B3750" s="21">
        <f t="shared" ca="1" si="117"/>
        <v>1544</v>
      </c>
    </row>
    <row r="3751" spans="1:2" x14ac:dyDescent="0.25">
      <c r="A3751" s="20">
        <f t="shared" ca="1" si="116"/>
        <v>0.57259759875954508</v>
      </c>
      <c r="B3751" s="21">
        <f t="shared" ca="1" si="117"/>
        <v>2673</v>
      </c>
    </row>
    <row r="3752" spans="1:2" x14ac:dyDescent="0.25">
      <c r="A3752" s="20">
        <f t="shared" ca="1" si="116"/>
        <v>0.67275066075096335</v>
      </c>
      <c r="B3752" s="21">
        <f t="shared" ca="1" si="117"/>
        <v>3114</v>
      </c>
    </row>
    <row r="3753" spans="1:2" x14ac:dyDescent="0.25">
      <c r="A3753" s="20">
        <f t="shared" ca="1" si="116"/>
        <v>0.40128402947737929</v>
      </c>
      <c r="B3753" s="21">
        <f t="shared" ca="1" si="117"/>
        <v>1887</v>
      </c>
    </row>
    <row r="3754" spans="1:2" x14ac:dyDescent="0.25">
      <c r="A3754" s="20">
        <f t="shared" ca="1" si="116"/>
        <v>0.99627684356292978</v>
      </c>
      <c r="B3754" s="21">
        <f t="shared" ca="1" si="117"/>
        <v>4602</v>
      </c>
    </row>
    <row r="3755" spans="1:2" x14ac:dyDescent="0.25">
      <c r="A3755" s="20">
        <f t="shared" ca="1" si="116"/>
        <v>0.91514191188358085</v>
      </c>
      <c r="B3755" s="21">
        <f t="shared" ca="1" si="117"/>
        <v>4226</v>
      </c>
    </row>
    <row r="3756" spans="1:2" x14ac:dyDescent="0.25">
      <c r="A3756" s="20">
        <f t="shared" ca="1" si="116"/>
        <v>0.60761824846380463</v>
      </c>
      <c r="B3756" s="21">
        <f t="shared" ca="1" si="117"/>
        <v>2828</v>
      </c>
    </row>
    <row r="3757" spans="1:2" x14ac:dyDescent="0.25">
      <c r="A3757" s="20">
        <f t="shared" ca="1" si="116"/>
        <v>3.1124382014616647E-2</v>
      </c>
      <c r="B3757" s="21">
        <f t="shared" ca="1" si="117"/>
        <v>118</v>
      </c>
    </row>
    <row r="3758" spans="1:2" x14ac:dyDescent="0.25">
      <c r="A3758" s="20">
        <f t="shared" ca="1" si="116"/>
        <v>0.28239658050822858</v>
      </c>
      <c r="B3758" s="21">
        <f t="shared" ca="1" si="117"/>
        <v>1318</v>
      </c>
    </row>
    <row r="3759" spans="1:2" x14ac:dyDescent="0.25">
      <c r="A3759" s="20">
        <f t="shared" ca="1" si="116"/>
        <v>0.53487662537521019</v>
      </c>
      <c r="B3759" s="21">
        <f t="shared" ca="1" si="117"/>
        <v>2496</v>
      </c>
    </row>
    <row r="3760" spans="1:2" x14ac:dyDescent="0.25">
      <c r="A3760" s="20">
        <f t="shared" ca="1" si="116"/>
        <v>0.50598103084718138</v>
      </c>
      <c r="B3760" s="21">
        <f t="shared" ca="1" si="117"/>
        <v>2357</v>
      </c>
    </row>
    <row r="3761" spans="1:2" x14ac:dyDescent="0.25">
      <c r="A3761" s="20">
        <f t="shared" ca="1" si="116"/>
        <v>0.53103539378469733</v>
      </c>
      <c r="B3761" s="21">
        <f t="shared" ca="1" si="117"/>
        <v>2480</v>
      </c>
    </row>
    <row r="3762" spans="1:2" x14ac:dyDescent="0.25">
      <c r="A3762" s="20">
        <f t="shared" ca="1" si="116"/>
        <v>0.14487284715717863</v>
      </c>
      <c r="B3762" s="21">
        <f t="shared" ca="1" si="117"/>
        <v>638</v>
      </c>
    </row>
    <row r="3763" spans="1:2" x14ac:dyDescent="0.25">
      <c r="A3763" s="20">
        <f t="shared" ca="1" si="116"/>
        <v>0.88872474134255619</v>
      </c>
      <c r="B3763" s="21">
        <f t="shared" ca="1" si="117"/>
        <v>4094</v>
      </c>
    </row>
    <row r="3764" spans="1:2" x14ac:dyDescent="0.25">
      <c r="A3764" s="20">
        <f t="shared" ca="1" si="116"/>
        <v>0.8956551804205557</v>
      </c>
      <c r="B3764" s="21">
        <f t="shared" ca="1" si="117"/>
        <v>4131</v>
      </c>
    </row>
    <row r="3765" spans="1:2" x14ac:dyDescent="0.25">
      <c r="A3765" s="20">
        <f t="shared" ca="1" si="116"/>
        <v>0.9709296196124898</v>
      </c>
      <c r="B3765" s="21">
        <f t="shared" ca="1" si="117"/>
        <v>4503</v>
      </c>
    </row>
    <row r="3766" spans="1:2" x14ac:dyDescent="0.25">
      <c r="A3766" s="20">
        <f t="shared" ca="1" si="116"/>
        <v>0.18348358353545691</v>
      </c>
      <c r="B3766" s="21">
        <f t="shared" ca="1" si="117"/>
        <v>842</v>
      </c>
    </row>
    <row r="3767" spans="1:2" x14ac:dyDescent="0.25">
      <c r="A3767" s="20">
        <f t="shared" ca="1" si="116"/>
        <v>0.49595579667806688</v>
      </c>
      <c r="B3767" s="21">
        <f t="shared" ca="1" si="117"/>
        <v>2304</v>
      </c>
    </row>
    <row r="3768" spans="1:2" x14ac:dyDescent="0.25">
      <c r="A3768" s="20">
        <f t="shared" ca="1" si="116"/>
        <v>0.68435016917494318</v>
      </c>
      <c r="B3768" s="21">
        <f t="shared" ca="1" si="117"/>
        <v>3176</v>
      </c>
    </row>
    <row r="3769" spans="1:2" x14ac:dyDescent="0.25">
      <c r="A3769" s="20">
        <f t="shared" ca="1" si="116"/>
        <v>0.79761743154495035</v>
      </c>
      <c r="B3769" s="21">
        <f t="shared" ca="1" si="117"/>
        <v>3693</v>
      </c>
    </row>
    <row r="3770" spans="1:2" x14ac:dyDescent="0.25">
      <c r="A3770" s="20">
        <f t="shared" ca="1" si="116"/>
        <v>0.93214408737491328</v>
      </c>
      <c r="B3770" s="21">
        <f t="shared" ca="1" si="117"/>
        <v>4307</v>
      </c>
    </row>
    <row r="3771" spans="1:2" x14ac:dyDescent="0.25">
      <c r="A3771" s="20">
        <f t="shared" ca="1" si="116"/>
        <v>0.2438206087416579</v>
      </c>
      <c r="B3771" s="21">
        <f t="shared" ca="1" si="117"/>
        <v>1136</v>
      </c>
    </row>
    <row r="3772" spans="1:2" x14ac:dyDescent="0.25">
      <c r="A3772" s="20">
        <f t="shared" ca="1" si="116"/>
        <v>0.93599339770423107</v>
      </c>
      <c r="B3772" s="21">
        <f t="shared" ca="1" si="117"/>
        <v>4327</v>
      </c>
    </row>
    <row r="3773" spans="1:2" x14ac:dyDescent="0.25">
      <c r="A3773" s="20">
        <f t="shared" ca="1" si="116"/>
        <v>0.43102042800416229</v>
      </c>
      <c r="B3773" s="21">
        <f t="shared" ca="1" si="117"/>
        <v>2026</v>
      </c>
    </row>
    <row r="3774" spans="1:2" x14ac:dyDescent="0.25">
      <c r="A3774" s="20">
        <f t="shared" ca="1" si="116"/>
        <v>0.79693690454540445</v>
      </c>
      <c r="B3774" s="21">
        <f t="shared" ca="1" si="117"/>
        <v>3688</v>
      </c>
    </row>
    <row r="3775" spans="1:2" x14ac:dyDescent="0.25">
      <c r="A3775" s="20">
        <f t="shared" ca="1" si="116"/>
        <v>0.36818132605940468</v>
      </c>
      <c r="B3775" s="21">
        <f t="shared" ca="1" si="117"/>
        <v>1750</v>
      </c>
    </row>
    <row r="3776" spans="1:2" x14ac:dyDescent="0.25">
      <c r="A3776" s="20">
        <f t="shared" ca="1" si="116"/>
        <v>0.47327188600201564</v>
      </c>
      <c r="B3776" s="21">
        <f t="shared" ca="1" si="117"/>
        <v>2210</v>
      </c>
    </row>
    <row r="3777" spans="1:2" x14ac:dyDescent="0.25">
      <c r="A3777" s="20">
        <f t="shared" ca="1" si="116"/>
        <v>0.53040874697263529</v>
      </c>
      <c r="B3777" s="21">
        <f t="shared" ca="1" si="117"/>
        <v>2476</v>
      </c>
    </row>
    <row r="3778" spans="1:2" x14ac:dyDescent="0.25">
      <c r="A3778" s="20">
        <f t="shared" ca="1" si="116"/>
        <v>0.58031015335835867</v>
      </c>
      <c r="B3778" s="21">
        <f t="shared" ca="1" si="117"/>
        <v>2710</v>
      </c>
    </row>
    <row r="3779" spans="1:2" x14ac:dyDescent="0.25">
      <c r="A3779" s="20">
        <f t="shared" ref="A3779:A3842" ca="1" si="118">RAND()</f>
        <v>0.75913823877944631</v>
      </c>
      <c r="B3779" s="21">
        <f t="shared" ref="B3779:B3842" ca="1" si="119">_xlfn.RANK.EQ($A3779,$A:$A,1)</f>
        <v>3519</v>
      </c>
    </row>
    <row r="3780" spans="1:2" x14ac:dyDescent="0.25">
      <c r="A3780" s="20">
        <f t="shared" ca="1" si="118"/>
        <v>0.50108273253599722</v>
      </c>
      <c r="B3780" s="21">
        <f t="shared" ca="1" si="119"/>
        <v>2327</v>
      </c>
    </row>
    <row r="3781" spans="1:2" x14ac:dyDescent="0.25">
      <c r="A3781" s="20">
        <f t="shared" ca="1" si="118"/>
        <v>0.30585114133116076</v>
      </c>
      <c r="B3781" s="21">
        <f t="shared" ca="1" si="119"/>
        <v>1433</v>
      </c>
    </row>
    <row r="3782" spans="1:2" x14ac:dyDescent="0.25">
      <c r="A3782" s="20">
        <f t="shared" ca="1" si="118"/>
        <v>0.77230336512827757</v>
      </c>
      <c r="B3782" s="21">
        <f t="shared" ca="1" si="119"/>
        <v>3583</v>
      </c>
    </row>
    <row r="3783" spans="1:2" x14ac:dyDescent="0.25">
      <c r="A3783" s="20">
        <f t="shared" ca="1" si="118"/>
        <v>0.69023255472302614</v>
      </c>
      <c r="B3783" s="21">
        <f t="shared" ca="1" si="119"/>
        <v>3201</v>
      </c>
    </row>
    <row r="3784" spans="1:2" x14ac:dyDescent="0.25">
      <c r="A3784" s="20">
        <f t="shared" ca="1" si="118"/>
        <v>0.23624058863811326</v>
      </c>
      <c r="B3784" s="21">
        <f t="shared" ca="1" si="119"/>
        <v>1108</v>
      </c>
    </row>
    <row r="3785" spans="1:2" x14ac:dyDescent="0.25">
      <c r="A3785" s="20">
        <f t="shared" ca="1" si="118"/>
        <v>6.4952657494946608E-2</v>
      </c>
      <c r="B3785" s="21">
        <f t="shared" ca="1" si="119"/>
        <v>284</v>
      </c>
    </row>
    <row r="3786" spans="1:2" x14ac:dyDescent="0.25">
      <c r="A3786" s="20">
        <f t="shared" ca="1" si="118"/>
        <v>0.86300076097984368</v>
      </c>
      <c r="B3786" s="21">
        <f t="shared" ca="1" si="119"/>
        <v>3983</v>
      </c>
    </row>
    <row r="3787" spans="1:2" x14ac:dyDescent="0.25">
      <c r="A3787" s="20">
        <f t="shared" ca="1" si="118"/>
        <v>6.7663411897149639E-2</v>
      </c>
      <c r="B3787" s="21">
        <f t="shared" ca="1" si="119"/>
        <v>301</v>
      </c>
    </row>
    <row r="3788" spans="1:2" x14ac:dyDescent="0.25">
      <c r="A3788" s="20">
        <f t="shared" ca="1" si="118"/>
        <v>0.12608734742294425</v>
      </c>
      <c r="B3788" s="21">
        <f t="shared" ca="1" si="119"/>
        <v>556</v>
      </c>
    </row>
    <row r="3789" spans="1:2" x14ac:dyDescent="0.25">
      <c r="A3789" s="20">
        <f t="shared" ca="1" si="118"/>
        <v>0.12112221032269566</v>
      </c>
      <c r="B3789" s="21">
        <f t="shared" ca="1" si="119"/>
        <v>532</v>
      </c>
    </row>
    <row r="3790" spans="1:2" x14ac:dyDescent="0.25">
      <c r="A3790" s="20">
        <f t="shared" ca="1" si="118"/>
        <v>0.64046637559935371</v>
      </c>
      <c r="B3790" s="21">
        <f t="shared" ca="1" si="119"/>
        <v>2967</v>
      </c>
    </row>
    <row r="3791" spans="1:2" x14ac:dyDescent="0.25">
      <c r="A3791" s="20">
        <f t="shared" ca="1" si="118"/>
        <v>0.53096811828769419</v>
      </c>
      <c r="B3791" s="21">
        <f t="shared" ca="1" si="119"/>
        <v>2479</v>
      </c>
    </row>
    <row r="3792" spans="1:2" x14ac:dyDescent="0.25">
      <c r="A3792" s="20">
        <f t="shared" ca="1" si="118"/>
        <v>0.2560457172449343</v>
      </c>
      <c r="B3792" s="21">
        <f t="shared" ca="1" si="119"/>
        <v>1195</v>
      </c>
    </row>
    <row r="3793" spans="1:2" x14ac:dyDescent="0.25">
      <c r="A3793" s="20">
        <f t="shared" ca="1" si="118"/>
        <v>9.472351442875504E-3</v>
      </c>
      <c r="B3793" s="21">
        <f t="shared" ca="1" si="119"/>
        <v>36</v>
      </c>
    </row>
    <row r="3794" spans="1:2" x14ac:dyDescent="0.25">
      <c r="A3794" s="20">
        <f t="shared" ca="1" si="118"/>
        <v>0.49386173539307643</v>
      </c>
      <c r="B3794" s="21">
        <f t="shared" ca="1" si="119"/>
        <v>2300</v>
      </c>
    </row>
    <row r="3795" spans="1:2" x14ac:dyDescent="0.25">
      <c r="A3795" s="20">
        <f t="shared" ca="1" si="118"/>
        <v>0.70331534404256568</v>
      </c>
      <c r="B3795" s="21">
        <f t="shared" ca="1" si="119"/>
        <v>3254</v>
      </c>
    </row>
    <row r="3796" spans="1:2" x14ac:dyDescent="0.25">
      <c r="A3796" s="20">
        <f t="shared" ca="1" si="118"/>
        <v>0.96335483639921227</v>
      </c>
      <c r="B3796" s="21">
        <f t="shared" ca="1" si="119"/>
        <v>4461</v>
      </c>
    </row>
    <row r="3797" spans="1:2" x14ac:dyDescent="0.25">
      <c r="A3797" s="20">
        <f t="shared" ca="1" si="118"/>
        <v>0.84997010623558822</v>
      </c>
      <c r="B3797" s="21">
        <f t="shared" ca="1" si="119"/>
        <v>3926</v>
      </c>
    </row>
    <row r="3798" spans="1:2" x14ac:dyDescent="0.25">
      <c r="A3798" s="20">
        <f t="shared" ca="1" si="118"/>
        <v>0.41616360757116788</v>
      </c>
      <c r="B3798" s="21">
        <f t="shared" ca="1" si="119"/>
        <v>1952</v>
      </c>
    </row>
    <row r="3799" spans="1:2" x14ac:dyDescent="0.25">
      <c r="A3799" s="20">
        <f t="shared" ca="1" si="118"/>
        <v>0.34145370467907177</v>
      </c>
      <c r="B3799" s="21">
        <f t="shared" ca="1" si="119"/>
        <v>1604</v>
      </c>
    </row>
    <row r="3800" spans="1:2" x14ac:dyDescent="0.25">
      <c r="A3800" s="20">
        <f t="shared" ca="1" si="118"/>
        <v>0.4964036819427956</v>
      </c>
      <c r="B3800" s="21">
        <f t="shared" ca="1" si="119"/>
        <v>2306</v>
      </c>
    </row>
    <row r="3801" spans="1:2" x14ac:dyDescent="0.25">
      <c r="A3801" s="20">
        <f t="shared" ca="1" si="118"/>
        <v>0.20388539749276069</v>
      </c>
      <c r="B3801" s="21">
        <f t="shared" ca="1" si="119"/>
        <v>946</v>
      </c>
    </row>
    <row r="3802" spans="1:2" x14ac:dyDescent="0.25">
      <c r="A3802" s="20">
        <f t="shared" ca="1" si="118"/>
        <v>0.45707097835858834</v>
      </c>
      <c r="B3802" s="21">
        <f t="shared" ca="1" si="119"/>
        <v>2148</v>
      </c>
    </row>
    <row r="3803" spans="1:2" x14ac:dyDescent="0.25">
      <c r="A3803" s="20">
        <f t="shared" ca="1" si="118"/>
        <v>0.68010836549964204</v>
      </c>
      <c r="B3803" s="21">
        <f t="shared" ca="1" si="119"/>
        <v>3153</v>
      </c>
    </row>
    <row r="3804" spans="1:2" x14ac:dyDescent="0.25">
      <c r="A3804" s="20">
        <f t="shared" ca="1" si="118"/>
        <v>0.9958085494046035</v>
      </c>
      <c r="B3804" s="21">
        <f t="shared" ca="1" si="119"/>
        <v>4600</v>
      </c>
    </row>
    <row r="3805" spans="1:2" x14ac:dyDescent="0.25">
      <c r="A3805" s="20">
        <f t="shared" ca="1" si="118"/>
        <v>0.76840585634006375</v>
      </c>
      <c r="B3805" s="21">
        <f t="shared" ca="1" si="119"/>
        <v>3563</v>
      </c>
    </row>
    <row r="3806" spans="1:2" x14ac:dyDescent="0.25">
      <c r="A3806" s="20">
        <f t="shared" ca="1" si="118"/>
        <v>0.38454705415470158</v>
      </c>
      <c r="B3806" s="21">
        <f t="shared" ca="1" si="119"/>
        <v>1802</v>
      </c>
    </row>
    <row r="3807" spans="1:2" x14ac:dyDescent="0.25">
      <c r="A3807" s="20">
        <f t="shared" ca="1" si="118"/>
        <v>0.71625586567034605</v>
      </c>
      <c r="B3807" s="21">
        <f t="shared" ca="1" si="119"/>
        <v>3314</v>
      </c>
    </row>
    <row r="3808" spans="1:2" x14ac:dyDescent="0.25">
      <c r="A3808" s="20">
        <f t="shared" ca="1" si="118"/>
        <v>0.92794484798090859</v>
      </c>
      <c r="B3808" s="21">
        <f t="shared" ca="1" si="119"/>
        <v>4282</v>
      </c>
    </row>
    <row r="3809" spans="1:2" x14ac:dyDescent="0.25">
      <c r="A3809" s="20">
        <f t="shared" ca="1" si="118"/>
        <v>0.7588701710506166</v>
      </c>
      <c r="B3809" s="21">
        <f t="shared" ca="1" si="119"/>
        <v>3518</v>
      </c>
    </row>
    <row r="3810" spans="1:2" x14ac:dyDescent="0.25">
      <c r="A3810" s="20">
        <f t="shared" ca="1" si="118"/>
        <v>0.87429106296651882</v>
      </c>
      <c r="B3810" s="21">
        <f t="shared" ca="1" si="119"/>
        <v>4030</v>
      </c>
    </row>
    <row r="3811" spans="1:2" x14ac:dyDescent="0.25">
      <c r="A3811" s="20">
        <f t="shared" ca="1" si="118"/>
        <v>0.68440144965985183</v>
      </c>
      <c r="B3811" s="21">
        <f t="shared" ca="1" si="119"/>
        <v>3177</v>
      </c>
    </row>
    <row r="3812" spans="1:2" x14ac:dyDescent="0.25">
      <c r="A3812" s="20">
        <f t="shared" ca="1" si="118"/>
        <v>0.56104326650192926</v>
      </c>
      <c r="B3812" s="21">
        <f t="shared" ca="1" si="119"/>
        <v>2624</v>
      </c>
    </row>
    <row r="3813" spans="1:2" x14ac:dyDescent="0.25">
      <c r="A3813" s="20">
        <f t="shared" ca="1" si="118"/>
        <v>0.12239849641618084</v>
      </c>
      <c r="B3813" s="21">
        <f t="shared" ca="1" si="119"/>
        <v>542</v>
      </c>
    </row>
    <row r="3814" spans="1:2" x14ac:dyDescent="0.25">
      <c r="A3814" s="20">
        <f t="shared" ca="1" si="118"/>
        <v>0.88448762022587979</v>
      </c>
      <c r="B3814" s="21">
        <f t="shared" ca="1" si="119"/>
        <v>4080</v>
      </c>
    </row>
    <row r="3815" spans="1:2" x14ac:dyDescent="0.25">
      <c r="A3815" s="20">
        <f t="shared" ca="1" si="118"/>
        <v>0.25032047625563381</v>
      </c>
      <c r="B3815" s="21">
        <f t="shared" ca="1" si="119"/>
        <v>1168</v>
      </c>
    </row>
    <row r="3816" spans="1:2" x14ac:dyDescent="0.25">
      <c r="A3816" s="20">
        <f t="shared" ca="1" si="118"/>
        <v>0.47821649886147166</v>
      </c>
      <c r="B3816" s="21">
        <f t="shared" ca="1" si="119"/>
        <v>2229</v>
      </c>
    </row>
    <row r="3817" spans="1:2" x14ac:dyDescent="0.25">
      <c r="A3817" s="20">
        <f t="shared" ca="1" si="118"/>
        <v>7.4918838151843303E-2</v>
      </c>
      <c r="B3817" s="21">
        <f t="shared" ca="1" si="119"/>
        <v>335</v>
      </c>
    </row>
    <row r="3818" spans="1:2" x14ac:dyDescent="0.25">
      <c r="A3818" s="20">
        <f t="shared" ca="1" si="118"/>
        <v>0.19951549731533291</v>
      </c>
      <c r="B3818" s="21">
        <f t="shared" ca="1" si="119"/>
        <v>924</v>
      </c>
    </row>
    <row r="3819" spans="1:2" x14ac:dyDescent="0.25">
      <c r="A3819" s="20">
        <f t="shared" ca="1" si="118"/>
        <v>0.7553360150188404</v>
      </c>
      <c r="B3819" s="21">
        <f t="shared" ca="1" si="119"/>
        <v>3502</v>
      </c>
    </row>
    <row r="3820" spans="1:2" x14ac:dyDescent="0.25">
      <c r="A3820" s="20">
        <f t="shared" ca="1" si="118"/>
        <v>0.57968613516748357</v>
      </c>
      <c r="B3820" s="21">
        <f t="shared" ca="1" si="119"/>
        <v>2706</v>
      </c>
    </row>
    <row r="3821" spans="1:2" x14ac:dyDescent="0.25">
      <c r="A3821" s="20">
        <f t="shared" ca="1" si="118"/>
        <v>0.69809624067473286</v>
      </c>
      <c r="B3821" s="21">
        <f t="shared" ca="1" si="119"/>
        <v>3232</v>
      </c>
    </row>
    <row r="3822" spans="1:2" x14ac:dyDescent="0.25">
      <c r="A3822" s="20">
        <f t="shared" ca="1" si="118"/>
        <v>0.24148766226651297</v>
      </c>
      <c r="B3822" s="21">
        <f t="shared" ca="1" si="119"/>
        <v>1130</v>
      </c>
    </row>
    <row r="3823" spans="1:2" x14ac:dyDescent="0.25">
      <c r="A3823" s="20">
        <f t="shared" ca="1" si="118"/>
        <v>0.24608807335513494</v>
      </c>
      <c r="B3823" s="21">
        <f t="shared" ca="1" si="119"/>
        <v>1147</v>
      </c>
    </row>
    <row r="3824" spans="1:2" x14ac:dyDescent="0.25">
      <c r="A3824" s="20">
        <f t="shared" ca="1" si="118"/>
        <v>0.42188693420703549</v>
      </c>
      <c r="B3824" s="21">
        <f t="shared" ca="1" si="119"/>
        <v>1982</v>
      </c>
    </row>
    <row r="3825" spans="1:2" x14ac:dyDescent="0.25">
      <c r="A3825" s="20">
        <f t="shared" ca="1" si="118"/>
        <v>0.55492033932593154</v>
      </c>
      <c r="B3825" s="21">
        <f t="shared" ca="1" si="119"/>
        <v>2596</v>
      </c>
    </row>
    <row r="3826" spans="1:2" x14ac:dyDescent="0.25">
      <c r="A3826" s="20">
        <f t="shared" ca="1" si="118"/>
        <v>3.1003817528659772E-2</v>
      </c>
      <c r="B3826" s="21">
        <f t="shared" ca="1" si="119"/>
        <v>115</v>
      </c>
    </row>
    <row r="3827" spans="1:2" x14ac:dyDescent="0.25">
      <c r="A3827" s="20">
        <f t="shared" ca="1" si="118"/>
        <v>0.80765594072228886</v>
      </c>
      <c r="B3827" s="21">
        <f t="shared" ca="1" si="119"/>
        <v>3734</v>
      </c>
    </row>
    <row r="3828" spans="1:2" x14ac:dyDescent="0.25">
      <c r="A3828" s="20">
        <f t="shared" ca="1" si="118"/>
        <v>3.5624451649139077E-2</v>
      </c>
      <c r="B3828" s="21">
        <f t="shared" ca="1" si="119"/>
        <v>137</v>
      </c>
    </row>
    <row r="3829" spans="1:2" x14ac:dyDescent="0.25">
      <c r="A3829" s="20">
        <f t="shared" ca="1" si="118"/>
        <v>0.31297256857524924</v>
      </c>
      <c r="B3829" s="21">
        <f t="shared" ca="1" si="119"/>
        <v>1467</v>
      </c>
    </row>
    <row r="3830" spans="1:2" x14ac:dyDescent="0.25">
      <c r="A3830" s="20">
        <f t="shared" ca="1" si="118"/>
        <v>0.57987098580699759</v>
      </c>
      <c r="B3830" s="21">
        <f t="shared" ca="1" si="119"/>
        <v>2708</v>
      </c>
    </row>
    <row r="3831" spans="1:2" x14ac:dyDescent="0.25">
      <c r="A3831" s="20">
        <f t="shared" ca="1" si="118"/>
        <v>0.6473758838037823</v>
      </c>
      <c r="B3831" s="21">
        <f t="shared" ca="1" si="119"/>
        <v>3006</v>
      </c>
    </row>
    <row r="3832" spans="1:2" x14ac:dyDescent="0.25">
      <c r="A3832" s="20">
        <f t="shared" ca="1" si="118"/>
        <v>0.12044822372580211</v>
      </c>
      <c r="B3832" s="21">
        <f t="shared" ca="1" si="119"/>
        <v>528</v>
      </c>
    </row>
    <row r="3833" spans="1:2" x14ac:dyDescent="0.25">
      <c r="A3833" s="20">
        <f t="shared" ca="1" si="118"/>
        <v>0.90332448938271526</v>
      </c>
      <c r="B3833" s="21">
        <f t="shared" ca="1" si="119"/>
        <v>4171</v>
      </c>
    </row>
    <row r="3834" spans="1:2" x14ac:dyDescent="0.25">
      <c r="A3834" s="20">
        <f t="shared" ca="1" si="118"/>
        <v>0.11814699994424205</v>
      </c>
      <c r="B3834" s="21">
        <f t="shared" ca="1" si="119"/>
        <v>517</v>
      </c>
    </row>
    <row r="3835" spans="1:2" x14ac:dyDescent="0.25">
      <c r="A3835" s="20">
        <f t="shared" ca="1" si="118"/>
        <v>0.26598305226899599</v>
      </c>
      <c r="B3835" s="21">
        <f t="shared" ca="1" si="119"/>
        <v>1247</v>
      </c>
    </row>
    <row r="3836" spans="1:2" x14ac:dyDescent="0.25">
      <c r="A3836" s="20">
        <f t="shared" ca="1" si="118"/>
        <v>0.73820656298362652</v>
      </c>
      <c r="B3836" s="21">
        <f t="shared" ca="1" si="119"/>
        <v>3417</v>
      </c>
    </row>
    <row r="3837" spans="1:2" x14ac:dyDescent="0.25">
      <c r="A3837" s="20">
        <f t="shared" ca="1" si="118"/>
        <v>6.5444237606304689E-3</v>
      </c>
      <c r="B3837" s="21">
        <f t="shared" ca="1" si="119"/>
        <v>27</v>
      </c>
    </row>
    <row r="3838" spans="1:2" x14ac:dyDescent="0.25">
      <c r="A3838" s="20">
        <f t="shared" ca="1" si="118"/>
        <v>0.15678400759897648</v>
      </c>
      <c r="B3838" s="21">
        <f t="shared" ca="1" si="119"/>
        <v>703</v>
      </c>
    </row>
    <row r="3839" spans="1:2" x14ac:dyDescent="0.25">
      <c r="A3839" s="20">
        <f t="shared" ca="1" si="118"/>
        <v>0.94655608641443489</v>
      </c>
      <c r="B3839" s="21">
        <f t="shared" ca="1" si="119"/>
        <v>4385</v>
      </c>
    </row>
    <row r="3840" spans="1:2" x14ac:dyDescent="0.25">
      <c r="A3840" s="20">
        <f t="shared" ca="1" si="118"/>
        <v>0.74983992597696147</v>
      </c>
      <c r="B3840" s="21">
        <f t="shared" ca="1" si="119"/>
        <v>3472</v>
      </c>
    </row>
    <row r="3841" spans="1:2" x14ac:dyDescent="0.25">
      <c r="A3841" s="20">
        <f t="shared" ca="1" si="118"/>
        <v>0.96212843684873994</v>
      </c>
      <c r="B3841" s="21">
        <f t="shared" ca="1" si="119"/>
        <v>4454</v>
      </c>
    </row>
    <row r="3842" spans="1:2" x14ac:dyDescent="0.25">
      <c r="A3842" s="20">
        <f t="shared" ca="1" si="118"/>
        <v>0.65276461935237806</v>
      </c>
      <c r="B3842" s="21">
        <f t="shared" ca="1" si="119"/>
        <v>3029</v>
      </c>
    </row>
    <row r="3843" spans="1:2" x14ac:dyDescent="0.25">
      <c r="A3843" s="20">
        <f t="shared" ref="A3843:A3906" ca="1" si="120">RAND()</f>
        <v>0.27303503729721723</v>
      </c>
      <c r="B3843" s="21">
        <f t="shared" ref="B3843:B3906" ca="1" si="121">_xlfn.RANK.EQ($A3843,$A:$A,1)</f>
        <v>1271</v>
      </c>
    </row>
    <row r="3844" spans="1:2" x14ac:dyDescent="0.25">
      <c r="A3844" s="20">
        <f t="shared" ca="1" si="120"/>
        <v>0.89447913155836523</v>
      </c>
      <c r="B3844" s="21">
        <f t="shared" ca="1" si="121"/>
        <v>4124</v>
      </c>
    </row>
    <row r="3845" spans="1:2" x14ac:dyDescent="0.25">
      <c r="A3845" s="20">
        <f t="shared" ca="1" si="120"/>
        <v>0.79471458270344919</v>
      </c>
      <c r="B3845" s="21">
        <f t="shared" ca="1" si="121"/>
        <v>3679</v>
      </c>
    </row>
    <row r="3846" spans="1:2" x14ac:dyDescent="0.25">
      <c r="A3846" s="20">
        <f t="shared" ca="1" si="120"/>
        <v>0.57396831781456492</v>
      </c>
      <c r="B3846" s="21">
        <f t="shared" ca="1" si="121"/>
        <v>2678</v>
      </c>
    </row>
    <row r="3847" spans="1:2" x14ac:dyDescent="0.25">
      <c r="A3847" s="20">
        <f t="shared" ca="1" si="120"/>
        <v>0.87558415664677891</v>
      </c>
      <c r="B3847" s="21">
        <f t="shared" ca="1" si="121"/>
        <v>4036</v>
      </c>
    </row>
    <row r="3848" spans="1:2" x14ac:dyDescent="0.25">
      <c r="A3848" s="20">
        <f t="shared" ca="1" si="120"/>
        <v>0.18940120886237488</v>
      </c>
      <c r="B3848" s="21">
        <f t="shared" ca="1" si="121"/>
        <v>871</v>
      </c>
    </row>
    <row r="3849" spans="1:2" x14ac:dyDescent="0.25">
      <c r="A3849" s="20">
        <f t="shared" ca="1" si="120"/>
        <v>6.7507914599986618E-2</v>
      </c>
      <c r="B3849" s="21">
        <f t="shared" ca="1" si="121"/>
        <v>300</v>
      </c>
    </row>
    <row r="3850" spans="1:2" x14ac:dyDescent="0.25">
      <c r="A3850" s="20">
        <f t="shared" ca="1" si="120"/>
        <v>0.45101666207344615</v>
      </c>
      <c r="B3850" s="21">
        <f t="shared" ca="1" si="121"/>
        <v>2108</v>
      </c>
    </row>
    <row r="3851" spans="1:2" x14ac:dyDescent="0.25">
      <c r="A3851" s="20">
        <f t="shared" ca="1" si="120"/>
        <v>0.26163984641886384</v>
      </c>
      <c r="B3851" s="21">
        <f t="shared" ca="1" si="121"/>
        <v>1219</v>
      </c>
    </row>
    <row r="3852" spans="1:2" x14ac:dyDescent="0.25">
      <c r="A3852" s="20">
        <f t="shared" ca="1" si="120"/>
        <v>1.8110739956157862E-2</v>
      </c>
      <c r="B3852" s="21">
        <f t="shared" ca="1" si="121"/>
        <v>64</v>
      </c>
    </row>
    <row r="3853" spans="1:2" x14ac:dyDescent="0.25">
      <c r="A3853" s="20">
        <f t="shared" ca="1" si="120"/>
        <v>0.94665033381776487</v>
      </c>
      <c r="B3853" s="21">
        <f t="shared" ca="1" si="121"/>
        <v>4386</v>
      </c>
    </row>
    <row r="3854" spans="1:2" x14ac:dyDescent="0.25">
      <c r="A3854" s="20">
        <f t="shared" ca="1" si="120"/>
        <v>0.27375190359170631</v>
      </c>
      <c r="B3854" s="21">
        <f t="shared" ca="1" si="121"/>
        <v>1279</v>
      </c>
    </row>
    <row r="3855" spans="1:2" x14ac:dyDescent="0.25">
      <c r="A3855" s="20">
        <f t="shared" ca="1" si="120"/>
        <v>0.80037191076366909</v>
      </c>
      <c r="B3855" s="21">
        <f t="shared" ca="1" si="121"/>
        <v>3709</v>
      </c>
    </row>
    <row r="3856" spans="1:2" x14ac:dyDescent="0.25">
      <c r="A3856" s="20">
        <f t="shared" ca="1" si="120"/>
        <v>0.64519971444747493</v>
      </c>
      <c r="B3856" s="21">
        <f t="shared" ca="1" si="121"/>
        <v>2995</v>
      </c>
    </row>
    <row r="3857" spans="1:2" x14ac:dyDescent="0.25">
      <c r="A3857" s="20">
        <f t="shared" ca="1" si="120"/>
        <v>0.45564138023110301</v>
      </c>
      <c r="B3857" s="21">
        <f t="shared" ca="1" si="121"/>
        <v>2137</v>
      </c>
    </row>
    <row r="3858" spans="1:2" x14ac:dyDescent="0.25">
      <c r="A3858" s="20">
        <f t="shared" ca="1" si="120"/>
        <v>0.31886479511641386</v>
      </c>
      <c r="B3858" s="21">
        <f t="shared" ca="1" si="121"/>
        <v>1496</v>
      </c>
    </row>
    <row r="3859" spans="1:2" x14ac:dyDescent="0.25">
      <c r="A3859" s="20">
        <f t="shared" ca="1" si="120"/>
        <v>0.42117127879161598</v>
      </c>
      <c r="B3859" s="21">
        <f t="shared" ca="1" si="121"/>
        <v>1975</v>
      </c>
    </row>
    <row r="3860" spans="1:2" x14ac:dyDescent="0.25">
      <c r="A3860" s="20">
        <f t="shared" ca="1" si="120"/>
        <v>0.14970398365300286</v>
      </c>
      <c r="B3860" s="21">
        <f t="shared" ca="1" si="121"/>
        <v>667</v>
      </c>
    </row>
    <row r="3861" spans="1:2" x14ac:dyDescent="0.25">
      <c r="A3861" s="20">
        <f t="shared" ca="1" si="120"/>
        <v>0.81962142771363811</v>
      </c>
      <c r="B3861" s="21">
        <f t="shared" ca="1" si="121"/>
        <v>3795</v>
      </c>
    </row>
    <row r="3862" spans="1:2" x14ac:dyDescent="0.25">
      <c r="A3862" s="20">
        <f t="shared" ca="1" si="120"/>
        <v>0.74641338335257279</v>
      </c>
      <c r="B3862" s="21">
        <f t="shared" ca="1" si="121"/>
        <v>3449</v>
      </c>
    </row>
    <row r="3863" spans="1:2" x14ac:dyDescent="0.25">
      <c r="A3863" s="20">
        <f t="shared" ca="1" si="120"/>
        <v>0.85758262763448578</v>
      </c>
      <c r="B3863" s="21">
        <f t="shared" ca="1" si="121"/>
        <v>3962</v>
      </c>
    </row>
    <row r="3864" spans="1:2" x14ac:dyDescent="0.25">
      <c r="A3864" s="20">
        <f t="shared" ca="1" si="120"/>
        <v>0.14700470195363124</v>
      </c>
      <c r="B3864" s="21">
        <f t="shared" ca="1" si="121"/>
        <v>651</v>
      </c>
    </row>
    <row r="3865" spans="1:2" x14ac:dyDescent="0.25">
      <c r="A3865" s="20">
        <f t="shared" ca="1" si="120"/>
        <v>0.35993052774722889</v>
      </c>
      <c r="B3865" s="21">
        <f t="shared" ca="1" si="121"/>
        <v>1706</v>
      </c>
    </row>
    <row r="3866" spans="1:2" x14ac:dyDescent="0.25">
      <c r="A3866" s="20">
        <f t="shared" ca="1" si="120"/>
        <v>0.35825501586056574</v>
      </c>
      <c r="B3866" s="21">
        <f t="shared" ca="1" si="121"/>
        <v>1694</v>
      </c>
    </row>
    <row r="3867" spans="1:2" x14ac:dyDescent="0.25">
      <c r="A3867" s="20">
        <f t="shared" ca="1" si="120"/>
        <v>0.18200213807157939</v>
      </c>
      <c r="B3867" s="21">
        <f t="shared" ca="1" si="121"/>
        <v>832</v>
      </c>
    </row>
    <row r="3868" spans="1:2" x14ac:dyDescent="0.25">
      <c r="A3868" s="20">
        <f t="shared" ca="1" si="120"/>
        <v>0.36303507671579971</v>
      </c>
      <c r="B3868" s="21">
        <f t="shared" ca="1" si="121"/>
        <v>1717</v>
      </c>
    </row>
    <row r="3869" spans="1:2" x14ac:dyDescent="0.25">
      <c r="A3869" s="20">
        <f t="shared" ca="1" si="120"/>
        <v>0.18880567888863486</v>
      </c>
      <c r="B3869" s="21">
        <f t="shared" ca="1" si="121"/>
        <v>864</v>
      </c>
    </row>
    <row r="3870" spans="1:2" x14ac:dyDescent="0.25">
      <c r="A3870" s="20">
        <f t="shared" ca="1" si="120"/>
        <v>0.90688475023131288</v>
      </c>
      <c r="B3870" s="21">
        <f t="shared" ca="1" si="121"/>
        <v>4184</v>
      </c>
    </row>
    <row r="3871" spans="1:2" x14ac:dyDescent="0.25">
      <c r="A3871" s="20">
        <f t="shared" ca="1" si="120"/>
        <v>0.94569970689800797</v>
      </c>
      <c r="B3871" s="21">
        <f t="shared" ca="1" si="121"/>
        <v>4377</v>
      </c>
    </row>
    <row r="3872" spans="1:2" x14ac:dyDescent="0.25">
      <c r="A3872" s="20">
        <f t="shared" ca="1" si="120"/>
        <v>0.58064696235517943</v>
      </c>
      <c r="B3872" s="21">
        <f t="shared" ca="1" si="121"/>
        <v>2714</v>
      </c>
    </row>
    <row r="3873" spans="1:2" x14ac:dyDescent="0.25">
      <c r="A3873" s="20">
        <f t="shared" ca="1" si="120"/>
        <v>0.22820110671813609</v>
      </c>
      <c r="B3873" s="21">
        <f t="shared" ca="1" si="121"/>
        <v>1069</v>
      </c>
    </row>
    <row r="3874" spans="1:2" x14ac:dyDescent="0.25">
      <c r="A3874" s="20">
        <f t="shared" ca="1" si="120"/>
        <v>0.65615962533858729</v>
      </c>
      <c r="B3874" s="21">
        <f t="shared" ca="1" si="121"/>
        <v>3042</v>
      </c>
    </row>
    <row r="3875" spans="1:2" x14ac:dyDescent="0.25">
      <c r="A3875" s="20">
        <f t="shared" ca="1" si="120"/>
        <v>0.31917265183491039</v>
      </c>
      <c r="B3875" s="21">
        <f t="shared" ca="1" si="121"/>
        <v>1499</v>
      </c>
    </row>
    <row r="3876" spans="1:2" x14ac:dyDescent="0.25">
      <c r="A3876" s="20">
        <f t="shared" ca="1" si="120"/>
        <v>4.8001491295006637E-2</v>
      </c>
      <c r="B3876" s="21">
        <f t="shared" ca="1" si="121"/>
        <v>199</v>
      </c>
    </row>
    <row r="3877" spans="1:2" x14ac:dyDescent="0.25">
      <c r="A3877" s="20">
        <f t="shared" ca="1" si="120"/>
        <v>0.90866603492849463</v>
      </c>
      <c r="B3877" s="21">
        <f t="shared" ca="1" si="121"/>
        <v>4195</v>
      </c>
    </row>
    <row r="3878" spans="1:2" x14ac:dyDescent="0.25">
      <c r="A3878" s="20">
        <f t="shared" ca="1" si="120"/>
        <v>0.41496785158855354</v>
      </c>
      <c r="B3878" s="21">
        <f t="shared" ca="1" si="121"/>
        <v>1946</v>
      </c>
    </row>
    <row r="3879" spans="1:2" x14ac:dyDescent="0.25">
      <c r="A3879" s="20">
        <f t="shared" ca="1" si="120"/>
        <v>0.75556080295788264</v>
      </c>
      <c r="B3879" s="21">
        <f t="shared" ca="1" si="121"/>
        <v>3503</v>
      </c>
    </row>
    <row r="3880" spans="1:2" x14ac:dyDescent="0.25">
      <c r="A3880" s="20">
        <f t="shared" ca="1" si="120"/>
        <v>0.35014705672940916</v>
      </c>
      <c r="B3880" s="21">
        <f t="shared" ca="1" si="121"/>
        <v>1654</v>
      </c>
    </row>
    <row r="3881" spans="1:2" x14ac:dyDescent="0.25">
      <c r="A3881" s="20">
        <f t="shared" ca="1" si="120"/>
        <v>2.464076432748008E-2</v>
      </c>
      <c r="B3881" s="21">
        <f t="shared" ca="1" si="121"/>
        <v>96</v>
      </c>
    </row>
    <row r="3882" spans="1:2" x14ac:dyDescent="0.25">
      <c r="A3882" s="20">
        <f t="shared" ca="1" si="120"/>
        <v>0.11486593919733179</v>
      </c>
      <c r="B3882" s="21">
        <f t="shared" ca="1" si="121"/>
        <v>506</v>
      </c>
    </row>
    <row r="3883" spans="1:2" x14ac:dyDescent="0.25">
      <c r="A3883" s="20">
        <f t="shared" ca="1" si="120"/>
        <v>9.6596180002412879E-3</v>
      </c>
      <c r="B3883" s="21">
        <f t="shared" ca="1" si="121"/>
        <v>37</v>
      </c>
    </row>
    <row r="3884" spans="1:2" x14ac:dyDescent="0.25">
      <c r="A3884" s="20">
        <f t="shared" ca="1" si="120"/>
        <v>0.88945965620738743</v>
      </c>
      <c r="B3884" s="21">
        <f t="shared" ca="1" si="121"/>
        <v>4099</v>
      </c>
    </row>
    <row r="3885" spans="1:2" x14ac:dyDescent="0.25">
      <c r="A3885" s="20">
        <f t="shared" ca="1" si="120"/>
        <v>0.88586622208508548</v>
      </c>
      <c r="B3885" s="21">
        <f t="shared" ca="1" si="121"/>
        <v>4084</v>
      </c>
    </row>
    <row r="3886" spans="1:2" x14ac:dyDescent="0.25">
      <c r="A3886" s="20">
        <f t="shared" ca="1" si="120"/>
        <v>0.25583802870234751</v>
      </c>
      <c r="B3886" s="21">
        <f t="shared" ca="1" si="121"/>
        <v>1193</v>
      </c>
    </row>
    <row r="3887" spans="1:2" x14ac:dyDescent="0.25">
      <c r="A3887" s="20">
        <f t="shared" ca="1" si="120"/>
        <v>0.55722228469454071</v>
      </c>
      <c r="B3887" s="21">
        <f t="shared" ca="1" si="121"/>
        <v>2607</v>
      </c>
    </row>
    <row r="3888" spans="1:2" x14ac:dyDescent="0.25">
      <c r="A3888" s="20">
        <f t="shared" ca="1" si="120"/>
        <v>0.8432428952558304</v>
      </c>
      <c r="B3888" s="21">
        <f t="shared" ca="1" si="121"/>
        <v>3895</v>
      </c>
    </row>
    <row r="3889" spans="1:2" x14ac:dyDescent="0.25">
      <c r="A3889" s="20">
        <f t="shared" ca="1" si="120"/>
        <v>0.95068832268086234</v>
      </c>
      <c r="B3889" s="21">
        <f t="shared" ca="1" si="121"/>
        <v>4409</v>
      </c>
    </row>
    <row r="3890" spans="1:2" x14ac:dyDescent="0.25">
      <c r="A3890" s="20">
        <f t="shared" ca="1" si="120"/>
        <v>0.92626660423517237</v>
      </c>
      <c r="B3890" s="21">
        <f t="shared" ca="1" si="121"/>
        <v>4278</v>
      </c>
    </row>
    <row r="3891" spans="1:2" x14ac:dyDescent="0.25">
      <c r="A3891" s="20">
        <f t="shared" ca="1" si="120"/>
        <v>0.9297427905702369</v>
      </c>
      <c r="B3891" s="21">
        <f t="shared" ca="1" si="121"/>
        <v>4292</v>
      </c>
    </row>
    <row r="3892" spans="1:2" x14ac:dyDescent="0.25">
      <c r="A3892" s="20">
        <f t="shared" ca="1" si="120"/>
        <v>7.1399975880347744E-2</v>
      </c>
      <c r="B3892" s="21">
        <f t="shared" ca="1" si="121"/>
        <v>318</v>
      </c>
    </row>
    <row r="3893" spans="1:2" x14ac:dyDescent="0.25">
      <c r="A3893" s="20">
        <f t="shared" ca="1" si="120"/>
        <v>0.52099487989124005</v>
      </c>
      <c r="B3893" s="21">
        <f t="shared" ca="1" si="121"/>
        <v>2433</v>
      </c>
    </row>
    <row r="3894" spans="1:2" x14ac:dyDescent="0.25">
      <c r="A3894" s="20">
        <f t="shared" ca="1" si="120"/>
        <v>0.30193092212719286</v>
      </c>
      <c r="B3894" s="21">
        <f t="shared" ca="1" si="121"/>
        <v>1414</v>
      </c>
    </row>
    <row r="3895" spans="1:2" x14ac:dyDescent="0.25">
      <c r="A3895" s="20">
        <f t="shared" ca="1" si="120"/>
        <v>1.4158734693659691E-2</v>
      </c>
      <c r="B3895" s="21">
        <f t="shared" ca="1" si="121"/>
        <v>52</v>
      </c>
    </row>
    <row r="3896" spans="1:2" x14ac:dyDescent="0.25">
      <c r="A3896" s="20">
        <f t="shared" ca="1" si="120"/>
        <v>0.79084712734174423</v>
      </c>
      <c r="B3896" s="21">
        <f t="shared" ca="1" si="121"/>
        <v>3660</v>
      </c>
    </row>
    <row r="3897" spans="1:2" x14ac:dyDescent="0.25">
      <c r="A3897" s="20">
        <f t="shared" ca="1" si="120"/>
        <v>6.6748107997347317E-2</v>
      </c>
      <c r="B3897" s="21">
        <f t="shared" ca="1" si="121"/>
        <v>293</v>
      </c>
    </row>
    <row r="3898" spans="1:2" x14ac:dyDescent="0.25">
      <c r="A3898" s="20">
        <f t="shared" ca="1" si="120"/>
        <v>0.55373817630831734</v>
      </c>
      <c r="B3898" s="21">
        <f t="shared" ca="1" si="121"/>
        <v>2589</v>
      </c>
    </row>
    <row r="3899" spans="1:2" x14ac:dyDescent="0.25">
      <c r="A3899" s="20">
        <f t="shared" ca="1" si="120"/>
        <v>0.80036112937333359</v>
      </c>
      <c r="B3899" s="21">
        <f t="shared" ca="1" si="121"/>
        <v>3707</v>
      </c>
    </row>
    <row r="3900" spans="1:2" x14ac:dyDescent="0.25">
      <c r="A3900" s="20">
        <f t="shared" ca="1" si="120"/>
        <v>0.91223008246584314</v>
      </c>
      <c r="B3900" s="21">
        <f t="shared" ca="1" si="121"/>
        <v>4209</v>
      </c>
    </row>
    <row r="3901" spans="1:2" x14ac:dyDescent="0.25">
      <c r="A3901" s="20">
        <f t="shared" ca="1" si="120"/>
        <v>0.30320044896834852</v>
      </c>
      <c r="B3901" s="21">
        <f t="shared" ca="1" si="121"/>
        <v>1421</v>
      </c>
    </row>
    <row r="3902" spans="1:2" x14ac:dyDescent="0.25">
      <c r="A3902" s="20">
        <f t="shared" ca="1" si="120"/>
        <v>0.33622674082329485</v>
      </c>
      <c r="B3902" s="21">
        <f t="shared" ca="1" si="121"/>
        <v>1576</v>
      </c>
    </row>
    <row r="3903" spans="1:2" x14ac:dyDescent="0.25">
      <c r="A3903" s="20">
        <f t="shared" ca="1" si="120"/>
        <v>0.27028931820828339</v>
      </c>
      <c r="B3903" s="21">
        <f t="shared" ca="1" si="121"/>
        <v>1261</v>
      </c>
    </row>
    <row r="3904" spans="1:2" x14ac:dyDescent="0.25">
      <c r="A3904" s="20">
        <f t="shared" ca="1" si="120"/>
        <v>0.10247966270587794</v>
      </c>
      <c r="B3904" s="21">
        <f t="shared" ca="1" si="121"/>
        <v>460</v>
      </c>
    </row>
    <row r="3905" spans="1:2" x14ac:dyDescent="0.25">
      <c r="A3905" s="20">
        <f t="shared" ca="1" si="120"/>
        <v>0.26212790779185768</v>
      </c>
      <c r="B3905" s="21">
        <f t="shared" ca="1" si="121"/>
        <v>1221</v>
      </c>
    </row>
    <row r="3906" spans="1:2" x14ac:dyDescent="0.25">
      <c r="A3906" s="20">
        <f t="shared" ca="1" si="120"/>
        <v>0.594720855205215</v>
      </c>
      <c r="B3906" s="21">
        <f t="shared" ca="1" si="121"/>
        <v>2778</v>
      </c>
    </row>
    <row r="3907" spans="1:2" x14ac:dyDescent="0.25">
      <c r="A3907" s="20">
        <f t="shared" ref="A3907:A3970" ca="1" si="122">RAND()</f>
        <v>0.98532654444771173</v>
      </c>
      <c r="B3907" s="21">
        <f t="shared" ref="B3907:B3970" ca="1" si="123">_xlfn.RANK.EQ($A3907,$A:$A,1)</f>
        <v>4562</v>
      </c>
    </row>
    <row r="3908" spans="1:2" x14ac:dyDescent="0.25">
      <c r="A3908" s="20">
        <f t="shared" ca="1" si="122"/>
        <v>0.35986133060384029</v>
      </c>
      <c r="B3908" s="21">
        <f t="shared" ca="1" si="123"/>
        <v>1705</v>
      </c>
    </row>
    <row r="3909" spans="1:2" x14ac:dyDescent="0.25">
      <c r="A3909" s="20">
        <f t="shared" ca="1" si="122"/>
        <v>0.86799025555778686</v>
      </c>
      <c r="B3909" s="21">
        <f t="shared" ca="1" si="123"/>
        <v>4006</v>
      </c>
    </row>
    <row r="3910" spans="1:2" x14ac:dyDescent="0.25">
      <c r="A3910" s="20">
        <f t="shared" ca="1" si="122"/>
        <v>0.70672890706152136</v>
      </c>
      <c r="B3910" s="21">
        <f t="shared" ca="1" si="123"/>
        <v>3272</v>
      </c>
    </row>
    <row r="3911" spans="1:2" x14ac:dyDescent="0.25">
      <c r="A3911" s="20">
        <f t="shared" ca="1" si="122"/>
        <v>0.34976207650350843</v>
      </c>
      <c r="B3911" s="21">
        <f t="shared" ca="1" si="123"/>
        <v>1650</v>
      </c>
    </row>
    <row r="3912" spans="1:2" x14ac:dyDescent="0.25">
      <c r="A3912" s="20">
        <f t="shared" ca="1" si="122"/>
        <v>0.52385165054121663</v>
      </c>
      <c r="B3912" s="21">
        <f t="shared" ca="1" si="123"/>
        <v>2446</v>
      </c>
    </row>
    <row r="3913" spans="1:2" x14ac:dyDescent="0.25">
      <c r="A3913" s="20">
        <f t="shared" ca="1" si="122"/>
        <v>0.37584816625251216</v>
      </c>
      <c r="B3913" s="21">
        <f t="shared" ca="1" si="123"/>
        <v>1781</v>
      </c>
    </row>
    <row r="3914" spans="1:2" x14ac:dyDescent="0.25">
      <c r="A3914" s="20">
        <f t="shared" ca="1" si="122"/>
        <v>0.72440209384775456</v>
      </c>
      <c r="B3914" s="21">
        <f t="shared" ca="1" si="123"/>
        <v>3353</v>
      </c>
    </row>
    <row r="3915" spans="1:2" x14ac:dyDescent="0.25">
      <c r="A3915" s="20">
        <f t="shared" ca="1" si="122"/>
        <v>0.72033874162365141</v>
      </c>
      <c r="B3915" s="21">
        <f t="shared" ca="1" si="123"/>
        <v>3335</v>
      </c>
    </row>
    <row r="3916" spans="1:2" x14ac:dyDescent="0.25">
      <c r="A3916" s="20">
        <f t="shared" ca="1" si="122"/>
        <v>0.31266076674703347</v>
      </c>
      <c r="B3916" s="21">
        <f t="shared" ca="1" si="123"/>
        <v>1465</v>
      </c>
    </row>
    <row r="3917" spans="1:2" x14ac:dyDescent="0.25">
      <c r="A3917" s="20">
        <f t="shared" ca="1" si="122"/>
        <v>0.28198781818483165</v>
      </c>
      <c r="B3917" s="21">
        <f t="shared" ca="1" si="123"/>
        <v>1315</v>
      </c>
    </row>
    <row r="3918" spans="1:2" x14ac:dyDescent="0.25">
      <c r="A3918" s="20">
        <f t="shared" ca="1" si="122"/>
        <v>0.93843147546071293</v>
      </c>
      <c r="B3918" s="21">
        <f t="shared" ca="1" si="123"/>
        <v>4342</v>
      </c>
    </row>
    <row r="3919" spans="1:2" x14ac:dyDescent="0.25">
      <c r="A3919" s="20">
        <f t="shared" ca="1" si="122"/>
        <v>0.39604435584073949</v>
      </c>
      <c r="B3919" s="21">
        <f t="shared" ca="1" si="123"/>
        <v>1860</v>
      </c>
    </row>
    <row r="3920" spans="1:2" x14ac:dyDescent="0.25">
      <c r="A3920" s="20">
        <f t="shared" ca="1" si="122"/>
        <v>0.70760292082940957</v>
      </c>
      <c r="B3920" s="21">
        <f t="shared" ca="1" si="123"/>
        <v>3277</v>
      </c>
    </row>
    <row r="3921" spans="1:2" x14ac:dyDescent="0.25">
      <c r="A3921" s="20">
        <f t="shared" ca="1" si="122"/>
        <v>0.14722009680005876</v>
      </c>
      <c r="B3921" s="21">
        <f t="shared" ca="1" si="123"/>
        <v>653</v>
      </c>
    </row>
    <row r="3922" spans="1:2" x14ac:dyDescent="0.25">
      <c r="A3922" s="20">
        <f t="shared" ca="1" si="122"/>
        <v>0.31998822358394152</v>
      </c>
      <c r="B3922" s="21">
        <f t="shared" ca="1" si="123"/>
        <v>1502</v>
      </c>
    </row>
    <row r="3923" spans="1:2" x14ac:dyDescent="0.25">
      <c r="A3923" s="20">
        <f t="shared" ca="1" si="122"/>
        <v>0.17768959837932186</v>
      </c>
      <c r="B3923" s="21">
        <f t="shared" ca="1" si="123"/>
        <v>811</v>
      </c>
    </row>
    <row r="3924" spans="1:2" x14ac:dyDescent="0.25">
      <c r="A3924" s="20">
        <f t="shared" ca="1" si="122"/>
        <v>0.44806449701735895</v>
      </c>
      <c r="B3924" s="21">
        <f t="shared" ca="1" si="123"/>
        <v>2096</v>
      </c>
    </row>
    <row r="3925" spans="1:2" x14ac:dyDescent="0.25">
      <c r="A3925" s="20">
        <f t="shared" ca="1" si="122"/>
        <v>0.26568215183572297</v>
      </c>
      <c r="B3925" s="21">
        <f t="shared" ca="1" si="123"/>
        <v>1245</v>
      </c>
    </row>
    <row r="3926" spans="1:2" x14ac:dyDescent="0.25">
      <c r="A3926" s="20">
        <f t="shared" ca="1" si="122"/>
        <v>0.75093249458696065</v>
      </c>
      <c r="B3926" s="21">
        <f t="shared" ca="1" si="123"/>
        <v>3481</v>
      </c>
    </row>
    <row r="3927" spans="1:2" x14ac:dyDescent="0.25">
      <c r="A3927" s="20">
        <f t="shared" ca="1" si="122"/>
        <v>0.66877835697228216</v>
      </c>
      <c r="B3927" s="21">
        <f t="shared" ca="1" si="123"/>
        <v>3104</v>
      </c>
    </row>
    <row r="3928" spans="1:2" x14ac:dyDescent="0.25">
      <c r="A3928" s="20">
        <f t="shared" ca="1" si="122"/>
        <v>0.96588292452194191</v>
      </c>
      <c r="B3928" s="21">
        <f t="shared" ca="1" si="123"/>
        <v>4480</v>
      </c>
    </row>
    <row r="3929" spans="1:2" x14ac:dyDescent="0.25">
      <c r="A3929" s="20">
        <f t="shared" ca="1" si="122"/>
        <v>0.89928135349332705</v>
      </c>
      <c r="B3929" s="21">
        <f t="shared" ca="1" si="123"/>
        <v>4144</v>
      </c>
    </row>
    <row r="3930" spans="1:2" x14ac:dyDescent="0.25">
      <c r="A3930" s="20">
        <f t="shared" ca="1" si="122"/>
        <v>0.81799873243948484</v>
      </c>
      <c r="B3930" s="21">
        <f t="shared" ca="1" si="123"/>
        <v>3783</v>
      </c>
    </row>
    <row r="3931" spans="1:2" x14ac:dyDescent="0.25">
      <c r="A3931" s="20">
        <f t="shared" ca="1" si="122"/>
        <v>0.72692724807918629</v>
      </c>
      <c r="B3931" s="21">
        <f t="shared" ca="1" si="123"/>
        <v>3362</v>
      </c>
    </row>
    <row r="3932" spans="1:2" x14ac:dyDescent="0.25">
      <c r="A3932" s="20">
        <f t="shared" ca="1" si="122"/>
        <v>0.3169974381232572</v>
      </c>
      <c r="B3932" s="21">
        <f t="shared" ca="1" si="123"/>
        <v>1486</v>
      </c>
    </row>
    <row r="3933" spans="1:2" x14ac:dyDescent="0.25">
      <c r="A3933" s="20">
        <f t="shared" ca="1" si="122"/>
        <v>0.92624853203175173</v>
      </c>
      <c r="B3933" s="21">
        <f t="shared" ca="1" si="123"/>
        <v>4277</v>
      </c>
    </row>
    <row r="3934" spans="1:2" x14ac:dyDescent="0.25">
      <c r="A3934" s="20">
        <f t="shared" ca="1" si="122"/>
        <v>0.92301064661857879</v>
      </c>
      <c r="B3934" s="21">
        <f t="shared" ca="1" si="123"/>
        <v>4258</v>
      </c>
    </row>
    <row r="3935" spans="1:2" x14ac:dyDescent="0.25">
      <c r="A3935" s="20">
        <f t="shared" ca="1" si="122"/>
        <v>0.33632003580930636</v>
      </c>
      <c r="B3935" s="21">
        <f t="shared" ca="1" si="123"/>
        <v>1578</v>
      </c>
    </row>
    <row r="3936" spans="1:2" x14ac:dyDescent="0.25">
      <c r="A3936" s="20">
        <f t="shared" ca="1" si="122"/>
        <v>7.0683953246539755E-2</v>
      </c>
      <c r="B3936" s="21">
        <f t="shared" ca="1" si="123"/>
        <v>316</v>
      </c>
    </row>
    <row r="3937" spans="1:2" x14ac:dyDescent="0.25">
      <c r="A3937" s="20">
        <f t="shared" ca="1" si="122"/>
        <v>0.9400613854077311</v>
      </c>
      <c r="B3937" s="21">
        <f t="shared" ca="1" si="123"/>
        <v>4346</v>
      </c>
    </row>
    <row r="3938" spans="1:2" x14ac:dyDescent="0.25">
      <c r="A3938" s="20">
        <f t="shared" ca="1" si="122"/>
        <v>0.44604245914905005</v>
      </c>
      <c r="B3938" s="21">
        <f t="shared" ca="1" si="123"/>
        <v>2088</v>
      </c>
    </row>
    <row r="3939" spans="1:2" x14ac:dyDescent="0.25">
      <c r="A3939" s="20">
        <f t="shared" ca="1" si="122"/>
        <v>0.76885673847744829</v>
      </c>
      <c r="B3939" s="21">
        <f t="shared" ca="1" si="123"/>
        <v>3564</v>
      </c>
    </row>
    <row r="3940" spans="1:2" x14ac:dyDescent="0.25">
      <c r="A3940" s="20">
        <f t="shared" ca="1" si="122"/>
        <v>0.3634475602916275</v>
      </c>
      <c r="B3940" s="21">
        <f t="shared" ca="1" si="123"/>
        <v>1720</v>
      </c>
    </row>
    <row r="3941" spans="1:2" x14ac:dyDescent="0.25">
      <c r="A3941" s="20">
        <f t="shared" ca="1" si="122"/>
        <v>0.34068977036836456</v>
      </c>
      <c r="B3941" s="21">
        <f t="shared" ca="1" si="123"/>
        <v>1599</v>
      </c>
    </row>
    <row r="3942" spans="1:2" x14ac:dyDescent="0.25">
      <c r="A3942" s="20">
        <f t="shared" ca="1" si="122"/>
        <v>0.89449654030248282</v>
      </c>
      <c r="B3942" s="21">
        <f t="shared" ca="1" si="123"/>
        <v>4125</v>
      </c>
    </row>
    <row r="3943" spans="1:2" x14ac:dyDescent="0.25">
      <c r="A3943" s="20">
        <f t="shared" ca="1" si="122"/>
        <v>5.8683217627971462E-2</v>
      </c>
      <c r="B3943" s="21">
        <f t="shared" ca="1" si="123"/>
        <v>255</v>
      </c>
    </row>
    <row r="3944" spans="1:2" x14ac:dyDescent="0.25">
      <c r="A3944" s="20">
        <f t="shared" ca="1" si="122"/>
        <v>0.54135578113176086</v>
      </c>
      <c r="B3944" s="21">
        <f t="shared" ca="1" si="123"/>
        <v>2528</v>
      </c>
    </row>
    <row r="3945" spans="1:2" x14ac:dyDescent="0.25">
      <c r="A3945" s="20">
        <f t="shared" ca="1" si="122"/>
        <v>0.9801400477439598</v>
      </c>
      <c r="B3945" s="21">
        <f t="shared" ca="1" si="123"/>
        <v>4545</v>
      </c>
    </row>
    <row r="3946" spans="1:2" x14ac:dyDescent="0.25">
      <c r="A3946" s="20">
        <f t="shared" ca="1" si="122"/>
        <v>0.78157040550065482</v>
      </c>
      <c r="B3946" s="21">
        <f t="shared" ca="1" si="123"/>
        <v>3622</v>
      </c>
    </row>
    <row r="3947" spans="1:2" x14ac:dyDescent="0.25">
      <c r="A3947" s="20">
        <f t="shared" ca="1" si="122"/>
        <v>0.22045166123235238</v>
      </c>
      <c r="B3947" s="21">
        <f t="shared" ca="1" si="123"/>
        <v>1034</v>
      </c>
    </row>
    <row r="3948" spans="1:2" x14ac:dyDescent="0.25">
      <c r="A3948" s="20">
        <f t="shared" ca="1" si="122"/>
        <v>0.86898622374604639</v>
      </c>
      <c r="B3948" s="21">
        <f t="shared" ca="1" si="123"/>
        <v>4016</v>
      </c>
    </row>
    <row r="3949" spans="1:2" x14ac:dyDescent="0.25">
      <c r="A3949" s="20">
        <f t="shared" ca="1" si="122"/>
        <v>1.7104309954334429E-3</v>
      </c>
      <c r="B3949" s="21">
        <f t="shared" ca="1" si="123"/>
        <v>8</v>
      </c>
    </row>
    <row r="3950" spans="1:2" x14ac:dyDescent="0.25">
      <c r="A3950" s="20">
        <f t="shared" ca="1" si="122"/>
        <v>0.38416737062560091</v>
      </c>
      <c r="B3950" s="21">
        <f t="shared" ca="1" si="123"/>
        <v>1801</v>
      </c>
    </row>
    <row r="3951" spans="1:2" x14ac:dyDescent="0.25">
      <c r="A3951" s="20">
        <f t="shared" ca="1" si="122"/>
        <v>0.21252895350322332</v>
      </c>
      <c r="B3951" s="21">
        <f t="shared" ca="1" si="123"/>
        <v>994</v>
      </c>
    </row>
    <row r="3952" spans="1:2" x14ac:dyDescent="0.25">
      <c r="A3952" s="20">
        <f t="shared" ca="1" si="122"/>
        <v>0.87513176789219504</v>
      </c>
      <c r="B3952" s="21">
        <f t="shared" ca="1" si="123"/>
        <v>4033</v>
      </c>
    </row>
    <row r="3953" spans="1:2" x14ac:dyDescent="0.25">
      <c r="A3953" s="20">
        <f t="shared" ca="1" si="122"/>
        <v>0.91448708673924139</v>
      </c>
      <c r="B3953" s="21">
        <f t="shared" ca="1" si="123"/>
        <v>4219</v>
      </c>
    </row>
    <row r="3954" spans="1:2" x14ac:dyDescent="0.25">
      <c r="A3954" s="20">
        <f t="shared" ca="1" si="122"/>
        <v>0.329186937887197</v>
      </c>
      <c r="B3954" s="21">
        <f t="shared" ca="1" si="123"/>
        <v>1542</v>
      </c>
    </row>
    <row r="3955" spans="1:2" x14ac:dyDescent="0.25">
      <c r="A3955" s="20">
        <f t="shared" ca="1" si="122"/>
        <v>0.54611560859042663</v>
      </c>
      <c r="B3955" s="21">
        <f t="shared" ca="1" si="123"/>
        <v>2550</v>
      </c>
    </row>
    <row r="3956" spans="1:2" x14ac:dyDescent="0.25">
      <c r="A3956" s="20">
        <f t="shared" ca="1" si="122"/>
        <v>0.49494340483645294</v>
      </c>
      <c r="B3956" s="21">
        <f t="shared" ca="1" si="123"/>
        <v>2302</v>
      </c>
    </row>
    <row r="3957" spans="1:2" x14ac:dyDescent="0.25">
      <c r="A3957" s="20">
        <f t="shared" ca="1" si="122"/>
        <v>0.48160190670631708</v>
      </c>
      <c r="B3957" s="21">
        <f t="shared" ca="1" si="123"/>
        <v>2249</v>
      </c>
    </row>
    <row r="3958" spans="1:2" x14ac:dyDescent="0.25">
      <c r="A3958" s="20">
        <f t="shared" ca="1" si="122"/>
        <v>0.71046390359678324</v>
      </c>
      <c r="B3958" s="21">
        <f t="shared" ca="1" si="123"/>
        <v>3289</v>
      </c>
    </row>
    <row r="3959" spans="1:2" x14ac:dyDescent="0.25">
      <c r="A3959" s="20">
        <f t="shared" ca="1" si="122"/>
        <v>0.45223807947098549</v>
      </c>
      <c r="B3959" s="21">
        <f t="shared" ca="1" si="123"/>
        <v>2115</v>
      </c>
    </row>
    <row r="3960" spans="1:2" x14ac:dyDescent="0.25">
      <c r="A3960" s="20">
        <f t="shared" ca="1" si="122"/>
        <v>0.72572611397621178</v>
      </c>
      <c r="B3960" s="21">
        <f t="shared" ca="1" si="123"/>
        <v>3357</v>
      </c>
    </row>
    <row r="3961" spans="1:2" x14ac:dyDescent="0.25">
      <c r="A3961" s="20">
        <f t="shared" ca="1" si="122"/>
        <v>0.86394612677469518</v>
      </c>
      <c r="B3961" s="21">
        <f t="shared" ca="1" si="123"/>
        <v>3986</v>
      </c>
    </row>
    <row r="3962" spans="1:2" x14ac:dyDescent="0.25">
      <c r="A3962" s="20">
        <f t="shared" ca="1" si="122"/>
        <v>0.37248457440979088</v>
      </c>
      <c r="B3962" s="21">
        <f t="shared" ca="1" si="123"/>
        <v>1766</v>
      </c>
    </row>
    <row r="3963" spans="1:2" x14ac:dyDescent="0.25">
      <c r="A3963" s="20">
        <f t="shared" ca="1" si="122"/>
        <v>0.64643201409201911</v>
      </c>
      <c r="B3963" s="21">
        <f t="shared" ca="1" si="123"/>
        <v>3001</v>
      </c>
    </row>
    <row r="3964" spans="1:2" x14ac:dyDescent="0.25">
      <c r="A3964" s="20">
        <f t="shared" ca="1" si="122"/>
        <v>0.54082749454552104</v>
      </c>
      <c r="B3964" s="21">
        <f t="shared" ca="1" si="123"/>
        <v>2525</v>
      </c>
    </row>
    <row r="3965" spans="1:2" x14ac:dyDescent="0.25">
      <c r="A3965" s="20">
        <f t="shared" ca="1" si="122"/>
        <v>0.34285457724054613</v>
      </c>
      <c r="B3965" s="21">
        <f t="shared" ca="1" si="123"/>
        <v>1610</v>
      </c>
    </row>
    <row r="3966" spans="1:2" x14ac:dyDescent="0.25">
      <c r="A3966" s="20">
        <f t="shared" ca="1" si="122"/>
        <v>2.1463139307877688E-2</v>
      </c>
      <c r="B3966" s="21">
        <f t="shared" ca="1" si="123"/>
        <v>87</v>
      </c>
    </row>
    <row r="3967" spans="1:2" x14ac:dyDescent="0.25">
      <c r="A3967" s="20">
        <f t="shared" ca="1" si="122"/>
        <v>0.79920351860959393</v>
      </c>
      <c r="B3967" s="21">
        <f t="shared" ca="1" si="123"/>
        <v>3702</v>
      </c>
    </row>
    <row r="3968" spans="1:2" x14ac:dyDescent="0.25">
      <c r="A3968" s="20">
        <f t="shared" ca="1" si="122"/>
        <v>0.20533302243918028</v>
      </c>
      <c r="B3968" s="21">
        <f t="shared" ca="1" si="123"/>
        <v>955</v>
      </c>
    </row>
    <row r="3969" spans="1:2" x14ac:dyDescent="0.25">
      <c r="A3969" s="20">
        <f t="shared" ca="1" si="122"/>
        <v>0.81809457050414203</v>
      </c>
      <c r="B3969" s="21">
        <f t="shared" ca="1" si="123"/>
        <v>3785</v>
      </c>
    </row>
    <row r="3970" spans="1:2" x14ac:dyDescent="0.25">
      <c r="A3970" s="20">
        <f t="shared" ca="1" si="122"/>
        <v>0.97426201310879967</v>
      </c>
      <c r="B3970" s="21">
        <f t="shared" ca="1" si="123"/>
        <v>4517</v>
      </c>
    </row>
    <row r="3971" spans="1:2" x14ac:dyDescent="0.25">
      <c r="A3971" s="20">
        <f t="shared" ref="A3971:A4034" ca="1" si="124">RAND()</f>
        <v>0.7637928312299278</v>
      </c>
      <c r="B3971" s="21">
        <f t="shared" ref="B3971:B4034" ca="1" si="125">_xlfn.RANK.EQ($A3971,$A:$A,1)</f>
        <v>3542</v>
      </c>
    </row>
    <row r="3972" spans="1:2" x14ac:dyDescent="0.25">
      <c r="A3972" s="20">
        <f t="shared" ca="1" si="124"/>
        <v>0.31845157815900005</v>
      </c>
      <c r="B3972" s="21">
        <f t="shared" ca="1" si="125"/>
        <v>1495</v>
      </c>
    </row>
    <row r="3973" spans="1:2" x14ac:dyDescent="0.25">
      <c r="A3973" s="20">
        <f t="shared" ca="1" si="124"/>
        <v>0.94211457526351006</v>
      </c>
      <c r="B3973" s="21">
        <f t="shared" ca="1" si="125"/>
        <v>4358</v>
      </c>
    </row>
    <row r="3974" spans="1:2" x14ac:dyDescent="0.25">
      <c r="A3974" s="20">
        <f t="shared" ca="1" si="124"/>
        <v>0.50578284657033179</v>
      </c>
      <c r="B3974" s="21">
        <f t="shared" ca="1" si="125"/>
        <v>2355</v>
      </c>
    </row>
    <row r="3975" spans="1:2" x14ac:dyDescent="0.25">
      <c r="A3975" s="20">
        <f t="shared" ca="1" si="124"/>
        <v>0.58212791921325802</v>
      </c>
      <c r="B3975" s="21">
        <f t="shared" ca="1" si="125"/>
        <v>2722</v>
      </c>
    </row>
    <row r="3976" spans="1:2" x14ac:dyDescent="0.25">
      <c r="A3976" s="20">
        <f t="shared" ca="1" si="124"/>
        <v>7.2826199056012952E-2</v>
      </c>
      <c r="B3976" s="21">
        <f t="shared" ca="1" si="125"/>
        <v>323</v>
      </c>
    </row>
    <row r="3977" spans="1:2" x14ac:dyDescent="0.25">
      <c r="A3977" s="20">
        <f t="shared" ca="1" si="124"/>
        <v>0.78149921159572022</v>
      </c>
      <c r="B3977" s="21">
        <f t="shared" ca="1" si="125"/>
        <v>3621</v>
      </c>
    </row>
    <row r="3978" spans="1:2" x14ac:dyDescent="0.25">
      <c r="A3978" s="20">
        <f t="shared" ca="1" si="124"/>
        <v>0.33082560094956359</v>
      </c>
      <c r="B3978" s="21">
        <f t="shared" ca="1" si="125"/>
        <v>1550</v>
      </c>
    </row>
    <row r="3979" spans="1:2" x14ac:dyDescent="0.25">
      <c r="A3979" s="20">
        <f t="shared" ca="1" si="124"/>
        <v>0.98454845151025649</v>
      </c>
      <c r="B3979" s="21">
        <f t="shared" ca="1" si="125"/>
        <v>4557</v>
      </c>
    </row>
    <row r="3980" spans="1:2" x14ac:dyDescent="0.25">
      <c r="A3980" s="20">
        <f t="shared" ca="1" si="124"/>
        <v>0.33382953621489919</v>
      </c>
      <c r="B3980" s="21">
        <f t="shared" ca="1" si="125"/>
        <v>1564</v>
      </c>
    </row>
    <row r="3981" spans="1:2" x14ac:dyDescent="0.25">
      <c r="A3981" s="20">
        <f t="shared" ca="1" si="124"/>
        <v>0.24634614503479568</v>
      </c>
      <c r="B3981" s="21">
        <f t="shared" ca="1" si="125"/>
        <v>1153</v>
      </c>
    </row>
    <row r="3982" spans="1:2" x14ac:dyDescent="0.25">
      <c r="A3982" s="20">
        <f t="shared" ca="1" si="124"/>
        <v>0.13559529163906503</v>
      </c>
      <c r="B3982" s="21">
        <f t="shared" ca="1" si="125"/>
        <v>596</v>
      </c>
    </row>
    <row r="3983" spans="1:2" x14ac:dyDescent="0.25">
      <c r="A3983" s="20">
        <f t="shared" ca="1" si="124"/>
        <v>0.85353371611876838</v>
      </c>
      <c r="B3983" s="21">
        <f t="shared" ca="1" si="125"/>
        <v>3946</v>
      </c>
    </row>
    <row r="3984" spans="1:2" x14ac:dyDescent="0.25">
      <c r="A3984" s="20">
        <f t="shared" ca="1" si="124"/>
        <v>0.44543254010419431</v>
      </c>
      <c r="B3984" s="21">
        <f t="shared" ca="1" si="125"/>
        <v>2083</v>
      </c>
    </row>
    <row r="3985" spans="1:2" x14ac:dyDescent="0.25">
      <c r="A3985" s="20">
        <f t="shared" ca="1" si="124"/>
        <v>0.63171742752331506</v>
      </c>
      <c r="B3985" s="21">
        <f t="shared" ca="1" si="125"/>
        <v>2927</v>
      </c>
    </row>
    <row r="3986" spans="1:2" x14ac:dyDescent="0.25">
      <c r="A3986" s="20">
        <f t="shared" ca="1" si="124"/>
        <v>0.39283252337066099</v>
      </c>
      <c r="B3986" s="21">
        <f t="shared" ca="1" si="125"/>
        <v>1848</v>
      </c>
    </row>
    <row r="3987" spans="1:2" x14ac:dyDescent="0.25">
      <c r="A3987" s="20">
        <f t="shared" ca="1" si="124"/>
        <v>0.68470320420317288</v>
      </c>
      <c r="B3987" s="21">
        <f t="shared" ca="1" si="125"/>
        <v>3180</v>
      </c>
    </row>
    <row r="3988" spans="1:2" x14ac:dyDescent="0.25">
      <c r="A3988" s="20">
        <f t="shared" ca="1" si="124"/>
        <v>4.2194758516435837E-2</v>
      </c>
      <c r="B3988" s="21">
        <f t="shared" ca="1" si="125"/>
        <v>166</v>
      </c>
    </row>
    <row r="3989" spans="1:2" x14ac:dyDescent="0.25">
      <c r="A3989" s="20">
        <f t="shared" ca="1" si="124"/>
        <v>0.29495933424399245</v>
      </c>
      <c r="B3989" s="21">
        <f t="shared" ca="1" si="125"/>
        <v>1387</v>
      </c>
    </row>
    <row r="3990" spans="1:2" x14ac:dyDescent="0.25">
      <c r="A3990" s="20">
        <f t="shared" ca="1" si="124"/>
        <v>7.7936669891875532E-2</v>
      </c>
      <c r="B3990" s="21">
        <f t="shared" ca="1" si="125"/>
        <v>347</v>
      </c>
    </row>
    <row r="3991" spans="1:2" x14ac:dyDescent="0.25">
      <c r="A3991" s="20">
        <f t="shared" ca="1" si="124"/>
        <v>0.68162531357590628</v>
      </c>
      <c r="B3991" s="21">
        <f t="shared" ca="1" si="125"/>
        <v>3165</v>
      </c>
    </row>
    <row r="3992" spans="1:2" x14ac:dyDescent="0.25">
      <c r="A3992" s="20">
        <f t="shared" ca="1" si="124"/>
        <v>0.30456536448862137</v>
      </c>
      <c r="B3992" s="21">
        <f t="shared" ca="1" si="125"/>
        <v>1428</v>
      </c>
    </row>
    <row r="3993" spans="1:2" x14ac:dyDescent="0.25">
      <c r="A3993" s="20">
        <f t="shared" ca="1" si="124"/>
        <v>0.19115482372793369</v>
      </c>
      <c r="B3993" s="21">
        <f t="shared" ca="1" si="125"/>
        <v>877</v>
      </c>
    </row>
    <row r="3994" spans="1:2" x14ac:dyDescent="0.25">
      <c r="A3994" s="20">
        <f t="shared" ca="1" si="124"/>
        <v>0.45004552633649786</v>
      </c>
      <c r="B3994" s="21">
        <f t="shared" ca="1" si="125"/>
        <v>2103</v>
      </c>
    </row>
    <row r="3995" spans="1:2" x14ac:dyDescent="0.25">
      <c r="A3995" s="20">
        <f t="shared" ca="1" si="124"/>
        <v>0.34895916889493783</v>
      </c>
      <c r="B3995" s="21">
        <f t="shared" ca="1" si="125"/>
        <v>1644</v>
      </c>
    </row>
    <row r="3996" spans="1:2" x14ac:dyDescent="0.25">
      <c r="A3996" s="20">
        <f t="shared" ca="1" si="124"/>
        <v>6.1504279455129263E-2</v>
      </c>
      <c r="B3996" s="21">
        <f t="shared" ca="1" si="125"/>
        <v>265</v>
      </c>
    </row>
    <row r="3997" spans="1:2" x14ac:dyDescent="0.25">
      <c r="A3997" s="20">
        <f t="shared" ca="1" si="124"/>
        <v>5.4399502918537568E-2</v>
      </c>
      <c r="B3997" s="21">
        <f t="shared" ca="1" si="125"/>
        <v>234</v>
      </c>
    </row>
    <row r="3998" spans="1:2" x14ac:dyDescent="0.25">
      <c r="A3998" s="20">
        <f t="shared" ca="1" si="124"/>
        <v>0.38710492726490475</v>
      </c>
      <c r="B3998" s="21">
        <f t="shared" ca="1" si="125"/>
        <v>1814</v>
      </c>
    </row>
    <row r="3999" spans="1:2" x14ac:dyDescent="0.25">
      <c r="A3999" s="20">
        <f t="shared" ca="1" si="124"/>
        <v>0.48299187443203506</v>
      </c>
      <c r="B3999" s="21">
        <f t="shared" ca="1" si="125"/>
        <v>2253</v>
      </c>
    </row>
    <row r="4000" spans="1:2" x14ac:dyDescent="0.25">
      <c r="A4000" s="20">
        <f t="shared" ca="1" si="124"/>
        <v>0.2797979468141516</v>
      </c>
      <c r="B4000" s="21">
        <f t="shared" ca="1" si="125"/>
        <v>1302</v>
      </c>
    </row>
    <row r="4001" spans="1:2" x14ac:dyDescent="0.25">
      <c r="A4001" s="20">
        <f t="shared" ca="1" si="124"/>
        <v>0.95124525782121483</v>
      </c>
      <c r="B4001" s="21">
        <f t="shared" ca="1" si="125"/>
        <v>4411</v>
      </c>
    </row>
    <row r="4002" spans="1:2" x14ac:dyDescent="0.25">
      <c r="A4002" s="20">
        <f t="shared" ca="1" si="124"/>
        <v>0.53237913523239355</v>
      </c>
      <c r="B4002" s="21">
        <f t="shared" ca="1" si="125"/>
        <v>2486</v>
      </c>
    </row>
    <row r="4003" spans="1:2" x14ac:dyDescent="0.25">
      <c r="A4003" s="20">
        <f t="shared" ca="1" si="124"/>
        <v>0.59248417792823982</v>
      </c>
      <c r="B4003" s="21">
        <f t="shared" ca="1" si="125"/>
        <v>2764</v>
      </c>
    </row>
    <row r="4004" spans="1:2" x14ac:dyDescent="0.25">
      <c r="A4004" s="20">
        <f t="shared" ca="1" si="124"/>
        <v>0.64512963280066837</v>
      </c>
      <c r="B4004" s="21">
        <f t="shared" ca="1" si="125"/>
        <v>2994</v>
      </c>
    </row>
    <row r="4005" spans="1:2" x14ac:dyDescent="0.25">
      <c r="A4005" s="20">
        <f t="shared" ca="1" si="124"/>
        <v>0.14403785608769026</v>
      </c>
      <c r="B4005" s="21">
        <f t="shared" ca="1" si="125"/>
        <v>635</v>
      </c>
    </row>
    <row r="4006" spans="1:2" x14ac:dyDescent="0.25">
      <c r="A4006" s="20">
        <f t="shared" ca="1" si="124"/>
        <v>0.88218302045141306</v>
      </c>
      <c r="B4006" s="21">
        <f t="shared" ca="1" si="125"/>
        <v>4063</v>
      </c>
    </row>
    <row r="4007" spans="1:2" x14ac:dyDescent="0.25">
      <c r="A4007" s="20">
        <f t="shared" ca="1" si="124"/>
        <v>0.85066641997092429</v>
      </c>
      <c r="B4007" s="21">
        <f t="shared" ca="1" si="125"/>
        <v>3932</v>
      </c>
    </row>
    <row r="4008" spans="1:2" x14ac:dyDescent="0.25">
      <c r="A4008" s="20">
        <f t="shared" ca="1" si="124"/>
        <v>9.922068995304012E-2</v>
      </c>
      <c r="B4008" s="21">
        <f t="shared" ca="1" si="125"/>
        <v>447</v>
      </c>
    </row>
    <row r="4009" spans="1:2" x14ac:dyDescent="0.25">
      <c r="A4009" s="20">
        <f t="shared" ca="1" si="124"/>
        <v>0.25230579347851467</v>
      </c>
      <c r="B4009" s="21">
        <f t="shared" ca="1" si="125"/>
        <v>1180</v>
      </c>
    </row>
    <row r="4010" spans="1:2" x14ac:dyDescent="0.25">
      <c r="A4010" s="20">
        <f t="shared" ca="1" si="124"/>
        <v>0.42970618664853277</v>
      </c>
      <c r="B4010" s="21">
        <f t="shared" ca="1" si="125"/>
        <v>2018</v>
      </c>
    </row>
    <row r="4011" spans="1:2" x14ac:dyDescent="0.25">
      <c r="A4011" s="20">
        <f t="shared" ca="1" si="124"/>
        <v>0.18790392189146798</v>
      </c>
      <c r="B4011" s="21">
        <f t="shared" ca="1" si="125"/>
        <v>863</v>
      </c>
    </row>
    <row r="4012" spans="1:2" x14ac:dyDescent="0.25">
      <c r="A4012" s="20">
        <f t="shared" ca="1" si="124"/>
        <v>0.13047757811292715</v>
      </c>
      <c r="B4012" s="21">
        <f t="shared" ca="1" si="125"/>
        <v>579</v>
      </c>
    </row>
    <row r="4013" spans="1:2" x14ac:dyDescent="0.25">
      <c r="A4013" s="20">
        <f t="shared" ca="1" si="124"/>
        <v>0.13681837288151233</v>
      </c>
      <c r="B4013" s="21">
        <f t="shared" ca="1" si="125"/>
        <v>601</v>
      </c>
    </row>
    <row r="4014" spans="1:2" x14ac:dyDescent="0.25">
      <c r="A4014" s="20">
        <f t="shared" ca="1" si="124"/>
        <v>0.70588640711549344</v>
      </c>
      <c r="B4014" s="21">
        <f t="shared" ca="1" si="125"/>
        <v>3267</v>
      </c>
    </row>
    <row r="4015" spans="1:2" x14ac:dyDescent="0.25">
      <c r="A4015" s="20">
        <f t="shared" ca="1" si="124"/>
        <v>0.55417134423073955</v>
      </c>
      <c r="B4015" s="21">
        <f t="shared" ca="1" si="125"/>
        <v>2593</v>
      </c>
    </row>
    <row r="4016" spans="1:2" x14ac:dyDescent="0.25">
      <c r="A4016" s="20">
        <f t="shared" ca="1" si="124"/>
        <v>0.92046359170944414</v>
      </c>
      <c r="B4016" s="21">
        <f t="shared" ca="1" si="125"/>
        <v>4246</v>
      </c>
    </row>
    <row r="4017" spans="1:2" x14ac:dyDescent="0.25">
      <c r="A4017" s="20">
        <f t="shared" ca="1" si="124"/>
        <v>0.70639018300024492</v>
      </c>
      <c r="B4017" s="21">
        <f t="shared" ca="1" si="125"/>
        <v>3269</v>
      </c>
    </row>
    <row r="4018" spans="1:2" x14ac:dyDescent="0.25">
      <c r="A4018" s="20">
        <f t="shared" ca="1" si="124"/>
        <v>0.25972348490282116</v>
      </c>
      <c r="B4018" s="21">
        <f t="shared" ca="1" si="125"/>
        <v>1210</v>
      </c>
    </row>
    <row r="4019" spans="1:2" x14ac:dyDescent="0.25">
      <c r="A4019" s="20">
        <f t="shared" ca="1" si="124"/>
        <v>0.98919462653818002</v>
      </c>
      <c r="B4019" s="21">
        <f t="shared" ca="1" si="125"/>
        <v>4580</v>
      </c>
    </row>
    <row r="4020" spans="1:2" x14ac:dyDescent="0.25">
      <c r="A4020" s="20">
        <f t="shared" ca="1" si="124"/>
        <v>0.92460033832980204</v>
      </c>
      <c r="B4020" s="21">
        <f t="shared" ca="1" si="125"/>
        <v>4266</v>
      </c>
    </row>
    <row r="4021" spans="1:2" x14ac:dyDescent="0.25">
      <c r="A4021" s="20">
        <f t="shared" ca="1" si="124"/>
        <v>0.7622399743119247</v>
      </c>
      <c r="B4021" s="21">
        <f t="shared" ca="1" si="125"/>
        <v>3534</v>
      </c>
    </row>
    <row r="4022" spans="1:2" x14ac:dyDescent="0.25">
      <c r="A4022" s="20">
        <f t="shared" ca="1" si="124"/>
        <v>0.59815254245788263</v>
      </c>
      <c r="B4022" s="21">
        <f t="shared" ca="1" si="125"/>
        <v>2798</v>
      </c>
    </row>
    <row r="4023" spans="1:2" x14ac:dyDescent="0.25">
      <c r="A4023" s="20">
        <f t="shared" ca="1" si="124"/>
        <v>0.24398997500561326</v>
      </c>
      <c r="B4023" s="21">
        <f t="shared" ca="1" si="125"/>
        <v>1138</v>
      </c>
    </row>
    <row r="4024" spans="1:2" x14ac:dyDescent="0.25">
      <c r="A4024" s="20">
        <f t="shared" ca="1" si="124"/>
        <v>0.87607212621522468</v>
      </c>
      <c r="B4024" s="21">
        <f t="shared" ca="1" si="125"/>
        <v>4039</v>
      </c>
    </row>
    <row r="4025" spans="1:2" x14ac:dyDescent="0.25">
      <c r="A4025" s="20">
        <f t="shared" ca="1" si="124"/>
        <v>0.12873345645676326</v>
      </c>
      <c r="B4025" s="21">
        <f t="shared" ca="1" si="125"/>
        <v>564</v>
      </c>
    </row>
    <row r="4026" spans="1:2" x14ac:dyDescent="0.25">
      <c r="A4026" s="20">
        <f t="shared" ca="1" si="124"/>
        <v>0.54981558374406947</v>
      </c>
      <c r="B4026" s="21">
        <f t="shared" ca="1" si="125"/>
        <v>2569</v>
      </c>
    </row>
    <row r="4027" spans="1:2" x14ac:dyDescent="0.25">
      <c r="A4027" s="20">
        <f t="shared" ca="1" si="124"/>
        <v>0.19373528715329069</v>
      </c>
      <c r="B4027" s="21">
        <f t="shared" ca="1" si="125"/>
        <v>894</v>
      </c>
    </row>
    <row r="4028" spans="1:2" x14ac:dyDescent="0.25">
      <c r="A4028" s="20">
        <f t="shared" ca="1" si="124"/>
        <v>0.14596298948084441</v>
      </c>
      <c r="B4028" s="21">
        <f t="shared" ca="1" si="125"/>
        <v>644</v>
      </c>
    </row>
    <row r="4029" spans="1:2" x14ac:dyDescent="0.25">
      <c r="A4029" s="20">
        <f t="shared" ca="1" si="124"/>
        <v>0.28802628243826323</v>
      </c>
      <c r="B4029" s="21">
        <f t="shared" ca="1" si="125"/>
        <v>1352</v>
      </c>
    </row>
    <row r="4030" spans="1:2" x14ac:dyDescent="0.25">
      <c r="A4030" s="20">
        <f t="shared" ca="1" si="124"/>
        <v>0.9977782017641752</v>
      </c>
      <c r="B4030" s="21">
        <f t="shared" ca="1" si="125"/>
        <v>4606</v>
      </c>
    </row>
    <row r="4031" spans="1:2" x14ac:dyDescent="0.25">
      <c r="A4031" s="20">
        <f t="shared" ca="1" si="124"/>
        <v>0.86143005019171182</v>
      </c>
      <c r="B4031" s="21">
        <f t="shared" ca="1" si="125"/>
        <v>3976</v>
      </c>
    </row>
    <row r="4032" spans="1:2" x14ac:dyDescent="0.25">
      <c r="A4032" s="20">
        <f t="shared" ca="1" si="124"/>
        <v>0.18307540980763071</v>
      </c>
      <c r="B4032" s="21">
        <f t="shared" ca="1" si="125"/>
        <v>838</v>
      </c>
    </row>
    <row r="4033" spans="1:2" x14ac:dyDescent="0.25">
      <c r="A4033" s="20">
        <f t="shared" ca="1" si="124"/>
        <v>0.46643802369158327</v>
      </c>
      <c r="B4033" s="21">
        <f t="shared" ca="1" si="125"/>
        <v>2182</v>
      </c>
    </row>
    <row r="4034" spans="1:2" x14ac:dyDescent="0.25">
      <c r="A4034" s="20">
        <f t="shared" ca="1" si="124"/>
        <v>0.53436120794303321</v>
      </c>
      <c r="B4034" s="21">
        <f t="shared" ca="1" si="125"/>
        <v>2494</v>
      </c>
    </row>
    <row r="4035" spans="1:2" x14ac:dyDescent="0.25">
      <c r="A4035" s="20">
        <f t="shared" ref="A4035:A4098" ca="1" si="126">RAND()</f>
        <v>0.59457136577422309</v>
      </c>
      <c r="B4035" s="21">
        <f t="shared" ref="B4035:B4098" ca="1" si="127">_xlfn.RANK.EQ($A4035,$A:$A,1)</f>
        <v>2773</v>
      </c>
    </row>
    <row r="4036" spans="1:2" x14ac:dyDescent="0.25">
      <c r="A4036" s="20">
        <f t="shared" ca="1" si="126"/>
        <v>0.74762905593576034</v>
      </c>
      <c r="B4036" s="21">
        <f t="shared" ca="1" si="127"/>
        <v>3457</v>
      </c>
    </row>
    <row r="4037" spans="1:2" x14ac:dyDescent="0.25">
      <c r="A4037" s="20">
        <f t="shared" ca="1" si="126"/>
        <v>0.11272157313432096</v>
      </c>
      <c r="B4037" s="21">
        <f t="shared" ca="1" si="127"/>
        <v>497</v>
      </c>
    </row>
    <row r="4038" spans="1:2" x14ac:dyDescent="0.25">
      <c r="A4038" s="20">
        <f t="shared" ca="1" si="126"/>
        <v>0.93010642410435274</v>
      </c>
      <c r="B4038" s="21">
        <f t="shared" ca="1" si="127"/>
        <v>4293</v>
      </c>
    </row>
    <row r="4039" spans="1:2" x14ac:dyDescent="0.25">
      <c r="A4039" s="20">
        <f t="shared" ca="1" si="126"/>
        <v>0.65814952772450741</v>
      </c>
      <c r="B4039" s="21">
        <f t="shared" ca="1" si="127"/>
        <v>3054</v>
      </c>
    </row>
    <row r="4040" spans="1:2" x14ac:dyDescent="0.25">
      <c r="A4040" s="20">
        <f t="shared" ca="1" si="126"/>
        <v>0.52445954380297599</v>
      </c>
      <c r="B4040" s="21">
        <f t="shared" ca="1" si="127"/>
        <v>2449</v>
      </c>
    </row>
    <row r="4041" spans="1:2" x14ac:dyDescent="0.25">
      <c r="A4041" s="20">
        <f t="shared" ca="1" si="126"/>
        <v>0.42018168987413484</v>
      </c>
      <c r="B4041" s="21">
        <f t="shared" ca="1" si="127"/>
        <v>1964</v>
      </c>
    </row>
    <row r="4042" spans="1:2" x14ac:dyDescent="0.25">
      <c r="A4042" s="20">
        <f t="shared" ca="1" si="126"/>
        <v>0.26250595831941248</v>
      </c>
      <c r="B4042" s="21">
        <f t="shared" ca="1" si="127"/>
        <v>1227</v>
      </c>
    </row>
    <row r="4043" spans="1:2" x14ac:dyDescent="0.25">
      <c r="A4043" s="20">
        <f t="shared" ca="1" si="126"/>
        <v>0.84234549876925635</v>
      </c>
      <c r="B4043" s="21">
        <f t="shared" ca="1" si="127"/>
        <v>3886</v>
      </c>
    </row>
    <row r="4044" spans="1:2" x14ac:dyDescent="0.25">
      <c r="A4044" s="20">
        <f t="shared" ca="1" si="126"/>
        <v>0.69993357862519834</v>
      </c>
      <c r="B4044" s="21">
        <f t="shared" ca="1" si="127"/>
        <v>3240</v>
      </c>
    </row>
    <row r="4045" spans="1:2" x14ac:dyDescent="0.25">
      <c r="A4045" s="20">
        <f t="shared" ca="1" si="126"/>
        <v>0.55475668407206757</v>
      </c>
      <c r="B4045" s="21">
        <f t="shared" ca="1" si="127"/>
        <v>2595</v>
      </c>
    </row>
    <row r="4046" spans="1:2" x14ac:dyDescent="0.25">
      <c r="A4046" s="20">
        <f t="shared" ca="1" si="126"/>
        <v>0.64223038262732457</v>
      </c>
      <c r="B4046" s="21">
        <f t="shared" ca="1" si="127"/>
        <v>2981</v>
      </c>
    </row>
    <row r="4047" spans="1:2" x14ac:dyDescent="0.25">
      <c r="A4047" s="20">
        <f t="shared" ca="1" si="126"/>
        <v>0.26312638153033208</v>
      </c>
      <c r="B4047" s="21">
        <f t="shared" ca="1" si="127"/>
        <v>1228</v>
      </c>
    </row>
    <row r="4048" spans="1:2" x14ac:dyDescent="0.25">
      <c r="A4048" s="20">
        <f t="shared" ca="1" si="126"/>
        <v>0.64173935555910344</v>
      </c>
      <c r="B4048" s="21">
        <f t="shared" ca="1" si="127"/>
        <v>2977</v>
      </c>
    </row>
    <row r="4049" spans="1:2" x14ac:dyDescent="0.25">
      <c r="A4049" s="20">
        <f t="shared" ca="1" si="126"/>
        <v>0.52546170896399969</v>
      </c>
      <c r="B4049" s="21">
        <f t="shared" ca="1" si="127"/>
        <v>2455</v>
      </c>
    </row>
    <row r="4050" spans="1:2" x14ac:dyDescent="0.25">
      <c r="A4050" s="20">
        <f t="shared" ca="1" si="126"/>
        <v>0.4609455709768332</v>
      </c>
      <c r="B4050" s="21">
        <f t="shared" ca="1" si="127"/>
        <v>2164</v>
      </c>
    </row>
    <row r="4051" spans="1:2" x14ac:dyDescent="0.25">
      <c r="A4051" s="20">
        <f t="shared" ca="1" si="126"/>
        <v>0.16674691309219869</v>
      </c>
      <c r="B4051" s="21">
        <f t="shared" ca="1" si="127"/>
        <v>745</v>
      </c>
    </row>
    <row r="4052" spans="1:2" x14ac:dyDescent="0.25">
      <c r="A4052" s="20">
        <f t="shared" ca="1" si="126"/>
        <v>0.90125370765886492</v>
      </c>
      <c r="B4052" s="21">
        <f t="shared" ca="1" si="127"/>
        <v>4159</v>
      </c>
    </row>
    <row r="4053" spans="1:2" x14ac:dyDescent="0.25">
      <c r="A4053" s="20">
        <f t="shared" ca="1" si="126"/>
        <v>0.63983914105177064</v>
      </c>
      <c r="B4053" s="21">
        <f t="shared" ca="1" si="127"/>
        <v>2965</v>
      </c>
    </row>
    <row r="4054" spans="1:2" x14ac:dyDescent="0.25">
      <c r="A4054" s="20">
        <f t="shared" ca="1" si="126"/>
        <v>5.9863400094984143E-2</v>
      </c>
      <c r="B4054" s="21">
        <f t="shared" ca="1" si="127"/>
        <v>259</v>
      </c>
    </row>
    <row r="4055" spans="1:2" x14ac:dyDescent="0.25">
      <c r="A4055" s="20">
        <f t="shared" ca="1" si="126"/>
        <v>0.45567366910657958</v>
      </c>
      <c r="B4055" s="21">
        <f t="shared" ca="1" si="127"/>
        <v>2138</v>
      </c>
    </row>
    <row r="4056" spans="1:2" x14ac:dyDescent="0.25">
      <c r="A4056" s="20">
        <f t="shared" ca="1" si="126"/>
        <v>0.73345653733198812</v>
      </c>
      <c r="B4056" s="21">
        <f t="shared" ca="1" si="127"/>
        <v>3398</v>
      </c>
    </row>
    <row r="4057" spans="1:2" x14ac:dyDescent="0.25">
      <c r="A4057" s="20">
        <f t="shared" ca="1" si="126"/>
        <v>4.8061285687000743E-2</v>
      </c>
      <c r="B4057" s="21">
        <f t="shared" ca="1" si="127"/>
        <v>200</v>
      </c>
    </row>
    <row r="4058" spans="1:2" x14ac:dyDescent="0.25">
      <c r="A4058" s="20">
        <f t="shared" ca="1" si="126"/>
        <v>0.27359594299999801</v>
      </c>
      <c r="B4058" s="21">
        <f t="shared" ca="1" si="127"/>
        <v>1275</v>
      </c>
    </row>
    <row r="4059" spans="1:2" x14ac:dyDescent="0.25">
      <c r="A4059" s="20">
        <f t="shared" ca="1" si="126"/>
        <v>0.2982255070199693</v>
      </c>
      <c r="B4059" s="21">
        <f t="shared" ca="1" si="127"/>
        <v>1398</v>
      </c>
    </row>
    <row r="4060" spans="1:2" x14ac:dyDescent="0.25">
      <c r="A4060" s="20">
        <f t="shared" ca="1" si="126"/>
        <v>0.73367219109588389</v>
      </c>
      <c r="B4060" s="21">
        <f t="shared" ca="1" si="127"/>
        <v>3400</v>
      </c>
    </row>
    <row r="4061" spans="1:2" x14ac:dyDescent="0.25">
      <c r="A4061" s="20">
        <f t="shared" ca="1" si="126"/>
        <v>0.92493974008767099</v>
      </c>
      <c r="B4061" s="21">
        <f t="shared" ca="1" si="127"/>
        <v>4270</v>
      </c>
    </row>
    <row r="4062" spans="1:2" x14ac:dyDescent="0.25">
      <c r="A4062" s="20">
        <f t="shared" ca="1" si="126"/>
        <v>0.40685734858072431</v>
      </c>
      <c r="B4062" s="21">
        <f t="shared" ca="1" si="127"/>
        <v>1908</v>
      </c>
    </row>
    <row r="4063" spans="1:2" x14ac:dyDescent="0.25">
      <c r="A4063" s="20">
        <f t="shared" ca="1" si="126"/>
        <v>1.8201998180199852E-2</v>
      </c>
      <c r="B4063" s="21">
        <f t="shared" ca="1" si="127"/>
        <v>65</v>
      </c>
    </row>
    <row r="4064" spans="1:2" x14ac:dyDescent="0.25">
      <c r="A4064" s="20">
        <f t="shared" ca="1" si="126"/>
        <v>0.61897264375444516</v>
      </c>
      <c r="B4064" s="21">
        <f t="shared" ca="1" si="127"/>
        <v>2874</v>
      </c>
    </row>
    <row r="4065" spans="1:2" x14ac:dyDescent="0.25">
      <c r="A4065" s="20">
        <f t="shared" ca="1" si="126"/>
        <v>0.33690788495716639</v>
      </c>
      <c r="B4065" s="21">
        <f t="shared" ca="1" si="127"/>
        <v>1582</v>
      </c>
    </row>
    <row r="4066" spans="1:2" x14ac:dyDescent="0.25">
      <c r="A4066" s="20">
        <f t="shared" ca="1" si="126"/>
        <v>7.279918229408433E-3</v>
      </c>
      <c r="B4066" s="21">
        <f t="shared" ca="1" si="127"/>
        <v>29</v>
      </c>
    </row>
    <row r="4067" spans="1:2" x14ac:dyDescent="0.25">
      <c r="A4067" s="20">
        <f t="shared" ca="1" si="126"/>
        <v>0.18123148607131279</v>
      </c>
      <c r="B4067" s="21">
        <f t="shared" ca="1" si="127"/>
        <v>829</v>
      </c>
    </row>
    <row r="4068" spans="1:2" x14ac:dyDescent="0.25">
      <c r="A4068" s="20">
        <f t="shared" ca="1" si="126"/>
        <v>1.9791394350153757E-2</v>
      </c>
      <c r="B4068" s="21">
        <f t="shared" ca="1" si="127"/>
        <v>77</v>
      </c>
    </row>
    <row r="4069" spans="1:2" x14ac:dyDescent="0.25">
      <c r="A4069" s="20">
        <f t="shared" ca="1" si="126"/>
        <v>0.4201657015169552</v>
      </c>
      <c r="B4069" s="21">
        <f t="shared" ca="1" si="127"/>
        <v>1963</v>
      </c>
    </row>
    <row r="4070" spans="1:2" x14ac:dyDescent="0.25">
      <c r="A4070" s="20">
        <f t="shared" ca="1" si="126"/>
        <v>0.40897995871527781</v>
      </c>
      <c r="B4070" s="21">
        <f t="shared" ca="1" si="127"/>
        <v>1925</v>
      </c>
    </row>
    <row r="4071" spans="1:2" x14ac:dyDescent="0.25">
      <c r="A4071" s="20">
        <f t="shared" ca="1" si="126"/>
        <v>6.8135620750176096E-2</v>
      </c>
      <c r="B4071" s="21">
        <f t="shared" ca="1" si="127"/>
        <v>304</v>
      </c>
    </row>
    <row r="4072" spans="1:2" x14ac:dyDescent="0.25">
      <c r="A4072" s="20">
        <f t="shared" ca="1" si="126"/>
        <v>0.35918243201212086</v>
      </c>
      <c r="B4072" s="21">
        <f t="shared" ca="1" si="127"/>
        <v>1700</v>
      </c>
    </row>
    <row r="4073" spans="1:2" x14ac:dyDescent="0.25">
      <c r="A4073" s="20">
        <f t="shared" ca="1" si="126"/>
        <v>5.1098783600430298E-2</v>
      </c>
      <c r="B4073" s="21">
        <f t="shared" ca="1" si="127"/>
        <v>215</v>
      </c>
    </row>
    <row r="4074" spans="1:2" x14ac:dyDescent="0.25">
      <c r="A4074" s="20">
        <f t="shared" ca="1" si="126"/>
        <v>0.46148508535509991</v>
      </c>
      <c r="B4074" s="21">
        <f t="shared" ca="1" si="127"/>
        <v>2166</v>
      </c>
    </row>
    <row r="4075" spans="1:2" x14ac:dyDescent="0.25">
      <c r="A4075" s="20">
        <f t="shared" ca="1" si="126"/>
        <v>0.32033330117732395</v>
      </c>
      <c r="B4075" s="21">
        <f t="shared" ca="1" si="127"/>
        <v>1503</v>
      </c>
    </row>
    <row r="4076" spans="1:2" x14ac:dyDescent="0.25">
      <c r="A4076" s="20">
        <f t="shared" ca="1" si="126"/>
        <v>0.35364996088274092</v>
      </c>
      <c r="B4076" s="21">
        <f t="shared" ca="1" si="127"/>
        <v>1669</v>
      </c>
    </row>
    <row r="4077" spans="1:2" x14ac:dyDescent="0.25">
      <c r="A4077" s="20">
        <f t="shared" ca="1" si="126"/>
        <v>0.62535109007318057</v>
      </c>
      <c r="B4077" s="21">
        <f t="shared" ca="1" si="127"/>
        <v>2895</v>
      </c>
    </row>
    <row r="4078" spans="1:2" x14ac:dyDescent="0.25">
      <c r="A4078" s="20">
        <f t="shared" ca="1" si="126"/>
        <v>2.8716394804293444E-3</v>
      </c>
      <c r="B4078" s="21">
        <f t="shared" ca="1" si="127"/>
        <v>14</v>
      </c>
    </row>
    <row r="4079" spans="1:2" x14ac:dyDescent="0.25">
      <c r="A4079" s="20">
        <f t="shared" ca="1" si="126"/>
        <v>0.46489973534057794</v>
      </c>
      <c r="B4079" s="21">
        <f t="shared" ca="1" si="127"/>
        <v>2177</v>
      </c>
    </row>
    <row r="4080" spans="1:2" x14ac:dyDescent="0.25">
      <c r="A4080" s="20">
        <f t="shared" ca="1" si="126"/>
        <v>0.52056312706109253</v>
      </c>
      <c r="B4080" s="21">
        <f t="shared" ca="1" si="127"/>
        <v>2431</v>
      </c>
    </row>
    <row r="4081" spans="1:2" x14ac:dyDescent="0.25">
      <c r="A4081" s="20">
        <f t="shared" ca="1" si="126"/>
        <v>0.74043747500110824</v>
      </c>
      <c r="B4081" s="21">
        <f t="shared" ca="1" si="127"/>
        <v>3425</v>
      </c>
    </row>
    <row r="4082" spans="1:2" x14ac:dyDescent="0.25">
      <c r="A4082" s="20">
        <f t="shared" ca="1" si="126"/>
        <v>0.36520023676236901</v>
      </c>
      <c r="B4082" s="21">
        <f t="shared" ca="1" si="127"/>
        <v>1730</v>
      </c>
    </row>
    <row r="4083" spans="1:2" x14ac:dyDescent="0.25">
      <c r="A4083" s="20">
        <f t="shared" ca="1" si="126"/>
        <v>0.37313501163932006</v>
      </c>
      <c r="B4083" s="21">
        <f t="shared" ca="1" si="127"/>
        <v>1768</v>
      </c>
    </row>
    <row r="4084" spans="1:2" x14ac:dyDescent="0.25">
      <c r="A4084" s="20">
        <f t="shared" ca="1" si="126"/>
        <v>0.32573123004023208</v>
      </c>
      <c r="B4084" s="21">
        <f t="shared" ca="1" si="127"/>
        <v>1529</v>
      </c>
    </row>
    <row r="4085" spans="1:2" x14ac:dyDescent="0.25">
      <c r="A4085" s="20">
        <f t="shared" ca="1" si="126"/>
        <v>0.3134356790486359</v>
      </c>
      <c r="B4085" s="21">
        <f t="shared" ca="1" si="127"/>
        <v>1469</v>
      </c>
    </row>
    <row r="4086" spans="1:2" x14ac:dyDescent="0.25">
      <c r="A4086" s="20">
        <f t="shared" ca="1" si="126"/>
        <v>0.97924905861112987</v>
      </c>
      <c r="B4086" s="21">
        <f t="shared" ca="1" si="127"/>
        <v>4542</v>
      </c>
    </row>
    <row r="4087" spans="1:2" x14ac:dyDescent="0.25">
      <c r="A4087" s="20">
        <f t="shared" ca="1" si="126"/>
        <v>0.63040053973196075</v>
      </c>
      <c r="B4087" s="21">
        <f t="shared" ca="1" si="127"/>
        <v>2920</v>
      </c>
    </row>
    <row r="4088" spans="1:2" x14ac:dyDescent="0.25">
      <c r="A4088" s="20">
        <f t="shared" ca="1" si="126"/>
        <v>0.57369908700537731</v>
      </c>
      <c r="B4088" s="21">
        <f t="shared" ca="1" si="127"/>
        <v>2677</v>
      </c>
    </row>
    <row r="4089" spans="1:2" x14ac:dyDescent="0.25">
      <c r="A4089" s="20">
        <f t="shared" ca="1" si="126"/>
        <v>9.5929865640543954E-2</v>
      </c>
      <c r="B4089" s="21">
        <f t="shared" ca="1" si="127"/>
        <v>431</v>
      </c>
    </row>
    <row r="4090" spans="1:2" x14ac:dyDescent="0.25">
      <c r="A4090" s="20">
        <f t="shared" ca="1" si="126"/>
        <v>0.7617536817008943</v>
      </c>
      <c r="B4090" s="21">
        <f t="shared" ca="1" si="127"/>
        <v>3532</v>
      </c>
    </row>
    <row r="4091" spans="1:2" x14ac:dyDescent="0.25">
      <c r="A4091" s="20">
        <f t="shared" ca="1" si="126"/>
        <v>0.47470582204394141</v>
      </c>
      <c r="B4091" s="21">
        <f t="shared" ca="1" si="127"/>
        <v>2217</v>
      </c>
    </row>
    <row r="4092" spans="1:2" x14ac:dyDescent="0.25">
      <c r="A4092" s="20">
        <f t="shared" ca="1" si="126"/>
        <v>0.70148067348859455</v>
      </c>
      <c r="B4092" s="21">
        <f t="shared" ca="1" si="127"/>
        <v>3249</v>
      </c>
    </row>
    <row r="4093" spans="1:2" x14ac:dyDescent="0.25">
      <c r="A4093" s="20">
        <f t="shared" ca="1" si="126"/>
        <v>0.37455084429277419</v>
      </c>
      <c r="B4093" s="21">
        <f t="shared" ca="1" si="127"/>
        <v>1773</v>
      </c>
    </row>
    <row r="4094" spans="1:2" x14ac:dyDescent="0.25">
      <c r="A4094" s="20">
        <f t="shared" ca="1" si="126"/>
        <v>0.39154996439059198</v>
      </c>
      <c r="B4094" s="21">
        <f t="shared" ca="1" si="127"/>
        <v>1841</v>
      </c>
    </row>
    <row r="4095" spans="1:2" x14ac:dyDescent="0.25">
      <c r="A4095" s="20">
        <f t="shared" ca="1" si="126"/>
        <v>0.27536849254858797</v>
      </c>
      <c r="B4095" s="21">
        <f t="shared" ca="1" si="127"/>
        <v>1289</v>
      </c>
    </row>
    <row r="4096" spans="1:2" x14ac:dyDescent="0.25">
      <c r="A4096" s="20">
        <f t="shared" ca="1" si="126"/>
        <v>0.56273293067423358</v>
      </c>
      <c r="B4096" s="21">
        <f t="shared" ca="1" si="127"/>
        <v>2631</v>
      </c>
    </row>
    <row r="4097" spans="1:2" x14ac:dyDescent="0.25">
      <c r="A4097" s="20">
        <f t="shared" ca="1" si="126"/>
        <v>0.18691637824147045</v>
      </c>
      <c r="B4097" s="21">
        <f t="shared" ca="1" si="127"/>
        <v>857</v>
      </c>
    </row>
    <row r="4098" spans="1:2" x14ac:dyDescent="0.25">
      <c r="A4098" s="20">
        <f t="shared" ca="1" si="126"/>
        <v>0.88557656356881431</v>
      </c>
      <c r="B4098" s="21">
        <f t="shared" ca="1" si="127"/>
        <v>4082</v>
      </c>
    </row>
    <row r="4099" spans="1:2" x14ac:dyDescent="0.25">
      <c r="A4099" s="20">
        <f t="shared" ref="A4099:A4162" ca="1" si="128">RAND()</f>
        <v>0.48503249015895988</v>
      </c>
      <c r="B4099" s="21">
        <f t="shared" ref="B4099:B4162" ca="1" si="129">_xlfn.RANK.EQ($A4099,$A:$A,1)</f>
        <v>2259</v>
      </c>
    </row>
    <row r="4100" spans="1:2" x14ac:dyDescent="0.25">
      <c r="A4100" s="20">
        <f t="shared" ca="1" si="128"/>
        <v>0.8243264686883589</v>
      </c>
      <c r="B4100" s="21">
        <f t="shared" ca="1" si="129"/>
        <v>3815</v>
      </c>
    </row>
    <row r="4101" spans="1:2" x14ac:dyDescent="0.25">
      <c r="A4101" s="20">
        <f t="shared" ca="1" si="128"/>
        <v>0.27443180256154387</v>
      </c>
      <c r="B4101" s="21">
        <f t="shared" ca="1" si="129"/>
        <v>1286</v>
      </c>
    </row>
    <row r="4102" spans="1:2" x14ac:dyDescent="0.25">
      <c r="A4102" s="20">
        <f t="shared" ca="1" si="128"/>
        <v>0.15128953246822718</v>
      </c>
      <c r="B4102" s="21">
        <f t="shared" ca="1" si="129"/>
        <v>678</v>
      </c>
    </row>
    <row r="4103" spans="1:2" x14ac:dyDescent="0.25">
      <c r="A4103" s="20">
        <f t="shared" ca="1" si="128"/>
        <v>0.34826558850818312</v>
      </c>
      <c r="B4103" s="21">
        <f t="shared" ca="1" si="129"/>
        <v>1638</v>
      </c>
    </row>
    <row r="4104" spans="1:2" x14ac:dyDescent="0.25">
      <c r="A4104" s="20">
        <f t="shared" ca="1" si="128"/>
        <v>0.66024438660264018</v>
      </c>
      <c r="B4104" s="21">
        <f t="shared" ca="1" si="129"/>
        <v>3064</v>
      </c>
    </row>
    <row r="4105" spans="1:2" x14ac:dyDescent="0.25">
      <c r="A4105" s="20">
        <f t="shared" ca="1" si="128"/>
        <v>0.74770644171487732</v>
      </c>
      <c r="B4105" s="21">
        <f t="shared" ca="1" si="129"/>
        <v>3458</v>
      </c>
    </row>
    <row r="4106" spans="1:2" x14ac:dyDescent="0.25">
      <c r="A4106" s="20">
        <f t="shared" ca="1" si="128"/>
        <v>0.79447633786950611</v>
      </c>
      <c r="B4106" s="21">
        <f t="shared" ca="1" si="129"/>
        <v>3677</v>
      </c>
    </row>
    <row r="4107" spans="1:2" x14ac:dyDescent="0.25">
      <c r="A4107" s="20">
        <f t="shared" ca="1" si="128"/>
        <v>0.73750986983912126</v>
      </c>
      <c r="B4107" s="21">
        <f t="shared" ca="1" si="129"/>
        <v>3412</v>
      </c>
    </row>
    <row r="4108" spans="1:2" x14ac:dyDescent="0.25">
      <c r="A4108" s="20">
        <f t="shared" ca="1" si="128"/>
        <v>0.69994528781019483</v>
      </c>
      <c r="B4108" s="21">
        <f t="shared" ca="1" si="129"/>
        <v>3241</v>
      </c>
    </row>
    <row r="4109" spans="1:2" x14ac:dyDescent="0.25">
      <c r="A4109" s="20">
        <f t="shared" ca="1" si="128"/>
        <v>0.21624121043421574</v>
      </c>
      <c r="B4109" s="21">
        <f t="shared" ca="1" si="129"/>
        <v>1012</v>
      </c>
    </row>
    <row r="4110" spans="1:2" x14ac:dyDescent="0.25">
      <c r="A4110" s="20">
        <f t="shared" ca="1" si="128"/>
        <v>0.87927657970206197</v>
      </c>
      <c r="B4110" s="21">
        <f t="shared" ca="1" si="129"/>
        <v>4052</v>
      </c>
    </row>
    <row r="4111" spans="1:2" x14ac:dyDescent="0.25">
      <c r="A4111" s="20">
        <f t="shared" ca="1" si="128"/>
        <v>0.7087375847872498</v>
      </c>
      <c r="B4111" s="21">
        <f t="shared" ca="1" si="129"/>
        <v>3282</v>
      </c>
    </row>
    <row r="4112" spans="1:2" x14ac:dyDescent="0.25">
      <c r="A4112" s="20">
        <f t="shared" ca="1" si="128"/>
        <v>0.45672428576716739</v>
      </c>
      <c r="B4112" s="21">
        <f t="shared" ca="1" si="129"/>
        <v>2146</v>
      </c>
    </row>
    <row r="4113" spans="1:2" x14ac:dyDescent="0.25">
      <c r="A4113" s="20">
        <f t="shared" ca="1" si="128"/>
        <v>0.5881711424674182</v>
      </c>
      <c r="B4113" s="21">
        <f t="shared" ca="1" si="129"/>
        <v>2747</v>
      </c>
    </row>
    <row r="4114" spans="1:2" x14ac:dyDescent="0.25">
      <c r="A4114" s="20">
        <f t="shared" ca="1" si="128"/>
        <v>0.8616958981807693</v>
      </c>
      <c r="B4114" s="21">
        <f t="shared" ca="1" si="129"/>
        <v>3978</v>
      </c>
    </row>
    <row r="4115" spans="1:2" x14ac:dyDescent="0.25">
      <c r="A4115" s="20">
        <f t="shared" ca="1" si="128"/>
        <v>0.58507369895331773</v>
      </c>
      <c r="B4115" s="21">
        <f t="shared" ca="1" si="129"/>
        <v>2740</v>
      </c>
    </row>
    <row r="4116" spans="1:2" x14ac:dyDescent="0.25">
      <c r="A4116" s="20">
        <f t="shared" ca="1" si="128"/>
        <v>0.68742150075892361</v>
      </c>
      <c r="B4116" s="21">
        <f t="shared" ca="1" si="129"/>
        <v>3193</v>
      </c>
    </row>
    <row r="4117" spans="1:2" x14ac:dyDescent="0.25">
      <c r="A4117" s="20">
        <f t="shared" ca="1" si="128"/>
        <v>0.53379879484609283</v>
      </c>
      <c r="B4117" s="21">
        <f t="shared" ca="1" si="129"/>
        <v>2491</v>
      </c>
    </row>
    <row r="4118" spans="1:2" x14ac:dyDescent="0.25">
      <c r="A4118" s="20">
        <f t="shared" ca="1" si="128"/>
        <v>0.20980214622804572</v>
      </c>
      <c r="B4118" s="21">
        <f t="shared" ca="1" si="129"/>
        <v>979</v>
      </c>
    </row>
    <row r="4119" spans="1:2" x14ac:dyDescent="0.25">
      <c r="A4119" s="20">
        <f t="shared" ca="1" si="128"/>
        <v>0.13965221652499094</v>
      </c>
      <c r="B4119" s="21">
        <f t="shared" ca="1" si="129"/>
        <v>616</v>
      </c>
    </row>
    <row r="4120" spans="1:2" x14ac:dyDescent="0.25">
      <c r="A4120" s="20">
        <f t="shared" ca="1" si="128"/>
        <v>0.26023190635664706</v>
      </c>
      <c r="B4120" s="21">
        <f t="shared" ca="1" si="129"/>
        <v>1213</v>
      </c>
    </row>
    <row r="4121" spans="1:2" x14ac:dyDescent="0.25">
      <c r="A4121" s="20">
        <f t="shared" ca="1" si="128"/>
        <v>0.53773530673501679</v>
      </c>
      <c r="B4121" s="21">
        <f t="shared" ca="1" si="129"/>
        <v>2509</v>
      </c>
    </row>
    <row r="4122" spans="1:2" x14ac:dyDescent="0.25">
      <c r="A4122" s="20">
        <f t="shared" ca="1" si="128"/>
        <v>2.4550751018325156E-3</v>
      </c>
      <c r="B4122" s="21">
        <f t="shared" ca="1" si="129"/>
        <v>11</v>
      </c>
    </row>
    <row r="4123" spans="1:2" x14ac:dyDescent="0.25">
      <c r="A4123" s="20">
        <f t="shared" ca="1" si="128"/>
        <v>0.36750903049137473</v>
      </c>
      <c r="B4123" s="21">
        <f t="shared" ca="1" si="129"/>
        <v>1743</v>
      </c>
    </row>
    <row r="4124" spans="1:2" x14ac:dyDescent="0.25">
      <c r="A4124" s="20">
        <f t="shared" ca="1" si="128"/>
        <v>0.7938752159586997</v>
      </c>
      <c r="B4124" s="21">
        <f t="shared" ca="1" si="129"/>
        <v>3674</v>
      </c>
    </row>
    <row r="4125" spans="1:2" x14ac:dyDescent="0.25">
      <c r="A4125" s="20">
        <f t="shared" ca="1" si="128"/>
        <v>3.4075102525092493E-2</v>
      </c>
      <c r="B4125" s="21">
        <f t="shared" ca="1" si="129"/>
        <v>130</v>
      </c>
    </row>
    <row r="4126" spans="1:2" x14ac:dyDescent="0.25">
      <c r="A4126" s="20">
        <f t="shared" ca="1" si="128"/>
        <v>0.99160223800557734</v>
      </c>
      <c r="B4126" s="21">
        <f t="shared" ca="1" si="129"/>
        <v>4588</v>
      </c>
    </row>
    <row r="4127" spans="1:2" x14ac:dyDescent="0.25">
      <c r="A4127" s="20">
        <f t="shared" ca="1" si="128"/>
        <v>0.87296331316977538</v>
      </c>
      <c r="B4127" s="21">
        <f t="shared" ca="1" si="129"/>
        <v>4026</v>
      </c>
    </row>
    <row r="4128" spans="1:2" x14ac:dyDescent="0.25">
      <c r="A4128" s="20">
        <f t="shared" ca="1" si="128"/>
        <v>0.2682532366399446</v>
      </c>
      <c r="B4128" s="21">
        <f t="shared" ca="1" si="129"/>
        <v>1253</v>
      </c>
    </row>
    <row r="4129" spans="1:2" x14ac:dyDescent="0.25">
      <c r="A4129" s="20">
        <f t="shared" ca="1" si="128"/>
        <v>0.22895968975328418</v>
      </c>
      <c r="B4129" s="21">
        <f t="shared" ca="1" si="129"/>
        <v>1075</v>
      </c>
    </row>
    <row r="4130" spans="1:2" x14ac:dyDescent="0.25">
      <c r="A4130" s="20">
        <f t="shared" ca="1" si="128"/>
        <v>0.70366731481488964</v>
      </c>
      <c r="B4130" s="21">
        <f t="shared" ca="1" si="129"/>
        <v>3256</v>
      </c>
    </row>
    <row r="4131" spans="1:2" x14ac:dyDescent="0.25">
      <c r="A4131" s="20">
        <f t="shared" ca="1" si="128"/>
        <v>0.93162875043648186</v>
      </c>
      <c r="B4131" s="21">
        <f t="shared" ca="1" si="129"/>
        <v>4303</v>
      </c>
    </row>
    <row r="4132" spans="1:2" x14ac:dyDescent="0.25">
      <c r="A4132" s="20">
        <f t="shared" ca="1" si="128"/>
        <v>0.15960001616638131</v>
      </c>
      <c r="B4132" s="21">
        <f t="shared" ca="1" si="129"/>
        <v>714</v>
      </c>
    </row>
    <row r="4133" spans="1:2" x14ac:dyDescent="0.25">
      <c r="A4133" s="20">
        <f t="shared" ca="1" si="128"/>
        <v>5.6475514581435515E-3</v>
      </c>
      <c r="B4133" s="21">
        <f t="shared" ca="1" si="129"/>
        <v>24</v>
      </c>
    </row>
    <row r="4134" spans="1:2" x14ac:dyDescent="0.25">
      <c r="A4134" s="20">
        <f t="shared" ca="1" si="128"/>
        <v>0.51069992433124822</v>
      </c>
      <c r="B4134" s="21">
        <f t="shared" ca="1" si="129"/>
        <v>2379</v>
      </c>
    </row>
    <row r="4135" spans="1:2" x14ac:dyDescent="0.25">
      <c r="A4135" s="20">
        <f t="shared" ca="1" si="128"/>
        <v>0.78504804947791929</v>
      </c>
      <c r="B4135" s="21">
        <f t="shared" ca="1" si="129"/>
        <v>3636</v>
      </c>
    </row>
    <row r="4136" spans="1:2" x14ac:dyDescent="0.25">
      <c r="A4136" s="20">
        <f t="shared" ca="1" si="128"/>
        <v>0.71850376429507801</v>
      </c>
      <c r="B4136" s="21">
        <f t="shared" ca="1" si="129"/>
        <v>3324</v>
      </c>
    </row>
    <row r="4137" spans="1:2" x14ac:dyDescent="0.25">
      <c r="A4137" s="20">
        <f t="shared" ca="1" si="128"/>
        <v>0.46092727697806968</v>
      </c>
      <c r="B4137" s="21">
        <f t="shared" ca="1" si="129"/>
        <v>2163</v>
      </c>
    </row>
    <row r="4138" spans="1:2" x14ac:dyDescent="0.25">
      <c r="A4138" s="20">
        <f t="shared" ca="1" si="128"/>
        <v>0.90782866315154431</v>
      </c>
      <c r="B4138" s="21">
        <f t="shared" ca="1" si="129"/>
        <v>4188</v>
      </c>
    </row>
    <row r="4139" spans="1:2" x14ac:dyDescent="0.25">
      <c r="A4139" s="20">
        <f t="shared" ca="1" si="128"/>
        <v>4.3124897004064633E-2</v>
      </c>
      <c r="B4139" s="21">
        <f t="shared" ca="1" si="129"/>
        <v>171</v>
      </c>
    </row>
    <row r="4140" spans="1:2" x14ac:dyDescent="0.25">
      <c r="A4140" s="20">
        <f t="shared" ca="1" si="128"/>
        <v>0.28670983732911592</v>
      </c>
      <c r="B4140" s="21">
        <f t="shared" ca="1" si="129"/>
        <v>1342</v>
      </c>
    </row>
    <row r="4141" spans="1:2" x14ac:dyDescent="0.25">
      <c r="A4141" s="20">
        <f t="shared" ca="1" si="128"/>
        <v>0.96061153050460568</v>
      </c>
      <c r="B4141" s="21">
        <f t="shared" ca="1" si="129"/>
        <v>4446</v>
      </c>
    </row>
    <row r="4142" spans="1:2" x14ac:dyDescent="0.25">
      <c r="A4142" s="20">
        <f t="shared" ca="1" si="128"/>
        <v>0.94620176315987181</v>
      </c>
      <c r="B4142" s="21">
        <f t="shared" ca="1" si="129"/>
        <v>4381</v>
      </c>
    </row>
    <row r="4143" spans="1:2" x14ac:dyDescent="0.25">
      <c r="A4143" s="20">
        <f t="shared" ca="1" si="128"/>
        <v>0.60347114158363691</v>
      </c>
      <c r="B4143" s="21">
        <f t="shared" ca="1" si="129"/>
        <v>2817</v>
      </c>
    </row>
    <row r="4144" spans="1:2" x14ac:dyDescent="0.25">
      <c r="A4144" s="20">
        <f t="shared" ca="1" si="128"/>
        <v>0.72926472186381575</v>
      </c>
      <c r="B4144" s="21">
        <f t="shared" ca="1" si="129"/>
        <v>3379</v>
      </c>
    </row>
    <row r="4145" spans="1:2" x14ac:dyDescent="0.25">
      <c r="A4145" s="20">
        <f t="shared" ca="1" si="128"/>
        <v>0.78657250098271914</v>
      </c>
      <c r="B4145" s="21">
        <f t="shared" ca="1" si="129"/>
        <v>3642</v>
      </c>
    </row>
    <row r="4146" spans="1:2" x14ac:dyDescent="0.25">
      <c r="A4146" s="20">
        <f t="shared" ca="1" si="128"/>
        <v>0.18069128840789883</v>
      </c>
      <c r="B4146" s="21">
        <f t="shared" ca="1" si="129"/>
        <v>825</v>
      </c>
    </row>
    <row r="4147" spans="1:2" x14ac:dyDescent="0.25">
      <c r="A4147" s="20">
        <f t="shared" ca="1" si="128"/>
        <v>0.69392279500375764</v>
      </c>
      <c r="B4147" s="21">
        <f t="shared" ca="1" si="129"/>
        <v>3216</v>
      </c>
    </row>
    <row r="4148" spans="1:2" x14ac:dyDescent="0.25">
      <c r="A4148" s="20">
        <f t="shared" ca="1" si="128"/>
        <v>0.7731353433683481</v>
      </c>
      <c r="B4148" s="21">
        <f t="shared" ca="1" si="129"/>
        <v>3591</v>
      </c>
    </row>
    <row r="4149" spans="1:2" x14ac:dyDescent="0.25">
      <c r="A4149" s="20">
        <f t="shared" ca="1" si="128"/>
        <v>0.40225854361187074</v>
      </c>
      <c r="B4149" s="21">
        <f t="shared" ca="1" si="129"/>
        <v>1890</v>
      </c>
    </row>
    <row r="4150" spans="1:2" x14ac:dyDescent="0.25">
      <c r="A4150" s="20">
        <f t="shared" ca="1" si="128"/>
        <v>0.96911419456282255</v>
      </c>
      <c r="B4150" s="21">
        <f t="shared" ca="1" si="129"/>
        <v>4493</v>
      </c>
    </row>
    <row r="4151" spans="1:2" x14ac:dyDescent="0.25">
      <c r="A4151" s="20">
        <f t="shared" ca="1" si="128"/>
        <v>0.36810455921325624</v>
      </c>
      <c r="B4151" s="21">
        <f t="shared" ca="1" si="129"/>
        <v>1748</v>
      </c>
    </row>
    <row r="4152" spans="1:2" x14ac:dyDescent="0.25">
      <c r="A4152" s="20">
        <f t="shared" ca="1" si="128"/>
        <v>0.15464249013479281</v>
      </c>
      <c r="B4152" s="21">
        <f t="shared" ca="1" si="129"/>
        <v>693</v>
      </c>
    </row>
    <row r="4153" spans="1:2" x14ac:dyDescent="0.25">
      <c r="A4153" s="20">
        <f t="shared" ca="1" si="128"/>
        <v>0.71473715302929941</v>
      </c>
      <c r="B4153" s="21">
        <f t="shared" ca="1" si="129"/>
        <v>3307</v>
      </c>
    </row>
    <row r="4154" spans="1:2" x14ac:dyDescent="0.25">
      <c r="A4154" s="20">
        <f t="shared" ca="1" si="128"/>
        <v>0.80782030323167364</v>
      </c>
      <c r="B4154" s="21">
        <f t="shared" ca="1" si="129"/>
        <v>3735</v>
      </c>
    </row>
    <row r="4155" spans="1:2" x14ac:dyDescent="0.25">
      <c r="A4155" s="20">
        <f t="shared" ca="1" si="128"/>
        <v>0.51490107476646363</v>
      </c>
      <c r="B4155" s="21">
        <f t="shared" ca="1" si="129"/>
        <v>2405</v>
      </c>
    </row>
    <row r="4156" spans="1:2" x14ac:dyDescent="0.25">
      <c r="A4156" s="20">
        <f t="shared" ca="1" si="128"/>
        <v>0.18411749234745844</v>
      </c>
      <c r="B4156" s="21">
        <f t="shared" ca="1" si="129"/>
        <v>846</v>
      </c>
    </row>
    <row r="4157" spans="1:2" x14ac:dyDescent="0.25">
      <c r="A4157" s="20">
        <f t="shared" ca="1" si="128"/>
        <v>0.5256127470712888</v>
      </c>
      <c r="B4157" s="21">
        <f t="shared" ca="1" si="129"/>
        <v>2456</v>
      </c>
    </row>
    <row r="4158" spans="1:2" x14ac:dyDescent="0.25">
      <c r="A4158" s="20">
        <f t="shared" ca="1" si="128"/>
        <v>0.53336587494591992</v>
      </c>
      <c r="B4158" s="21">
        <f t="shared" ca="1" si="129"/>
        <v>2489</v>
      </c>
    </row>
    <row r="4159" spans="1:2" x14ac:dyDescent="0.25">
      <c r="A4159" s="20">
        <f t="shared" ca="1" si="128"/>
        <v>0.42599813345983961</v>
      </c>
      <c r="B4159" s="21">
        <f t="shared" ca="1" si="129"/>
        <v>2000</v>
      </c>
    </row>
    <row r="4160" spans="1:2" x14ac:dyDescent="0.25">
      <c r="A4160" s="20">
        <f t="shared" ca="1" si="128"/>
        <v>1.1175364395053178E-2</v>
      </c>
      <c r="B4160" s="21">
        <f t="shared" ca="1" si="129"/>
        <v>40</v>
      </c>
    </row>
    <row r="4161" spans="1:2" x14ac:dyDescent="0.25">
      <c r="A4161" s="20">
        <f t="shared" ca="1" si="128"/>
        <v>0.70086200116818675</v>
      </c>
      <c r="B4161" s="21">
        <f t="shared" ca="1" si="129"/>
        <v>3247</v>
      </c>
    </row>
    <row r="4162" spans="1:2" x14ac:dyDescent="0.25">
      <c r="A4162" s="20">
        <f t="shared" ca="1" si="128"/>
        <v>0.90502979821176699</v>
      </c>
      <c r="B4162" s="21">
        <f t="shared" ca="1" si="129"/>
        <v>4178</v>
      </c>
    </row>
    <row r="4163" spans="1:2" x14ac:dyDescent="0.25">
      <c r="A4163" s="20">
        <f t="shared" ref="A4163:A4226" ca="1" si="130">RAND()</f>
        <v>0.81707411440310151</v>
      </c>
      <c r="B4163" s="21">
        <f t="shared" ref="B4163:B4226" ca="1" si="131">_xlfn.RANK.EQ($A4163,$A:$A,1)</f>
        <v>3777</v>
      </c>
    </row>
    <row r="4164" spans="1:2" x14ac:dyDescent="0.25">
      <c r="A4164" s="20">
        <f t="shared" ca="1" si="130"/>
        <v>0.2973110303861235</v>
      </c>
      <c r="B4164" s="21">
        <f t="shared" ca="1" si="131"/>
        <v>1395</v>
      </c>
    </row>
    <row r="4165" spans="1:2" x14ac:dyDescent="0.25">
      <c r="A4165" s="20">
        <f t="shared" ca="1" si="130"/>
        <v>0.97227769263148456</v>
      </c>
      <c r="B4165" s="21">
        <f t="shared" ca="1" si="131"/>
        <v>4510</v>
      </c>
    </row>
    <row r="4166" spans="1:2" x14ac:dyDescent="0.25">
      <c r="A4166" s="20">
        <f t="shared" ca="1" si="130"/>
        <v>0.19549205167304518</v>
      </c>
      <c r="B4166" s="21">
        <f t="shared" ca="1" si="131"/>
        <v>906</v>
      </c>
    </row>
    <row r="4167" spans="1:2" x14ac:dyDescent="0.25">
      <c r="A4167" s="20">
        <f t="shared" ca="1" si="130"/>
        <v>0.55660792874269294</v>
      </c>
      <c r="B4167" s="21">
        <f t="shared" ca="1" si="131"/>
        <v>2603</v>
      </c>
    </row>
    <row r="4168" spans="1:2" x14ac:dyDescent="0.25">
      <c r="A4168" s="20">
        <f t="shared" ca="1" si="130"/>
        <v>0.33547836149285426</v>
      </c>
      <c r="B4168" s="21">
        <f t="shared" ca="1" si="131"/>
        <v>1573</v>
      </c>
    </row>
    <row r="4169" spans="1:2" x14ac:dyDescent="0.25">
      <c r="A4169" s="20">
        <f t="shared" ca="1" si="130"/>
        <v>0.7867042356877032</v>
      </c>
      <c r="B4169" s="21">
        <f t="shared" ca="1" si="131"/>
        <v>3643</v>
      </c>
    </row>
    <row r="4170" spans="1:2" x14ac:dyDescent="0.25">
      <c r="A4170" s="20">
        <f t="shared" ca="1" si="130"/>
        <v>0.57742712059149215</v>
      </c>
      <c r="B4170" s="21">
        <f t="shared" ca="1" si="131"/>
        <v>2697</v>
      </c>
    </row>
    <row r="4171" spans="1:2" x14ac:dyDescent="0.25">
      <c r="A4171" s="20">
        <f t="shared" ca="1" si="130"/>
        <v>0.74785788994290492</v>
      </c>
      <c r="B4171" s="21">
        <f t="shared" ca="1" si="131"/>
        <v>3460</v>
      </c>
    </row>
    <row r="4172" spans="1:2" x14ac:dyDescent="0.25">
      <c r="A4172" s="20">
        <f t="shared" ca="1" si="130"/>
        <v>4.1448681506424112E-2</v>
      </c>
      <c r="B4172" s="21">
        <f t="shared" ca="1" si="131"/>
        <v>163</v>
      </c>
    </row>
    <row r="4173" spans="1:2" x14ac:dyDescent="0.25">
      <c r="A4173" s="20">
        <f t="shared" ca="1" si="130"/>
        <v>0.95712055753123215</v>
      </c>
      <c r="B4173" s="21">
        <f t="shared" ca="1" si="131"/>
        <v>4430</v>
      </c>
    </row>
    <row r="4174" spans="1:2" x14ac:dyDescent="0.25">
      <c r="A4174" s="20">
        <f t="shared" ca="1" si="130"/>
        <v>0.56322276391540638</v>
      </c>
      <c r="B4174" s="21">
        <f t="shared" ca="1" si="131"/>
        <v>2633</v>
      </c>
    </row>
    <row r="4175" spans="1:2" x14ac:dyDescent="0.25">
      <c r="A4175" s="20">
        <f t="shared" ca="1" si="130"/>
        <v>0.67555674687588341</v>
      </c>
      <c r="B4175" s="21">
        <f t="shared" ca="1" si="131"/>
        <v>3128</v>
      </c>
    </row>
    <row r="4176" spans="1:2" x14ac:dyDescent="0.25">
      <c r="A4176" s="20">
        <f t="shared" ca="1" si="130"/>
        <v>0.23718560210499029</v>
      </c>
      <c r="B4176" s="21">
        <f t="shared" ca="1" si="131"/>
        <v>1110</v>
      </c>
    </row>
    <row r="4177" spans="1:2" x14ac:dyDescent="0.25">
      <c r="A4177" s="20">
        <f t="shared" ca="1" si="130"/>
        <v>0.8910762146234481</v>
      </c>
      <c r="B4177" s="21">
        <f t="shared" ca="1" si="131"/>
        <v>4108</v>
      </c>
    </row>
    <row r="4178" spans="1:2" x14ac:dyDescent="0.25">
      <c r="A4178" s="20">
        <f t="shared" ca="1" si="130"/>
        <v>0.58507520170090643</v>
      </c>
      <c r="B4178" s="21">
        <f t="shared" ca="1" si="131"/>
        <v>2741</v>
      </c>
    </row>
    <row r="4179" spans="1:2" x14ac:dyDescent="0.25">
      <c r="A4179" s="20">
        <f t="shared" ca="1" si="130"/>
        <v>0.39967469662079369</v>
      </c>
      <c r="B4179" s="21">
        <f t="shared" ca="1" si="131"/>
        <v>1877</v>
      </c>
    </row>
    <row r="4180" spans="1:2" x14ac:dyDescent="0.25">
      <c r="A4180" s="20">
        <f t="shared" ca="1" si="130"/>
        <v>0.79843210291723865</v>
      </c>
      <c r="B4180" s="21">
        <f t="shared" ca="1" si="131"/>
        <v>3695</v>
      </c>
    </row>
    <row r="4181" spans="1:2" x14ac:dyDescent="0.25">
      <c r="A4181" s="20">
        <f t="shared" ca="1" si="130"/>
        <v>0.52029884668296023</v>
      </c>
      <c r="B4181" s="21">
        <f t="shared" ca="1" si="131"/>
        <v>2430</v>
      </c>
    </row>
    <row r="4182" spans="1:2" x14ac:dyDescent="0.25">
      <c r="A4182" s="20">
        <f t="shared" ca="1" si="130"/>
        <v>0.70665866371087904</v>
      </c>
      <c r="B4182" s="21">
        <f t="shared" ca="1" si="131"/>
        <v>3270</v>
      </c>
    </row>
    <row r="4183" spans="1:2" x14ac:dyDescent="0.25">
      <c r="A4183" s="20">
        <f t="shared" ca="1" si="130"/>
        <v>0.59141043311789521</v>
      </c>
      <c r="B4183" s="21">
        <f t="shared" ca="1" si="131"/>
        <v>2758</v>
      </c>
    </row>
    <row r="4184" spans="1:2" x14ac:dyDescent="0.25">
      <c r="A4184" s="20">
        <f t="shared" ca="1" si="130"/>
        <v>0.121768782571956</v>
      </c>
      <c r="B4184" s="21">
        <f t="shared" ca="1" si="131"/>
        <v>536</v>
      </c>
    </row>
    <row r="4185" spans="1:2" x14ac:dyDescent="0.25">
      <c r="A4185" s="20">
        <f t="shared" ca="1" si="130"/>
        <v>0.75798696456782111</v>
      </c>
      <c r="B4185" s="21">
        <f t="shared" ca="1" si="131"/>
        <v>3514</v>
      </c>
    </row>
    <row r="4186" spans="1:2" x14ac:dyDescent="0.25">
      <c r="A4186" s="20">
        <f t="shared" ca="1" si="130"/>
        <v>0.65209461524003398</v>
      </c>
      <c r="B4186" s="21">
        <f t="shared" ca="1" si="131"/>
        <v>3027</v>
      </c>
    </row>
    <row r="4187" spans="1:2" x14ac:dyDescent="0.25">
      <c r="A4187" s="20">
        <f t="shared" ca="1" si="130"/>
        <v>0.77522286658356554</v>
      </c>
      <c r="B4187" s="21">
        <f t="shared" ca="1" si="131"/>
        <v>3597</v>
      </c>
    </row>
    <row r="4188" spans="1:2" x14ac:dyDescent="0.25">
      <c r="A4188" s="20">
        <f t="shared" ca="1" si="130"/>
        <v>0.53747458444314833</v>
      </c>
      <c r="B4188" s="21">
        <f t="shared" ca="1" si="131"/>
        <v>2507</v>
      </c>
    </row>
    <row r="4189" spans="1:2" x14ac:dyDescent="0.25">
      <c r="A4189" s="20">
        <f t="shared" ca="1" si="130"/>
        <v>0.22087041916472971</v>
      </c>
      <c r="B4189" s="21">
        <f t="shared" ca="1" si="131"/>
        <v>1037</v>
      </c>
    </row>
    <row r="4190" spans="1:2" x14ac:dyDescent="0.25">
      <c r="A4190" s="20">
        <f t="shared" ca="1" si="130"/>
        <v>2.0600770594199957E-2</v>
      </c>
      <c r="B4190" s="21">
        <f t="shared" ca="1" si="131"/>
        <v>82</v>
      </c>
    </row>
    <row r="4191" spans="1:2" x14ac:dyDescent="0.25">
      <c r="A4191" s="20">
        <f t="shared" ca="1" si="130"/>
        <v>0.60858972650385501</v>
      </c>
      <c r="B4191" s="21">
        <f t="shared" ca="1" si="131"/>
        <v>2835</v>
      </c>
    </row>
    <row r="4192" spans="1:2" x14ac:dyDescent="0.25">
      <c r="A4192" s="20">
        <f t="shared" ca="1" si="130"/>
        <v>0.62555344018679937</v>
      </c>
      <c r="B4192" s="21">
        <f t="shared" ca="1" si="131"/>
        <v>2897</v>
      </c>
    </row>
    <row r="4193" spans="1:2" x14ac:dyDescent="0.25">
      <c r="A4193" s="20">
        <f t="shared" ca="1" si="130"/>
        <v>4.1086379517934701E-2</v>
      </c>
      <c r="B4193" s="21">
        <f t="shared" ca="1" si="131"/>
        <v>162</v>
      </c>
    </row>
    <row r="4194" spans="1:2" x14ac:dyDescent="0.25">
      <c r="A4194" s="20">
        <f t="shared" ca="1" si="130"/>
        <v>0.67823682881756386</v>
      </c>
      <c r="B4194" s="21">
        <f t="shared" ca="1" si="131"/>
        <v>3139</v>
      </c>
    </row>
    <row r="4195" spans="1:2" x14ac:dyDescent="0.25">
      <c r="A4195" s="20">
        <f t="shared" ca="1" si="130"/>
        <v>0.14278639200320353</v>
      </c>
      <c r="B4195" s="21">
        <f t="shared" ca="1" si="131"/>
        <v>625</v>
      </c>
    </row>
    <row r="4196" spans="1:2" x14ac:dyDescent="0.25">
      <c r="A4196" s="20">
        <f t="shared" ca="1" si="130"/>
        <v>0.22056734534438249</v>
      </c>
      <c r="B4196" s="21">
        <f t="shared" ca="1" si="131"/>
        <v>1035</v>
      </c>
    </row>
    <row r="4197" spans="1:2" x14ac:dyDescent="0.25">
      <c r="A4197" s="20">
        <f t="shared" ca="1" si="130"/>
        <v>0.33833880296418672</v>
      </c>
      <c r="B4197" s="21">
        <f t="shared" ca="1" si="131"/>
        <v>1591</v>
      </c>
    </row>
    <row r="4198" spans="1:2" x14ac:dyDescent="0.25">
      <c r="A4198" s="20">
        <f t="shared" ca="1" si="130"/>
        <v>0.35771811485765825</v>
      </c>
      <c r="B4198" s="21">
        <f t="shared" ca="1" si="131"/>
        <v>1690</v>
      </c>
    </row>
    <row r="4199" spans="1:2" x14ac:dyDescent="0.25">
      <c r="A4199" s="20">
        <f t="shared" ca="1" si="130"/>
        <v>0.15567877225074389</v>
      </c>
      <c r="B4199" s="21">
        <f t="shared" ca="1" si="131"/>
        <v>697</v>
      </c>
    </row>
    <row r="4200" spans="1:2" x14ac:dyDescent="0.25">
      <c r="A4200" s="20">
        <f t="shared" ca="1" si="130"/>
        <v>0.36220434556594117</v>
      </c>
      <c r="B4200" s="21">
        <f t="shared" ca="1" si="131"/>
        <v>1714</v>
      </c>
    </row>
    <row r="4201" spans="1:2" x14ac:dyDescent="0.25">
      <c r="A4201" s="20">
        <f t="shared" ca="1" si="130"/>
        <v>0.85322780691756228</v>
      </c>
      <c r="B4201" s="21">
        <f t="shared" ca="1" si="131"/>
        <v>3944</v>
      </c>
    </row>
    <row r="4202" spans="1:2" x14ac:dyDescent="0.25">
      <c r="A4202" s="20">
        <f t="shared" ca="1" si="130"/>
        <v>0.52157624710958383</v>
      </c>
      <c r="B4202" s="21">
        <f t="shared" ca="1" si="131"/>
        <v>2436</v>
      </c>
    </row>
    <row r="4203" spans="1:2" x14ac:dyDescent="0.25">
      <c r="A4203" s="20">
        <f t="shared" ca="1" si="130"/>
        <v>0.47712923266355556</v>
      </c>
      <c r="B4203" s="21">
        <f t="shared" ca="1" si="131"/>
        <v>2225</v>
      </c>
    </row>
    <row r="4204" spans="1:2" x14ac:dyDescent="0.25">
      <c r="A4204" s="20">
        <f t="shared" ca="1" si="130"/>
        <v>0.64368261393368686</v>
      </c>
      <c r="B4204" s="21">
        <f t="shared" ca="1" si="131"/>
        <v>2990</v>
      </c>
    </row>
    <row r="4205" spans="1:2" x14ac:dyDescent="0.25">
      <c r="A4205" s="20">
        <f t="shared" ca="1" si="130"/>
        <v>0.96370470872099878</v>
      </c>
      <c r="B4205" s="21">
        <f t="shared" ca="1" si="131"/>
        <v>4462</v>
      </c>
    </row>
    <row r="4206" spans="1:2" x14ac:dyDescent="0.25">
      <c r="A4206" s="20">
        <f t="shared" ca="1" si="130"/>
        <v>0.95845461896800144</v>
      </c>
      <c r="B4206" s="21">
        <f t="shared" ca="1" si="131"/>
        <v>4436</v>
      </c>
    </row>
    <row r="4207" spans="1:2" x14ac:dyDescent="0.25">
      <c r="A4207" s="20">
        <f t="shared" ca="1" si="130"/>
        <v>0.86683842326783433</v>
      </c>
      <c r="B4207" s="21">
        <f t="shared" ca="1" si="131"/>
        <v>4001</v>
      </c>
    </row>
    <row r="4208" spans="1:2" x14ac:dyDescent="0.25">
      <c r="A4208" s="20">
        <f t="shared" ca="1" si="130"/>
        <v>0.70508046375690392</v>
      </c>
      <c r="B4208" s="21">
        <f t="shared" ca="1" si="131"/>
        <v>3262</v>
      </c>
    </row>
    <row r="4209" spans="1:2" x14ac:dyDescent="0.25">
      <c r="A4209" s="20">
        <f t="shared" ca="1" si="130"/>
        <v>0.3034058376803741</v>
      </c>
      <c r="B4209" s="21">
        <f t="shared" ca="1" si="131"/>
        <v>1422</v>
      </c>
    </row>
    <row r="4210" spans="1:2" x14ac:dyDescent="0.25">
      <c r="A4210" s="20">
        <f t="shared" ca="1" si="130"/>
        <v>0.62415777051472376</v>
      </c>
      <c r="B4210" s="21">
        <f t="shared" ca="1" si="131"/>
        <v>2892</v>
      </c>
    </row>
    <row r="4211" spans="1:2" x14ac:dyDescent="0.25">
      <c r="A4211" s="20">
        <f t="shared" ca="1" si="130"/>
        <v>0.54045019464125654</v>
      </c>
      <c r="B4211" s="21">
        <f t="shared" ca="1" si="131"/>
        <v>2524</v>
      </c>
    </row>
    <row r="4212" spans="1:2" x14ac:dyDescent="0.25">
      <c r="A4212" s="20">
        <f t="shared" ca="1" si="130"/>
        <v>0.81366910036193185</v>
      </c>
      <c r="B4212" s="21">
        <f t="shared" ca="1" si="131"/>
        <v>3762</v>
      </c>
    </row>
    <row r="4213" spans="1:2" x14ac:dyDescent="0.25">
      <c r="A4213" s="20">
        <f t="shared" ca="1" si="130"/>
        <v>0.56866709968257356</v>
      </c>
      <c r="B4213" s="21">
        <f t="shared" ca="1" si="131"/>
        <v>2655</v>
      </c>
    </row>
    <row r="4214" spans="1:2" x14ac:dyDescent="0.25">
      <c r="A4214" s="20">
        <f t="shared" ca="1" si="130"/>
        <v>0.39530476883067101</v>
      </c>
      <c r="B4214" s="21">
        <f t="shared" ca="1" si="131"/>
        <v>1857</v>
      </c>
    </row>
    <row r="4215" spans="1:2" x14ac:dyDescent="0.25">
      <c r="A4215" s="20">
        <f t="shared" ca="1" si="130"/>
        <v>0.78723168740411986</v>
      </c>
      <c r="B4215" s="21">
        <f t="shared" ca="1" si="131"/>
        <v>3647</v>
      </c>
    </row>
    <row r="4216" spans="1:2" x14ac:dyDescent="0.25">
      <c r="A4216" s="20">
        <f t="shared" ca="1" si="130"/>
        <v>0.1358387820573177</v>
      </c>
      <c r="B4216" s="21">
        <f t="shared" ca="1" si="131"/>
        <v>597</v>
      </c>
    </row>
    <row r="4217" spans="1:2" x14ac:dyDescent="0.25">
      <c r="A4217" s="20">
        <f t="shared" ca="1" si="130"/>
        <v>0.25084641181693179</v>
      </c>
      <c r="B4217" s="21">
        <f t="shared" ca="1" si="131"/>
        <v>1171</v>
      </c>
    </row>
    <row r="4218" spans="1:2" x14ac:dyDescent="0.25">
      <c r="A4218" s="20">
        <f t="shared" ca="1" si="130"/>
        <v>0.46441845656374803</v>
      </c>
      <c r="B4218" s="21">
        <f t="shared" ca="1" si="131"/>
        <v>2174</v>
      </c>
    </row>
    <row r="4219" spans="1:2" x14ac:dyDescent="0.25">
      <c r="A4219" s="20">
        <f t="shared" ca="1" si="130"/>
        <v>0.3805478336612681</v>
      </c>
      <c r="B4219" s="21">
        <f t="shared" ca="1" si="131"/>
        <v>1786</v>
      </c>
    </row>
    <row r="4220" spans="1:2" x14ac:dyDescent="0.25">
      <c r="A4220" s="20">
        <f t="shared" ca="1" si="130"/>
        <v>0.18958906901051187</v>
      </c>
      <c r="B4220" s="21">
        <f t="shared" ca="1" si="131"/>
        <v>872</v>
      </c>
    </row>
    <row r="4221" spans="1:2" x14ac:dyDescent="0.25">
      <c r="A4221" s="20">
        <f t="shared" ca="1" si="130"/>
        <v>0.12622753054808322</v>
      </c>
      <c r="B4221" s="21">
        <f t="shared" ca="1" si="131"/>
        <v>558</v>
      </c>
    </row>
    <row r="4222" spans="1:2" x14ac:dyDescent="0.25">
      <c r="A4222" s="20">
        <f t="shared" ca="1" si="130"/>
        <v>0.36068633408952222</v>
      </c>
      <c r="B4222" s="21">
        <f t="shared" ca="1" si="131"/>
        <v>1708</v>
      </c>
    </row>
    <row r="4223" spans="1:2" x14ac:dyDescent="0.25">
      <c r="A4223" s="20">
        <f t="shared" ca="1" si="130"/>
        <v>0.26349751081397688</v>
      </c>
      <c r="B4223" s="21">
        <f t="shared" ca="1" si="131"/>
        <v>1229</v>
      </c>
    </row>
    <row r="4224" spans="1:2" x14ac:dyDescent="0.25">
      <c r="A4224" s="20">
        <f t="shared" ca="1" si="130"/>
        <v>0.29406450173934373</v>
      </c>
      <c r="B4224" s="21">
        <f t="shared" ca="1" si="131"/>
        <v>1384</v>
      </c>
    </row>
    <row r="4225" spans="1:2" x14ac:dyDescent="0.25">
      <c r="A4225" s="20">
        <f t="shared" ca="1" si="130"/>
        <v>0.9615294206442091</v>
      </c>
      <c r="B4225" s="21">
        <f t="shared" ca="1" si="131"/>
        <v>4449</v>
      </c>
    </row>
    <row r="4226" spans="1:2" x14ac:dyDescent="0.25">
      <c r="A4226" s="20">
        <f t="shared" ca="1" si="130"/>
        <v>0.81974020263580372</v>
      </c>
      <c r="B4226" s="21">
        <f t="shared" ca="1" si="131"/>
        <v>3796</v>
      </c>
    </row>
    <row r="4227" spans="1:2" x14ac:dyDescent="0.25">
      <c r="A4227" s="20">
        <f t="shared" ref="A4227:A4290" ca="1" si="132">RAND()</f>
        <v>1.8648919631765404E-2</v>
      </c>
      <c r="B4227" s="21">
        <f t="shared" ref="B4227:B4290" ca="1" si="133">_xlfn.RANK.EQ($A4227,$A:$A,1)</f>
        <v>69</v>
      </c>
    </row>
    <row r="4228" spans="1:2" x14ac:dyDescent="0.25">
      <c r="A4228" s="20">
        <f t="shared" ca="1" si="132"/>
        <v>0.35792811067768804</v>
      </c>
      <c r="B4228" s="21">
        <f t="shared" ca="1" si="133"/>
        <v>1692</v>
      </c>
    </row>
    <row r="4229" spans="1:2" x14ac:dyDescent="0.25">
      <c r="A4229" s="20">
        <f t="shared" ca="1" si="132"/>
        <v>0.9418926900118435</v>
      </c>
      <c r="B4229" s="21">
        <f t="shared" ca="1" si="133"/>
        <v>4357</v>
      </c>
    </row>
    <row r="4230" spans="1:2" x14ac:dyDescent="0.25">
      <c r="A4230" s="20">
        <f t="shared" ca="1" si="132"/>
        <v>0.94472559440821147</v>
      </c>
      <c r="B4230" s="21">
        <f t="shared" ca="1" si="133"/>
        <v>4372</v>
      </c>
    </row>
    <row r="4231" spans="1:2" x14ac:dyDescent="0.25">
      <c r="A4231" s="20">
        <f t="shared" ca="1" si="132"/>
        <v>0.94710985645417034</v>
      </c>
      <c r="B4231" s="21">
        <f t="shared" ca="1" si="133"/>
        <v>4388</v>
      </c>
    </row>
    <row r="4232" spans="1:2" x14ac:dyDescent="0.25">
      <c r="A4232" s="20">
        <f t="shared" ca="1" si="132"/>
        <v>8.5465383252821936E-2</v>
      </c>
      <c r="B4232" s="21">
        <f t="shared" ca="1" si="133"/>
        <v>383</v>
      </c>
    </row>
    <row r="4233" spans="1:2" x14ac:dyDescent="0.25">
      <c r="A4233" s="20">
        <f t="shared" ca="1" si="132"/>
        <v>0.35202551925401848</v>
      </c>
      <c r="B4233" s="21">
        <f t="shared" ca="1" si="133"/>
        <v>1662</v>
      </c>
    </row>
    <row r="4234" spans="1:2" x14ac:dyDescent="0.25">
      <c r="A4234" s="20">
        <f t="shared" ca="1" si="132"/>
        <v>0.71823226595621592</v>
      </c>
      <c r="B4234" s="21">
        <f t="shared" ca="1" si="133"/>
        <v>3321</v>
      </c>
    </row>
    <row r="4235" spans="1:2" x14ac:dyDescent="0.25">
      <c r="A4235" s="20">
        <f t="shared" ca="1" si="132"/>
        <v>0.1364103988428953</v>
      </c>
      <c r="B4235" s="21">
        <f t="shared" ca="1" si="133"/>
        <v>598</v>
      </c>
    </row>
    <row r="4236" spans="1:2" x14ac:dyDescent="0.25">
      <c r="A4236" s="20">
        <f t="shared" ca="1" si="132"/>
        <v>6.5999235495647568E-2</v>
      </c>
      <c r="B4236" s="21">
        <f t="shared" ca="1" si="133"/>
        <v>291</v>
      </c>
    </row>
    <row r="4237" spans="1:2" x14ac:dyDescent="0.25">
      <c r="A4237" s="20">
        <f t="shared" ca="1" si="132"/>
        <v>0.50926017725274619</v>
      </c>
      <c r="B4237" s="21">
        <f t="shared" ca="1" si="133"/>
        <v>2373</v>
      </c>
    </row>
    <row r="4238" spans="1:2" x14ac:dyDescent="0.25">
      <c r="A4238" s="20">
        <f t="shared" ca="1" si="132"/>
        <v>0.29112241102086212</v>
      </c>
      <c r="B4238" s="21">
        <f t="shared" ca="1" si="133"/>
        <v>1372</v>
      </c>
    </row>
    <row r="4239" spans="1:2" x14ac:dyDescent="0.25">
      <c r="A4239" s="20">
        <f t="shared" ca="1" si="132"/>
        <v>0.44915457700348249</v>
      </c>
      <c r="B4239" s="21">
        <f t="shared" ca="1" si="133"/>
        <v>2100</v>
      </c>
    </row>
    <row r="4240" spans="1:2" x14ac:dyDescent="0.25">
      <c r="A4240" s="20">
        <f t="shared" ca="1" si="132"/>
        <v>9.8238617529791794E-2</v>
      </c>
      <c r="B4240" s="21">
        <f t="shared" ca="1" si="133"/>
        <v>441</v>
      </c>
    </row>
    <row r="4241" spans="1:2" x14ac:dyDescent="0.25">
      <c r="A4241" s="20">
        <f t="shared" ca="1" si="132"/>
        <v>5.5886417780445452E-2</v>
      </c>
      <c r="B4241" s="21">
        <f t="shared" ca="1" si="133"/>
        <v>242</v>
      </c>
    </row>
    <row r="4242" spans="1:2" x14ac:dyDescent="0.25">
      <c r="A4242" s="20">
        <f t="shared" ca="1" si="132"/>
        <v>0.67773200266656675</v>
      </c>
      <c r="B4242" s="21">
        <f t="shared" ca="1" si="133"/>
        <v>3136</v>
      </c>
    </row>
    <row r="4243" spans="1:2" x14ac:dyDescent="0.25">
      <c r="A4243" s="20">
        <f t="shared" ca="1" si="132"/>
        <v>0.68319231641758194</v>
      </c>
      <c r="B4243" s="21">
        <f t="shared" ca="1" si="133"/>
        <v>3170</v>
      </c>
    </row>
    <row r="4244" spans="1:2" x14ac:dyDescent="0.25">
      <c r="A4244" s="20">
        <f t="shared" ca="1" si="132"/>
        <v>0.89559857955868527</v>
      </c>
      <c r="B4244" s="21">
        <f t="shared" ca="1" si="133"/>
        <v>4130</v>
      </c>
    </row>
    <row r="4245" spans="1:2" x14ac:dyDescent="0.25">
      <c r="A4245" s="20">
        <f t="shared" ca="1" si="132"/>
        <v>0.22983098507897914</v>
      </c>
      <c r="B4245" s="21">
        <f t="shared" ca="1" si="133"/>
        <v>1076</v>
      </c>
    </row>
    <row r="4246" spans="1:2" x14ac:dyDescent="0.25">
      <c r="A4246" s="20">
        <f t="shared" ca="1" si="132"/>
        <v>0.16235448848528233</v>
      </c>
      <c r="B4246" s="21">
        <f t="shared" ca="1" si="133"/>
        <v>727</v>
      </c>
    </row>
    <row r="4247" spans="1:2" x14ac:dyDescent="0.25">
      <c r="A4247" s="20">
        <f t="shared" ca="1" si="132"/>
        <v>0.79506640132325401</v>
      </c>
      <c r="B4247" s="21">
        <f t="shared" ca="1" si="133"/>
        <v>3680</v>
      </c>
    </row>
    <row r="4248" spans="1:2" x14ac:dyDescent="0.25">
      <c r="A4248" s="20">
        <f t="shared" ca="1" si="132"/>
        <v>0.71389435345006602</v>
      </c>
      <c r="B4248" s="21">
        <f t="shared" ca="1" si="133"/>
        <v>3303</v>
      </c>
    </row>
    <row r="4249" spans="1:2" x14ac:dyDescent="0.25">
      <c r="A4249" s="20">
        <f t="shared" ca="1" si="132"/>
        <v>0.42496705016663205</v>
      </c>
      <c r="B4249" s="21">
        <f t="shared" ca="1" si="133"/>
        <v>1997</v>
      </c>
    </row>
    <row r="4250" spans="1:2" x14ac:dyDescent="0.25">
      <c r="A4250" s="20">
        <f t="shared" ca="1" si="132"/>
        <v>0.84292539223627827</v>
      </c>
      <c r="B4250" s="21">
        <f t="shared" ca="1" si="133"/>
        <v>3892</v>
      </c>
    </row>
    <row r="4251" spans="1:2" x14ac:dyDescent="0.25">
      <c r="A4251" s="20">
        <f t="shared" ca="1" si="132"/>
        <v>0.43498643213212207</v>
      </c>
      <c r="B4251" s="21">
        <f t="shared" ca="1" si="133"/>
        <v>2041</v>
      </c>
    </row>
    <row r="4252" spans="1:2" x14ac:dyDescent="0.25">
      <c r="A4252" s="20">
        <f t="shared" ca="1" si="132"/>
        <v>0.48732756323731208</v>
      </c>
      <c r="B4252" s="21">
        <f t="shared" ca="1" si="133"/>
        <v>2271</v>
      </c>
    </row>
    <row r="4253" spans="1:2" x14ac:dyDescent="0.25">
      <c r="A4253" s="20">
        <f t="shared" ca="1" si="132"/>
        <v>0.6271867695490585</v>
      </c>
      <c r="B4253" s="21">
        <f t="shared" ca="1" si="133"/>
        <v>2904</v>
      </c>
    </row>
    <row r="4254" spans="1:2" x14ac:dyDescent="0.25">
      <c r="A4254" s="20">
        <f t="shared" ca="1" si="132"/>
        <v>0.93167550819166678</v>
      </c>
      <c r="B4254" s="21">
        <f t="shared" ca="1" si="133"/>
        <v>4304</v>
      </c>
    </row>
    <row r="4255" spans="1:2" x14ac:dyDescent="0.25">
      <c r="A4255" s="20">
        <f t="shared" ca="1" si="132"/>
        <v>0.72894736591965137</v>
      </c>
      <c r="B4255" s="21">
        <f t="shared" ca="1" si="133"/>
        <v>3375</v>
      </c>
    </row>
    <row r="4256" spans="1:2" x14ac:dyDescent="0.25">
      <c r="A4256" s="20">
        <f t="shared" ca="1" si="132"/>
        <v>6.896348698694732E-2</v>
      </c>
      <c r="B4256" s="21">
        <f t="shared" ca="1" si="133"/>
        <v>309</v>
      </c>
    </row>
    <row r="4257" spans="1:2" x14ac:dyDescent="0.25">
      <c r="A4257" s="20">
        <f t="shared" ca="1" si="132"/>
        <v>0.8275224931499624</v>
      </c>
      <c r="B4257" s="21">
        <f t="shared" ca="1" si="133"/>
        <v>3831</v>
      </c>
    </row>
    <row r="4258" spans="1:2" x14ac:dyDescent="0.25">
      <c r="A4258" s="20">
        <f t="shared" ca="1" si="132"/>
        <v>6.6918151593517217E-2</v>
      </c>
      <c r="B4258" s="21">
        <f t="shared" ca="1" si="133"/>
        <v>295</v>
      </c>
    </row>
    <row r="4259" spans="1:2" x14ac:dyDescent="0.25">
      <c r="A4259" s="20">
        <f t="shared" ca="1" si="132"/>
        <v>7.785604158587478E-2</v>
      </c>
      <c r="B4259" s="21">
        <f t="shared" ca="1" si="133"/>
        <v>346</v>
      </c>
    </row>
    <row r="4260" spans="1:2" x14ac:dyDescent="0.25">
      <c r="A4260" s="20">
        <f t="shared" ca="1" si="132"/>
        <v>0.62143028801837319</v>
      </c>
      <c r="B4260" s="21">
        <f t="shared" ca="1" si="133"/>
        <v>2883</v>
      </c>
    </row>
    <row r="4261" spans="1:2" x14ac:dyDescent="0.25">
      <c r="A4261" s="20">
        <f t="shared" ca="1" si="132"/>
        <v>0.42853555611978411</v>
      </c>
      <c r="B4261" s="21">
        <f t="shared" ca="1" si="133"/>
        <v>2013</v>
      </c>
    </row>
    <row r="4262" spans="1:2" x14ac:dyDescent="0.25">
      <c r="A4262" s="20">
        <f t="shared" ca="1" si="132"/>
        <v>3.5710239619387574E-3</v>
      </c>
      <c r="B4262" s="21">
        <f t="shared" ca="1" si="133"/>
        <v>17</v>
      </c>
    </row>
    <row r="4263" spans="1:2" x14ac:dyDescent="0.25">
      <c r="A4263" s="20">
        <f t="shared" ca="1" si="132"/>
        <v>9.3909685602170945E-2</v>
      </c>
      <c r="B4263" s="21">
        <f t="shared" ca="1" si="133"/>
        <v>422</v>
      </c>
    </row>
    <row r="4264" spans="1:2" x14ac:dyDescent="0.25">
      <c r="A4264" s="20">
        <f t="shared" ca="1" si="132"/>
        <v>0.23380126064688145</v>
      </c>
      <c r="B4264" s="21">
        <f t="shared" ca="1" si="133"/>
        <v>1097</v>
      </c>
    </row>
    <row r="4265" spans="1:2" x14ac:dyDescent="0.25">
      <c r="A4265" s="20">
        <f t="shared" ca="1" si="132"/>
        <v>0.63101094166532834</v>
      </c>
      <c r="B4265" s="21">
        <f t="shared" ca="1" si="133"/>
        <v>2923</v>
      </c>
    </row>
    <row r="4266" spans="1:2" x14ac:dyDescent="0.25">
      <c r="A4266" s="20">
        <f t="shared" ca="1" si="132"/>
        <v>0.79226308743052465</v>
      </c>
      <c r="B4266" s="21">
        <f t="shared" ca="1" si="133"/>
        <v>3666</v>
      </c>
    </row>
    <row r="4267" spans="1:2" x14ac:dyDescent="0.25">
      <c r="A4267" s="20">
        <f t="shared" ca="1" si="132"/>
        <v>0.32914688006965787</v>
      </c>
      <c r="B4267" s="21">
        <f t="shared" ca="1" si="133"/>
        <v>1541</v>
      </c>
    </row>
    <row r="4268" spans="1:2" x14ac:dyDescent="0.25">
      <c r="A4268" s="20">
        <f t="shared" ca="1" si="132"/>
        <v>0.26017014718394416</v>
      </c>
      <c r="B4268" s="21">
        <f t="shared" ca="1" si="133"/>
        <v>1212</v>
      </c>
    </row>
    <row r="4269" spans="1:2" x14ac:dyDescent="0.25">
      <c r="A4269" s="20">
        <f t="shared" ca="1" si="132"/>
        <v>3.8806355341010068E-3</v>
      </c>
      <c r="B4269" s="21">
        <f t="shared" ca="1" si="133"/>
        <v>18</v>
      </c>
    </row>
    <row r="4270" spans="1:2" x14ac:dyDescent="0.25">
      <c r="A4270" s="20">
        <f t="shared" ca="1" si="132"/>
        <v>0.14390686171135614</v>
      </c>
      <c r="B4270" s="21">
        <f t="shared" ca="1" si="133"/>
        <v>633</v>
      </c>
    </row>
    <row r="4271" spans="1:2" x14ac:dyDescent="0.25">
      <c r="A4271" s="20">
        <f t="shared" ca="1" si="132"/>
        <v>0.68441491375530716</v>
      </c>
      <c r="B4271" s="21">
        <f t="shared" ca="1" si="133"/>
        <v>3178</v>
      </c>
    </row>
    <row r="4272" spans="1:2" x14ac:dyDescent="0.25">
      <c r="A4272" s="20">
        <f t="shared" ca="1" si="132"/>
        <v>0.19309888683199805</v>
      </c>
      <c r="B4272" s="21">
        <f t="shared" ca="1" si="133"/>
        <v>892</v>
      </c>
    </row>
    <row r="4273" spans="1:2" x14ac:dyDescent="0.25">
      <c r="A4273" s="20">
        <f t="shared" ca="1" si="132"/>
        <v>0.62442436742252794</v>
      </c>
      <c r="B4273" s="21">
        <f t="shared" ca="1" si="133"/>
        <v>2894</v>
      </c>
    </row>
    <row r="4274" spans="1:2" x14ac:dyDescent="0.25">
      <c r="A4274" s="20">
        <f t="shared" ca="1" si="132"/>
        <v>0.35614772542951734</v>
      </c>
      <c r="B4274" s="21">
        <f t="shared" ca="1" si="133"/>
        <v>1684</v>
      </c>
    </row>
    <row r="4275" spans="1:2" x14ac:dyDescent="0.25">
      <c r="A4275" s="20">
        <f t="shared" ca="1" si="132"/>
        <v>0.75292174048194294</v>
      </c>
      <c r="B4275" s="21">
        <f t="shared" ca="1" si="133"/>
        <v>3488</v>
      </c>
    </row>
    <row r="4276" spans="1:2" x14ac:dyDescent="0.25">
      <c r="A4276" s="20">
        <f t="shared" ca="1" si="132"/>
        <v>0.22344185604513578</v>
      </c>
      <c r="B4276" s="21">
        <f t="shared" ca="1" si="133"/>
        <v>1047</v>
      </c>
    </row>
    <row r="4277" spans="1:2" x14ac:dyDescent="0.25">
      <c r="A4277" s="20">
        <f t="shared" ca="1" si="132"/>
        <v>0.34049868890325352</v>
      </c>
      <c r="B4277" s="21">
        <f t="shared" ca="1" si="133"/>
        <v>1597</v>
      </c>
    </row>
    <row r="4278" spans="1:2" x14ac:dyDescent="0.25">
      <c r="A4278" s="20">
        <f t="shared" ca="1" si="132"/>
        <v>0.10384374702005172</v>
      </c>
      <c r="B4278" s="21">
        <f t="shared" ca="1" si="133"/>
        <v>467</v>
      </c>
    </row>
    <row r="4279" spans="1:2" x14ac:dyDescent="0.25">
      <c r="A4279" s="20">
        <f t="shared" ca="1" si="132"/>
        <v>0.51746335340495631</v>
      </c>
      <c r="B4279" s="21">
        <f t="shared" ca="1" si="133"/>
        <v>2416</v>
      </c>
    </row>
    <row r="4280" spans="1:2" x14ac:dyDescent="0.25">
      <c r="A4280" s="20">
        <f t="shared" ca="1" si="132"/>
        <v>0.43480128509802241</v>
      </c>
      <c r="B4280" s="21">
        <f t="shared" ca="1" si="133"/>
        <v>2040</v>
      </c>
    </row>
    <row r="4281" spans="1:2" x14ac:dyDescent="0.25">
      <c r="A4281" s="20">
        <f t="shared" ca="1" si="132"/>
        <v>0.16216177980282576</v>
      </c>
      <c r="B4281" s="21">
        <f t="shared" ca="1" si="133"/>
        <v>726</v>
      </c>
    </row>
    <row r="4282" spans="1:2" x14ac:dyDescent="0.25">
      <c r="A4282" s="20">
        <f t="shared" ca="1" si="132"/>
        <v>0.57496463513040608</v>
      </c>
      <c r="B4282" s="21">
        <f t="shared" ca="1" si="133"/>
        <v>2684</v>
      </c>
    </row>
    <row r="4283" spans="1:2" x14ac:dyDescent="0.25">
      <c r="A4283" s="20">
        <f t="shared" ca="1" si="132"/>
        <v>0.8523685021159032</v>
      </c>
      <c r="B4283" s="21">
        <f t="shared" ca="1" si="133"/>
        <v>3937</v>
      </c>
    </row>
    <row r="4284" spans="1:2" x14ac:dyDescent="0.25">
      <c r="A4284" s="20">
        <f t="shared" ca="1" si="132"/>
        <v>0.25442650575611059</v>
      </c>
      <c r="B4284" s="21">
        <f t="shared" ca="1" si="133"/>
        <v>1187</v>
      </c>
    </row>
    <row r="4285" spans="1:2" x14ac:dyDescent="0.25">
      <c r="A4285" s="20">
        <f t="shared" ca="1" si="132"/>
        <v>0.91634507582597569</v>
      </c>
      <c r="B4285" s="21">
        <f t="shared" ca="1" si="133"/>
        <v>4231</v>
      </c>
    </row>
    <row r="4286" spans="1:2" x14ac:dyDescent="0.25">
      <c r="A4286" s="20">
        <f t="shared" ca="1" si="132"/>
        <v>0.13924976176635606</v>
      </c>
      <c r="B4286" s="21">
        <f t="shared" ca="1" si="133"/>
        <v>612</v>
      </c>
    </row>
    <row r="4287" spans="1:2" x14ac:dyDescent="0.25">
      <c r="A4287" s="20">
        <f t="shared" ca="1" si="132"/>
        <v>0.9019508929270581</v>
      </c>
      <c r="B4287" s="21">
        <f t="shared" ca="1" si="133"/>
        <v>4164</v>
      </c>
    </row>
    <row r="4288" spans="1:2" x14ac:dyDescent="0.25">
      <c r="A4288" s="20">
        <f t="shared" ca="1" si="132"/>
        <v>0.67834408453821038</v>
      </c>
      <c r="B4288" s="21">
        <f t="shared" ca="1" si="133"/>
        <v>3141</v>
      </c>
    </row>
    <row r="4289" spans="1:2" x14ac:dyDescent="0.25">
      <c r="A4289" s="20">
        <f t="shared" ca="1" si="132"/>
        <v>0.19814681020984981</v>
      </c>
      <c r="B4289" s="21">
        <f t="shared" ca="1" si="133"/>
        <v>918</v>
      </c>
    </row>
    <row r="4290" spans="1:2" x14ac:dyDescent="0.25">
      <c r="A4290" s="20">
        <f t="shared" ca="1" si="132"/>
        <v>0.98780295697677889</v>
      </c>
      <c r="B4290" s="21">
        <f t="shared" ca="1" si="133"/>
        <v>4572</v>
      </c>
    </row>
    <row r="4291" spans="1:2" x14ac:dyDescent="0.25">
      <c r="A4291" s="20">
        <f t="shared" ref="A4291:A4354" ca="1" si="134">RAND()</f>
        <v>0.52250432602700336</v>
      </c>
      <c r="B4291" s="21">
        <f t="shared" ref="B4291:B4354" ca="1" si="135">_xlfn.RANK.EQ($A4291,$A:$A,1)</f>
        <v>2439</v>
      </c>
    </row>
    <row r="4292" spans="1:2" x14ac:dyDescent="0.25">
      <c r="A4292" s="20">
        <f t="shared" ca="1" si="134"/>
        <v>0.89622191929523343</v>
      </c>
      <c r="B4292" s="21">
        <f t="shared" ca="1" si="135"/>
        <v>4133</v>
      </c>
    </row>
    <row r="4293" spans="1:2" x14ac:dyDescent="0.25">
      <c r="A4293" s="20">
        <f t="shared" ca="1" si="134"/>
        <v>1.3093590613911243E-2</v>
      </c>
      <c r="B4293" s="21">
        <f t="shared" ca="1" si="135"/>
        <v>46</v>
      </c>
    </row>
    <row r="4294" spans="1:2" x14ac:dyDescent="0.25">
      <c r="A4294" s="20">
        <f t="shared" ca="1" si="134"/>
        <v>0.95556349669119045</v>
      </c>
      <c r="B4294" s="21">
        <f t="shared" ca="1" si="135"/>
        <v>4423</v>
      </c>
    </row>
    <row r="4295" spans="1:2" x14ac:dyDescent="0.25">
      <c r="A4295" s="20">
        <f t="shared" ca="1" si="134"/>
        <v>0.78670573524759613</v>
      </c>
      <c r="B4295" s="21">
        <f t="shared" ca="1" si="135"/>
        <v>3644</v>
      </c>
    </row>
    <row r="4296" spans="1:2" x14ac:dyDescent="0.25">
      <c r="A4296" s="20">
        <f t="shared" ca="1" si="134"/>
        <v>0.58996831363977198</v>
      </c>
      <c r="B4296" s="21">
        <f t="shared" ca="1" si="135"/>
        <v>2753</v>
      </c>
    </row>
    <row r="4297" spans="1:2" x14ac:dyDescent="0.25">
      <c r="A4297" s="20">
        <f t="shared" ca="1" si="134"/>
        <v>0.43983148253983584</v>
      </c>
      <c r="B4297" s="21">
        <f t="shared" ca="1" si="135"/>
        <v>2061</v>
      </c>
    </row>
    <row r="4298" spans="1:2" x14ac:dyDescent="0.25">
      <c r="A4298" s="20">
        <f t="shared" ca="1" si="134"/>
        <v>0.88052824586444456</v>
      </c>
      <c r="B4298" s="21">
        <f t="shared" ca="1" si="135"/>
        <v>4057</v>
      </c>
    </row>
    <row r="4299" spans="1:2" x14ac:dyDescent="0.25">
      <c r="A4299" s="20">
        <f t="shared" ca="1" si="134"/>
        <v>0.7910086510118095</v>
      </c>
      <c r="B4299" s="21">
        <f t="shared" ca="1" si="135"/>
        <v>3661</v>
      </c>
    </row>
    <row r="4300" spans="1:2" x14ac:dyDescent="0.25">
      <c r="A4300" s="20">
        <f t="shared" ca="1" si="134"/>
        <v>0.82634923194656595</v>
      </c>
      <c r="B4300" s="21">
        <f t="shared" ca="1" si="135"/>
        <v>3827</v>
      </c>
    </row>
    <row r="4301" spans="1:2" x14ac:dyDescent="0.25">
      <c r="A4301" s="20">
        <f t="shared" ca="1" si="134"/>
        <v>0.86854669118487104</v>
      </c>
      <c r="B4301" s="21">
        <f t="shared" ca="1" si="135"/>
        <v>4012</v>
      </c>
    </row>
    <row r="4302" spans="1:2" x14ac:dyDescent="0.25">
      <c r="A4302" s="20">
        <f t="shared" ca="1" si="134"/>
        <v>8.7389056696202561E-2</v>
      </c>
      <c r="B4302" s="21">
        <f t="shared" ca="1" si="135"/>
        <v>391</v>
      </c>
    </row>
    <row r="4303" spans="1:2" x14ac:dyDescent="0.25">
      <c r="A4303" s="20">
        <f t="shared" ca="1" si="134"/>
        <v>0.39466243034765358</v>
      </c>
      <c r="B4303" s="21">
        <f t="shared" ca="1" si="135"/>
        <v>1855</v>
      </c>
    </row>
    <row r="4304" spans="1:2" x14ac:dyDescent="0.25">
      <c r="A4304" s="20">
        <f t="shared" ca="1" si="134"/>
        <v>0.9483091235773965</v>
      </c>
      <c r="B4304" s="21">
        <f t="shared" ca="1" si="135"/>
        <v>4395</v>
      </c>
    </row>
    <row r="4305" spans="1:2" x14ac:dyDescent="0.25">
      <c r="A4305" s="20">
        <f t="shared" ca="1" si="134"/>
        <v>0.46193782264645999</v>
      </c>
      <c r="B4305" s="21">
        <f t="shared" ca="1" si="135"/>
        <v>2167</v>
      </c>
    </row>
    <row r="4306" spans="1:2" x14ac:dyDescent="0.25">
      <c r="A4306" s="20">
        <f t="shared" ca="1" si="134"/>
        <v>0.31532121643030731</v>
      </c>
      <c r="B4306" s="21">
        <f t="shared" ca="1" si="135"/>
        <v>1478</v>
      </c>
    </row>
    <row r="4307" spans="1:2" x14ac:dyDescent="0.25">
      <c r="A4307" s="20">
        <f t="shared" ca="1" si="134"/>
        <v>0.7297862917451533</v>
      </c>
      <c r="B4307" s="21">
        <f t="shared" ca="1" si="135"/>
        <v>3385</v>
      </c>
    </row>
    <row r="4308" spans="1:2" x14ac:dyDescent="0.25">
      <c r="A4308" s="20">
        <f t="shared" ca="1" si="134"/>
        <v>0.53823560101057533</v>
      </c>
      <c r="B4308" s="21">
        <f t="shared" ca="1" si="135"/>
        <v>2511</v>
      </c>
    </row>
    <row r="4309" spans="1:2" x14ac:dyDescent="0.25">
      <c r="A4309" s="20">
        <f t="shared" ca="1" si="134"/>
        <v>0.38248135870590894</v>
      </c>
      <c r="B4309" s="21">
        <f t="shared" ca="1" si="135"/>
        <v>1794</v>
      </c>
    </row>
    <row r="4310" spans="1:2" x14ac:dyDescent="0.25">
      <c r="A4310" s="20">
        <f t="shared" ca="1" si="134"/>
        <v>0.26134106531081391</v>
      </c>
      <c r="B4310" s="21">
        <f t="shared" ca="1" si="135"/>
        <v>1217</v>
      </c>
    </row>
    <row r="4311" spans="1:2" x14ac:dyDescent="0.25">
      <c r="A4311" s="20">
        <f t="shared" ca="1" si="134"/>
        <v>0.10286823852103033</v>
      </c>
      <c r="B4311" s="21">
        <f t="shared" ca="1" si="135"/>
        <v>462</v>
      </c>
    </row>
    <row r="4312" spans="1:2" x14ac:dyDescent="0.25">
      <c r="A4312" s="20">
        <f t="shared" ca="1" si="134"/>
        <v>9.2569804066650607E-2</v>
      </c>
      <c r="B4312" s="21">
        <f t="shared" ca="1" si="135"/>
        <v>416</v>
      </c>
    </row>
    <row r="4313" spans="1:2" x14ac:dyDescent="0.25">
      <c r="A4313" s="20">
        <f t="shared" ca="1" si="134"/>
        <v>4.3524252292825194E-2</v>
      </c>
      <c r="B4313" s="21">
        <f t="shared" ca="1" si="135"/>
        <v>174</v>
      </c>
    </row>
    <row r="4314" spans="1:2" x14ac:dyDescent="0.25">
      <c r="A4314" s="20">
        <f t="shared" ca="1" si="134"/>
        <v>0.17259258592238136</v>
      </c>
      <c r="B4314" s="21">
        <f t="shared" ca="1" si="135"/>
        <v>781</v>
      </c>
    </row>
    <row r="4315" spans="1:2" x14ac:dyDescent="0.25">
      <c r="A4315" s="20">
        <f t="shared" ca="1" si="134"/>
        <v>4.793232013123383E-2</v>
      </c>
      <c r="B4315" s="21">
        <f t="shared" ca="1" si="135"/>
        <v>198</v>
      </c>
    </row>
    <row r="4316" spans="1:2" x14ac:dyDescent="0.25">
      <c r="A4316" s="20">
        <f t="shared" ca="1" si="134"/>
        <v>0.94464847725852563</v>
      </c>
      <c r="B4316" s="21">
        <f t="shared" ca="1" si="135"/>
        <v>4370</v>
      </c>
    </row>
    <row r="4317" spans="1:2" x14ac:dyDescent="0.25">
      <c r="A4317" s="20">
        <f t="shared" ca="1" si="134"/>
        <v>0.67881639188436438</v>
      </c>
      <c r="B4317" s="21">
        <f t="shared" ca="1" si="135"/>
        <v>3147</v>
      </c>
    </row>
    <row r="4318" spans="1:2" x14ac:dyDescent="0.25">
      <c r="A4318" s="20">
        <f t="shared" ca="1" si="134"/>
        <v>0.10354783996678618</v>
      </c>
      <c r="B4318" s="21">
        <f t="shared" ca="1" si="135"/>
        <v>465</v>
      </c>
    </row>
    <row r="4319" spans="1:2" x14ac:dyDescent="0.25">
      <c r="A4319" s="20">
        <f t="shared" ca="1" si="134"/>
        <v>0.50152162581593163</v>
      </c>
      <c r="B4319" s="21">
        <f t="shared" ca="1" si="135"/>
        <v>2330</v>
      </c>
    </row>
    <row r="4320" spans="1:2" x14ac:dyDescent="0.25">
      <c r="A4320" s="20">
        <f t="shared" ca="1" si="134"/>
        <v>0.49426826557521986</v>
      </c>
      <c r="B4320" s="21">
        <f t="shared" ca="1" si="135"/>
        <v>2301</v>
      </c>
    </row>
    <row r="4321" spans="1:2" x14ac:dyDescent="0.25">
      <c r="A4321" s="20">
        <f t="shared" ca="1" si="134"/>
        <v>0.24765837948013125</v>
      </c>
      <c r="B4321" s="21">
        <f t="shared" ca="1" si="135"/>
        <v>1157</v>
      </c>
    </row>
    <row r="4322" spans="1:2" x14ac:dyDescent="0.25">
      <c r="A4322" s="20">
        <f t="shared" ca="1" si="134"/>
        <v>0.49977050373131937</v>
      </c>
      <c r="B4322" s="21">
        <f t="shared" ca="1" si="135"/>
        <v>2318</v>
      </c>
    </row>
    <row r="4323" spans="1:2" x14ac:dyDescent="0.25">
      <c r="A4323" s="20">
        <f t="shared" ca="1" si="134"/>
        <v>0.82492288322955898</v>
      </c>
      <c r="B4323" s="21">
        <f t="shared" ca="1" si="135"/>
        <v>3818</v>
      </c>
    </row>
    <row r="4324" spans="1:2" x14ac:dyDescent="0.25">
      <c r="A4324" s="20">
        <f t="shared" ca="1" si="134"/>
        <v>0.8094002815920649</v>
      </c>
      <c r="B4324" s="21">
        <f t="shared" ca="1" si="135"/>
        <v>3743</v>
      </c>
    </row>
    <row r="4325" spans="1:2" x14ac:dyDescent="0.25">
      <c r="A4325" s="20">
        <f t="shared" ca="1" si="134"/>
        <v>1.5446036408362396E-2</v>
      </c>
      <c r="B4325" s="21">
        <f t="shared" ca="1" si="135"/>
        <v>56</v>
      </c>
    </row>
    <row r="4326" spans="1:2" x14ac:dyDescent="0.25">
      <c r="A4326" s="20">
        <f t="shared" ca="1" si="134"/>
        <v>0.78215631313385958</v>
      </c>
      <c r="B4326" s="21">
        <f t="shared" ca="1" si="135"/>
        <v>3625</v>
      </c>
    </row>
    <row r="4327" spans="1:2" x14ac:dyDescent="0.25">
      <c r="A4327" s="20">
        <f t="shared" ca="1" si="134"/>
        <v>0.66571085291311327</v>
      </c>
      <c r="B4327" s="21">
        <f t="shared" ca="1" si="135"/>
        <v>3085</v>
      </c>
    </row>
    <row r="4328" spans="1:2" x14ac:dyDescent="0.25">
      <c r="A4328" s="20">
        <f t="shared" ca="1" si="134"/>
        <v>0.89221540556409029</v>
      </c>
      <c r="B4328" s="21">
        <f t="shared" ca="1" si="135"/>
        <v>4114</v>
      </c>
    </row>
    <row r="4329" spans="1:2" x14ac:dyDescent="0.25">
      <c r="A4329" s="20">
        <f t="shared" ca="1" si="134"/>
        <v>0.15329816207123714</v>
      </c>
      <c r="B4329" s="21">
        <f t="shared" ca="1" si="135"/>
        <v>685</v>
      </c>
    </row>
    <row r="4330" spans="1:2" x14ac:dyDescent="0.25">
      <c r="A4330" s="20">
        <f t="shared" ca="1" si="134"/>
        <v>0.99880335104665685</v>
      </c>
      <c r="B4330" s="21">
        <f t="shared" ca="1" si="135"/>
        <v>4614</v>
      </c>
    </row>
    <row r="4331" spans="1:2" x14ac:dyDescent="0.25">
      <c r="A4331" s="20">
        <f t="shared" ca="1" si="134"/>
        <v>0.88080274058088903</v>
      </c>
      <c r="B4331" s="21">
        <f t="shared" ca="1" si="135"/>
        <v>4059</v>
      </c>
    </row>
    <row r="4332" spans="1:2" x14ac:dyDescent="0.25">
      <c r="A4332" s="20">
        <f t="shared" ca="1" si="134"/>
        <v>0.10178558163092366</v>
      </c>
      <c r="B4332" s="21">
        <f t="shared" ca="1" si="135"/>
        <v>459</v>
      </c>
    </row>
    <row r="4333" spans="1:2" x14ac:dyDescent="0.25">
      <c r="A4333" s="20">
        <f t="shared" ca="1" si="134"/>
        <v>8.8877218835301641E-2</v>
      </c>
      <c r="B4333" s="21">
        <f t="shared" ca="1" si="135"/>
        <v>396</v>
      </c>
    </row>
    <row r="4334" spans="1:2" x14ac:dyDescent="0.25">
      <c r="A4334" s="20">
        <f t="shared" ca="1" si="134"/>
        <v>0.92382087247519673</v>
      </c>
      <c r="B4334" s="21">
        <f t="shared" ca="1" si="135"/>
        <v>4262</v>
      </c>
    </row>
    <row r="4335" spans="1:2" x14ac:dyDescent="0.25">
      <c r="A4335" s="20">
        <f t="shared" ca="1" si="134"/>
        <v>0.38597018976067032</v>
      </c>
      <c r="B4335" s="21">
        <f t="shared" ca="1" si="135"/>
        <v>1808</v>
      </c>
    </row>
    <row r="4336" spans="1:2" x14ac:dyDescent="0.25">
      <c r="A4336" s="20">
        <f t="shared" ca="1" si="134"/>
        <v>5.2760336185817658E-2</v>
      </c>
      <c r="B4336" s="21">
        <f t="shared" ca="1" si="135"/>
        <v>223</v>
      </c>
    </row>
    <row r="4337" spans="1:2" x14ac:dyDescent="0.25">
      <c r="A4337" s="20">
        <f t="shared" ca="1" si="134"/>
        <v>0.10021461729012349</v>
      </c>
      <c r="B4337" s="21">
        <f t="shared" ca="1" si="135"/>
        <v>453</v>
      </c>
    </row>
    <row r="4338" spans="1:2" x14ac:dyDescent="0.25">
      <c r="A4338" s="20">
        <f t="shared" ca="1" si="134"/>
        <v>0.34758100054813312</v>
      </c>
      <c r="B4338" s="21">
        <f t="shared" ca="1" si="135"/>
        <v>1632</v>
      </c>
    </row>
    <row r="4339" spans="1:2" x14ac:dyDescent="0.25">
      <c r="A4339" s="20">
        <f t="shared" ca="1" si="134"/>
        <v>0.80283308170431511</v>
      </c>
      <c r="B4339" s="21">
        <f t="shared" ca="1" si="135"/>
        <v>3719</v>
      </c>
    </row>
    <row r="4340" spans="1:2" x14ac:dyDescent="0.25">
      <c r="A4340" s="20">
        <f t="shared" ca="1" si="134"/>
        <v>0.4345644084340351</v>
      </c>
      <c r="B4340" s="21">
        <f t="shared" ca="1" si="135"/>
        <v>2038</v>
      </c>
    </row>
    <row r="4341" spans="1:2" x14ac:dyDescent="0.25">
      <c r="A4341" s="20">
        <f t="shared" ca="1" si="134"/>
        <v>8.8125906094191575E-2</v>
      </c>
      <c r="B4341" s="21">
        <f t="shared" ca="1" si="135"/>
        <v>393</v>
      </c>
    </row>
    <row r="4342" spans="1:2" x14ac:dyDescent="0.25">
      <c r="A4342" s="20">
        <f t="shared" ca="1" si="134"/>
        <v>0.57487345315228056</v>
      </c>
      <c r="B4342" s="21">
        <f t="shared" ca="1" si="135"/>
        <v>2683</v>
      </c>
    </row>
    <row r="4343" spans="1:2" x14ac:dyDescent="0.25">
      <c r="A4343" s="20">
        <f t="shared" ca="1" si="134"/>
        <v>0.91354422776201427</v>
      </c>
      <c r="B4343" s="21">
        <f t="shared" ca="1" si="135"/>
        <v>4214</v>
      </c>
    </row>
    <row r="4344" spans="1:2" x14ac:dyDescent="0.25">
      <c r="A4344" s="20">
        <f t="shared" ca="1" si="134"/>
        <v>0.89577407768769735</v>
      </c>
      <c r="B4344" s="21">
        <f t="shared" ca="1" si="135"/>
        <v>4132</v>
      </c>
    </row>
    <row r="4345" spans="1:2" x14ac:dyDescent="0.25">
      <c r="A4345" s="20">
        <f t="shared" ca="1" si="134"/>
        <v>0.43076626983383837</v>
      </c>
      <c r="B4345" s="21">
        <f t="shared" ca="1" si="135"/>
        <v>2025</v>
      </c>
    </row>
    <row r="4346" spans="1:2" x14ac:dyDescent="0.25">
      <c r="A4346" s="20">
        <f t="shared" ca="1" si="134"/>
        <v>0.86515476715074557</v>
      </c>
      <c r="B4346" s="21">
        <f t="shared" ca="1" si="135"/>
        <v>3991</v>
      </c>
    </row>
    <row r="4347" spans="1:2" x14ac:dyDescent="0.25">
      <c r="A4347" s="20">
        <f t="shared" ca="1" si="134"/>
        <v>0.77224452022765744</v>
      </c>
      <c r="B4347" s="21">
        <f t="shared" ca="1" si="135"/>
        <v>3582</v>
      </c>
    </row>
    <row r="4348" spans="1:2" x14ac:dyDescent="0.25">
      <c r="A4348" s="20">
        <f t="shared" ca="1" si="134"/>
        <v>0.78260270968361922</v>
      </c>
      <c r="B4348" s="21">
        <f t="shared" ca="1" si="135"/>
        <v>3626</v>
      </c>
    </row>
    <row r="4349" spans="1:2" x14ac:dyDescent="0.25">
      <c r="A4349" s="20">
        <f t="shared" ca="1" si="134"/>
        <v>0.38545394114785791</v>
      </c>
      <c r="B4349" s="21">
        <f t="shared" ca="1" si="135"/>
        <v>1807</v>
      </c>
    </row>
    <row r="4350" spans="1:2" x14ac:dyDescent="0.25">
      <c r="A4350" s="20">
        <f t="shared" ca="1" si="134"/>
        <v>1.541601477893273E-2</v>
      </c>
      <c r="B4350" s="21">
        <f t="shared" ca="1" si="135"/>
        <v>55</v>
      </c>
    </row>
    <row r="4351" spans="1:2" x14ac:dyDescent="0.25">
      <c r="A4351" s="20">
        <f t="shared" ca="1" si="134"/>
        <v>0.67192076063199779</v>
      </c>
      <c r="B4351" s="21">
        <f t="shared" ca="1" si="135"/>
        <v>3112</v>
      </c>
    </row>
    <row r="4352" spans="1:2" x14ac:dyDescent="0.25">
      <c r="A4352" s="20">
        <f t="shared" ca="1" si="134"/>
        <v>0.5264108419644784</v>
      </c>
      <c r="B4352" s="21">
        <f t="shared" ca="1" si="135"/>
        <v>2461</v>
      </c>
    </row>
    <row r="4353" spans="1:2" x14ac:dyDescent="0.25">
      <c r="A4353" s="20">
        <f t="shared" ca="1" si="134"/>
        <v>0.84997749509537723</v>
      </c>
      <c r="B4353" s="21">
        <f t="shared" ca="1" si="135"/>
        <v>3927</v>
      </c>
    </row>
    <row r="4354" spans="1:2" x14ac:dyDescent="0.25">
      <c r="A4354" s="20">
        <f t="shared" ca="1" si="134"/>
        <v>0.41113334637623633</v>
      </c>
      <c r="B4354" s="21">
        <f t="shared" ca="1" si="135"/>
        <v>1930</v>
      </c>
    </row>
    <row r="4355" spans="1:2" x14ac:dyDescent="0.25">
      <c r="A4355" s="20">
        <f t="shared" ref="A4355:A4418" ca="1" si="136">RAND()</f>
        <v>0.20279669569371417</v>
      </c>
      <c r="B4355" s="21">
        <f t="shared" ref="B4355:B4418" ca="1" si="137">_xlfn.RANK.EQ($A4355,$A:$A,1)</f>
        <v>941</v>
      </c>
    </row>
    <row r="4356" spans="1:2" x14ac:dyDescent="0.25">
      <c r="A4356" s="20">
        <f t="shared" ca="1" si="136"/>
        <v>5.7388493159385323E-2</v>
      </c>
      <c r="B4356" s="21">
        <f t="shared" ca="1" si="137"/>
        <v>246</v>
      </c>
    </row>
    <row r="4357" spans="1:2" x14ac:dyDescent="0.25">
      <c r="A4357" s="20">
        <f t="shared" ca="1" si="136"/>
        <v>0.10655206387474925</v>
      </c>
      <c r="B4357" s="21">
        <f t="shared" ca="1" si="137"/>
        <v>475</v>
      </c>
    </row>
    <row r="4358" spans="1:2" x14ac:dyDescent="0.25">
      <c r="A4358" s="20">
        <f t="shared" ca="1" si="136"/>
        <v>0.35838437870516182</v>
      </c>
      <c r="B4358" s="21">
        <f t="shared" ca="1" si="137"/>
        <v>1696</v>
      </c>
    </row>
    <row r="4359" spans="1:2" x14ac:dyDescent="0.25">
      <c r="A4359" s="20">
        <f t="shared" ca="1" si="136"/>
        <v>0.14593984735413212</v>
      </c>
      <c r="B4359" s="21">
        <f t="shared" ca="1" si="137"/>
        <v>643</v>
      </c>
    </row>
    <row r="4360" spans="1:2" x14ac:dyDescent="0.25">
      <c r="A4360" s="20">
        <f t="shared" ca="1" si="136"/>
        <v>0.1336229385016332</v>
      </c>
      <c r="B4360" s="21">
        <f t="shared" ca="1" si="137"/>
        <v>586</v>
      </c>
    </row>
    <row r="4361" spans="1:2" x14ac:dyDescent="0.25">
      <c r="A4361" s="20">
        <f t="shared" ca="1" si="136"/>
        <v>0.88351374600779697</v>
      </c>
      <c r="B4361" s="21">
        <f t="shared" ca="1" si="137"/>
        <v>4070</v>
      </c>
    </row>
    <row r="4362" spans="1:2" x14ac:dyDescent="0.25">
      <c r="A4362" s="20">
        <f t="shared" ca="1" si="136"/>
        <v>0.77188679250124193</v>
      </c>
      <c r="B4362" s="21">
        <f t="shared" ca="1" si="137"/>
        <v>3579</v>
      </c>
    </row>
    <row r="4363" spans="1:2" x14ac:dyDescent="0.25">
      <c r="A4363" s="20">
        <f t="shared" ca="1" si="136"/>
        <v>0.11582140052063983</v>
      </c>
      <c r="B4363" s="21">
        <f t="shared" ca="1" si="137"/>
        <v>511</v>
      </c>
    </row>
    <row r="4364" spans="1:2" x14ac:dyDescent="0.25">
      <c r="A4364" s="20">
        <f t="shared" ca="1" si="136"/>
        <v>0.83648369234650877</v>
      </c>
      <c r="B4364" s="21">
        <f t="shared" ca="1" si="137"/>
        <v>3862</v>
      </c>
    </row>
    <row r="4365" spans="1:2" x14ac:dyDescent="0.25">
      <c r="A4365" s="20">
        <f t="shared" ca="1" si="136"/>
        <v>0.64743925762097465</v>
      </c>
      <c r="B4365" s="21">
        <f t="shared" ca="1" si="137"/>
        <v>3007</v>
      </c>
    </row>
    <row r="4366" spans="1:2" x14ac:dyDescent="0.25">
      <c r="A4366" s="20">
        <f t="shared" ca="1" si="136"/>
        <v>0.94957892818863654</v>
      </c>
      <c r="B4366" s="21">
        <f t="shared" ca="1" si="137"/>
        <v>4402</v>
      </c>
    </row>
    <row r="4367" spans="1:2" x14ac:dyDescent="0.25">
      <c r="A4367" s="20">
        <f t="shared" ca="1" si="136"/>
        <v>2.5099591885902939E-2</v>
      </c>
      <c r="B4367" s="21">
        <f t="shared" ca="1" si="137"/>
        <v>100</v>
      </c>
    </row>
    <row r="4368" spans="1:2" x14ac:dyDescent="0.25">
      <c r="A4368" s="20">
        <f t="shared" ca="1" si="136"/>
        <v>0.80047842016008575</v>
      </c>
      <c r="B4368" s="21">
        <f t="shared" ca="1" si="137"/>
        <v>3710</v>
      </c>
    </row>
    <row r="4369" spans="1:2" x14ac:dyDescent="0.25">
      <c r="A4369" s="20">
        <f t="shared" ca="1" si="136"/>
        <v>0.3696435276536032</v>
      </c>
      <c r="B4369" s="21">
        <f t="shared" ca="1" si="137"/>
        <v>1757</v>
      </c>
    </row>
    <row r="4370" spans="1:2" x14ac:dyDescent="0.25">
      <c r="A4370" s="20">
        <f t="shared" ca="1" si="136"/>
        <v>0.99123002813584471</v>
      </c>
      <c r="B4370" s="21">
        <f t="shared" ca="1" si="137"/>
        <v>4587</v>
      </c>
    </row>
    <row r="4371" spans="1:2" x14ac:dyDescent="0.25">
      <c r="A4371" s="20">
        <f t="shared" ca="1" si="136"/>
        <v>0.21811455113316647</v>
      </c>
      <c r="B4371" s="21">
        <f t="shared" ca="1" si="137"/>
        <v>1020</v>
      </c>
    </row>
    <row r="4372" spans="1:2" x14ac:dyDescent="0.25">
      <c r="A4372" s="20">
        <f t="shared" ca="1" si="136"/>
        <v>0.1527376724546311</v>
      </c>
      <c r="B4372" s="21">
        <f t="shared" ca="1" si="137"/>
        <v>682</v>
      </c>
    </row>
    <row r="4373" spans="1:2" x14ac:dyDescent="0.25">
      <c r="A4373" s="20">
        <f t="shared" ca="1" si="136"/>
        <v>0.53207745022052877</v>
      </c>
      <c r="B4373" s="21">
        <f t="shared" ca="1" si="137"/>
        <v>2485</v>
      </c>
    </row>
    <row r="4374" spans="1:2" x14ac:dyDescent="0.25">
      <c r="A4374" s="20">
        <f t="shared" ca="1" si="136"/>
        <v>0.63905432172719845</v>
      </c>
      <c r="B4374" s="21">
        <f t="shared" ca="1" si="137"/>
        <v>2959</v>
      </c>
    </row>
    <row r="4375" spans="1:2" x14ac:dyDescent="0.25">
      <c r="A4375" s="20">
        <f t="shared" ca="1" si="136"/>
        <v>0.83496700282008651</v>
      </c>
      <c r="B4375" s="21">
        <f t="shared" ca="1" si="137"/>
        <v>3857</v>
      </c>
    </row>
    <row r="4376" spans="1:2" x14ac:dyDescent="0.25">
      <c r="A4376" s="20">
        <f t="shared" ca="1" si="136"/>
        <v>0.98604364781800957</v>
      </c>
      <c r="B4376" s="21">
        <f t="shared" ca="1" si="137"/>
        <v>4566</v>
      </c>
    </row>
    <row r="4377" spans="1:2" x14ac:dyDescent="0.25">
      <c r="A4377" s="20">
        <f t="shared" ca="1" si="136"/>
        <v>0.34311805291794784</v>
      </c>
      <c r="B4377" s="21">
        <f t="shared" ca="1" si="137"/>
        <v>1614</v>
      </c>
    </row>
    <row r="4378" spans="1:2" x14ac:dyDescent="0.25">
      <c r="A4378" s="20">
        <f t="shared" ca="1" si="136"/>
        <v>0.15040102012862699</v>
      </c>
      <c r="B4378" s="21">
        <f t="shared" ca="1" si="137"/>
        <v>670</v>
      </c>
    </row>
    <row r="4379" spans="1:2" x14ac:dyDescent="0.25">
      <c r="A4379" s="20">
        <f t="shared" ca="1" si="136"/>
        <v>8.3961561584266375E-2</v>
      </c>
      <c r="B4379" s="21">
        <f t="shared" ca="1" si="137"/>
        <v>376</v>
      </c>
    </row>
    <row r="4380" spans="1:2" x14ac:dyDescent="0.25">
      <c r="A4380" s="20">
        <f t="shared" ca="1" si="136"/>
        <v>0.65816917678833331</v>
      </c>
      <c r="B4380" s="21">
        <f t="shared" ca="1" si="137"/>
        <v>3055</v>
      </c>
    </row>
    <row r="4381" spans="1:2" x14ac:dyDescent="0.25">
      <c r="A4381" s="20">
        <f t="shared" ca="1" si="136"/>
        <v>0.70602423715434393</v>
      </c>
      <c r="B4381" s="21">
        <f t="shared" ca="1" si="137"/>
        <v>3268</v>
      </c>
    </row>
    <row r="4382" spans="1:2" x14ac:dyDescent="0.25">
      <c r="A4382" s="20">
        <f t="shared" ca="1" si="136"/>
        <v>0.4232158085475175</v>
      </c>
      <c r="B4382" s="21">
        <f t="shared" ca="1" si="137"/>
        <v>1989</v>
      </c>
    </row>
    <row r="4383" spans="1:2" x14ac:dyDescent="0.25">
      <c r="A4383" s="20">
        <f t="shared" ca="1" si="136"/>
        <v>0.75638654629585145</v>
      </c>
      <c r="B4383" s="21">
        <f t="shared" ca="1" si="137"/>
        <v>3510</v>
      </c>
    </row>
    <row r="4384" spans="1:2" x14ac:dyDescent="0.25">
      <c r="A4384" s="20">
        <f t="shared" ca="1" si="136"/>
        <v>0.7881241244961642</v>
      </c>
      <c r="B4384" s="21">
        <f t="shared" ca="1" si="137"/>
        <v>3650</v>
      </c>
    </row>
    <row r="4385" spans="1:2" x14ac:dyDescent="0.25">
      <c r="A4385" s="20">
        <f t="shared" ca="1" si="136"/>
        <v>0.79899459542657403</v>
      </c>
      <c r="B4385" s="21">
        <f t="shared" ca="1" si="137"/>
        <v>3699</v>
      </c>
    </row>
    <row r="4386" spans="1:2" x14ac:dyDescent="0.25">
      <c r="A4386" s="20">
        <f t="shared" ca="1" si="136"/>
        <v>0.61485207218890836</v>
      </c>
      <c r="B4386" s="21">
        <f t="shared" ca="1" si="137"/>
        <v>2858</v>
      </c>
    </row>
    <row r="4387" spans="1:2" x14ac:dyDescent="0.25">
      <c r="A4387" s="20">
        <f t="shared" ca="1" si="136"/>
        <v>5.0182189511838726E-2</v>
      </c>
      <c r="B4387" s="21">
        <f t="shared" ca="1" si="137"/>
        <v>207</v>
      </c>
    </row>
    <row r="4388" spans="1:2" x14ac:dyDescent="0.25">
      <c r="A4388" s="20">
        <f t="shared" ca="1" si="136"/>
        <v>0.52544313612948568</v>
      </c>
      <c r="B4388" s="21">
        <f t="shared" ca="1" si="137"/>
        <v>2454</v>
      </c>
    </row>
    <row r="4389" spans="1:2" x14ac:dyDescent="0.25">
      <c r="A4389" s="20">
        <f t="shared" ca="1" si="136"/>
        <v>0.35458068085693539</v>
      </c>
      <c r="B4389" s="21">
        <f t="shared" ca="1" si="137"/>
        <v>1675</v>
      </c>
    </row>
    <row r="4390" spans="1:2" x14ac:dyDescent="0.25">
      <c r="A4390" s="20">
        <f t="shared" ca="1" si="136"/>
        <v>5.4915104438927331E-3</v>
      </c>
      <c r="B4390" s="21">
        <f t="shared" ca="1" si="137"/>
        <v>22</v>
      </c>
    </row>
    <row r="4391" spans="1:2" x14ac:dyDescent="0.25">
      <c r="A4391" s="20">
        <f t="shared" ca="1" si="136"/>
        <v>0.40544030381456486</v>
      </c>
      <c r="B4391" s="21">
        <f t="shared" ca="1" si="137"/>
        <v>1901</v>
      </c>
    </row>
    <row r="4392" spans="1:2" x14ac:dyDescent="0.25">
      <c r="A4392" s="20">
        <f t="shared" ca="1" si="136"/>
        <v>0.16599039189439391</v>
      </c>
      <c r="B4392" s="21">
        <f t="shared" ca="1" si="137"/>
        <v>740</v>
      </c>
    </row>
    <row r="4393" spans="1:2" x14ac:dyDescent="0.25">
      <c r="A4393" s="20">
        <f t="shared" ca="1" si="136"/>
        <v>0.22704683373946355</v>
      </c>
      <c r="B4393" s="21">
        <f t="shared" ca="1" si="137"/>
        <v>1065</v>
      </c>
    </row>
    <row r="4394" spans="1:2" x14ac:dyDescent="0.25">
      <c r="A4394" s="20">
        <f t="shared" ca="1" si="136"/>
        <v>0.12910834966599538</v>
      </c>
      <c r="B4394" s="21">
        <f t="shared" ca="1" si="137"/>
        <v>569</v>
      </c>
    </row>
    <row r="4395" spans="1:2" x14ac:dyDescent="0.25">
      <c r="A4395" s="20">
        <f t="shared" ca="1" si="136"/>
        <v>0.20005751236321601</v>
      </c>
      <c r="B4395" s="21">
        <f t="shared" ca="1" si="137"/>
        <v>927</v>
      </c>
    </row>
    <row r="4396" spans="1:2" x14ac:dyDescent="0.25">
      <c r="A4396" s="20">
        <f t="shared" ca="1" si="136"/>
        <v>0.23488503332907684</v>
      </c>
      <c r="B4396" s="21">
        <f t="shared" ca="1" si="137"/>
        <v>1101</v>
      </c>
    </row>
    <row r="4397" spans="1:2" x14ac:dyDescent="0.25">
      <c r="A4397" s="20">
        <f t="shared" ca="1" si="136"/>
        <v>0.26502325879073696</v>
      </c>
      <c r="B4397" s="21">
        <f t="shared" ca="1" si="137"/>
        <v>1237</v>
      </c>
    </row>
    <row r="4398" spans="1:2" x14ac:dyDescent="0.25">
      <c r="A4398" s="20">
        <f t="shared" ca="1" si="136"/>
        <v>0.23941437155189971</v>
      </c>
      <c r="B4398" s="21">
        <f t="shared" ca="1" si="137"/>
        <v>1120</v>
      </c>
    </row>
    <row r="4399" spans="1:2" x14ac:dyDescent="0.25">
      <c r="A4399" s="20">
        <f t="shared" ca="1" si="136"/>
        <v>0.26553889853529378</v>
      </c>
      <c r="B4399" s="21">
        <f t="shared" ca="1" si="137"/>
        <v>1242</v>
      </c>
    </row>
    <row r="4400" spans="1:2" x14ac:dyDescent="0.25">
      <c r="A4400" s="20">
        <f t="shared" ca="1" si="136"/>
        <v>0.56276421570636093</v>
      </c>
      <c r="B4400" s="21">
        <f t="shared" ca="1" si="137"/>
        <v>2632</v>
      </c>
    </row>
    <row r="4401" spans="1:2" x14ac:dyDescent="0.25">
      <c r="A4401" s="20">
        <f t="shared" ca="1" si="136"/>
        <v>0.74092484835626937</v>
      </c>
      <c r="B4401" s="21">
        <f t="shared" ca="1" si="137"/>
        <v>3428</v>
      </c>
    </row>
    <row r="4402" spans="1:2" x14ac:dyDescent="0.25">
      <c r="A4402" s="20">
        <f t="shared" ca="1" si="136"/>
        <v>0.57364230142799699</v>
      </c>
      <c r="B4402" s="21">
        <f t="shared" ca="1" si="137"/>
        <v>2676</v>
      </c>
    </row>
    <row r="4403" spans="1:2" x14ac:dyDescent="0.25">
      <c r="A4403" s="20">
        <f t="shared" ca="1" si="136"/>
        <v>0.13008396747355633</v>
      </c>
      <c r="B4403" s="21">
        <f t="shared" ca="1" si="137"/>
        <v>576</v>
      </c>
    </row>
    <row r="4404" spans="1:2" x14ac:dyDescent="0.25">
      <c r="A4404" s="20">
        <f t="shared" ca="1" si="136"/>
        <v>9.1203919695340696E-2</v>
      </c>
      <c r="B4404" s="21">
        <f t="shared" ca="1" si="137"/>
        <v>411</v>
      </c>
    </row>
    <row r="4405" spans="1:2" x14ac:dyDescent="0.25">
      <c r="A4405" s="20">
        <f t="shared" ca="1" si="136"/>
        <v>0.54301732042379558</v>
      </c>
      <c r="B4405" s="21">
        <f t="shared" ca="1" si="137"/>
        <v>2536</v>
      </c>
    </row>
    <row r="4406" spans="1:2" x14ac:dyDescent="0.25">
      <c r="A4406" s="20">
        <f t="shared" ca="1" si="136"/>
        <v>0.11454658604050583</v>
      </c>
      <c r="B4406" s="21">
        <f t="shared" ca="1" si="137"/>
        <v>505</v>
      </c>
    </row>
    <row r="4407" spans="1:2" x14ac:dyDescent="0.25">
      <c r="A4407" s="20">
        <f t="shared" ca="1" si="136"/>
        <v>0.7989116394742547</v>
      </c>
      <c r="B4407" s="21">
        <f t="shared" ca="1" si="137"/>
        <v>3698</v>
      </c>
    </row>
    <row r="4408" spans="1:2" x14ac:dyDescent="0.25">
      <c r="A4408" s="20">
        <f t="shared" ca="1" si="136"/>
        <v>0.65145588198924653</v>
      </c>
      <c r="B4408" s="21">
        <f t="shared" ca="1" si="137"/>
        <v>3024</v>
      </c>
    </row>
    <row r="4409" spans="1:2" x14ac:dyDescent="0.25">
      <c r="A4409" s="20">
        <f t="shared" ca="1" si="136"/>
        <v>9.60934789315111E-2</v>
      </c>
      <c r="B4409" s="21">
        <f t="shared" ca="1" si="137"/>
        <v>433</v>
      </c>
    </row>
    <row r="4410" spans="1:2" x14ac:dyDescent="0.25">
      <c r="A4410" s="20">
        <f t="shared" ca="1" si="136"/>
        <v>0.58182283690320413</v>
      </c>
      <c r="B4410" s="21">
        <f t="shared" ca="1" si="137"/>
        <v>2720</v>
      </c>
    </row>
    <row r="4411" spans="1:2" x14ac:dyDescent="0.25">
      <c r="A4411" s="20">
        <f t="shared" ca="1" si="136"/>
        <v>0.10461395216755387</v>
      </c>
      <c r="B4411" s="21">
        <f t="shared" ca="1" si="137"/>
        <v>469</v>
      </c>
    </row>
    <row r="4412" spans="1:2" x14ac:dyDescent="0.25">
      <c r="A4412" s="20">
        <f t="shared" ca="1" si="136"/>
        <v>0.98893485719760521</v>
      </c>
      <c r="B4412" s="21">
        <f t="shared" ca="1" si="137"/>
        <v>4579</v>
      </c>
    </row>
    <row r="4413" spans="1:2" x14ac:dyDescent="0.25">
      <c r="A4413" s="20">
        <f t="shared" ca="1" si="136"/>
        <v>0.41818775005090136</v>
      </c>
      <c r="B4413" s="21">
        <f t="shared" ca="1" si="137"/>
        <v>1956</v>
      </c>
    </row>
    <row r="4414" spans="1:2" x14ac:dyDescent="0.25">
      <c r="A4414" s="20">
        <f t="shared" ca="1" si="136"/>
        <v>0.80004922406784684</v>
      </c>
      <c r="B4414" s="21">
        <f t="shared" ca="1" si="137"/>
        <v>3706</v>
      </c>
    </row>
    <row r="4415" spans="1:2" x14ac:dyDescent="0.25">
      <c r="A4415" s="20">
        <f t="shared" ca="1" si="136"/>
        <v>0.78326080763551842</v>
      </c>
      <c r="B4415" s="21">
        <f t="shared" ca="1" si="137"/>
        <v>3628</v>
      </c>
    </row>
    <row r="4416" spans="1:2" x14ac:dyDescent="0.25">
      <c r="A4416" s="20">
        <f t="shared" ca="1" si="136"/>
        <v>7.9253218659725566E-2</v>
      </c>
      <c r="B4416" s="21">
        <f t="shared" ca="1" si="137"/>
        <v>356</v>
      </c>
    </row>
    <row r="4417" spans="1:2" x14ac:dyDescent="0.25">
      <c r="A4417" s="20">
        <f t="shared" ca="1" si="136"/>
        <v>0.44582919231564366</v>
      </c>
      <c r="B4417" s="21">
        <f t="shared" ca="1" si="137"/>
        <v>2086</v>
      </c>
    </row>
    <row r="4418" spans="1:2" x14ac:dyDescent="0.25">
      <c r="A4418" s="20">
        <f t="shared" ca="1" si="136"/>
        <v>0.77504732744502003</v>
      </c>
      <c r="B4418" s="21">
        <f t="shared" ca="1" si="137"/>
        <v>3596</v>
      </c>
    </row>
    <row r="4419" spans="1:2" x14ac:dyDescent="0.25">
      <c r="A4419" s="20">
        <f t="shared" ref="A4419:A4482" ca="1" si="138">RAND()</f>
        <v>0.47351344888623403</v>
      </c>
      <c r="B4419" s="21">
        <f t="shared" ref="B4419:B4482" ca="1" si="139">_xlfn.RANK.EQ($A4419,$A:$A,1)</f>
        <v>2211</v>
      </c>
    </row>
    <row r="4420" spans="1:2" x14ac:dyDescent="0.25">
      <c r="A4420" s="20">
        <f t="shared" ca="1" si="138"/>
        <v>0.83179276790840906</v>
      </c>
      <c r="B4420" s="21">
        <f t="shared" ca="1" si="139"/>
        <v>3847</v>
      </c>
    </row>
    <row r="4421" spans="1:2" x14ac:dyDescent="0.25">
      <c r="A4421" s="20">
        <f t="shared" ca="1" si="138"/>
        <v>0.87914761709309674</v>
      </c>
      <c r="B4421" s="21">
        <f t="shared" ca="1" si="139"/>
        <v>4050</v>
      </c>
    </row>
    <row r="4422" spans="1:2" x14ac:dyDescent="0.25">
      <c r="A4422" s="20">
        <f t="shared" ca="1" si="138"/>
        <v>0.50738168614776102</v>
      </c>
      <c r="B4422" s="21">
        <f t="shared" ca="1" si="139"/>
        <v>2362</v>
      </c>
    </row>
    <row r="4423" spans="1:2" x14ac:dyDescent="0.25">
      <c r="A4423" s="20">
        <f t="shared" ca="1" si="138"/>
        <v>0.59154833086991454</v>
      </c>
      <c r="B4423" s="21">
        <f t="shared" ca="1" si="139"/>
        <v>2760</v>
      </c>
    </row>
    <row r="4424" spans="1:2" x14ac:dyDescent="0.25">
      <c r="A4424" s="20">
        <f t="shared" ca="1" si="138"/>
        <v>0.51623813277900998</v>
      </c>
      <c r="B4424" s="21">
        <f t="shared" ca="1" si="139"/>
        <v>2409</v>
      </c>
    </row>
    <row r="4425" spans="1:2" x14ac:dyDescent="0.25">
      <c r="A4425" s="20">
        <f t="shared" ca="1" si="138"/>
        <v>0.29588006472501671</v>
      </c>
      <c r="B4425" s="21">
        <f t="shared" ca="1" si="139"/>
        <v>1391</v>
      </c>
    </row>
    <row r="4426" spans="1:2" x14ac:dyDescent="0.25">
      <c r="A4426" s="20">
        <f t="shared" ca="1" si="138"/>
        <v>0.96391292286272567</v>
      </c>
      <c r="B4426" s="21">
        <f t="shared" ca="1" si="139"/>
        <v>4465</v>
      </c>
    </row>
    <row r="4427" spans="1:2" x14ac:dyDescent="0.25">
      <c r="A4427" s="20">
        <f t="shared" ca="1" si="138"/>
        <v>0.33053967469704237</v>
      </c>
      <c r="B4427" s="21">
        <f t="shared" ca="1" si="139"/>
        <v>1548</v>
      </c>
    </row>
    <row r="4428" spans="1:2" x14ac:dyDescent="0.25">
      <c r="A4428" s="20">
        <f t="shared" ca="1" si="138"/>
        <v>0.20786516557324908</v>
      </c>
      <c r="B4428" s="21">
        <f t="shared" ca="1" si="139"/>
        <v>968</v>
      </c>
    </row>
    <row r="4429" spans="1:2" x14ac:dyDescent="0.25">
      <c r="A4429" s="20">
        <f t="shared" ca="1" si="138"/>
        <v>0.54961553705295429</v>
      </c>
      <c r="B4429" s="21">
        <f t="shared" ca="1" si="139"/>
        <v>2567</v>
      </c>
    </row>
    <row r="4430" spans="1:2" x14ac:dyDescent="0.25">
      <c r="A4430" s="20">
        <f t="shared" ca="1" si="138"/>
        <v>0.77175468153224003</v>
      </c>
      <c r="B4430" s="21">
        <f t="shared" ca="1" si="139"/>
        <v>3578</v>
      </c>
    </row>
    <row r="4431" spans="1:2" x14ac:dyDescent="0.25">
      <c r="A4431" s="20">
        <f t="shared" ca="1" si="138"/>
        <v>0.17483074386002651</v>
      </c>
      <c r="B4431" s="21">
        <f t="shared" ca="1" si="139"/>
        <v>791</v>
      </c>
    </row>
    <row r="4432" spans="1:2" x14ac:dyDescent="0.25">
      <c r="A4432" s="20">
        <f t="shared" ca="1" si="138"/>
        <v>0.8837128558447187</v>
      </c>
      <c r="B4432" s="21">
        <f t="shared" ca="1" si="139"/>
        <v>4072</v>
      </c>
    </row>
    <row r="4433" spans="1:2" x14ac:dyDescent="0.25">
      <c r="A4433" s="20">
        <f t="shared" ca="1" si="138"/>
        <v>0.1854043226609472</v>
      </c>
      <c r="B4433" s="21">
        <f t="shared" ca="1" si="139"/>
        <v>851</v>
      </c>
    </row>
    <row r="4434" spans="1:2" x14ac:dyDescent="0.25">
      <c r="A4434" s="20">
        <f t="shared" ca="1" si="138"/>
        <v>0.46286077139681026</v>
      </c>
      <c r="B4434" s="21">
        <f t="shared" ca="1" si="139"/>
        <v>2170</v>
      </c>
    </row>
    <row r="4435" spans="1:2" x14ac:dyDescent="0.25">
      <c r="A4435" s="20">
        <f t="shared" ca="1" si="138"/>
        <v>0.47146989133219463</v>
      </c>
      <c r="B4435" s="21">
        <f t="shared" ca="1" si="139"/>
        <v>2202</v>
      </c>
    </row>
    <row r="4436" spans="1:2" x14ac:dyDescent="0.25">
      <c r="A4436" s="20">
        <f t="shared" ca="1" si="138"/>
        <v>0.38788811557566694</v>
      </c>
      <c r="B4436" s="21">
        <f t="shared" ca="1" si="139"/>
        <v>1820</v>
      </c>
    </row>
    <row r="4437" spans="1:2" x14ac:dyDescent="0.25">
      <c r="A4437" s="20">
        <f t="shared" ca="1" si="138"/>
        <v>0.16894238846106446</v>
      </c>
      <c r="B4437" s="21">
        <f t="shared" ca="1" si="139"/>
        <v>759</v>
      </c>
    </row>
    <row r="4438" spans="1:2" x14ac:dyDescent="0.25">
      <c r="A4438" s="20">
        <f t="shared" ca="1" si="138"/>
        <v>0.87955272931199346</v>
      </c>
      <c r="B4438" s="21">
        <f t="shared" ca="1" si="139"/>
        <v>4056</v>
      </c>
    </row>
    <row r="4439" spans="1:2" x14ac:dyDescent="0.25">
      <c r="A4439" s="20">
        <f t="shared" ca="1" si="138"/>
        <v>0.76485230844420882</v>
      </c>
      <c r="B4439" s="21">
        <f t="shared" ca="1" si="139"/>
        <v>3544</v>
      </c>
    </row>
    <row r="4440" spans="1:2" x14ac:dyDescent="0.25">
      <c r="A4440" s="20">
        <f t="shared" ca="1" si="138"/>
        <v>9.4793326664662447E-2</v>
      </c>
      <c r="B4440" s="21">
        <f t="shared" ca="1" si="139"/>
        <v>426</v>
      </c>
    </row>
    <row r="4441" spans="1:2" x14ac:dyDescent="0.25">
      <c r="A4441" s="20">
        <f t="shared" ca="1" si="138"/>
        <v>0.15118209738599109</v>
      </c>
      <c r="B4441" s="21">
        <f t="shared" ca="1" si="139"/>
        <v>677</v>
      </c>
    </row>
    <row r="4442" spans="1:2" x14ac:dyDescent="0.25">
      <c r="A4442" s="20">
        <f t="shared" ca="1" si="138"/>
        <v>0.30609159366627237</v>
      </c>
      <c r="B4442" s="21">
        <f t="shared" ca="1" si="139"/>
        <v>1434</v>
      </c>
    </row>
    <row r="4443" spans="1:2" x14ac:dyDescent="0.25">
      <c r="A4443" s="20">
        <f t="shared" ca="1" si="138"/>
        <v>0.28542834206539092</v>
      </c>
      <c r="B4443" s="21">
        <f t="shared" ca="1" si="139"/>
        <v>1335</v>
      </c>
    </row>
    <row r="4444" spans="1:2" x14ac:dyDescent="0.25">
      <c r="A4444" s="20">
        <f t="shared" ca="1" si="138"/>
        <v>0.28880231786237054</v>
      </c>
      <c r="B4444" s="21">
        <f t="shared" ca="1" si="139"/>
        <v>1357</v>
      </c>
    </row>
    <row r="4445" spans="1:2" x14ac:dyDescent="0.25">
      <c r="A4445" s="20">
        <f t="shared" ca="1" si="138"/>
        <v>7.2605004538734863E-2</v>
      </c>
      <c r="B4445" s="21">
        <f t="shared" ca="1" si="139"/>
        <v>322</v>
      </c>
    </row>
    <row r="4446" spans="1:2" x14ac:dyDescent="0.25">
      <c r="A4446" s="20">
        <f t="shared" ca="1" si="138"/>
        <v>0.45783863785571266</v>
      </c>
      <c r="B4446" s="21">
        <f t="shared" ca="1" si="139"/>
        <v>2151</v>
      </c>
    </row>
    <row r="4447" spans="1:2" x14ac:dyDescent="0.25">
      <c r="A4447" s="20">
        <f t="shared" ca="1" si="138"/>
        <v>0.18237962738157909</v>
      </c>
      <c r="B4447" s="21">
        <f t="shared" ca="1" si="139"/>
        <v>835</v>
      </c>
    </row>
    <row r="4448" spans="1:2" x14ac:dyDescent="0.25">
      <c r="A4448" s="20">
        <f t="shared" ca="1" si="138"/>
        <v>0.47420533075215532</v>
      </c>
      <c r="B4448" s="21">
        <f t="shared" ca="1" si="139"/>
        <v>2216</v>
      </c>
    </row>
    <row r="4449" spans="1:2" x14ac:dyDescent="0.25">
      <c r="A4449" s="20">
        <f t="shared" ca="1" si="138"/>
        <v>0.16749731573053928</v>
      </c>
      <c r="B4449" s="21">
        <f t="shared" ca="1" si="139"/>
        <v>750</v>
      </c>
    </row>
    <row r="4450" spans="1:2" x14ac:dyDescent="0.25">
      <c r="A4450" s="20">
        <f t="shared" ca="1" si="138"/>
        <v>0.94018357550123266</v>
      </c>
      <c r="B4450" s="21">
        <f t="shared" ca="1" si="139"/>
        <v>4348</v>
      </c>
    </row>
    <row r="4451" spans="1:2" x14ac:dyDescent="0.25">
      <c r="A4451" s="20">
        <f t="shared" ca="1" si="138"/>
        <v>0.84560632603117458</v>
      </c>
      <c r="B4451" s="21">
        <f t="shared" ca="1" si="139"/>
        <v>3905</v>
      </c>
    </row>
    <row r="4452" spans="1:2" x14ac:dyDescent="0.25">
      <c r="A4452" s="20">
        <f t="shared" ca="1" si="138"/>
        <v>0.20083556424024229</v>
      </c>
      <c r="B4452" s="21">
        <f t="shared" ca="1" si="139"/>
        <v>930</v>
      </c>
    </row>
    <row r="4453" spans="1:2" x14ac:dyDescent="0.25">
      <c r="A4453" s="20">
        <f t="shared" ca="1" si="138"/>
        <v>0.9244540947950125</v>
      </c>
      <c r="B4453" s="21">
        <f t="shared" ca="1" si="139"/>
        <v>4265</v>
      </c>
    </row>
    <row r="4454" spans="1:2" x14ac:dyDescent="0.25">
      <c r="A4454" s="20">
        <f t="shared" ca="1" si="138"/>
        <v>0.44545711616895745</v>
      </c>
      <c r="B4454" s="21">
        <f t="shared" ca="1" si="139"/>
        <v>2084</v>
      </c>
    </row>
    <row r="4455" spans="1:2" x14ac:dyDescent="0.25">
      <c r="A4455" s="20">
        <f t="shared" ca="1" si="138"/>
        <v>8.4785193468121078E-2</v>
      </c>
      <c r="B4455" s="21">
        <f t="shared" ca="1" si="139"/>
        <v>379</v>
      </c>
    </row>
    <row r="4456" spans="1:2" x14ac:dyDescent="0.25">
      <c r="A4456" s="20">
        <f t="shared" ca="1" si="138"/>
        <v>0.40496911501465882</v>
      </c>
      <c r="B4456" s="21">
        <f t="shared" ca="1" si="139"/>
        <v>1900</v>
      </c>
    </row>
    <row r="4457" spans="1:2" x14ac:dyDescent="0.25">
      <c r="A4457" s="20">
        <f t="shared" ca="1" si="138"/>
        <v>0.84466969774592082</v>
      </c>
      <c r="B4457" s="21">
        <f t="shared" ca="1" si="139"/>
        <v>3899</v>
      </c>
    </row>
    <row r="4458" spans="1:2" x14ac:dyDescent="0.25">
      <c r="A4458" s="20">
        <f t="shared" ca="1" si="138"/>
        <v>0.85100145977104902</v>
      </c>
      <c r="B4458" s="21">
        <f t="shared" ca="1" si="139"/>
        <v>3933</v>
      </c>
    </row>
    <row r="4459" spans="1:2" x14ac:dyDescent="0.25">
      <c r="A4459" s="20">
        <f t="shared" ca="1" si="138"/>
        <v>0.84099397376871865</v>
      </c>
      <c r="B4459" s="21">
        <f t="shared" ca="1" si="139"/>
        <v>3880</v>
      </c>
    </row>
    <row r="4460" spans="1:2" x14ac:dyDescent="0.25">
      <c r="A4460" s="20">
        <f t="shared" ca="1" si="138"/>
        <v>6.7779138480963397E-2</v>
      </c>
      <c r="B4460" s="21">
        <f t="shared" ca="1" si="139"/>
        <v>302</v>
      </c>
    </row>
    <row r="4461" spans="1:2" x14ac:dyDescent="0.25">
      <c r="A4461" s="20">
        <f t="shared" ca="1" si="138"/>
        <v>0.19279146287242188</v>
      </c>
      <c r="B4461" s="21">
        <f t="shared" ca="1" si="139"/>
        <v>890</v>
      </c>
    </row>
    <row r="4462" spans="1:2" x14ac:dyDescent="0.25">
      <c r="A4462" s="20">
        <f t="shared" ca="1" si="138"/>
        <v>0.20260430415394093</v>
      </c>
      <c r="B4462" s="21">
        <f t="shared" ca="1" si="139"/>
        <v>938</v>
      </c>
    </row>
    <row r="4463" spans="1:2" x14ac:dyDescent="0.25">
      <c r="A4463" s="20">
        <f t="shared" ca="1" si="138"/>
        <v>0.51107676914455824</v>
      </c>
      <c r="B4463" s="21">
        <f t="shared" ca="1" si="139"/>
        <v>2383</v>
      </c>
    </row>
    <row r="4464" spans="1:2" x14ac:dyDescent="0.25">
      <c r="A4464" s="20">
        <f t="shared" ca="1" si="138"/>
        <v>0.14976192259651833</v>
      </c>
      <c r="B4464" s="21">
        <f t="shared" ca="1" si="139"/>
        <v>668</v>
      </c>
    </row>
    <row r="4465" spans="1:2" x14ac:dyDescent="0.25">
      <c r="A4465" s="20">
        <f t="shared" ca="1" si="138"/>
        <v>0.72411490168880654</v>
      </c>
      <c r="B4465" s="21">
        <f t="shared" ca="1" si="139"/>
        <v>3351</v>
      </c>
    </row>
    <row r="4466" spans="1:2" x14ac:dyDescent="0.25">
      <c r="A4466" s="20">
        <f t="shared" ca="1" si="138"/>
        <v>0.69488621513212889</v>
      </c>
      <c r="B4466" s="21">
        <f t="shared" ca="1" si="139"/>
        <v>3221</v>
      </c>
    </row>
    <row r="4467" spans="1:2" x14ac:dyDescent="0.25">
      <c r="A4467" s="20">
        <f t="shared" ca="1" si="138"/>
        <v>0.13262885735785601</v>
      </c>
      <c r="B4467" s="21">
        <f t="shared" ca="1" si="139"/>
        <v>585</v>
      </c>
    </row>
    <row r="4468" spans="1:2" x14ac:dyDescent="0.25">
      <c r="A4468" s="20">
        <f t="shared" ca="1" si="138"/>
        <v>0.37021816256103535</v>
      </c>
      <c r="B4468" s="21">
        <f t="shared" ca="1" si="139"/>
        <v>1759</v>
      </c>
    </row>
    <row r="4469" spans="1:2" x14ac:dyDescent="0.25">
      <c r="A4469" s="20">
        <f t="shared" ca="1" si="138"/>
        <v>0.88275068029564019</v>
      </c>
      <c r="B4469" s="21">
        <f t="shared" ca="1" si="139"/>
        <v>4066</v>
      </c>
    </row>
    <row r="4470" spans="1:2" x14ac:dyDescent="0.25">
      <c r="A4470" s="20">
        <f t="shared" ca="1" si="138"/>
        <v>0.26953894689787727</v>
      </c>
      <c r="B4470" s="21">
        <f t="shared" ca="1" si="139"/>
        <v>1255</v>
      </c>
    </row>
    <row r="4471" spans="1:2" x14ac:dyDescent="0.25">
      <c r="A4471" s="20">
        <f t="shared" ca="1" si="138"/>
        <v>0.78869854460097011</v>
      </c>
      <c r="B4471" s="21">
        <f t="shared" ca="1" si="139"/>
        <v>3652</v>
      </c>
    </row>
    <row r="4472" spans="1:2" x14ac:dyDescent="0.25">
      <c r="A4472" s="20">
        <f t="shared" ca="1" si="138"/>
        <v>0.54114544262760644</v>
      </c>
      <c r="B4472" s="21">
        <f t="shared" ca="1" si="139"/>
        <v>2527</v>
      </c>
    </row>
    <row r="4473" spans="1:2" x14ac:dyDescent="0.25">
      <c r="A4473" s="20">
        <f t="shared" ca="1" si="138"/>
        <v>1.2944159498874286E-2</v>
      </c>
      <c r="B4473" s="21">
        <f t="shared" ca="1" si="139"/>
        <v>45</v>
      </c>
    </row>
    <row r="4474" spans="1:2" x14ac:dyDescent="0.25">
      <c r="A4474" s="20">
        <f t="shared" ca="1" si="138"/>
        <v>1.7304891154304558E-2</v>
      </c>
      <c r="B4474" s="21">
        <f t="shared" ca="1" si="139"/>
        <v>62</v>
      </c>
    </row>
    <row r="4475" spans="1:2" x14ac:dyDescent="0.25">
      <c r="A4475" s="20">
        <f t="shared" ca="1" si="138"/>
        <v>0.2468013081643371</v>
      </c>
      <c r="B4475" s="21">
        <f t="shared" ca="1" si="139"/>
        <v>1155</v>
      </c>
    </row>
    <row r="4476" spans="1:2" x14ac:dyDescent="0.25">
      <c r="A4476" s="20">
        <f t="shared" ca="1" si="138"/>
        <v>0.48365395881408524</v>
      </c>
      <c r="B4476" s="21">
        <f t="shared" ca="1" si="139"/>
        <v>2255</v>
      </c>
    </row>
    <row r="4477" spans="1:2" x14ac:dyDescent="0.25">
      <c r="A4477" s="20">
        <f t="shared" ca="1" si="138"/>
        <v>0.47065802321751626</v>
      </c>
      <c r="B4477" s="21">
        <f t="shared" ca="1" si="139"/>
        <v>2200</v>
      </c>
    </row>
    <row r="4478" spans="1:2" x14ac:dyDescent="0.25">
      <c r="A4478" s="20">
        <f t="shared" ca="1" si="138"/>
        <v>0.90066404072265049</v>
      </c>
      <c r="B4478" s="21">
        <f t="shared" ca="1" si="139"/>
        <v>4154</v>
      </c>
    </row>
    <row r="4479" spans="1:2" x14ac:dyDescent="0.25">
      <c r="A4479" s="20">
        <f t="shared" ca="1" si="138"/>
        <v>0.81830793704956706</v>
      </c>
      <c r="B4479" s="21">
        <f t="shared" ca="1" si="139"/>
        <v>3787</v>
      </c>
    </row>
    <row r="4480" spans="1:2" x14ac:dyDescent="0.25">
      <c r="A4480" s="20">
        <f t="shared" ca="1" si="138"/>
        <v>0.22595826664086149</v>
      </c>
      <c r="B4480" s="21">
        <f t="shared" ca="1" si="139"/>
        <v>1063</v>
      </c>
    </row>
    <row r="4481" spans="1:2" x14ac:dyDescent="0.25">
      <c r="A4481" s="20">
        <f t="shared" ca="1" si="138"/>
        <v>0.50588018166512982</v>
      </c>
      <c r="B4481" s="21">
        <f t="shared" ca="1" si="139"/>
        <v>2356</v>
      </c>
    </row>
    <row r="4482" spans="1:2" x14ac:dyDescent="0.25">
      <c r="A4482" s="20">
        <f t="shared" ca="1" si="138"/>
        <v>0.91148324957454574</v>
      </c>
      <c r="B4482" s="21">
        <f t="shared" ca="1" si="139"/>
        <v>4205</v>
      </c>
    </row>
    <row r="4483" spans="1:2" x14ac:dyDescent="0.25">
      <c r="A4483" s="20">
        <f t="shared" ref="A4483:A4546" ca="1" si="140">RAND()</f>
        <v>0.61112256522155028</v>
      </c>
      <c r="B4483" s="21">
        <f t="shared" ref="B4483:B4546" ca="1" si="141">_xlfn.RANK.EQ($A4483,$A:$A,1)</f>
        <v>2847</v>
      </c>
    </row>
    <row r="4484" spans="1:2" x14ac:dyDescent="0.25">
      <c r="A4484" s="20">
        <f t="shared" ca="1" si="140"/>
        <v>0.10827674623814787</v>
      </c>
      <c r="B4484" s="21">
        <f t="shared" ca="1" si="141"/>
        <v>479</v>
      </c>
    </row>
    <row r="4485" spans="1:2" x14ac:dyDescent="0.25">
      <c r="A4485" s="20">
        <f t="shared" ca="1" si="140"/>
        <v>0.3559776467958965</v>
      </c>
      <c r="B4485" s="21">
        <f t="shared" ca="1" si="141"/>
        <v>1682</v>
      </c>
    </row>
    <row r="4486" spans="1:2" x14ac:dyDescent="0.25">
      <c r="A4486" s="20">
        <f t="shared" ca="1" si="140"/>
        <v>0.57176976201603724</v>
      </c>
      <c r="B4486" s="21">
        <f t="shared" ca="1" si="141"/>
        <v>2668</v>
      </c>
    </row>
    <row r="4487" spans="1:2" x14ac:dyDescent="0.25">
      <c r="A4487" s="20">
        <f t="shared" ca="1" si="140"/>
        <v>0.90901910653923834</v>
      </c>
      <c r="B4487" s="21">
        <f t="shared" ca="1" si="141"/>
        <v>4196</v>
      </c>
    </row>
    <row r="4488" spans="1:2" x14ac:dyDescent="0.25">
      <c r="A4488" s="20">
        <f t="shared" ca="1" si="140"/>
        <v>8.9308665715416846E-2</v>
      </c>
      <c r="B4488" s="21">
        <f t="shared" ca="1" si="141"/>
        <v>402</v>
      </c>
    </row>
    <row r="4489" spans="1:2" x14ac:dyDescent="0.25">
      <c r="A4489" s="20">
        <f t="shared" ca="1" si="140"/>
        <v>0.30555440708422432</v>
      </c>
      <c r="B4489" s="21">
        <f t="shared" ca="1" si="141"/>
        <v>1432</v>
      </c>
    </row>
    <row r="4490" spans="1:2" x14ac:dyDescent="0.25">
      <c r="A4490" s="20">
        <f t="shared" ca="1" si="140"/>
        <v>0.29003738132034773</v>
      </c>
      <c r="B4490" s="21">
        <f t="shared" ca="1" si="141"/>
        <v>1365</v>
      </c>
    </row>
    <row r="4491" spans="1:2" x14ac:dyDescent="0.25">
      <c r="A4491" s="20">
        <f t="shared" ca="1" si="140"/>
        <v>0.38724835955954695</v>
      </c>
      <c r="B4491" s="21">
        <f t="shared" ca="1" si="141"/>
        <v>1816</v>
      </c>
    </row>
    <row r="4492" spans="1:2" x14ac:dyDescent="0.25">
      <c r="A4492" s="20">
        <f t="shared" ca="1" si="140"/>
        <v>0.9502173217037817</v>
      </c>
      <c r="B4492" s="21">
        <f t="shared" ca="1" si="141"/>
        <v>4406</v>
      </c>
    </row>
    <row r="4493" spans="1:2" x14ac:dyDescent="0.25">
      <c r="A4493" s="20">
        <f t="shared" ca="1" si="140"/>
        <v>0.90133398149847066</v>
      </c>
      <c r="B4493" s="21">
        <f t="shared" ca="1" si="141"/>
        <v>4161</v>
      </c>
    </row>
    <row r="4494" spans="1:2" x14ac:dyDescent="0.25">
      <c r="A4494" s="20">
        <f t="shared" ca="1" si="140"/>
        <v>0.91315932116587906</v>
      </c>
      <c r="B4494" s="21">
        <f t="shared" ca="1" si="141"/>
        <v>4211</v>
      </c>
    </row>
    <row r="4495" spans="1:2" x14ac:dyDescent="0.25">
      <c r="A4495" s="20">
        <f t="shared" ca="1" si="140"/>
        <v>0.11278932928407293</v>
      </c>
      <c r="B4495" s="21">
        <f t="shared" ca="1" si="141"/>
        <v>498</v>
      </c>
    </row>
    <row r="4496" spans="1:2" x14ac:dyDescent="0.25">
      <c r="A4496" s="20">
        <f t="shared" ca="1" si="140"/>
        <v>0.12871209939624806</v>
      </c>
      <c r="B4496" s="21">
        <f t="shared" ca="1" si="141"/>
        <v>563</v>
      </c>
    </row>
    <row r="4497" spans="1:2" x14ac:dyDescent="0.25">
      <c r="A4497" s="20">
        <f t="shared" ca="1" si="140"/>
        <v>0.74549256597700253</v>
      </c>
      <c r="B4497" s="21">
        <f t="shared" ca="1" si="141"/>
        <v>3444</v>
      </c>
    </row>
    <row r="4498" spans="1:2" x14ac:dyDescent="0.25">
      <c r="A4498" s="20">
        <f t="shared" ca="1" si="140"/>
        <v>0.13932561890234563</v>
      </c>
      <c r="B4498" s="21">
        <f t="shared" ca="1" si="141"/>
        <v>614</v>
      </c>
    </row>
    <row r="4499" spans="1:2" x14ac:dyDescent="0.25">
      <c r="A4499" s="20">
        <f t="shared" ca="1" si="140"/>
        <v>0.14892252082307911</v>
      </c>
      <c r="B4499" s="21">
        <f t="shared" ca="1" si="141"/>
        <v>660</v>
      </c>
    </row>
    <row r="4500" spans="1:2" x14ac:dyDescent="0.25">
      <c r="A4500" s="20">
        <f t="shared" ca="1" si="140"/>
        <v>7.5821655728389503E-2</v>
      </c>
      <c r="B4500" s="21">
        <f t="shared" ca="1" si="141"/>
        <v>338</v>
      </c>
    </row>
    <row r="4501" spans="1:2" x14ac:dyDescent="0.25">
      <c r="A4501" s="20">
        <f t="shared" ca="1" si="140"/>
        <v>0.37091309281832918</v>
      </c>
      <c r="B4501" s="21">
        <f t="shared" ca="1" si="141"/>
        <v>1762</v>
      </c>
    </row>
    <row r="4502" spans="1:2" x14ac:dyDescent="0.25">
      <c r="A4502" s="20">
        <f t="shared" ca="1" si="140"/>
        <v>0.53843796816357248</v>
      </c>
      <c r="B4502" s="21">
        <f t="shared" ca="1" si="141"/>
        <v>2512</v>
      </c>
    </row>
    <row r="4503" spans="1:2" x14ac:dyDescent="0.25">
      <c r="A4503" s="20">
        <f t="shared" ca="1" si="140"/>
        <v>0.78023002669587593</v>
      </c>
      <c r="B4503" s="21">
        <f t="shared" ca="1" si="141"/>
        <v>3617</v>
      </c>
    </row>
    <row r="4504" spans="1:2" x14ac:dyDescent="0.25">
      <c r="A4504" s="20">
        <f t="shared" ca="1" si="140"/>
        <v>0.18654068290921866</v>
      </c>
      <c r="B4504" s="21">
        <f t="shared" ca="1" si="141"/>
        <v>856</v>
      </c>
    </row>
    <row r="4505" spans="1:2" x14ac:dyDescent="0.25">
      <c r="A4505" s="20">
        <f t="shared" ca="1" si="140"/>
        <v>0.59608167208833618</v>
      </c>
      <c r="B4505" s="21">
        <f t="shared" ca="1" si="141"/>
        <v>2788</v>
      </c>
    </row>
    <row r="4506" spans="1:2" x14ac:dyDescent="0.25">
      <c r="A4506" s="20">
        <f t="shared" ca="1" si="140"/>
        <v>0.86624031380677202</v>
      </c>
      <c r="B4506" s="21">
        <f t="shared" ca="1" si="141"/>
        <v>3997</v>
      </c>
    </row>
    <row r="4507" spans="1:2" x14ac:dyDescent="0.25">
      <c r="A4507" s="20">
        <f t="shared" ca="1" si="140"/>
        <v>8.8552959073044502E-2</v>
      </c>
      <c r="B4507" s="21">
        <f t="shared" ca="1" si="141"/>
        <v>394</v>
      </c>
    </row>
    <row r="4508" spans="1:2" x14ac:dyDescent="0.25">
      <c r="A4508" s="20">
        <f t="shared" ca="1" si="140"/>
        <v>0.27364596069796732</v>
      </c>
      <c r="B4508" s="21">
        <f t="shared" ca="1" si="141"/>
        <v>1276</v>
      </c>
    </row>
    <row r="4509" spans="1:2" x14ac:dyDescent="0.25">
      <c r="A4509" s="20">
        <f t="shared" ca="1" si="140"/>
        <v>0.89167636511069315</v>
      </c>
      <c r="B4509" s="21">
        <f t="shared" ca="1" si="141"/>
        <v>4110</v>
      </c>
    </row>
    <row r="4510" spans="1:2" x14ac:dyDescent="0.25">
      <c r="A4510" s="20">
        <f t="shared" ca="1" si="140"/>
        <v>0.20752249544447965</v>
      </c>
      <c r="B4510" s="21">
        <f t="shared" ca="1" si="141"/>
        <v>966</v>
      </c>
    </row>
    <row r="4511" spans="1:2" x14ac:dyDescent="0.25">
      <c r="A4511" s="20">
        <f t="shared" ca="1" si="140"/>
        <v>0.66575636403761684</v>
      </c>
      <c r="B4511" s="21">
        <f t="shared" ca="1" si="141"/>
        <v>3086</v>
      </c>
    </row>
    <row r="4512" spans="1:2" x14ac:dyDescent="0.25">
      <c r="A4512" s="20">
        <f t="shared" ca="1" si="140"/>
        <v>0.20434274729985069</v>
      </c>
      <c r="B4512" s="21">
        <f t="shared" ca="1" si="141"/>
        <v>948</v>
      </c>
    </row>
    <row r="4513" spans="1:2" x14ac:dyDescent="0.25">
      <c r="A4513" s="20">
        <f t="shared" ca="1" si="140"/>
        <v>0.42057027651493128</v>
      </c>
      <c r="B4513" s="21">
        <f t="shared" ca="1" si="141"/>
        <v>1966</v>
      </c>
    </row>
    <row r="4514" spans="1:2" x14ac:dyDescent="0.25">
      <c r="A4514" s="20">
        <f t="shared" ca="1" si="140"/>
        <v>0.60273120108708023</v>
      </c>
      <c r="B4514" s="21">
        <f t="shared" ca="1" si="141"/>
        <v>2814</v>
      </c>
    </row>
    <row r="4515" spans="1:2" x14ac:dyDescent="0.25">
      <c r="A4515" s="20">
        <f t="shared" ca="1" si="140"/>
        <v>0.83983607277795791</v>
      </c>
      <c r="B4515" s="21">
        <f t="shared" ca="1" si="141"/>
        <v>3873</v>
      </c>
    </row>
    <row r="4516" spans="1:2" x14ac:dyDescent="0.25">
      <c r="A4516" s="20">
        <f t="shared" ca="1" si="140"/>
        <v>0.65719329122077497</v>
      </c>
      <c r="B4516" s="21">
        <f t="shared" ca="1" si="141"/>
        <v>3050</v>
      </c>
    </row>
    <row r="4517" spans="1:2" x14ac:dyDescent="0.25">
      <c r="A4517" s="20">
        <f t="shared" ca="1" si="140"/>
        <v>0.65141477857406249</v>
      </c>
      <c r="B4517" s="21">
        <f t="shared" ca="1" si="141"/>
        <v>3022</v>
      </c>
    </row>
    <row r="4518" spans="1:2" x14ac:dyDescent="0.25">
      <c r="A4518" s="20">
        <f t="shared" ca="1" si="140"/>
        <v>0.84247159893724766</v>
      </c>
      <c r="B4518" s="21">
        <f t="shared" ca="1" si="141"/>
        <v>3887</v>
      </c>
    </row>
    <row r="4519" spans="1:2" x14ac:dyDescent="0.25">
      <c r="A4519" s="20">
        <f t="shared" ca="1" si="140"/>
        <v>0.72560834648109918</v>
      </c>
      <c r="B4519" s="21">
        <f t="shared" ca="1" si="141"/>
        <v>3356</v>
      </c>
    </row>
    <row r="4520" spans="1:2" x14ac:dyDescent="0.25">
      <c r="A4520" s="20">
        <f t="shared" ca="1" si="140"/>
        <v>0.35983241704178759</v>
      </c>
      <c r="B4520" s="21">
        <f t="shared" ca="1" si="141"/>
        <v>1704</v>
      </c>
    </row>
    <row r="4521" spans="1:2" x14ac:dyDescent="0.25">
      <c r="A4521" s="20">
        <f t="shared" ca="1" si="140"/>
        <v>0.51784615349086416</v>
      </c>
      <c r="B4521" s="21">
        <f t="shared" ca="1" si="141"/>
        <v>2418</v>
      </c>
    </row>
    <row r="4522" spans="1:2" x14ac:dyDescent="0.25">
      <c r="A4522" s="20">
        <f t="shared" ca="1" si="140"/>
        <v>0.20969232299627116</v>
      </c>
      <c r="B4522" s="21">
        <f t="shared" ca="1" si="141"/>
        <v>978</v>
      </c>
    </row>
    <row r="4523" spans="1:2" x14ac:dyDescent="0.25">
      <c r="A4523" s="20">
        <f t="shared" ca="1" si="140"/>
        <v>0.3175916411866343</v>
      </c>
      <c r="B4523" s="21">
        <f t="shared" ca="1" si="141"/>
        <v>1490</v>
      </c>
    </row>
    <row r="4524" spans="1:2" x14ac:dyDescent="0.25">
      <c r="A4524" s="20">
        <f t="shared" ca="1" si="140"/>
        <v>9.4382314298196546E-2</v>
      </c>
      <c r="B4524" s="21">
        <f t="shared" ca="1" si="141"/>
        <v>424</v>
      </c>
    </row>
    <row r="4525" spans="1:2" x14ac:dyDescent="0.25">
      <c r="A4525" s="20">
        <f t="shared" ca="1" si="140"/>
        <v>0.57501479498710639</v>
      </c>
      <c r="B4525" s="21">
        <f t="shared" ca="1" si="141"/>
        <v>2685</v>
      </c>
    </row>
    <row r="4526" spans="1:2" x14ac:dyDescent="0.25">
      <c r="A4526" s="20">
        <f t="shared" ca="1" si="140"/>
        <v>0.61795987923248019</v>
      </c>
      <c r="B4526" s="21">
        <f t="shared" ca="1" si="141"/>
        <v>2871</v>
      </c>
    </row>
    <row r="4527" spans="1:2" x14ac:dyDescent="0.25">
      <c r="A4527" s="20">
        <f t="shared" ca="1" si="140"/>
        <v>0.86009116055855217</v>
      </c>
      <c r="B4527" s="21">
        <f t="shared" ca="1" si="141"/>
        <v>3970</v>
      </c>
    </row>
    <row r="4528" spans="1:2" x14ac:dyDescent="0.25">
      <c r="A4528" s="20">
        <f t="shared" ca="1" si="140"/>
        <v>0.87040732710229096</v>
      </c>
      <c r="B4528" s="21">
        <f t="shared" ca="1" si="141"/>
        <v>4018</v>
      </c>
    </row>
    <row r="4529" spans="1:2" x14ac:dyDescent="0.25">
      <c r="A4529" s="20">
        <f t="shared" ca="1" si="140"/>
        <v>0.3108500744445809</v>
      </c>
      <c r="B4529" s="21">
        <f t="shared" ca="1" si="141"/>
        <v>1455</v>
      </c>
    </row>
    <row r="4530" spans="1:2" x14ac:dyDescent="0.25">
      <c r="A4530" s="20">
        <f t="shared" ca="1" si="140"/>
        <v>0.88440152299145525</v>
      </c>
      <c r="B4530" s="21">
        <f t="shared" ca="1" si="141"/>
        <v>4079</v>
      </c>
    </row>
    <row r="4531" spans="1:2" x14ac:dyDescent="0.25">
      <c r="A4531" s="20">
        <f t="shared" ca="1" si="140"/>
        <v>0.23996164483431826</v>
      </c>
      <c r="B4531" s="21">
        <f t="shared" ca="1" si="141"/>
        <v>1123</v>
      </c>
    </row>
    <row r="4532" spans="1:2" x14ac:dyDescent="0.25">
      <c r="A4532" s="20">
        <f t="shared" ca="1" si="140"/>
        <v>0.95530275796923891</v>
      </c>
      <c r="B4532" s="21">
        <f t="shared" ca="1" si="141"/>
        <v>4420</v>
      </c>
    </row>
    <row r="4533" spans="1:2" x14ac:dyDescent="0.25">
      <c r="A4533" s="20">
        <f t="shared" ca="1" si="140"/>
        <v>0.98267535944925111</v>
      </c>
      <c r="B4533" s="21">
        <f t="shared" ca="1" si="141"/>
        <v>4550</v>
      </c>
    </row>
    <row r="4534" spans="1:2" x14ac:dyDescent="0.25">
      <c r="A4534" s="20">
        <f t="shared" ca="1" si="140"/>
        <v>0.77241404455909912</v>
      </c>
      <c r="B4534" s="21">
        <f t="shared" ca="1" si="141"/>
        <v>3585</v>
      </c>
    </row>
    <row r="4535" spans="1:2" x14ac:dyDescent="0.25">
      <c r="A4535" s="20">
        <f t="shared" ca="1" si="140"/>
        <v>0.90194133173044688</v>
      </c>
      <c r="B4535" s="21">
        <f t="shared" ca="1" si="141"/>
        <v>4163</v>
      </c>
    </row>
    <row r="4536" spans="1:2" x14ac:dyDescent="0.25">
      <c r="A4536" s="20">
        <f t="shared" ca="1" si="140"/>
        <v>0.87441009380708978</v>
      </c>
      <c r="B4536" s="21">
        <f t="shared" ca="1" si="141"/>
        <v>4031</v>
      </c>
    </row>
    <row r="4537" spans="1:2" x14ac:dyDescent="0.25">
      <c r="A4537" s="20">
        <f t="shared" ca="1" si="140"/>
        <v>0.42282239903762253</v>
      </c>
      <c r="B4537" s="21">
        <f t="shared" ca="1" si="141"/>
        <v>1988</v>
      </c>
    </row>
    <row r="4538" spans="1:2" x14ac:dyDescent="0.25">
      <c r="A4538" s="20">
        <f t="shared" ca="1" si="140"/>
        <v>0.44282820087630126</v>
      </c>
      <c r="B4538" s="21">
        <f t="shared" ca="1" si="141"/>
        <v>2070</v>
      </c>
    </row>
    <row r="4539" spans="1:2" x14ac:dyDescent="0.25">
      <c r="A4539" s="20">
        <f t="shared" ca="1" si="140"/>
        <v>0.36444313059056732</v>
      </c>
      <c r="B4539" s="21">
        <f t="shared" ca="1" si="141"/>
        <v>1725</v>
      </c>
    </row>
    <row r="4540" spans="1:2" x14ac:dyDescent="0.25">
      <c r="A4540" s="20">
        <f t="shared" ca="1" si="140"/>
        <v>0.38848696847824027</v>
      </c>
      <c r="B4540" s="21">
        <f t="shared" ca="1" si="141"/>
        <v>1822</v>
      </c>
    </row>
    <row r="4541" spans="1:2" x14ac:dyDescent="0.25">
      <c r="A4541" s="20">
        <f t="shared" ca="1" si="140"/>
        <v>0.31233949228819435</v>
      </c>
      <c r="B4541" s="21">
        <f t="shared" ca="1" si="141"/>
        <v>1462</v>
      </c>
    </row>
    <row r="4542" spans="1:2" x14ac:dyDescent="0.25">
      <c r="A4542" s="20">
        <f t="shared" ca="1" si="140"/>
        <v>0.84563841794104999</v>
      </c>
      <c r="B4542" s="21">
        <f t="shared" ca="1" si="141"/>
        <v>3906</v>
      </c>
    </row>
    <row r="4543" spans="1:2" x14ac:dyDescent="0.25">
      <c r="A4543" s="20">
        <f t="shared" ca="1" si="140"/>
        <v>0.64305304905382377</v>
      </c>
      <c r="B4543" s="21">
        <f t="shared" ca="1" si="141"/>
        <v>2985</v>
      </c>
    </row>
    <row r="4544" spans="1:2" x14ac:dyDescent="0.25">
      <c r="A4544" s="20">
        <f t="shared" ca="1" si="140"/>
        <v>9.3641085114476441E-2</v>
      </c>
      <c r="B4544" s="21">
        <f t="shared" ca="1" si="141"/>
        <v>420</v>
      </c>
    </row>
    <row r="4545" spans="1:2" x14ac:dyDescent="0.25">
      <c r="A4545" s="20">
        <f t="shared" ca="1" si="140"/>
        <v>5.4028151383285428E-2</v>
      </c>
      <c r="B4545" s="21">
        <f t="shared" ca="1" si="141"/>
        <v>231</v>
      </c>
    </row>
    <row r="4546" spans="1:2" x14ac:dyDescent="0.25">
      <c r="A4546" s="20">
        <f t="shared" ca="1" si="140"/>
        <v>0.13533250576050471</v>
      </c>
      <c r="B4546" s="21">
        <f t="shared" ca="1" si="141"/>
        <v>594</v>
      </c>
    </row>
    <row r="4547" spans="1:2" x14ac:dyDescent="0.25">
      <c r="A4547" s="20">
        <f t="shared" ref="A4547:A4610" ca="1" si="142">RAND()</f>
        <v>0.33420577363588266</v>
      </c>
      <c r="B4547" s="21">
        <f t="shared" ref="B4547:B4610" ca="1" si="143">_xlfn.RANK.EQ($A4547,$A:$A,1)</f>
        <v>1567</v>
      </c>
    </row>
    <row r="4548" spans="1:2" x14ac:dyDescent="0.25">
      <c r="A4548" s="20">
        <f t="shared" ca="1" si="142"/>
        <v>0.42248686861542228</v>
      </c>
      <c r="B4548" s="21">
        <f t="shared" ca="1" si="143"/>
        <v>1987</v>
      </c>
    </row>
    <row r="4549" spans="1:2" x14ac:dyDescent="0.25">
      <c r="A4549" s="20">
        <f t="shared" ca="1" si="142"/>
        <v>0.64117617267501836</v>
      </c>
      <c r="B4549" s="21">
        <f t="shared" ca="1" si="143"/>
        <v>2974</v>
      </c>
    </row>
    <row r="4550" spans="1:2" x14ac:dyDescent="0.25">
      <c r="A4550" s="20">
        <f t="shared" ca="1" si="142"/>
        <v>0.32064306145010724</v>
      </c>
      <c r="B4550" s="21">
        <f t="shared" ca="1" si="143"/>
        <v>1506</v>
      </c>
    </row>
    <row r="4551" spans="1:2" x14ac:dyDescent="0.25">
      <c r="A4551" s="20">
        <f t="shared" ca="1" si="142"/>
        <v>0.89270309762811806</v>
      </c>
      <c r="B4551" s="21">
        <f t="shared" ca="1" si="143"/>
        <v>4116</v>
      </c>
    </row>
    <row r="4552" spans="1:2" x14ac:dyDescent="0.25">
      <c r="A4552" s="20">
        <f t="shared" ca="1" si="142"/>
        <v>0.28529193891969118</v>
      </c>
      <c r="B4552" s="21">
        <f t="shared" ca="1" si="143"/>
        <v>1334</v>
      </c>
    </row>
    <row r="4553" spans="1:2" x14ac:dyDescent="0.25">
      <c r="A4553" s="20">
        <f t="shared" ca="1" si="142"/>
        <v>0.93068260133144776</v>
      </c>
      <c r="B4553" s="21">
        <f t="shared" ca="1" si="143"/>
        <v>4298</v>
      </c>
    </row>
    <row r="4554" spans="1:2" x14ac:dyDescent="0.25">
      <c r="A4554" s="20">
        <f t="shared" ca="1" si="142"/>
        <v>0.29748528341342473</v>
      </c>
      <c r="B4554" s="21">
        <f t="shared" ca="1" si="143"/>
        <v>1397</v>
      </c>
    </row>
    <row r="4555" spans="1:2" x14ac:dyDescent="0.25">
      <c r="A4555" s="20">
        <f t="shared" ca="1" si="142"/>
        <v>0.73644293257565818</v>
      </c>
      <c r="B4555" s="21">
        <f t="shared" ca="1" si="143"/>
        <v>3407</v>
      </c>
    </row>
    <row r="4556" spans="1:2" x14ac:dyDescent="0.25">
      <c r="A4556" s="20">
        <f t="shared" ca="1" si="142"/>
        <v>0.1481585480965143</v>
      </c>
      <c r="B4556" s="21">
        <f t="shared" ca="1" si="143"/>
        <v>657</v>
      </c>
    </row>
    <row r="4557" spans="1:2" x14ac:dyDescent="0.25">
      <c r="A4557" s="20">
        <f t="shared" ca="1" si="142"/>
        <v>8.2575774305962968E-2</v>
      </c>
      <c r="B4557" s="21">
        <f t="shared" ca="1" si="143"/>
        <v>371</v>
      </c>
    </row>
    <row r="4558" spans="1:2" x14ac:dyDescent="0.25">
      <c r="A4558" s="20">
        <f t="shared" ca="1" si="142"/>
        <v>0.68867961034347669</v>
      </c>
      <c r="B4558" s="21">
        <f t="shared" ca="1" si="143"/>
        <v>3196</v>
      </c>
    </row>
    <row r="4559" spans="1:2" x14ac:dyDescent="0.25">
      <c r="A4559" s="20">
        <f t="shared" ca="1" si="142"/>
        <v>0.21688084575485023</v>
      </c>
      <c r="B4559" s="21">
        <f t="shared" ca="1" si="143"/>
        <v>1016</v>
      </c>
    </row>
    <row r="4560" spans="1:2" x14ac:dyDescent="0.25">
      <c r="A4560" s="20">
        <f t="shared" ca="1" si="142"/>
        <v>0.32773310316199022</v>
      </c>
      <c r="B4560" s="21">
        <f t="shared" ca="1" si="143"/>
        <v>1536</v>
      </c>
    </row>
    <row r="4561" spans="1:2" x14ac:dyDescent="0.25">
      <c r="A4561" s="20">
        <f t="shared" ca="1" si="142"/>
        <v>0.35900105055498321</v>
      </c>
      <c r="B4561" s="21">
        <f t="shared" ca="1" si="143"/>
        <v>1699</v>
      </c>
    </row>
    <row r="4562" spans="1:2" x14ac:dyDescent="0.25">
      <c r="A4562" s="20">
        <f t="shared" ca="1" si="142"/>
        <v>9.9304794503439764E-3</v>
      </c>
      <c r="B4562" s="21">
        <f t="shared" ca="1" si="143"/>
        <v>38</v>
      </c>
    </row>
    <row r="4563" spans="1:2" x14ac:dyDescent="0.25">
      <c r="A4563" s="20">
        <f t="shared" ca="1" si="142"/>
        <v>0.6459165747047122</v>
      </c>
      <c r="B4563" s="21">
        <f t="shared" ca="1" si="143"/>
        <v>2998</v>
      </c>
    </row>
    <row r="4564" spans="1:2" x14ac:dyDescent="0.25">
      <c r="A4564" s="20">
        <f t="shared" ca="1" si="142"/>
        <v>0.95266373956131489</v>
      </c>
      <c r="B4564" s="21">
        <f t="shared" ca="1" si="143"/>
        <v>4416</v>
      </c>
    </row>
    <row r="4565" spans="1:2" x14ac:dyDescent="0.25">
      <c r="A4565" s="20">
        <f t="shared" ca="1" si="142"/>
        <v>2.5463571800967033E-2</v>
      </c>
      <c r="B4565" s="21">
        <f t="shared" ca="1" si="143"/>
        <v>101</v>
      </c>
    </row>
    <row r="4566" spans="1:2" x14ac:dyDescent="0.25">
      <c r="A4566" s="20">
        <f t="shared" ca="1" si="142"/>
        <v>0.14581714991897932</v>
      </c>
      <c r="B4566" s="21">
        <f t="shared" ca="1" si="143"/>
        <v>642</v>
      </c>
    </row>
    <row r="4567" spans="1:2" x14ac:dyDescent="0.25">
      <c r="A4567" s="20">
        <f t="shared" ca="1" si="142"/>
        <v>0.37077427871597191</v>
      </c>
      <c r="B4567" s="21">
        <f t="shared" ca="1" si="143"/>
        <v>1761</v>
      </c>
    </row>
    <row r="4568" spans="1:2" x14ac:dyDescent="0.25">
      <c r="A4568" s="20">
        <f t="shared" ca="1" si="142"/>
        <v>0.94642994144251302</v>
      </c>
      <c r="B4568" s="21">
        <f t="shared" ca="1" si="143"/>
        <v>4383</v>
      </c>
    </row>
    <row r="4569" spans="1:2" x14ac:dyDescent="0.25">
      <c r="A4569" s="20">
        <f t="shared" ca="1" si="142"/>
        <v>0.95222016465129067</v>
      </c>
      <c r="B4569" s="21">
        <f t="shared" ca="1" si="143"/>
        <v>4415</v>
      </c>
    </row>
    <row r="4570" spans="1:2" x14ac:dyDescent="0.25">
      <c r="A4570" s="20">
        <f t="shared" ca="1" si="142"/>
        <v>0.19310177875575496</v>
      </c>
      <c r="B4570" s="21">
        <f t="shared" ca="1" si="143"/>
        <v>893</v>
      </c>
    </row>
    <row r="4571" spans="1:2" x14ac:dyDescent="0.25">
      <c r="A4571" s="20">
        <f t="shared" ca="1" si="142"/>
        <v>0.17009435320597988</v>
      </c>
      <c r="B4571" s="21">
        <f t="shared" ca="1" si="143"/>
        <v>770</v>
      </c>
    </row>
    <row r="4572" spans="1:2" x14ac:dyDescent="0.25">
      <c r="A4572" s="20">
        <f t="shared" ca="1" si="142"/>
        <v>0.89199866234300174</v>
      </c>
      <c r="B4572" s="21">
        <f t="shared" ca="1" si="143"/>
        <v>4112</v>
      </c>
    </row>
    <row r="4573" spans="1:2" x14ac:dyDescent="0.25">
      <c r="A4573" s="20">
        <f t="shared" ca="1" si="142"/>
        <v>0.9205163245708452</v>
      </c>
      <c r="B4573" s="21">
        <f t="shared" ca="1" si="143"/>
        <v>4247</v>
      </c>
    </row>
    <row r="4574" spans="1:2" x14ac:dyDescent="0.25">
      <c r="A4574" s="20">
        <f t="shared" ca="1" si="142"/>
        <v>0.75994981473290779</v>
      </c>
      <c r="B4574" s="21">
        <f t="shared" ca="1" si="143"/>
        <v>3521</v>
      </c>
    </row>
    <row r="4575" spans="1:2" x14ac:dyDescent="0.25">
      <c r="A4575" s="20">
        <f t="shared" ca="1" si="142"/>
        <v>2.3920439391036163E-2</v>
      </c>
      <c r="B4575" s="21">
        <f t="shared" ca="1" si="143"/>
        <v>93</v>
      </c>
    </row>
    <row r="4576" spans="1:2" x14ac:dyDescent="0.25">
      <c r="A4576" s="20">
        <f t="shared" ca="1" si="142"/>
        <v>0.68371242112884556</v>
      </c>
      <c r="B4576" s="21">
        <f t="shared" ca="1" si="143"/>
        <v>3173</v>
      </c>
    </row>
    <row r="4577" spans="1:2" x14ac:dyDescent="0.25">
      <c r="A4577" s="20">
        <f t="shared" ca="1" si="142"/>
        <v>0.73914855450466654</v>
      </c>
      <c r="B4577" s="21">
        <f t="shared" ca="1" si="143"/>
        <v>3421</v>
      </c>
    </row>
    <row r="4578" spans="1:2" x14ac:dyDescent="0.25">
      <c r="A4578" s="20">
        <f t="shared" ca="1" si="142"/>
        <v>0.12314876484449611</v>
      </c>
      <c r="B4578" s="21">
        <f t="shared" ca="1" si="143"/>
        <v>547</v>
      </c>
    </row>
    <row r="4579" spans="1:2" x14ac:dyDescent="0.25">
      <c r="A4579" s="20">
        <f t="shared" ca="1" si="142"/>
        <v>0.51863098839572885</v>
      </c>
      <c r="B4579" s="21">
        <f t="shared" ca="1" si="143"/>
        <v>2423</v>
      </c>
    </row>
    <row r="4580" spans="1:2" x14ac:dyDescent="0.25">
      <c r="A4580" s="20">
        <f t="shared" ca="1" si="142"/>
        <v>0.41239951370111771</v>
      </c>
      <c r="B4580" s="21">
        <f t="shared" ca="1" si="143"/>
        <v>1934</v>
      </c>
    </row>
    <row r="4581" spans="1:2" x14ac:dyDescent="0.25">
      <c r="A4581" s="20">
        <f t="shared" ca="1" si="142"/>
        <v>0.51882671662995461</v>
      </c>
      <c r="B4581" s="21">
        <f t="shared" ca="1" si="143"/>
        <v>2426</v>
      </c>
    </row>
    <row r="4582" spans="1:2" x14ac:dyDescent="0.25">
      <c r="A4582" s="20">
        <f t="shared" ca="1" si="142"/>
        <v>3.6284027712926825E-2</v>
      </c>
      <c r="B4582" s="21">
        <f t="shared" ca="1" si="143"/>
        <v>138</v>
      </c>
    </row>
    <row r="4583" spans="1:2" x14ac:dyDescent="0.25">
      <c r="A4583" s="20">
        <f t="shared" ca="1" si="142"/>
        <v>0.84850854797065633</v>
      </c>
      <c r="B4583" s="21">
        <f t="shared" ca="1" si="143"/>
        <v>3919</v>
      </c>
    </row>
    <row r="4584" spans="1:2" x14ac:dyDescent="0.25">
      <c r="A4584" s="20">
        <f t="shared" ca="1" si="142"/>
        <v>0.68114462554063793</v>
      </c>
      <c r="B4584" s="21">
        <f t="shared" ca="1" si="143"/>
        <v>3162</v>
      </c>
    </row>
    <row r="4585" spans="1:2" x14ac:dyDescent="0.25">
      <c r="A4585" s="20">
        <f t="shared" ca="1" si="142"/>
        <v>0.59511233977811073</v>
      </c>
      <c r="B4585" s="21">
        <f t="shared" ca="1" si="143"/>
        <v>2783</v>
      </c>
    </row>
    <row r="4586" spans="1:2" x14ac:dyDescent="0.25">
      <c r="A4586" s="20">
        <f t="shared" ca="1" si="142"/>
        <v>0.89261602826005293</v>
      </c>
      <c r="B4586" s="21">
        <f t="shared" ca="1" si="143"/>
        <v>4115</v>
      </c>
    </row>
    <row r="4587" spans="1:2" x14ac:dyDescent="0.25">
      <c r="A4587" s="20">
        <f t="shared" ca="1" si="142"/>
        <v>0.75010978878019852</v>
      </c>
      <c r="B4587" s="21">
        <f t="shared" ca="1" si="143"/>
        <v>3474</v>
      </c>
    </row>
    <row r="4588" spans="1:2" x14ac:dyDescent="0.25">
      <c r="A4588" s="20">
        <f t="shared" ca="1" si="142"/>
        <v>0.76095819346535776</v>
      </c>
      <c r="B4588" s="21">
        <f t="shared" ca="1" si="143"/>
        <v>3528</v>
      </c>
    </row>
    <row r="4589" spans="1:2" x14ac:dyDescent="0.25">
      <c r="A4589" s="20">
        <f t="shared" ca="1" si="142"/>
        <v>1.8792654966939271E-3</v>
      </c>
      <c r="B4589" s="21">
        <f t="shared" ca="1" si="143"/>
        <v>9</v>
      </c>
    </row>
    <row r="4590" spans="1:2" x14ac:dyDescent="0.25">
      <c r="A4590" s="20">
        <f t="shared" ca="1" si="142"/>
        <v>0.6590635390192644</v>
      </c>
      <c r="B4590" s="21">
        <f t="shared" ca="1" si="143"/>
        <v>3059</v>
      </c>
    </row>
    <row r="4591" spans="1:2" x14ac:dyDescent="0.25">
      <c r="A4591" s="20">
        <f t="shared" ca="1" si="142"/>
        <v>0.56139360141686301</v>
      </c>
      <c r="B4591" s="21">
        <f t="shared" ca="1" si="143"/>
        <v>2628</v>
      </c>
    </row>
    <row r="4592" spans="1:2" x14ac:dyDescent="0.25">
      <c r="A4592" s="20">
        <f t="shared" ca="1" si="142"/>
        <v>0.23453213118924854</v>
      </c>
      <c r="B4592" s="21">
        <f t="shared" ca="1" si="143"/>
        <v>1100</v>
      </c>
    </row>
    <row r="4593" spans="1:2" x14ac:dyDescent="0.25">
      <c r="A4593" s="20">
        <f t="shared" ca="1" si="142"/>
        <v>0.17705377703704694</v>
      </c>
      <c r="B4593" s="21">
        <f t="shared" ca="1" si="143"/>
        <v>808</v>
      </c>
    </row>
    <row r="4594" spans="1:2" x14ac:dyDescent="0.25">
      <c r="A4594" s="20">
        <f t="shared" ca="1" si="142"/>
        <v>0.93170591744832298</v>
      </c>
      <c r="B4594" s="21">
        <f t="shared" ca="1" si="143"/>
        <v>4305</v>
      </c>
    </row>
    <row r="4595" spans="1:2" x14ac:dyDescent="0.25">
      <c r="A4595" s="20">
        <f t="shared" ca="1" si="142"/>
        <v>0.69714207913553039</v>
      </c>
      <c r="B4595" s="21">
        <f t="shared" ca="1" si="143"/>
        <v>3227</v>
      </c>
    </row>
    <row r="4596" spans="1:2" x14ac:dyDescent="0.25">
      <c r="A4596" s="20">
        <f t="shared" ca="1" si="142"/>
        <v>0.80487388599860366</v>
      </c>
      <c r="B4596" s="21">
        <f t="shared" ca="1" si="143"/>
        <v>3725</v>
      </c>
    </row>
    <row r="4597" spans="1:2" x14ac:dyDescent="0.25">
      <c r="A4597" s="20">
        <f t="shared" ca="1" si="142"/>
        <v>0.57708939454578057</v>
      </c>
      <c r="B4597" s="21">
        <f t="shared" ca="1" si="143"/>
        <v>2695</v>
      </c>
    </row>
    <row r="4598" spans="1:2" x14ac:dyDescent="0.25">
      <c r="A4598" s="20">
        <f t="shared" ca="1" si="142"/>
        <v>0.95964650433036425</v>
      </c>
      <c r="B4598" s="21">
        <f t="shared" ca="1" si="143"/>
        <v>4443</v>
      </c>
    </row>
    <row r="4599" spans="1:2" x14ac:dyDescent="0.25">
      <c r="A4599" s="20">
        <f t="shared" ca="1" si="142"/>
        <v>0.81261057663292113</v>
      </c>
      <c r="B4599" s="21">
        <f t="shared" ca="1" si="143"/>
        <v>3757</v>
      </c>
    </row>
    <row r="4600" spans="1:2" x14ac:dyDescent="0.25">
      <c r="A4600" s="20">
        <f t="shared" ca="1" si="142"/>
        <v>0.31449293346228513</v>
      </c>
      <c r="B4600" s="21">
        <f t="shared" ca="1" si="143"/>
        <v>1473</v>
      </c>
    </row>
    <row r="4601" spans="1:2" x14ac:dyDescent="0.25">
      <c r="A4601" s="20">
        <f t="shared" ca="1" si="142"/>
        <v>0.90191056016926419</v>
      </c>
      <c r="B4601" s="21">
        <f t="shared" ca="1" si="143"/>
        <v>4162</v>
      </c>
    </row>
    <row r="4602" spans="1:2" x14ac:dyDescent="0.25">
      <c r="A4602" s="20">
        <f t="shared" ca="1" si="142"/>
        <v>0.43008089960135443</v>
      </c>
      <c r="B4602" s="21">
        <f t="shared" ca="1" si="143"/>
        <v>2019</v>
      </c>
    </row>
    <row r="4603" spans="1:2" x14ac:dyDescent="0.25">
      <c r="A4603" s="20">
        <f t="shared" ca="1" si="142"/>
        <v>0.36763967277130882</v>
      </c>
      <c r="B4603" s="21">
        <f t="shared" ca="1" si="143"/>
        <v>1745</v>
      </c>
    </row>
    <row r="4604" spans="1:2" x14ac:dyDescent="0.25">
      <c r="A4604" s="20">
        <f t="shared" ca="1" si="142"/>
        <v>0.93294010732608967</v>
      </c>
      <c r="B4604" s="21">
        <f t="shared" ca="1" si="143"/>
        <v>4314</v>
      </c>
    </row>
    <row r="4605" spans="1:2" x14ac:dyDescent="0.25">
      <c r="A4605" s="20">
        <f t="shared" ca="1" si="142"/>
        <v>0.88404002476961197</v>
      </c>
      <c r="B4605" s="21">
        <f t="shared" ca="1" si="143"/>
        <v>4076</v>
      </c>
    </row>
    <row r="4606" spans="1:2" x14ac:dyDescent="0.25">
      <c r="A4606" s="20">
        <f t="shared" ca="1" si="142"/>
        <v>0.99782586973970577</v>
      </c>
      <c r="B4606" s="21">
        <f t="shared" ca="1" si="143"/>
        <v>4607</v>
      </c>
    </row>
    <row r="4607" spans="1:2" x14ac:dyDescent="0.25">
      <c r="A4607" s="20">
        <f t="shared" ca="1" si="142"/>
        <v>0.5419770342867688</v>
      </c>
      <c r="B4607" s="21">
        <f t="shared" ca="1" si="143"/>
        <v>2531</v>
      </c>
    </row>
    <row r="4608" spans="1:2" x14ac:dyDescent="0.25">
      <c r="A4608" s="20">
        <f t="shared" ca="1" si="142"/>
        <v>7.1643495335075857E-2</v>
      </c>
      <c r="B4608" s="21">
        <f t="shared" ca="1" si="143"/>
        <v>319</v>
      </c>
    </row>
    <row r="4609" spans="1:2" x14ac:dyDescent="0.25">
      <c r="A4609" s="20">
        <f t="shared" ca="1" si="142"/>
        <v>0.25103088714096766</v>
      </c>
      <c r="B4609" s="21">
        <f t="shared" ca="1" si="143"/>
        <v>1173</v>
      </c>
    </row>
    <row r="4610" spans="1:2" x14ac:dyDescent="0.25">
      <c r="A4610" s="20">
        <f t="shared" ca="1" si="142"/>
        <v>0.68069533928440673</v>
      </c>
      <c r="B4610" s="21">
        <f t="shared" ca="1" si="143"/>
        <v>3156</v>
      </c>
    </row>
    <row r="4611" spans="1:2" x14ac:dyDescent="0.25">
      <c r="A4611" s="20">
        <f t="shared" ref="A4611:A4618" ca="1" si="144">RAND()</f>
        <v>0.50907578393769881</v>
      </c>
      <c r="B4611" s="21">
        <f t="shared" ref="B4611:B4618" ca="1" si="145">_xlfn.RANK.EQ($A4611,$A:$A,1)</f>
        <v>2372</v>
      </c>
    </row>
    <row r="4612" spans="1:2" x14ac:dyDescent="0.25">
      <c r="A4612" s="20">
        <f t="shared" ca="1" si="144"/>
        <v>0.11368266927462489</v>
      </c>
      <c r="B4612" s="21">
        <f t="shared" ca="1" si="145"/>
        <v>500</v>
      </c>
    </row>
    <row r="4613" spans="1:2" x14ac:dyDescent="0.25">
      <c r="A4613" s="20">
        <f t="shared" ca="1" si="144"/>
        <v>0.25732709228444361</v>
      </c>
      <c r="B4613" s="21">
        <f t="shared" ca="1" si="145"/>
        <v>1201</v>
      </c>
    </row>
    <row r="4614" spans="1:2" x14ac:dyDescent="0.25">
      <c r="A4614" s="20">
        <f t="shared" ca="1" si="144"/>
        <v>0.4868609312145028</v>
      </c>
      <c r="B4614" s="21">
        <f t="shared" ca="1" si="145"/>
        <v>2270</v>
      </c>
    </row>
    <row r="4615" spans="1:2" x14ac:dyDescent="0.25">
      <c r="A4615" s="20">
        <f t="shared" ca="1" si="144"/>
        <v>0.30439349522196779</v>
      </c>
      <c r="B4615" s="21">
        <f t="shared" ca="1" si="145"/>
        <v>1426</v>
      </c>
    </row>
    <row r="4616" spans="1:2" x14ac:dyDescent="0.25">
      <c r="A4616" s="20">
        <f t="shared" ca="1" si="144"/>
        <v>0.67838906664900356</v>
      </c>
      <c r="B4616" s="21">
        <f t="shared" ca="1" si="145"/>
        <v>3143</v>
      </c>
    </row>
    <row r="4617" spans="1:2" x14ac:dyDescent="0.25">
      <c r="A4617" s="20">
        <f t="shared" ca="1" si="144"/>
        <v>0.92018342737998071</v>
      </c>
      <c r="B4617" s="21">
        <f t="shared" ca="1" si="145"/>
        <v>4243</v>
      </c>
    </row>
    <row r="4618" spans="1:2" ht="15.75" thickBot="1" x14ac:dyDescent="0.3">
      <c r="A4618" s="22">
        <f t="shared" ca="1" si="144"/>
        <v>0.67483640914300247</v>
      </c>
      <c r="B4618" s="23">
        <f t="shared" ca="1" si="145"/>
        <v>3122</v>
      </c>
    </row>
    <row r="4619" spans="1:2" ht="15.75" thickTop="1" x14ac:dyDescent="0.25"/>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F349D-C8BF-45DB-B620-5A5F0AFDA2B7}">
  <dimension ref="A1:M1163"/>
  <sheetViews>
    <sheetView zoomScaleNormal="100" workbookViewId="0">
      <pane xSplit="2" ySplit="1" topLeftCell="C2" activePane="bottomRight" state="frozen"/>
      <selection pane="topRight" activeCell="C1" sqref="C1"/>
      <selection pane="bottomLeft" activeCell="A2" sqref="A2"/>
      <selection pane="bottomRight"/>
    </sheetView>
  </sheetViews>
  <sheetFormatPr baseColWidth="10" defaultColWidth="11.42578125" defaultRowHeight="15" x14ac:dyDescent="0.25"/>
  <cols>
    <col min="1" max="1" width="9.42578125" bestFit="1" customWidth="1"/>
    <col min="2" max="2" width="47.85546875" bestFit="1" customWidth="1"/>
    <col min="3" max="3" width="37.85546875" customWidth="1"/>
    <col min="4" max="4" width="61.140625" bestFit="1" customWidth="1"/>
    <col min="5" max="5" width="29.140625" bestFit="1" customWidth="1"/>
    <col min="6" max="6" width="18.5703125" customWidth="1"/>
    <col min="7" max="7" width="19.28515625" customWidth="1"/>
    <col min="8" max="8" width="18.7109375" customWidth="1"/>
    <col min="9" max="9" width="20" customWidth="1"/>
  </cols>
  <sheetData>
    <row r="1" spans="1:13" ht="67.5" thickBot="1" x14ac:dyDescent="0.3">
      <c r="A1" s="26" t="s">
        <v>19208</v>
      </c>
      <c r="B1" s="31" t="s">
        <v>5</v>
      </c>
      <c r="C1" s="27" t="s">
        <v>19209</v>
      </c>
      <c r="D1" s="27" t="s">
        <v>19210</v>
      </c>
      <c r="E1" s="27" t="s">
        <v>18</v>
      </c>
      <c r="F1" s="27" t="s">
        <v>19211</v>
      </c>
      <c r="G1" s="27" t="s">
        <v>19212</v>
      </c>
      <c r="H1" s="28" t="s">
        <v>19213</v>
      </c>
    </row>
    <row r="2" spans="1:13" x14ac:dyDescent="0.25">
      <c r="A2" s="32">
        <v>46005</v>
      </c>
      <c r="B2" t="s">
        <v>19214</v>
      </c>
      <c r="C2" s="40" t="s">
        <v>19215</v>
      </c>
      <c r="D2" s="40" t="s">
        <v>19216</v>
      </c>
      <c r="E2" s="40" t="s">
        <v>19217</v>
      </c>
      <c r="F2" s="41">
        <v>344</v>
      </c>
      <c r="G2" s="42">
        <v>27</v>
      </c>
      <c r="H2" s="42">
        <v>12.74074074074074</v>
      </c>
    </row>
    <row r="3" spans="1:13" x14ac:dyDescent="0.25">
      <c r="A3" s="29">
        <v>48028</v>
      </c>
      <c r="B3" t="s">
        <v>19218</v>
      </c>
      <c r="C3" s="35" t="s">
        <v>14</v>
      </c>
      <c r="D3" s="35" t="s">
        <v>19219</v>
      </c>
      <c r="E3" s="35" t="s">
        <v>19217</v>
      </c>
      <c r="F3" s="43">
        <v>7733</v>
      </c>
      <c r="G3" s="36">
        <v>91.2</v>
      </c>
      <c r="H3" s="36">
        <v>84.791666666666657</v>
      </c>
    </row>
    <row r="4" spans="1:13" x14ac:dyDescent="0.25">
      <c r="A4" s="29">
        <v>31056</v>
      </c>
      <c r="B4" t="s">
        <v>19220</v>
      </c>
      <c r="C4" s="35" t="s">
        <v>19221</v>
      </c>
      <c r="D4" s="35" t="s">
        <v>19222</v>
      </c>
      <c r="E4" s="35" t="s">
        <v>19223</v>
      </c>
      <c r="F4" s="43">
        <v>2768</v>
      </c>
      <c r="G4" s="36">
        <v>305.8</v>
      </c>
      <c r="H4" s="36">
        <v>9.0516677567037274</v>
      </c>
    </row>
    <row r="5" spans="1:13" x14ac:dyDescent="0.25">
      <c r="A5" s="29">
        <v>98030</v>
      </c>
      <c r="B5" t="s">
        <v>19224</v>
      </c>
      <c r="C5" s="35" t="s">
        <v>19221</v>
      </c>
      <c r="D5" s="35" t="s">
        <v>19225</v>
      </c>
      <c r="E5" s="35" t="s">
        <v>19226</v>
      </c>
      <c r="F5" s="43">
        <v>238</v>
      </c>
      <c r="G5" s="36">
        <v>672.1</v>
      </c>
      <c r="H5" s="36">
        <v>0.35411397113524773</v>
      </c>
    </row>
    <row r="6" spans="1:13" x14ac:dyDescent="0.25">
      <c r="A6" s="29">
        <v>92030</v>
      </c>
      <c r="B6" t="s">
        <v>19227</v>
      </c>
      <c r="C6" s="35" t="s">
        <v>19221</v>
      </c>
      <c r="D6" s="35" t="s">
        <v>19228</v>
      </c>
      <c r="E6" s="35" t="s">
        <v>19229</v>
      </c>
      <c r="F6" s="35"/>
      <c r="G6" s="36"/>
      <c r="H6" s="36"/>
    </row>
    <row r="7" spans="1:13" x14ac:dyDescent="0.25">
      <c r="A7" s="29">
        <v>7025</v>
      </c>
      <c r="B7" t="s">
        <v>19230</v>
      </c>
      <c r="C7" s="35" t="s">
        <v>19221</v>
      </c>
      <c r="D7" s="35" t="s">
        <v>19231</v>
      </c>
      <c r="E7" s="35" t="s">
        <v>19232</v>
      </c>
      <c r="F7" s="35"/>
      <c r="G7" s="36"/>
      <c r="H7" s="36"/>
    </row>
    <row r="8" spans="1:13" x14ac:dyDescent="0.25">
      <c r="A8" s="29">
        <v>84050</v>
      </c>
      <c r="B8" t="s">
        <v>19233</v>
      </c>
      <c r="C8" s="35" t="s">
        <v>19221</v>
      </c>
      <c r="D8" s="35" t="s">
        <v>19234</v>
      </c>
      <c r="E8" s="35" t="s">
        <v>19235</v>
      </c>
      <c r="F8" s="35"/>
      <c r="G8" s="36"/>
      <c r="H8" s="36"/>
    </row>
    <row r="9" spans="1:13" x14ac:dyDescent="0.25">
      <c r="A9" s="29">
        <v>93042</v>
      </c>
      <c r="B9" t="s">
        <v>19236</v>
      </c>
      <c r="C9" s="35" t="s">
        <v>14</v>
      </c>
      <c r="D9" s="35" t="s">
        <v>19237</v>
      </c>
      <c r="E9" s="35" t="s">
        <v>19229</v>
      </c>
      <c r="F9" s="35"/>
      <c r="G9" s="36"/>
      <c r="H9" s="36"/>
    </row>
    <row r="10" spans="1:13" x14ac:dyDescent="0.25">
      <c r="A10" s="29">
        <v>78070</v>
      </c>
      <c r="B10" t="s">
        <v>19196</v>
      </c>
      <c r="C10" s="35" t="s">
        <v>19238</v>
      </c>
      <c r="D10" s="35" t="s">
        <v>19239</v>
      </c>
      <c r="E10" s="35" t="s">
        <v>19240</v>
      </c>
      <c r="F10" s="35"/>
      <c r="G10" s="36"/>
      <c r="H10" s="36"/>
      <c r="M10" t="s">
        <v>19241</v>
      </c>
    </row>
    <row r="11" spans="1:13" x14ac:dyDescent="0.25">
      <c r="A11" s="29">
        <v>88055</v>
      </c>
      <c r="B11" t="s">
        <v>19187</v>
      </c>
      <c r="C11" s="35" t="s">
        <v>14</v>
      </c>
      <c r="D11" s="35" t="s">
        <v>19242</v>
      </c>
      <c r="E11" s="35" t="s">
        <v>19243</v>
      </c>
      <c r="F11" s="35"/>
      <c r="G11" s="36"/>
      <c r="H11" s="36"/>
    </row>
    <row r="12" spans="1:13" x14ac:dyDescent="0.25">
      <c r="A12" s="29">
        <v>7047</v>
      </c>
      <c r="B12" t="s">
        <v>19244</v>
      </c>
      <c r="C12" s="35" t="s">
        <v>14</v>
      </c>
      <c r="D12" s="35" t="s">
        <v>19231</v>
      </c>
      <c r="E12" s="35" t="s">
        <v>19232</v>
      </c>
      <c r="F12" s="35"/>
      <c r="G12" s="36"/>
      <c r="H12" s="36"/>
    </row>
    <row r="13" spans="1:13" x14ac:dyDescent="0.25">
      <c r="A13" s="29">
        <v>55008</v>
      </c>
      <c r="B13" t="s">
        <v>19245</v>
      </c>
      <c r="C13" s="35" t="s">
        <v>19221</v>
      </c>
      <c r="D13" s="35" t="s">
        <v>19246</v>
      </c>
      <c r="E13" s="35" t="s">
        <v>19217</v>
      </c>
      <c r="F13" s="35"/>
      <c r="G13" s="36"/>
      <c r="H13" s="36"/>
    </row>
    <row r="14" spans="1:13" x14ac:dyDescent="0.25">
      <c r="A14" s="29">
        <v>19037</v>
      </c>
      <c r="B14" t="s">
        <v>19247</v>
      </c>
      <c r="C14" s="35" t="s">
        <v>19221</v>
      </c>
      <c r="D14" s="35" t="s">
        <v>19248</v>
      </c>
      <c r="E14" s="35" t="s">
        <v>19223</v>
      </c>
      <c r="F14" s="35"/>
      <c r="G14" s="36"/>
      <c r="H14" s="36"/>
    </row>
    <row r="15" spans="1:13" x14ac:dyDescent="0.25">
      <c r="A15" s="29">
        <v>78060</v>
      </c>
      <c r="B15" t="s">
        <v>19249</v>
      </c>
      <c r="C15" s="35" t="s">
        <v>19238</v>
      </c>
      <c r="D15" s="35" t="s">
        <v>19239</v>
      </c>
      <c r="E15" s="35" t="s">
        <v>19240</v>
      </c>
      <c r="F15" s="35"/>
      <c r="G15" s="36"/>
      <c r="H15" s="36"/>
    </row>
    <row r="16" spans="1:13" x14ac:dyDescent="0.25">
      <c r="A16" s="29">
        <v>41055</v>
      </c>
      <c r="B16" t="s">
        <v>19250</v>
      </c>
      <c r="C16" s="35" t="s">
        <v>19221</v>
      </c>
      <c r="D16" s="35" t="s">
        <v>19251</v>
      </c>
      <c r="E16" s="35" t="s">
        <v>19252</v>
      </c>
      <c r="F16" s="35"/>
      <c r="G16" s="36"/>
      <c r="H16" s="36"/>
    </row>
    <row r="17" spans="1:8" x14ac:dyDescent="0.25">
      <c r="A17" s="29">
        <v>50013</v>
      </c>
      <c r="B17" t="s">
        <v>19253</v>
      </c>
      <c r="C17" s="35" t="s">
        <v>19221</v>
      </c>
      <c r="D17" s="35" t="s">
        <v>19254</v>
      </c>
      <c r="E17" s="35" t="s">
        <v>19255</v>
      </c>
      <c r="F17" s="35"/>
      <c r="G17" s="36"/>
      <c r="H17" s="36"/>
    </row>
    <row r="18" spans="1:8" x14ac:dyDescent="0.25">
      <c r="A18" s="29">
        <v>13045</v>
      </c>
      <c r="B18" t="s">
        <v>2350</v>
      </c>
      <c r="C18" s="35" t="s">
        <v>19221</v>
      </c>
      <c r="D18" s="35" t="s">
        <v>19256</v>
      </c>
      <c r="E18" s="35" t="s">
        <v>19232</v>
      </c>
      <c r="F18" s="35"/>
      <c r="G18" s="36"/>
      <c r="H18" s="36"/>
    </row>
    <row r="19" spans="1:8" x14ac:dyDescent="0.25">
      <c r="A19" s="29">
        <v>30055</v>
      </c>
      <c r="B19" t="s">
        <v>2391</v>
      </c>
      <c r="C19" s="35" t="s">
        <v>19221</v>
      </c>
      <c r="D19" s="35" t="s">
        <v>19257</v>
      </c>
      <c r="E19" s="35" t="s">
        <v>19252</v>
      </c>
      <c r="F19" s="35"/>
      <c r="G19" s="36"/>
      <c r="H19" s="36"/>
    </row>
    <row r="20" spans="1:8" x14ac:dyDescent="0.25">
      <c r="A20" s="29">
        <v>83090</v>
      </c>
      <c r="B20" t="s">
        <v>19258</v>
      </c>
      <c r="C20" s="35" t="s">
        <v>19238</v>
      </c>
      <c r="D20" s="35" t="s">
        <v>19259</v>
      </c>
      <c r="E20" s="35" t="s">
        <v>19235</v>
      </c>
      <c r="F20" s="35"/>
      <c r="G20" s="36"/>
      <c r="H20" s="36"/>
    </row>
    <row r="21" spans="1:8" x14ac:dyDescent="0.25">
      <c r="A21" s="29">
        <v>45085</v>
      </c>
      <c r="B21" t="s">
        <v>19260</v>
      </c>
      <c r="C21" s="35" t="s">
        <v>19221</v>
      </c>
      <c r="D21" s="35" t="s">
        <v>19261</v>
      </c>
      <c r="E21" s="35" t="s">
        <v>19252</v>
      </c>
      <c r="F21" s="35"/>
      <c r="G21" s="36"/>
      <c r="H21" s="36"/>
    </row>
    <row r="22" spans="1:8" x14ac:dyDescent="0.25">
      <c r="A22" s="29">
        <v>87050</v>
      </c>
      <c r="B22" t="s">
        <v>19262</v>
      </c>
      <c r="C22" s="35" t="s">
        <v>19221</v>
      </c>
      <c r="D22" s="35" t="s">
        <v>19263</v>
      </c>
      <c r="E22" s="35" t="s">
        <v>19243</v>
      </c>
      <c r="F22" s="35"/>
      <c r="G22" s="36"/>
      <c r="H22" s="36"/>
    </row>
    <row r="23" spans="1:8" x14ac:dyDescent="0.25">
      <c r="A23" s="29">
        <v>87100</v>
      </c>
      <c r="B23" t="s">
        <v>19264</v>
      </c>
      <c r="C23" s="35" t="s">
        <v>19221</v>
      </c>
      <c r="D23" s="35" t="s">
        <v>19263</v>
      </c>
      <c r="E23" s="35" t="s">
        <v>19243</v>
      </c>
      <c r="F23" s="35"/>
      <c r="G23" s="36"/>
      <c r="H23" s="36"/>
    </row>
    <row r="24" spans="1:8" x14ac:dyDescent="0.25">
      <c r="A24" s="29">
        <v>45035</v>
      </c>
      <c r="B24" t="s">
        <v>19265</v>
      </c>
      <c r="C24" s="35" t="s">
        <v>19215</v>
      </c>
      <c r="D24" s="35" t="s">
        <v>19261</v>
      </c>
      <c r="E24" s="35" t="s">
        <v>19252</v>
      </c>
      <c r="F24" s="35"/>
      <c r="G24" s="36"/>
      <c r="H24" s="36"/>
    </row>
    <row r="25" spans="1:8" x14ac:dyDescent="0.25">
      <c r="A25" s="29">
        <v>96020</v>
      </c>
      <c r="B25" t="s">
        <v>19266</v>
      </c>
      <c r="C25" s="35" t="s">
        <v>14</v>
      </c>
      <c r="D25" s="35" t="s">
        <v>19267</v>
      </c>
      <c r="E25" s="35" t="s">
        <v>19226</v>
      </c>
      <c r="F25" s="35"/>
      <c r="G25" s="36"/>
      <c r="H25" s="36"/>
    </row>
    <row r="26" spans="1:8" x14ac:dyDescent="0.25">
      <c r="A26" s="29">
        <v>8080</v>
      </c>
      <c r="B26" t="s">
        <v>19268</v>
      </c>
      <c r="C26" s="35" t="s">
        <v>19221</v>
      </c>
      <c r="D26" s="35" t="s">
        <v>19269</v>
      </c>
      <c r="E26" s="35" t="s">
        <v>19232</v>
      </c>
      <c r="F26" s="35"/>
      <c r="G26" s="36"/>
      <c r="H26" s="36"/>
    </row>
    <row r="27" spans="1:8" x14ac:dyDescent="0.25">
      <c r="A27" s="29">
        <v>50100</v>
      </c>
      <c r="B27" t="s">
        <v>19270</v>
      </c>
      <c r="C27" s="35" t="s">
        <v>19221</v>
      </c>
      <c r="D27" s="35" t="s">
        <v>19254</v>
      </c>
      <c r="E27" s="35" t="s">
        <v>19255</v>
      </c>
      <c r="F27" s="35"/>
      <c r="G27" s="36"/>
      <c r="H27" s="36"/>
    </row>
    <row r="28" spans="1:8" x14ac:dyDescent="0.25">
      <c r="A28" s="29">
        <v>66112</v>
      </c>
      <c r="B28" t="s">
        <v>19271</v>
      </c>
      <c r="C28" s="35" t="s">
        <v>14</v>
      </c>
      <c r="D28" s="35" t="s">
        <v>19272</v>
      </c>
      <c r="E28" s="35" t="s">
        <v>14481</v>
      </c>
      <c r="F28" s="35"/>
      <c r="G28" s="36"/>
      <c r="H28" s="36"/>
    </row>
    <row r="29" spans="1:8" x14ac:dyDescent="0.25">
      <c r="A29" s="29">
        <v>98035</v>
      </c>
      <c r="B29" t="s">
        <v>19273</v>
      </c>
      <c r="C29" s="35" t="s">
        <v>19221</v>
      </c>
      <c r="D29" s="35" t="s">
        <v>19225</v>
      </c>
      <c r="E29" s="35" t="s">
        <v>19226</v>
      </c>
      <c r="F29" s="35"/>
      <c r="G29" s="36"/>
      <c r="H29" s="36"/>
    </row>
    <row r="30" spans="1:8" x14ac:dyDescent="0.25">
      <c r="A30" s="29">
        <v>15065</v>
      </c>
      <c r="B30" t="s">
        <v>19274</v>
      </c>
      <c r="C30" s="35" t="s">
        <v>19221</v>
      </c>
      <c r="D30" s="35" t="s">
        <v>19275</v>
      </c>
      <c r="E30" s="35" t="s">
        <v>19276</v>
      </c>
      <c r="F30" s="35"/>
      <c r="G30" s="36"/>
      <c r="H30" s="36"/>
    </row>
    <row r="31" spans="1:8" x14ac:dyDescent="0.25">
      <c r="A31" s="29">
        <v>16013</v>
      </c>
      <c r="B31" t="s">
        <v>19277</v>
      </c>
      <c r="C31" s="35" t="s">
        <v>14</v>
      </c>
      <c r="D31" s="35" t="s">
        <v>19278</v>
      </c>
      <c r="E31" s="35" t="s">
        <v>19276</v>
      </c>
      <c r="F31" s="35"/>
      <c r="G31" s="36"/>
      <c r="H31" s="36"/>
    </row>
    <row r="32" spans="1:8" x14ac:dyDescent="0.25">
      <c r="A32" s="29">
        <v>96005</v>
      </c>
      <c r="B32" t="s">
        <v>19279</v>
      </c>
      <c r="C32" s="35" t="s">
        <v>19215</v>
      </c>
      <c r="D32" s="35" t="s">
        <v>19267</v>
      </c>
      <c r="E32" s="35" t="s">
        <v>19226</v>
      </c>
      <c r="F32" s="35"/>
      <c r="G32" s="36"/>
      <c r="H32" s="36"/>
    </row>
    <row r="33" spans="1:8" x14ac:dyDescent="0.25">
      <c r="A33" s="29">
        <v>78050</v>
      </c>
      <c r="B33" t="s">
        <v>19280</v>
      </c>
      <c r="C33" s="35" t="s">
        <v>14</v>
      </c>
      <c r="D33" s="35" t="s">
        <v>19239</v>
      </c>
      <c r="E33" s="35" t="s">
        <v>19240</v>
      </c>
      <c r="F33" s="35"/>
      <c r="G33" s="36"/>
      <c r="H33" s="36"/>
    </row>
    <row r="34" spans="1:8" x14ac:dyDescent="0.25">
      <c r="A34" s="29">
        <v>44045</v>
      </c>
      <c r="B34" t="s">
        <v>19281</v>
      </c>
      <c r="C34" s="35" t="s">
        <v>19221</v>
      </c>
      <c r="D34" s="35" t="s">
        <v>19282</v>
      </c>
      <c r="E34" s="35" t="s">
        <v>19252</v>
      </c>
      <c r="F34" s="35"/>
      <c r="G34" s="36"/>
      <c r="H34" s="36"/>
    </row>
    <row r="35" spans="1:8" x14ac:dyDescent="0.25">
      <c r="A35" s="29">
        <v>88022</v>
      </c>
      <c r="B35" t="s">
        <v>19283</v>
      </c>
      <c r="C35" s="35" t="s">
        <v>19221</v>
      </c>
      <c r="D35" s="35" t="s">
        <v>19242</v>
      </c>
      <c r="E35" s="35" t="s">
        <v>19243</v>
      </c>
      <c r="F35" s="35"/>
      <c r="G35" s="36"/>
      <c r="H35" s="36"/>
    </row>
    <row r="36" spans="1:8" x14ac:dyDescent="0.25">
      <c r="A36" s="29">
        <v>37210</v>
      </c>
      <c r="B36" t="s">
        <v>19284</v>
      </c>
      <c r="C36" s="35" t="s">
        <v>19221</v>
      </c>
      <c r="D36" s="35" t="s">
        <v>19285</v>
      </c>
      <c r="E36" s="35" t="s">
        <v>19286</v>
      </c>
      <c r="F36" s="35"/>
      <c r="G36" s="36"/>
      <c r="H36" s="36"/>
    </row>
    <row r="37" spans="1:8" x14ac:dyDescent="0.25">
      <c r="A37" s="29">
        <v>66107</v>
      </c>
      <c r="B37" t="s">
        <v>19287</v>
      </c>
      <c r="C37" s="35" t="s">
        <v>14</v>
      </c>
      <c r="D37" s="35" t="s">
        <v>19272</v>
      </c>
      <c r="E37" s="35" t="s">
        <v>14481</v>
      </c>
      <c r="F37" s="35"/>
      <c r="G37" s="35"/>
      <c r="H37" s="35"/>
    </row>
    <row r="38" spans="1:8" x14ac:dyDescent="0.25">
      <c r="A38" s="29">
        <v>85020</v>
      </c>
      <c r="B38" t="s">
        <v>19288</v>
      </c>
      <c r="C38" s="35" t="s">
        <v>19221</v>
      </c>
      <c r="D38" s="35" t="s">
        <v>19289</v>
      </c>
      <c r="E38" s="35" t="s">
        <v>19243</v>
      </c>
      <c r="F38" s="35"/>
      <c r="G38" s="35"/>
      <c r="H38" s="35"/>
    </row>
    <row r="39" spans="1:8" x14ac:dyDescent="0.25">
      <c r="A39" s="29">
        <v>27028</v>
      </c>
      <c r="B39" t="s">
        <v>19290</v>
      </c>
      <c r="C39" s="35" t="s">
        <v>14</v>
      </c>
      <c r="D39" s="35" t="s">
        <v>19291</v>
      </c>
      <c r="E39" s="35" t="s">
        <v>19223</v>
      </c>
      <c r="F39" s="35"/>
      <c r="G39" s="35"/>
      <c r="H39" s="35"/>
    </row>
    <row r="40" spans="1:8" x14ac:dyDescent="0.25">
      <c r="A40" s="29">
        <v>70022</v>
      </c>
      <c r="B40" t="s">
        <v>19292</v>
      </c>
      <c r="C40" s="35" t="s">
        <v>14</v>
      </c>
      <c r="D40" s="35" t="s">
        <v>19293</v>
      </c>
      <c r="E40" s="35" t="s">
        <v>19217</v>
      </c>
      <c r="F40" s="35"/>
      <c r="G40" s="35"/>
      <c r="H40" s="35"/>
    </row>
    <row r="41" spans="1:8" x14ac:dyDescent="0.25">
      <c r="A41" s="29">
        <v>31008</v>
      </c>
      <c r="B41" t="s">
        <v>19294</v>
      </c>
      <c r="C41" s="35" t="s">
        <v>19221</v>
      </c>
      <c r="D41" s="35" t="s">
        <v>19222</v>
      </c>
      <c r="E41" s="35" t="s">
        <v>19223</v>
      </c>
      <c r="F41" s="35"/>
      <c r="G41" s="35"/>
      <c r="H41" s="35"/>
    </row>
    <row r="42" spans="1:8" x14ac:dyDescent="0.25">
      <c r="A42" s="29">
        <v>19105</v>
      </c>
      <c r="B42" t="s">
        <v>19295</v>
      </c>
      <c r="C42" s="35" t="s">
        <v>19221</v>
      </c>
      <c r="D42" s="35" t="s">
        <v>19248</v>
      </c>
      <c r="E42" s="35" t="s">
        <v>19223</v>
      </c>
      <c r="F42" s="35"/>
      <c r="G42" s="35"/>
      <c r="H42" s="35"/>
    </row>
    <row r="43" spans="1:8" x14ac:dyDescent="0.25">
      <c r="A43" s="29">
        <v>21025</v>
      </c>
      <c r="B43" t="s">
        <v>6612</v>
      </c>
      <c r="C43" s="35" t="s">
        <v>14</v>
      </c>
      <c r="D43" s="35" t="s">
        <v>19296</v>
      </c>
      <c r="E43" s="35" t="s">
        <v>19276</v>
      </c>
      <c r="F43" s="35"/>
      <c r="G43" s="35"/>
      <c r="H43" s="35"/>
    </row>
    <row r="44" spans="1:8" x14ac:dyDescent="0.25">
      <c r="A44" s="29">
        <v>38010</v>
      </c>
      <c r="B44" t="s">
        <v>19297</v>
      </c>
      <c r="C44" s="35" t="s">
        <v>14</v>
      </c>
      <c r="D44" s="35" t="s">
        <v>19297</v>
      </c>
      <c r="E44" s="35" t="s">
        <v>19255</v>
      </c>
      <c r="F44" s="35"/>
      <c r="G44" s="35"/>
      <c r="H44" s="35"/>
    </row>
    <row r="45" spans="1:8" x14ac:dyDescent="0.25">
      <c r="A45" s="29">
        <v>46040</v>
      </c>
      <c r="B45" t="s">
        <v>19298</v>
      </c>
      <c r="C45" s="35" t="s">
        <v>19238</v>
      </c>
      <c r="D45" s="35" t="s">
        <v>19216</v>
      </c>
      <c r="E45" s="35" t="s">
        <v>19217</v>
      </c>
      <c r="F45" s="35"/>
      <c r="G45" s="35"/>
      <c r="H45" s="35"/>
    </row>
    <row r="46" spans="1:8" x14ac:dyDescent="0.25">
      <c r="A46" s="29">
        <v>46035</v>
      </c>
      <c r="B46" t="s">
        <v>19298</v>
      </c>
      <c r="C46" s="35" t="s">
        <v>14</v>
      </c>
      <c r="D46" s="35" t="s">
        <v>19216</v>
      </c>
      <c r="E46" s="35" t="s">
        <v>19217</v>
      </c>
      <c r="F46" s="35"/>
      <c r="G46" s="35"/>
      <c r="H46" s="35"/>
    </row>
    <row r="47" spans="1:8" x14ac:dyDescent="0.25">
      <c r="A47" s="29">
        <v>94250</v>
      </c>
      <c r="B47" t="s">
        <v>19299</v>
      </c>
      <c r="C47" s="35" t="s">
        <v>19221</v>
      </c>
      <c r="D47" s="35" t="s">
        <v>19300</v>
      </c>
      <c r="E47" s="35" t="s">
        <v>19229</v>
      </c>
      <c r="F47" s="35"/>
      <c r="G47" s="35"/>
      <c r="H47" s="35"/>
    </row>
    <row r="48" spans="1:8" x14ac:dyDescent="0.25">
      <c r="A48" s="29">
        <v>89050</v>
      </c>
      <c r="B48" t="s">
        <v>19301</v>
      </c>
      <c r="C48" s="35" t="s">
        <v>19221</v>
      </c>
      <c r="D48" s="35" t="s">
        <v>19302</v>
      </c>
      <c r="E48" s="35" t="s">
        <v>19243</v>
      </c>
      <c r="F48" s="35"/>
      <c r="G48" s="35"/>
      <c r="H48" s="35"/>
    </row>
    <row r="49" spans="1:8" x14ac:dyDescent="0.25">
      <c r="A49" s="29">
        <v>85065</v>
      </c>
      <c r="B49" t="s">
        <v>19303</v>
      </c>
      <c r="C49" s="35" t="s">
        <v>14</v>
      </c>
      <c r="D49" s="35" t="s">
        <v>19289</v>
      </c>
      <c r="E49" s="35" t="s">
        <v>19243</v>
      </c>
      <c r="F49" s="35"/>
      <c r="G49" s="35"/>
      <c r="H49" s="35"/>
    </row>
    <row r="50" spans="1:8" x14ac:dyDescent="0.25">
      <c r="A50" s="29">
        <v>57040</v>
      </c>
      <c r="B50" t="s">
        <v>19304</v>
      </c>
      <c r="C50" s="35" t="s">
        <v>14</v>
      </c>
      <c r="D50" s="35" t="s">
        <v>19305</v>
      </c>
      <c r="E50" s="35" t="s">
        <v>19217</v>
      </c>
      <c r="F50" s="35"/>
      <c r="G50" s="35"/>
      <c r="H50" s="35"/>
    </row>
    <row r="51" spans="1:8" x14ac:dyDescent="0.25">
      <c r="A51" s="29">
        <v>88070</v>
      </c>
      <c r="B51" t="s">
        <v>19306</v>
      </c>
      <c r="C51" s="35" t="s">
        <v>19221</v>
      </c>
      <c r="D51" s="35" t="s">
        <v>19242</v>
      </c>
      <c r="E51" s="35" t="s">
        <v>19243</v>
      </c>
      <c r="F51" s="35"/>
      <c r="G51" s="35"/>
      <c r="H51" s="35"/>
    </row>
    <row r="52" spans="1:8" x14ac:dyDescent="0.25">
      <c r="A52" s="29">
        <v>18065</v>
      </c>
      <c r="B52" t="s">
        <v>19307</v>
      </c>
      <c r="C52" s="35" t="s">
        <v>19221</v>
      </c>
      <c r="D52" s="35" t="s">
        <v>14579</v>
      </c>
      <c r="E52" s="35" t="s">
        <v>19223</v>
      </c>
      <c r="F52" s="35"/>
      <c r="G52" s="35"/>
      <c r="H52" s="35"/>
    </row>
    <row r="53" spans="1:8" x14ac:dyDescent="0.25">
      <c r="A53" s="29">
        <v>52035</v>
      </c>
      <c r="B53" t="s">
        <v>19308</v>
      </c>
      <c r="C53" s="35" t="s">
        <v>14</v>
      </c>
      <c r="D53" s="35" t="s">
        <v>19309</v>
      </c>
      <c r="E53" s="35" t="s">
        <v>19310</v>
      </c>
      <c r="F53" s="35"/>
      <c r="G53" s="35"/>
      <c r="H53" s="35"/>
    </row>
    <row r="54" spans="1:8" x14ac:dyDescent="0.25">
      <c r="A54" s="29">
        <v>48005</v>
      </c>
      <c r="B54" t="s">
        <v>19311</v>
      </c>
      <c r="C54" s="35" t="s">
        <v>19221</v>
      </c>
      <c r="D54" s="35" t="s">
        <v>19219</v>
      </c>
      <c r="E54" s="35" t="s">
        <v>19217</v>
      </c>
      <c r="F54" s="35"/>
      <c r="G54" s="35"/>
      <c r="H54" s="35"/>
    </row>
    <row r="55" spans="1:8" x14ac:dyDescent="0.25">
      <c r="A55" s="29">
        <v>13055</v>
      </c>
      <c r="B55" t="s">
        <v>19312</v>
      </c>
      <c r="C55" s="35" t="s">
        <v>19221</v>
      </c>
      <c r="D55" s="35" t="s">
        <v>19256</v>
      </c>
      <c r="E55" s="35" t="s">
        <v>19232</v>
      </c>
      <c r="F55" s="35"/>
      <c r="G55" s="35"/>
      <c r="H55" s="35"/>
    </row>
    <row r="56" spans="1:8" x14ac:dyDescent="0.25">
      <c r="A56" s="29">
        <v>73015</v>
      </c>
      <c r="B56" t="s">
        <v>18156</v>
      </c>
      <c r="C56" s="35" t="s">
        <v>14</v>
      </c>
      <c r="D56" s="35" t="s">
        <v>19313</v>
      </c>
      <c r="E56" s="35" t="s">
        <v>19240</v>
      </c>
      <c r="F56" s="35"/>
      <c r="G56" s="35"/>
      <c r="H56" s="35"/>
    </row>
    <row r="57" spans="1:8" x14ac:dyDescent="0.25">
      <c r="A57" s="29">
        <v>98005</v>
      </c>
      <c r="B57" t="s">
        <v>19314</v>
      </c>
      <c r="C57" s="35" t="s">
        <v>19221</v>
      </c>
      <c r="D57" s="35" t="s">
        <v>19315</v>
      </c>
      <c r="E57" s="35" t="s">
        <v>19226</v>
      </c>
      <c r="F57" s="35"/>
      <c r="G57" s="35"/>
      <c r="H57" s="35"/>
    </row>
    <row r="58" spans="1:8" x14ac:dyDescent="0.25">
      <c r="A58" s="29">
        <v>83045</v>
      </c>
      <c r="B58" t="s">
        <v>19316</v>
      </c>
      <c r="C58" s="35" t="s">
        <v>19221</v>
      </c>
      <c r="D58" s="35" t="s">
        <v>19259</v>
      </c>
      <c r="E58" s="35" t="s">
        <v>19235</v>
      </c>
      <c r="F58" s="35"/>
      <c r="G58" s="35"/>
      <c r="H58" s="35"/>
    </row>
    <row r="59" spans="1:8" x14ac:dyDescent="0.25">
      <c r="A59" s="29">
        <v>80115</v>
      </c>
      <c r="B59" t="s">
        <v>6293</v>
      </c>
      <c r="C59" s="35" t="s">
        <v>19221</v>
      </c>
      <c r="D59" s="35" t="s">
        <v>8694</v>
      </c>
      <c r="E59" s="35" t="s">
        <v>19235</v>
      </c>
      <c r="F59" s="35"/>
      <c r="G59" s="35"/>
      <c r="H59" s="35"/>
    </row>
    <row r="60" spans="1:8" x14ac:dyDescent="0.25">
      <c r="A60" s="29">
        <v>73005</v>
      </c>
      <c r="B60" t="s">
        <v>17959</v>
      </c>
      <c r="C60" s="35" t="s">
        <v>14</v>
      </c>
      <c r="D60" s="35" t="s">
        <v>19313</v>
      </c>
      <c r="E60" s="35" t="s">
        <v>19240</v>
      </c>
      <c r="F60" s="35"/>
      <c r="G60" s="35"/>
      <c r="H60" s="35"/>
    </row>
    <row r="61" spans="1:8" x14ac:dyDescent="0.25">
      <c r="A61" s="29">
        <v>21045</v>
      </c>
      <c r="B61" t="s">
        <v>19317</v>
      </c>
      <c r="C61" s="35" t="s">
        <v>19221</v>
      </c>
      <c r="D61" s="35" t="s">
        <v>19296</v>
      </c>
      <c r="E61" s="35" t="s">
        <v>19276</v>
      </c>
      <c r="F61" s="35"/>
      <c r="G61" s="35"/>
      <c r="H61" s="35"/>
    </row>
    <row r="62" spans="1:8" x14ac:dyDescent="0.25">
      <c r="A62" s="29">
        <v>73030</v>
      </c>
      <c r="B62" t="s">
        <v>17888</v>
      </c>
      <c r="C62" s="35" t="s">
        <v>14</v>
      </c>
      <c r="D62" s="35" t="s">
        <v>19313</v>
      </c>
      <c r="E62" s="35" t="s">
        <v>19240</v>
      </c>
      <c r="F62" s="35"/>
      <c r="G62" s="35"/>
      <c r="H62" s="35"/>
    </row>
    <row r="63" spans="1:8" x14ac:dyDescent="0.25">
      <c r="A63" s="29">
        <v>83085</v>
      </c>
      <c r="B63" t="s">
        <v>17883</v>
      </c>
      <c r="C63" s="35" t="s">
        <v>19221</v>
      </c>
      <c r="D63" s="35" t="s">
        <v>19259</v>
      </c>
      <c r="E63" s="35" t="s">
        <v>19235</v>
      </c>
      <c r="F63" s="35"/>
      <c r="G63" s="35"/>
      <c r="H63" s="35"/>
    </row>
    <row r="64" spans="1:8" x14ac:dyDescent="0.25">
      <c r="A64" s="29">
        <v>45095</v>
      </c>
      <c r="B64" t="s">
        <v>19318</v>
      </c>
      <c r="C64" s="35" t="s">
        <v>19221</v>
      </c>
      <c r="D64" s="35" t="s">
        <v>19261</v>
      </c>
      <c r="E64" s="35" t="s">
        <v>19252</v>
      </c>
      <c r="F64" s="35"/>
      <c r="G64" s="35"/>
      <c r="H64" s="35"/>
    </row>
    <row r="65" spans="1:8" x14ac:dyDescent="0.25">
      <c r="A65" s="29">
        <v>46065</v>
      </c>
      <c r="B65" t="s">
        <v>19319</v>
      </c>
      <c r="C65" s="35" t="s">
        <v>19221</v>
      </c>
      <c r="D65" s="35" t="s">
        <v>19216</v>
      </c>
      <c r="E65" s="35" t="s">
        <v>19217</v>
      </c>
      <c r="F65" s="35"/>
      <c r="G65" s="35"/>
      <c r="H65" s="35"/>
    </row>
    <row r="66" spans="1:8" x14ac:dyDescent="0.25">
      <c r="A66" s="29">
        <v>5045</v>
      </c>
      <c r="B66" t="s">
        <v>19320</v>
      </c>
      <c r="C66" s="35" t="s">
        <v>14</v>
      </c>
      <c r="D66" s="35" t="s">
        <v>19320</v>
      </c>
      <c r="E66" s="35" t="s">
        <v>19321</v>
      </c>
      <c r="F66" s="35"/>
      <c r="G66" s="36"/>
      <c r="H66" s="36"/>
    </row>
    <row r="67" spans="1:8" x14ac:dyDescent="0.25">
      <c r="A67" s="29">
        <v>98010</v>
      </c>
      <c r="B67" t="s">
        <v>19322</v>
      </c>
      <c r="C67" s="35" t="s">
        <v>19221</v>
      </c>
      <c r="D67" s="35" t="s">
        <v>19315</v>
      </c>
      <c r="E67" s="35" t="s">
        <v>19226</v>
      </c>
      <c r="F67" s="35"/>
      <c r="G67" s="36"/>
      <c r="H67" s="36"/>
    </row>
    <row r="68" spans="1:8" x14ac:dyDescent="0.25">
      <c r="A68" s="29">
        <v>42040</v>
      </c>
      <c r="B68" t="s">
        <v>19323</v>
      </c>
      <c r="C68" s="35" t="s">
        <v>19221</v>
      </c>
      <c r="D68" s="35" t="s">
        <v>19324</v>
      </c>
      <c r="E68" s="35" t="s">
        <v>19252</v>
      </c>
      <c r="F68" s="35"/>
      <c r="G68" s="36"/>
      <c r="H68" s="36"/>
    </row>
    <row r="69" spans="1:8" x14ac:dyDescent="0.25">
      <c r="A69" s="29">
        <v>58033</v>
      </c>
      <c r="B69" t="s">
        <v>19325</v>
      </c>
      <c r="C69" s="35" t="s">
        <v>14</v>
      </c>
      <c r="D69" s="35" t="s">
        <v>19272</v>
      </c>
      <c r="E69" s="35" t="s">
        <v>19217</v>
      </c>
      <c r="F69" s="35"/>
      <c r="G69" s="36"/>
      <c r="H69" s="36"/>
    </row>
    <row r="70" spans="1:8" x14ac:dyDescent="0.25">
      <c r="A70" s="29">
        <v>83050</v>
      </c>
      <c r="B70" t="s">
        <v>19326</v>
      </c>
      <c r="C70" s="35" t="s">
        <v>19221</v>
      </c>
      <c r="D70" s="35" t="s">
        <v>19259</v>
      </c>
      <c r="E70" s="35" t="s">
        <v>19235</v>
      </c>
      <c r="F70" s="35"/>
      <c r="G70" s="36"/>
      <c r="H70" s="36"/>
    </row>
    <row r="71" spans="1:8" x14ac:dyDescent="0.25">
      <c r="A71" s="29">
        <v>80145</v>
      </c>
      <c r="B71" t="s">
        <v>17878</v>
      </c>
      <c r="C71" s="35" t="s">
        <v>19221</v>
      </c>
      <c r="D71" s="35" t="s">
        <v>8694</v>
      </c>
      <c r="E71" s="35" t="s">
        <v>19235</v>
      </c>
      <c r="F71" s="35"/>
      <c r="G71" s="36"/>
      <c r="H71" s="36"/>
    </row>
    <row r="72" spans="1:8" x14ac:dyDescent="0.25">
      <c r="A72" s="29">
        <v>78075</v>
      </c>
      <c r="B72" t="s">
        <v>17872</v>
      </c>
      <c r="C72" s="35" t="s">
        <v>19327</v>
      </c>
      <c r="D72" s="35" t="s">
        <v>19239</v>
      </c>
      <c r="E72" s="35" t="s">
        <v>19240</v>
      </c>
      <c r="F72" s="35"/>
      <c r="G72" s="36"/>
      <c r="H72" s="36"/>
    </row>
    <row r="73" spans="1:8" x14ac:dyDescent="0.25">
      <c r="A73" s="29">
        <v>46090</v>
      </c>
      <c r="B73" t="s">
        <v>19328</v>
      </c>
      <c r="C73" s="35" t="s">
        <v>19221</v>
      </c>
      <c r="D73" s="35" t="s">
        <v>19216</v>
      </c>
      <c r="E73" s="35" t="s">
        <v>19217</v>
      </c>
      <c r="F73" s="35"/>
      <c r="G73" s="36"/>
      <c r="H73" s="36"/>
    </row>
    <row r="74" spans="1:8" x14ac:dyDescent="0.25">
      <c r="A74" s="29">
        <v>84005</v>
      </c>
      <c r="B74" t="s">
        <v>19329</v>
      </c>
      <c r="C74" s="35" t="s">
        <v>19221</v>
      </c>
      <c r="D74" s="35" t="s">
        <v>19234</v>
      </c>
      <c r="E74" s="35" t="s">
        <v>19235</v>
      </c>
      <c r="F74" s="35"/>
      <c r="G74" s="36"/>
      <c r="H74" s="36"/>
    </row>
    <row r="75" spans="1:8" x14ac:dyDescent="0.25">
      <c r="A75" s="29">
        <v>46070</v>
      </c>
      <c r="B75" t="s">
        <v>19330</v>
      </c>
      <c r="C75" s="35" t="s">
        <v>19215</v>
      </c>
      <c r="D75" s="35" t="s">
        <v>19216</v>
      </c>
      <c r="E75" s="35" t="s">
        <v>19217</v>
      </c>
      <c r="F75" s="35"/>
      <c r="G75" s="36"/>
      <c r="H75" s="36"/>
    </row>
    <row r="76" spans="1:8" x14ac:dyDescent="0.25">
      <c r="A76" s="29">
        <v>46078</v>
      </c>
      <c r="B76" t="s">
        <v>19331</v>
      </c>
      <c r="C76" s="35" t="s">
        <v>14</v>
      </c>
      <c r="D76" s="35" t="s">
        <v>19216</v>
      </c>
      <c r="E76" s="35" t="s">
        <v>19217</v>
      </c>
      <c r="F76" s="35"/>
      <c r="G76" s="36"/>
      <c r="H76" s="36"/>
    </row>
    <row r="77" spans="1:8" x14ac:dyDescent="0.25">
      <c r="A77" s="29">
        <v>58007</v>
      </c>
      <c r="B77" t="s">
        <v>5055</v>
      </c>
      <c r="C77" s="35" t="s">
        <v>14</v>
      </c>
      <c r="D77" s="35" t="s">
        <v>19272</v>
      </c>
      <c r="E77" s="35" t="s">
        <v>19217</v>
      </c>
      <c r="F77" s="35"/>
      <c r="G77" s="36"/>
      <c r="H77" s="36"/>
    </row>
    <row r="78" spans="1:8" x14ac:dyDescent="0.25">
      <c r="A78" s="29">
        <v>76043</v>
      </c>
      <c r="B78" t="s">
        <v>17777</v>
      </c>
      <c r="C78" s="35" t="s">
        <v>14</v>
      </c>
      <c r="D78" s="35" t="s">
        <v>19332</v>
      </c>
      <c r="E78" s="35" t="s">
        <v>19240</v>
      </c>
      <c r="F78" s="35"/>
      <c r="G78" s="36"/>
      <c r="H78" s="36"/>
    </row>
    <row r="79" spans="1:8" x14ac:dyDescent="0.25">
      <c r="A79" s="29">
        <v>84025</v>
      </c>
      <c r="B79" t="s">
        <v>19333</v>
      </c>
      <c r="C79" s="35" t="s">
        <v>19221</v>
      </c>
      <c r="D79" s="35" t="s">
        <v>19234</v>
      </c>
      <c r="E79" s="35" t="s">
        <v>19235</v>
      </c>
      <c r="F79" s="35"/>
      <c r="G79" s="36"/>
      <c r="H79" s="36"/>
    </row>
    <row r="80" spans="1:8" x14ac:dyDescent="0.25">
      <c r="A80" s="29">
        <v>41070</v>
      </c>
      <c r="B80" t="s">
        <v>19334</v>
      </c>
      <c r="C80" s="35" t="s">
        <v>19221</v>
      </c>
      <c r="D80" s="35" t="s">
        <v>19251</v>
      </c>
      <c r="E80" s="35" t="s">
        <v>19252</v>
      </c>
      <c r="F80" s="35"/>
      <c r="G80" s="36"/>
      <c r="H80" s="36"/>
    </row>
    <row r="81" spans="1:8" x14ac:dyDescent="0.25">
      <c r="A81" s="29">
        <v>12057</v>
      </c>
      <c r="B81" t="s">
        <v>19335</v>
      </c>
      <c r="C81" s="35" t="s">
        <v>19221</v>
      </c>
      <c r="D81" s="35" t="s">
        <v>19336</v>
      </c>
      <c r="E81" s="35" t="s">
        <v>19232</v>
      </c>
      <c r="F81" s="35"/>
      <c r="G81" s="36"/>
      <c r="H81" s="36"/>
    </row>
    <row r="82" spans="1:8" x14ac:dyDescent="0.25">
      <c r="A82" s="29">
        <v>59030</v>
      </c>
      <c r="B82" t="s">
        <v>19337</v>
      </c>
      <c r="C82" s="35" t="s">
        <v>19221</v>
      </c>
      <c r="D82" s="35" t="s">
        <v>19338</v>
      </c>
      <c r="E82" s="35" t="s">
        <v>19217</v>
      </c>
      <c r="F82" s="35"/>
      <c r="G82" s="36"/>
      <c r="H82" s="36"/>
    </row>
    <row r="83" spans="1:8" x14ac:dyDescent="0.25">
      <c r="A83" s="29">
        <v>84030</v>
      </c>
      <c r="B83" t="s">
        <v>19339</v>
      </c>
      <c r="C83" s="35" t="s">
        <v>19221</v>
      </c>
      <c r="D83" s="35" t="s">
        <v>19234</v>
      </c>
      <c r="E83" s="35" t="s">
        <v>19235</v>
      </c>
      <c r="F83" s="35"/>
      <c r="G83" s="36"/>
      <c r="H83" s="36"/>
    </row>
    <row r="84" spans="1:8" x14ac:dyDescent="0.25">
      <c r="A84" s="29">
        <v>67020</v>
      </c>
      <c r="B84" t="s">
        <v>17772</v>
      </c>
      <c r="C84" s="35" t="s">
        <v>14</v>
      </c>
      <c r="D84" s="35" t="s">
        <v>19340</v>
      </c>
      <c r="E84" s="35" t="s">
        <v>19217</v>
      </c>
      <c r="F84" s="35"/>
      <c r="G84" s="36"/>
      <c r="H84" s="36"/>
    </row>
    <row r="85" spans="1:8" x14ac:dyDescent="0.25">
      <c r="A85" s="29">
        <v>82020</v>
      </c>
      <c r="B85" t="s">
        <v>17768</v>
      </c>
      <c r="C85" s="35" t="s">
        <v>19221</v>
      </c>
      <c r="D85" s="35" t="s">
        <v>19341</v>
      </c>
      <c r="E85" s="35" t="s">
        <v>19235</v>
      </c>
      <c r="F85" s="35"/>
      <c r="G85" s="36"/>
      <c r="H85" s="36"/>
    </row>
    <row r="86" spans="1:8" x14ac:dyDescent="0.25">
      <c r="A86" s="29">
        <v>4047</v>
      </c>
      <c r="B86" t="s">
        <v>19342</v>
      </c>
      <c r="C86" s="35" t="s">
        <v>14</v>
      </c>
      <c r="D86" s="35" t="s">
        <v>19343</v>
      </c>
      <c r="E86" s="35" t="s">
        <v>19321</v>
      </c>
      <c r="F86" s="35"/>
      <c r="G86" s="36"/>
      <c r="H86" s="36"/>
    </row>
    <row r="87" spans="1:8" x14ac:dyDescent="0.25">
      <c r="A87" s="29">
        <v>5060</v>
      </c>
      <c r="B87" t="s">
        <v>19344</v>
      </c>
      <c r="C87" s="35" t="s">
        <v>19221</v>
      </c>
      <c r="D87" s="35" t="s">
        <v>19320</v>
      </c>
      <c r="E87" s="35" t="s">
        <v>19321</v>
      </c>
      <c r="F87" s="35"/>
      <c r="G87" s="36"/>
      <c r="H87" s="36"/>
    </row>
    <row r="88" spans="1:8" x14ac:dyDescent="0.25">
      <c r="A88" s="29">
        <v>18045</v>
      </c>
      <c r="B88" t="s">
        <v>19345</v>
      </c>
      <c r="C88" s="35" t="s">
        <v>19221</v>
      </c>
      <c r="D88" s="35" t="s">
        <v>14579</v>
      </c>
      <c r="E88" s="35" t="s">
        <v>19223</v>
      </c>
      <c r="F88" s="35"/>
      <c r="G88" s="36"/>
      <c r="H88" s="36"/>
    </row>
    <row r="89" spans="1:8" x14ac:dyDescent="0.25">
      <c r="A89" s="29">
        <v>34030</v>
      </c>
      <c r="B89" t="s">
        <v>19346</v>
      </c>
      <c r="C89" s="35" t="s">
        <v>14</v>
      </c>
      <c r="D89" s="35" t="s">
        <v>19347</v>
      </c>
      <c r="E89" s="35" t="s">
        <v>19276</v>
      </c>
      <c r="F89" s="35"/>
      <c r="G89" s="36"/>
      <c r="H89" s="36"/>
    </row>
    <row r="90" spans="1:8" x14ac:dyDescent="0.25">
      <c r="A90" s="29">
        <v>57010</v>
      </c>
      <c r="B90" t="s">
        <v>5419</v>
      </c>
      <c r="C90" s="35" t="s">
        <v>14</v>
      </c>
      <c r="D90" s="35" t="s">
        <v>19305</v>
      </c>
      <c r="E90" s="35" t="s">
        <v>19217</v>
      </c>
      <c r="F90" s="35"/>
      <c r="G90" s="36"/>
      <c r="H90" s="36"/>
    </row>
    <row r="91" spans="1:8" x14ac:dyDescent="0.25">
      <c r="A91" s="29">
        <v>6013</v>
      </c>
      <c r="B91" t="s">
        <v>19348</v>
      </c>
      <c r="C91" s="35" t="s">
        <v>14</v>
      </c>
      <c r="D91" s="35" t="s">
        <v>19349</v>
      </c>
      <c r="E91" s="35" t="s">
        <v>19321</v>
      </c>
      <c r="F91" s="35"/>
      <c r="G91" s="36"/>
      <c r="H91" s="36"/>
    </row>
    <row r="92" spans="1:8" x14ac:dyDescent="0.25">
      <c r="A92" s="29">
        <v>5077</v>
      </c>
      <c r="B92" t="s">
        <v>19350</v>
      </c>
      <c r="C92" s="35" t="s">
        <v>19221</v>
      </c>
      <c r="D92" s="35" t="s">
        <v>19320</v>
      </c>
      <c r="E92" s="35" t="s">
        <v>19321</v>
      </c>
      <c r="F92" s="35"/>
      <c r="G92" s="36"/>
      <c r="H92" s="36"/>
    </row>
    <row r="93" spans="1:8" x14ac:dyDescent="0.25">
      <c r="A93" s="29">
        <v>7018</v>
      </c>
      <c r="B93" t="s">
        <v>19351</v>
      </c>
      <c r="C93" s="35" t="s">
        <v>14</v>
      </c>
      <c r="D93" s="35" t="s">
        <v>19231</v>
      </c>
      <c r="E93" s="35" t="s">
        <v>19232</v>
      </c>
      <c r="F93" s="35"/>
      <c r="G93" s="36"/>
      <c r="H93" s="36"/>
    </row>
    <row r="94" spans="1:8" x14ac:dyDescent="0.25">
      <c r="A94" s="29">
        <v>83040</v>
      </c>
      <c r="B94" t="s">
        <v>19352</v>
      </c>
      <c r="C94" s="35" t="s">
        <v>19221</v>
      </c>
      <c r="D94" s="35" t="s">
        <v>19259</v>
      </c>
      <c r="E94" s="35" t="s">
        <v>19235</v>
      </c>
      <c r="F94" s="35"/>
      <c r="G94" s="36"/>
      <c r="H94" s="36"/>
    </row>
    <row r="95" spans="1:8" x14ac:dyDescent="0.25">
      <c r="A95" s="29">
        <v>57005</v>
      </c>
      <c r="B95" t="s">
        <v>17764</v>
      </c>
      <c r="C95" s="35" t="s">
        <v>14</v>
      </c>
      <c r="D95" s="35" t="s">
        <v>19305</v>
      </c>
      <c r="E95" s="35" t="s">
        <v>19217</v>
      </c>
      <c r="F95" s="35"/>
      <c r="G95" s="36"/>
      <c r="H95" s="36"/>
    </row>
    <row r="96" spans="1:8" x14ac:dyDescent="0.25">
      <c r="A96" s="29">
        <v>91020</v>
      </c>
      <c r="B96" t="s">
        <v>19353</v>
      </c>
      <c r="C96" s="35" t="s">
        <v>19221</v>
      </c>
      <c r="D96" s="35" t="s">
        <v>19354</v>
      </c>
      <c r="E96" s="35" t="s">
        <v>19229</v>
      </c>
      <c r="F96" s="35"/>
      <c r="G96" s="36"/>
      <c r="H96" s="36"/>
    </row>
    <row r="97" spans="1:8" x14ac:dyDescent="0.25">
      <c r="A97" s="29">
        <v>37220</v>
      </c>
      <c r="B97" t="s">
        <v>19355</v>
      </c>
      <c r="C97" s="35" t="s">
        <v>19221</v>
      </c>
      <c r="D97" s="35" t="s">
        <v>19285</v>
      </c>
      <c r="E97" s="35" t="s">
        <v>19286</v>
      </c>
      <c r="F97" s="35"/>
      <c r="G97" s="36"/>
      <c r="H97" s="36"/>
    </row>
    <row r="98" spans="1:8" x14ac:dyDescent="0.25">
      <c r="A98" s="29">
        <v>88005</v>
      </c>
      <c r="B98" t="s">
        <v>19356</v>
      </c>
      <c r="C98" s="35" t="s">
        <v>19221</v>
      </c>
      <c r="D98" s="35" t="s">
        <v>19242</v>
      </c>
      <c r="E98" s="35" t="s">
        <v>19243</v>
      </c>
      <c r="F98" s="35"/>
      <c r="G98" s="36"/>
      <c r="H98" s="36"/>
    </row>
    <row r="99" spans="1:8" x14ac:dyDescent="0.25">
      <c r="A99" s="29">
        <v>2028</v>
      </c>
      <c r="B99" t="s">
        <v>19357</v>
      </c>
      <c r="C99" s="35" t="s">
        <v>14</v>
      </c>
      <c r="D99" s="35" t="s">
        <v>19358</v>
      </c>
      <c r="E99" s="35" t="s">
        <v>19321</v>
      </c>
      <c r="F99" s="35"/>
      <c r="G99" s="36"/>
      <c r="H99" s="36"/>
    </row>
    <row r="100" spans="1:8" x14ac:dyDescent="0.25">
      <c r="A100" s="29">
        <v>99020</v>
      </c>
      <c r="B100" t="s">
        <v>19359</v>
      </c>
      <c r="C100" s="35" t="s">
        <v>14</v>
      </c>
      <c r="D100" s="35" t="s">
        <v>19360</v>
      </c>
      <c r="E100" s="35" t="s">
        <v>19361</v>
      </c>
      <c r="F100" s="35"/>
      <c r="G100" s="36"/>
      <c r="H100" s="36"/>
    </row>
    <row r="101" spans="1:8" x14ac:dyDescent="0.25">
      <c r="A101" s="29">
        <v>51080</v>
      </c>
      <c r="B101" t="s">
        <v>1592</v>
      </c>
      <c r="C101" s="35" t="s">
        <v>19221</v>
      </c>
      <c r="D101" s="35" t="s">
        <v>19362</v>
      </c>
      <c r="E101" s="35" t="s">
        <v>19286</v>
      </c>
      <c r="F101" s="35"/>
      <c r="G101" s="36"/>
      <c r="H101" s="36"/>
    </row>
    <row r="102" spans="1:8" x14ac:dyDescent="0.25">
      <c r="A102" s="29">
        <v>60005</v>
      </c>
      <c r="B102" t="s">
        <v>17759</v>
      </c>
      <c r="C102" s="35" t="s">
        <v>14</v>
      </c>
      <c r="D102" s="35" t="s">
        <v>19363</v>
      </c>
      <c r="E102" s="35" t="s">
        <v>19310</v>
      </c>
      <c r="F102" s="35"/>
      <c r="G102" s="36"/>
      <c r="H102" s="36"/>
    </row>
    <row r="103" spans="1:8" x14ac:dyDescent="0.25">
      <c r="A103" s="29">
        <v>41020</v>
      </c>
      <c r="B103" t="s">
        <v>19364</v>
      </c>
      <c r="C103" s="35" t="s">
        <v>19221</v>
      </c>
      <c r="D103" s="35" t="s">
        <v>19251</v>
      </c>
      <c r="E103" s="35" t="s">
        <v>19252</v>
      </c>
      <c r="F103" s="35"/>
      <c r="G103" s="36"/>
      <c r="H103" s="36"/>
    </row>
    <row r="104" spans="1:8" x14ac:dyDescent="0.25">
      <c r="A104" s="29">
        <v>67050</v>
      </c>
      <c r="B104" t="s">
        <v>17753</v>
      </c>
      <c r="C104" s="35" t="s">
        <v>14</v>
      </c>
      <c r="D104" s="35" t="s">
        <v>19340</v>
      </c>
      <c r="E104" s="35" t="s">
        <v>19217</v>
      </c>
      <c r="F104" s="35"/>
      <c r="G104" s="36"/>
      <c r="H104" s="36"/>
    </row>
    <row r="105" spans="1:8" x14ac:dyDescent="0.25">
      <c r="A105" s="29">
        <v>21035</v>
      </c>
      <c r="B105" t="s">
        <v>19365</v>
      </c>
      <c r="C105" s="35" t="s">
        <v>14</v>
      </c>
      <c r="D105" s="35" t="s">
        <v>19296</v>
      </c>
      <c r="E105" s="35" t="s">
        <v>19276</v>
      </c>
      <c r="F105" s="35"/>
      <c r="G105" s="36"/>
      <c r="H105" s="36"/>
    </row>
    <row r="106" spans="1:8" x14ac:dyDescent="0.25">
      <c r="A106" s="29">
        <v>87095</v>
      </c>
      <c r="B106" t="s">
        <v>19366</v>
      </c>
      <c r="C106" s="35" t="s">
        <v>19221</v>
      </c>
      <c r="D106" s="35" t="s">
        <v>19263</v>
      </c>
      <c r="E106" s="35" t="s">
        <v>19243</v>
      </c>
      <c r="F106" s="35"/>
      <c r="G106" s="36"/>
      <c r="H106" s="36"/>
    </row>
    <row r="107" spans="1:8" x14ac:dyDescent="0.25">
      <c r="A107" s="29">
        <v>82025</v>
      </c>
      <c r="B107" t="s">
        <v>11838</v>
      </c>
      <c r="C107" s="35" t="s">
        <v>19221</v>
      </c>
      <c r="D107" s="35" t="s">
        <v>19341</v>
      </c>
      <c r="E107" s="35" t="s">
        <v>19235</v>
      </c>
      <c r="F107" s="35"/>
      <c r="G107" s="36"/>
      <c r="H107" s="36"/>
    </row>
    <row r="108" spans="1:8" x14ac:dyDescent="0.25">
      <c r="A108" s="29">
        <v>80103</v>
      </c>
      <c r="B108" t="s">
        <v>19367</v>
      </c>
      <c r="C108" s="35" t="s">
        <v>19221</v>
      </c>
      <c r="D108" s="35" t="s">
        <v>8694</v>
      </c>
      <c r="E108" s="35" t="s">
        <v>19235</v>
      </c>
      <c r="F108" s="35"/>
      <c r="G108" s="36"/>
      <c r="H108" s="36"/>
    </row>
    <row r="109" spans="1:8" x14ac:dyDescent="0.25">
      <c r="A109" s="29">
        <v>62047</v>
      </c>
      <c r="B109" t="s">
        <v>17743</v>
      </c>
      <c r="C109" s="35" t="s">
        <v>19221</v>
      </c>
      <c r="D109" s="35" t="s">
        <v>19368</v>
      </c>
      <c r="E109" s="35" t="s">
        <v>19310</v>
      </c>
      <c r="F109" s="35"/>
      <c r="G109" s="36"/>
      <c r="H109" s="36"/>
    </row>
    <row r="110" spans="1:8" x14ac:dyDescent="0.25">
      <c r="A110" s="29">
        <v>39030</v>
      </c>
      <c r="B110" t="s">
        <v>19369</v>
      </c>
      <c r="C110" s="35" t="s">
        <v>19221</v>
      </c>
      <c r="D110" s="35" t="s">
        <v>19370</v>
      </c>
      <c r="E110" s="35" t="s">
        <v>19255</v>
      </c>
      <c r="F110" s="35"/>
      <c r="G110" s="36"/>
      <c r="H110" s="36"/>
    </row>
    <row r="111" spans="1:8" x14ac:dyDescent="0.25">
      <c r="A111" s="29">
        <v>99025</v>
      </c>
      <c r="B111" t="s">
        <v>19371</v>
      </c>
      <c r="C111" s="35" t="s">
        <v>14</v>
      </c>
      <c r="D111" s="35" t="s">
        <v>19360</v>
      </c>
      <c r="E111" s="35" t="s">
        <v>19361</v>
      </c>
      <c r="F111" s="35"/>
      <c r="G111" s="36"/>
      <c r="H111" s="36"/>
    </row>
    <row r="112" spans="1:8" x14ac:dyDescent="0.25">
      <c r="A112" s="29">
        <v>84090</v>
      </c>
      <c r="B112" t="s">
        <v>19372</v>
      </c>
      <c r="C112" s="35" t="s">
        <v>19238</v>
      </c>
      <c r="D112" s="35" t="s">
        <v>19234</v>
      </c>
      <c r="E112" s="35" t="s">
        <v>19235</v>
      </c>
      <c r="F112" s="35"/>
      <c r="G112" s="36"/>
      <c r="H112" s="36"/>
    </row>
    <row r="113" spans="1:8" x14ac:dyDescent="0.25">
      <c r="A113" s="29">
        <v>96035</v>
      </c>
      <c r="B113" t="s">
        <v>19373</v>
      </c>
      <c r="C113" s="35" t="s">
        <v>19215</v>
      </c>
      <c r="D113" s="35" t="s">
        <v>19267</v>
      </c>
      <c r="E113" s="35" t="s">
        <v>19226</v>
      </c>
      <c r="F113" s="35"/>
      <c r="G113" s="36"/>
      <c r="H113" s="36"/>
    </row>
    <row r="114" spans="1:8" x14ac:dyDescent="0.25">
      <c r="A114" s="29">
        <v>79065</v>
      </c>
      <c r="B114" t="s">
        <v>17738</v>
      </c>
      <c r="C114" s="35" t="s">
        <v>19221</v>
      </c>
      <c r="D114" s="35" t="s">
        <v>19374</v>
      </c>
      <c r="E114" s="35" t="s">
        <v>19240</v>
      </c>
      <c r="F114" s="35"/>
      <c r="G114" s="36"/>
      <c r="H114" s="36"/>
    </row>
    <row r="115" spans="1:8" x14ac:dyDescent="0.25">
      <c r="A115" s="29">
        <v>84015</v>
      </c>
      <c r="B115" t="s">
        <v>19375</v>
      </c>
      <c r="C115" s="35" t="s">
        <v>19221</v>
      </c>
      <c r="D115" s="35" t="s">
        <v>19234</v>
      </c>
      <c r="E115" s="35" t="s">
        <v>19235</v>
      </c>
      <c r="F115" s="35"/>
      <c r="G115" s="36"/>
      <c r="H115" s="36"/>
    </row>
    <row r="116" spans="1:8" x14ac:dyDescent="0.25">
      <c r="A116" s="29">
        <v>87110</v>
      </c>
      <c r="B116" t="s">
        <v>2409</v>
      </c>
      <c r="C116" s="35" t="s">
        <v>19238</v>
      </c>
      <c r="D116" s="35" t="s">
        <v>19263</v>
      </c>
      <c r="E116" s="35" t="s">
        <v>19243</v>
      </c>
      <c r="F116" s="35"/>
      <c r="G116" s="36"/>
      <c r="H116" s="36"/>
    </row>
    <row r="117" spans="1:8" x14ac:dyDescent="0.25">
      <c r="A117" s="29">
        <v>15035</v>
      </c>
      <c r="B117" t="s">
        <v>2409</v>
      </c>
      <c r="C117" s="35" t="s">
        <v>14</v>
      </c>
      <c r="D117" s="35" t="s">
        <v>19275</v>
      </c>
      <c r="E117" s="35" t="s">
        <v>19276</v>
      </c>
      <c r="F117" s="35"/>
      <c r="G117" s="36"/>
      <c r="H117" s="36"/>
    </row>
    <row r="118" spans="1:8" x14ac:dyDescent="0.25">
      <c r="A118" s="29">
        <v>87075</v>
      </c>
      <c r="B118" t="s">
        <v>19376</v>
      </c>
      <c r="C118" s="35" t="s">
        <v>19221</v>
      </c>
      <c r="D118" s="35" t="s">
        <v>19263</v>
      </c>
      <c r="E118" s="35" t="s">
        <v>19243</v>
      </c>
      <c r="F118" s="35"/>
      <c r="G118" s="36"/>
      <c r="H118" s="36"/>
    </row>
    <row r="119" spans="1:8" x14ac:dyDescent="0.25">
      <c r="A119" s="29">
        <v>42110</v>
      </c>
      <c r="B119" t="s">
        <v>19377</v>
      </c>
      <c r="C119" s="35" t="s">
        <v>19238</v>
      </c>
      <c r="D119" s="35" t="s">
        <v>19324</v>
      </c>
      <c r="E119" s="35" t="s">
        <v>19252</v>
      </c>
      <c r="F119" s="35"/>
      <c r="G119" s="36"/>
      <c r="H119" s="36"/>
    </row>
    <row r="120" spans="1:8" x14ac:dyDescent="0.25">
      <c r="A120" s="29">
        <v>3010</v>
      </c>
      <c r="B120" t="s">
        <v>19378</v>
      </c>
      <c r="C120" s="35" t="s">
        <v>19238</v>
      </c>
      <c r="D120" s="35" t="s">
        <v>19379</v>
      </c>
      <c r="E120" s="35" t="s">
        <v>19321</v>
      </c>
      <c r="F120" s="35"/>
      <c r="G120" s="36"/>
      <c r="H120" s="36"/>
    </row>
    <row r="121" spans="1:8" x14ac:dyDescent="0.25">
      <c r="A121" s="29">
        <v>44037</v>
      </c>
      <c r="B121" t="s">
        <v>19282</v>
      </c>
      <c r="C121" s="35" t="s">
        <v>14</v>
      </c>
      <c r="D121" s="35" t="s">
        <v>19282</v>
      </c>
      <c r="E121" s="35" t="s">
        <v>19252</v>
      </c>
      <c r="F121" s="35"/>
      <c r="G121" s="36"/>
      <c r="H121" s="36"/>
    </row>
    <row r="122" spans="1:8" x14ac:dyDescent="0.25">
      <c r="A122" s="29">
        <v>95050</v>
      </c>
      <c r="B122" t="s">
        <v>19380</v>
      </c>
      <c r="C122" s="35" t="s">
        <v>19221</v>
      </c>
      <c r="D122" s="35" t="s">
        <v>19381</v>
      </c>
      <c r="E122" s="35" t="s">
        <v>19226</v>
      </c>
      <c r="F122" s="35"/>
      <c r="G122" s="36"/>
      <c r="H122" s="36"/>
    </row>
    <row r="123" spans="1:8" x14ac:dyDescent="0.25">
      <c r="A123" s="29">
        <v>44071</v>
      </c>
      <c r="B123" t="s">
        <v>19382</v>
      </c>
      <c r="C123" s="35" t="s">
        <v>19221</v>
      </c>
      <c r="D123" s="35" t="s">
        <v>19282</v>
      </c>
      <c r="E123" s="35" t="s">
        <v>19252</v>
      </c>
      <c r="F123" s="35"/>
      <c r="G123" s="36"/>
      <c r="H123" s="36"/>
    </row>
    <row r="124" spans="1:8" x14ac:dyDescent="0.25">
      <c r="A124" s="29">
        <v>59035</v>
      </c>
      <c r="B124" t="s">
        <v>19383</v>
      </c>
      <c r="C124" s="35" t="s">
        <v>14</v>
      </c>
      <c r="D124" s="35" t="s">
        <v>19338</v>
      </c>
      <c r="E124" s="35" t="s">
        <v>19217</v>
      </c>
      <c r="F124" s="35"/>
      <c r="G124" s="36"/>
      <c r="H124" s="36"/>
    </row>
    <row r="125" spans="1:8" x14ac:dyDescent="0.25">
      <c r="A125" s="29">
        <v>41038</v>
      </c>
      <c r="B125" t="s">
        <v>19384</v>
      </c>
      <c r="C125" s="35" t="s">
        <v>14</v>
      </c>
      <c r="D125" s="35" t="s">
        <v>19251</v>
      </c>
      <c r="E125" s="35" t="s">
        <v>19252</v>
      </c>
      <c r="F125" s="35"/>
      <c r="G125" s="36"/>
      <c r="H125" s="36"/>
    </row>
    <row r="126" spans="1:8" x14ac:dyDescent="0.25">
      <c r="A126" s="29">
        <v>71040</v>
      </c>
      <c r="B126" t="s">
        <v>17729</v>
      </c>
      <c r="C126" s="35" t="s">
        <v>14</v>
      </c>
      <c r="D126" s="35" t="s">
        <v>19385</v>
      </c>
      <c r="E126" s="35" t="s">
        <v>19217</v>
      </c>
      <c r="F126" s="35"/>
      <c r="G126" s="36"/>
      <c r="H126" s="36"/>
    </row>
    <row r="127" spans="1:8" x14ac:dyDescent="0.25">
      <c r="A127" s="29">
        <v>98015</v>
      </c>
      <c r="B127" t="s">
        <v>19386</v>
      </c>
      <c r="C127" s="35" t="s">
        <v>19221</v>
      </c>
      <c r="D127" s="35" t="s">
        <v>19315</v>
      </c>
      <c r="E127" s="35" t="s">
        <v>19226</v>
      </c>
      <c r="F127" s="35"/>
      <c r="G127" s="36"/>
      <c r="H127" s="36"/>
    </row>
    <row r="128" spans="1:8" x14ac:dyDescent="0.25">
      <c r="A128" s="29">
        <v>66058</v>
      </c>
      <c r="B128" t="s">
        <v>19387</v>
      </c>
      <c r="C128" s="35" t="s">
        <v>14</v>
      </c>
      <c r="D128" s="35" t="s">
        <v>19272</v>
      </c>
      <c r="E128" s="35" t="s">
        <v>14481</v>
      </c>
      <c r="F128" s="35"/>
      <c r="G128" s="36"/>
      <c r="H128" s="36"/>
    </row>
    <row r="129" spans="1:8" x14ac:dyDescent="0.25">
      <c r="A129" s="29">
        <v>30090</v>
      </c>
      <c r="B129" t="s">
        <v>6926</v>
      </c>
      <c r="C129" s="35" t="s">
        <v>19221</v>
      </c>
      <c r="D129" s="35" t="s">
        <v>19257</v>
      </c>
      <c r="E129" s="35" t="s">
        <v>19252</v>
      </c>
      <c r="F129" s="35"/>
      <c r="G129" s="36"/>
      <c r="H129" s="36"/>
    </row>
    <row r="130" spans="1:8" x14ac:dyDescent="0.25">
      <c r="A130" s="29">
        <v>46080</v>
      </c>
      <c r="B130" t="s">
        <v>19388</v>
      </c>
      <c r="C130" s="35" t="s">
        <v>14</v>
      </c>
      <c r="D130" s="35" t="s">
        <v>19216</v>
      </c>
      <c r="E130" s="35" t="s">
        <v>19217</v>
      </c>
      <c r="F130" s="35"/>
      <c r="G130" s="36"/>
      <c r="H130" s="36"/>
    </row>
    <row r="131" spans="1:8" x14ac:dyDescent="0.25">
      <c r="A131" s="29">
        <v>61013</v>
      </c>
      <c r="B131" t="s">
        <v>17724</v>
      </c>
      <c r="C131" s="35" t="s">
        <v>19221</v>
      </c>
      <c r="D131" s="35" t="s">
        <v>17483</v>
      </c>
      <c r="E131" s="35" t="s">
        <v>19310</v>
      </c>
      <c r="F131" s="35"/>
      <c r="G131" s="36"/>
      <c r="H131" s="36"/>
    </row>
    <row r="132" spans="1:8" x14ac:dyDescent="0.25">
      <c r="A132" s="29">
        <v>40047</v>
      </c>
      <c r="B132" t="s">
        <v>19389</v>
      </c>
      <c r="C132" s="35" t="s">
        <v>14</v>
      </c>
      <c r="D132" s="35" t="s">
        <v>19390</v>
      </c>
      <c r="E132" s="35" t="s">
        <v>19252</v>
      </c>
      <c r="F132" s="35"/>
      <c r="G132" s="36"/>
      <c r="H132" s="36"/>
    </row>
    <row r="133" spans="1:8" x14ac:dyDescent="0.25">
      <c r="A133" s="29">
        <v>40047</v>
      </c>
      <c r="B133" t="s">
        <v>19389</v>
      </c>
      <c r="C133" s="35" t="s">
        <v>14</v>
      </c>
      <c r="D133" s="35" t="s">
        <v>19390</v>
      </c>
      <c r="E133" s="35" t="s">
        <v>19252</v>
      </c>
      <c r="F133" s="35"/>
      <c r="G133" s="36"/>
      <c r="H133" s="36"/>
    </row>
    <row r="134" spans="1:8" x14ac:dyDescent="0.25">
      <c r="A134" s="29">
        <v>40047</v>
      </c>
      <c r="B134" t="s">
        <v>19389</v>
      </c>
      <c r="C134" s="35" t="s">
        <v>14</v>
      </c>
      <c r="D134" s="35" t="s">
        <v>19390</v>
      </c>
      <c r="E134" s="35" t="s">
        <v>19252</v>
      </c>
      <c r="F134" s="35"/>
      <c r="G134" s="36"/>
      <c r="H134" s="36"/>
    </row>
    <row r="135" spans="1:8" x14ac:dyDescent="0.25">
      <c r="A135" s="29">
        <v>40047</v>
      </c>
      <c r="B135" t="s">
        <v>19389</v>
      </c>
      <c r="C135" s="35" t="s">
        <v>14</v>
      </c>
      <c r="D135" s="35" t="s">
        <v>19390</v>
      </c>
      <c r="E135" s="35" t="s">
        <v>19252</v>
      </c>
      <c r="F135" s="35"/>
      <c r="G135" s="36"/>
      <c r="H135" s="36"/>
    </row>
    <row r="136" spans="1:8" x14ac:dyDescent="0.25">
      <c r="A136" s="29">
        <v>39152</v>
      </c>
      <c r="B136" t="s">
        <v>19391</v>
      </c>
      <c r="C136" s="35" t="s">
        <v>14</v>
      </c>
      <c r="D136" s="35" t="s">
        <v>19370</v>
      </c>
      <c r="E136" s="35" t="s">
        <v>19255</v>
      </c>
      <c r="F136" s="35"/>
      <c r="G136" s="36"/>
      <c r="H136" s="36"/>
    </row>
    <row r="137" spans="1:8" x14ac:dyDescent="0.25">
      <c r="A137" s="29">
        <v>13005</v>
      </c>
      <c r="B137" t="s">
        <v>19392</v>
      </c>
      <c r="C137" s="35" t="s">
        <v>14</v>
      </c>
      <c r="D137" s="35" t="s">
        <v>19256</v>
      </c>
      <c r="E137" s="35" t="s">
        <v>19232</v>
      </c>
      <c r="F137" s="35"/>
      <c r="G137" s="36"/>
      <c r="H137" s="36"/>
    </row>
    <row r="138" spans="1:8" x14ac:dyDescent="0.25">
      <c r="A138" s="29">
        <v>83070</v>
      </c>
      <c r="B138" t="s">
        <v>17719</v>
      </c>
      <c r="C138" s="35" t="s">
        <v>19221</v>
      </c>
      <c r="D138" s="35" t="s">
        <v>19259</v>
      </c>
      <c r="E138" s="35" t="s">
        <v>19235</v>
      </c>
      <c r="F138" s="35"/>
      <c r="G138" s="36"/>
      <c r="H138" s="36"/>
    </row>
    <row r="139" spans="1:8" x14ac:dyDescent="0.25">
      <c r="A139" s="29">
        <v>67025</v>
      </c>
      <c r="B139" t="s">
        <v>19393</v>
      </c>
      <c r="C139" s="35" t="s">
        <v>14</v>
      </c>
      <c r="D139" s="35" t="s">
        <v>19340</v>
      </c>
      <c r="E139" s="35" t="s">
        <v>19217</v>
      </c>
      <c r="F139" s="35"/>
      <c r="G139" s="36"/>
      <c r="H139" s="36"/>
    </row>
    <row r="140" spans="1:8" x14ac:dyDescent="0.25">
      <c r="A140" s="29">
        <v>83005</v>
      </c>
      <c r="B140" t="s">
        <v>19394</v>
      </c>
      <c r="C140" s="35" t="s">
        <v>19221</v>
      </c>
      <c r="D140" s="35" t="s">
        <v>19259</v>
      </c>
      <c r="E140" s="35" t="s">
        <v>19235</v>
      </c>
      <c r="F140" s="35"/>
      <c r="G140" s="36"/>
      <c r="H140" s="36"/>
    </row>
    <row r="141" spans="1:8" x14ac:dyDescent="0.25">
      <c r="A141" s="29">
        <v>93005</v>
      </c>
      <c r="B141" t="s">
        <v>1472</v>
      </c>
      <c r="C141" s="35" t="s">
        <v>14</v>
      </c>
      <c r="D141" s="35" t="s">
        <v>19237</v>
      </c>
      <c r="E141" s="35" t="s">
        <v>19229</v>
      </c>
      <c r="F141" s="35"/>
      <c r="G141" s="36"/>
      <c r="H141" s="36"/>
    </row>
    <row r="142" spans="1:8" x14ac:dyDescent="0.25">
      <c r="A142" s="29">
        <v>38070</v>
      </c>
      <c r="B142" t="s">
        <v>19395</v>
      </c>
      <c r="C142" s="35" t="s">
        <v>19221</v>
      </c>
      <c r="D142" s="35" t="s">
        <v>19297</v>
      </c>
      <c r="E142" s="35" t="s">
        <v>19255</v>
      </c>
      <c r="F142" s="35"/>
      <c r="G142" s="36"/>
      <c r="H142" s="36"/>
    </row>
    <row r="143" spans="1:8" x14ac:dyDescent="0.25">
      <c r="A143" s="29">
        <v>34058</v>
      </c>
      <c r="B143" t="s">
        <v>19396</v>
      </c>
      <c r="C143" s="35" t="s">
        <v>19221</v>
      </c>
      <c r="D143" s="35" t="s">
        <v>19347</v>
      </c>
      <c r="E143" s="35" t="s">
        <v>19276</v>
      </c>
      <c r="F143" s="35"/>
      <c r="G143" s="36"/>
      <c r="H143" s="36"/>
    </row>
    <row r="144" spans="1:8" x14ac:dyDescent="0.25">
      <c r="A144" s="29">
        <v>72010</v>
      </c>
      <c r="B144" t="s">
        <v>17631</v>
      </c>
      <c r="C144" s="35" t="s">
        <v>14</v>
      </c>
      <c r="D144" s="35" t="s">
        <v>19397</v>
      </c>
      <c r="E144" s="35" t="s">
        <v>19240</v>
      </c>
      <c r="F144" s="35"/>
      <c r="G144" s="36"/>
      <c r="H144" s="36"/>
    </row>
    <row r="145" spans="1:8" x14ac:dyDescent="0.25">
      <c r="A145" s="29">
        <v>31020</v>
      </c>
      <c r="B145" t="s">
        <v>19398</v>
      </c>
      <c r="C145" s="35" t="s">
        <v>19327</v>
      </c>
      <c r="D145" s="35" t="s">
        <v>19222</v>
      </c>
      <c r="E145" s="35" t="s">
        <v>19223</v>
      </c>
      <c r="F145" s="35"/>
      <c r="G145" s="36"/>
      <c r="H145" s="36"/>
    </row>
    <row r="146" spans="1:8" x14ac:dyDescent="0.25">
      <c r="A146" s="29">
        <v>31015</v>
      </c>
      <c r="B146" t="s">
        <v>19398</v>
      </c>
      <c r="C146" s="35" t="s">
        <v>14</v>
      </c>
      <c r="D146" s="35" t="s">
        <v>19222</v>
      </c>
      <c r="E146" s="35" t="s">
        <v>19223</v>
      </c>
      <c r="F146" s="35"/>
      <c r="G146" s="36"/>
      <c r="H146" s="36"/>
    </row>
    <row r="147" spans="1:8" x14ac:dyDescent="0.25">
      <c r="A147" s="29">
        <v>44023</v>
      </c>
      <c r="B147" t="s">
        <v>19399</v>
      </c>
      <c r="C147" s="35" t="s">
        <v>19221</v>
      </c>
      <c r="D147" s="35" t="s">
        <v>19282</v>
      </c>
      <c r="E147" s="35" t="s">
        <v>19252</v>
      </c>
      <c r="F147" s="35"/>
      <c r="G147" s="36"/>
      <c r="H147" s="36"/>
    </row>
    <row r="148" spans="1:8" x14ac:dyDescent="0.25">
      <c r="A148" s="29">
        <v>92022</v>
      </c>
      <c r="B148" t="s">
        <v>19400</v>
      </c>
      <c r="C148" s="35" t="s">
        <v>14</v>
      </c>
      <c r="D148" s="35" t="s">
        <v>19228</v>
      </c>
      <c r="E148" s="35" t="s">
        <v>19229</v>
      </c>
      <c r="F148" s="35"/>
      <c r="G148" s="36"/>
      <c r="H148" s="36"/>
    </row>
    <row r="149" spans="1:8" x14ac:dyDescent="0.25">
      <c r="A149" s="29">
        <v>66142</v>
      </c>
      <c r="B149" t="s">
        <v>19401</v>
      </c>
      <c r="C149" s="35" t="s">
        <v>14</v>
      </c>
      <c r="D149" s="35" t="s">
        <v>19272</v>
      </c>
      <c r="E149" s="35" t="s">
        <v>14481</v>
      </c>
      <c r="F149" s="35"/>
      <c r="G149" s="36"/>
      <c r="H149" s="36"/>
    </row>
    <row r="150" spans="1:8" x14ac:dyDescent="0.25">
      <c r="A150" s="29">
        <v>34025</v>
      </c>
      <c r="B150" t="s">
        <v>19402</v>
      </c>
      <c r="C150" s="35" t="s">
        <v>14</v>
      </c>
      <c r="D150" s="35" t="s">
        <v>19347</v>
      </c>
      <c r="E150" s="35" t="s">
        <v>19276</v>
      </c>
      <c r="F150" s="35"/>
      <c r="G150" s="36"/>
      <c r="H150" s="36"/>
    </row>
    <row r="151" spans="1:8" x14ac:dyDescent="0.25">
      <c r="A151" s="29">
        <v>66087</v>
      </c>
      <c r="B151" t="s">
        <v>17626</v>
      </c>
      <c r="C151" s="35" t="s">
        <v>14</v>
      </c>
      <c r="D151" s="35" t="s">
        <v>19272</v>
      </c>
      <c r="E151" s="35" t="s">
        <v>14481</v>
      </c>
      <c r="F151" s="35"/>
      <c r="G151" s="36"/>
      <c r="H151" s="36"/>
    </row>
    <row r="152" spans="1:8" x14ac:dyDescent="0.25">
      <c r="A152" s="29">
        <v>33040</v>
      </c>
      <c r="B152" t="s">
        <v>19403</v>
      </c>
      <c r="C152" s="35" t="s">
        <v>19221</v>
      </c>
      <c r="D152" s="35" t="s">
        <v>19404</v>
      </c>
      <c r="E152" s="35" t="s">
        <v>19223</v>
      </c>
      <c r="F152" s="35"/>
      <c r="G152" s="36"/>
      <c r="H152" s="36"/>
    </row>
    <row r="153" spans="1:8" x14ac:dyDescent="0.25">
      <c r="A153" s="29">
        <v>49058</v>
      </c>
      <c r="B153" t="s">
        <v>17621</v>
      </c>
      <c r="C153" s="35" t="s">
        <v>14</v>
      </c>
      <c r="D153" s="35" t="s">
        <v>19405</v>
      </c>
      <c r="E153" s="35" t="s">
        <v>19255</v>
      </c>
      <c r="F153" s="35"/>
      <c r="G153" s="36"/>
      <c r="H153" s="36"/>
    </row>
    <row r="154" spans="1:8" x14ac:dyDescent="0.25">
      <c r="A154" s="29">
        <v>41117</v>
      </c>
      <c r="B154" t="s">
        <v>19406</v>
      </c>
      <c r="C154" s="35" t="s">
        <v>19221</v>
      </c>
      <c r="D154" s="35" t="s">
        <v>19251</v>
      </c>
      <c r="E154" s="35" t="s">
        <v>19252</v>
      </c>
      <c r="F154" s="35"/>
      <c r="G154" s="36"/>
      <c r="H154" s="36"/>
    </row>
    <row r="155" spans="1:8" x14ac:dyDescent="0.25">
      <c r="A155" s="29">
        <v>80135</v>
      </c>
      <c r="B155" t="s">
        <v>19407</v>
      </c>
      <c r="C155" s="35" t="s">
        <v>19221</v>
      </c>
      <c r="D155" s="35" t="s">
        <v>8694</v>
      </c>
      <c r="E155" s="35" t="s">
        <v>19235</v>
      </c>
      <c r="F155" s="35"/>
      <c r="G155" s="36"/>
      <c r="H155" s="36"/>
    </row>
    <row r="156" spans="1:8" x14ac:dyDescent="0.25">
      <c r="A156" s="29">
        <v>85030</v>
      </c>
      <c r="B156" t="s">
        <v>19408</v>
      </c>
      <c r="C156" s="35" t="s">
        <v>19221</v>
      </c>
      <c r="D156" s="35" t="s">
        <v>19289</v>
      </c>
      <c r="E156" s="35" t="s">
        <v>19243</v>
      </c>
      <c r="F156" s="35"/>
      <c r="G156" s="36"/>
      <c r="H156" s="36"/>
    </row>
    <row r="157" spans="1:8" x14ac:dyDescent="0.25">
      <c r="A157" s="29">
        <v>69075</v>
      </c>
      <c r="B157" t="s">
        <v>19409</v>
      </c>
      <c r="C157" s="35" t="s">
        <v>19238</v>
      </c>
      <c r="D157" s="35" t="s">
        <v>19410</v>
      </c>
      <c r="E157" s="35" t="s">
        <v>19217</v>
      </c>
      <c r="F157" s="35"/>
      <c r="G157" s="36"/>
      <c r="H157" s="36"/>
    </row>
    <row r="158" spans="1:8" x14ac:dyDescent="0.25">
      <c r="A158" s="29">
        <v>46050</v>
      </c>
      <c r="B158" t="s">
        <v>19411</v>
      </c>
      <c r="C158" s="35" t="s">
        <v>14</v>
      </c>
      <c r="D158" s="35" t="s">
        <v>19216</v>
      </c>
      <c r="E158" s="35" t="s">
        <v>19217</v>
      </c>
      <c r="F158" s="35"/>
      <c r="G158" s="36"/>
      <c r="H158" s="36"/>
    </row>
    <row r="159" spans="1:8" x14ac:dyDescent="0.25">
      <c r="A159" s="29">
        <v>87005</v>
      </c>
      <c r="B159" t="s">
        <v>19412</v>
      </c>
      <c r="C159" s="35" t="s">
        <v>14</v>
      </c>
      <c r="D159" s="35" t="s">
        <v>19263</v>
      </c>
      <c r="E159" s="35" t="s">
        <v>19243</v>
      </c>
      <c r="F159" s="35"/>
      <c r="G159" s="36"/>
      <c r="H159" s="36"/>
    </row>
    <row r="160" spans="1:8" x14ac:dyDescent="0.25">
      <c r="A160" s="29">
        <v>87085</v>
      </c>
      <c r="B160" t="s">
        <v>12559</v>
      </c>
      <c r="C160" s="35" t="s">
        <v>19221</v>
      </c>
      <c r="D160" s="35" t="s">
        <v>19263</v>
      </c>
      <c r="E160" s="35" t="s">
        <v>19243</v>
      </c>
      <c r="F160" s="35"/>
      <c r="G160" s="36"/>
      <c r="H160" s="36"/>
    </row>
    <row r="161" spans="1:8" x14ac:dyDescent="0.25">
      <c r="A161" s="29">
        <v>49015</v>
      </c>
      <c r="B161" t="s">
        <v>19413</v>
      </c>
      <c r="C161" s="35" t="s">
        <v>19221</v>
      </c>
      <c r="D161" s="35" t="s">
        <v>19405</v>
      </c>
      <c r="E161" s="35" t="s">
        <v>19255</v>
      </c>
      <c r="F161" s="35"/>
      <c r="G161" s="36"/>
      <c r="H161" s="36"/>
    </row>
    <row r="162" spans="1:8" x14ac:dyDescent="0.25">
      <c r="A162" s="29">
        <v>41060</v>
      </c>
      <c r="B162" t="s">
        <v>19414</v>
      </c>
      <c r="C162" s="35" t="s">
        <v>14</v>
      </c>
      <c r="D162" s="35" t="s">
        <v>19251</v>
      </c>
      <c r="E162" s="35" t="s">
        <v>19252</v>
      </c>
      <c r="F162" s="35"/>
      <c r="G162" s="36"/>
      <c r="H162" s="36"/>
    </row>
    <row r="163" spans="1:8" x14ac:dyDescent="0.25">
      <c r="A163" s="29">
        <v>41060</v>
      </c>
      <c r="B163" t="s">
        <v>19414</v>
      </c>
      <c r="C163" s="35" t="s">
        <v>14</v>
      </c>
      <c r="D163" s="35" t="s">
        <v>19251</v>
      </c>
      <c r="E163" s="35" t="s">
        <v>19252</v>
      </c>
      <c r="F163" s="35"/>
      <c r="G163" s="36"/>
      <c r="H163" s="36"/>
    </row>
    <row r="164" spans="1:8" x14ac:dyDescent="0.25">
      <c r="A164" s="29">
        <v>41060</v>
      </c>
      <c r="B164" t="s">
        <v>19414</v>
      </c>
      <c r="C164" s="35" t="s">
        <v>14</v>
      </c>
      <c r="D164" s="35" t="s">
        <v>19251</v>
      </c>
      <c r="E164" s="35" t="s">
        <v>19252</v>
      </c>
      <c r="F164" s="35"/>
      <c r="G164" s="36"/>
      <c r="H164" s="36"/>
    </row>
    <row r="165" spans="1:8" x14ac:dyDescent="0.25">
      <c r="A165" s="29">
        <v>41060</v>
      </c>
      <c r="B165" t="s">
        <v>19414</v>
      </c>
      <c r="C165" s="35" t="s">
        <v>14</v>
      </c>
      <c r="D165" s="35" t="s">
        <v>19251</v>
      </c>
      <c r="E165" s="35" t="s">
        <v>19252</v>
      </c>
      <c r="F165" s="35"/>
      <c r="G165" s="36"/>
      <c r="H165" s="36"/>
    </row>
    <row r="166" spans="1:8" x14ac:dyDescent="0.25">
      <c r="A166" s="29">
        <v>31122</v>
      </c>
      <c r="B166" t="s">
        <v>19415</v>
      </c>
      <c r="C166" s="35" t="s">
        <v>19221</v>
      </c>
      <c r="D166" s="35" t="s">
        <v>19222</v>
      </c>
      <c r="E166" s="35" t="s">
        <v>19223</v>
      </c>
      <c r="F166" s="35"/>
      <c r="G166" s="36"/>
      <c r="H166" s="36"/>
    </row>
    <row r="167" spans="1:8" x14ac:dyDescent="0.25">
      <c r="A167" s="29">
        <v>46085</v>
      </c>
      <c r="B167" t="s">
        <v>19416</v>
      </c>
      <c r="C167" s="35" t="s">
        <v>19221</v>
      </c>
      <c r="D167" s="35" t="s">
        <v>19216</v>
      </c>
      <c r="E167" s="35" t="s">
        <v>19217</v>
      </c>
      <c r="F167" s="35"/>
      <c r="G167" s="36"/>
      <c r="H167" s="36"/>
    </row>
    <row r="168" spans="1:8" x14ac:dyDescent="0.25">
      <c r="A168" s="29">
        <v>44010</v>
      </c>
      <c r="B168" t="s">
        <v>19417</v>
      </c>
      <c r="C168" s="35" t="s">
        <v>19221</v>
      </c>
      <c r="D168" s="35" t="s">
        <v>19282</v>
      </c>
      <c r="E168" s="35" t="s">
        <v>19252</v>
      </c>
      <c r="F168" s="35"/>
      <c r="G168" s="36"/>
      <c r="H168" s="36"/>
    </row>
    <row r="169" spans="1:8" x14ac:dyDescent="0.25">
      <c r="A169" s="29">
        <v>45093</v>
      </c>
      <c r="B169" t="s">
        <v>19418</v>
      </c>
      <c r="C169" s="35" t="s">
        <v>19221</v>
      </c>
      <c r="D169" s="35" t="s">
        <v>19261</v>
      </c>
      <c r="E169" s="35" t="s">
        <v>19252</v>
      </c>
      <c r="F169" s="35"/>
      <c r="G169" s="36"/>
      <c r="H169" s="36"/>
    </row>
    <row r="170" spans="1:8" x14ac:dyDescent="0.25">
      <c r="A170" s="29">
        <v>83075</v>
      </c>
      <c r="B170" t="s">
        <v>19419</v>
      </c>
      <c r="C170" s="35" t="s">
        <v>19221</v>
      </c>
      <c r="D170" s="35" t="s">
        <v>19259</v>
      </c>
      <c r="E170" s="35" t="s">
        <v>19235</v>
      </c>
      <c r="F170" s="35"/>
      <c r="G170" s="36"/>
      <c r="H170" s="36"/>
    </row>
    <row r="171" spans="1:8" x14ac:dyDescent="0.25">
      <c r="A171" s="29">
        <v>69050</v>
      </c>
      <c r="B171" t="s">
        <v>19420</v>
      </c>
      <c r="C171" s="35" t="s">
        <v>19221</v>
      </c>
      <c r="D171" s="35" t="s">
        <v>19410</v>
      </c>
      <c r="E171" s="35" t="s">
        <v>19217</v>
      </c>
      <c r="F171" s="35"/>
      <c r="G171" s="36"/>
      <c r="H171" s="36"/>
    </row>
    <row r="172" spans="1:8" x14ac:dyDescent="0.25">
      <c r="A172" s="29">
        <v>62053</v>
      </c>
      <c r="B172" t="s">
        <v>17612</v>
      </c>
      <c r="C172" s="35" t="s">
        <v>19221</v>
      </c>
      <c r="D172" s="35" t="s">
        <v>19368</v>
      </c>
      <c r="E172" s="35" t="s">
        <v>19310</v>
      </c>
      <c r="F172" s="35"/>
      <c r="G172" s="36"/>
      <c r="H172" s="36"/>
    </row>
    <row r="173" spans="1:8" x14ac:dyDescent="0.25">
      <c r="A173" s="29">
        <v>6025</v>
      </c>
      <c r="B173" t="s">
        <v>19421</v>
      </c>
      <c r="C173" s="35" t="s">
        <v>19221</v>
      </c>
      <c r="D173" s="35" t="s">
        <v>19349</v>
      </c>
      <c r="E173" s="35" t="s">
        <v>19321</v>
      </c>
      <c r="F173" s="35"/>
      <c r="G173" s="36"/>
      <c r="H173" s="36"/>
    </row>
    <row r="174" spans="1:8" x14ac:dyDescent="0.25">
      <c r="A174" s="29">
        <v>10005</v>
      </c>
      <c r="B174" t="s">
        <v>19422</v>
      </c>
      <c r="C174" s="35" t="s">
        <v>19221</v>
      </c>
      <c r="D174" s="35" t="s">
        <v>19423</v>
      </c>
      <c r="E174" s="35" t="s">
        <v>19232</v>
      </c>
      <c r="F174" s="35"/>
      <c r="G174" s="36"/>
      <c r="H174" s="36"/>
    </row>
    <row r="175" spans="1:8" x14ac:dyDescent="0.25">
      <c r="A175" s="29">
        <v>77011</v>
      </c>
      <c r="B175" t="s">
        <v>19424</v>
      </c>
      <c r="C175" s="35" t="s">
        <v>14</v>
      </c>
      <c r="D175" s="35" t="s">
        <v>19425</v>
      </c>
      <c r="E175" s="35" t="s">
        <v>19240</v>
      </c>
      <c r="F175" s="35"/>
      <c r="G175" s="36"/>
      <c r="H175" s="36"/>
    </row>
    <row r="176" spans="1:8" x14ac:dyDescent="0.25">
      <c r="A176" s="29">
        <v>46112</v>
      </c>
      <c r="B176" t="s">
        <v>19426</v>
      </c>
      <c r="C176" s="35" t="s">
        <v>14</v>
      </c>
      <c r="D176" s="35" t="s">
        <v>19216</v>
      </c>
      <c r="E176" s="35" t="s">
        <v>19217</v>
      </c>
      <c r="F176" s="35"/>
      <c r="G176" s="36"/>
      <c r="H176" s="36"/>
    </row>
    <row r="177" spans="1:8" x14ac:dyDescent="0.25">
      <c r="A177" s="29">
        <v>80005</v>
      </c>
      <c r="B177" t="s">
        <v>19427</v>
      </c>
      <c r="C177" s="35" t="s">
        <v>19221</v>
      </c>
      <c r="D177" s="35" t="s">
        <v>8694</v>
      </c>
      <c r="E177" s="35" t="s">
        <v>19235</v>
      </c>
      <c r="F177" s="35"/>
      <c r="G177" s="36"/>
      <c r="H177" s="36"/>
    </row>
    <row r="178" spans="1:8" x14ac:dyDescent="0.25">
      <c r="A178" s="29">
        <v>94220</v>
      </c>
      <c r="B178" t="s">
        <v>19428</v>
      </c>
      <c r="C178" s="35" t="s">
        <v>19221</v>
      </c>
      <c r="D178" s="35" t="s">
        <v>19300</v>
      </c>
      <c r="E178" s="35" t="s">
        <v>19229</v>
      </c>
      <c r="F178" s="35"/>
      <c r="G178" s="36"/>
      <c r="H178" s="36"/>
    </row>
    <row r="179" spans="1:8" x14ac:dyDescent="0.25">
      <c r="A179" s="29">
        <v>79097</v>
      </c>
      <c r="B179" t="s">
        <v>17606</v>
      </c>
      <c r="C179" s="35" t="s">
        <v>19221</v>
      </c>
      <c r="D179" s="35" t="s">
        <v>19374</v>
      </c>
      <c r="E179" s="35" t="s">
        <v>19240</v>
      </c>
      <c r="F179" s="35"/>
      <c r="G179" s="36"/>
      <c r="H179" s="36"/>
    </row>
    <row r="180" spans="1:8" x14ac:dyDescent="0.25">
      <c r="A180" s="29">
        <v>97035</v>
      </c>
      <c r="B180" t="s">
        <v>17601</v>
      </c>
      <c r="C180" s="35" t="s">
        <v>14</v>
      </c>
      <c r="D180" s="35" t="s">
        <v>19429</v>
      </c>
      <c r="E180" s="35" t="s">
        <v>19226</v>
      </c>
      <c r="F180" s="35"/>
      <c r="G180" s="36"/>
      <c r="H180" s="36"/>
    </row>
    <row r="181" spans="1:8" x14ac:dyDescent="0.25">
      <c r="A181" s="29">
        <v>95045</v>
      </c>
      <c r="B181" t="s">
        <v>19430</v>
      </c>
      <c r="C181" s="35" t="s">
        <v>14</v>
      </c>
      <c r="D181" s="35" t="s">
        <v>19381</v>
      </c>
      <c r="E181" s="35" t="s">
        <v>19226</v>
      </c>
      <c r="F181" s="35"/>
      <c r="G181" s="36"/>
      <c r="H181" s="36"/>
    </row>
    <row r="182" spans="1:8" x14ac:dyDescent="0.25">
      <c r="A182" s="29">
        <v>84060</v>
      </c>
      <c r="B182" t="s">
        <v>19431</v>
      </c>
      <c r="C182" s="35" t="s">
        <v>19215</v>
      </c>
      <c r="D182" s="35" t="s">
        <v>19234</v>
      </c>
      <c r="E182" s="35" t="s">
        <v>19235</v>
      </c>
      <c r="F182" s="35"/>
      <c r="G182" s="36"/>
      <c r="H182" s="36"/>
    </row>
    <row r="183" spans="1:8" x14ac:dyDescent="0.25">
      <c r="A183" s="29">
        <v>38047</v>
      </c>
      <c r="B183" t="s">
        <v>19432</v>
      </c>
      <c r="C183" s="35" t="s">
        <v>19221</v>
      </c>
      <c r="D183" s="35" t="s">
        <v>19297</v>
      </c>
      <c r="E183" s="35" t="s">
        <v>19255</v>
      </c>
      <c r="F183" s="35"/>
      <c r="G183" s="36"/>
      <c r="H183" s="36"/>
    </row>
    <row r="184" spans="1:8" x14ac:dyDescent="0.25">
      <c r="A184" s="29">
        <v>22010</v>
      </c>
      <c r="B184" t="s">
        <v>19433</v>
      </c>
      <c r="C184" s="35" t="s">
        <v>14</v>
      </c>
      <c r="D184" s="35" t="s">
        <v>19434</v>
      </c>
      <c r="E184" s="35" t="s">
        <v>19276</v>
      </c>
      <c r="F184" s="35"/>
      <c r="G184" s="36"/>
      <c r="H184" s="36"/>
    </row>
    <row r="185" spans="1:8" x14ac:dyDescent="0.25">
      <c r="A185" s="29">
        <v>26005</v>
      </c>
      <c r="B185" t="s">
        <v>19435</v>
      </c>
      <c r="C185" s="35" t="s">
        <v>19221</v>
      </c>
      <c r="D185" s="35" t="s">
        <v>19436</v>
      </c>
      <c r="E185" s="35" t="s">
        <v>19223</v>
      </c>
      <c r="F185" s="35"/>
      <c r="G185" s="36"/>
      <c r="H185" s="36"/>
    </row>
    <row r="186" spans="1:8" x14ac:dyDescent="0.25">
      <c r="A186" s="29">
        <v>69010</v>
      </c>
      <c r="B186" t="s">
        <v>19437</v>
      </c>
      <c r="C186" s="35" t="s">
        <v>19221</v>
      </c>
      <c r="D186" s="35" t="s">
        <v>19410</v>
      </c>
      <c r="E186" s="35" t="s">
        <v>19217</v>
      </c>
      <c r="F186" s="35"/>
      <c r="G186" s="36"/>
      <c r="H186" s="36"/>
    </row>
    <row r="187" spans="1:8" x14ac:dyDescent="0.25">
      <c r="A187" s="29">
        <v>96015</v>
      </c>
      <c r="B187" t="s">
        <v>19438</v>
      </c>
      <c r="C187" s="35" t="s">
        <v>19221</v>
      </c>
      <c r="D187" s="35" t="s">
        <v>19267</v>
      </c>
      <c r="E187" s="35" t="s">
        <v>19226</v>
      </c>
      <c r="F187" s="35"/>
      <c r="G187" s="36"/>
      <c r="H187" s="36"/>
    </row>
    <row r="188" spans="1:8" x14ac:dyDescent="0.25">
      <c r="A188" s="29">
        <v>46010</v>
      </c>
      <c r="B188" t="s">
        <v>19439</v>
      </c>
      <c r="C188" s="35" t="s">
        <v>19221</v>
      </c>
      <c r="D188" s="35" t="s">
        <v>19216</v>
      </c>
      <c r="E188" s="35" t="s">
        <v>19217</v>
      </c>
      <c r="F188" s="35"/>
      <c r="G188" s="36"/>
      <c r="H188" s="36"/>
    </row>
    <row r="189" spans="1:8" x14ac:dyDescent="0.25">
      <c r="A189" s="29">
        <v>30025</v>
      </c>
      <c r="B189" t="s">
        <v>19440</v>
      </c>
      <c r="C189" s="35" t="s">
        <v>19221</v>
      </c>
      <c r="D189" s="35" t="s">
        <v>19257</v>
      </c>
      <c r="E189" s="35" t="s">
        <v>19252</v>
      </c>
      <c r="F189" s="35"/>
      <c r="G189" s="36"/>
      <c r="H189" s="36"/>
    </row>
    <row r="190" spans="1:8" x14ac:dyDescent="0.25">
      <c r="A190" s="29">
        <v>85055</v>
      </c>
      <c r="B190" t="s">
        <v>19441</v>
      </c>
      <c r="C190" s="35" t="s">
        <v>19221</v>
      </c>
      <c r="D190" s="35" t="s">
        <v>19289</v>
      </c>
      <c r="E190" s="35" t="s">
        <v>19243</v>
      </c>
      <c r="F190" s="35"/>
      <c r="G190" s="36"/>
      <c r="H190" s="36"/>
    </row>
    <row r="191" spans="1:8" x14ac:dyDescent="0.25">
      <c r="A191" s="29">
        <v>87020</v>
      </c>
      <c r="B191" t="s">
        <v>19442</v>
      </c>
      <c r="C191" s="35" t="s">
        <v>19221</v>
      </c>
      <c r="D191" s="35" t="s">
        <v>19263</v>
      </c>
      <c r="E191" s="35" t="s">
        <v>19243</v>
      </c>
      <c r="F191" s="35"/>
      <c r="G191" s="36"/>
      <c r="H191" s="36"/>
    </row>
    <row r="192" spans="1:8" x14ac:dyDescent="0.25">
      <c r="A192" s="29">
        <v>3005</v>
      </c>
      <c r="B192" t="s">
        <v>19443</v>
      </c>
      <c r="C192" s="35" t="s">
        <v>14</v>
      </c>
      <c r="D192" s="35" t="s">
        <v>19379</v>
      </c>
      <c r="E192" s="35" t="s">
        <v>19321</v>
      </c>
      <c r="F192" s="35"/>
      <c r="G192" s="36"/>
      <c r="H192" s="36"/>
    </row>
    <row r="193" spans="1:8" x14ac:dyDescent="0.25">
      <c r="A193" s="29">
        <v>81017</v>
      </c>
      <c r="B193" t="s">
        <v>17590</v>
      </c>
      <c r="C193" s="35" t="s">
        <v>14</v>
      </c>
      <c r="D193" s="35" t="s">
        <v>19360</v>
      </c>
      <c r="E193" s="35" t="s">
        <v>19235</v>
      </c>
      <c r="F193" s="35"/>
      <c r="G193" s="36"/>
      <c r="H193" s="36"/>
    </row>
    <row r="194" spans="1:8" x14ac:dyDescent="0.25">
      <c r="A194" s="29">
        <v>92055</v>
      </c>
      <c r="B194" t="s">
        <v>19444</v>
      </c>
      <c r="C194" s="35" t="s">
        <v>19221</v>
      </c>
      <c r="D194" s="35" t="s">
        <v>19228</v>
      </c>
      <c r="E194" s="35" t="s">
        <v>19229</v>
      </c>
      <c r="F194" s="35"/>
      <c r="G194" s="36"/>
      <c r="H194" s="36"/>
    </row>
    <row r="195" spans="1:8" x14ac:dyDescent="0.25">
      <c r="A195" s="29">
        <v>96010</v>
      </c>
      <c r="B195" t="s">
        <v>19445</v>
      </c>
      <c r="C195" s="35" t="s">
        <v>19215</v>
      </c>
      <c r="D195" s="35" t="s">
        <v>19267</v>
      </c>
      <c r="E195" s="35" t="s">
        <v>19226</v>
      </c>
      <c r="F195" s="35"/>
      <c r="G195" s="36"/>
      <c r="H195" s="36"/>
    </row>
    <row r="196" spans="1:8" x14ac:dyDescent="0.25">
      <c r="A196" s="29">
        <v>69060</v>
      </c>
      <c r="B196" t="s">
        <v>19446</v>
      </c>
      <c r="C196" s="35" t="s">
        <v>19238</v>
      </c>
      <c r="D196" s="35" t="s">
        <v>19410</v>
      </c>
      <c r="E196" s="35" t="s">
        <v>19217</v>
      </c>
      <c r="F196" s="35"/>
      <c r="G196" s="36"/>
      <c r="H196" s="36"/>
    </row>
    <row r="197" spans="1:8" x14ac:dyDescent="0.25">
      <c r="A197" s="29">
        <v>76025</v>
      </c>
      <c r="B197" t="s">
        <v>17555</v>
      </c>
      <c r="C197" s="35" t="s">
        <v>19238</v>
      </c>
      <c r="D197" s="35" t="s">
        <v>19332</v>
      </c>
      <c r="E197" s="35" t="s">
        <v>19240</v>
      </c>
      <c r="F197" s="35"/>
      <c r="G197" s="36"/>
      <c r="H197" s="36"/>
    </row>
    <row r="198" spans="1:8" x14ac:dyDescent="0.25">
      <c r="A198" s="29">
        <v>99060</v>
      </c>
      <c r="B198" t="s">
        <v>19447</v>
      </c>
      <c r="C198" s="35" t="s">
        <v>19221</v>
      </c>
      <c r="D198" s="35" t="s">
        <v>19360</v>
      </c>
      <c r="E198" s="35" t="s">
        <v>19361</v>
      </c>
      <c r="F198" s="35"/>
      <c r="G198" s="36"/>
      <c r="H198" s="36"/>
    </row>
    <row r="199" spans="1:8" x14ac:dyDescent="0.25">
      <c r="A199" s="29">
        <v>83032</v>
      </c>
      <c r="B199" t="s">
        <v>19448</v>
      </c>
      <c r="C199" s="35" t="s">
        <v>14</v>
      </c>
      <c r="D199" s="35" t="s">
        <v>19259</v>
      </c>
      <c r="E199" s="35" t="s">
        <v>19235</v>
      </c>
      <c r="F199" s="35"/>
      <c r="G199" s="36"/>
      <c r="H199" s="36"/>
    </row>
    <row r="200" spans="1:8" x14ac:dyDescent="0.25">
      <c r="A200" s="29">
        <v>47017</v>
      </c>
      <c r="B200" t="s">
        <v>17546</v>
      </c>
      <c r="C200" s="35" t="s">
        <v>14</v>
      </c>
      <c r="D200" s="35" t="s">
        <v>19449</v>
      </c>
      <c r="E200" s="35" t="s">
        <v>19217</v>
      </c>
      <c r="F200" s="35"/>
      <c r="G200" s="36"/>
      <c r="H200" s="36"/>
    </row>
    <row r="201" spans="1:8" x14ac:dyDescent="0.25">
      <c r="A201" s="29">
        <v>2015</v>
      </c>
      <c r="B201" t="s">
        <v>19450</v>
      </c>
      <c r="C201" s="35" t="s">
        <v>14</v>
      </c>
      <c r="D201" s="35" t="s">
        <v>19358</v>
      </c>
      <c r="E201" s="35" t="s">
        <v>19321</v>
      </c>
      <c r="F201" s="35"/>
      <c r="G201" s="36"/>
      <c r="H201" s="36"/>
    </row>
    <row r="202" spans="1:8" x14ac:dyDescent="0.25">
      <c r="A202" s="29">
        <v>35040</v>
      </c>
      <c r="B202" t="s">
        <v>19451</v>
      </c>
      <c r="C202" s="35" t="s">
        <v>19215</v>
      </c>
      <c r="D202" s="35" t="s">
        <v>19452</v>
      </c>
      <c r="E202" s="35" t="s">
        <v>19286</v>
      </c>
      <c r="F202" s="35"/>
      <c r="G202" s="36"/>
      <c r="H202" s="36"/>
    </row>
    <row r="203" spans="1:8" x14ac:dyDescent="0.25">
      <c r="A203" s="29">
        <v>3020</v>
      </c>
      <c r="B203" t="s">
        <v>19453</v>
      </c>
      <c r="C203" s="35" t="s">
        <v>19221</v>
      </c>
      <c r="D203" s="35" t="s">
        <v>19379</v>
      </c>
      <c r="E203" s="35" t="s">
        <v>19321</v>
      </c>
      <c r="F203" s="35"/>
      <c r="G203" s="36"/>
      <c r="H203" s="36"/>
    </row>
    <row r="204" spans="1:8" x14ac:dyDescent="0.25">
      <c r="A204" s="29">
        <v>9060</v>
      </c>
      <c r="B204" t="s">
        <v>19454</v>
      </c>
      <c r="C204" s="35" t="s">
        <v>19221</v>
      </c>
      <c r="D204" s="35" t="s">
        <v>19455</v>
      </c>
      <c r="E204" s="35" t="s">
        <v>19232</v>
      </c>
      <c r="F204" s="35"/>
      <c r="G204" s="36"/>
      <c r="H204" s="36"/>
    </row>
    <row r="205" spans="1:8" x14ac:dyDescent="0.25">
      <c r="A205" s="29">
        <v>83095</v>
      </c>
      <c r="B205" t="s">
        <v>19456</v>
      </c>
      <c r="C205" s="35" t="s">
        <v>19221</v>
      </c>
      <c r="D205" s="35" t="s">
        <v>19259</v>
      </c>
      <c r="E205" s="35" t="s">
        <v>19235</v>
      </c>
      <c r="F205" s="35"/>
      <c r="G205" s="36"/>
      <c r="H205" s="36"/>
    </row>
    <row r="206" spans="1:8" x14ac:dyDescent="0.25">
      <c r="A206" s="29">
        <v>50065</v>
      </c>
      <c r="B206" t="s">
        <v>19457</v>
      </c>
      <c r="C206" s="35" t="s">
        <v>19221</v>
      </c>
      <c r="D206" s="35" t="s">
        <v>19254</v>
      </c>
      <c r="E206" s="35" t="s">
        <v>19255</v>
      </c>
      <c r="F206" s="35"/>
      <c r="G206" s="36"/>
      <c r="H206" s="36"/>
    </row>
    <row r="207" spans="1:8" x14ac:dyDescent="0.25">
      <c r="A207" s="29">
        <v>76055</v>
      </c>
      <c r="B207" t="s">
        <v>17536</v>
      </c>
      <c r="C207" s="35" t="s">
        <v>19215</v>
      </c>
      <c r="D207" s="35" t="s">
        <v>19332</v>
      </c>
      <c r="E207" s="35" t="s">
        <v>19240</v>
      </c>
      <c r="F207" s="35"/>
      <c r="G207" s="36"/>
      <c r="H207" s="36"/>
    </row>
    <row r="208" spans="1:8" x14ac:dyDescent="0.25">
      <c r="A208" s="29">
        <v>76052</v>
      </c>
      <c r="B208" t="s">
        <v>17515</v>
      </c>
      <c r="C208" s="35" t="s">
        <v>19221</v>
      </c>
      <c r="D208" s="35" t="s">
        <v>19332</v>
      </c>
      <c r="E208" s="35" t="s">
        <v>19240</v>
      </c>
      <c r="F208" s="35"/>
      <c r="G208" s="36"/>
      <c r="H208" s="36"/>
    </row>
    <row r="209" spans="1:8" x14ac:dyDescent="0.25">
      <c r="A209" s="29">
        <v>98014</v>
      </c>
      <c r="B209" t="s">
        <v>19458</v>
      </c>
      <c r="C209" s="35" t="s">
        <v>19221</v>
      </c>
      <c r="D209" s="35" t="s">
        <v>19315</v>
      </c>
      <c r="E209" s="35" t="s">
        <v>19226</v>
      </c>
      <c r="F209" s="35"/>
      <c r="G209" s="36"/>
      <c r="H209" s="36"/>
    </row>
    <row r="210" spans="1:8" x14ac:dyDescent="0.25">
      <c r="A210" s="29">
        <v>1042</v>
      </c>
      <c r="B210" t="s">
        <v>19459</v>
      </c>
      <c r="C210" s="35" t="s">
        <v>19221</v>
      </c>
      <c r="D210" s="35" t="s">
        <v>19360</v>
      </c>
      <c r="E210" s="35" t="s">
        <v>19321</v>
      </c>
      <c r="F210" s="35"/>
      <c r="G210" s="36"/>
      <c r="H210" s="36"/>
    </row>
    <row r="211" spans="1:8" x14ac:dyDescent="0.25">
      <c r="A211" s="29">
        <v>8015</v>
      </c>
      <c r="B211" t="s">
        <v>19460</v>
      </c>
      <c r="C211" s="35" t="s">
        <v>19221</v>
      </c>
      <c r="D211" s="35" t="s">
        <v>19269</v>
      </c>
      <c r="E211" s="35" t="s">
        <v>19232</v>
      </c>
      <c r="F211" s="35"/>
      <c r="G211" s="36"/>
      <c r="H211" s="36"/>
    </row>
    <row r="212" spans="1:8" x14ac:dyDescent="0.25">
      <c r="A212" s="29">
        <v>85095</v>
      </c>
      <c r="B212" t="s">
        <v>7742</v>
      </c>
      <c r="C212" s="35" t="s">
        <v>19238</v>
      </c>
      <c r="D212" s="35" t="s">
        <v>19289</v>
      </c>
      <c r="E212" s="35" t="s">
        <v>19243</v>
      </c>
      <c r="F212" s="35"/>
      <c r="G212" s="36"/>
      <c r="H212" s="36"/>
    </row>
    <row r="213" spans="1:8" x14ac:dyDescent="0.25">
      <c r="A213" s="29">
        <v>39010</v>
      </c>
      <c r="B213" t="s">
        <v>19461</v>
      </c>
      <c r="C213" s="35" t="s">
        <v>19238</v>
      </c>
      <c r="D213" s="35" t="s">
        <v>19370</v>
      </c>
      <c r="E213" s="35" t="s">
        <v>19255</v>
      </c>
      <c r="F213" s="35"/>
      <c r="G213" s="36"/>
      <c r="H213" s="36"/>
    </row>
    <row r="214" spans="1:8" x14ac:dyDescent="0.25">
      <c r="A214" s="29">
        <v>41075</v>
      </c>
      <c r="B214" t="s">
        <v>19462</v>
      </c>
      <c r="C214" s="35" t="s">
        <v>19238</v>
      </c>
      <c r="D214" s="35" t="s">
        <v>19251</v>
      </c>
      <c r="E214" s="35" t="s">
        <v>19252</v>
      </c>
      <c r="F214" s="35"/>
      <c r="G214" s="36"/>
      <c r="H214" s="36"/>
    </row>
    <row r="215" spans="1:8" x14ac:dyDescent="0.25">
      <c r="A215" s="29">
        <v>66062</v>
      </c>
      <c r="B215" t="s">
        <v>19463</v>
      </c>
      <c r="C215" s="35" t="s">
        <v>14</v>
      </c>
      <c r="D215" s="35" t="s">
        <v>19272</v>
      </c>
      <c r="E215" s="35" t="s">
        <v>14481</v>
      </c>
      <c r="F215" s="35"/>
      <c r="G215" s="36"/>
      <c r="H215" s="36"/>
    </row>
    <row r="216" spans="1:8" x14ac:dyDescent="0.25">
      <c r="A216" s="29">
        <v>40005</v>
      </c>
      <c r="B216" t="s">
        <v>19464</v>
      </c>
      <c r="C216" s="35" t="s">
        <v>19221</v>
      </c>
      <c r="D216" s="35" t="s">
        <v>19390</v>
      </c>
      <c r="E216" s="35" t="s">
        <v>19252</v>
      </c>
      <c r="F216" s="35"/>
      <c r="G216" s="36"/>
      <c r="H216" s="36"/>
    </row>
    <row r="217" spans="1:8" x14ac:dyDescent="0.25">
      <c r="A217" s="29">
        <v>76065</v>
      </c>
      <c r="B217" t="s">
        <v>19465</v>
      </c>
      <c r="C217" s="35" t="s">
        <v>19238</v>
      </c>
      <c r="D217" s="35" t="s">
        <v>19332</v>
      </c>
      <c r="E217" s="35" t="s">
        <v>19240</v>
      </c>
      <c r="F217" s="35"/>
      <c r="G217" s="36"/>
      <c r="H217" s="36"/>
    </row>
    <row r="218" spans="1:8" x14ac:dyDescent="0.25">
      <c r="A218" s="29">
        <v>45055</v>
      </c>
      <c r="B218" t="s">
        <v>19466</v>
      </c>
      <c r="C218" s="35" t="s">
        <v>19238</v>
      </c>
      <c r="D218" s="35" t="s">
        <v>19261</v>
      </c>
      <c r="E218" s="35" t="s">
        <v>19252</v>
      </c>
      <c r="F218" s="35"/>
      <c r="G218" s="36"/>
      <c r="H218" s="36"/>
    </row>
    <row r="219" spans="1:8" x14ac:dyDescent="0.25">
      <c r="A219" s="29">
        <v>45043</v>
      </c>
      <c r="B219" t="s">
        <v>19466</v>
      </c>
      <c r="C219" s="35" t="s">
        <v>19221</v>
      </c>
      <c r="D219" s="35" t="s">
        <v>19261</v>
      </c>
      <c r="E219" s="35" t="s">
        <v>19252</v>
      </c>
      <c r="F219" s="35"/>
      <c r="G219" s="36"/>
      <c r="H219" s="36"/>
    </row>
    <row r="220" spans="1:8" x14ac:dyDescent="0.25">
      <c r="A220" s="29">
        <v>69005</v>
      </c>
      <c r="B220" t="s">
        <v>19467</v>
      </c>
      <c r="C220" s="35" t="s">
        <v>19238</v>
      </c>
      <c r="D220" s="35" t="s">
        <v>19410</v>
      </c>
      <c r="E220" s="35" t="s">
        <v>19217</v>
      </c>
      <c r="F220" s="35"/>
      <c r="G220" s="36"/>
      <c r="H220" s="36"/>
    </row>
    <row r="221" spans="1:8" x14ac:dyDescent="0.25">
      <c r="A221" s="29">
        <v>98040</v>
      </c>
      <c r="B221" t="s">
        <v>19468</v>
      </c>
      <c r="C221" s="35" t="s">
        <v>19221</v>
      </c>
      <c r="D221" s="35" t="s">
        <v>19225</v>
      </c>
      <c r="E221" s="35" t="s">
        <v>19226</v>
      </c>
      <c r="F221" s="35"/>
      <c r="G221" s="36"/>
      <c r="H221" s="36"/>
    </row>
    <row r="222" spans="1:8" x14ac:dyDescent="0.25">
      <c r="A222" s="29">
        <v>93020</v>
      </c>
      <c r="B222" t="s">
        <v>19469</v>
      </c>
      <c r="C222" s="35" t="s">
        <v>19221</v>
      </c>
      <c r="D222" s="35" t="s">
        <v>19237</v>
      </c>
      <c r="E222" s="35" t="s">
        <v>19229</v>
      </c>
      <c r="F222" s="35"/>
      <c r="G222" s="36"/>
      <c r="H222" s="36"/>
    </row>
    <row r="223" spans="1:8" x14ac:dyDescent="0.25">
      <c r="A223" s="29">
        <v>93025</v>
      </c>
      <c r="B223" t="s">
        <v>19470</v>
      </c>
      <c r="C223" s="35" t="s">
        <v>19215</v>
      </c>
      <c r="D223" s="35" t="s">
        <v>19237</v>
      </c>
      <c r="E223" s="35" t="s">
        <v>19229</v>
      </c>
      <c r="F223" s="35"/>
      <c r="G223" s="36"/>
      <c r="H223" s="36"/>
    </row>
    <row r="224" spans="1:8" x14ac:dyDescent="0.25">
      <c r="A224" s="29">
        <v>68015</v>
      </c>
      <c r="B224" t="s">
        <v>19471</v>
      </c>
      <c r="C224" s="35" t="s">
        <v>19238</v>
      </c>
      <c r="D224" s="35" t="s">
        <v>19472</v>
      </c>
      <c r="E224" s="35" t="s">
        <v>19217</v>
      </c>
      <c r="F224" s="35"/>
      <c r="G224" s="36"/>
      <c r="H224" s="36"/>
    </row>
    <row r="225" spans="1:8" x14ac:dyDescent="0.25">
      <c r="A225" s="29">
        <v>68010</v>
      </c>
      <c r="B225" t="s">
        <v>19471</v>
      </c>
      <c r="C225" s="35" t="s">
        <v>19215</v>
      </c>
      <c r="D225" s="35" t="s">
        <v>19472</v>
      </c>
      <c r="E225" s="35" t="s">
        <v>19217</v>
      </c>
      <c r="F225" s="35"/>
      <c r="G225" s="36"/>
      <c r="H225" s="36"/>
    </row>
    <row r="226" spans="1:8" x14ac:dyDescent="0.25">
      <c r="A226" s="29">
        <v>56042</v>
      </c>
      <c r="B226" t="s">
        <v>19473</v>
      </c>
      <c r="C226" s="35" t="s">
        <v>19221</v>
      </c>
      <c r="D226" s="35" t="s">
        <v>19474</v>
      </c>
      <c r="E226" s="35" t="s">
        <v>19217</v>
      </c>
      <c r="F226" s="35"/>
      <c r="G226" s="36"/>
      <c r="H226" s="36"/>
    </row>
    <row r="227" spans="1:8" x14ac:dyDescent="0.25">
      <c r="A227" s="29">
        <v>35035</v>
      </c>
      <c r="B227" t="s">
        <v>19475</v>
      </c>
      <c r="C227" s="35" t="s">
        <v>19327</v>
      </c>
      <c r="D227" s="35" t="s">
        <v>19452</v>
      </c>
      <c r="E227" s="35" t="s">
        <v>19286</v>
      </c>
      <c r="F227" s="35"/>
      <c r="G227" s="36"/>
      <c r="H227" s="36"/>
    </row>
    <row r="228" spans="1:8" x14ac:dyDescent="0.25">
      <c r="A228" s="29">
        <v>69045</v>
      </c>
      <c r="B228" t="s">
        <v>19476</v>
      </c>
      <c r="C228" s="35" t="s">
        <v>19221</v>
      </c>
      <c r="D228" s="35" t="s">
        <v>19410</v>
      </c>
      <c r="E228" s="35" t="s">
        <v>19217</v>
      </c>
      <c r="F228" s="35"/>
      <c r="G228" s="36"/>
      <c r="H228" s="36"/>
    </row>
    <row r="229" spans="1:8" x14ac:dyDescent="0.25">
      <c r="A229" s="29">
        <v>19070</v>
      </c>
      <c r="B229" t="s">
        <v>19477</v>
      </c>
      <c r="C229" s="35" t="s">
        <v>19221</v>
      </c>
      <c r="D229" s="35" t="s">
        <v>19248</v>
      </c>
      <c r="E229" s="35" t="s">
        <v>19223</v>
      </c>
      <c r="F229" s="35"/>
      <c r="G229" s="36"/>
      <c r="H229" s="36"/>
    </row>
    <row r="230" spans="1:8" x14ac:dyDescent="0.25">
      <c r="A230" s="29">
        <v>5025</v>
      </c>
      <c r="B230" t="s">
        <v>19478</v>
      </c>
      <c r="C230" s="35" t="s">
        <v>19238</v>
      </c>
      <c r="D230" s="35" t="s">
        <v>19320</v>
      </c>
      <c r="E230" s="35" t="s">
        <v>19321</v>
      </c>
      <c r="F230" s="35"/>
      <c r="G230" s="36"/>
      <c r="H230" s="36"/>
    </row>
    <row r="231" spans="1:8" x14ac:dyDescent="0.25">
      <c r="A231" s="29">
        <v>5020</v>
      </c>
      <c r="B231" t="s">
        <v>19479</v>
      </c>
      <c r="C231" s="35" t="s">
        <v>19221</v>
      </c>
      <c r="D231" s="35" t="s">
        <v>19320</v>
      </c>
      <c r="E231" s="35" t="s">
        <v>19321</v>
      </c>
      <c r="F231" s="35"/>
      <c r="G231" s="36"/>
      <c r="H231" s="36"/>
    </row>
    <row r="232" spans="1:8" x14ac:dyDescent="0.25">
      <c r="A232" s="29">
        <v>69025</v>
      </c>
      <c r="B232" t="s">
        <v>19480</v>
      </c>
      <c r="C232" s="35" t="s">
        <v>19221</v>
      </c>
      <c r="D232" s="35" t="s">
        <v>19410</v>
      </c>
      <c r="E232" s="35" t="s">
        <v>19217</v>
      </c>
      <c r="F232" s="35"/>
      <c r="G232" s="36"/>
      <c r="H232" s="36"/>
    </row>
    <row r="233" spans="1:8" x14ac:dyDescent="0.25">
      <c r="A233" s="29">
        <v>78065</v>
      </c>
      <c r="B233" t="s">
        <v>5653</v>
      </c>
      <c r="C233" s="35" t="s">
        <v>19221</v>
      </c>
      <c r="D233" s="35" t="s">
        <v>19239</v>
      </c>
      <c r="E233" s="35" t="s">
        <v>19240</v>
      </c>
      <c r="F233" s="35"/>
      <c r="G233" s="36"/>
      <c r="H233" s="36"/>
    </row>
    <row r="234" spans="1:8" x14ac:dyDescent="0.25">
      <c r="A234" s="29">
        <v>71100</v>
      </c>
      <c r="B234" t="s">
        <v>19481</v>
      </c>
      <c r="C234" s="35" t="s">
        <v>14</v>
      </c>
      <c r="D234" s="35" t="s">
        <v>19482</v>
      </c>
      <c r="E234" s="35" t="s">
        <v>19217</v>
      </c>
      <c r="F234" s="35"/>
      <c r="G234" s="36"/>
      <c r="H234" s="36"/>
    </row>
    <row r="235" spans="1:8" x14ac:dyDescent="0.25">
      <c r="A235" s="29">
        <v>69055</v>
      </c>
      <c r="B235" t="s">
        <v>19483</v>
      </c>
      <c r="C235" s="35" t="s">
        <v>14</v>
      </c>
      <c r="D235" s="35" t="s">
        <v>19410</v>
      </c>
      <c r="E235" s="35" t="s">
        <v>19217</v>
      </c>
      <c r="F235" s="35"/>
      <c r="G235" s="36"/>
      <c r="H235" s="36"/>
    </row>
    <row r="236" spans="1:8" x14ac:dyDescent="0.25">
      <c r="A236" s="29">
        <v>32058</v>
      </c>
      <c r="B236" t="s">
        <v>19484</v>
      </c>
      <c r="C236" s="35" t="s">
        <v>19221</v>
      </c>
      <c r="D236" s="35" t="s">
        <v>19485</v>
      </c>
      <c r="E236" s="35" t="s">
        <v>19255</v>
      </c>
      <c r="F236" s="35"/>
      <c r="G236" s="36"/>
      <c r="H236" s="36"/>
    </row>
    <row r="237" spans="1:8" x14ac:dyDescent="0.25">
      <c r="A237" s="29">
        <v>31040</v>
      </c>
      <c r="B237" t="s">
        <v>19486</v>
      </c>
      <c r="C237" s="35" t="s">
        <v>19221</v>
      </c>
      <c r="D237" s="35" t="s">
        <v>19222</v>
      </c>
      <c r="E237" s="35" t="s">
        <v>19223</v>
      </c>
      <c r="F237" s="35"/>
      <c r="G237" s="36"/>
      <c r="H237" s="36"/>
    </row>
    <row r="238" spans="1:8" x14ac:dyDescent="0.25">
      <c r="A238" s="29">
        <v>78042</v>
      </c>
      <c r="B238" t="s">
        <v>17492</v>
      </c>
      <c r="C238" s="35" t="s">
        <v>19221</v>
      </c>
      <c r="D238" s="35" t="s">
        <v>19239</v>
      </c>
      <c r="E238" s="35" t="s">
        <v>19240</v>
      </c>
      <c r="F238" s="35"/>
      <c r="G238" s="36"/>
      <c r="H238" s="36"/>
    </row>
    <row r="239" spans="1:8" x14ac:dyDescent="0.25">
      <c r="A239" s="29">
        <v>61025</v>
      </c>
      <c r="B239" t="s">
        <v>17483</v>
      </c>
      <c r="C239" s="35" t="s">
        <v>14</v>
      </c>
      <c r="D239" s="35" t="s">
        <v>17483</v>
      </c>
      <c r="E239" s="35" t="s">
        <v>19310</v>
      </c>
      <c r="F239" s="35"/>
      <c r="G239" s="36"/>
      <c r="H239" s="36"/>
    </row>
    <row r="240" spans="1:8" x14ac:dyDescent="0.25">
      <c r="A240" s="29">
        <v>14050</v>
      </c>
      <c r="B240" t="s">
        <v>19487</v>
      </c>
      <c r="C240" s="35" t="s">
        <v>19221</v>
      </c>
      <c r="D240" s="35" t="s">
        <v>19487</v>
      </c>
      <c r="E240" s="35" t="s">
        <v>19232</v>
      </c>
      <c r="F240" s="35"/>
      <c r="G240" s="36"/>
      <c r="H240" s="36"/>
    </row>
    <row r="241" spans="1:8" x14ac:dyDescent="0.25">
      <c r="A241" s="29">
        <v>83015</v>
      </c>
      <c r="B241" t="s">
        <v>19488</v>
      </c>
      <c r="C241" s="35" t="s">
        <v>19221</v>
      </c>
      <c r="D241" s="35" t="s">
        <v>19259</v>
      </c>
      <c r="E241" s="35" t="s">
        <v>19235</v>
      </c>
      <c r="F241" s="35"/>
      <c r="G241" s="36"/>
      <c r="H241" s="36"/>
    </row>
    <row r="242" spans="1:8" x14ac:dyDescent="0.25">
      <c r="A242" s="29">
        <v>79025</v>
      </c>
      <c r="B242" t="s">
        <v>19489</v>
      </c>
      <c r="C242" s="35" t="s">
        <v>19221</v>
      </c>
      <c r="D242" s="35" t="s">
        <v>19374</v>
      </c>
      <c r="E242" s="35" t="s">
        <v>19240</v>
      </c>
      <c r="F242" s="35"/>
      <c r="G242" s="36"/>
      <c r="H242" s="36"/>
    </row>
    <row r="243" spans="1:8" x14ac:dyDescent="0.25">
      <c r="A243" s="29">
        <v>42070</v>
      </c>
      <c r="B243" t="s">
        <v>19490</v>
      </c>
      <c r="C243" s="35" t="s">
        <v>19215</v>
      </c>
      <c r="D243" s="35" t="s">
        <v>19324</v>
      </c>
      <c r="E243" s="35" t="s">
        <v>19252</v>
      </c>
      <c r="F243" s="35"/>
      <c r="G243" s="36"/>
      <c r="H243" s="36"/>
    </row>
    <row r="244" spans="1:8" x14ac:dyDescent="0.25">
      <c r="A244" s="29">
        <v>39097</v>
      </c>
      <c r="B244" t="s">
        <v>19491</v>
      </c>
      <c r="C244" s="35" t="s">
        <v>14</v>
      </c>
      <c r="D244" s="35" t="s">
        <v>19370</v>
      </c>
      <c r="E244" s="35" t="s">
        <v>19255</v>
      </c>
      <c r="F244" s="35"/>
      <c r="G244" s="36"/>
      <c r="H244" s="36"/>
    </row>
    <row r="245" spans="1:8" x14ac:dyDescent="0.25">
      <c r="A245" s="29">
        <v>31105</v>
      </c>
      <c r="B245" t="s">
        <v>19492</v>
      </c>
      <c r="C245" s="35" t="s">
        <v>19221</v>
      </c>
      <c r="D245" s="35" t="s">
        <v>19222</v>
      </c>
      <c r="E245" s="35" t="s">
        <v>19223</v>
      </c>
      <c r="F245" s="35"/>
      <c r="G245" s="36"/>
      <c r="H245" s="36"/>
    </row>
    <row r="246" spans="1:8" x14ac:dyDescent="0.25">
      <c r="A246" s="29">
        <v>85010</v>
      </c>
      <c r="B246" t="s">
        <v>19493</v>
      </c>
      <c r="C246" s="35" t="s">
        <v>19221</v>
      </c>
      <c r="D246" s="35" t="s">
        <v>19289</v>
      </c>
      <c r="E246" s="35" t="s">
        <v>19243</v>
      </c>
      <c r="F246" s="35"/>
      <c r="G246" s="36"/>
      <c r="H246" s="36"/>
    </row>
    <row r="247" spans="1:8" x14ac:dyDescent="0.25">
      <c r="A247" s="29">
        <v>66102</v>
      </c>
      <c r="B247" t="s">
        <v>19494</v>
      </c>
      <c r="C247" s="35" t="s">
        <v>14</v>
      </c>
      <c r="D247" s="35" t="s">
        <v>19272</v>
      </c>
      <c r="E247" s="35" t="s">
        <v>14481</v>
      </c>
      <c r="F247" s="35"/>
      <c r="G247" s="36"/>
      <c r="H247" s="36"/>
    </row>
    <row r="248" spans="1:8" x14ac:dyDescent="0.25">
      <c r="A248" s="29">
        <v>90017</v>
      </c>
      <c r="B248" t="s">
        <v>19495</v>
      </c>
      <c r="C248" s="35" t="s">
        <v>19221</v>
      </c>
      <c r="D248" s="35" t="s">
        <v>19360</v>
      </c>
      <c r="E248" s="35" t="s">
        <v>19286</v>
      </c>
      <c r="F248" s="35"/>
      <c r="G248" s="36"/>
      <c r="H248" s="36"/>
    </row>
    <row r="249" spans="1:8" x14ac:dyDescent="0.25">
      <c r="A249" s="29">
        <v>78115</v>
      </c>
      <c r="B249" t="s">
        <v>17466</v>
      </c>
      <c r="C249" s="35" t="s">
        <v>19221</v>
      </c>
      <c r="D249" s="35" t="s">
        <v>19239</v>
      </c>
      <c r="E249" s="35" t="s">
        <v>19240</v>
      </c>
      <c r="F249" s="35"/>
      <c r="G249" s="36"/>
      <c r="H249" s="36"/>
    </row>
    <row r="250" spans="1:8" x14ac:dyDescent="0.25">
      <c r="A250" s="29">
        <v>88030</v>
      </c>
      <c r="B250" t="s">
        <v>19496</v>
      </c>
      <c r="C250" s="35" t="s">
        <v>19221</v>
      </c>
      <c r="D250" s="35" t="s">
        <v>19242</v>
      </c>
      <c r="E250" s="35" t="s">
        <v>19243</v>
      </c>
      <c r="F250" s="35"/>
      <c r="G250" s="36"/>
      <c r="H250" s="36"/>
    </row>
    <row r="251" spans="1:8" x14ac:dyDescent="0.25">
      <c r="A251" s="29">
        <v>91050</v>
      </c>
      <c r="B251" t="s">
        <v>19497</v>
      </c>
      <c r="C251" s="35" t="s">
        <v>19327</v>
      </c>
      <c r="D251" s="35" t="s">
        <v>19354</v>
      </c>
      <c r="E251" s="35" t="s">
        <v>19229</v>
      </c>
      <c r="F251" s="35"/>
      <c r="G251" s="36"/>
      <c r="H251" s="36"/>
    </row>
    <row r="252" spans="1:8" x14ac:dyDescent="0.25">
      <c r="A252" s="29">
        <v>19090</v>
      </c>
      <c r="B252" t="s">
        <v>19498</v>
      </c>
      <c r="C252" s="35" t="s">
        <v>19327</v>
      </c>
      <c r="D252" s="35" t="s">
        <v>19248</v>
      </c>
      <c r="E252" s="35" t="s">
        <v>19223</v>
      </c>
      <c r="F252" s="35"/>
      <c r="G252" s="36"/>
      <c r="H252" s="36"/>
    </row>
    <row r="253" spans="1:8" x14ac:dyDescent="0.25">
      <c r="A253" s="29">
        <v>29030</v>
      </c>
      <c r="B253" t="s">
        <v>19499</v>
      </c>
      <c r="C253" s="35" t="s">
        <v>19215</v>
      </c>
      <c r="D253" s="35" t="s">
        <v>19500</v>
      </c>
      <c r="E253" s="35" t="s">
        <v>19223</v>
      </c>
      <c r="F253" s="35"/>
      <c r="G253" s="36"/>
      <c r="H253" s="36"/>
    </row>
    <row r="254" spans="1:8" x14ac:dyDescent="0.25">
      <c r="A254" s="29">
        <v>79047</v>
      </c>
      <c r="B254" t="s">
        <v>17459</v>
      </c>
      <c r="C254" s="35" t="s">
        <v>19221</v>
      </c>
      <c r="D254" s="35" t="s">
        <v>19374</v>
      </c>
      <c r="E254" s="35" t="s">
        <v>19240</v>
      </c>
      <c r="F254" s="35"/>
      <c r="G254" s="36"/>
      <c r="H254" s="36"/>
    </row>
    <row r="255" spans="1:8" x14ac:dyDescent="0.25">
      <c r="A255" s="29">
        <v>15013</v>
      </c>
      <c r="B255" t="s">
        <v>19501</v>
      </c>
      <c r="C255" s="35" t="s">
        <v>14</v>
      </c>
      <c r="D255" s="35" t="s">
        <v>19275</v>
      </c>
      <c r="E255" s="35" t="s">
        <v>19276</v>
      </c>
      <c r="F255" s="35"/>
      <c r="G255" s="36"/>
      <c r="H255" s="36"/>
    </row>
    <row r="256" spans="1:8" x14ac:dyDescent="0.25">
      <c r="A256" s="29">
        <v>4030</v>
      </c>
      <c r="B256" t="s">
        <v>19502</v>
      </c>
      <c r="C256" s="35" t="s">
        <v>19221</v>
      </c>
      <c r="D256" s="35" t="s">
        <v>19343</v>
      </c>
      <c r="E256" s="35" t="s">
        <v>19321</v>
      </c>
      <c r="F256" s="35"/>
      <c r="G256" s="36"/>
      <c r="H256" s="36"/>
    </row>
    <row r="257" spans="1:8" x14ac:dyDescent="0.25">
      <c r="A257" s="29">
        <v>78130</v>
      </c>
      <c r="B257" t="s">
        <v>17439</v>
      </c>
      <c r="C257" s="35" t="s">
        <v>19221</v>
      </c>
      <c r="D257" s="35" t="s">
        <v>19239</v>
      </c>
      <c r="E257" s="35" t="s">
        <v>19240</v>
      </c>
      <c r="F257" s="35"/>
      <c r="G257" s="36"/>
      <c r="H257" s="36"/>
    </row>
    <row r="258" spans="1:8" x14ac:dyDescent="0.25">
      <c r="A258" s="29">
        <v>88015</v>
      </c>
      <c r="B258" t="s">
        <v>19503</v>
      </c>
      <c r="C258" s="35" t="s">
        <v>19221</v>
      </c>
      <c r="D258" s="35" t="s">
        <v>19242</v>
      </c>
      <c r="E258" s="35" t="s">
        <v>19243</v>
      </c>
      <c r="F258" s="35"/>
      <c r="G258" s="36"/>
      <c r="H258" s="36"/>
    </row>
    <row r="259" spans="1:8" x14ac:dyDescent="0.25">
      <c r="A259" s="29">
        <v>88045</v>
      </c>
      <c r="B259" t="s">
        <v>19504</v>
      </c>
      <c r="C259" s="35" t="s">
        <v>19221</v>
      </c>
      <c r="D259" s="35" t="s">
        <v>19242</v>
      </c>
      <c r="E259" s="35" t="s">
        <v>19243</v>
      </c>
      <c r="F259" s="35"/>
      <c r="G259" s="36"/>
      <c r="H259" s="36"/>
    </row>
    <row r="260" spans="1:8" x14ac:dyDescent="0.25">
      <c r="A260" s="29">
        <v>41027</v>
      </c>
      <c r="B260" t="s">
        <v>19505</v>
      </c>
      <c r="C260" s="35" t="s">
        <v>19221</v>
      </c>
      <c r="D260" s="35" t="s">
        <v>19251</v>
      </c>
      <c r="E260" s="35" t="s">
        <v>19252</v>
      </c>
      <c r="F260" s="35"/>
      <c r="G260" s="36"/>
      <c r="H260" s="36"/>
    </row>
    <row r="261" spans="1:8" x14ac:dyDescent="0.25">
      <c r="A261" s="29">
        <v>82035</v>
      </c>
      <c r="B261" t="s">
        <v>19506</v>
      </c>
      <c r="C261" s="35" t="s">
        <v>19221</v>
      </c>
      <c r="D261" s="35" t="s">
        <v>19341</v>
      </c>
      <c r="E261" s="35" t="s">
        <v>19235</v>
      </c>
      <c r="F261" s="35"/>
      <c r="G261" s="36"/>
      <c r="H261" s="36"/>
    </row>
    <row r="262" spans="1:8" x14ac:dyDescent="0.25">
      <c r="A262" s="29">
        <v>14085</v>
      </c>
      <c r="B262" t="s">
        <v>19507</v>
      </c>
      <c r="C262" s="35" t="s">
        <v>14</v>
      </c>
      <c r="D262" s="35" t="s">
        <v>19487</v>
      </c>
      <c r="E262" s="35" t="s">
        <v>19232</v>
      </c>
      <c r="F262" s="35"/>
      <c r="G262" s="36"/>
      <c r="H262" s="36"/>
    </row>
    <row r="263" spans="1:8" x14ac:dyDescent="0.25">
      <c r="A263" s="29">
        <v>67015</v>
      </c>
      <c r="B263" t="s">
        <v>17435</v>
      </c>
      <c r="C263" s="35" t="s">
        <v>14</v>
      </c>
      <c r="D263" s="35" t="s">
        <v>19340</v>
      </c>
      <c r="E263" s="35" t="s">
        <v>19217</v>
      </c>
      <c r="F263" s="35"/>
      <c r="G263" s="36"/>
      <c r="H263" s="36"/>
    </row>
    <row r="264" spans="1:8" x14ac:dyDescent="0.25">
      <c r="A264" s="29">
        <v>54035</v>
      </c>
      <c r="B264" t="s">
        <v>19508</v>
      </c>
      <c r="C264" s="35" t="s">
        <v>19221</v>
      </c>
      <c r="D264" s="35" t="s">
        <v>19509</v>
      </c>
      <c r="E264" s="35" t="s">
        <v>19217</v>
      </c>
      <c r="F264" s="35"/>
      <c r="G264" s="36"/>
      <c r="H264" s="36"/>
    </row>
    <row r="265" spans="1:8" x14ac:dyDescent="0.25">
      <c r="A265" s="29">
        <v>9005</v>
      </c>
      <c r="B265" t="s">
        <v>19510</v>
      </c>
      <c r="C265" s="35" t="s">
        <v>19327</v>
      </c>
      <c r="D265" s="35" t="s">
        <v>19455</v>
      </c>
      <c r="E265" s="35" t="s">
        <v>19232</v>
      </c>
      <c r="F265" s="35"/>
      <c r="G265" s="36"/>
      <c r="H265" s="36"/>
    </row>
    <row r="266" spans="1:8" x14ac:dyDescent="0.25">
      <c r="A266" s="29">
        <v>87080</v>
      </c>
      <c r="B266" t="s">
        <v>19511</v>
      </c>
      <c r="C266" s="35" t="s">
        <v>19221</v>
      </c>
      <c r="D266" s="35" t="s">
        <v>19263</v>
      </c>
      <c r="E266" s="35" t="s">
        <v>19243</v>
      </c>
      <c r="F266" s="35"/>
      <c r="G266" s="36"/>
      <c r="H266" s="36"/>
    </row>
    <row r="267" spans="1:8" x14ac:dyDescent="0.25">
      <c r="A267" s="29">
        <v>87090</v>
      </c>
      <c r="B267" t="s">
        <v>17429</v>
      </c>
      <c r="C267" s="35" t="s">
        <v>14</v>
      </c>
      <c r="D267" s="35" t="s">
        <v>19263</v>
      </c>
      <c r="E267" s="35" t="s">
        <v>19243</v>
      </c>
      <c r="F267" s="35"/>
      <c r="G267" s="36"/>
      <c r="H267" s="36"/>
    </row>
    <row r="268" spans="1:8" x14ac:dyDescent="0.25">
      <c r="A268" s="29">
        <v>10010</v>
      </c>
      <c r="B268" t="s">
        <v>19512</v>
      </c>
      <c r="C268" s="35" t="s">
        <v>19327</v>
      </c>
      <c r="D268" s="35" t="s">
        <v>19423</v>
      </c>
      <c r="E268" s="35" t="s">
        <v>19232</v>
      </c>
      <c r="F268" s="35"/>
      <c r="G268" s="36"/>
      <c r="H268" s="36"/>
    </row>
    <row r="269" spans="1:8" x14ac:dyDescent="0.25">
      <c r="A269" s="29">
        <v>90012</v>
      </c>
      <c r="B269" t="s">
        <v>19513</v>
      </c>
      <c r="C269" s="35" t="s">
        <v>14</v>
      </c>
      <c r="D269" s="35" t="s">
        <v>19360</v>
      </c>
      <c r="E269" s="35" t="s">
        <v>19286</v>
      </c>
      <c r="F269" s="35"/>
      <c r="G269" s="36"/>
      <c r="H269" s="36"/>
    </row>
    <row r="270" spans="1:8" x14ac:dyDescent="0.25">
      <c r="A270" s="29">
        <v>52050</v>
      </c>
      <c r="B270" t="s">
        <v>19514</v>
      </c>
      <c r="C270" s="35" t="s">
        <v>19221</v>
      </c>
      <c r="D270" s="35" t="s">
        <v>19309</v>
      </c>
      <c r="E270" s="35" t="s">
        <v>19310</v>
      </c>
      <c r="F270" s="35"/>
      <c r="G270" s="36"/>
      <c r="H270" s="36"/>
    </row>
    <row r="271" spans="1:8" x14ac:dyDescent="0.25">
      <c r="A271" s="29">
        <v>50085</v>
      </c>
      <c r="B271" t="s">
        <v>19515</v>
      </c>
      <c r="C271" s="35" t="s">
        <v>19221</v>
      </c>
      <c r="D271" s="35" t="s">
        <v>19254</v>
      </c>
      <c r="E271" s="35" t="s">
        <v>19255</v>
      </c>
      <c r="F271" s="35"/>
      <c r="G271" s="36"/>
      <c r="H271" s="36"/>
    </row>
    <row r="272" spans="1:8" x14ac:dyDescent="0.25">
      <c r="A272" s="29">
        <v>78120</v>
      </c>
      <c r="B272" t="s">
        <v>47</v>
      </c>
      <c r="C272" s="35" t="s">
        <v>19221</v>
      </c>
      <c r="D272" s="35" t="s">
        <v>19239</v>
      </c>
      <c r="E272" s="35" t="s">
        <v>19240</v>
      </c>
      <c r="F272" s="35"/>
      <c r="G272" s="36"/>
      <c r="H272" s="36"/>
    </row>
    <row r="273" spans="1:8" x14ac:dyDescent="0.25">
      <c r="A273" s="29">
        <v>93055</v>
      </c>
      <c r="B273" t="s">
        <v>4316</v>
      </c>
      <c r="C273" s="35" t="s">
        <v>19221</v>
      </c>
      <c r="D273" s="35" t="s">
        <v>19237</v>
      </c>
      <c r="E273" s="35" t="s">
        <v>19229</v>
      </c>
      <c r="F273" s="35"/>
      <c r="G273" s="36"/>
      <c r="H273" s="36"/>
    </row>
    <row r="274" spans="1:8" x14ac:dyDescent="0.25">
      <c r="A274" s="29">
        <v>7057</v>
      </c>
      <c r="B274" t="s">
        <v>19516</v>
      </c>
      <c r="C274" s="35" t="s">
        <v>19221</v>
      </c>
      <c r="D274" s="35" t="s">
        <v>19231</v>
      </c>
      <c r="E274" s="35" t="s">
        <v>19232</v>
      </c>
      <c r="F274" s="35"/>
      <c r="G274" s="36"/>
      <c r="H274" s="36"/>
    </row>
    <row r="275" spans="1:8" x14ac:dyDescent="0.25">
      <c r="A275" s="29">
        <v>35010</v>
      </c>
      <c r="B275" t="s">
        <v>19517</v>
      </c>
      <c r="C275" s="35" t="s">
        <v>19327</v>
      </c>
      <c r="D275" s="35" t="s">
        <v>19452</v>
      </c>
      <c r="E275" s="35" t="s">
        <v>19286</v>
      </c>
      <c r="F275" s="35"/>
      <c r="G275" s="36"/>
      <c r="H275" s="36"/>
    </row>
    <row r="276" spans="1:8" x14ac:dyDescent="0.25">
      <c r="A276" s="29">
        <v>22040</v>
      </c>
      <c r="B276" t="s">
        <v>19518</v>
      </c>
      <c r="C276" s="35" t="s">
        <v>19221</v>
      </c>
      <c r="D276" s="35" t="s">
        <v>19434</v>
      </c>
      <c r="E276" s="35" t="s">
        <v>19276</v>
      </c>
      <c r="F276" s="35"/>
      <c r="G276" s="36"/>
      <c r="H276" s="36"/>
    </row>
    <row r="277" spans="1:8" x14ac:dyDescent="0.25">
      <c r="A277" s="29">
        <v>91005</v>
      </c>
      <c r="B277" t="s">
        <v>19519</v>
      </c>
      <c r="C277" s="35" t="s">
        <v>19221</v>
      </c>
      <c r="D277" s="35" t="s">
        <v>19354</v>
      </c>
      <c r="E277" s="35" t="s">
        <v>19229</v>
      </c>
      <c r="F277" s="35"/>
      <c r="G277" s="36"/>
      <c r="H277" s="36"/>
    </row>
    <row r="278" spans="1:8" x14ac:dyDescent="0.25">
      <c r="A278" s="29">
        <v>46075</v>
      </c>
      <c r="B278" t="s">
        <v>19520</v>
      </c>
      <c r="C278" s="35" t="s">
        <v>14</v>
      </c>
      <c r="D278" s="35" t="s">
        <v>19216</v>
      </c>
      <c r="E278" s="35" t="s">
        <v>19217</v>
      </c>
      <c r="F278" s="35"/>
      <c r="G278" s="36"/>
      <c r="H278" s="36"/>
    </row>
    <row r="279" spans="1:8" x14ac:dyDescent="0.25">
      <c r="A279" s="29">
        <v>88904</v>
      </c>
      <c r="B279" t="s">
        <v>19521</v>
      </c>
      <c r="C279" s="35" t="s">
        <v>19215</v>
      </c>
      <c r="D279" s="35" t="s">
        <v>19242</v>
      </c>
      <c r="E279" s="35" t="s">
        <v>19243</v>
      </c>
      <c r="F279" s="35"/>
      <c r="G279" s="36"/>
      <c r="H279" s="36"/>
    </row>
    <row r="280" spans="1:8" x14ac:dyDescent="0.25">
      <c r="A280" s="29">
        <v>22030</v>
      </c>
      <c r="B280" t="s">
        <v>19522</v>
      </c>
      <c r="C280" s="35" t="s">
        <v>14</v>
      </c>
      <c r="D280" s="35" t="s">
        <v>19434</v>
      </c>
      <c r="E280" s="35" t="s">
        <v>19276</v>
      </c>
      <c r="F280" s="35"/>
      <c r="G280" s="36"/>
      <c r="H280" s="36"/>
    </row>
    <row r="281" spans="1:8" x14ac:dyDescent="0.25">
      <c r="A281" s="29">
        <v>13060</v>
      </c>
      <c r="B281" t="s">
        <v>19523</v>
      </c>
      <c r="C281" s="35" t="s">
        <v>19221</v>
      </c>
      <c r="D281" s="35" t="s">
        <v>19256</v>
      </c>
      <c r="E281" s="35" t="s">
        <v>19232</v>
      </c>
      <c r="F281" s="35"/>
      <c r="G281" s="36"/>
      <c r="H281" s="36"/>
    </row>
    <row r="282" spans="1:8" x14ac:dyDescent="0.25">
      <c r="A282" s="29">
        <v>79078</v>
      </c>
      <c r="B282" t="s">
        <v>17412</v>
      </c>
      <c r="C282" s="35" t="s">
        <v>19221</v>
      </c>
      <c r="D282" s="35" t="s">
        <v>19374</v>
      </c>
      <c r="E282" s="35" t="s">
        <v>19240</v>
      </c>
      <c r="F282" s="35"/>
      <c r="G282" s="36"/>
      <c r="H282" s="36"/>
    </row>
    <row r="283" spans="1:8" x14ac:dyDescent="0.25">
      <c r="A283" s="29">
        <v>80130</v>
      </c>
      <c r="B283" t="s">
        <v>17406</v>
      </c>
      <c r="C283" s="35" t="s">
        <v>19221</v>
      </c>
      <c r="D283" s="35" t="s">
        <v>8694</v>
      </c>
      <c r="E283" s="35" t="s">
        <v>19235</v>
      </c>
      <c r="F283" s="35"/>
      <c r="G283" s="36"/>
      <c r="H283" s="36"/>
    </row>
    <row r="284" spans="1:8" x14ac:dyDescent="0.25">
      <c r="A284" s="29">
        <v>77055</v>
      </c>
      <c r="B284" t="s">
        <v>17400</v>
      </c>
      <c r="C284" s="35" t="s">
        <v>19221</v>
      </c>
      <c r="D284" s="35" t="s">
        <v>19425</v>
      </c>
      <c r="E284" s="35" t="s">
        <v>19240</v>
      </c>
      <c r="F284" s="35"/>
      <c r="G284" s="36"/>
      <c r="H284" s="36"/>
    </row>
    <row r="285" spans="1:8" x14ac:dyDescent="0.25">
      <c r="A285" s="29">
        <v>30080</v>
      </c>
      <c r="B285" t="s">
        <v>19524</v>
      </c>
      <c r="C285" s="35" t="s">
        <v>19221</v>
      </c>
      <c r="D285" s="35" t="s">
        <v>19257</v>
      </c>
      <c r="E285" s="35" t="s">
        <v>19252</v>
      </c>
      <c r="F285" s="35"/>
      <c r="G285" s="36"/>
      <c r="H285" s="36"/>
    </row>
    <row r="286" spans="1:8" x14ac:dyDescent="0.25">
      <c r="A286" s="29">
        <v>79015</v>
      </c>
      <c r="B286" t="s">
        <v>17392</v>
      </c>
      <c r="C286" s="35" t="s">
        <v>19221</v>
      </c>
      <c r="D286" s="35" t="s">
        <v>19374</v>
      </c>
      <c r="E286" s="35" t="s">
        <v>19240</v>
      </c>
      <c r="F286" s="35"/>
      <c r="G286" s="36"/>
      <c r="H286" s="36"/>
    </row>
    <row r="287" spans="1:8" x14ac:dyDescent="0.25">
      <c r="A287" s="29">
        <v>90027</v>
      </c>
      <c r="B287" t="s">
        <v>19525</v>
      </c>
      <c r="C287" s="35" t="s">
        <v>19221</v>
      </c>
      <c r="D287" s="35" t="s">
        <v>19360</v>
      </c>
      <c r="E287" s="35" t="s">
        <v>19286</v>
      </c>
      <c r="F287" s="35"/>
      <c r="G287" s="36"/>
      <c r="H287" s="36"/>
    </row>
    <row r="288" spans="1:8" x14ac:dyDescent="0.25">
      <c r="A288" s="29">
        <v>28053</v>
      </c>
      <c r="B288" t="s">
        <v>19526</v>
      </c>
      <c r="C288" s="35" t="s">
        <v>19221</v>
      </c>
      <c r="D288" s="35" t="s">
        <v>19527</v>
      </c>
      <c r="E288" s="35" t="s">
        <v>19223</v>
      </c>
      <c r="F288" s="35"/>
      <c r="G288" s="36"/>
      <c r="H288" s="36"/>
    </row>
    <row r="289" spans="1:8" x14ac:dyDescent="0.25">
      <c r="A289" s="29">
        <v>18010</v>
      </c>
      <c r="B289" t="s">
        <v>19528</v>
      </c>
      <c r="C289" s="35" t="s">
        <v>19221</v>
      </c>
      <c r="D289" s="35" t="s">
        <v>14579</v>
      </c>
      <c r="E289" s="35" t="s">
        <v>19223</v>
      </c>
      <c r="F289" s="35"/>
      <c r="G289" s="36"/>
      <c r="H289" s="36"/>
    </row>
    <row r="290" spans="1:8" x14ac:dyDescent="0.25">
      <c r="A290" s="29">
        <v>76020</v>
      </c>
      <c r="B290" t="s">
        <v>17141</v>
      </c>
      <c r="C290" s="35" t="s">
        <v>14</v>
      </c>
      <c r="D290" s="35" t="s">
        <v>19332</v>
      </c>
      <c r="E290" s="35" t="s">
        <v>19240</v>
      </c>
      <c r="F290" s="35"/>
      <c r="G290" s="36"/>
      <c r="H290" s="36"/>
    </row>
    <row r="291" spans="1:8" x14ac:dyDescent="0.25">
      <c r="A291" s="29">
        <v>30030</v>
      </c>
      <c r="B291" t="s">
        <v>19529</v>
      </c>
      <c r="C291" s="35" t="s">
        <v>14</v>
      </c>
      <c r="D291" s="35" t="s">
        <v>19257</v>
      </c>
      <c r="E291" s="35" t="s">
        <v>19252</v>
      </c>
      <c r="F291" s="35"/>
      <c r="G291" s="36"/>
      <c r="H291" s="36"/>
    </row>
    <row r="292" spans="1:8" x14ac:dyDescent="0.25">
      <c r="A292" s="29">
        <v>56023</v>
      </c>
      <c r="B292" t="s">
        <v>19530</v>
      </c>
      <c r="C292" s="35" t="s">
        <v>19221</v>
      </c>
      <c r="D292" s="35" t="s">
        <v>19474</v>
      </c>
      <c r="E292" s="35" t="s">
        <v>19217</v>
      </c>
      <c r="F292" s="35"/>
      <c r="G292" s="36"/>
      <c r="H292" s="36"/>
    </row>
    <row r="293" spans="1:8" x14ac:dyDescent="0.25">
      <c r="A293" s="29">
        <v>29095</v>
      </c>
      <c r="B293" t="s">
        <v>19531</v>
      </c>
      <c r="C293" s="35" t="s">
        <v>19215</v>
      </c>
      <c r="D293" s="35" t="s">
        <v>19500</v>
      </c>
      <c r="E293" s="35" t="s">
        <v>19223</v>
      </c>
      <c r="F293" s="35"/>
      <c r="G293" s="36"/>
      <c r="H293" s="36"/>
    </row>
    <row r="294" spans="1:8" x14ac:dyDescent="0.25">
      <c r="A294" s="29">
        <v>79060</v>
      </c>
      <c r="B294" t="s">
        <v>19532</v>
      </c>
      <c r="C294" s="35" t="s">
        <v>19215</v>
      </c>
      <c r="D294" s="35" t="s">
        <v>19374</v>
      </c>
      <c r="E294" s="35" t="s">
        <v>19240</v>
      </c>
      <c r="F294" s="35"/>
      <c r="G294" s="36"/>
      <c r="H294" s="36"/>
    </row>
    <row r="295" spans="1:8" x14ac:dyDescent="0.25">
      <c r="A295" s="29">
        <v>83020</v>
      </c>
      <c r="B295" t="s">
        <v>19533</v>
      </c>
      <c r="C295" s="35" t="s">
        <v>19221</v>
      </c>
      <c r="D295" s="35" t="s">
        <v>19259</v>
      </c>
      <c r="E295" s="35" t="s">
        <v>19235</v>
      </c>
      <c r="F295" s="35"/>
      <c r="G295" s="36"/>
      <c r="H295" s="36"/>
    </row>
    <row r="296" spans="1:8" x14ac:dyDescent="0.25">
      <c r="A296" s="29">
        <v>22015</v>
      </c>
      <c r="B296" t="s">
        <v>19534</v>
      </c>
      <c r="C296" s="35" t="s">
        <v>14</v>
      </c>
      <c r="D296" s="35" t="s">
        <v>19434</v>
      </c>
      <c r="E296" s="35" t="s">
        <v>19276</v>
      </c>
      <c r="F296" s="35"/>
      <c r="G296" s="36"/>
      <c r="H296" s="36"/>
    </row>
    <row r="297" spans="1:8" x14ac:dyDescent="0.25">
      <c r="A297" s="29">
        <v>79105</v>
      </c>
      <c r="B297" t="s">
        <v>19535</v>
      </c>
      <c r="C297" s="35" t="s">
        <v>19221</v>
      </c>
      <c r="D297" s="35" t="s">
        <v>19374</v>
      </c>
      <c r="E297" s="35" t="s">
        <v>19240</v>
      </c>
      <c r="F297" s="35"/>
      <c r="G297" s="36"/>
      <c r="H297" s="36"/>
    </row>
    <row r="298" spans="1:8" x14ac:dyDescent="0.25">
      <c r="A298" s="29">
        <v>34120</v>
      </c>
      <c r="B298" t="s">
        <v>19536</v>
      </c>
      <c r="C298" s="35" t="s">
        <v>14</v>
      </c>
      <c r="D298" s="35" t="s">
        <v>19347</v>
      </c>
      <c r="E298" s="35" t="s">
        <v>19276</v>
      </c>
      <c r="F298" s="35"/>
      <c r="G298" s="36"/>
      <c r="H298" s="36"/>
    </row>
    <row r="299" spans="1:8" x14ac:dyDescent="0.25">
      <c r="A299" s="29">
        <v>80095</v>
      </c>
      <c r="B299" t="s">
        <v>19537</v>
      </c>
      <c r="C299" s="35" t="s">
        <v>19221</v>
      </c>
      <c r="D299" s="35" t="s">
        <v>8694</v>
      </c>
      <c r="E299" s="35" t="s">
        <v>19235</v>
      </c>
      <c r="F299" s="35"/>
      <c r="G299" s="36"/>
      <c r="H299" s="36"/>
    </row>
    <row r="300" spans="1:8" x14ac:dyDescent="0.25">
      <c r="A300" s="29">
        <v>78095</v>
      </c>
      <c r="B300" t="s">
        <v>17137</v>
      </c>
      <c r="C300" s="35" t="s">
        <v>19221</v>
      </c>
      <c r="D300" s="35" t="s">
        <v>19239</v>
      </c>
      <c r="E300" s="35" t="s">
        <v>19240</v>
      </c>
      <c r="F300" s="35"/>
      <c r="G300" s="36"/>
      <c r="H300" s="36"/>
    </row>
    <row r="301" spans="1:8" x14ac:dyDescent="0.25">
      <c r="A301" s="29">
        <v>78127</v>
      </c>
      <c r="B301" t="s">
        <v>19538</v>
      </c>
      <c r="C301" s="35" t="s">
        <v>19221</v>
      </c>
      <c r="D301" s="35" t="s">
        <v>19239</v>
      </c>
      <c r="E301" s="35" t="s">
        <v>19240</v>
      </c>
      <c r="F301" s="35"/>
      <c r="G301" s="36"/>
      <c r="H301" s="36"/>
    </row>
    <row r="302" spans="1:8" x14ac:dyDescent="0.25">
      <c r="A302" s="29">
        <v>85070</v>
      </c>
      <c r="B302" t="s">
        <v>19539</v>
      </c>
      <c r="C302" s="35" t="s">
        <v>19221</v>
      </c>
      <c r="D302" s="35" t="s">
        <v>19289</v>
      </c>
      <c r="E302" s="35" t="s">
        <v>19243</v>
      </c>
      <c r="F302" s="35"/>
      <c r="G302" s="36"/>
      <c r="H302" s="36"/>
    </row>
    <row r="303" spans="1:8" x14ac:dyDescent="0.25">
      <c r="A303" s="29">
        <v>93060</v>
      </c>
      <c r="B303" t="s">
        <v>3177</v>
      </c>
      <c r="C303" s="35" t="s">
        <v>19221</v>
      </c>
      <c r="D303" s="35" t="s">
        <v>19237</v>
      </c>
      <c r="E303" s="35" t="s">
        <v>19229</v>
      </c>
      <c r="F303" s="35"/>
      <c r="G303" s="36"/>
      <c r="H303" s="36"/>
    </row>
    <row r="304" spans="1:8" x14ac:dyDescent="0.25">
      <c r="A304" s="29">
        <v>30095</v>
      </c>
      <c r="B304" t="s">
        <v>19540</v>
      </c>
      <c r="C304" s="35" t="s">
        <v>19221</v>
      </c>
      <c r="D304" s="35" t="s">
        <v>19257</v>
      </c>
      <c r="E304" s="35" t="s">
        <v>19252</v>
      </c>
      <c r="F304" s="35"/>
      <c r="G304" s="36"/>
      <c r="H304" s="36"/>
    </row>
    <row r="305" spans="1:8" x14ac:dyDescent="0.25">
      <c r="A305" s="29">
        <v>23057</v>
      </c>
      <c r="B305" t="s">
        <v>19541</v>
      </c>
      <c r="C305" s="35" t="s">
        <v>14</v>
      </c>
      <c r="D305" s="35" t="s">
        <v>19542</v>
      </c>
      <c r="E305" s="35" t="s">
        <v>19276</v>
      </c>
      <c r="F305" s="35"/>
      <c r="G305" s="36"/>
      <c r="H305" s="36"/>
    </row>
    <row r="306" spans="1:8" x14ac:dyDescent="0.25">
      <c r="A306" s="29">
        <v>88035</v>
      </c>
      <c r="B306" t="s">
        <v>19543</v>
      </c>
      <c r="C306" s="35" t="s">
        <v>19238</v>
      </c>
      <c r="D306" s="35" t="s">
        <v>19242</v>
      </c>
      <c r="E306" s="35" t="s">
        <v>19243</v>
      </c>
      <c r="F306" s="35"/>
      <c r="G306" s="36"/>
      <c r="H306" s="36"/>
    </row>
    <row r="307" spans="1:8" x14ac:dyDescent="0.25">
      <c r="A307" s="29">
        <v>21040</v>
      </c>
      <c r="B307" t="s">
        <v>19544</v>
      </c>
      <c r="C307" s="35" t="s">
        <v>19221</v>
      </c>
      <c r="D307" s="35" t="s">
        <v>19296</v>
      </c>
      <c r="E307" s="35" t="s">
        <v>19276</v>
      </c>
      <c r="F307" s="35"/>
      <c r="G307" s="36"/>
      <c r="H307" s="36"/>
    </row>
    <row r="308" spans="1:8" x14ac:dyDescent="0.25">
      <c r="A308" s="29">
        <v>82005</v>
      </c>
      <c r="B308" t="s">
        <v>19544</v>
      </c>
      <c r="C308" s="35" t="s">
        <v>19221</v>
      </c>
      <c r="D308" s="35" t="s">
        <v>19341</v>
      </c>
      <c r="E308" s="35" t="s">
        <v>19235</v>
      </c>
      <c r="F308" s="35"/>
      <c r="G308" s="36"/>
      <c r="H308" s="36"/>
    </row>
    <row r="309" spans="1:8" x14ac:dyDescent="0.25">
      <c r="A309" s="29">
        <v>52017</v>
      </c>
      <c r="B309" t="s">
        <v>19545</v>
      </c>
      <c r="C309" s="35" t="s">
        <v>19221</v>
      </c>
      <c r="D309" s="35" t="s">
        <v>19309</v>
      </c>
      <c r="E309" s="35" t="s">
        <v>19310</v>
      </c>
      <c r="F309" s="35"/>
      <c r="G309" s="36"/>
      <c r="H309" s="36"/>
    </row>
    <row r="310" spans="1:8" x14ac:dyDescent="0.25">
      <c r="A310" s="29">
        <v>94210</v>
      </c>
      <c r="B310" t="s">
        <v>19546</v>
      </c>
      <c r="C310" s="35" t="s">
        <v>19221</v>
      </c>
      <c r="D310" s="35" t="s">
        <v>19300</v>
      </c>
      <c r="E310" s="35" t="s">
        <v>19229</v>
      </c>
      <c r="F310" s="35"/>
      <c r="G310" s="36"/>
      <c r="H310" s="36"/>
    </row>
    <row r="311" spans="1:8" x14ac:dyDescent="0.25">
      <c r="A311" s="29">
        <v>78015</v>
      </c>
      <c r="B311" t="s">
        <v>17123</v>
      </c>
      <c r="C311" s="35" t="s">
        <v>19221</v>
      </c>
      <c r="D311" s="35" t="s">
        <v>19239</v>
      </c>
      <c r="E311" s="35" t="s">
        <v>19240</v>
      </c>
      <c r="F311" s="35"/>
      <c r="G311" s="36"/>
      <c r="H311" s="36"/>
    </row>
    <row r="312" spans="1:8" x14ac:dyDescent="0.25">
      <c r="A312" s="29">
        <v>94265</v>
      </c>
      <c r="B312" t="s">
        <v>3468</v>
      </c>
      <c r="C312" s="35" t="s">
        <v>19221</v>
      </c>
      <c r="D312" s="35" t="s">
        <v>19300</v>
      </c>
      <c r="E312" s="35" t="s">
        <v>19229</v>
      </c>
      <c r="F312" s="35"/>
      <c r="G312" s="36"/>
      <c r="H312" s="36"/>
    </row>
    <row r="313" spans="1:8" x14ac:dyDescent="0.25">
      <c r="A313" s="29">
        <v>79050</v>
      </c>
      <c r="B313" t="s">
        <v>17099</v>
      </c>
      <c r="C313" s="35" t="s">
        <v>19221</v>
      </c>
      <c r="D313" s="35" t="s">
        <v>19374</v>
      </c>
      <c r="E313" s="35" t="s">
        <v>19240</v>
      </c>
      <c r="F313" s="35"/>
      <c r="G313" s="36"/>
      <c r="H313" s="36"/>
    </row>
    <row r="314" spans="1:8" x14ac:dyDescent="0.25">
      <c r="A314" s="29">
        <v>93065</v>
      </c>
      <c r="B314" t="s">
        <v>19547</v>
      </c>
      <c r="C314" s="35" t="s">
        <v>19327</v>
      </c>
      <c r="D314" s="35" t="s">
        <v>19237</v>
      </c>
      <c r="E314" s="35" t="s">
        <v>19229</v>
      </c>
      <c r="F314" s="35"/>
      <c r="G314" s="36"/>
      <c r="H314" s="36"/>
    </row>
    <row r="315" spans="1:8" x14ac:dyDescent="0.25">
      <c r="A315" s="29">
        <v>6060</v>
      </c>
      <c r="B315" t="s">
        <v>19548</v>
      </c>
      <c r="C315" s="35" t="s">
        <v>19221</v>
      </c>
      <c r="D315" s="35" t="s">
        <v>19349</v>
      </c>
      <c r="E315" s="35" t="s">
        <v>19321</v>
      </c>
      <c r="F315" s="35"/>
      <c r="G315" s="36"/>
      <c r="H315" s="36"/>
    </row>
    <row r="316" spans="1:8" x14ac:dyDescent="0.25">
      <c r="A316" s="29">
        <v>60028</v>
      </c>
      <c r="B316" t="s">
        <v>17086</v>
      </c>
      <c r="C316" s="35" t="s">
        <v>14</v>
      </c>
      <c r="D316" s="35" t="s">
        <v>19363</v>
      </c>
      <c r="E316" s="35" t="s">
        <v>19310</v>
      </c>
      <c r="F316" s="35"/>
      <c r="G316" s="36"/>
      <c r="H316" s="36"/>
    </row>
    <row r="317" spans="1:8" x14ac:dyDescent="0.25">
      <c r="A317" s="29">
        <v>85060</v>
      </c>
      <c r="B317" t="s">
        <v>19549</v>
      </c>
      <c r="C317" s="35" t="s">
        <v>19550</v>
      </c>
      <c r="D317" s="35" t="s">
        <v>19289</v>
      </c>
      <c r="E317" s="35" t="s">
        <v>19243</v>
      </c>
      <c r="F317" s="35"/>
      <c r="G317" s="36"/>
      <c r="H317" s="36"/>
    </row>
    <row r="318" spans="1:8" x14ac:dyDescent="0.25">
      <c r="A318" s="29">
        <v>88080</v>
      </c>
      <c r="B318" t="s">
        <v>19551</v>
      </c>
      <c r="C318" s="35" t="s">
        <v>19238</v>
      </c>
      <c r="D318" s="35" t="s">
        <v>19242</v>
      </c>
      <c r="E318" s="35" t="s">
        <v>19243</v>
      </c>
      <c r="F318" s="35"/>
      <c r="G318" s="36"/>
      <c r="H318" s="36"/>
    </row>
    <row r="319" spans="1:8" x14ac:dyDescent="0.25">
      <c r="A319" s="29">
        <v>33060</v>
      </c>
      <c r="B319" t="s">
        <v>19552</v>
      </c>
      <c r="C319" s="35" t="s">
        <v>19215</v>
      </c>
      <c r="D319" s="35" t="s">
        <v>19404</v>
      </c>
      <c r="E319" s="35" t="s">
        <v>19223</v>
      </c>
      <c r="F319" s="35"/>
      <c r="G319" s="36"/>
      <c r="H319" s="36"/>
    </row>
    <row r="320" spans="1:8" x14ac:dyDescent="0.25">
      <c r="A320" s="29">
        <v>32072</v>
      </c>
      <c r="B320" t="s">
        <v>19553</v>
      </c>
      <c r="C320" s="35" t="s">
        <v>19221</v>
      </c>
      <c r="D320" s="35" t="s">
        <v>19485</v>
      </c>
      <c r="E320" s="35" t="s">
        <v>19255</v>
      </c>
      <c r="F320" s="35"/>
      <c r="G320" s="36"/>
      <c r="H320" s="36"/>
    </row>
    <row r="321" spans="1:8" x14ac:dyDescent="0.25">
      <c r="A321" s="29">
        <v>65005</v>
      </c>
      <c r="B321" t="s">
        <v>16566</v>
      </c>
      <c r="C321" s="35" t="s">
        <v>14</v>
      </c>
      <c r="D321" s="35" t="s">
        <v>19272</v>
      </c>
      <c r="E321" s="35" t="s">
        <v>16566</v>
      </c>
      <c r="F321" s="35"/>
      <c r="G321" s="36"/>
      <c r="H321" s="36"/>
    </row>
    <row r="322" spans="1:8" x14ac:dyDescent="0.25">
      <c r="A322" s="29">
        <v>52007</v>
      </c>
      <c r="B322" t="s">
        <v>16561</v>
      </c>
      <c r="C322" s="35" t="s">
        <v>14</v>
      </c>
      <c r="D322" s="35" t="s">
        <v>19309</v>
      </c>
      <c r="E322" s="35" t="s">
        <v>19310</v>
      </c>
      <c r="F322" s="35"/>
      <c r="G322" s="36"/>
      <c r="H322" s="36"/>
    </row>
    <row r="323" spans="1:8" x14ac:dyDescent="0.25">
      <c r="A323" s="29">
        <v>49025</v>
      </c>
      <c r="B323" t="s">
        <v>19554</v>
      </c>
      <c r="C323" s="35" t="s">
        <v>19221</v>
      </c>
      <c r="D323" s="35" t="s">
        <v>19405</v>
      </c>
      <c r="E323" s="35" t="s">
        <v>19255</v>
      </c>
      <c r="F323" s="35"/>
      <c r="G323" s="36"/>
      <c r="H323" s="36"/>
    </row>
    <row r="324" spans="1:8" x14ac:dyDescent="0.25">
      <c r="A324" s="29">
        <v>85052</v>
      </c>
      <c r="B324" t="s">
        <v>19555</v>
      </c>
      <c r="C324" s="35" t="s">
        <v>19221</v>
      </c>
      <c r="D324" s="35" t="s">
        <v>19289</v>
      </c>
      <c r="E324" s="35" t="s">
        <v>19243</v>
      </c>
      <c r="F324" s="35"/>
      <c r="G324" s="36"/>
      <c r="H324" s="36"/>
    </row>
    <row r="325" spans="1:8" x14ac:dyDescent="0.25">
      <c r="A325" s="29">
        <v>42045</v>
      </c>
      <c r="B325" t="s">
        <v>19556</v>
      </c>
      <c r="C325" s="35" t="s">
        <v>19215</v>
      </c>
      <c r="D325" s="35" t="s">
        <v>19324</v>
      </c>
      <c r="E325" s="35" t="s">
        <v>19252</v>
      </c>
      <c r="F325" s="35"/>
      <c r="G325" s="36"/>
      <c r="H325" s="36"/>
    </row>
    <row r="326" spans="1:8" x14ac:dyDescent="0.25">
      <c r="A326" s="29">
        <v>99005</v>
      </c>
      <c r="B326" t="s">
        <v>19557</v>
      </c>
      <c r="C326" s="35" t="s">
        <v>14</v>
      </c>
      <c r="D326" s="35" t="s">
        <v>19360</v>
      </c>
      <c r="E326" s="35" t="s">
        <v>19361</v>
      </c>
      <c r="F326" s="35"/>
      <c r="G326" s="36"/>
      <c r="H326" s="36"/>
    </row>
    <row r="327" spans="1:8" x14ac:dyDescent="0.25">
      <c r="A327" s="29">
        <v>33123</v>
      </c>
      <c r="B327" t="s">
        <v>19558</v>
      </c>
      <c r="C327" s="35" t="s">
        <v>19221</v>
      </c>
      <c r="D327" s="35" t="s">
        <v>19404</v>
      </c>
      <c r="E327" s="35" t="s">
        <v>19223</v>
      </c>
      <c r="F327" s="35"/>
      <c r="G327" s="36"/>
      <c r="H327" s="36"/>
    </row>
    <row r="328" spans="1:8" x14ac:dyDescent="0.25">
      <c r="A328" s="29">
        <v>49020</v>
      </c>
      <c r="B328" t="s">
        <v>164</v>
      </c>
      <c r="C328" s="35" t="s">
        <v>19221</v>
      </c>
      <c r="D328" s="35" t="s">
        <v>19405</v>
      </c>
      <c r="E328" s="35" t="s">
        <v>19255</v>
      </c>
      <c r="F328" s="35"/>
      <c r="G328" s="36"/>
      <c r="H328" s="36"/>
    </row>
    <row r="329" spans="1:8" x14ac:dyDescent="0.25">
      <c r="A329" s="29">
        <v>13050</v>
      </c>
      <c r="B329" t="s">
        <v>6952</v>
      </c>
      <c r="C329" s="35" t="s">
        <v>19221</v>
      </c>
      <c r="D329" s="35" t="s">
        <v>19256</v>
      </c>
      <c r="E329" s="35" t="s">
        <v>19232</v>
      </c>
      <c r="F329" s="35"/>
      <c r="G329" s="36"/>
      <c r="H329" s="36"/>
    </row>
    <row r="330" spans="1:8" x14ac:dyDescent="0.25">
      <c r="A330" s="29">
        <v>38020</v>
      </c>
      <c r="B330" t="s">
        <v>311</v>
      </c>
      <c r="C330" s="35" t="s">
        <v>19221</v>
      </c>
      <c r="D330" s="35" t="s">
        <v>19297</v>
      </c>
      <c r="E330" s="35" t="s">
        <v>19255</v>
      </c>
      <c r="F330" s="35"/>
      <c r="G330" s="36"/>
      <c r="H330" s="36"/>
    </row>
    <row r="331" spans="1:8" x14ac:dyDescent="0.25">
      <c r="A331" s="29">
        <v>60037</v>
      </c>
      <c r="B331" t="s">
        <v>16555</v>
      </c>
      <c r="C331" s="35" t="s">
        <v>14</v>
      </c>
      <c r="D331" s="35" t="s">
        <v>17086</v>
      </c>
      <c r="E331" s="35" t="s">
        <v>19310</v>
      </c>
      <c r="F331" s="35"/>
      <c r="G331" s="36"/>
      <c r="H331" s="36"/>
    </row>
    <row r="332" spans="1:8" x14ac:dyDescent="0.25">
      <c r="A332" s="29">
        <v>67055</v>
      </c>
      <c r="B332" t="s">
        <v>19559</v>
      </c>
      <c r="C332" s="35" t="s">
        <v>14</v>
      </c>
      <c r="D332" s="35" t="s">
        <v>19340</v>
      </c>
      <c r="E332" s="35" t="s">
        <v>19217</v>
      </c>
      <c r="F332" s="35"/>
      <c r="G332" s="36"/>
      <c r="H332" s="36"/>
    </row>
    <row r="333" spans="1:8" x14ac:dyDescent="0.25">
      <c r="A333" s="29">
        <v>95018</v>
      </c>
      <c r="B333" t="s">
        <v>19560</v>
      </c>
      <c r="C333" s="35" t="s">
        <v>19221</v>
      </c>
      <c r="D333" s="35" t="s">
        <v>19381</v>
      </c>
      <c r="E333" s="35" t="s">
        <v>19226</v>
      </c>
      <c r="F333" s="35"/>
      <c r="G333" s="36"/>
      <c r="H333" s="36"/>
    </row>
    <row r="334" spans="1:8" x14ac:dyDescent="0.25">
      <c r="A334" s="29">
        <v>71050</v>
      </c>
      <c r="B334" t="s">
        <v>16550</v>
      </c>
      <c r="C334" s="35" t="s">
        <v>19221</v>
      </c>
      <c r="D334" s="35" t="s">
        <v>19482</v>
      </c>
      <c r="E334" s="35" t="s">
        <v>19217</v>
      </c>
      <c r="F334" s="35"/>
      <c r="G334" s="36"/>
      <c r="H334" s="36"/>
    </row>
    <row r="335" spans="1:8" x14ac:dyDescent="0.25">
      <c r="A335" s="29">
        <v>71033</v>
      </c>
      <c r="B335" t="s">
        <v>19561</v>
      </c>
      <c r="C335" s="35" t="s">
        <v>19221</v>
      </c>
      <c r="D335" s="35" t="s">
        <v>19385</v>
      </c>
      <c r="E335" s="35" t="s">
        <v>19217</v>
      </c>
      <c r="F335" s="35"/>
      <c r="G335" s="36"/>
      <c r="H335" s="36"/>
    </row>
    <row r="336" spans="1:8" x14ac:dyDescent="0.25">
      <c r="A336" s="29">
        <v>16048</v>
      </c>
      <c r="B336" t="s">
        <v>19562</v>
      </c>
      <c r="C336" s="35" t="s">
        <v>19221</v>
      </c>
      <c r="D336" s="35" t="s">
        <v>19278</v>
      </c>
      <c r="E336" s="35" t="s">
        <v>19276</v>
      </c>
      <c r="F336" s="35"/>
      <c r="G336" s="36"/>
      <c r="H336" s="36"/>
    </row>
    <row r="337" spans="1:8" x14ac:dyDescent="0.25">
      <c r="A337" s="29">
        <v>95025</v>
      </c>
      <c r="B337" t="s">
        <v>19563</v>
      </c>
      <c r="C337" s="35" t="s">
        <v>19221</v>
      </c>
      <c r="D337" s="35" t="s">
        <v>19381</v>
      </c>
      <c r="E337" s="35" t="s">
        <v>19226</v>
      </c>
      <c r="F337" s="35"/>
      <c r="G337" s="36"/>
      <c r="H337" s="36"/>
    </row>
    <row r="338" spans="1:8" x14ac:dyDescent="0.25">
      <c r="A338" s="29">
        <v>9015</v>
      </c>
      <c r="B338" t="s">
        <v>19564</v>
      </c>
      <c r="C338" s="35" t="s">
        <v>19221</v>
      </c>
      <c r="D338" s="35" t="s">
        <v>19455</v>
      </c>
      <c r="E338" s="35" t="s">
        <v>19232</v>
      </c>
      <c r="F338" s="35"/>
      <c r="G338" s="36"/>
      <c r="H338" s="36"/>
    </row>
    <row r="339" spans="1:8" x14ac:dyDescent="0.25">
      <c r="A339" s="29">
        <v>1023</v>
      </c>
      <c r="B339" t="s">
        <v>19565</v>
      </c>
      <c r="C339" s="35" t="s">
        <v>19221</v>
      </c>
      <c r="D339" s="35" t="s">
        <v>19360</v>
      </c>
      <c r="E339" s="35" t="s">
        <v>19321</v>
      </c>
      <c r="F339" s="35"/>
      <c r="G339" s="36"/>
      <c r="H339" s="36"/>
    </row>
    <row r="340" spans="1:8" x14ac:dyDescent="0.25">
      <c r="A340" s="29">
        <v>8005</v>
      </c>
      <c r="B340" t="s">
        <v>19566</v>
      </c>
      <c r="C340" s="35" t="s">
        <v>19221</v>
      </c>
      <c r="D340" s="35" t="s">
        <v>19269</v>
      </c>
      <c r="E340" s="35" t="s">
        <v>19232</v>
      </c>
      <c r="F340" s="35"/>
      <c r="G340" s="36"/>
      <c r="H340" s="36"/>
    </row>
    <row r="341" spans="1:8" x14ac:dyDescent="0.25">
      <c r="A341" s="29">
        <v>25213</v>
      </c>
      <c r="B341" t="s">
        <v>13064</v>
      </c>
      <c r="C341" s="35" t="s">
        <v>14</v>
      </c>
      <c r="D341" s="35" t="s">
        <v>19542</v>
      </c>
      <c r="E341" s="35" t="s">
        <v>19223</v>
      </c>
      <c r="F341" s="35"/>
      <c r="G341" s="36"/>
      <c r="H341" s="36"/>
    </row>
    <row r="342" spans="1:8" x14ac:dyDescent="0.25">
      <c r="A342" s="29">
        <v>25213</v>
      </c>
      <c r="B342" t="s">
        <v>13064</v>
      </c>
      <c r="C342" s="35" t="s">
        <v>14</v>
      </c>
      <c r="D342" s="35" t="s">
        <v>19542</v>
      </c>
      <c r="E342" s="35" t="s">
        <v>19223</v>
      </c>
      <c r="F342" s="35"/>
      <c r="G342" s="36"/>
      <c r="H342" s="36"/>
    </row>
    <row r="343" spans="1:8" x14ac:dyDescent="0.25">
      <c r="A343" s="29">
        <v>25213</v>
      </c>
      <c r="B343" t="s">
        <v>13064</v>
      </c>
      <c r="C343" s="35" t="s">
        <v>14</v>
      </c>
      <c r="D343" s="35" t="s">
        <v>19542</v>
      </c>
      <c r="E343" s="35" t="s">
        <v>19223</v>
      </c>
      <c r="F343" s="35"/>
      <c r="G343" s="36"/>
      <c r="H343" s="36"/>
    </row>
    <row r="344" spans="1:8" x14ac:dyDescent="0.25">
      <c r="A344" s="29">
        <v>25213</v>
      </c>
      <c r="B344" t="s">
        <v>13064</v>
      </c>
      <c r="C344" s="35" t="s">
        <v>14</v>
      </c>
      <c r="D344" s="35" t="s">
        <v>19542</v>
      </c>
      <c r="E344" s="35" t="s">
        <v>19223</v>
      </c>
      <c r="F344" s="35"/>
      <c r="G344" s="36"/>
      <c r="H344" s="36"/>
    </row>
    <row r="345" spans="1:8" x14ac:dyDescent="0.25">
      <c r="A345" s="29">
        <v>71095</v>
      </c>
      <c r="B345" t="s">
        <v>19567</v>
      </c>
      <c r="C345" s="35" t="s">
        <v>14</v>
      </c>
      <c r="D345" s="35" t="s">
        <v>19482</v>
      </c>
      <c r="E345" s="35" t="s">
        <v>19217</v>
      </c>
      <c r="F345" s="35"/>
      <c r="G345" s="36"/>
      <c r="H345" s="36"/>
    </row>
    <row r="346" spans="1:8" x14ac:dyDescent="0.25">
      <c r="A346" s="29">
        <v>98020</v>
      </c>
      <c r="B346" t="s">
        <v>19568</v>
      </c>
      <c r="C346" s="35" t="s">
        <v>19221</v>
      </c>
      <c r="D346" s="35" t="s">
        <v>19225</v>
      </c>
      <c r="E346" s="35" t="s">
        <v>19226</v>
      </c>
      <c r="F346" s="35"/>
      <c r="G346" s="36"/>
      <c r="H346" s="36"/>
    </row>
    <row r="347" spans="1:8" x14ac:dyDescent="0.25">
      <c r="A347" s="29">
        <v>66092</v>
      </c>
      <c r="B347" t="s">
        <v>19569</v>
      </c>
      <c r="C347" s="35" t="s">
        <v>14</v>
      </c>
      <c r="D347" s="35" t="s">
        <v>19272</v>
      </c>
      <c r="E347" s="35" t="s">
        <v>14481</v>
      </c>
      <c r="F347" s="35"/>
      <c r="G347" s="36"/>
      <c r="H347" s="36"/>
    </row>
    <row r="348" spans="1:8" x14ac:dyDescent="0.25">
      <c r="A348" s="29">
        <v>84035</v>
      </c>
      <c r="B348" t="s">
        <v>19570</v>
      </c>
      <c r="C348" s="35" t="s">
        <v>19221</v>
      </c>
      <c r="D348" s="35" t="s">
        <v>19234</v>
      </c>
      <c r="E348" s="35" t="s">
        <v>19235</v>
      </c>
      <c r="F348" s="35"/>
      <c r="G348" s="36"/>
      <c r="H348" s="36"/>
    </row>
    <row r="349" spans="1:8" x14ac:dyDescent="0.25">
      <c r="A349" s="29">
        <v>71060</v>
      </c>
      <c r="B349" t="s">
        <v>19571</v>
      </c>
      <c r="C349" s="35" t="s">
        <v>14</v>
      </c>
      <c r="D349" s="35" t="s">
        <v>19482</v>
      </c>
      <c r="E349" s="35" t="s">
        <v>19217</v>
      </c>
      <c r="F349" s="35"/>
      <c r="G349" s="36"/>
      <c r="H349" s="36"/>
    </row>
    <row r="350" spans="1:8" x14ac:dyDescent="0.25">
      <c r="A350" s="29">
        <v>41085</v>
      </c>
      <c r="B350" t="s">
        <v>19572</v>
      </c>
      <c r="C350" s="35" t="s">
        <v>19238</v>
      </c>
      <c r="D350" s="35" t="s">
        <v>19251</v>
      </c>
      <c r="E350" s="35" t="s">
        <v>19252</v>
      </c>
      <c r="F350" s="35"/>
      <c r="G350" s="36"/>
      <c r="H350" s="36"/>
    </row>
    <row r="351" spans="1:8" x14ac:dyDescent="0.25">
      <c r="A351" s="29">
        <v>84082</v>
      </c>
      <c r="B351" t="s">
        <v>19573</v>
      </c>
      <c r="C351" s="35" t="s">
        <v>19221</v>
      </c>
      <c r="D351" s="35" t="s">
        <v>19234</v>
      </c>
      <c r="E351" s="35" t="s">
        <v>19235</v>
      </c>
      <c r="F351" s="35"/>
      <c r="G351" s="36"/>
      <c r="H351" s="36"/>
    </row>
    <row r="352" spans="1:8" x14ac:dyDescent="0.25">
      <c r="A352" s="29">
        <v>16023</v>
      </c>
      <c r="B352" t="s">
        <v>19574</v>
      </c>
      <c r="C352" s="35" t="s">
        <v>19221</v>
      </c>
      <c r="D352" s="35" t="s">
        <v>19278</v>
      </c>
      <c r="E352" s="35" t="s">
        <v>19276</v>
      </c>
      <c r="F352" s="35"/>
      <c r="G352" s="36"/>
      <c r="H352" s="36"/>
    </row>
    <row r="353" spans="1:8" x14ac:dyDescent="0.25">
      <c r="A353" s="29">
        <v>17078</v>
      </c>
      <c r="B353" t="s">
        <v>19575</v>
      </c>
      <c r="C353" s="35" t="s">
        <v>19221</v>
      </c>
      <c r="D353" s="35" t="s">
        <v>19575</v>
      </c>
      <c r="E353" s="35" t="s">
        <v>19223</v>
      </c>
      <c r="F353" s="35"/>
      <c r="G353" s="36"/>
      <c r="H353" s="36"/>
    </row>
    <row r="354" spans="1:8" x14ac:dyDescent="0.25">
      <c r="A354" s="29">
        <v>12043</v>
      </c>
      <c r="B354" t="s">
        <v>19576</v>
      </c>
      <c r="C354" s="35" t="s">
        <v>19221</v>
      </c>
      <c r="D354" s="35" t="s">
        <v>19336</v>
      </c>
      <c r="E354" s="35" t="s">
        <v>19232</v>
      </c>
      <c r="F354" s="35"/>
      <c r="G354" s="36"/>
      <c r="H354" s="36"/>
    </row>
    <row r="355" spans="1:8" x14ac:dyDescent="0.25">
      <c r="A355" s="29">
        <v>84040</v>
      </c>
      <c r="B355" t="s">
        <v>19577</v>
      </c>
      <c r="C355" s="35" t="s">
        <v>19221</v>
      </c>
      <c r="D355" s="35" t="s">
        <v>19234</v>
      </c>
      <c r="E355" s="35" t="s">
        <v>19235</v>
      </c>
      <c r="F355" s="35"/>
      <c r="G355" s="36"/>
      <c r="H355" s="36"/>
    </row>
    <row r="356" spans="1:8" x14ac:dyDescent="0.25">
      <c r="A356" s="29">
        <v>80055</v>
      </c>
      <c r="B356" t="s">
        <v>19578</v>
      </c>
      <c r="C356" s="35" t="s">
        <v>19238</v>
      </c>
      <c r="D356" s="35" t="s">
        <v>8694</v>
      </c>
      <c r="E356" s="35" t="s">
        <v>19235</v>
      </c>
      <c r="F356" s="35"/>
      <c r="G356" s="36"/>
      <c r="H356" s="36"/>
    </row>
    <row r="357" spans="1:8" x14ac:dyDescent="0.25">
      <c r="A357" s="29">
        <v>80060</v>
      </c>
      <c r="B357" t="s">
        <v>19579</v>
      </c>
      <c r="C357" s="35" t="s">
        <v>19238</v>
      </c>
      <c r="D357" s="35" t="s">
        <v>8694</v>
      </c>
      <c r="E357" s="35" t="s">
        <v>19235</v>
      </c>
      <c r="F357" s="35"/>
      <c r="G357" s="36"/>
      <c r="H357" s="36"/>
    </row>
    <row r="358" spans="1:8" x14ac:dyDescent="0.25">
      <c r="A358" s="29">
        <v>98045</v>
      </c>
      <c r="B358" t="s">
        <v>19580</v>
      </c>
      <c r="C358" s="35" t="s">
        <v>19221</v>
      </c>
      <c r="D358" s="35" t="s">
        <v>19225</v>
      </c>
      <c r="E358" s="35" t="s">
        <v>19226</v>
      </c>
      <c r="F358" s="35"/>
      <c r="G358" s="36"/>
      <c r="H358" s="36"/>
    </row>
    <row r="359" spans="1:8" x14ac:dyDescent="0.25">
      <c r="A359" s="29">
        <v>95032</v>
      </c>
      <c r="B359" t="s">
        <v>19581</v>
      </c>
      <c r="C359" s="35" t="s">
        <v>19221</v>
      </c>
      <c r="D359" s="35" t="s">
        <v>19381</v>
      </c>
      <c r="E359" s="35" t="s">
        <v>19226</v>
      </c>
      <c r="F359" s="35"/>
      <c r="G359" s="36"/>
      <c r="H359" s="36"/>
    </row>
    <row r="360" spans="1:8" x14ac:dyDescent="0.25">
      <c r="A360" s="29">
        <v>58227</v>
      </c>
      <c r="B360" t="s">
        <v>19582</v>
      </c>
      <c r="C360" s="35" t="s">
        <v>14</v>
      </c>
      <c r="D360" s="35" t="s">
        <v>19272</v>
      </c>
      <c r="E360" s="35" t="s">
        <v>19217</v>
      </c>
      <c r="F360" s="35"/>
      <c r="G360" s="36"/>
      <c r="H360" s="36"/>
    </row>
    <row r="361" spans="1:8" x14ac:dyDescent="0.25">
      <c r="A361" s="29">
        <v>73025</v>
      </c>
      <c r="B361" t="s">
        <v>16495</v>
      </c>
      <c r="C361" s="35" t="s">
        <v>14</v>
      </c>
      <c r="D361" s="35" t="s">
        <v>19313</v>
      </c>
      <c r="E361" s="35" t="s">
        <v>19240</v>
      </c>
      <c r="F361" s="35"/>
      <c r="G361" s="36"/>
      <c r="H361" s="36"/>
    </row>
    <row r="362" spans="1:8" x14ac:dyDescent="0.25">
      <c r="A362" s="29">
        <v>85037</v>
      </c>
      <c r="B362" t="s">
        <v>19583</v>
      </c>
      <c r="C362" s="35" t="s">
        <v>19221</v>
      </c>
      <c r="D362" s="35" t="s">
        <v>19289</v>
      </c>
      <c r="E362" s="35" t="s">
        <v>19243</v>
      </c>
      <c r="F362" s="35"/>
      <c r="G362" s="36"/>
      <c r="H362" s="36"/>
    </row>
    <row r="363" spans="1:8" x14ac:dyDescent="0.25">
      <c r="A363" s="29">
        <v>33115</v>
      </c>
      <c r="B363" t="s">
        <v>19404</v>
      </c>
      <c r="C363" s="35" t="s">
        <v>19221</v>
      </c>
      <c r="D363" s="35" t="s">
        <v>19404</v>
      </c>
      <c r="E363" s="35" t="s">
        <v>19223</v>
      </c>
      <c r="F363" s="35"/>
      <c r="G363" s="36"/>
      <c r="H363" s="36"/>
    </row>
    <row r="364" spans="1:8" x14ac:dyDescent="0.25">
      <c r="A364" s="29">
        <v>51015</v>
      </c>
      <c r="B364" t="s">
        <v>19584</v>
      </c>
      <c r="C364" s="35" t="s">
        <v>14</v>
      </c>
      <c r="D364" s="35" t="s">
        <v>19362</v>
      </c>
      <c r="E364" s="35" t="s">
        <v>19286</v>
      </c>
      <c r="F364" s="35"/>
      <c r="G364" s="36"/>
      <c r="H364" s="36"/>
    </row>
    <row r="365" spans="1:8" x14ac:dyDescent="0.25">
      <c r="A365" s="29">
        <v>83010</v>
      </c>
      <c r="B365" t="s">
        <v>19585</v>
      </c>
      <c r="C365" s="35" t="s">
        <v>19238</v>
      </c>
      <c r="D365" s="35" t="s">
        <v>19259</v>
      </c>
      <c r="E365" s="35" t="s">
        <v>19235</v>
      </c>
      <c r="F365" s="35"/>
      <c r="G365" s="36"/>
      <c r="H365" s="36"/>
    </row>
    <row r="366" spans="1:8" x14ac:dyDescent="0.25">
      <c r="A366" s="29">
        <v>32065</v>
      </c>
      <c r="B366" t="s">
        <v>19586</v>
      </c>
      <c r="C366" s="35" t="s">
        <v>19221</v>
      </c>
      <c r="D366" s="35" t="s">
        <v>19485</v>
      </c>
      <c r="E366" s="35" t="s">
        <v>19255</v>
      </c>
      <c r="F366" s="35"/>
      <c r="G366" s="36"/>
      <c r="H366" s="36"/>
    </row>
    <row r="367" spans="1:8" x14ac:dyDescent="0.25">
      <c r="A367" s="29">
        <v>87058</v>
      </c>
      <c r="B367" t="s">
        <v>19587</v>
      </c>
      <c r="C367" s="35" t="s">
        <v>14</v>
      </c>
      <c r="D367" s="35" t="s">
        <v>19263</v>
      </c>
      <c r="E367" s="35" t="s">
        <v>19243</v>
      </c>
      <c r="F367" s="35"/>
      <c r="G367" s="36"/>
      <c r="H367" s="36"/>
    </row>
    <row r="368" spans="1:8" x14ac:dyDescent="0.25">
      <c r="A368" s="29">
        <v>39165</v>
      </c>
      <c r="B368" t="s">
        <v>19588</v>
      </c>
      <c r="C368" s="35" t="s">
        <v>19221</v>
      </c>
      <c r="D368" s="35" t="s">
        <v>19370</v>
      </c>
      <c r="E368" s="35" t="s">
        <v>19255</v>
      </c>
      <c r="F368" s="35"/>
      <c r="G368" s="36"/>
      <c r="H368" s="36"/>
    </row>
    <row r="369" spans="1:8" x14ac:dyDescent="0.25">
      <c r="A369" s="29">
        <v>45072</v>
      </c>
      <c r="B369" t="s">
        <v>19589</v>
      </c>
      <c r="C369" s="35" t="s">
        <v>14</v>
      </c>
      <c r="D369" s="35" t="s">
        <v>19261</v>
      </c>
      <c r="E369" s="35" t="s">
        <v>19252</v>
      </c>
      <c r="F369" s="35"/>
      <c r="G369" s="36"/>
      <c r="H369" s="36"/>
    </row>
    <row r="370" spans="1:8" x14ac:dyDescent="0.25">
      <c r="A370" s="29">
        <v>89015</v>
      </c>
      <c r="B370" t="s">
        <v>19590</v>
      </c>
      <c r="C370" s="35" t="s">
        <v>14</v>
      </c>
      <c r="D370" s="35" t="s">
        <v>19302</v>
      </c>
      <c r="E370" s="35" t="s">
        <v>19243</v>
      </c>
      <c r="F370" s="35"/>
      <c r="G370" s="36"/>
      <c r="H370" s="36"/>
    </row>
    <row r="371" spans="1:8" x14ac:dyDescent="0.25">
      <c r="A371" s="29">
        <v>52095</v>
      </c>
      <c r="B371" t="s">
        <v>19591</v>
      </c>
      <c r="C371" s="35" t="s">
        <v>19221</v>
      </c>
      <c r="D371" s="35" t="s">
        <v>19309</v>
      </c>
      <c r="E371" s="35" t="s">
        <v>19310</v>
      </c>
      <c r="F371" s="35"/>
      <c r="G371" s="36"/>
      <c r="H371" s="36"/>
    </row>
    <row r="372" spans="1:8" x14ac:dyDescent="0.25">
      <c r="A372" s="29">
        <v>83065</v>
      </c>
      <c r="B372" t="s">
        <v>19592</v>
      </c>
      <c r="C372" s="35" t="s">
        <v>14</v>
      </c>
      <c r="D372" s="35" t="s">
        <v>19259</v>
      </c>
      <c r="E372" s="35" t="s">
        <v>19235</v>
      </c>
      <c r="F372" s="35"/>
      <c r="G372" s="36"/>
      <c r="H372" s="36"/>
    </row>
    <row r="373" spans="1:8" x14ac:dyDescent="0.25">
      <c r="A373" s="29">
        <v>38028</v>
      </c>
      <c r="B373" t="s">
        <v>8004</v>
      </c>
      <c r="C373" s="35" t="s">
        <v>19221</v>
      </c>
      <c r="D373" s="35" t="s">
        <v>19297</v>
      </c>
      <c r="E373" s="35" t="s">
        <v>19255</v>
      </c>
      <c r="F373" s="35"/>
      <c r="G373" s="36"/>
      <c r="H373" s="36"/>
    </row>
    <row r="374" spans="1:8" x14ac:dyDescent="0.25">
      <c r="A374" s="29">
        <v>84065</v>
      </c>
      <c r="B374" t="s">
        <v>19593</v>
      </c>
      <c r="C374" s="35" t="s">
        <v>19221</v>
      </c>
      <c r="D374" s="35" t="s">
        <v>19234</v>
      </c>
      <c r="E374" s="35" t="s">
        <v>19235</v>
      </c>
      <c r="F374" s="35"/>
      <c r="G374" s="36"/>
      <c r="H374" s="36"/>
    </row>
    <row r="375" spans="1:8" x14ac:dyDescent="0.25">
      <c r="A375" s="29">
        <v>6005</v>
      </c>
      <c r="B375" t="s">
        <v>19594</v>
      </c>
      <c r="C375" s="35" t="s">
        <v>19221</v>
      </c>
      <c r="D375" s="35" t="s">
        <v>19349</v>
      </c>
      <c r="E375" s="35" t="s">
        <v>19321</v>
      </c>
      <c r="F375" s="35"/>
      <c r="G375" s="36"/>
      <c r="H375" s="36"/>
    </row>
    <row r="376" spans="1:8" x14ac:dyDescent="0.25">
      <c r="A376" s="29">
        <v>42065</v>
      </c>
      <c r="B376" t="s">
        <v>19595</v>
      </c>
      <c r="C376" s="35" t="s">
        <v>19221</v>
      </c>
      <c r="D376" s="35" t="s">
        <v>19324</v>
      </c>
      <c r="E376" s="35" t="s">
        <v>19252</v>
      </c>
      <c r="F376" s="35"/>
      <c r="G376" s="36"/>
      <c r="H376" s="36"/>
    </row>
    <row r="377" spans="1:8" x14ac:dyDescent="0.25">
      <c r="A377" s="29">
        <v>55048</v>
      </c>
      <c r="B377" t="s">
        <v>19596</v>
      </c>
      <c r="C377" s="35" t="s">
        <v>14</v>
      </c>
      <c r="D377" s="35" t="s">
        <v>19246</v>
      </c>
      <c r="E377" s="35" t="s">
        <v>19217</v>
      </c>
      <c r="F377" s="35"/>
      <c r="G377" s="36"/>
      <c r="H377" s="36"/>
    </row>
    <row r="378" spans="1:8" x14ac:dyDescent="0.25">
      <c r="A378" s="29">
        <v>4025</v>
      </c>
      <c r="B378" t="s">
        <v>19597</v>
      </c>
      <c r="C378" s="35" t="s">
        <v>19215</v>
      </c>
      <c r="D378" s="35" t="s">
        <v>19343</v>
      </c>
      <c r="E378" s="35" t="s">
        <v>19321</v>
      </c>
      <c r="F378" s="35"/>
      <c r="G378" s="36"/>
      <c r="H378" s="36"/>
    </row>
    <row r="379" spans="1:8" x14ac:dyDescent="0.25">
      <c r="A379" s="29">
        <v>30035</v>
      </c>
      <c r="B379" t="s">
        <v>19598</v>
      </c>
      <c r="C379" s="35" t="s">
        <v>19238</v>
      </c>
      <c r="D379" s="35" t="s">
        <v>19257</v>
      </c>
      <c r="E379" s="35" t="s">
        <v>19252</v>
      </c>
      <c r="F379" s="35"/>
      <c r="G379" s="36"/>
      <c r="H379" s="36"/>
    </row>
    <row r="380" spans="1:8" x14ac:dyDescent="0.25">
      <c r="A380" s="29">
        <v>44060</v>
      </c>
      <c r="B380" t="s">
        <v>19599</v>
      </c>
      <c r="C380" s="35" t="s">
        <v>19221</v>
      </c>
      <c r="D380" s="35" t="s">
        <v>19282</v>
      </c>
      <c r="E380" s="35" t="s">
        <v>19252</v>
      </c>
      <c r="F380" s="35"/>
      <c r="G380" s="36"/>
      <c r="H380" s="36"/>
    </row>
    <row r="381" spans="1:8" x14ac:dyDescent="0.25">
      <c r="A381" s="29">
        <v>64015</v>
      </c>
      <c r="B381" t="s">
        <v>16378</v>
      </c>
      <c r="C381" s="35" t="s">
        <v>14</v>
      </c>
      <c r="D381" s="35" t="s">
        <v>19600</v>
      </c>
      <c r="E381" s="35" t="s">
        <v>19310</v>
      </c>
      <c r="F381" s="35"/>
      <c r="G381" s="36"/>
      <c r="H381" s="36"/>
    </row>
    <row r="382" spans="1:8" x14ac:dyDescent="0.25">
      <c r="A382" s="29">
        <v>51008</v>
      </c>
      <c r="B382" t="s">
        <v>19362</v>
      </c>
      <c r="C382" s="35" t="s">
        <v>19221</v>
      </c>
      <c r="D382" s="35" t="s">
        <v>19362</v>
      </c>
      <c r="E382" s="35" t="s">
        <v>19286</v>
      </c>
      <c r="F382" s="35"/>
      <c r="G382" s="36"/>
      <c r="H382" s="36"/>
    </row>
    <row r="383" spans="1:8" x14ac:dyDescent="0.25">
      <c r="A383" s="29">
        <v>53010</v>
      </c>
      <c r="B383" t="s">
        <v>19601</v>
      </c>
      <c r="C383" s="35" t="s">
        <v>19215</v>
      </c>
      <c r="D383" s="35" t="s">
        <v>19602</v>
      </c>
      <c r="E383" s="35" t="s">
        <v>19217</v>
      </c>
      <c r="F383" s="35"/>
      <c r="G383" s="36"/>
      <c r="H383" s="36"/>
    </row>
    <row r="384" spans="1:8" x14ac:dyDescent="0.25">
      <c r="A384" s="29">
        <v>99015</v>
      </c>
      <c r="B384" t="s">
        <v>16373</v>
      </c>
      <c r="C384" s="35" t="s">
        <v>14</v>
      </c>
      <c r="D384" s="35" t="s">
        <v>19360</v>
      </c>
      <c r="E384" s="35" t="s">
        <v>19361</v>
      </c>
      <c r="F384" s="35"/>
      <c r="G384" s="36"/>
      <c r="H384" s="36"/>
    </row>
    <row r="385" spans="1:8" x14ac:dyDescent="0.25">
      <c r="A385" s="29">
        <v>8053</v>
      </c>
      <c r="B385" t="s">
        <v>19603</v>
      </c>
      <c r="C385" s="35" t="s">
        <v>14</v>
      </c>
      <c r="D385" s="35" t="s">
        <v>19269</v>
      </c>
      <c r="E385" s="35" t="s">
        <v>19232</v>
      </c>
      <c r="F385" s="35"/>
      <c r="G385" s="36"/>
      <c r="H385" s="36"/>
    </row>
    <row r="386" spans="1:8" x14ac:dyDescent="0.25">
      <c r="A386" s="29">
        <v>6045</v>
      </c>
      <c r="B386" t="s">
        <v>19604</v>
      </c>
      <c r="C386" s="35" t="s">
        <v>19221</v>
      </c>
      <c r="D386" s="35" t="s">
        <v>19349</v>
      </c>
      <c r="E386" s="35" t="s">
        <v>19321</v>
      </c>
      <c r="F386" s="35"/>
      <c r="G386" s="36"/>
      <c r="H386" s="36"/>
    </row>
    <row r="387" spans="1:8" x14ac:dyDescent="0.25">
      <c r="A387" s="29">
        <v>80065</v>
      </c>
      <c r="B387" t="s">
        <v>19605</v>
      </c>
      <c r="C387" s="35" t="s">
        <v>19221</v>
      </c>
      <c r="D387" s="35" t="s">
        <v>8694</v>
      </c>
      <c r="E387" s="35" t="s">
        <v>19235</v>
      </c>
      <c r="F387" s="35"/>
      <c r="G387" s="36"/>
      <c r="H387" s="36"/>
    </row>
    <row r="388" spans="1:8" x14ac:dyDescent="0.25">
      <c r="A388" s="29">
        <v>57025</v>
      </c>
      <c r="B388" t="s">
        <v>19606</v>
      </c>
      <c r="C388" s="35" t="s">
        <v>19221</v>
      </c>
      <c r="D388" s="35" t="s">
        <v>19305</v>
      </c>
      <c r="E388" s="35" t="s">
        <v>19217</v>
      </c>
      <c r="F388" s="35"/>
      <c r="G388" s="36"/>
      <c r="H388" s="36"/>
    </row>
    <row r="389" spans="1:8" x14ac:dyDescent="0.25">
      <c r="A389" s="29">
        <v>42075</v>
      </c>
      <c r="B389" t="s">
        <v>19607</v>
      </c>
      <c r="C389" s="35" t="s">
        <v>19238</v>
      </c>
      <c r="D389" s="35" t="s">
        <v>19324</v>
      </c>
      <c r="E389" s="35" t="s">
        <v>19252</v>
      </c>
      <c r="F389" s="35"/>
      <c r="G389" s="36"/>
      <c r="H389" s="36"/>
    </row>
    <row r="390" spans="1:8" x14ac:dyDescent="0.25">
      <c r="A390" s="29">
        <v>67045</v>
      </c>
      <c r="B390" t="s">
        <v>518</v>
      </c>
      <c r="C390" s="35" t="s">
        <v>14</v>
      </c>
      <c r="D390" s="35" t="s">
        <v>19340</v>
      </c>
      <c r="E390" s="35" t="s">
        <v>19217</v>
      </c>
      <c r="F390" s="35"/>
      <c r="G390" s="36"/>
      <c r="H390" s="36"/>
    </row>
    <row r="391" spans="1:8" x14ac:dyDescent="0.25">
      <c r="A391" s="29">
        <v>83060</v>
      </c>
      <c r="B391" t="s">
        <v>19608</v>
      </c>
      <c r="C391" s="35" t="s">
        <v>19221</v>
      </c>
      <c r="D391" s="35" t="s">
        <v>19259</v>
      </c>
      <c r="E391" s="35" t="s">
        <v>19235</v>
      </c>
      <c r="F391" s="35"/>
      <c r="G391" s="36"/>
      <c r="H391" s="36"/>
    </row>
    <row r="392" spans="1:8" x14ac:dyDescent="0.25">
      <c r="A392" s="29">
        <v>93012</v>
      </c>
      <c r="B392" t="s">
        <v>19609</v>
      </c>
      <c r="C392" s="35" t="s">
        <v>14</v>
      </c>
      <c r="D392" s="35" t="s">
        <v>19237</v>
      </c>
      <c r="E392" s="35" t="s">
        <v>19229</v>
      </c>
      <c r="F392" s="35"/>
      <c r="G392" s="36"/>
      <c r="H392" s="36"/>
    </row>
    <row r="393" spans="1:8" x14ac:dyDescent="0.25">
      <c r="A393" s="29">
        <v>9048</v>
      </c>
      <c r="B393" t="s">
        <v>19610</v>
      </c>
      <c r="C393" s="35" t="s">
        <v>14</v>
      </c>
      <c r="D393" s="35" t="s">
        <v>19455</v>
      </c>
      <c r="E393" s="35" t="s">
        <v>19232</v>
      </c>
      <c r="F393" s="35"/>
      <c r="G393" s="36"/>
      <c r="H393" s="36"/>
    </row>
    <row r="394" spans="1:8" x14ac:dyDescent="0.25">
      <c r="A394" s="29">
        <v>30040</v>
      </c>
      <c r="B394" t="s">
        <v>19611</v>
      </c>
      <c r="C394" s="35" t="s">
        <v>19221</v>
      </c>
      <c r="D394" s="35" t="s">
        <v>19257</v>
      </c>
      <c r="E394" s="35" t="s">
        <v>19252</v>
      </c>
      <c r="F394" s="35"/>
      <c r="G394" s="36"/>
      <c r="H394" s="36"/>
    </row>
    <row r="395" spans="1:8" x14ac:dyDescent="0.25">
      <c r="A395" s="29">
        <v>76030</v>
      </c>
      <c r="B395" t="s">
        <v>16302</v>
      </c>
      <c r="C395" s="35" t="s">
        <v>19221</v>
      </c>
      <c r="D395" s="35" t="s">
        <v>19332</v>
      </c>
      <c r="E395" s="35" t="s">
        <v>19240</v>
      </c>
      <c r="F395" s="35"/>
      <c r="G395" s="36"/>
      <c r="H395" s="36"/>
    </row>
    <row r="396" spans="1:8" x14ac:dyDescent="0.25">
      <c r="A396" s="29">
        <v>74005</v>
      </c>
      <c r="B396" t="s">
        <v>14662</v>
      </c>
      <c r="C396" s="35" t="s">
        <v>14</v>
      </c>
      <c r="D396" s="35" t="s">
        <v>19272</v>
      </c>
      <c r="E396" s="35" t="s">
        <v>19240</v>
      </c>
      <c r="F396" s="35"/>
      <c r="G396" s="36"/>
      <c r="H396" s="36"/>
    </row>
    <row r="397" spans="1:8" x14ac:dyDescent="0.25">
      <c r="A397" s="29">
        <v>85075</v>
      </c>
      <c r="B397" t="s">
        <v>19612</v>
      </c>
      <c r="C397" s="35" t="s">
        <v>19221</v>
      </c>
      <c r="D397" s="35" t="s">
        <v>19289</v>
      </c>
      <c r="E397" s="35" t="s">
        <v>19243</v>
      </c>
      <c r="F397" s="35"/>
      <c r="G397" s="36"/>
      <c r="H397" s="36"/>
    </row>
    <row r="398" spans="1:8" x14ac:dyDescent="0.25">
      <c r="A398" s="29">
        <v>78055</v>
      </c>
      <c r="B398" t="s">
        <v>14658</v>
      </c>
      <c r="C398" s="35" t="s">
        <v>19221</v>
      </c>
      <c r="D398" s="35" t="s">
        <v>19239</v>
      </c>
      <c r="E398" s="35" t="s">
        <v>19240</v>
      </c>
      <c r="F398" s="35"/>
      <c r="G398" s="36"/>
      <c r="H398" s="36"/>
    </row>
    <row r="399" spans="1:8" x14ac:dyDescent="0.25">
      <c r="A399" s="29">
        <v>14005</v>
      </c>
      <c r="B399" t="s">
        <v>19613</v>
      </c>
      <c r="C399" s="35" t="s">
        <v>19221</v>
      </c>
      <c r="D399" s="35" t="s">
        <v>19487</v>
      </c>
      <c r="E399" s="35" t="s">
        <v>19232</v>
      </c>
      <c r="F399" s="35"/>
      <c r="G399" s="36"/>
      <c r="H399" s="36"/>
    </row>
    <row r="400" spans="1:8" x14ac:dyDescent="0.25">
      <c r="A400" s="29">
        <v>83088</v>
      </c>
      <c r="B400" t="s">
        <v>19614</v>
      </c>
      <c r="C400" s="35" t="s">
        <v>19221</v>
      </c>
      <c r="D400" s="35" t="s">
        <v>19259</v>
      </c>
      <c r="E400" s="35" t="s">
        <v>19235</v>
      </c>
      <c r="F400" s="35"/>
      <c r="G400" s="36"/>
      <c r="H400" s="36"/>
    </row>
    <row r="401" spans="1:8" x14ac:dyDescent="0.25">
      <c r="A401" s="29">
        <v>80010</v>
      </c>
      <c r="B401" t="s">
        <v>19615</v>
      </c>
      <c r="C401" s="35" t="s">
        <v>19221</v>
      </c>
      <c r="D401" s="35" t="s">
        <v>8694</v>
      </c>
      <c r="E401" s="35" t="s">
        <v>19235</v>
      </c>
      <c r="F401" s="35"/>
      <c r="G401" s="36"/>
      <c r="H401" s="36"/>
    </row>
    <row r="402" spans="1:8" x14ac:dyDescent="0.25">
      <c r="A402" s="29">
        <v>9077</v>
      </c>
      <c r="B402" t="s">
        <v>19616</v>
      </c>
      <c r="C402" s="35" t="s">
        <v>14</v>
      </c>
      <c r="D402" s="35" t="s">
        <v>19455</v>
      </c>
      <c r="E402" s="35" t="s">
        <v>19232</v>
      </c>
      <c r="F402" s="35"/>
      <c r="G402" s="36"/>
      <c r="H402" s="36"/>
    </row>
    <row r="403" spans="1:8" x14ac:dyDescent="0.25">
      <c r="A403" s="29">
        <v>79088</v>
      </c>
      <c r="B403" t="s">
        <v>14584</v>
      </c>
      <c r="C403" s="35" t="s">
        <v>14</v>
      </c>
      <c r="D403" s="35" t="s">
        <v>19374</v>
      </c>
      <c r="E403" s="35" t="s">
        <v>19240</v>
      </c>
      <c r="F403" s="35"/>
      <c r="G403" s="36"/>
      <c r="H403" s="36"/>
    </row>
    <row r="404" spans="1:8" x14ac:dyDescent="0.25">
      <c r="A404" s="29">
        <v>18050</v>
      </c>
      <c r="B404" t="s">
        <v>14579</v>
      </c>
      <c r="C404" s="35" t="s">
        <v>14</v>
      </c>
      <c r="D404" s="35" t="s">
        <v>14579</v>
      </c>
      <c r="E404" s="35" t="s">
        <v>19223</v>
      </c>
      <c r="F404" s="35"/>
      <c r="G404" s="36"/>
      <c r="H404" s="36"/>
    </row>
    <row r="405" spans="1:8" x14ac:dyDescent="0.25">
      <c r="A405" s="29">
        <v>80090</v>
      </c>
      <c r="B405" t="s">
        <v>19617</v>
      </c>
      <c r="C405" s="35" t="s">
        <v>19221</v>
      </c>
      <c r="D405" s="35" t="s">
        <v>8694</v>
      </c>
      <c r="E405" s="35" t="s">
        <v>19235</v>
      </c>
      <c r="F405" s="35"/>
      <c r="G405" s="36"/>
      <c r="H405" s="36"/>
    </row>
    <row r="406" spans="1:8" x14ac:dyDescent="0.25">
      <c r="A406" s="29">
        <v>66023</v>
      </c>
      <c r="B406" t="s">
        <v>14481</v>
      </c>
      <c r="C406" s="35" t="s">
        <v>14</v>
      </c>
      <c r="D406" s="35" t="s">
        <v>19272</v>
      </c>
      <c r="E406" s="35" t="s">
        <v>14481</v>
      </c>
      <c r="F406" s="35"/>
      <c r="G406" s="36"/>
      <c r="H406" s="36"/>
    </row>
    <row r="407" spans="1:8" x14ac:dyDescent="0.25">
      <c r="A407" s="29">
        <v>66007</v>
      </c>
      <c r="B407" t="s">
        <v>19618</v>
      </c>
      <c r="C407" s="35" t="s">
        <v>14</v>
      </c>
      <c r="D407" s="35" t="s">
        <v>19272</v>
      </c>
      <c r="E407" s="35" t="s">
        <v>14481</v>
      </c>
      <c r="F407" s="35"/>
      <c r="G407" s="36"/>
      <c r="H407" s="36"/>
    </row>
    <row r="408" spans="1:8" x14ac:dyDescent="0.25">
      <c r="A408" s="29">
        <v>66047</v>
      </c>
      <c r="B408" t="s">
        <v>19619</v>
      </c>
      <c r="C408" s="35" t="s">
        <v>14</v>
      </c>
      <c r="D408" s="35" t="s">
        <v>19272</v>
      </c>
      <c r="E408" s="35" t="s">
        <v>14481</v>
      </c>
      <c r="F408" s="35"/>
      <c r="G408" s="36"/>
      <c r="H408" s="36"/>
    </row>
    <row r="409" spans="1:8" x14ac:dyDescent="0.25">
      <c r="A409" s="29">
        <v>66072</v>
      </c>
      <c r="B409" t="s">
        <v>19620</v>
      </c>
      <c r="C409" s="35" t="s">
        <v>14</v>
      </c>
      <c r="D409" s="35" t="s">
        <v>19272</v>
      </c>
      <c r="E409" s="35" t="s">
        <v>14481</v>
      </c>
      <c r="F409" s="35"/>
      <c r="G409" s="36"/>
      <c r="H409" s="36"/>
    </row>
    <row r="410" spans="1:8" x14ac:dyDescent="0.25">
      <c r="A410" s="29">
        <v>56097</v>
      </c>
      <c r="B410" t="s">
        <v>19621</v>
      </c>
      <c r="C410" s="35" t="s">
        <v>19221</v>
      </c>
      <c r="D410" s="35" t="s">
        <v>19474</v>
      </c>
      <c r="E410" s="35" t="s">
        <v>19217</v>
      </c>
      <c r="F410" s="35"/>
      <c r="G410" s="36"/>
      <c r="H410" s="36"/>
    </row>
    <row r="411" spans="1:8" x14ac:dyDescent="0.25">
      <c r="A411" s="29">
        <v>57035</v>
      </c>
      <c r="B411" t="s">
        <v>19622</v>
      </c>
      <c r="C411" s="35" t="s">
        <v>14</v>
      </c>
      <c r="D411" s="35" t="s">
        <v>19305</v>
      </c>
      <c r="E411" s="35" t="s">
        <v>19217</v>
      </c>
      <c r="F411" s="35"/>
      <c r="G411" s="36"/>
      <c r="H411" s="36"/>
    </row>
    <row r="412" spans="1:8" x14ac:dyDescent="0.25">
      <c r="A412" s="29">
        <v>79110</v>
      </c>
      <c r="B412" t="s">
        <v>19623</v>
      </c>
      <c r="C412" s="35" t="s">
        <v>19221</v>
      </c>
      <c r="D412" s="35" t="s">
        <v>19374</v>
      </c>
      <c r="E412" s="35" t="s">
        <v>19240</v>
      </c>
      <c r="F412" s="35"/>
      <c r="G412" s="36"/>
      <c r="H412" s="36"/>
    </row>
    <row r="413" spans="1:8" x14ac:dyDescent="0.25">
      <c r="A413" s="29">
        <v>4015</v>
      </c>
      <c r="B413" t="s">
        <v>19624</v>
      </c>
      <c r="C413" s="35" t="s">
        <v>19215</v>
      </c>
      <c r="D413" s="35" t="s">
        <v>19343</v>
      </c>
      <c r="E413" s="35" t="s">
        <v>19321</v>
      </c>
      <c r="F413" s="35"/>
      <c r="G413" s="36"/>
      <c r="H413" s="36"/>
    </row>
    <row r="414" spans="1:8" x14ac:dyDescent="0.25">
      <c r="A414" s="29">
        <v>78102</v>
      </c>
      <c r="B414" t="s">
        <v>14393</v>
      </c>
      <c r="C414" s="35" t="s">
        <v>14</v>
      </c>
      <c r="D414" s="35" t="s">
        <v>19239</v>
      </c>
      <c r="E414" s="35" t="s">
        <v>19240</v>
      </c>
      <c r="F414" s="35"/>
      <c r="G414" s="36"/>
      <c r="H414" s="36"/>
    </row>
    <row r="415" spans="1:8" x14ac:dyDescent="0.25">
      <c r="A415" s="29">
        <v>77050</v>
      </c>
      <c r="B415" t="s">
        <v>14285</v>
      </c>
      <c r="C415" s="35" t="s">
        <v>19221</v>
      </c>
      <c r="D415" s="35" t="s">
        <v>19425</v>
      </c>
      <c r="E415" s="35" t="s">
        <v>19240</v>
      </c>
      <c r="F415" s="35"/>
      <c r="G415" s="36"/>
      <c r="H415" s="36"/>
    </row>
    <row r="416" spans="1:8" x14ac:dyDescent="0.25">
      <c r="A416" s="29">
        <v>80085</v>
      </c>
      <c r="B416" t="s">
        <v>19625</v>
      </c>
      <c r="C416" s="35" t="s">
        <v>19221</v>
      </c>
      <c r="D416" s="35" t="s">
        <v>8694</v>
      </c>
      <c r="E416" s="35" t="s">
        <v>19235</v>
      </c>
      <c r="F416" s="35"/>
      <c r="G416" s="36"/>
      <c r="H416" s="36"/>
    </row>
    <row r="417" spans="1:8" x14ac:dyDescent="0.25">
      <c r="A417" s="29">
        <v>3025</v>
      </c>
      <c r="B417" t="s">
        <v>19626</v>
      </c>
      <c r="C417" s="35" t="s">
        <v>14</v>
      </c>
      <c r="D417" s="35" t="s">
        <v>19379</v>
      </c>
      <c r="E417" s="35" t="s">
        <v>19321</v>
      </c>
      <c r="F417" s="35"/>
      <c r="G417" s="36"/>
      <c r="H417" s="36"/>
    </row>
    <row r="418" spans="1:8" x14ac:dyDescent="0.25">
      <c r="A418" s="29">
        <v>80110</v>
      </c>
      <c r="B418" t="s">
        <v>19627</v>
      </c>
      <c r="C418" s="35" t="s">
        <v>19221</v>
      </c>
      <c r="D418" s="35" t="s">
        <v>8694</v>
      </c>
      <c r="E418" s="35" t="s">
        <v>19235</v>
      </c>
      <c r="F418" s="35"/>
      <c r="G418" s="36"/>
      <c r="H418" s="36"/>
    </row>
    <row r="419" spans="1:8" x14ac:dyDescent="0.25">
      <c r="A419" s="29">
        <v>30045</v>
      </c>
      <c r="B419" t="s">
        <v>19628</v>
      </c>
      <c r="C419" s="35" t="s">
        <v>19221</v>
      </c>
      <c r="D419" s="35" t="s">
        <v>19257</v>
      </c>
      <c r="E419" s="35" t="s">
        <v>19252</v>
      </c>
      <c r="F419" s="35"/>
      <c r="G419" s="36"/>
      <c r="H419" s="36"/>
    </row>
    <row r="420" spans="1:8" x14ac:dyDescent="0.25">
      <c r="A420" s="29">
        <v>68030</v>
      </c>
      <c r="B420" t="s">
        <v>19629</v>
      </c>
      <c r="C420" s="35" t="s">
        <v>19221</v>
      </c>
      <c r="D420" s="35" t="s">
        <v>19472</v>
      </c>
      <c r="E420" s="35" t="s">
        <v>19217</v>
      </c>
      <c r="F420" s="35"/>
      <c r="G420" s="36"/>
      <c r="H420" s="36"/>
    </row>
    <row r="421" spans="1:8" x14ac:dyDescent="0.25">
      <c r="A421" s="29">
        <v>98025</v>
      </c>
      <c r="B421" t="s">
        <v>19630</v>
      </c>
      <c r="C421" s="35" t="s">
        <v>19221</v>
      </c>
      <c r="D421" s="35" t="s">
        <v>19225</v>
      </c>
      <c r="E421" s="35" t="s">
        <v>19226</v>
      </c>
      <c r="F421" s="35"/>
      <c r="G421" s="36"/>
      <c r="H421" s="36"/>
    </row>
    <row r="422" spans="1:8" x14ac:dyDescent="0.25">
      <c r="A422" s="29">
        <v>85100</v>
      </c>
      <c r="B422" t="s">
        <v>19631</v>
      </c>
      <c r="C422" s="35" t="s">
        <v>19238</v>
      </c>
      <c r="D422" s="35" t="s">
        <v>19289</v>
      </c>
      <c r="E422" s="35" t="s">
        <v>19243</v>
      </c>
      <c r="F422" s="35"/>
      <c r="G422" s="36"/>
      <c r="H422" s="36"/>
    </row>
    <row r="423" spans="1:8" x14ac:dyDescent="0.25">
      <c r="A423" s="29">
        <v>34007</v>
      </c>
      <c r="B423" t="s">
        <v>19632</v>
      </c>
      <c r="C423" s="35" t="s">
        <v>14</v>
      </c>
      <c r="D423" s="35" t="s">
        <v>19347</v>
      </c>
      <c r="E423" s="35" t="s">
        <v>19276</v>
      </c>
      <c r="F423" s="35"/>
      <c r="G423" s="36"/>
      <c r="H423" s="36"/>
    </row>
    <row r="424" spans="1:8" x14ac:dyDescent="0.25">
      <c r="A424" s="29">
        <v>5040</v>
      </c>
      <c r="B424" t="s">
        <v>19633</v>
      </c>
      <c r="C424" s="35" t="s">
        <v>19221</v>
      </c>
      <c r="D424" s="35" t="s">
        <v>19320</v>
      </c>
      <c r="E424" s="35" t="s">
        <v>19321</v>
      </c>
      <c r="F424" s="35"/>
      <c r="G424" s="36"/>
      <c r="H424" s="36"/>
    </row>
    <row r="425" spans="1:8" x14ac:dyDescent="0.25">
      <c r="A425" s="29">
        <v>5070</v>
      </c>
      <c r="B425" t="s">
        <v>19634</v>
      </c>
      <c r="C425" s="35" t="s">
        <v>14</v>
      </c>
      <c r="D425" s="35" t="s">
        <v>19320</v>
      </c>
      <c r="E425" s="35" t="s">
        <v>19321</v>
      </c>
      <c r="F425" s="35"/>
      <c r="G425" s="36"/>
      <c r="H425" s="36"/>
    </row>
    <row r="426" spans="1:8" x14ac:dyDescent="0.25">
      <c r="A426" s="29">
        <v>41037</v>
      </c>
      <c r="B426" t="s">
        <v>19635</v>
      </c>
      <c r="C426" s="35" t="s">
        <v>19221</v>
      </c>
      <c r="D426" s="35" t="s">
        <v>19251</v>
      </c>
      <c r="E426" s="35" t="s">
        <v>19252</v>
      </c>
      <c r="F426" s="35"/>
      <c r="G426" s="36"/>
      <c r="H426" s="36"/>
    </row>
    <row r="427" spans="1:8" x14ac:dyDescent="0.25">
      <c r="A427" s="29">
        <v>50072</v>
      </c>
      <c r="B427" t="s">
        <v>19636</v>
      </c>
      <c r="C427" s="35" t="s">
        <v>14</v>
      </c>
      <c r="D427" s="35" t="s">
        <v>19254</v>
      </c>
      <c r="E427" s="35" t="s">
        <v>19255</v>
      </c>
      <c r="F427" s="35"/>
      <c r="G427" s="36"/>
      <c r="H427" s="36"/>
    </row>
    <row r="428" spans="1:8" x14ac:dyDescent="0.25">
      <c r="A428" s="29">
        <v>79030</v>
      </c>
      <c r="B428" t="s">
        <v>14269</v>
      </c>
      <c r="C428" s="35" t="s">
        <v>19221</v>
      </c>
      <c r="D428" s="35" t="s">
        <v>19374</v>
      </c>
      <c r="E428" s="35" t="s">
        <v>19240</v>
      </c>
      <c r="F428" s="35"/>
      <c r="G428" s="36"/>
      <c r="H428" s="36"/>
    </row>
    <row r="429" spans="1:8" x14ac:dyDescent="0.25">
      <c r="A429" s="29">
        <v>92040</v>
      </c>
      <c r="B429" t="s">
        <v>12042</v>
      </c>
      <c r="C429" s="35" t="s">
        <v>14</v>
      </c>
      <c r="D429" s="35" t="s">
        <v>19228</v>
      </c>
      <c r="E429" s="35" t="s">
        <v>19229</v>
      </c>
      <c r="F429" s="35"/>
      <c r="G429" s="36"/>
      <c r="H429" s="36"/>
    </row>
    <row r="430" spans="1:8" x14ac:dyDescent="0.25">
      <c r="A430" s="29">
        <v>87115</v>
      </c>
      <c r="B430" t="s">
        <v>19637</v>
      </c>
      <c r="C430" s="35" t="s">
        <v>19221</v>
      </c>
      <c r="D430" s="35" t="s">
        <v>19263</v>
      </c>
      <c r="E430" s="35" t="s">
        <v>19243</v>
      </c>
      <c r="F430" s="35"/>
      <c r="G430" s="36"/>
      <c r="H430" s="36"/>
    </row>
    <row r="431" spans="1:8" x14ac:dyDescent="0.25">
      <c r="A431" s="29">
        <v>45050</v>
      </c>
      <c r="B431" t="s">
        <v>19638</v>
      </c>
      <c r="C431" s="35" t="s">
        <v>19215</v>
      </c>
      <c r="D431" s="35" t="s">
        <v>19261</v>
      </c>
      <c r="E431" s="35" t="s">
        <v>19252</v>
      </c>
      <c r="F431" s="35"/>
      <c r="G431" s="36"/>
      <c r="H431" s="36"/>
    </row>
    <row r="432" spans="1:8" x14ac:dyDescent="0.25">
      <c r="A432" s="29">
        <v>19010</v>
      </c>
      <c r="B432" t="s">
        <v>19639</v>
      </c>
      <c r="C432" s="35" t="s">
        <v>19327</v>
      </c>
      <c r="D432" s="35" t="s">
        <v>19248</v>
      </c>
      <c r="E432" s="35" t="s">
        <v>19223</v>
      </c>
      <c r="F432" s="35"/>
      <c r="G432" s="36"/>
      <c r="H432" s="36"/>
    </row>
    <row r="433" spans="1:8" x14ac:dyDescent="0.25">
      <c r="A433" s="29">
        <v>80015</v>
      </c>
      <c r="B433" t="s">
        <v>19640</v>
      </c>
      <c r="C433" s="35" t="s">
        <v>19221</v>
      </c>
      <c r="D433" s="35" t="s">
        <v>8694</v>
      </c>
      <c r="E433" s="35" t="s">
        <v>19235</v>
      </c>
      <c r="F433" s="35"/>
      <c r="G433" s="36"/>
      <c r="H433" s="36"/>
    </row>
    <row r="434" spans="1:8" x14ac:dyDescent="0.25">
      <c r="A434" s="29">
        <v>39015</v>
      </c>
      <c r="B434" t="s">
        <v>19641</v>
      </c>
      <c r="C434" s="35" t="s">
        <v>19221</v>
      </c>
      <c r="D434" s="35" t="s">
        <v>19370</v>
      </c>
      <c r="E434" s="35" t="s">
        <v>19255</v>
      </c>
      <c r="F434" s="35"/>
      <c r="G434" s="36"/>
      <c r="H434" s="36"/>
    </row>
    <row r="435" spans="1:8" x14ac:dyDescent="0.25">
      <c r="A435" s="29">
        <v>62055</v>
      </c>
      <c r="B435" t="s">
        <v>14258</v>
      </c>
      <c r="C435" s="35" t="s">
        <v>19221</v>
      </c>
      <c r="D435" s="35" t="s">
        <v>19368</v>
      </c>
      <c r="E435" s="35" t="s">
        <v>19310</v>
      </c>
      <c r="F435" s="35"/>
      <c r="G435" s="36"/>
      <c r="H435" s="36"/>
    </row>
    <row r="436" spans="1:8" x14ac:dyDescent="0.25">
      <c r="A436" s="29">
        <v>80020</v>
      </c>
      <c r="B436" t="s">
        <v>14253</v>
      </c>
      <c r="C436" s="35" t="s">
        <v>19221</v>
      </c>
      <c r="D436" s="35" t="s">
        <v>8694</v>
      </c>
      <c r="E436" s="35" t="s">
        <v>19235</v>
      </c>
      <c r="F436" s="35"/>
      <c r="G436" s="36"/>
      <c r="H436" s="36"/>
    </row>
    <row r="437" spans="1:8" x14ac:dyDescent="0.25">
      <c r="A437" s="29">
        <v>82010</v>
      </c>
      <c r="B437" t="s">
        <v>19642</v>
      </c>
      <c r="C437" s="35" t="s">
        <v>19221</v>
      </c>
      <c r="D437" s="35" t="s">
        <v>19341</v>
      </c>
      <c r="E437" s="35" t="s">
        <v>19235</v>
      </c>
      <c r="F437" s="35"/>
      <c r="G437" s="36"/>
      <c r="H437" s="36"/>
    </row>
    <row r="438" spans="1:8" x14ac:dyDescent="0.25">
      <c r="A438" s="29">
        <v>71065</v>
      </c>
      <c r="B438" t="s">
        <v>19643</v>
      </c>
      <c r="C438" s="35" t="s">
        <v>14</v>
      </c>
      <c r="D438" s="35" t="s">
        <v>19482</v>
      </c>
      <c r="E438" s="35" t="s">
        <v>19217</v>
      </c>
      <c r="F438" s="35"/>
      <c r="G438" s="36"/>
      <c r="H438" s="36"/>
    </row>
    <row r="439" spans="1:8" x14ac:dyDescent="0.25">
      <c r="A439" s="29">
        <v>92060</v>
      </c>
      <c r="B439" t="s">
        <v>19644</v>
      </c>
      <c r="C439" s="35" t="s">
        <v>19221</v>
      </c>
      <c r="D439" s="35" t="s">
        <v>19228</v>
      </c>
      <c r="E439" s="35" t="s">
        <v>19229</v>
      </c>
      <c r="F439" s="35"/>
      <c r="G439" s="36"/>
      <c r="H439" s="36"/>
    </row>
    <row r="440" spans="1:8" x14ac:dyDescent="0.25">
      <c r="A440" s="29">
        <v>32080</v>
      </c>
      <c r="B440" t="s">
        <v>19645</v>
      </c>
      <c r="C440" s="35" t="s">
        <v>19327</v>
      </c>
      <c r="D440" s="35" t="s">
        <v>19485</v>
      </c>
      <c r="E440" s="35" t="s">
        <v>19255</v>
      </c>
      <c r="F440" s="35"/>
      <c r="G440" s="36"/>
      <c r="H440" s="36"/>
    </row>
    <row r="441" spans="1:8" x14ac:dyDescent="0.25">
      <c r="A441" s="29">
        <v>61045</v>
      </c>
      <c r="B441" t="s">
        <v>19645</v>
      </c>
      <c r="C441" s="35" t="s">
        <v>19221</v>
      </c>
      <c r="D441" s="35" t="s">
        <v>17483</v>
      </c>
      <c r="E441" s="35" t="s">
        <v>19310</v>
      </c>
      <c r="F441" s="35"/>
      <c r="G441" s="36"/>
      <c r="H441" s="36"/>
    </row>
    <row r="442" spans="1:8" x14ac:dyDescent="0.25">
      <c r="A442" s="29">
        <v>35005</v>
      </c>
      <c r="B442" t="s">
        <v>19646</v>
      </c>
      <c r="C442" s="35" t="s">
        <v>19221</v>
      </c>
      <c r="D442" s="35" t="s">
        <v>19452</v>
      </c>
      <c r="E442" s="35" t="s">
        <v>19286</v>
      </c>
      <c r="F442" s="35"/>
      <c r="G442" s="36"/>
      <c r="H442" s="36"/>
    </row>
    <row r="443" spans="1:8" x14ac:dyDescent="0.25">
      <c r="A443" s="29">
        <v>79010</v>
      </c>
      <c r="B443" t="s">
        <v>14243</v>
      </c>
      <c r="C443" s="35" t="s">
        <v>19221</v>
      </c>
      <c r="D443" s="35" t="s">
        <v>19374</v>
      </c>
      <c r="E443" s="35" t="s">
        <v>19240</v>
      </c>
      <c r="F443" s="35"/>
      <c r="G443" s="36"/>
      <c r="H443" s="36"/>
    </row>
    <row r="444" spans="1:8" x14ac:dyDescent="0.25">
      <c r="A444" s="29">
        <v>23015</v>
      </c>
      <c r="B444" t="s">
        <v>19647</v>
      </c>
      <c r="C444" s="35" t="s">
        <v>19327</v>
      </c>
      <c r="D444" s="35" t="s">
        <v>19360</v>
      </c>
      <c r="E444" s="35" t="s">
        <v>19276</v>
      </c>
      <c r="F444" s="35"/>
      <c r="G444" s="36"/>
      <c r="H444" s="36"/>
    </row>
    <row r="445" spans="1:8" x14ac:dyDescent="0.25">
      <c r="A445" s="29">
        <v>30010</v>
      </c>
      <c r="B445" t="s">
        <v>19648</v>
      </c>
      <c r="C445" s="35" t="s">
        <v>19221</v>
      </c>
      <c r="D445" s="35" t="s">
        <v>19257</v>
      </c>
      <c r="E445" s="35" t="s">
        <v>19252</v>
      </c>
      <c r="F445" s="35"/>
      <c r="G445" s="36"/>
      <c r="H445" s="36"/>
    </row>
    <row r="446" spans="1:8" x14ac:dyDescent="0.25">
      <c r="A446" s="29">
        <v>15025</v>
      </c>
      <c r="B446" t="s">
        <v>19649</v>
      </c>
      <c r="C446" s="35" t="s">
        <v>19221</v>
      </c>
      <c r="D446" s="35" t="s">
        <v>19275</v>
      </c>
      <c r="E446" s="35" t="s">
        <v>19276</v>
      </c>
      <c r="F446" s="35"/>
      <c r="G446" s="36"/>
      <c r="H446" s="36"/>
    </row>
    <row r="447" spans="1:8" x14ac:dyDescent="0.25">
      <c r="A447" s="29">
        <v>11045</v>
      </c>
      <c r="B447" t="s">
        <v>19650</v>
      </c>
      <c r="C447" s="35" t="s">
        <v>19221</v>
      </c>
      <c r="D447" s="35" t="s">
        <v>19651</v>
      </c>
      <c r="E447" s="35" t="s">
        <v>19232</v>
      </c>
      <c r="F447" s="35"/>
      <c r="G447" s="36"/>
      <c r="H447" s="36"/>
    </row>
    <row r="448" spans="1:8" x14ac:dyDescent="0.25">
      <c r="A448" s="29">
        <v>29120</v>
      </c>
      <c r="B448" t="s">
        <v>19652</v>
      </c>
      <c r="C448" s="35" t="s">
        <v>19327</v>
      </c>
      <c r="D448" s="35" t="s">
        <v>19500</v>
      </c>
      <c r="E448" s="35" t="s">
        <v>19223</v>
      </c>
      <c r="F448" s="35"/>
      <c r="G448" s="36"/>
      <c r="H448" s="36"/>
    </row>
    <row r="449" spans="1:8" x14ac:dyDescent="0.25">
      <c r="A449" s="29">
        <v>61030</v>
      </c>
      <c r="B449" t="s">
        <v>14233</v>
      </c>
      <c r="C449" s="35" t="s">
        <v>14</v>
      </c>
      <c r="D449" s="35" t="s">
        <v>17483</v>
      </c>
      <c r="E449" s="35" t="s">
        <v>19310</v>
      </c>
      <c r="F449" s="35"/>
      <c r="G449" s="36"/>
      <c r="H449" s="36"/>
    </row>
    <row r="450" spans="1:8" x14ac:dyDescent="0.25">
      <c r="A450" s="29">
        <v>12045</v>
      </c>
      <c r="B450" t="s">
        <v>19653</v>
      </c>
      <c r="C450" s="35" t="s">
        <v>19327</v>
      </c>
      <c r="D450" s="35" t="s">
        <v>19336</v>
      </c>
      <c r="E450" s="35" t="s">
        <v>19232</v>
      </c>
      <c r="F450" s="35"/>
      <c r="G450" s="36"/>
      <c r="H450" s="36"/>
    </row>
    <row r="451" spans="1:8" x14ac:dyDescent="0.25">
      <c r="A451" s="29">
        <v>46100</v>
      </c>
      <c r="B451" t="s">
        <v>19654</v>
      </c>
      <c r="C451" s="35" t="s">
        <v>19221</v>
      </c>
      <c r="D451" s="35" t="s">
        <v>19216</v>
      </c>
      <c r="E451" s="35" t="s">
        <v>19217</v>
      </c>
      <c r="F451" s="35"/>
      <c r="G451" s="36"/>
      <c r="H451" s="36"/>
    </row>
    <row r="452" spans="1:8" x14ac:dyDescent="0.25">
      <c r="A452" s="29">
        <v>49080</v>
      </c>
      <c r="B452" t="s">
        <v>19655</v>
      </c>
      <c r="C452" s="35" t="s">
        <v>19327</v>
      </c>
      <c r="D452" s="35" t="s">
        <v>19405</v>
      </c>
      <c r="E452" s="35" t="s">
        <v>19255</v>
      </c>
      <c r="F452" s="35"/>
      <c r="G452" s="36"/>
      <c r="H452" s="36"/>
    </row>
    <row r="453" spans="1:8" x14ac:dyDescent="0.25">
      <c r="A453" s="29">
        <v>49075</v>
      </c>
      <c r="B453" t="s">
        <v>19655</v>
      </c>
      <c r="C453" s="35" t="s">
        <v>19215</v>
      </c>
      <c r="D453" s="35" t="s">
        <v>19405</v>
      </c>
      <c r="E453" s="35" t="s">
        <v>19255</v>
      </c>
      <c r="F453" s="35"/>
      <c r="G453" s="36"/>
      <c r="H453" s="36"/>
    </row>
    <row r="454" spans="1:8" x14ac:dyDescent="0.25">
      <c r="A454" s="29">
        <v>79005</v>
      </c>
      <c r="B454" t="s">
        <v>19656</v>
      </c>
      <c r="C454" s="35" t="s">
        <v>19221</v>
      </c>
      <c r="D454" s="35" t="s">
        <v>19374</v>
      </c>
      <c r="E454" s="35" t="s">
        <v>19240</v>
      </c>
      <c r="F454" s="35"/>
      <c r="G454" s="36"/>
      <c r="H454" s="36"/>
    </row>
    <row r="455" spans="1:8" x14ac:dyDescent="0.25">
      <c r="A455" s="29">
        <v>37235</v>
      </c>
      <c r="B455" t="s">
        <v>19657</v>
      </c>
      <c r="C455" s="35" t="s">
        <v>19327</v>
      </c>
      <c r="D455" s="35" t="s">
        <v>19285</v>
      </c>
      <c r="E455" s="35" t="s">
        <v>19286</v>
      </c>
      <c r="F455" s="35"/>
      <c r="G455" s="36"/>
      <c r="H455" s="36"/>
    </row>
    <row r="456" spans="1:8" x14ac:dyDescent="0.25">
      <c r="A456" s="29">
        <v>85090</v>
      </c>
      <c r="B456" t="s">
        <v>19658</v>
      </c>
      <c r="C456" s="35" t="s">
        <v>19221</v>
      </c>
      <c r="D456" s="35" t="s">
        <v>19289</v>
      </c>
      <c r="E456" s="35" t="s">
        <v>19243</v>
      </c>
      <c r="F456" s="35"/>
      <c r="G456" s="36"/>
      <c r="H456" s="36"/>
    </row>
    <row r="457" spans="1:8" x14ac:dyDescent="0.25">
      <c r="A457" s="29">
        <v>12080</v>
      </c>
      <c r="B457" t="s">
        <v>19659</v>
      </c>
      <c r="C457" s="35" t="s">
        <v>19221</v>
      </c>
      <c r="D457" s="35" t="s">
        <v>19336</v>
      </c>
      <c r="E457" s="35" t="s">
        <v>19232</v>
      </c>
      <c r="F457" s="35"/>
      <c r="G457" s="36"/>
      <c r="H457" s="36"/>
    </row>
    <row r="458" spans="1:8" x14ac:dyDescent="0.25">
      <c r="A458" s="29">
        <v>18040</v>
      </c>
      <c r="B458" t="s">
        <v>19660</v>
      </c>
      <c r="C458" s="35" t="s">
        <v>19221</v>
      </c>
      <c r="D458" s="35" t="s">
        <v>14579</v>
      </c>
      <c r="E458" s="35" t="s">
        <v>19223</v>
      </c>
      <c r="F458" s="35"/>
      <c r="G458" s="36"/>
      <c r="H458" s="36"/>
    </row>
    <row r="459" spans="1:8" x14ac:dyDescent="0.25">
      <c r="A459" s="29">
        <v>33085</v>
      </c>
      <c r="B459" t="s">
        <v>19661</v>
      </c>
      <c r="C459" s="35" t="s">
        <v>19327</v>
      </c>
      <c r="D459" s="35" t="s">
        <v>19404</v>
      </c>
      <c r="E459" s="35" t="s">
        <v>19223</v>
      </c>
      <c r="F459" s="35"/>
      <c r="G459" s="36"/>
      <c r="H459" s="36"/>
    </row>
    <row r="460" spans="1:8" x14ac:dyDescent="0.25">
      <c r="A460" s="29">
        <v>6020</v>
      </c>
      <c r="B460" t="s">
        <v>19662</v>
      </c>
      <c r="C460" s="35" t="s">
        <v>19221</v>
      </c>
      <c r="D460" s="35" t="s">
        <v>19349</v>
      </c>
      <c r="E460" s="35" t="s">
        <v>19321</v>
      </c>
      <c r="F460" s="35"/>
      <c r="G460" s="36"/>
      <c r="H460" s="36"/>
    </row>
    <row r="461" spans="1:8" x14ac:dyDescent="0.25">
      <c r="A461" s="29">
        <v>56015</v>
      </c>
      <c r="B461" t="s">
        <v>19663</v>
      </c>
      <c r="C461" s="35" t="s">
        <v>19221</v>
      </c>
      <c r="D461" s="35" t="s">
        <v>19474</v>
      </c>
      <c r="E461" s="35" t="s">
        <v>19217</v>
      </c>
      <c r="F461" s="35"/>
      <c r="G461" s="36"/>
      <c r="H461" s="36"/>
    </row>
    <row r="462" spans="1:8" x14ac:dyDescent="0.25">
      <c r="A462" s="29">
        <v>45020</v>
      </c>
      <c r="B462" t="s">
        <v>19664</v>
      </c>
      <c r="C462" s="35" t="s">
        <v>19221</v>
      </c>
      <c r="D462" s="35" t="s">
        <v>19261</v>
      </c>
      <c r="E462" s="35" t="s">
        <v>19252</v>
      </c>
      <c r="F462" s="35"/>
      <c r="G462" s="36"/>
      <c r="H462" s="36"/>
    </row>
    <row r="463" spans="1:8" x14ac:dyDescent="0.25">
      <c r="A463" s="29">
        <v>72032</v>
      </c>
      <c r="B463" t="s">
        <v>14188</v>
      </c>
      <c r="C463" s="35" t="s">
        <v>19221</v>
      </c>
      <c r="D463" s="35" t="s">
        <v>19397</v>
      </c>
      <c r="E463" s="35" t="s">
        <v>19240</v>
      </c>
      <c r="F463" s="35"/>
      <c r="G463" s="36"/>
      <c r="H463" s="36"/>
    </row>
    <row r="464" spans="1:8" x14ac:dyDescent="0.25">
      <c r="A464" s="29">
        <v>45115</v>
      </c>
      <c r="B464" t="s">
        <v>19665</v>
      </c>
      <c r="C464" s="35" t="s">
        <v>19238</v>
      </c>
      <c r="D464" s="35" t="s">
        <v>19261</v>
      </c>
      <c r="E464" s="35" t="s">
        <v>19252</v>
      </c>
      <c r="F464" s="35"/>
      <c r="G464" s="36"/>
      <c r="H464" s="36"/>
    </row>
    <row r="465" spans="1:8" x14ac:dyDescent="0.25">
      <c r="A465" s="29">
        <v>69037</v>
      </c>
      <c r="B465" t="s">
        <v>19666</v>
      </c>
      <c r="C465" s="35" t="s">
        <v>19221</v>
      </c>
      <c r="D465" s="35" t="s">
        <v>19410</v>
      </c>
      <c r="E465" s="35" t="s">
        <v>19217</v>
      </c>
      <c r="F465" s="35"/>
      <c r="G465" s="36"/>
      <c r="H465" s="36"/>
    </row>
    <row r="466" spans="1:8" x14ac:dyDescent="0.25">
      <c r="A466" s="29">
        <v>84055</v>
      </c>
      <c r="B466" t="s">
        <v>19667</v>
      </c>
      <c r="C466" s="35" t="s">
        <v>19221</v>
      </c>
      <c r="D466" s="35" t="s">
        <v>19234</v>
      </c>
      <c r="E466" s="35" t="s">
        <v>19235</v>
      </c>
      <c r="F466" s="35"/>
      <c r="G466" s="36"/>
      <c r="H466" s="36"/>
    </row>
    <row r="467" spans="1:8" x14ac:dyDescent="0.25">
      <c r="A467" s="29">
        <v>57030</v>
      </c>
      <c r="B467" t="s">
        <v>19668</v>
      </c>
      <c r="C467" s="35" t="s">
        <v>14</v>
      </c>
      <c r="D467" s="35" t="s">
        <v>19305</v>
      </c>
      <c r="E467" s="35" t="s">
        <v>19217</v>
      </c>
      <c r="F467" s="35"/>
      <c r="G467" s="36"/>
      <c r="H467" s="36"/>
    </row>
    <row r="468" spans="1:8" x14ac:dyDescent="0.25">
      <c r="A468" s="29">
        <v>13015</v>
      </c>
      <c r="B468" t="s">
        <v>19669</v>
      </c>
      <c r="C468" s="35" t="s">
        <v>19327</v>
      </c>
      <c r="D468" s="35" t="s">
        <v>19256</v>
      </c>
      <c r="E468" s="35" t="s">
        <v>19232</v>
      </c>
      <c r="F468" s="35"/>
      <c r="G468" s="36"/>
      <c r="H468" s="36"/>
    </row>
    <row r="469" spans="1:8" x14ac:dyDescent="0.25">
      <c r="A469" s="29">
        <v>9040</v>
      </c>
      <c r="B469" t="s">
        <v>19670</v>
      </c>
      <c r="C469" s="35" t="s">
        <v>19221</v>
      </c>
      <c r="D469" s="35" t="s">
        <v>19455</v>
      </c>
      <c r="E469" s="35" t="s">
        <v>19232</v>
      </c>
      <c r="F469" s="35"/>
      <c r="G469" s="36"/>
      <c r="H469" s="36"/>
    </row>
    <row r="470" spans="1:8" x14ac:dyDescent="0.25">
      <c r="A470" s="29">
        <v>87025</v>
      </c>
      <c r="B470" t="s">
        <v>14183</v>
      </c>
      <c r="C470" s="35" t="s">
        <v>19221</v>
      </c>
      <c r="D470" s="35" t="s">
        <v>19263</v>
      </c>
      <c r="E470" s="35" t="s">
        <v>19243</v>
      </c>
      <c r="F470" s="35"/>
      <c r="G470" s="36"/>
      <c r="H470" s="36"/>
    </row>
    <row r="471" spans="1:8" x14ac:dyDescent="0.25">
      <c r="A471" s="29">
        <v>80037</v>
      </c>
      <c r="B471" t="s">
        <v>14174</v>
      </c>
      <c r="C471" s="35" t="s">
        <v>19221</v>
      </c>
      <c r="D471" s="35" t="s">
        <v>8694</v>
      </c>
      <c r="E471" s="35" t="s">
        <v>19235</v>
      </c>
      <c r="F471" s="35"/>
      <c r="G471" s="36"/>
      <c r="H471" s="36"/>
    </row>
    <row r="472" spans="1:8" x14ac:dyDescent="0.25">
      <c r="A472" s="29">
        <v>38055</v>
      </c>
      <c r="B472" t="s">
        <v>19671</v>
      </c>
      <c r="C472" s="35" t="s">
        <v>19327</v>
      </c>
      <c r="D472" s="35" t="s">
        <v>19297</v>
      </c>
      <c r="E472" s="35" t="s">
        <v>19255</v>
      </c>
      <c r="F472" s="35"/>
      <c r="G472" s="36"/>
      <c r="H472" s="36"/>
    </row>
    <row r="473" spans="1:8" x14ac:dyDescent="0.25">
      <c r="A473" s="29">
        <v>5032</v>
      </c>
      <c r="B473" t="s">
        <v>19672</v>
      </c>
      <c r="C473" s="35" t="s">
        <v>14</v>
      </c>
      <c r="D473" s="35" t="s">
        <v>19320</v>
      </c>
      <c r="E473" s="35" t="s">
        <v>19321</v>
      </c>
      <c r="F473" s="35"/>
      <c r="G473" s="36"/>
      <c r="H473" s="36"/>
    </row>
    <row r="474" spans="1:8" x14ac:dyDescent="0.25">
      <c r="A474" s="29">
        <v>2005</v>
      </c>
      <c r="B474" t="s">
        <v>19673</v>
      </c>
      <c r="C474" s="35" t="s">
        <v>14</v>
      </c>
      <c r="D474" s="35" t="s">
        <v>19358</v>
      </c>
      <c r="E474" s="35" t="s">
        <v>19321</v>
      </c>
      <c r="F474" s="35"/>
      <c r="G474" s="36"/>
      <c r="H474" s="36"/>
    </row>
    <row r="475" spans="1:8" x14ac:dyDescent="0.25">
      <c r="A475" s="29">
        <v>92010</v>
      </c>
      <c r="B475" t="s">
        <v>19674</v>
      </c>
      <c r="C475" s="35" t="s">
        <v>19221</v>
      </c>
      <c r="D475" s="35" t="s">
        <v>19228</v>
      </c>
      <c r="E475" s="35" t="s">
        <v>19229</v>
      </c>
      <c r="F475" s="35"/>
      <c r="G475" s="36"/>
      <c r="H475" s="36"/>
    </row>
    <row r="476" spans="1:8" x14ac:dyDescent="0.25">
      <c r="A476" s="29">
        <v>16005</v>
      </c>
      <c r="B476" t="s">
        <v>19675</v>
      </c>
      <c r="C476" s="35" t="s">
        <v>19221</v>
      </c>
      <c r="D476" s="35" t="s">
        <v>19278</v>
      </c>
      <c r="E476" s="35" t="s">
        <v>19276</v>
      </c>
      <c r="F476" s="35"/>
      <c r="G476" s="36"/>
      <c r="H476" s="36"/>
    </row>
    <row r="477" spans="1:8" x14ac:dyDescent="0.25">
      <c r="A477" s="29">
        <v>3015</v>
      </c>
      <c r="B477" t="s">
        <v>19676</v>
      </c>
      <c r="C477" s="35" t="s">
        <v>19221</v>
      </c>
      <c r="D477" s="35" t="s">
        <v>19379</v>
      </c>
      <c r="E477" s="35" t="s">
        <v>19321</v>
      </c>
      <c r="F477" s="35"/>
      <c r="G477" s="36"/>
      <c r="H477" s="36"/>
    </row>
    <row r="478" spans="1:8" x14ac:dyDescent="0.25">
      <c r="A478" s="29">
        <v>94205</v>
      </c>
      <c r="B478" t="s">
        <v>19677</v>
      </c>
      <c r="C478" s="35" t="s">
        <v>19221</v>
      </c>
      <c r="D478" s="35" t="s">
        <v>19300</v>
      </c>
      <c r="E478" s="35" t="s">
        <v>19229</v>
      </c>
      <c r="F478" s="35"/>
      <c r="G478" s="36"/>
      <c r="H478" s="36"/>
    </row>
    <row r="479" spans="1:8" x14ac:dyDescent="0.25">
      <c r="A479" s="29">
        <v>77030</v>
      </c>
      <c r="B479" t="s">
        <v>14090</v>
      </c>
      <c r="C479" s="35" t="s">
        <v>19221</v>
      </c>
      <c r="D479" s="35" t="s">
        <v>19425</v>
      </c>
      <c r="E479" s="35" t="s">
        <v>19240</v>
      </c>
      <c r="F479" s="35"/>
      <c r="G479" s="36"/>
      <c r="H479" s="36"/>
    </row>
    <row r="480" spans="1:8" x14ac:dyDescent="0.25">
      <c r="A480" s="29">
        <v>50113</v>
      </c>
      <c r="B480" t="s">
        <v>19678</v>
      </c>
      <c r="C480" s="35" t="s">
        <v>19221</v>
      </c>
      <c r="D480" s="35" t="s">
        <v>19254</v>
      </c>
      <c r="E480" s="35" t="s">
        <v>19255</v>
      </c>
      <c r="F480" s="35"/>
      <c r="G480" s="36"/>
      <c r="H480" s="36"/>
    </row>
    <row r="481" spans="1:8" x14ac:dyDescent="0.25">
      <c r="A481" s="29">
        <v>46025</v>
      </c>
      <c r="B481" t="s">
        <v>19679</v>
      </c>
      <c r="C481" s="35" t="s">
        <v>19221</v>
      </c>
      <c r="D481" s="35" t="s">
        <v>19216</v>
      </c>
      <c r="E481" s="35" t="s">
        <v>19217</v>
      </c>
      <c r="F481" s="35"/>
      <c r="G481" s="36"/>
      <c r="H481" s="36"/>
    </row>
    <row r="482" spans="1:8" x14ac:dyDescent="0.25">
      <c r="A482" s="29">
        <v>71070</v>
      </c>
      <c r="B482" t="s">
        <v>19680</v>
      </c>
      <c r="C482" s="35" t="s">
        <v>14</v>
      </c>
      <c r="D482" s="35" t="s">
        <v>19482</v>
      </c>
      <c r="E482" s="35" t="s">
        <v>19217</v>
      </c>
      <c r="F482" s="35"/>
      <c r="G482" s="36"/>
      <c r="H482" s="36"/>
    </row>
    <row r="483" spans="1:8" x14ac:dyDescent="0.25">
      <c r="A483" s="29">
        <v>30020</v>
      </c>
      <c r="B483" t="s">
        <v>19681</v>
      </c>
      <c r="C483" s="35" t="s">
        <v>19221</v>
      </c>
      <c r="D483" s="35" t="s">
        <v>19257</v>
      </c>
      <c r="E483" s="35" t="s">
        <v>19252</v>
      </c>
      <c r="F483" s="35"/>
      <c r="G483" s="36"/>
      <c r="H483" s="36"/>
    </row>
    <row r="484" spans="1:8" x14ac:dyDescent="0.25">
      <c r="A484" s="29">
        <v>80045</v>
      </c>
      <c r="B484" t="s">
        <v>14085</v>
      </c>
      <c r="C484" s="35" t="s">
        <v>19221</v>
      </c>
      <c r="D484" s="35" t="s">
        <v>8694</v>
      </c>
      <c r="E484" s="35" t="s">
        <v>19235</v>
      </c>
      <c r="F484" s="35"/>
      <c r="G484" s="36"/>
      <c r="H484" s="36"/>
    </row>
    <row r="485" spans="1:8" x14ac:dyDescent="0.25">
      <c r="A485" s="29">
        <v>32045</v>
      </c>
      <c r="B485" t="s">
        <v>19682</v>
      </c>
      <c r="C485" s="35" t="s">
        <v>19327</v>
      </c>
      <c r="D485" s="35" t="s">
        <v>19485</v>
      </c>
      <c r="E485" s="35" t="s">
        <v>19255</v>
      </c>
      <c r="F485" s="35"/>
      <c r="G485" s="36"/>
      <c r="H485" s="36"/>
    </row>
    <row r="486" spans="1:8" x14ac:dyDescent="0.25">
      <c r="A486" s="29">
        <v>32040</v>
      </c>
      <c r="B486" t="s">
        <v>19682</v>
      </c>
      <c r="C486" s="35" t="s">
        <v>14</v>
      </c>
      <c r="D486" s="35" t="s">
        <v>19485</v>
      </c>
      <c r="E486" s="35" t="s">
        <v>19255</v>
      </c>
      <c r="F486" s="35"/>
      <c r="G486" s="36"/>
      <c r="H486" s="36"/>
    </row>
    <row r="487" spans="1:8" x14ac:dyDescent="0.25">
      <c r="A487" s="29">
        <v>13095</v>
      </c>
      <c r="B487" t="s">
        <v>19683</v>
      </c>
      <c r="C487" s="35" t="s">
        <v>14</v>
      </c>
      <c r="D487" s="35" t="s">
        <v>19256</v>
      </c>
      <c r="E487" s="35" t="s">
        <v>19232</v>
      </c>
      <c r="F487" s="35"/>
      <c r="G487" s="36"/>
      <c r="H487" s="36"/>
    </row>
    <row r="488" spans="1:8" x14ac:dyDescent="0.25">
      <c r="A488" s="29">
        <v>6030</v>
      </c>
      <c r="B488" t="s">
        <v>19684</v>
      </c>
      <c r="C488" s="35" t="s">
        <v>19221</v>
      </c>
      <c r="D488" s="35" t="s">
        <v>19349</v>
      </c>
      <c r="E488" s="35" t="s">
        <v>19321</v>
      </c>
      <c r="F488" s="35"/>
      <c r="G488" s="36"/>
      <c r="H488" s="36"/>
    </row>
    <row r="489" spans="1:8" x14ac:dyDescent="0.25">
      <c r="A489" s="29">
        <v>96030</v>
      </c>
      <c r="B489" t="s">
        <v>19685</v>
      </c>
      <c r="C489" s="35" t="s">
        <v>19215</v>
      </c>
      <c r="D489" s="35" t="s">
        <v>19267</v>
      </c>
      <c r="E489" s="35" t="s">
        <v>19226</v>
      </c>
      <c r="F489" s="35"/>
      <c r="G489" s="36"/>
      <c r="H489" s="36"/>
    </row>
    <row r="490" spans="1:8" x14ac:dyDescent="0.25">
      <c r="A490" s="29">
        <v>72020</v>
      </c>
      <c r="B490" t="s">
        <v>14038</v>
      </c>
      <c r="C490" s="35" t="s">
        <v>19221</v>
      </c>
      <c r="D490" s="35" t="s">
        <v>19397</v>
      </c>
      <c r="E490" s="35" t="s">
        <v>19240</v>
      </c>
      <c r="F490" s="35"/>
      <c r="G490" s="36"/>
      <c r="H490" s="36"/>
    </row>
    <row r="491" spans="1:8" x14ac:dyDescent="0.25">
      <c r="A491" s="29">
        <v>66097</v>
      </c>
      <c r="B491" t="s">
        <v>19686</v>
      </c>
      <c r="C491" s="35" t="s">
        <v>14</v>
      </c>
      <c r="D491" s="35" t="s">
        <v>19272</v>
      </c>
      <c r="E491" s="35" t="s">
        <v>14481</v>
      </c>
      <c r="F491" s="35"/>
      <c r="G491" s="36"/>
      <c r="H491" s="36"/>
    </row>
    <row r="492" spans="1:8" x14ac:dyDescent="0.25">
      <c r="A492" s="29">
        <v>71055</v>
      </c>
      <c r="B492" t="s">
        <v>19687</v>
      </c>
      <c r="C492" s="35" t="s">
        <v>19215</v>
      </c>
      <c r="D492" s="35" t="s">
        <v>19482</v>
      </c>
      <c r="E492" s="35" t="s">
        <v>19217</v>
      </c>
      <c r="F492" s="35"/>
      <c r="G492" s="36"/>
      <c r="H492" s="36"/>
    </row>
    <row r="493" spans="1:8" x14ac:dyDescent="0.25">
      <c r="A493" s="29">
        <v>71140</v>
      </c>
      <c r="B493" t="s">
        <v>19688</v>
      </c>
      <c r="C493" s="35" t="s">
        <v>19215</v>
      </c>
      <c r="D493" s="35" t="s">
        <v>19385</v>
      </c>
      <c r="E493" s="35" t="s">
        <v>19217</v>
      </c>
      <c r="F493" s="35"/>
      <c r="G493" s="36"/>
      <c r="H493" s="36"/>
    </row>
    <row r="494" spans="1:8" x14ac:dyDescent="0.25">
      <c r="A494" s="29">
        <v>96025</v>
      </c>
      <c r="B494" t="s">
        <v>19689</v>
      </c>
      <c r="C494" s="35" t="s">
        <v>19215</v>
      </c>
      <c r="D494" s="35" t="s">
        <v>19267</v>
      </c>
      <c r="E494" s="35" t="s">
        <v>19226</v>
      </c>
      <c r="F494" s="35"/>
      <c r="G494" s="36"/>
      <c r="H494" s="36"/>
    </row>
    <row r="495" spans="1:8" x14ac:dyDescent="0.25">
      <c r="A495" s="29">
        <v>82030</v>
      </c>
      <c r="B495" t="s">
        <v>19234</v>
      </c>
      <c r="C495" s="35" t="s">
        <v>19221</v>
      </c>
      <c r="D495" s="35" t="s">
        <v>19341</v>
      </c>
      <c r="E495" s="35" t="s">
        <v>19235</v>
      </c>
      <c r="F495" s="35"/>
      <c r="G495" s="36"/>
      <c r="H495" s="36"/>
    </row>
    <row r="496" spans="1:8" x14ac:dyDescent="0.25">
      <c r="A496" s="29">
        <v>34017</v>
      </c>
      <c r="B496" t="s">
        <v>14033</v>
      </c>
      <c r="C496" s="35" t="s">
        <v>14</v>
      </c>
      <c r="D496" s="35" t="s">
        <v>19347</v>
      </c>
      <c r="E496" s="35" t="s">
        <v>19276</v>
      </c>
      <c r="F496" s="35"/>
      <c r="G496" s="36"/>
      <c r="H496" s="36"/>
    </row>
    <row r="497" spans="1:8" x14ac:dyDescent="0.25">
      <c r="A497" s="29">
        <v>84020</v>
      </c>
      <c r="B497" t="s">
        <v>19690</v>
      </c>
      <c r="C497" s="35" t="s">
        <v>19215</v>
      </c>
      <c r="D497" s="35" t="s">
        <v>19234</v>
      </c>
      <c r="E497" s="35" t="s">
        <v>19235</v>
      </c>
      <c r="F497" s="35"/>
      <c r="G497" s="36"/>
      <c r="H497" s="36"/>
    </row>
    <row r="498" spans="1:8" x14ac:dyDescent="0.25">
      <c r="A498" s="29">
        <v>97022</v>
      </c>
      <c r="B498" t="s">
        <v>19691</v>
      </c>
      <c r="C498" s="35" t="s">
        <v>14</v>
      </c>
      <c r="D498" s="35" t="s">
        <v>19692</v>
      </c>
      <c r="E498" s="35" t="s">
        <v>19226</v>
      </c>
      <c r="F498" s="35"/>
      <c r="G498" s="36"/>
      <c r="H498" s="36"/>
    </row>
    <row r="499" spans="1:8" x14ac:dyDescent="0.25">
      <c r="A499" s="29">
        <v>2047</v>
      </c>
      <c r="B499" t="s">
        <v>19693</v>
      </c>
      <c r="C499" s="35" t="s">
        <v>19221</v>
      </c>
      <c r="D499" s="35" t="s">
        <v>19358</v>
      </c>
      <c r="E499" s="35" t="s">
        <v>19321</v>
      </c>
      <c r="F499" s="35"/>
      <c r="G499" s="36"/>
      <c r="H499" s="36"/>
    </row>
    <row r="500" spans="1:8" x14ac:dyDescent="0.25">
      <c r="A500" s="29">
        <v>34048</v>
      </c>
      <c r="B500" t="s">
        <v>19347</v>
      </c>
      <c r="C500" s="35" t="s">
        <v>14</v>
      </c>
      <c r="D500" s="35" t="s">
        <v>19347</v>
      </c>
      <c r="E500" s="35" t="s">
        <v>19276</v>
      </c>
      <c r="F500" s="35"/>
      <c r="G500" s="36"/>
      <c r="H500" s="36"/>
    </row>
    <row r="501" spans="1:8" x14ac:dyDescent="0.25">
      <c r="A501" s="29">
        <v>95040</v>
      </c>
      <c r="B501" t="s">
        <v>19694</v>
      </c>
      <c r="C501" s="35" t="s">
        <v>19221</v>
      </c>
      <c r="D501" s="35" t="s">
        <v>19381</v>
      </c>
      <c r="E501" s="35" t="s">
        <v>19226</v>
      </c>
      <c r="F501" s="35"/>
      <c r="G501" s="36"/>
      <c r="H501" s="36"/>
    </row>
    <row r="502" spans="1:8" x14ac:dyDescent="0.25">
      <c r="A502" s="29">
        <v>45030</v>
      </c>
      <c r="B502" t="s">
        <v>19695</v>
      </c>
      <c r="C502" s="35" t="s">
        <v>19238</v>
      </c>
      <c r="D502" s="35" t="s">
        <v>19261</v>
      </c>
      <c r="E502" s="35" t="s">
        <v>19252</v>
      </c>
      <c r="F502" s="35"/>
      <c r="G502" s="36"/>
      <c r="H502" s="36"/>
    </row>
    <row r="503" spans="1:8" x14ac:dyDescent="0.25">
      <c r="A503" s="29">
        <v>87035</v>
      </c>
      <c r="B503" t="s">
        <v>19696</v>
      </c>
      <c r="C503" s="35" t="s">
        <v>19221</v>
      </c>
      <c r="D503" s="35" t="s">
        <v>19263</v>
      </c>
      <c r="E503" s="35" t="s">
        <v>19243</v>
      </c>
      <c r="F503" s="35"/>
      <c r="G503" s="36"/>
      <c r="H503" s="36"/>
    </row>
    <row r="504" spans="1:8" x14ac:dyDescent="0.25">
      <c r="A504" s="29">
        <v>88090</v>
      </c>
      <c r="B504" t="s">
        <v>19697</v>
      </c>
      <c r="C504" s="35" t="s">
        <v>19221</v>
      </c>
      <c r="D504" s="35" t="s">
        <v>19242</v>
      </c>
      <c r="E504" s="35" t="s">
        <v>19243</v>
      </c>
      <c r="F504" s="35"/>
      <c r="G504" s="36"/>
      <c r="H504" s="36"/>
    </row>
    <row r="505" spans="1:8" x14ac:dyDescent="0.25">
      <c r="A505" s="29">
        <v>75040</v>
      </c>
      <c r="B505" t="s">
        <v>1590</v>
      </c>
      <c r="C505" s="35" t="s">
        <v>14</v>
      </c>
      <c r="D505" s="35" t="s">
        <v>19698</v>
      </c>
      <c r="E505" s="35" t="s">
        <v>19240</v>
      </c>
      <c r="F505" s="35"/>
      <c r="G505" s="36"/>
      <c r="H505" s="36"/>
    </row>
    <row r="506" spans="1:8" x14ac:dyDescent="0.25">
      <c r="A506" s="29">
        <v>9065</v>
      </c>
      <c r="B506" t="s">
        <v>19699</v>
      </c>
      <c r="C506" s="35" t="s">
        <v>19215</v>
      </c>
      <c r="D506" s="35" t="s">
        <v>19455</v>
      </c>
      <c r="E506" s="35" t="s">
        <v>19232</v>
      </c>
      <c r="F506" s="35"/>
      <c r="G506" s="36"/>
      <c r="H506" s="36"/>
    </row>
    <row r="507" spans="1:8" x14ac:dyDescent="0.25">
      <c r="A507" s="29">
        <v>32033</v>
      </c>
      <c r="B507" t="s">
        <v>19700</v>
      </c>
      <c r="C507" s="35" t="s">
        <v>14</v>
      </c>
      <c r="D507" s="35" t="s">
        <v>19485</v>
      </c>
      <c r="E507" s="35" t="s">
        <v>19255</v>
      </c>
      <c r="F507" s="35"/>
      <c r="G507" s="36"/>
      <c r="H507" s="36"/>
    </row>
    <row r="508" spans="1:8" x14ac:dyDescent="0.25">
      <c r="A508" s="29">
        <v>23027</v>
      </c>
      <c r="B508" t="s">
        <v>13180</v>
      </c>
      <c r="C508" s="35" t="s">
        <v>14</v>
      </c>
      <c r="D508" s="35" t="s">
        <v>19542</v>
      </c>
      <c r="E508" s="35" t="s">
        <v>19276</v>
      </c>
      <c r="F508" s="35"/>
      <c r="G508" s="36"/>
      <c r="H508" s="36"/>
    </row>
    <row r="509" spans="1:8" x14ac:dyDescent="0.25">
      <c r="A509" s="29">
        <v>42032</v>
      </c>
      <c r="B509" t="s">
        <v>3419</v>
      </c>
      <c r="C509" s="35" t="s">
        <v>19221</v>
      </c>
      <c r="D509" s="35" t="s">
        <v>19324</v>
      </c>
      <c r="E509" s="35" t="s">
        <v>19252</v>
      </c>
      <c r="F509" s="35"/>
      <c r="G509" s="36"/>
      <c r="H509" s="36"/>
    </row>
    <row r="510" spans="1:8" x14ac:dyDescent="0.25">
      <c r="A510" s="29">
        <v>96040</v>
      </c>
      <c r="B510" t="s">
        <v>19701</v>
      </c>
      <c r="C510" s="35" t="s">
        <v>19327</v>
      </c>
      <c r="D510" s="35" t="s">
        <v>19267</v>
      </c>
      <c r="E510" s="35" t="s">
        <v>19226</v>
      </c>
      <c r="F510" s="35"/>
      <c r="G510" s="36"/>
      <c r="H510" s="36"/>
    </row>
    <row r="511" spans="1:8" x14ac:dyDescent="0.25">
      <c r="A511" s="29">
        <v>87010</v>
      </c>
      <c r="B511" t="s">
        <v>19702</v>
      </c>
      <c r="C511" s="35" t="s">
        <v>19221</v>
      </c>
      <c r="D511" s="35" t="s">
        <v>19263</v>
      </c>
      <c r="E511" s="35" t="s">
        <v>19243</v>
      </c>
      <c r="F511" s="35"/>
      <c r="G511" s="36"/>
      <c r="H511" s="36"/>
    </row>
    <row r="512" spans="1:8" x14ac:dyDescent="0.25">
      <c r="A512" s="29">
        <v>84100</v>
      </c>
      <c r="B512" t="s">
        <v>19703</v>
      </c>
      <c r="C512" s="35" t="s">
        <v>19221</v>
      </c>
      <c r="D512" s="35" t="s">
        <v>19234</v>
      </c>
      <c r="E512" s="35" t="s">
        <v>19235</v>
      </c>
      <c r="F512" s="35"/>
      <c r="G512" s="36"/>
      <c r="H512" s="36"/>
    </row>
    <row r="513" spans="1:8" x14ac:dyDescent="0.25">
      <c r="A513" s="29">
        <v>62037</v>
      </c>
      <c r="B513" t="s">
        <v>13152</v>
      </c>
      <c r="C513" s="35" t="s">
        <v>19221</v>
      </c>
      <c r="D513" s="35" t="s">
        <v>19368</v>
      </c>
      <c r="E513" s="35" t="s">
        <v>19310</v>
      </c>
      <c r="F513" s="35"/>
      <c r="G513" s="36"/>
      <c r="H513" s="36"/>
    </row>
    <row r="514" spans="1:8" x14ac:dyDescent="0.25">
      <c r="A514" s="29">
        <v>85105</v>
      </c>
      <c r="B514" t="s">
        <v>19704</v>
      </c>
      <c r="C514" s="35" t="s">
        <v>19221</v>
      </c>
      <c r="D514" s="35" t="s">
        <v>19289</v>
      </c>
      <c r="E514" s="35" t="s">
        <v>19243</v>
      </c>
      <c r="F514" s="35"/>
      <c r="G514" s="36"/>
      <c r="H514" s="36"/>
    </row>
    <row r="515" spans="1:8" x14ac:dyDescent="0.25">
      <c r="A515" s="29">
        <v>60013</v>
      </c>
      <c r="B515" t="s">
        <v>13138</v>
      </c>
      <c r="C515" s="35" t="s">
        <v>14</v>
      </c>
      <c r="D515" s="35" t="s">
        <v>19363</v>
      </c>
      <c r="E515" s="35" t="s">
        <v>19310</v>
      </c>
      <c r="F515" s="35"/>
      <c r="G515" s="36"/>
      <c r="H515" s="36"/>
    </row>
    <row r="516" spans="1:8" x14ac:dyDescent="0.25">
      <c r="A516" s="29">
        <v>55057</v>
      </c>
      <c r="B516" t="s">
        <v>19705</v>
      </c>
      <c r="C516" s="35" t="s">
        <v>14</v>
      </c>
      <c r="D516" s="35" t="s">
        <v>19706</v>
      </c>
      <c r="E516" s="35" t="s">
        <v>19217</v>
      </c>
      <c r="F516" s="35"/>
      <c r="G516" s="36"/>
      <c r="H516" s="36"/>
    </row>
    <row r="517" spans="1:8" x14ac:dyDescent="0.25">
      <c r="A517" s="29">
        <v>42098</v>
      </c>
      <c r="B517" t="s">
        <v>19707</v>
      </c>
      <c r="C517" s="35" t="s">
        <v>14</v>
      </c>
      <c r="D517" s="35" t="s">
        <v>19324</v>
      </c>
      <c r="E517" s="35" t="s">
        <v>19252</v>
      </c>
      <c r="F517" s="35"/>
      <c r="G517" s="36"/>
      <c r="H517" s="36"/>
    </row>
    <row r="518" spans="1:8" x14ac:dyDescent="0.25">
      <c r="A518" s="29">
        <v>71133</v>
      </c>
      <c r="B518" t="s">
        <v>19708</v>
      </c>
      <c r="C518" s="35" t="s">
        <v>14</v>
      </c>
      <c r="D518" s="35" t="s">
        <v>19385</v>
      </c>
      <c r="E518" s="35" t="s">
        <v>19217</v>
      </c>
      <c r="F518" s="35"/>
      <c r="G518" s="36"/>
      <c r="H518" s="36"/>
    </row>
    <row r="519" spans="1:8" x14ac:dyDescent="0.25">
      <c r="A519" s="29">
        <v>10043</v>
      </c>
      <c r="B519" t="s">
        <v>19709</v>
      </c>
      <c r="C519" s="35" t="s">
        <v>14</v>
      </c>
      <c r="D519" s="35" t="s">
        <v>19423</v>
      </c>
      <c r="E519" s="35" t="s">
        <v>19232</v>
      </c>
      <c r="F519" s="35"/>
      <c r="G519" s="36"/>
      <c r="H519" s="36"/>
    </row>
    <row r="520" spans="1:8" x14ac:dyDescent="0.25">
      <c r="A520" s="29">
        <v>80078</v>
      </c>
      <c r="B520" t="s">
        <v>13132</v>
      </c>
      <c r="C520" s="35" t="s">
        <v>19221</v>
      </c>
      <c r="D520" s="35" t="s">
        <v>8694</v>
      </c>
      <c r="E520" s="35" t="s">
        <v>19235</v>
      </c>
      <c r="F520" s="35"/>
      <c r="G520" s="36"/>
      <c r="H520" s="36"/>
    </row>
    <row r="521" spans="1:8" x14ac:dyDescent="0.25">
      <c r="A521" s="29">
        <v>6035</v>
      </c>
      <c r="B521" t="s">
        <v>19710</v>
      </c>
      <c r="C521" s="35" t="s">
        <v>19238</v>
      </c>
      <c r="D521" s="35" t="s">
        <v>19349</v>
      </c>
      <c r="E521" s="35" t="s">
        <v>19321</v>
      </c>
      <c r="F521" s="35"/>
      <c r="G521" s="36"/>
      <c r="H521" s="36"/>
    </row>
    <row r="522" spans="1:8" x14ac:dyDescent="0.25">
      <c r="A522" s="29">
        <v>4020</v>
      </c>
      <c r="B522" t="s">
        <v>19711</v>
      </c>
      <c r="C522" s="35" t="s">
        <v>19221</v>
      </c>
      <c r="D522" s="35" t="s">
        <v>19343</v>
      </c>
      <c r="E522" s="35" t="s">
        <v>19321</v>
      </c>
      <c r="F522" s="35"/>
      <c r="G522" s="36"/>
      <c r="H522" s="36"/>
    </row>
    <row r="523" spans="1:8" x14ac:dyDescent="0.25">
      <c r="A523" s="29">
        <v>34135</v>
      </c>
      <c r="B523" t="s">
        <v>19712</v>
      </c>
      <c r="C523" s="35" t="s">
        <v>19221</v>
      </c>
      <c r="D523" s="35" t="s">
        <v>19347</v>
      </c>
      <c r="E523" s="35" t="s">
        <v>19276</v>
      </c>
      <c r="F523" s="35"/>
      <c r="G523" s="36"/>
      <c r="H523" s="36"/>
    </row>
    <row r="524" spans="1:8" x14ac:dyDescent="0.25">
      <c r="A524" s="29">
        <v>98055</v>
      </c>
      <c r="B524" t="s">
        <v>19713</v>
      </c>
      <c r="C524" s="35" t="s">
        <v>19221</v>
      </c>
      <c r="D524" s="35" t="s">
        <v>19225</v>
      </c>
      <c r="E524" s="35" t="s">
        <v>19226</v>
      </c>
      <c r="F524" s="35"/>
      <c r="G524" s="36"/>
      <c r="H524" s="36"/>
    </row>
    <row r="525" spans="1:8" x14ac:dyDescent="0.25">
      <c r="A525" s="29">
        <v>71005</v>
      </c>
      <c r="B525" t="s">
        <v>19714</v>
      </c>
      <c r="C525" s="35" t="s">
        <v>19221</v>
      </c>
      <c r="D525" s="35" t="s">
        <v>19385</v>
      </c>
      <c r="E525" s="35" t="s">
        <v>19217</v>
      </c>
      <c r="F525" s="35"/>
      <c r="G525" s="36"/>
      <c r="H525" s="36"/>
    </row>
    <row r="526" spans="1:8" x14ac:dyDescent="0.25">
      <c r="A526" s="29">
        <v>13025</v>
      </c>
      <c r="B526" t="s">
        <v>19715</v>
      </c>
      <c r="C526" s="35" t="s">
        <v>19221</v>
      </c>
      <c r="D526" s="35" t="s">
        <v>19256</v>
      </c>
      <c r="E526" s="35" t="s">
        <v>19232</v>
      </c>
      <c r="F526" s="35"/>
      <c r="G526" s="36"/>
      <c r="H526" s="36"/>
    </row>
    <row r="527" spans="1:8" x14ac:dyDescent="0.25">
      <c r="A527" s="29">
        <v>12072</v>
      </c>
      <c r="B527" t="s">
        <v>19336</v>
      </c>
      <c r="C527" s="35" t="s">
        <v>14</v>
      </c>
      <c r="D527" s="35" t="s">
        <v>19336</v>
      </c>
      <c r="E527" s="35" t="s">
        <v>19232</v>
      </c>
      <c r="F527" s="35"/>
      <c r="G527" s="36"/>
      <c r="H527" s="36"/>
    </row>
    <row r="528" spans="1:8" x14ac:dyDescent="0.25">
      <c r="A528" s="29">
        <v>94215</v>
      </c>
      <c r="B528" t="s">
        <v>19716</v>
      </c>
      <c r="C528" s="35" t="s">
        <v>19221</v>
      </c>
      <c r="D528" s="35" t="s">
        <v>19300</v>
      </c>
      <c r="E528" s="35" t="s">
        <v>19229</v>
      </c>
      <c r="F528" s="35"/>
      <c r="G528" s="36"/>
      <c r="H528" s="36"/>
    </row>
    <row r="529" spans="1:8" x14ac:dyDescent="0.25">
      <c r="A529" s="29">
        <v>89010</v>
      </c>
      <c r="B529" t="s">
        <v>19717</v>
      </c>
      <c r="C529" s="35" t="s">
        <v>19221</v>
      </c>
      <c r="D529" s="35" t="s">
        <v>19302</v>
      </c>
      <c r="E529" s="35" t="s">
        <v>19243</v>
      </c>
      <c r="F529" s="35"/>
      <c r="G529" s="36"/>
      <c r="H529" s="36"/>
    </row>
    <row r="530" spans="1:8" x14ac:dyDescent="0.25">
      <c r="A530" s="29">
        <v>14065</v>
      </c>
      <c r="B530" t="s">
        <v>19718</v>
      </c>
      <c r="C530" s="35" t="s">
        <v>19221</v>
      </c>
      <c r="D530" s="35" t="s">
        <v>19487</v>
      </c>
      <c r="E530" s="35" t="s">
        <v>19232</v>
      </c>
      <c r="F530" s="35"/>
      <c r="G530" s="36"/>
      <c r="H530" s="36"/>
    </row>
    <row r="531" spans="1:8" x14ac:dyDescent="0.25">
      <c r="A531" s="29">
        <v>79037</v>
      </c>
      <c r="B531" t="s">
        <v>13077</v>
      </c>
      <c r="C531" s="35" t="s">
        <v>14</v>
      </c>
      <c r="D531" s="35" t="s">
        <v>19374</v>
      </c>
      <c r="E531" s="35" t="s">
        <v>19240</v>
      </c>
      <c r="F531" s="35"/>
      <c r="G531" s="36"/>
      <c r="H531" s="36"/>
    </row>
    <row r="532" spans="1:8" x14ac:dyDescent="0.25">
      <c r="A532" s="29">
        <v>98050</v>
      </c>
      <c r="B532" t="s">
        <v>19719</v>
      </c>
      <c r="C532" s="35" t="s">
        <v>19221</v>
      </c>
      <c r="D532" s="35" t="s">
        <v>19225</v>
      </c>
      <c r="E532" s="35" t="s">
        <v>19226</v>
      </c>
      <c r="F532" s="35"/>
      <c r="G532" s="36"/>
      <c r="H532" s="36"/>
    </row>
    <row r="533" spans="1:8" x14ac:dyDescent="0.25">
      <c r="A533" s="29">
        <v>91025</v>
      </c>
      <c r="B533" t="s">
        <v>19720</v>
      </c>
      <c r="C533" s="35" t="s">
        <v>14</v>
      </c>
      <c r="D533" s="35" t="s">
        <v>19354</v>
      </c>
      <c r="E533" s="35" t="s">
        <v>19229</v>
      </c>
      <c r="F533" s="35"/>
      <c r="G533" s="36"/>
      <c r="H533" s="36"/>
    </row>
    <row r="534" spans="1:8" x14ac:dyDescent="0.25">
      <c r="A534" s="29">
        <v>88010</v>
      </c>
      <c r="B534" t="s">
        <v>19721</v>
      </c>
      <c r="C534" s="35" t="s">
        <v>19221</v>
      </c>
      <c r="D534" s="35" t="s">
        <v>19242</v>
      </c>
      <c r="E534" s="35" t="s">
        <v>19243</v>
      </c>
      <c r="F534" s="35"/>
      <c r="G534" s="36"/>
      <c r="H534" s="36"/>
    </row>
    <row r="535" spans="1:8" x14ac:dyDescent="0.25">
      <c r="A535" s="29">
        <v>87015</v>
      </c>
      <c r="B535" t="s">
        <v>19722</v>
      </c>
      <c r="C535" s="35" t="s">
        <v>19221</v>
      </c>
      <c r="D535" s="35" t="s">
        <v>19263</v>
      </c>
      <c r="E535" s="35" t="s">
        <v>19243</v>
      </c>
      <c r="F535" s="35"/>
      <c r="G535" s="36"/>
      <c r="H535" s="36"/>
    </row>
    <row r="536" spans="1:8" x14ac:dyDescent="0.25">
      <c r="A536" s="29">
        <v>73020</v>
      </c>
      <c r="B536" t="s">
        <v>12981</v>
      </c>
      <c r="C536" s="35" t="s">
        <v>14</v>
      </c>
      <c r="D536" s="35" t="s">
        <v>19313</v>
      </c>
      <c r="E536" s="35" t="s">
        <v>19240</v>
      </c>
      <c r="F536" s="35"/>
      <c r="G536" s="36"/>
      <c r="H536" s="36"/>
    </row>
    <row r="537" spans="1:8" x14ac:dyDescent="0.25">
      <c r="A537" s="29">
        <v>55037</v>
      </c>
      <c r="B537" t="s">
        <v>19723</v>
      </c>
      <c r="C537" s="35" t="s">
        <v>19221</v>
      </c>
      <c r="D537" s="35" t="s">
        <v>19246</v>
      </c>
      <c r="E537" s="35" t="s">
        <v>19217</v>
      </c>
      <c r="F537" s="35"/>
      <c r="G537" s="36"/>
      <c r="H537" s="36"/>
    </row>
    <row r="538" spans="1:8" x14ac:dyDescent="0.25">
      <c r="A538" s="29">
        <v>86042</v>
      </c>
      <c r="B538" t="s">
        <v>12973</v>
      </c>
      <c r="C538" s="35" t="s">
        <v>14</v>
      </c>
      <c r="D538" s="35" t="s">
        <v>19360</v>
      </c>
      <c r="E538" s="35" t="s">
        <v>19243</v>
      </c>
      <c r="F538" s="35"/>
      <c r="G538" s="36"/>
      <c r="H538" s="36"/>
    </row>
    <row r="539" spans="1:8" x14ac:dyDescent="0.25">
      <c r="A539" s="29">
        <v>48015</v>
      </c>
      <c r="B539" t="s">
        <v>19724</v>
      </c>
      <c r="C539" s="35" t="s">
        <v>19238</v>
      </c>
      <c r="D539" s="35" t="s">
        <v>19219</v>
      </c>
      <c r="E539" s="35" t="s">
        <v>19217</v>
      </c>
      <c r="F539" s="35"/>
      <c r="G539" s="36"/>
      <c r="H539" s="36"/>
    </row>
    <row r="540" spans="1:8" x14ac:dyDescent="0.25">
      <c r="A540" s="29">
        <v>48010</v>
      </c>
      <c r="B540" t="s">
        <v>19725</v>
      </c>
      <c r="C540" s="35" t="s">
        <v>19215</v>
      </c>
      <c r="D540" s="35" t="s">
        <v>19219</v>
      </c>
      <c r="E540" s="35" t="s">
        <v>19217</v>
      </c>
      <c r="F540" s="35"/>
      <c r="G540" s="36"/>
      <c r="H540" s="36"/>
    </row>
    <row r="541" spans="1:8" x14ac:dyDescent="0.25">
      <c r="A541" s="29">
        <v>47047</v>
      </c>
      <c r="B541" t="s">
        <v>19726</v>
      </c>
      <c r="C541" s="35" t="s">
        <v>19221</v>
      </c>
      <c r="D541" s="35" t="s">
        <v>19449</v>
      </c>
      <c r="E541" s="35" t="s">
        <v>19217</v>
      </c>
      <c r="F541" s="35"/>
      <c r="G541" s="36"/>
      <c r="H541" s="36"/>
    </row>
    <row r="542" spans="1:8" x14ac:dyDescent="0.25">
      <c r="A542" s="29">
        <v>95010</v>
      </c>
      <c r="B542" t="s">
        <v>19727</v>
      </c>
      <c r="C542" s="35" t="s">
        <v>19221</v>
      </c>
      <c r="D542" s="35" t="s">
        <v>19381</v>
      </c>
      <c r="E542" s="35" t="s">
        <v>19226</v>
      </c>
      <c r="F542" s="35"/>
      <c r="G542" s="36"/>
      <c r="H542" s="36"/>
    </row>
    <row r="543" spans="1:8" x14ac:dyDescent="0.25">
      <c r="A543" s="29">
        <v>31130</v>
      </c>
      <c r="B543" t="s">
        <v>19728</v>
      </c>
      <c r="C543" s="35" t="s">
        <v>19327</v>
      </c>
      <c r="D543" s="35" t="s">
        <v>19222</v>
      </c>
      <c r="E543" s="35" t="s">
        <v>19223</v>
      </c>
      <c r="F543" s="35"/>
      <c r="G543" s="36"/>
      <c r="H543" s="36"/>
    </row>
    <row r="544" spans="1:8" x14ac:dyDescent="0.25">
      <c r="A544" s="29">
        <v>94068</v>
      </c>
      <c r="B544" t="s">
        <v>12966</v>
      </c>
      <c r="C544" s="35" t="s">
        <v>14</v>
      </c>
      <c r="D544" s="35" t="s">
        <v>19360</v>
      </c>
      <c r="E544" s="35" t="s">
        <v>19229</v>
      </c>
      <c r="F544" s="35"/>
      <c r="G544" s="36"/>
      <c r="H544" s="36"/>
    </row>
    <row r="545" spans="1:8" x14ac:dyDescent="0.25">
      <c r="A545" s="29">
        <v>17015</v>
      </c>
      <c r="B545" t="s">
        <v>19729</v>
      </c>
      <c r="C545" s="35" t="s">
        <v>19221</v>
      </c>
      <c r="D545" s="35" t="s">
        <v>19575</v>
      </c>
      <c r="E545" s="35" t="s">
        <v>19223</v>
      </c>
      <c r="F545" s="35"/>
      <c r="G545" s="36"/>
      <c r="H545" s="36"/>
    </row>
    <row r="546" spans="1:8" x14ac:dyDescent="0.25">
      <c r="A546" s="29">
        <v>8030</v>
      </c>
      <c r="B546" t="s">
        <v>19730</v>
      </c>
      <c r="C546" s="35" t="s">
        <v>19327</v>
      </c>
      <c r="D546" s="35" t="s">
        <v>19269</v>
      </c>
      <c r="E546" s="35" t="s">
        <v>19232</v>
      </c>
      <c r="F546" s="35"/>
      <c r="G546" s="36"/>
      <c r="H546" s="36"/>
    </row>
    <row r="547" spans="1:8" x14ac:dyDescent="0.25">
      <c r="A547" s="29">
        <v>35015</v>
      </c>
      <c r="B547" t="s">
        <v>19731</v>
      </c>
      <c r="C547" s="35" t="s">
        <v>19327</v>
      </c>
      <c r="D547" s="35" t="s">
        <v>19452</v>
      </c>
      <c r="E547" s="35" t="s">
        <v>19286</v>
      </c>
      <c r="F547" s="35"/>
      <c r="G547" s="36"/>
      <c r="H547" s="36"/>
    </row>
    <row r="548" spans="1:8" x14ac:dyDescent="0.25">
      <c r="A548" s="29">
        <v>77065</v>
      </c>
      <c r="B548" t="s">
        <v>12910</v>
      </c>
      <c r="C548" s="35" t="s">
        <v>19221</v>
      </c>
      <c r="D548" s="35" t="s">
        <v>19425</v>
      </c>
      <c r="E548" s="35" t="s">
        <v>19240</v>
      </c>
      <c r="F548" s="35"/>
      <c r="G548" s="36"/>
      <c r="H548" s="36"/>
    </row>
    <row r="549" spans="1:8" x14ac:dyDescent="0.25">
      <c r="A549" s="29">
        <v>40010</v>
      </c>
      <c r="B549" t="s">
        <v>19732</v>
      </c>
      <c r="C549" s="35" t="s">
        <v>19221</v>
      </c>
      <c r="D549" s="35" t="s">
        <v>19390</v>
      </c>
      <c r="E549" s="35" t="s">
        <v>19252</v>
      </c>
      <c r="F549" s="35"/>
      <c r="G549" s="36"/>
      <c r="H549" s="36"/>
    </row>
    <row r="550" spans="1:8" x14ac:dyDescent="0.25">
      <c r="A550" s="29">
        <v>31095</v>
      </c>
      <c r="B550" t="s">
        <v>19733</v>
      </c>
      <c r="C550" s="35" t="s">
        <v>19221</v>
      </c>
      <c r="D550" s="35" t="s">
        <v>19222</v>
      </c>
      <c r="E550" s="35" t="s">
        <v>19223</v>
      </c>
      <c r="F550" s="35"/>
      <c r="G550" s="36"/>
      <c r="H550" s="36"/>
    </row>
    <row r="551" spans="1:8" x14ac:dyDescent="0.25">
      <c r="A551" s="29">
        <v>33045</v>
      </c>
      <c r="B551" t="s">
        <v>19734</v>
      </c>
      <c r="C551" s="35" t="s">
        <v>19221</v>
      </c>
      <c r="D551" s="35" t="s">
        <v>19404</v>
      </c>
      <c r="E551" s="35" t="s">
        <v>19223</v>
      </c>
      <c r="F551" s="35"/>
      <c r="G551" s="36"/>
      <c r="H551" s="36"/>
    </row>
    <row r="552" spans="1:8" x14ac:dyDescent="0.25">
      <c r="A552" s="29">
        <v>53015</v>
      </c>
      <c r="B552" t="s">
        <v>19735</v>
      </c>
      <c r="C552" s="35" t="s">
        <v>19221</v>
      </c>
      <c r="D552" s="35" t="s">
        <v>19602</v>
      </c>
      <c r="E552" s="35" t="s">
        <v>19217</v>
      </c>
      <c r="F552" s="35"/>
      <c r="G552" s="36"/>
      <c r="H552" s="36"/>
    </row>
    <row r="553" spans="1:8" x14ac:dyDescent="0.25">
      <c r="A553" s="29">
        <v>15030</v>
      </c>
      <c r="B553" t="s">
        <v>19736</v>
      </c>
      <c r="C553" s="35" t="s">
        <v>19221</v>
      </c>
      <c r="D553" s="35" t="s">
        <v>19275</v>
      </c>
      <c r="E553" s="35" t="s">
        <v>19276</v>
      </c>
      <c r="F553" s="35"/>
      <c r="G553" s="36"/>
      <c r="H553" s="36"/>
    </row>
    <row r="554" spans="1:8" x14ac:dyDescent="0.25">
      <c r="A554" s="29">
        <v>79022</v>
      </c>
      <c r="B554" t="s">
        <v>12900</v>
      </c>
      <c r="C554" s="35" t="s">
        <v>19221</v>
      </c>
      <c r="D554" s="35" t="s">
        <v>19374</v>
      </c>
      <c r="E554" s="35" t="s">
        <v>19240</v>
      </c>
      <c r="F554" s="35"/>
      <c r="G554" s="36"/>
      <c r="H554" s="36"/>
    </row>
    <row r="555" spans="1:8" x14ac:dyDescent="0.25">
      <c r="A555" s="29">
        <v>34097</v>
      </c>
      <c r="B555" t="s">
        <v>19737</v>
      </c>
      <c r="C555" s="35" t="s">
        <v>19221</v>
      </c>
      <c r="D555" s="35" t="s">
        <v>19347</v>
      </c>
      <c r="E555" s="35" t="s">
        <v>19276</v>
      </c>
      <c r="F555" s="35"/>
      <c r="G555" s="36"/>
      <c r="H555" s="36"/>
    </row>
    <row r="556" spans="1:8" x14ac:dyDescent="0.25">
      <c r="A556" s="29">
        <v>39085</v>
      </c>
      <c r="B556" t="s">
        <v>19738</v>
      </c>
      <c r="C556" s="35" t="s">
        <v>19221</v>
      </c>
      <c r="D556" s="35" t="s">
        <v>19370</v>
      </c>
      <c r="E556" s="35" t="s">
        <v>19255</v>
      </c>
      <c r="F556" s="35"/>
      <c r="G556" s="36"/>
      <c r="H556" s="36"/>
    </row>
    <row r="557" spans="1:8" x14ac:dyDescent="0.25">
      <c r="A557" s="29">
        <v>56055</v>
      </c>
      <c r="B557" t="s">
        <v>19739</v>
      </c>
      <c r="C557" s="35" t="s">
        <v>19221</v>
      </c>
      <c r="D557" s="35" t="s">
        <v>19474</v>
      </c>
      <c r="E557" s="35" t="s">
        <v>19217</v>
      </c>
      <c r="F557" s="35"/>
      <c r="G557" s="36"/>
      <c r="H557" s="36"/>
    </row>
    <row r="558" spans="1:8" x14ac:dyDescent="0.25">
      <c r="A558" s="29">
        <v>14035</v>
      </c>
      <c r="B558" t="s">
        <v>19740</v>
      </c>
      <c r="C558" s="35" t="s">
        <v>19221</v>
      </c>
      <c r="D558" s="35" t="s">
        <v>19487</v>
      </c>
      <c r="E558" s="35" t="s">
        <v>19232</v>
      </c>
      <c r="F558" s="35"/>
      <c r="G558" s="36"/>
      <c r="H558" s="36"/>
    </row>
    <row r="559" spans="1:8" x14ac:dyDescent="0.25">
      <c r="A559" s="29">
        <v>7065</v>
      </c>
      <c r="B559" t="s">
        <v>19741</v>
      </c>
      <c r="C559" s="35" t="s">
        <v>19327</v>
      </c>
      <c r="D559" s="35" t="s">
        <v>19231</v>
      </c>
      <c r="E559" s="35" t="s">
        <v>19232</v>
      </c>
      <c r="F559" s="35"/>
      <c r="G559" s="36"/>
      <c r="H559" s="36"/>
    </row>
    <row r="560" spans="1:8" x14ac:dyDescent="0.25">
      <c r="A560" s="29">
        <v>63023</v>
      </c>
      <c r="B560" t="s">
        <v>12895</v>
      </c>
      <c r="C560" s="35" t="s">
        <v>19221</v>
      </c>
      <c r="D560" s="35" t="s">
        <v>14658</v>
      </c>
      <c r="E560" s="35" t="s">
        <v>19310</v>
      </c>
      <c r="F560" s="35"/>
      <c r="G560" s="36"/>
      <c r="H560" s="36"/>
    </row>
    <row r="561" spans="1:8" x14ac:dyDescent="0.25">
      <c r="A561" s="29">
        <v>6050</v>
      </c>
      <c r="B561" t="s">
        <v>19742</v>
      </c>
      <c r="C561" s="35" t="s">
        <v>19221</v>
      </c>
      <c r="D561" s="35" t="s">
        <v>19349</v>
      </c>
      <c r="E561" s="35" t="s">
        <v>19321</v>
      </c>
      <c r="F561" s="35"/>
      <c r="G561" s="36"/>
      <c r="H561" s="36"/>
    </row>
    <row r="562" spans="1:8" x14ac:dyDescent="0.25">
      <c r="A562" s="29">
        <v>51065</v>
      </c>
      <c r="B562" t="s">
        <v>19743</v>
      </c>
      <c r="C562" s="35" t="s">
        <v>19327</v>
      </c>
      <c r="D562" s="35" t="s">
        <v>19362</v>
      </c>
      <c r="E562" s="35" t="s">
        <v>19286</v>
      </c>
      <c r="F562" s="35"/>
      <c r="G562" s="36"/>
      <c r="H562" s="36"/>
    </row>
    <row r="563" spans="1:8" x14ac:dyDescent="0.25">
      <c r="A563" s="29">
        <v>27015</v>
      </c>
      <c r="B563" t="s">
        <v>19744</v>
      </c>
      <c r="C563" s="35" t="s">
        <v>19221</v>
      </c>
      <c r="D563" s="35" t="s">
        <v>19291</v>
      </c>
      <c r="E563" s="35" t="s">
        <v>19223</v>
      </c>
      <c r="F563" s="35"/>
      <c r="G563" s="36"/>
      <c r="H563" s="36"/>
    </row>
    <row r="564" spans="1:8" x14ac:dyDescent="0.25">
      <c r="A564" s="29">
        <v>5065</v>
      </c>
      <c r="B564" t="s">
        <v>19745</v>
      </c>
      <c r="C564" s="35" t="s">
        <v>19221</v>
      </c>
      <c r="D564" s="35" t="s">
        <v>19320</v>
      </c>
      <c r="E564" s="35" t="s">
        <v>19321</v>
      </c>
      <c r="F564" s="35"/>
      <c r="G564" s="36"/>
      <c r="H564" s="36"/>
    </row>
    <row r="565" spans="1:8" x14ac:dyDescent="0.25">
      <c r="A565" s="29">
        <v>47010</v>
      </c>
      <c r="B565" t="s">
        <v>19746</v>
      </c>
      <c r="C565" s="35" t="s">
        <v>19221</v>
      </c>
      <c r="D565" s="35" t="s">
        <v>19449</v>
      </c>
      <c r="E565" s="35" t="s">
        <v>19217</v>
      </c>
      <c r="F565" s="35"/>
      <c r="G565" s="36"/>
      <c r="H565" s="36"/>
    </row>
    <row r="566" spans="1:8" x14ac:dyDescent="0.25">
      <c r="A566" s="29">
        <v>62025</v>
      </c>
      <c r="B566" t="s">
        <v>12891</v>
      </c>
      <c r="C566" s="35" t="s">
        <v>19221</v>
      </c>
      <c r="D566" s="35" t="s">
        <v>19368</v>
      </c>
      <c r="E566" s="35" t="s">
        <v>19310</v>
      </c>
      <c r="F566" s="35"/>
      <c r="G566" s="36"/>
      <c r="H566" s="36"/>
    </row>
    <row r="567" spans="1:8" x14ac:dyDescent="0.25">
      <c r="A567" s="29">
        <v>59015</v>
      </c>
      <c r="B567" t="s">
        <v>19747</v>
      </c>
      <c r="C567" s="35" t="s">
        <v>14</v>
      </c>
      <c r="D567" s="35" t="s">
        <v>19338</v>
      </c>
      <c r="E567" s="35" t="s">
        <v>19217</v>
      </c>
      <c r="F567" s="35"/>
      <c r="G567" s="36"/>
      <c r="H567" s="36"/>
    </row>
    <row r="568" spans="1:8" x14ac:dyDescent="0.25">
      <c r="A568" s="29">
        <v>94255</v>
      </c>
      <c r="B568" t="s">
        <v>19748</v>
      </c>
      <c r="C568" s="35" t="s">
        <v>19221</v>
      </c>
      <c r="D568" s="35" t="s">
        <v>19300</v>
      </c>
      <c r="E568" s="35" t="s">
        <v>19229</v>
      </c>
      <c r="F568" s="35"/>
      <c r="G568" s="36"/>
      <c r="H568" s="36"/>
    </row>
    <row r="569" spans="1:8" x14ac:dyDescent="0.25">
      <c r="A569" s="29">
        <v>61040</v>
      </c>
      <c r="B569" t="s">
        <v>19749</v>
      </c>
      <c r="C569" s="35" t="s">
        <v>19221</v>
      </c>
      <c r="D569" s="35" t="s">
        <v>17483</v>
      </c>
      <c r="E569" s="35" t="s">
        <v>19310</v>
      </c>
      <c r="F569" s="35"/>
      <c r="G569" s="36"/>
      <c r="H569" s="36"/>
    </row>
    <row r="570" spans="1:8" x14ac:dyDescent="0.25">
      <c r="A570" s="29">
        <v>10030</v>
      </c>
      <c r="B570" t="s">
        <v>19750</v>
      </c>
      <c r="C570" s="35" t="s">
        <v>19327</v>
      </c>
      <c r="D570" s="35" t="s">
        <v>19423</v>
      </c>
      <c r="E570" s="35" t="s">
        <v>19232</v>
      </c>
      <c r="F570" s="35"/>
      <c r="G570" s="36"/>
      <c r="H570" s="36"/>
    </row>
    <row r="571" spans="1:8" x14ac:dyDescent="0.25">
      <c r="A571" s="29">
        <v>80027</v>
      </c>
      <c r="B571" t="s">
        <v>12881</v>
      </c>
      <c r="C571" s="35" t="s">
        <v>19221</v>
      </c>
      <c r="D571" s="35" t="s">
        <v>8694</v>
      </c>
      <c r="E571" s="35" t="s">
        <v>19235</v>
      </c>
      <c r="F571" s="35"/>
      <c r="G571" s="36"/>
      <c r="H571" s="36"/>
    </row>
    <row r="572" spans="1:8" x14ac:dyDescent="0.25">
      <c r="A572" s="29">
        <v>76008</v>
      </c>
      <c r="B572" t="s">
        <v>12829</v>
      </c>
      <c r="C572" s="35" t="s">
        <v>19221</v>
      </c>
      <c r="D572" s="35" t="s">
        <v>19332</v>
      </c>
      <c r="E572" s="35" t="s">
        <v>19240</v>
      </c>
      <c r="F572" s="35"/>
      <c r="G572" s="36"/>
      <c r="H572" s="36"/>
    </row>
    <row r="573" spans="1:8" x14ac:dyDescent="0.25">
      <c r="A573" s="29">
        <v>14040</v>
      </c>
      <c r="B573" t="s">
        <v>19751</v>
      </c>
      <c r="C573" s="35" t="s">
        <v>19221</v>
      </c>
      <c r="D573" s="35" t="s">
        <v>19487</v>
      </c>
      <c r="E573" s="35" t="s">
        <v>19232</v>
      </c>
      <c r="F573" s="35"/>
      <c r="G573" s="36"/>
      <c r="H573" s="36"/>
    </row>
    <row r="574" spans="1:8" x14ac:dyDescent="0.25">
      <c r="A574" s="29">
        <v>6040</v>
      </c>
      <c r="B574" t="s">
        <v>19752</v>
      </c>
      <c r="C574" s="35" t="s">
        <v>19221</v>
      </c>
      <c r="D574" s="35" t="s">
        <v>19349</v>
      </c>
      <c r="E574" s="35" t="s">
        <v>19321</v>
      </c>
      <c r="F574" s="35"/>
      <c r="G574" s="36"/>
      <c r="H574" s="36"/>
    </row>
    <row r="575" spans="1:8" x14ac:dyDescent="0.25">
      <c r="A575" s="29">
        <v>91010</v>
      </c>
      <c r="B575" t="s">
        <v>19753</v>
      </c>
      <c r="C575" s="35" t="s">
        <v>19215</v>
      </c>
      <c r="D575" s="35" t="s">
        <v>19354</v>
      </c>
      <c r="E575" s="35" t="s">
        <v>19229</v>
      </c>
      <c r="F575" s="35"/>
      <c r="G575" s="36"/>
      <c r="H575" s="36"/>
    </row>
    <row r="576" spans="1:8" x14ac:dyDescent="0.25">
      <c r="A576" s="29">
        <v>69070</v>
      </c>
      <c r="B576" t="s">
        <v>19754</v>
      </c>
      <c r="C576" s="35" t="s">
        <v>19221</v>
      </c>
      <c r="D576" s="35" t="s">
        <v>19410</v>
      </c>
      <c r="E576" s="35" t="s">
        <v>19217</v>
      </c>
      <c r="F576" s="35"/>
      <c r="G576" s="36"/>
      <c r="H576" s="36"/>
    </row>
    <row r="577" spans="1:8" x14ac:dyDescent="0.25">
      <c r="A577" s="29">
        <v>19062</v>
      </c>
      <c r="B577" t="s">
        <v>19755</v>
      </c>
      <c r="C577" s="35" t="s">
        <v>19221</v>
      </c>
      <c r="D577" s="35" t="s">
        <v>19248</v>
      </c>
      <c r="E577" s="35" t="s">
        <v>19223</v>
      </c>
      <c r="F577" s="35"/>
      <c r="G577" s="36"/>
      <c r="H577" s="36"/>
    </row>
    <row r="578" spans="1:8" x14ac:dyDescent="0.25">
      <c r="A578" s="29">
        <v>18070</v>
      </c>
      <c r="B578" t="s">
        <v>19756</v>
      </c>
      <c r="C578" s="35" t="s">
        <v>19327</v>
      </c>
      <c r="D578" s="35" t="s">
        <v>14579</v>
      </c>
      <c r="E578" s="35" t="s">
        <v>19223</v>
      </c>
      <c r="F578" s="35"/>
      <c r="G578" s="36"/>
      <c r="H578" s="36"/>
    </row>
    <row r="579" spans="1:8" x14ac:dyDescent="0.25">
      <c r="A579" s="29">
        <v>33095</v>
      </c>
      <c r="B579" t="s">
        <v>19757</v>
      </c>
      <c r="C579" s="35" t="s">
        <v>19221</v>
      </c>
      <c r="D579" s="35" t="s">
        <v>19404</v>
      </c>
      <c r="E579" s="35" t="s">
        <v>19223</v>
      </c>
      <c r="F579" s="35"/>
      <c r="G579" s="36"/>
      <c r="H579" s="36"/>
    </row>
    <row r="580" spans="1:8" x14ac:dyDescent="0.25">
      <c r="A580" s="29">
        <v>57075</v>
      </c>
      <c r="B580" t="s">
        <v>19758</v>
      </c>
      <c r="C580" s="35" t="s">
        <v>19221</v>
      </c>
      <c r="D580" s="35" t="s">
        <v>19759</v>
      </c>
      <c r="E580" s="35" t="s">
        <v>19217</v>
      </c>
      <c r="F580" s="35"/>
      <c r="G580" s="36"/>
      <c r="H580" s="36"/>
    </row>
    <row r="581" spans="1:8" x14ac:dyDescent="0.25">
      <c r="A581" s="29">
        <v>12015</v>
      </c>
      <c r="B581" t="s">
        <v>19760</v>
      </c>
      <c r="C581" s="35" t="s">
        <v>19221</v>
      </c>
      <c r="D581" s="35" t="s">
        <v>19336</v>
      </c>
      <c r="E581" s="35" t="s">
        <v>19232</v>
      </c>
      <c r="F581" s="35"/>
      <c r="G581" s="36"/>
      <c r="H581" s="36"/>
    </row>
    <row r="582" spans="1:8" x14ac:dyDescent="0.25">
      <c r="A582" s="29">
        <v>33090</v>
      </c>
      <c r="B582" t="s">
        <v>19761</v>
      </c>
      <c r="C582" s="35" t="s">
        <v>19221</v>
      </c>
      <c r="D582" s="35" t="s">
        <v>19404</v>
      </c>
      <c r="E582" s="35" t="s">
        <v>19223</v>
      </c>
      <c r="F582" s="35"/>
      <c r="G582" s="36"/>
      <c r="H582" s="36"/>
    </row>
    <row r="583" spans="1:8" x14ac:dyDescent="0.25">
      <c r="A583" s="29">
        <v>46017</v>
      </c>
      <c r="B583" t="s">
        <v>19762</v>
      </c>
      <c r="C583" s="35" t="s">
        <v>19221</v>
      </c>
      <c r="D583" s="35" t="s">
        <v>19216</v>
      </c>
      <c r="E583" s="35" t="s">
        <v>19217</v>
      </c>
      <c r="F583" s="35"/>
      <c r="G583" s="36"/>
      <c r="H583" s="36"/>
    </row>
    <row r="584" spans="1:8" x14ac:dyDescent="0.25">
      <c r="A584" s="29">
        <v>12065</v>
      </c>
      <c r="B584" t="s">
        <v>19763</v>
      </c>
      <c r="C584" s="35" t="s">
        <v>19327</v>
      </c>
      <c r="D584" s="35" t="s">
        <v>19336</v>
      </c>
      <c r="E584" s="35" t="s">
        <v>19232</v>
      </c>
      <c r="F584" s="35"/>
      <c r="G584" s="36"/>
      <c r="H584" s="36"/>
    </row>
    <row r="585" spans="1:8" x14ac:dyDescent="0.25">
      <c r="A585" s="29">
        <v>13100</v>
      </c>
      <c r="B585" t="s">
        <v>19764</v>
      </c>
      <c r="C585" s="35" t="s">
        <v>19221</v>
      </c>
      <c r="D585" s="35" t="s">
        <v>19256</v>
      </c>
      <c r="E585" s="35" t="s">
        <v>19232</v>
      </c>
      <c r="F585" s="35"/>
      <c r="G585" s="36"/>
      <c r="H585" s="36"/>
    </row>
    <row r="586" spans="1:8" x14ac:dyDescent="0.25">
      <c r="A586" s="29">
        <v>17055</v>
      </c>
      <c r="B586" t="s">
        <v>19765</v>
      </c>
      <c r="C586" s="35" t="s">
        <v>19221</v>
      </c>
      <c r="D586" s="35" t="s">
        <v>19575</v>
      </c>
      <c r="E586" s="35" t="s">
        <v>19223</v>
      </c>
      <c r="F586" s="35"/>
      <c r="G586" s="36"/>
      <c r="H586" s="36"/>
    </row>
    <row r="587" spans="1:8" x14ac:dyDescent="0.25">
      <c r="A587" s="29">
        <v>98012</v>
      </c>
      <c r="B587" t="s">
        <v>19766</v>
      </c>
      <c r="C587" s="35" t="s">
        <v>19221</v>
      </c>
      <c r="D587" s="35" t="s">
        <v>19315</v>
      </c>
      <c r="E587" s="35" t="s">
        <v>19226</v>
      </c>
      <c r="F587" s="35"/>
      <c r="G587" s="36"/>
      <c r="H587" s="36"/>
    </row>
    <row r="588" spans="1:8" x14ac:dyDescent="0.25">
      <c r="A588" s="29">
        <v>92005</v>
      </c>
      <c r="B588" t="s">
        <v>19766</v>
      </c>
      <c r="C588" s="35" t="s">
        <v>19327</v>
      </c>
      <c r="D588" s="35" t="s">
        <v>19228</v>
      </c>
      <c r="E588" s="35" t="s">
        <v>19229</v>
      </c>
      <c r="F588" s="35"/>
      <c r="G588" s="36"/>
      <c r="H588" s="36"/>
    </row>
    <row r="589" spans="1:8" x14ac:dyDescent="0.25">
      <c r="A589" s="29">
        <v>23072</v>
      </c>
      <c r="B589" t="s">
        <v>12824</v>
      </c>
      <c r="C589" s="35" t="s">
        <v>14</v>
      </c>
      <c r="D589" s="35" t="s">
        <v>19542</v>
      </c>
      <c r="E589" s="35" t="s">
        <v>19276</v>
      </c>
      <c r="F589" s="35"/>
      <c r="G589" s="36"/>
      <c r="H589" s="36"/>
    </row>
    <row r="590" spans="1:8" x14ac:dyDescent="0.25">
      <c r="A590" s="29">
        <v>30005</v>
      </c>
      <c r="B590" t="s">
        <v>19767</v>
      </c>
      <c r="C590" s="35" t="s">
        <v>19327</v>
      </c>
      <c r="D590" s="35" t="s">
        <v>19257</v>
      </c>
      <c r="E590" s="35" t="s">
        <v>19252</v>
      </c>
      <c r="F590" s="35"/>
      <c r="G590" s="36"/>
      <c r="H590" s="36"/>
    </row>
    <row r="591" spans="1:8" x14ac:dyDescent="0.25">
      <c r="A591" s="29">
        <v>51025</v>
      </c>
      <c r="B591" t="s">
        <v>19768</v>
      </c>
      <c r="C591" s="35" t="s">
        <v>19327</v>
      </c>
      <c r="D591" s="35" t="s">
        <v>19362</v>
      </c>
      <c r="E591" s="35" t="s">
        <v>19286</v>
      </c>
      <c r="F591" s="35"/>
      <c r="G591" s="36"/>
      <c r="H591" s="36"/>
    </row>
    <row r="592" spans="1:8" x14ac:dyDescent="0.25">
      <c r="A592" s="29">
        <v>54105</v>
      </c>
      <c r="B592" t="s">
        <v>19769</v>
      </c>
      <c r="C592" s="35" t="s">
        <v>19221</v>
      </c>
      <c r="D592" s="35" t="s">
        <v>19509</v>
      </c>
      <c r="E592" s="35" t="s">
        <v>19217</v>
      </c>
      <c r="F592" s="35"/>
      <c r="G592" s="36"/>
      <c r="H592" s="36"/>
    </row>
    <row r="593" spans="1:8" x14ac:dyDescent="0.25">
      <c r="A593" s="29">
        <v>52055</v>
      </c>
      <c r="B593" t="s">
        <v>19770</v>
      </c>
      <c r="C593" s="35" t="s">
        <v>19327</v>
      </c>
      <c r="D593" s="35" t="s">
        <v>19309</v>
      </c>
      <c r="E593" s="35" t="s">
        <v>19310</v>
      </c>
      <c r="F593" s="35"/>
      <c r="G593" s="36"/>
      <c r="H593" s="36"/>
    </row>
    <row r="594" spans="1:8" x14ac:dyDescent="0.25">
      <c r="A594" s="29">
        <v>34038</v>
      </c>
      <c r="B594" t="s">
        <v>19771</v>
      </c>
      <c r="C594" s="35" t="s">
        <v>14</v>
      </c>
      <c r="D594" s="35" t="s">
        <v>19347</v>
      </c>
      <c r="E594" s="35" t="s">
        <v>19276</v>
      </c>
      <c r="F594" s="35"/>
      <c r="G594" s="36"/>
      <c r="H594" s="36"/>
    </row>
    <row r="595" spans="1:8" x14ac:dyDescent="0.25">
      <c r="A595" s="29">
        <v>57020</v>
      </c>
      <c r="B595" t="s">
        <v>19772</v>
      </c>
      <c r="C595" s="35" t="s">
        <v>14</v>
      </c>
      <c r="D595" s="35" t="s">
        <v>19305</v>
      </c>
      <c r="E595" s="35" t="s">
        <v>19217</v>
      </c>
      <c r="F595" s="35"/>
      <c r="G595" s="36"/>
      <c r="H595" s="36"/>
    </row>
    <row r="596" spans="1:8" x14ac:dyDescent="0.25">
      <c r="A596" s="29">
        <v>28025</v>
      </c>
      <c r="B596" t="s">
        <v>19773</v>
      </c>
      <c r="C596" s="35" t="s">
        <v>19221</v>
      </c>
      <c r="D596" s="35" t="s">
        <v>19527</v>
      </c>
      <c r="E596" s="35" t="s">
        <v>19223</v>
      </c>
      <c r="F596" s="35"/>
      <c r="G596" s="36"/>
      <c r="H596" s="36"/>
    </row>
    <row r="597" spans="1:8" x14ac:dyDescent="0.25">
      <c r="A597" s="29">
        <v>45080</v>
      </c>
      <c r="B597" t="s">
        <v>19774</v>
      </c>
      <c r="C597" s="35" t="s">
        <v>19221</v>
      </c>
      <c r="D597" s="35" t="s">
        <v>19261</v>
      </c>
      <c r="E597" s="35" t="s">
        <v>19252</v>
      </c>
      <c r="F597" s="35"/>
      <c r="G597" s="36"/>
      <c r="H597" s="36"/>
    </row>
    <row r="598" spans="1:8" x14ac:dyDescent="0.25">
      <c r="A598" s="29">
        <v>29100</v>
      </c>
      <c r="B598" t="s">
        <v>19775</v>
      </c>
      <c r="C598" s="35" t="s">
        <v>19221</v>
      </c>
      <c r="D598" s="35" t="s">
        <v>19500</v>
      </c>
      <c r="E598" s="35" t="s">
        <v>19223</v>
      </c>
      <c r="F598" s="35"/>
      <c r="G598" s="36"/>
      <c r="H598" s="36"/>
    </row>
    <row r="599" spans="1:8" x14ac:dyDescent="0.25">
      <c r="A599" s="29">
        <v>26055</v>
      </c>
      <c r="B599" t="s">
        <v>19776</v>
      </c>
      <c r="C599" s="35" t="s">
        <v>19221</v>
      </c>
      <c r="D599" s="35" t="s">
        <v>19436</v>
      </c>
      <c r="E599" s="35" t="s">
        <v>19223</v>
      </c>
      <c r="F599" s="35"/>
      <c r="G599" s="36"/>
      <c r="H599" s="36"/>
    </row>
    <row r="600" spans="1:8" x14ac:dyDescent="0.25">
      <c r="A600" s="29">
        <v>68005</v>
      </c>
      <c r="B600" t="s">
        <v>19777</v>
      </c>
      <c r="C600" s="35" t="s">
        <v>19221</v>
      </c>
      <c r="D600" s="35" t="s">
        <v>19472</v>
      </c>
      <c r="E600" s="35" t="s">
        <v>19217</v>
      </c>
      <c r="F600" s="35"/>
      <c r="G600" s="36"/>
      <c r="H600" s="36"/>
    </row>
    <row r="601" spans="1:8" x14ac:dyDescent="0.25">
      <c r="A601" s="29">
        <v>54115</v>
      </c>
      <c r="B601" t="s">
        <v>19778</v>
      </c>
      <c r="C601" s="35" t="s">
        <v>19221</v>
      </c>
      <c r="D601" s="35" t="s">
        <v>19509</v>
      </c>
      <c r="E601" s="35" t="s">
        <v>19217</v>
      </c>
      <c r="F601" s="35"/>
      <c r="G601" s="36"/>
      <c r="H601" s="36"/>
    </row>
    <row r="602" spans="1:8" x14ac:dyDescent="0.25">
      <c r="A602" s="29">
        <v>56065</v>
      </c>
      <c r="B602" t="s">
        <v>19779</v>
      </c>
      <c r="C602" s="35" t="s">
        <v>19221</v>
      </c>
      <c r="D602" s="35" t="s">
        <v>19474</v>
      </c>
      <c r="E602" s="35" t="s">
        <v>19217</v>
      </c>
      <c r="F602" s="35"/>
      <c r="G602" s="36"/>
      <c r="H602" s="36"/>
    </row>
    <row r="603" spans="1:8" x14ac:dyDescent="0.25">
      <c r="A603" s="29">
        <v>49125</v>
      </c>
      <c r="B603" t="s">
        <v>19780</v>
      </c>
      <c r="C603" s="35" t="s">
        <v>19221</v>
      </c>
      <c r="D603" s="35" t="s">
        <v>19405</v>
      </c>
      <c r="E603" s="35" t="s">
        <v>19255</v>
      </c>
      <c r="F603" s="35"/>
      <c r="G603" s="36"/>
      <c r="H603" s="36"/>
    </row>
    <row r="604" spans="1:8" x14ac:dyDescent="0.25">
      <c r="A604" s="29">
        <v>51085</v>
      </c>
      <c r="B604" t="s">
        <v>12818</v>
      </c>
      <c r="C604" s="35" t="s">
        <v>19221</v>
      </c>
      <c r="D604" s="35" t="s">
        <v>19362</v>
      </c>
      <c r="E604" s="35" t="s">
        <v>19286</v>
      </c>
      <c r="F604" s="35"/>
      <c r="G604" s="36"/>
      <c r="H604" s="36"/>
    </row>
    <row r="605" spans="1:8" x14ac:dyDescent="0.25">
      <c r="A605" s="29">
        <v>93030</v>
      </c>
      <c r="B605" t="s">
        <v>19781</v>
      </c>
      <c r="C605" s="35" t="s">
        <v>19221</v>
      </c>
      <c r="D605" s="35" t="s">
        <v>19237</v>
      </c>
      <c r="E605" s="35" t="s">
        <v>19229</v>
      </c>
      <c r="F605" s="35"/>
      <c r="G605" s="36"/>
      <c r="H605" s="36"/>
    </row>
    <row r="606" spans="1:8" x14ac:dyDescent="0.25">
      <c r="A606" s="29">
        <v>85045</v>
      </c>
      <c r="B606" t="s">
        <v>19782</v>
      </c>
      <c r="C606" s="35" t="s">
        <v>19221</v>
      </c>
      <c r="D606" s="35" t="s">
        <v>19289</v>
      </c>
      <c r="E606" s="35" t="s">
        <v>19243</v>
      </c>
      <c r="F606" s="35"/>
      <c r="G606" s="36"/>
      <c r="H606" s="36"/>
    </row>
    <row r="607" spans="1:8" x14ac:dyDescent="0.25">
      <c r="A607" s="29">
        <v>14010</v>
      </c>
      <c r="B607" t="s">
        <v>19783</v>
      </c>
      <c r="C607" s="35" t="s">
        <v>19221</v>
      </c>
      <c r="D607" s="35" t="s">
        <v>19487</v>
      </c>
      <c r="E607" s="35" t="s">
        <v>19232</v>
      </c>
      <c r="F607" s="35"/>
      <c r="G607" s="36"/>
      <c r="H607" s="36"/>
    </row>
    <row r="608" spans="1:8" x14ac:dyDescent="0.25">
      <c r="A608" s="29">
        <v>58037</v>
      </c>
      <c r="B608" t="s">
        <v>19784</v>
      </c>
      <c r="C608" s="35" t="s">
        <v>14</v>
      </c>
      <c r="D608" s="35" t="s">
        <v>19272</v>
      </c>
      <c r="E608" s="35" t="s">
        <v>19217</v>
      </c>
      <c r="F608" s="35"/>
      <c r="G608" s="36"/>
      <c r="H608" s="36"/>
    </row>
    <row r="609" spans="1:8" x14ac:dyDescent="0.25">
      <c r="A609" s="29">
        <v>63055</v>
      </c>
      <c r="B609" t="s">
        <v>12716</v>
      </c>
      <c r="C609" s="35" t="s">
        <v>19221</v>
      </c>
      <c r="D609" s="35" t="s">
        <v>14658</v>
      </c>
      <c r="E609" s="35" t="s">
        <v>19310</v>
      </c>
      <c r="F609" s="35"/>
      <c r="G609" s="36"/>
      <c r="H609" s="36"/>
    </row>
    <row r="610" spans="1:8" x14ac:dyDescent="0.25">
      <c r="A610" s="29">
        <v>40025</v>
      </c>
      <c r="B610" t="s">
        <v>19785</v>
      </c>
      <c r="C610" s="35" t="s">
        <v>19238</v>
      </c>
      <c r="D610" s="35" t="s">
        <v>19390</v>
      </c>
      <c r="E610" s="35" t="s">
        <v>19252</v>
      </c>
      <c r="F610" s="35"/>
      <c r="G610" s="36"/>
      <c r="H610" s="36"/>
    </row>
    <row r="611" spans="1:8" x14ac:dyDescent="0.25">
      <c r="A611" s="29">
        <v>28070</v>
      </c>
      <c r="B611" t="s">
        <v>19786</v>
      </c>
      <c r="C611" s="35" t="s">
        <v>19327</v>
      </c>
      <c r="D611" s="35" t="s">
        <v>19527</v>
      </c>
      <c r="E611" s="35" t="s">
        <v>19223</v>
      </c>
      <c r="F611" s="35"/>
      <c r="G611" s="36"/>
      <c r="H611" s="36"/>
    </row>
    <row r="612" spans="1:8" x14ac:dyDescent="0.25">
      <c r="A612" s="29">
        <v>34078</v>
      </c>
      <c r="B612" t="s">
        <v>19787</v>
      </c>
      <c r="C612" s="35" t="s">
        <v>19221</v>
      </c>
      <c r="D612" s="35" t="s">
        <v>19347</v>
      </c>
      <c r="E612" s="35" t="s">
        <v>19276</v>
      </c>
      <c r="F612" s="35"/>
      <c r="G612" s="36"/>
      <c r="H612" s="36"/>
    </row>
    <row r="613" spans="1:8" x14ac:dyDescent="0.25">
      <c r="A613" s="29">
        <v>50035</v>
      </c>
      <c r="B613" t="s">
        <v>19788</v>
      </c>
      <c r="C613" s="35" t="s">
        <v>19221</v>
      </c>
      <c r="D613" s="35" t="s">
        <v>19254</v>
      </c>
      <c r="E613" s="35" t="s">
        <v>19255</v>
      </c>
      <c r="F613" s="35"/>
      <c r="G613" s="36"/>
      <c r="H613" s="36"/>
    </row>
    <row r="614" spans="1:8" x14ac:dyDescent="0.25">
      <c r="A614" s="29">
        <v>50030</v>
      </c>
      <c r="B614" t="s">
        <v>19788</v>
      </c>
      <c r="C614" s="35" t="s">
        <v>19215</v>
      </c>
      <c r="D614" s="35" t="s">
        <v>19254</v>
      </c>
      <c r="E614" s="35" t="s">
        <v>19255</v>
      </c>
      <c r="F614" s="35"/>
      <c r="G614" s="36"/>
      <c r="H614" s="36"/>
    </row>
    <row r="615" spans="1:8" x14ac:dyDescent="0.25">
      <c r="A615" s="29">
        <v>55023</v>
      </c>
      <c r="B615" t="s">
        <v>19789</v>
      </c>
      <c r="C615" s="35" t="s">
        <v>14</v>
      </c>
      <c r="D615" s="35" t="s">
        <v>19246</v>
      </c>
      <c r="E615" s="35" t="s">
        <v>19217</v>
      </c>
      <c r="F615" s="35"/>
      <c r="G615" s="36"/>
      <c r="H615" s="36"/>
    </row>
    <row r="616" spans="1:8" x14ac:dyDescent="0.25">
      <c r="A616" s="29">
        <v>61035</v>
      </c>
      <c r="B616" t="s">
        <v>12697</v>
      </c>
      <c r="C616" s="35" t="s">
        <v>14</v>
      </c>
      <c r="D616" s="35" t="s">
        <v>17483</v>
      </c>
      <c r="E616" s="35" t="s">
        <v>19310</v>
      </c>
      <c r="F616" s="35"/>
      <c r="G616" s="36"/>
      <c r="H616" s="36"/>
    </row>
    <row r="617" spans="1:8" x14ac:dyDescent="0.25">
      <c r="A617" s="29">
        <v>19097</v>
      </c>
      <c r="B617" t="s">
        <v>19790</v>
      </c>
      <c r="C617" s="35" t="s">
        <v>19221</v>
      </c>
      <c r="D617" s="35" t="s">
        <v>19248</v>
      </c>
      <c r="E617" s="35" t="s">
        <v>19223</v>
      </c>
      <c r="F617" s="35"/>
      <c r="G617" s="36"/>
      <c r="H617" s="36"/>
    </row>
    <row r="618" spans="1:8" x14ac:dyDescent="0.25">
      <c r="A618" s="29">
        <v>94260</v>
      </c>
      <c r="B618" t="s">
        <v>19791</v>
      </c>
      <c r="C618" s="35" t="s">
        <v>19221</v>
      </c>
      <c r="D618" s="35" t="s">
        <v>19300</v>
      </c>
      <c r="E618" s="35" t="s">
        <v>19229</v>
      </c>
      <c r="F618" s="35"/>
      <c r="G618" s="36"/>
      <c r="H618" s="36"/>
    </row>
    <row r="619" spans="1:8" x14ac:dyDescent="0.25">
      <c r="A619" s="29">
        <v>9010</v>
      </c>
      <c r="B619" t="s">
        <v>19792</v>
      </c>
      <c r="C619" s="35" t="s">
        <v>19327</v>
      </c>
      <c r="D619" s="35" t="s">
        <v>19455</v>
      </c>
      <c r="E619" s="35" t="s">
        <v>19232</v>
      </c>
      <c r="F619" s="35"/>
      <c r="G619" s="36"/>
      <c r="H619" s="36"/>
    </row>
    <row r="620" spans="1:8" x14ac:dyDescent="0.25">
      <c r="A620" s="29">
        <v>57057</v>
      </c>
      <c r="B620" t="s">
        <v>19793</v>
      </c>
      <c r="C620" s="35" t="s">
        <v>19221</v>
      </c>
      <c r="D620" s="35" t="s">
        <v>19759</v>
      </c>
      <c r="E620" s="35" t="s">
        <v>19217</v>
      </c>
      <c r="F620" s="35"/>
      <c r="G620" s="36"/>
      <c r="H620" s="36"/>
    </row>
    <row r="621" spans="1:8" x14ac:dyDescent="0.25">
      <c r="A621" s="29">
        <v>39060</v>
      </c>
      <c r="B621" t="s">
        <v>19794</v>
      </c>
      <c r="C621" s="35" t="s">
        <v>19327</v>
      </c>
      <c r="D621" s="35" t="s">
        <v>19370</v>
      </c>
      <c r="E621" s="35" t="s">
        <v>19255</v>
      </c>
      <c r="F621" s="35"/>
      <c r="G621" s="36"/>
      <c r="H621" s="36"/>
    </row>
    <row r="622" spans="1:8" x14ac:dyDescent="0.25">
      <c r="A622" s="29">
        <v>69017</v>
      </c>
      <c r="B622" t="s">
        <v>19795</v>
      </c>
      <c r="C622" s="35" t="s">
        <v>19221</v>
      </c>
      <c r="D622" s="35" t="s">
        <v>19410</v>
      </c>
      <c r="E622" s="35" t="s">
        <v>19217</v>
      </c>
      <c r="F622" s="35"/>
      <c r="G622" s="36"/>
      <c r="H622" s="36"/>
    </row>
    <row r="623" spans="1:8" x14ac:dyDescent="0.25">
      <c r="A623" s="29">
        <v>42100</v>
      </c>
      <c r="B623" t="s">
        <v>19796</v>
      </c>
      <c r="C623" s="35" t="s">
        <v>19221</v>
      </c>
      <c r="D623" s="35" t="s">
        <v>19324</v>
      </c>
      <c r="E623" s="35" t="s">
        <v>19252</v>
      </c>
      <c r="F623" s="35"/>
      <c r="G623" s="36"/>
      <c r="H623" s="36"/>
    </row>
    <row r="624" spans="1:8" x14ac:dyDescent="0.25">
      <c r="A624" s="29">
        <v>11005</v>
      </c>
      <c r="B624" t="s">
        <v>19797</v>
      </c>
      <c r="C624" s="35" t="s">
        <v>19221</v>
      </c>
      <c r="D624" s="35" t="s">
        <v>19651</v>
      </c>
      <c r="E624" s="35" t="s">
        <v>19232</v>
      </c>
      <c r="F624" s="35"/>
      <c r="G624" s="36"/>
      <c r="H624" s="36"/>
    </row>
    <row r="625" spans="1:8" x14ac:dyDescent="0.25">
      <c r="A625" s="29">
        <v>7090</v>
      </c>
      <c r="B625" t="s">
        <v>19798</v>
      </c>
      <c r="C625" s="35" t="s">
        <v>19327</v>
      </c>
      <c r="D625" s="35" t="s">
        <v>19231</v>
      </c>
      <c r="E625" s="35" t="s">
        <v>19232</v>
      </c>
      <c r="F625" s="35"/>
      <c r="G625" s="36"/>
      <c r="H625" s="36"/>
    </row>
    <row r="626" spans="1:8" x14ac:dyDescent="0.25">
      <c r="A626" s="29">
        <v>52075</v>
      </c>
      <c r="B626" t="s">
        <v>19799</v>
      </c>
      <c r="C626" s="35" t="s">
        <v>19221</v>
      </c>
      <c r="D626" s="35" t="s">
        <v>19309</v>
      </c>
      <c r="E626" s="35" t="s">
        <v>19310</v>
      </c>
      <c r="F626" s="35"/>
      <c r="G626" s="36"/>
      <c r="H626" s="36"/>
    </row>
    <row r="627" spans="1:8" x14ac:dyDescent="0.25">
      <c r="A627" s="29">
        <v>71045</v>
      </c>
      <c r="B627" t="s">
        <v>12692</v>
      </c>
      <c r="C627" s="35" t="s">
        <v>19221</v>
      </c>
      <c r="D627" s="35" t="s">
        <v>19385</v>
      </c>
      <c r="E627" s="35" t="s">
        <v>19217</v>
      </c>
      <c r="F627" s="35"/>
      <c r="G627" s="36"/>
      <c r="H627" s="36"/>
    </row>
    <row r="628" spans="1:8" x14ac:dyDescent="0.25">
      <c r="A628" s="29">
        <v>75005</v>
      </c>
      <c r="B628" t="s">
        <v>11726</v>
      </c>
      <c r="C628" s="35" t="s">
        <v>14</v>
      </c>
      <c r="D628" s="35" t="s">
        <v>19698</v>
      </c>
      <c r="E628" s="35" t="s">
        <v>19240</v>
      </c>
      <c r="F628" s="35"/>
      <c r="G628" s="36"/>
      <c r="H628" s="36"/>
    </row>
    <row r="629" spans="1:8" x14ac:dyDescent="0.25">
      <c r="A629" s="29">
        <v>62065</v>
      </c>
      <c r="B629" s="38" t="s">
        <v>11717</v>
      </c>
      <c r="C629" s="35" t="s">
        <v>19221</v>
      </c>
      <c r="D629" s="35" t="s">
        <v>19368</v>
      </c>
      <c r="E629" s="35" t="s">
        <v>19310</v>
      </c>
      <c r="F629" s="35"/>
      <c r="G629" s="36"/>
      <c r="H629" s="36"/>
    </row>
    <row r="630" spans="1:8" x14ac:dyDescent="0.25">
      <c r="A630" s="29">
        <v>29057</v>
      </c>
      <c r="B630" s="38" t="s">
        <v>19800</v>
      </c>
      <c r="C630" s="35" t="s">
        <v>19221</v>
      </c>
      <c r="D630" s="35" t="s">
        <v>19500</v>
      </c>
      <c r="E630" s="35" t="s">
        <v>19223</v>
      </c>
      <c r="F630" s="35"/>
      <c r="G630" s="36"/>
      <c r="H630" s="36"/>
    </row>
    <row r="631" spans="1:8" x14ac:dyDescent="0.25">
      <c r="A631" s="29">
        <v>67035</v>
      </c>
      <c r="B631" s="38" t="s">
        <v>19801</v>
      </c>
      <c r="C631" s="35" t="s">
        <v>14</v>
      </c>
      <c r="D631" s="35" t="s">
        <v>19340</v>
      </c>
      <c r="E631" s="35" t="s">
        <v>19217</v>
      </c>
      <c r="F631" s="35"/>
      <c r="G631" s="36"/>
      <c r="H631" s="36"/>
    </row>
    <row r="632" spans="1:8" x14ac:dyDescent="0.25">
      <c r="A632" s="29">
        <v>52062</v>
      </c>
      <c r="B632" s="38" t="s">
        <v>19802</v>
      </c>
      <c r="C632" s="35" t="s">
        <v>19221</v>
      </c>
      <c r="D632" s="35" t="s">
        <v>19309</v>
      </c>
      <c r="E632" s="35" t="s">
        <v>19310</v>
      </c>
      <c r="F632" s="35"/>
      <c r="G632" s="36"/>
      <c r="H632" s="36"/>
    </row>
    <row r="633" spans="1:8" x14ac:dyDescent="0.25">
      <c r="A633" s="29">
        <v>12005</v>
      </c>
      <c r="B633" s="38" t="s">
        <v>19803</v>
      </c>
      <c r="C633" s="35" t="s">
        <v>19221</v>
      </c>
      <c r="D633" s="35" t="s">
        <v>19336</v>
      </c>
      <c r="E633" s="35" t="s">
        <v>19232</v>
      </c>
      <c r="F633" s="35"/>
      <c r="G633" s="36"/>
      <c r="H633" s="36"/>
    </row>
    <row r="634" spans="1:8" x14ac:dyDescent="0.25">
      <c r="A634" s="29">
        <v>28040</v>
      </c>
      <c r="B634" s="38" t="s">
        <v>19803</v>
      </c>
      <c r="C634" s="35" t="s">
        <v>19327</v>
      </c>
      <c r="D634" s="35" t="s">
        <v>19527</v>
      </c>
      <c r="E634" s="35" t="s">
        <v>19223</v>
      </c>
      <c r="F634" s="35"/>
      <c r="G634" s="36"/>
      <c r="H634" s="36"/>
    </row>
    <row r="635" spans="1:8" x14ac:dyDescent="0.25">
      <c r="A635" s="29">
        <v>68035</v>
      </c>
      <c r="B635" s="38" t="s">
        <v>19804</v>
      </c>
      <c r="C635" s="35" t="s">
        <v>19221</v>
      </c>
      <c r="D635" s="35" t="s">
        <v>19472</v>
      </c>
      <c r="E635" s="35" t="s">
        <v>19217</v>
      </c>
      <c r="F635" s="35"/>
      <c r="G635" s="36"/>
      <c r="H635" s="36"/>
    </row>
    <row r="636" spans="1:8" x14ac:dyDescent="0.25">
      <c r="A636" s="29">
        <v>17045</v>
      </c>
      <c r="B636" s="38" t="s">
        <v>19805</v>
      </c>
      <c r="C636" s="35" t="s">
        <v>19327</v>
      </c>
      <c r="D636" s="35" t="s">
        <v>19575</v>
      </c>
      <c r="E636" s="35" t="s">
        <v>19223</v>
      </c>
      <c r="F636" s="35"/>
      <c r="G636" s="36"/>
      <c r="H636" s="36"/>
    </row>
    <row r="637" spans="1:8" x14ac:dyDescent="0.25">
      <c r="A637" s="29">
        <v>49070</v>
      </c>
      <c r="B637" s="38" t="s">
        <v>19806</v>
      </c>
      <c r="C637" s="35" t="s">
        <v>19221</v>
      </c>
      <c r="D637" s="35" t="s">
        <v>19405</v>
      </c>
      <c r="E637" s="35" t="s">
        <v>19255</v>
      </c>
      <c r="F637" s="35"/>
      <c r="G637" s="36"/>
      <c r="H637" s="36"/>
    </row>
    <row r="638" spans="1:8" x14ac:dyDescent="0.25">
      <c r="A638" s="29">
        <v>7105</v>
      </c>
      <c r="B638" s="38" t="s">
        <v>19807</v>
      </c>
      <c r="C638" s="35" t="s">
        <v>19327</v>
      </c>
      <c r="D638" s="35" t="s">
        <v>19231</v>
      </c>
      <c r="E638" s="35" t="s">
        <v>19232</v>
      </c>
      <c r="F638" s="35"/>
      <c r="G638" s="36"/>
      <c r="H638" s="36"/>
    </row>
    <row r="639" spans="1:8" x14ac:dyDescent="0.25">
      <c r="A639" s="29">
        <v>54017</v>
      </c>
      <c r="B639" s="38" t="s">
        <v>19807</v>
      </c>
      <c r="C639" s="35" t="s">
        <v>19221</v>
      </c>
      <c r="D639" s="35" t="s">
        <v>19509</v>
      </c>
      <c r="E639" s="35" t="s">
        <v>19217</v>
      </c>
      <c r="F639" s="35"/>
      <c r="G639" s="36"/>
      <c r="H639" s="36"/>
    </row>
    <row r="640" spans="1:8" x14ac:dyDescent="0.25">
      <c r="A640" s="29">
        <v>17040</v>
      </c>
      <c r="B640" s="38" t="s">
        <v>19808</v>
      </c>
      <c r="C640" s="35" t="s">
        <v>19221</v>
      </c>
      <c r="D640" s="35" t="s">
        <v>19575</v>
      </c>
      <c r="E640" s="35" t="s">
        <v>19223</v>
      </c>
      <c r="F640" s="35"/>
      <c r="G640" s="36"/>
      <c r="H640" s="36"/>
    </row>
    <row r="641" spans="1:8" x14ac:dyDescent="0.25">
      <c r="A641" s="29">
        <v>62075</v>
      </c>
      <c r="B641" s="38" t="s">
        <v>19809</v>
      </c>
      <c r="C641" s="35" t="s">
        <v>19327</v>
      </c>
      <c r="D641" s="35" t="s">
        <v>19368</v>
      </c>
      <c r="E641" s="35" t="s">
        <v>19310</v>
      </c>
      <c r="F641" s="35"/>
      <c r="G641" s="36"/>
      <c r="H641" s="36"/>
    </row>
    <row r="642" spans="1:8" x14ac:dyDescent="0.25">
      <c r="A642" s="29">
        <v>19030</v>
      </c>
      <c r="B642" s="38" t="s">
        <v>19810</v>
      </c>
      <c r="C642" s="35" t="s">
        <v>19327</v>
      </c>
      <c r="D642" s="35" t="s">
        <v>19248</v>
      </c>
      <c r="E642" s="35" t="s">
        <v>19223</v>
      </c>
      <c r="F642" s="35"/>
      <c r="G642" s="36"/>
      <c r="H642" s="36"/>
    </row>
    <row r="643" spans="1:8" x14ac:dyDescent="0.25">
      <c r="A643" s="29">
        <v>53005</v>
      </c>
      <c r="B643" s="38" t="s">
        <v>19811</v>
      </c>
      <c r="C643" s="35" t="s">
        <v>19221</v>
      </c>
      <c r="D643" s="35" t="s">
        <v>19602</v>
      </c>
      <c r="E643" s="35" t="s">
        <v>19217</v>
      </c>
      <c r="F643" s="35"/>
      <c r="G643" s="36"/>
      <c r="H643" s="36"/>
    </row>
    <row r="644" spans="1:8" x14ac:dyDescent="0.25">
      <c r="A644" s="29">
        <v>94245</v>
      </c>
      <c r="B644" s="38" t="s">
        <v>19812</v>
      </c>
      <c r="C644" s="35" t="s">
        <v>19221</v>
      </c>
      <c r="D644" s="35" t="s">
        <v>19300</v>
      </c>
      <c r="E644" s="35" t="s">
        <v>19229</v>
      </c>
      <c r="F644" s="35"/>
      <c r="G644" s="36"/>
      <c r="H644" s="36"/>
    </row>
    <row r="645" spans="1:8" x14ac:dyDescent="0.25">
      <c r="A645" s="29">
        <v>14055</v>
      </c>
      <c r="B645" s="38" t="s">
        <v>19813</v>
      </c>
      <c r="C645" s="35" t="s">
        <v>19221</v>
      </c>
      <c r="D645" s="35" t="s">
        <v>19487</v>
      </c>
      <c r="E645" s="35" t="s">
        <v>19232</v>
      </c>
      <c r="F645" s="35"/>
      <c r="G645" s="36"/>
      <c r="H645" s="36"/>
    </row>
    <row r="646" spans="1:8" x14ac:dyDescent="0.25">
      <c r="A646" s="29">
        <v>42025</v>
      </c>
      <c r="B646" s="38" t="s">
        <v>19814</v>
      </c>
      <c r="C646" s="35" t="s">
        <v>19221</v>
      </c>
      <c r="D646" s="35" t="s">
        <v>19324</v>
      </c>
      <c r="E646" s="35" t="s">
        <v>19252</v>
      </c>
      <c r="F646" s="35"/>
      <c r="G646" s="36"/>
      <c r="H646" s="36"/>
    </row>
    <row r="647" spans="1:8" x14ac:dyDescent="0.25">
      <c r="A647" s="29">
        <v>57068</v>
      </c>
      <c r="B647" s="38" t="s">
        <v>19815</v>
      </c>
      <c r="C647" s="35" t="s">
        <v>19221</v>
      </c>
      <c r="D647" s="35" t="s">
        <v>19759</v>
      </c>
      <c r="E647" s="35" t="s">
        <v>19217</v>
      </c>
      <c r="F647" s="35"/>
      <c r="G647" s="36"/>
      <c r="H647" s="36"/>
    </row>
    <row r="648" spans="1:8" x14ac:dyDescent="0.25">
      <c r="A648" s="29">
        <v>52090</v>
      </c>
      <c r="B648" s="38" t="s">
        <v>19816</v>
      </c>
      <c r="C648" s="35" t="s">
        <v>19327</v>
      </c>
      <c r="D648" s="35" t="s">
        <v>19309</v>
      </c>
      <c r="E648" s="35" t="s">
        <v>19310</v>
      </c>
      <c r="F648" s="35"/>
      <c r="G648" s="36"/>
      <c r="H648" s="36"/>
    </row>
    <row r="649" spans="1:8" x14ac:dyDescent="0.25">
      <c r="A649" s="29">
        <v>54060</v>
      </c>
      <c r="B649" s="38" t="s">
        <v>19817</v>
      </c>
      <c r="C649" s="35" t="s">
        <v>19221</v>
      </c>
      <c r="D649" s="35" t="s">
        <v>19509</v>
      </c>
      <c r="E649" s="35" t="s">
        <v>19217</v>
      </c>
      <c r="F649" s="35"/>
      <c r="G649" s="36"/>
      <c r="H649" s="36"/>
    </row>
    <row r="650" spans="1:8" x14ac:dyDescent="0.25">
      <c r="A650" s="29">
        <v>88065</v>
      </c>
      <c r="B650" s="38" t="s">
        <v>19818</v>
      </c>
      <c r="C650" s="35" t="s">
        <v>19221</v>
      </c>
      <c r="D650" s="35" t="s">
        <v>19242</v>
      </c>
      <c r="E650" s="35" t="s">
        <v>19243</v>
      </c>
      <c r="F650" s="35"/>
      <c r="G650" s="36"/>
      <c r="H650" s="36"/>
    </row>
    <row r="651" spans="1:8" x14ac:dyDescent="0.25">
      <c r="A651" s="29">
        <v>62060</v>
      </c>
      <c r="B651" s="38" t="s">
        <v>11695</v>
      </c>
      <c r="C651" s="35" t="s">
        <v>19221</v>
      </c>
      <c r="D651" s="35" t="s">
        <v>19368</v>
      </c>
      <c r="E651" s="35" t="s">
        <v>19310</v>
      </c>
      <c r="F651" s="35"/>
      <c r="G651" s="36"/>
      <c r="H651" s="36"/>
    </row>
    <row r="652" spans="1:8" x14ac:dyDescent="0.25">
      <c r="A652" s="29">
        <v>9030</v>
      </c>
      <c r="B652" s="38" t="s">
        <v>11695</v>
      </c>
      <c r="C652" s="35" t="s">
        <v>19327</v>
      </c>
      <c r="D652" s="35" t="s">
        <v>19455</v>
      </c>
      <c r="E652" s="35" t="s">
        <v>19232</v>
      </c>
      <c r="F652" s="35"/>
      <c r="G652" s="36"/>
      <c r="H652" s="36"/>
    </row>
    <row r="653" spans="1:8" x14ac:dyDescent="0.25">
      <c r="A653" s="29">
        <v>77022</v>
      </c>
      <c r="B653" s="38" t="s">
        <v>11250</v>
      </c>
      <c r="C653" s="35" t="s">
        <v>14</v>
      </c>
      <c r="D653" s="35" t="s">
        <v>19425</v>
      </c>
      <c r="E653" s="35" t="s">
        <v>19240</v>
      </c>
      <c r="F653" s="35"/>
      <c r="G653" s="36"/>
      <c r="H653" s="36"/>
    </row>
    <row r="654" spans="1:8" x14ac:dyDescent="0.25">
      <c r="A654" s="29">
        <v>33017</v>
      </c>
      <c r="B654" s="38" t="s">
        <v>19819</v>
      </c>
      <c r="C654" s="35" t="s">
        <v>19221</v>
      </c>
      <c r="D654" s="35" t="s">
        <v>19404</v>
      </c>
      <c r="E654" s="35" t="s">
        <v>19223</v>
      </c>
      <c r="F654" s="35"/>
      <c r="G654" s="36"/>
      <c r="H654" s="36"/>
    </row>
    <row r="655" spans="1:8" x14ac:dyDescent="0.25">
      <c r="A655" s="29">
        <v>78032</v>
      </c>
      <c r="B655" s="38" t="s">
        <v>11047</v>
      </c>
      <c r="C655" s="35" t="s">
        <v>14</v>
      </c>
      <c r="D655" s="35" t="s">
        <v>19239</v>
      </c>
      <c r="E655" s="35" t="s">
        <v>19240</v>
      </c>
      <c r="F655" s="35"/>
      <c r="G655" s="36"/>
      <c r="H655" s="36"/>
    </row>
    <row r="656" spans="1:8" x14ac:dyDescent="0.25">
      <c r="A656" s="29">
        <v>9035</v>
      </c>
      <c r="B656" s="38" t="s">
        <v>19820</v>
      </c>
      <c r="C656" s="35" t="s">
        <v>19221</v>
      </c>
      <c r="D656" s="35" t="s">
        <v>19455</v>
      </c>
      <c r="E656" s="35" t="s">
        <v>19232</v>
      </c>
      <c r="F656" s="35"/>
      <c r="G656" s="36"/>
      <c r="H656" s="36"/>
    </row>
    <row r="657" spans="1:8" x14ac:dyDescent="0.25">
      <c r="A657" s="29">
        <v>55030</v>
      </c>
      <c r="B657" s="38" t="s">
        <v>19821</v>
      </c>
      <c r="C657" s="35" t="s">
        <v>19221</v>
      </c>
      <c r="D657" s="35" t="s">
        <v>19246</v>
      </c>
      <c r="E657" s="35" t="s">
        <v>19217</v>
      </c>
      <c r="F657" s="35"/>
      <c r="G657" s="36"/>
      <c r="H657" s="36"/>
    </row>
    <row r="658" spans="1:8" x14ac:dyDescent="0.25">
      <c r="A658" s="29">
        <v>51055</v>
      </c>
      <c r="B658" s="38" t="s">
        <v>19822</v>
      </c>
      <c r="C658" s="35" t="s">
        <v>19221</v>
      </c>
      <c r="D658" s="35" t="s">
        <v>19362</v>
      </c>
      <c r="E658" s="35" t="s">
        <v>19286</v>
      </c>
      <c r="F658" s="35"/>
      <c r="G658" s="36"/>
      <c r="H658" s="36"/>
    </row>
    <row r="659" spans="1:8" x14ac:dyDescent="0.25">
      <c r="A659" s="29">
        <v>21030</v>
      </c>
      <c r="B659" s="38" t="s">
        <v>19823</v>
      </c>
      <c r="C659" s="35" t="s">
        <v>14</v>
      </c>
      <c r="D659" s="35" t="s">
        <v>19296</v>
      </c>
      <c r="E659" s="35" t="s">
        <v>19276</v>
      </c>
      <c r="F659" s="35"/>
      <c r="G659" s="36"/>
      <c r="H659" s="36"/>
    </row>
    <row r="660" spans="1:8" x14ac:dyDescent="0.25">
      <c r="A660" s="29">
        <v>66117</v>
      </c>
      <c r="B660" s="38" t="s">
        <v>19824</v>
      </c>
      <c r="C660" s="35" t="s">
        <v>14</v>
      </c>
      <c r="D660" s="35" t="s">
        <v>19272</v>
      </c>
      <c r="E660" s="35" t="s">
        <v>14481</v>
      </c>
      <c r="F660" s="35"/>
      <c r="G660" s="36"/>
      <c r="H660" s="36"/>
    </row>
    <row r="661" spans="1:8" x14ac:dyDescent="0.25">
      <c r="A661" s="29">
        <v>37205</v>
      </c>
      <c r="B661" s="38" t="s">
        <v>19825</v>
      </c>
      <c r="C661" s="35" t="s">
        <v>19221</v>
      </c>
      <c r="D661" s="35" t="s">
        <v>19285</v>
      </c>
      <c r="E661" s="35" t="s">
        <v>19286</v>
      </c>
      <c r="F661" s="35"/>
      <c r="G661" s="36"/>
      <c r="H661" s="36"/>
    </row>
    <row r="662" spans="1:8" x14ac:dyDescent="0.25">
      <c r="A662" s="29">
        <v>14090</v>
      </c>
      <c r="B662" s="38" t="s">
        <v>19826</v>
      </c>
      <c r="C662" s="35" t="s">
        <v>19327</v>
      </c>
      <c r="D662" s="35" t="s">
        <v>19487</v>
      </c>
      <c r="E662" s="35" t="s">
        <v>19232</v>
      </c>
      <c r="F662" s="35"/>
      <c r="G662" s="36"/>
      <c r="H662" s="36"/>
    </row>
    <row r="663" spans="1:8" x14ac:dyDescent="0.25">
      <c r="A663" s="29">
        <v>42050</v>
      </c>
      <c r="B663" s="38" t="s">
        <v>19827</v>
      </c>
      <c r="C663" s="35" t="s">
        <v>19221</v>
      </c>
      <c r="D663" s="35" t="s">
        <v>19324</v>
      </c>
      <c r="E663" s="35" t="s">
        <v>19252</v>
      </c>
      <c r="F663" s="35"/>
      <c r="G663" s="36"/>
      <c r="H663" s="36"/>
    </row>
    <row r="664" spans="1:8" x14ac:dyDescent="0.25">
      <c r="A664" s="29">
        <v>56060</v>
      </c>
      <c r="B664" s="38" t="s">
        <v>19828</v>
      </c>
      <c r="C664" s="35" t="s">
        <v>19327</v>
      </c>
      <c r="D664" s="35" t="s">
        <v>19474</v>
      </c>
      <c r="E664" s="35" t="s">
        <v>19217</v>
      </c>
      <c r="F664" s="35"/>
      <c r="G664" s="36"/>
      <c r="H664" s="36"/>
    </row>
    <row r="665" spans="1:8" x14ac:dyDescent="0.25">
      <c r="A665" s="29">
        <v>77035</v>
      </c>
      <c r="B665" s="38" t="s">
        <v>10904</v>
      </c>
      <c r="C665" s="35" t="s">
        <v>19327</v>
      </c>
      <c r="D665" s="35" t="s">
        <v>19425</v>
      </c>
      <c r="E665" s="35" t="s">
        <v>19240</v>
      </c>
      <c r="F665" s="35"/>
      <c r="G665" s="36"/>
      <c r="H665" s="36"/>
    </row>
    <row r="666" spans="1:8" x14ac:dyDescent="0.25">
      <c r="A666" s="29">
        <v>4037</v>
      </c>
      <c r="B666" s="38" t="s">
        <v>19829</v>
      </c>
      <c r="C666" s="35" t="s">
        <v>14</v>
      </c>
      <c r="D666" s="35" t="s">
        <v>19343</v>
      </c>
      <c r="E666" s="35" t="s">
        <v>19321</v>
      </c>
      <c r="F666" s="35"/>
      <c r="G666" s="36"/>
      <c r="H666" s="36"/>
    </row>
    <row r="667" spans="1:8" x14ac:dyDescent="0.25">
      <c r="A667" s="29">
        <v>53065</v>
      </c>
      <c r="B667" s="38" t="s">
        <v>19830</v>
      </c>
      <c r="C667" s="35" t="s">
        <v>19221</v>
      </c>
      <c r="D667" s="35" t="s">
        <v>19602</v>
      </c>
      <c r="E667" s="35" t="s">
        <v>19217</v>
      </c>
      <c r="F667" s="35"/>
      <c r="G667" s="36"/>
      <c r="H667" s="36"/>
    </row>
    <row r="668" spans="1:8" x14ac:dyDescent="0.25">
      <c r="A668" s="29">
        <v>73035</v>
      </c>
      <c r="B668" s="38" t="s">
        <v>10560</v>
      </c>
      <c r="C668" s="35" t="s">
        <v>14</v>
      </c>
      <c r="D668" s="35" t="s">
        <v>19313</v>
      </c>
      <c r="E668" s="35" t="s">
        <v>19240</v>
      </c>
      <c r="F668" s="35"/>
      <c r="G668" s="36"/>
      <c r="H668" s="36"/>
    </row>
    <row r="669" spans="1:8" x14ac:dyDescent="0.25">
      <c r="A669" s="29">
        <v>79115</v>
      </c>
      <c r="B669" s="38" t="s">
        <v>19831</v>
      </c>
      <c r="C669" s="35" t="s">
        <v>19221</v>
      </c>
      <c r="D669" s="35" t="s">
        <v>19374</v>
      </c>
      <c r="E669" s="35" t="s">
        <v>19240</v>
      </c>
      <c r="F669" s="35"/>
      <c r="G669" s="36"/>
      <c r="H669" s="36"/>
    </row>
    <row r="670" spans="1:8" x14ac:dyDescent="0.25">
      <c r="A670" s="29">
        <v>18025</v>
      </c>
      <c r="B670" s="38" t="s">
        <v>19832</v>
      </c>
      <c r="C670" s="35" t="s">
        <v>19327</v>
      </c>
      <c r="D670" s="35" t="s">
        <v>14579</v>
      </c>
      <c r="E670" s="35" t="s">
        <v>19223</v>
      </c>
      <c r="F670" s="35"/>
      <c r="G670" s="36"/>
      <c r="H670" s="36"/>
    </row>
    <row r="671" spans="1:8" x14ac:dyDescent="0.25">
      <c r="A671" s="29">
        <v>28015</v>
      </c>
      <c r="B671" s="38" t="s">
        <v>19833</v>
      </c>
      <c r="C671" s="35" t="s">
        <v>19221</v>
      </c>
      <c r="D671" s="35" t="s">
        <v>19527</v>
      </c>
      <c r="E671" s="35" t="s">
        <v>19223</v>
      </c>
      <c r="F671" s="35"/>
      <c r="G671" s="36"/>
      <c r="H671" s="36"/>
    </row>
    <row r="672" spans="1:8" x14ac:dyDescent="0.25">
      <c r="A672" s="29">
        <v>69065</v>
      </c>
      <c r="B672" s="38" t="s">
        <v>19834</v>
      </c>
      <c r="C672" s="35" t="s">
        <v>19221</v>
      </c>
      <c r="D672" s="35" t="s">
        <v>19410</v>
      </c>
      <c r="E672" s="35" t="s">
        <v>19217</v>
      </c>
      <c r="F672" s="35"/>
      <c r="G672" s="36"/>
      <c r="H672" s="36"/>
    </row>
    <row r="673" spans="1:8" x14ac:dyDescent="0.25">
      <c r="A673" s="29">
        <v>62020</v>
      </c>
      <c r="B673" s="38" t="s">
        <v>19835</v>
      </c>
      <c r="C673" s="35" t="s">
        <v>19221</v>
      </c>
      <c r="D673" s="35" t="s">
        <v>19368</v>
      </c>
      <c r="E673" s="35" t="s">
        <v>19310</v>
      </c>
      <c r="F673" s="35"/>
      <c r="G673" s="36"/>
      <c r="H673" s="36"/>
    </row>
    <row r="674" spans="1:8" x14ac:dyDescent="0.25">
      <c r="A674" s="29">
        <v>56105</v>
      </c>
      <c r="B674" s="38" t="s">
        <v>19836</v>
      </c>
      <c r="C674" s="35" t="s">
        <v>19221</v>
      </c>
      <c r="D674" s="35" t="s">
        <v>19474</v>
      </c>
      <c r="E674" s="35" t="s">
        <v>19217</v>
      </c>
      <c r="F674" s="35"/>
      <c r="G674" s="36"/>
      <c r="H674" s="36"/>
    </row>
    <row r="675" spans="1:8" x14ac:dyDescent="0.25">
      <c r="A675" s="29">
        <v>22045</v>
      </c>
      <c r="B675" s="38" t="s">
        <v>19837</v>
      </c>
      <c r="C675" s="35" t="s">
        <v>14</v>
      </c>
      <c r="D675" s="35" t="s">
        <v>19434</v>
      </c>
      <c r="E675" s="35" t="s">
        <v>19276</v>
      </c>
      <c r="F675" s="35"/>
      <c r="G675" s="36"/>
      <c r="H675" s="36"/>
    </row>
    <row r="676" spans="1:8" x14ac:dyDescent="0.25">
      <c r="A676" s="29">
        <v>49085</v>
      </c>
      <c r="B676" s="38" t="s">
        <v>19838</v>
      </c>
      <c r="C676" s="35" t="s">
        <v>19327</v>
      </c>
      <c r="D676" s="35" t="s">
        <v>19405</v>
      </c>
      <c r="E676" s="35" t="s">
        <v>19255</v>
      </c>
      <c r="F676" s="35"/>
      <c r="G676" s="36"/>
      <c r="H676" s="36"/>
    </row>
    <row r="677" spans="1:8" x14ac:dyDescent="0.25">
      <c r="A677" s="29">
        <v>67030</v>
      </c>
      <c r="B677" s="38" t="s">
        <v>19839</v>
      </c>
      <c r="C677" s="35" t="s">
        <v>14</v>
      </c>
      <c r="D677" s="35" t="s">
        <v>19340</v>
      </c>
      <c r="E677" s="35" t="s">
        <v>19217</v>
      </c>
      <c r="F677" s="35"/>
      <c r="G677" s="36"/>
      <c r="H677" s="36"/>
    </row>
    <row r="678" spans="1:8" x14ac:dyDescent="0.25">
      <c r="A678" s="29">
        <v>45060</v>
      </c>
      <c r="B678" s="38" t="s">
        <v>19840</v>
      </c>
      <c r="C678" s="35" t="s">
        <v>19221</v>
      </c>
      <c r="D678" s="35" t="s">
        <v>19261</v>
      </c>
      <c r="E678" s="35" t="s">
        <v>19252</v>
      </c>
      <c r="F678" s="35"/>
      <c r="G678" s="36"/>
      <c r="H678" s="36"/>
    </row>
    <row r="679" spans="1:8" x14ac:dyDescent="0.25">
      <c r="A679" s="29">
        <v>22005</v>
      </c>
      <c r="B679" s="38" t="s">
        <v>19841</v>
      </c>
      <c r="C679" s="35" t="s">
        <v>14</v>
      </c>
      <c r="D679" s="35" t="s">
        <v>19434</v>
      </c>
      <c r="E679" s="35" t="s">
        <v>19276</v>
      </c>
      <c r="F679" s="35"/>
      <c r="G679" s="36"/>
      <c r="H679" s="36"/>
    </row>
    <row r="680" spans="1:8" x14ac:dyDescent="0.25">
      <c r="A680" s="29">
        <v>38060</v>
      </c>
      <c r="B680" s="38" t="s">
        <v>19842</v>
      </c>
      <c r="C680" s="35" t="s">
        <v>19327</v>
      </c>
      <c r="D680" s="35" t="s">
        <v>19297</v>
      </c>
      <c r="E680" s="35" t="s">
        <v>19255</v>
      </c>
      <c r="F680" s="35"/>
      <c r="G680" s="36"/>
      <c r="H680" s="36"/>
    </row>
    <row r="681" spans="1:8" x14ac:dyDescent="0.25">
      <c r="A681" s="29">
        <v>47055</v>
      </c>
      <c r="B681" s="38" t="s">
        <v>19843</v>
      </c>
      <c r="C681" s="35" t="s">
        <v>19221</v>
      </c>
      <c r="D681" s="35" t="s">
        <v>19449</v>
      </c>
      <c r="E681" s="35" t="s">
        <v>19217</v>
      </c>
      <c r="F681" s="35"/>
      <c r="G681" s="36"/>
      <c r="H681" s="36"/>
    </row>
    <row r="682" spans="1:8" x14ac:dyDescent="0.25">
      <c r="A682" s="29">
        <v>30050</v>
      </c>
      <c r="B682" s="38" t="s">
        <v>19844</v>
      </c>
      <c r="C682" s="35" t="s">
        <v>19221</v>
      </c>
      <c r="D682" s="35" t="s">
        <v>19257</v>
      </c>
      <c r="E682" s="35" t="s">
        <v>19252</v>
      </c>
      <c r="F682" s="35"/>
      <c r="G682" s="36"/>
      <c r="H682" s="36"/>
    </row>
    <row r="683" spans="1:8" x14ac:dyDescent="0.25">
      <c r="A683" s="29">
        <v>48020</v>
      </c>
      <c r="B683" s="38" t="s">
        <v>19845</v>
      </c>
      <c r="C683" s="35" t="s">
        <v>19327</v>
      </c>
      <c r="D683" s="35" t="s">
        <v>19219</v>
      </c>
      <c r="E683" s="35" t="s">
        <v>19217</v>
      </c>
      <c r="F683" s="35"/>
      <c r="G683" s="36"/>
      <c r="H683" s="36"/>
    </row>
    <row r="684" spans="1:8" x14ac:dyDescent="0.25">
      <c r="A684" s="29">
        <v>34105</v>
      </c>
      <c r="B684" s="38" t="s">
        <v>19846</v>
      </c>
      <c r="C684" s="35" t="s">
        <v>19221</v>
      </c>
      <c r="D684" s="35" t="s">
        <v>19347</v>
      </c>
      <c r="E684" s="35" t="s">
        <v>19276</v>
      </c>
      <c r="F684" s="35"/>
      <c r="G684" s="36"/>
      <c r="H684" s="36"/>
    </row>
    <row r="685" spans="1:8" x14ac:dyDescent="0.25">
      <c r="A685" s="29">
        <v>19055</v>
      </c>
      <c r="B685" s="38" t="s">
        <v>19847</v>
      </c>
      <c r="C685" s="35" t="s">
        <v>19221</v>
      </c>
      <c r="D685" s="35" t="s">
        <v>19248</v>
      </c>
      <c r="E685" s="35" t="s">
        <v>19223</v>
      </c>
      <c r="F685" s="35"/>
      <c r="G685" s="36"/>
      <c r="H685" s="36"/>
    </row>
    <row r="686" spans="1:8" x14ac:dyDescent="0.25">
      <c r="A686" s="29">
        <v>68020</v>
      </c>
      <c r="B686" s="38" t="s">
        <v>19848</v>
      </c>
      <c r="C686" s="35" t="s">
        <v>19221</v>
      </c>
      <c r="D686" s="35" t="s">
        <v>19472</v>
      </c>
      <c r="E686" s="35" t="s">
        <v>19217</v>
      </c>
      <c r="F686" s="35"/>
      <c r="G686" s="36"/>
      <c r="H686" s="36"/>
    </row>
    <row r="687" spans="1:8" x14ac:dyDescent="0.25">
      <c r="A687" s="29">
        <v>31060</v>
      </c>
      <c r="B687" s="38" t="s">
        <v>19849</v>
      </c>
      <c r="C687" s="35" t="s">
        <v>19221</v>
      </c>
      <c r="D687" s="35" t="s">
        <v>19222</v>
      </c>
      <c r="E687" s="35" t="s">
        <v>19223</v>
      </c>
      <c r="F687" s="35"/>
      <c r="G687" s="36"/>
      <c r="H687" s="36"/>
    </row>
    <row r="688" spans="1:8" x14ac:dyDescent="0.25">
      <c r="A688" s="29">
        <v>39117</v>
      </c>
      <c r="B688" s="38" t="s">
        <v>19850</v>
      </c>
      <c r="C688" s="35" t="s">
        <v>19221</v>
      </c>
      <c r="D688" s="35" t="s">
        <v>19370</v>
      </c>
      <c r="E688" s="35" t="s">
        <v>19255</v>
      </c>
      <c r="F688" s="35"/>
      <c r="G688" s="36"/>
      <c r="H688" s="36"/>
    </row>
    <row r="689" spans="1:8" x14ac:dyDescent="0.25">
      <c r="A689" s="29">
        <v>33102</v>
      </c>
      <c r="B689" s="38" t="s">
        <v>19851</v>
      </c>
      <c r="C689" s="35" t="s">
        <v>19221</v>
      </c>
      <c r="D689" s="35" t="s">
        <v>19404</v>
      </c>
      <c r="E689" s="35" t="s">
        <v>19223</v>
      </c>
      <c r="F689" s="35"/>
      <c r="G689" s="36"/>
      <c r="H689" s="36"/>
    </row>
    <row r="690" spans="1:8" x14ac:dyDescent="0.25">
      <c r="A690" s="29">
        <v>49100</v>
      </c>
      <c r="B690" s="38" t="s">
        <v>19852</v>
      </c>
      <c r="C690" s="35" t="s">
        <v>19327</v>
      </c>
      <c r="D690" s="35" t="s">
        <v>19405</v>
      </c>
      <c r="E690" s="35" t="s">
        <v>19255</v>
      </c>
      <c r="F690" s="35"/>
      <c r="G690" s="36"/>
      <c r="H690" s="36"/>
    </row>
    <row r="691" spans="1:8" x14ac:dyDescent="0.25">
      <c r="A691" s="29">
        <v>92050</v>
      </c>
      <c r="B691" s="38" t="s">
        <v>19853</v>
      </c>
      <c r="C691" s="35" t="s">
        <v>19221</v>
      </c>
      <c r="D691" s="35" t="s">
        <v>19228</v>
      </c>
      <c r="E691" s="35" t="s">
        <v>19229</v>
      </c>
      <c r="F691" s="35"/>
      <c r="G691" s="36"/>
      <c r="H691" s="36"/>
    </row>
    <row r="692" spans="1:8" x14ac:dyDescent="0.25">
      <c r="A692" s="29">
        <v>68045</v>
      </c>
      <c r="B692" s="38" t="s">
        <v>19854</v>
      </c>
      <c r="C692" s="35" t="s">
        <v>19221</v>
      </c>
      <c r="D692" s="35" t="s">
        <v>19472</v>
      </c>
      <c r="E692" s="35" t="s">
        <v>19217</v>
      </c>
      <c r="F692" s="35"/>
      <c r="G692" s="36"/>
      <c r="H692" s="36"/>
    </row>
    <row r="693" spans="1:8" x14ac:dyDescent="0.25">
      <c r="A693" s="29">
        <v>85015</v>
      </c>
      <c r="B693" s="38" t="s">
        <v>19855</v>
      </c>
      <c r="C693" s="35" t="s">
        <v>19327</v>
      </c>
      <c r="D693" s="35" t="s">
        <v>19289</v>
      </c>
      <c r="E693" s="35" t="s">
        <v>19243</v>
      </c>
      <c r="F693" s="35"/>
      <c r="G693" s="36"/>
      <c r="H693" s="36"/>
    </row>
    <row r="694" spans="1:8" x14ac:dyDescent="0.25">
      <c r="A694" s="29">
        <v>33080</v>
      </c>
      <c r="B694" s="38" t="s">
        <v>19856</v>
      </c>
      <c r="C694" s="35" t="s">
        <v>19327</v>
      </c>
      <c r="D694" s="35" t="s">
        <v>19404</v>
      </c>
      <c r="E694" s="35" t="s">
        <v>19223</v>
      </c>
      <c r="F694" s="35"/>
      <c r="G694" s="36"/>
      <c r="H694" s="36"/>
    </row>
    <row r="695" spans="1:8" x14ac:dyDescent="0.25">
      <c r="A695" s="29">
        <v>51050</v>
      </c>
      <c r="B695" s="38" t="s">
        <v>19857</v>
      </c>
      <c r="C695" s="35" t="s">
        <v>19221</v>
      </c>
      <c r="D695" s="35" t="s">
        <v>19362</v>
      </c>
      <c r="E695" s="35" t="s">
        <v>19286</v>
      </c>
      <c r="F695" s="35"/>
      <c r="G695" s="36"/>
      <c r="H695" s="36"/>
    </row>
    <row r="696" spans="1:8" x14ac:dyDescent="0.25">
      <c r="A696" s="29">
        <v>44055</v>
      </c>
      <c r="B696" s="38" t="s">
        <v>19858</v>
      </c>
      <c r="C696" s="35" t="s">
        <v>19238</v>
      </c>
      <c r="D696" s="35" t="s">
        <v>19282</v>
      </c>
      <c r="E696" s="35" t="s">
        <v>19252</v>
      </c>
      <c r="F696" s="35"/>
      <c r="G696" s="36"/>
      <c r="H696" s="36"/>
    </row>
    <row r="697" spans="1:8" x14ac:dyDescent="0.25">
      <c r="A697" s="29">
        <v>52030</v>
      </c>
      <c r="B697" s="38" t="s">
        <v>19859</v>
      </c>
      <c r="C697" s="35" t="s">
        <v>19221</v>
      </c>
      <c r="D697" s="35" t="s">
        <v>19309</v>
      </c>
      <c r="E697" s="35" t="s">
        <v>19310</v>
      </c>
      <c r="F697" s="35"/>
      <c r="G697" s="36"/>
      <c r="H697" s="36"/>
    </row>
    <row r="698" spans="1:8" x14ac:dyDescent="0.25">
      <c r="A698" s="29">
        <v>39090</v>
      </c>
      <c r="B698" s="38" t="s">
        <v>19860</v>
      </c>
      <c r="C698" s="35" t="s">
        <v>19221</v>
      </c>
      <c r="D698" s="35" t="s">
        <v>19370</v>
      </c>
      <c r="E698" s="35" t="s">
        <v>19255</v>
      </c>
      <c r="F698" s="35"/>
      <c r="G698" s="36"/>
      <c r="H698" s="36"/>
    </row>
    <row r="699" spans="1:8" x14ac:dyDescent="0.25">
      <c r="A699" s="29">
        <v>62070</v>
      </c>
      <c r="B699" s="38" t="s">
        <v>19861</v>
      </c>
      <c r="C699" s="35" t="s">
        <v>19221</v>
      </c>
      <c r="D699" s="35" t="s">
        <v>19368</v>
      </c>
      <c r="E699" s="35" t="s">
        <v>19310</v>
      </c>
      <c r="F699" s="35"/>
      <c r="G699" s="36"/>
      <c r="H699" s="36"/>
    </row>
    <row r="700" spans="1:8" x14ac:dyDescent="0.25">
      <c r="A700" s="29">
        <v>50005</v>
      </c>
      <c r="B700" s="38" t="s">
        <v>19862</v>
      </c>
      <c r="C700" s="35" t="s">
        <v>19221</v>
      </c>
      <c r="D700" s="35" t="s">
        <v>19254</v>
      </c>
      <c r="E700" s="35" t="s">
        <v>19255</v>
      </c>
      <c r="F700" s="35"/>
      <c r="G700" s="36"/>
      <c r="H700" s="36"/>
    </row>
    <row r="701" spans="1:8" x14ac:dyDescent="0.25">
      <c r="A701" s="29">
        <v>18035</v>
      </c>
      <c r="B701" s="38" t="s">
        <v>19863</v>
      </c>
      <c r="C701" s="35" t="s">
        <v>19221</v>
      </c>
      <c r="D701" s="35" t="s">
        <v>14579</v>
      </c>
      <c r="E701" s="35" t="s">
        <v>19223</v>
      </c>
      <c r="F701" s="35"/>
      <c r="G701" s="36"/>
      <c r="H701" s="36"/>
    </row>
    <row r="702" spans="1:8" x14ac:dyDescent="0.25">
      <c r="A702" s="29">
        <v>20010</v>
      </c>
      <c r="B702" s="38" t="s">
        <v>19864</v>
      </c>
      <c r="C702" s="35" t="s">
        <v>19221</v>
      </c>
      <c r="D702" s="35" t="s">
        <v>19865</v>
      </c>
      <c r="E702" s="35" t="s">
        <v>19276</v>
      </c>
      <c r="F702" s="35"/>
      <c r="G702" s="36"/>
      <c r="H702" s="36"/>
    </row>
    <row r="703" spans="1:8" x14ac:dyDescent="0.25">
      <c r="A703" s="29">
        <v>17025</v>
      </c>
      <c r="B703" s="38" t="s">
        <v>19866</v>
      </c>
      <c r="C703" s="35" t="s">
        <v>19221</v>
      </c>
      <c r="D703" s="35" t="s">
        <v>19575</v>
      </c>
      <c r="E703" s="35" t="s">
        <v>19223</v>
      </c>
      <c r="F703" s="35"/>
      <c r="G703" s="36"/>
      <c r="H703" s="36"/>
    </row>
    <row r="704" spans="1:8" x14ac:dyDescent="0.25">
      <c r="A704" s="29">
        <v>8023</v>
      </c>
      <c r="B704" s="38" t="s">
        <v>19866</v>
      </c>
      <c r="C704" s="35" t="s">
        <v>19221</v>
      </c>
      <c r="D704" s="35" t="s">
        <v>19269</v>
      </c>
      <c r="E704" s="35" t="s">
        <v>19232</v>
      </c>
      <c r="F704" s="35"/>
      <c r="G704" s="36"/>
      <c r="H704" s="36"/>
    </row>
    <row r="705" spans="1:8" x14ac:dyDescent="0.25">
      <c r="A705" s="29">
        <v>9085</v>
      </c>
      <c r="B705" s="38" t="s">
        <v>19867</v>
      </c>
      <c r="C705" s="35" t="s">
        <v>19327</v>
      </c>
      <c r="D705" s="35" t="s">
        <v>19455</v>
      </c>
      <c r="E705" s="35" t="s">
        <v>19232</v>
      </c>
      <c r="F705" s="35"/>
      <c r="G705" s="36"/>
      <c r="H705" s="36"/>
    </row>
    <row r="706" spans="1:8" x14ac:dyDescent="0.25">
      <c r="A706" s="29">
        <v>7010</v>
      </c>
      <c r="B706" s="38" t="s">
        <v>19868</v>
      </c>
      <c r="C706" s="35" t="s">
        <v>19221</v>
      </c>
      <c r="D706" s="35" t="s">
        <v>19231</v>
      </c>
      <c r="E706" s="35" t="s">
        <v>19232</v>
      </c>
      <c r="F706" s="35"/>
      <c r="G706" s="36"/>
      <c r="H706" s="36"/>
    </row>
    <row r="707" spans="1:8" x14ac:dyDescent="0.25">
      <c r="A707" s="29">
        <v>11030</v>
      </c>
      <c r="B707" s="38" t="s">
        <v>19869</v>
      </c>
      <c r="C707" s="35" t="s">
        <v>19327</v>
      </c>
      <c r="D707" s="35" t="s">
        <v>19651</v>
      </c>
      <c r="E707" s="35" t="s">
        <v>19232</v>
      </c>
      <c r="F707" s="35"/>
      <c r="G707" s="36"/>
      <c r="H707" s="36"/>
    </row>
    <row r="708" spans="1:8" x14ac:dyDescent="0.25">
      <c r="A708" s="29">
        <v>38035</v>
      </c>
      <c r="B708" s="38" t="s">
        <v>19869</v>
      </c>
      <c r="C708" s="35" t="s">
        <v>19221</v>
      </c>
      <c r="D708" s="35" t="s">
        <v>19297</v>
      </c>
      <c r="E708" s="35" t="s">
        <v>19255</v>
      </c>
      <c r="F708" s="35"/>
      <c r="G708" s="36"/>
      <c r="H708" s="36"/>
    </row>
    <row r="709" spans="1:8" x14ac:dyDescent="0.25">
      <c r="A709" s="29">
        <v>37215</v>
      </c>
      <c r="B709" s="38" t="s">
        <v>19870</v>
      </c>
      <c r="C709" s="35" t="s">
        <v>19327</v>
      </c>
      <c r="D709" s="35" t="s">
        <v>19285</v>
      </c>
      <c r="E709" s="35" t="s">
        <v>19286</v>
      </c>
      <c r="F709" s="35"/>
      <c r="G709" s="36"/>
      <c r="H709" s="36"/>
    </row>
    <row r="710" spans="1:8" x14ac:dyDescent="0.25">
      <c r="A710" s="29">
        <v>52040</v>
      </c>
      <c r="B710" s="38" t="s">
        <v>19871</v>
      </c>
      <c r="C710" s="35" t="s">
        <v>19221</v>
      </c>
      <c r="D710" s="35" t="s">
        <v>19309</v>
      </c>
      <c r="E710" s="35" t="s">
        <v>19310</v>
      </c>
      <c r="F710" s="35"/>
      <c r="G710" s="36"/>
      <c r="H710" s="36"/>
    </row>
    <row r="711" spans="1:8" x14ac:dyDescent="0.25">
      <c r="A711" s="29">
        <v>87030</v>
      </c>
      <c r="B711" s="38" t="s">
        <v>19872</v>
      </c>
      <c r="C711" s="35" t="s">
        <v>19221</v>
      </c>
      <c r="D711" s="35" t="s">
        <v>19263</v>
      </c>
      <c r="E711" s="35" t="s">
        <v>19243</v>
      </c>
      <c r="F711" s="35"/>
      <c r="G711" s="36"/>
      <c r="H711" s="36"/>
    </row>
    <row r="712" spans="1:8" x14ac:dyDescent="0.25">
      <c r="A712" s="29">
        <v>88085</v>
      </c>
      <c r="B712" s="38" t="s">
        <v>19873</v>
      </c>
      <c r="C712" s="35" t="s">
        <v>19221</v>
      </c>
      <c r="D712" s="35" t="s">
        <v>19242</v>
      </c>
      <c r="E712" s="35" t="s">
        <v>19243</v>
      </c>
      <c r="F712" s="35"/>
      <c r="G712" s="36"/>
      <c r="H712" s="36"/>
    </row>
    <row r="713" spans="1:8" x14ac:dyDescent="0.25">
      <c r="A713" s="29">
        <v>91030</v>
      </c>
      <c r="B713" s="38" t="s">
        <v>19874</v>
      </c>
      <c r="C713" s="35" t="s">
        <v>19221</v>
      </c>
      <c r="D713" s="35" t="s">
        <v>19354</v>
      </c>
      <c r="E713" s="35" t="s">
        <v>19229</v>
      </c>
      <c r="F713" s="35"/>
      <c r="G713" s="36"/>
      <c r="H713" s="36"/>
    </row>
    <row r="714" spans="1:8" x14ac:dyDescent="0.25">
      <c r="A714" s="29">
        <v>54095</v>
      </c>
      <c r="B714" s="38" t="s">
        <v>19875</v>
      </c>
      <c r="C714" s="35" t="s">
        <v>19221</v>
      </c>
      <c r="D714" s="35" t="s">
        <v>19509</v>
      </c>
      <c r="E714" s="35" t="s">
        <v>19217</v>
      </c>
      <c r="F714" s="35"/>
      <c r="G714" s="36"/>
      <c r="H714" s="36"/>
    </row>
    <row r="715" spans="1:8" x14ac:dyDescent="0.25">
      <c r="A715" s="29">
        <v>39035</v>
      </c>
      <c r="B715" s="38" t="s">
        <v>19876</v>
      </c>
      <c r="C715" s="35" t="s">
        <v>19221</v>
      </c>
      <c r="D715" s="35" t="s">
        <v>19370</v>
      </c>
      <c r="E715" s="35" t="s">
        <v>19255</v>
      </c>
      <c r="F715" s="35"/>
      <c r="G715" s="36"/>
      <c r="H715" s="36"/>
    </row>
    <row r="716" spans="1:8" x14ac:dyDescent="0.25">
      <c r="A716" s="29">
        <v>14025</v>
      </c>
      <c r="B716" s="38" t="s">
        <v>19877</v>
      </c>
      <c r="C716" s="35" t="s">
        <v>19221</v>
      </c>
      <c r="D716" s="35" t="s">
        <v>19487</v>
      </c>
      <c r="E716" s="35" t="s">
        <v>19232</v>
      </c>
      <c r="F716" s="35"/>
      <c r="G716" s="36"/>
      <c r="H716" s="36"/>
    </row>
    <row r="717" spans="1:8" x14ac:dyDescent="0.25">
      <c r="A717" s="29">
        <v>87070</v>
      </c>
      <c r="B717" s="38" t="s">
        <v>19878</v>
      </c>
      <c r="C717" s="35" t="s">
        <v>19327</v>
      </c>
      <c r="D717" s="35" t="s">
        <v>19263</v>
      </c>
      <c r="E717" s="35" t="s">
        <v>19243</v>
      </c>
      <c r="F717" s="35"/>
      <c r="G717" s="36"/>
      <c r="H717" s="36"/>
    </row>
    <row r="718" spans="1:8" x14ac:dyDescent="0.25">
      <c r="A718" s="29">
        <v>26040</v>
      </c>
      <c r="B718" s="38" t="s">
        <v>19879</v>
      </c>
      <c r="C718" s="35" t="s">
        <v>19327</v>
      </c>
      <c r="D718" s="35" t="s">
        <v>19436</v>
      </c>
      <c r="E718" s="35" t="s">
        <v>19223</v>
      </c>
      <c r="F718" s="35"/>
      <c r="G718" s="36"/>
      <c r="H718" s="36"/>
    </row>
    <row r="719" spans="1:8" x14ac:dyDescent="0.25">
      <c r="A719" s="29">
        <v>7040</v>
      </c>
      <c r="B719" s="38" t="s">
        <v>19880</v>
      </c>
      <c r="C719" s="35" t="s">
        <v>19327</v>
      </c>
      <c r="D719" s="35" t="s">
        <v>19231</v>
      </c>
      <c r="E719" s="35" t="s">
        <v>19232</v>
      </c>
      <c r="F719" s="35"/>
      <c r="G719" s="36"/>
      <c r="H719" s="36"/>
    </row>
    <row r="720" spans="1:8" x14ac:dyDescent="0.25">
      <c r="A720" s="29">
        <v>92015</v>
      </c>
      <c r="B720" s="38" t="s">
        <v>19881</v>
      </c>
      <c r="C720" s="35" t="s">
        <v>19215</v>
      </c>
      <c r="D720" s="35" t="s">
        <v>19228</v>
      </c>
      <c r="E720" s="35" t="s">
        <v>19229</v>
      </c>
      <c r="F720" s="35"/>
      <c r="G720" s="36"/>
      <c r="H720" s="36"/>
    </row>
    <row r="721" spans="1:8" x14ac:dyDescent="0.25">
      <c r="A721" s="29">
        <v>9020</v>
      </c>
      <c r="B721" s="38" t="s">
        <v>19881</v>
      </c>
      <c r="C721" s="35" t="s">
        <v>19327</v>
      </c>
      <c r="D721" s="35" t="s">
        <v>19455</v>
      </c>
      <c r="E721" s="35" t="s">
        <v>19232</v>
      </c>
      <c r="F721" s="35"/>
      <c r="G721" s="36"/>
      <c r="H721" s="36"/>
    </row>
    <row r="722" spans="1:8" x14ac:dyDescent="0.25">
      <c r="A722" s="29">
        <v>59010</v>
      </c>
      <c r="B722" s="38" t="s">
        <v>19882</v>
      </c>
      <c r="C722" s="35" t="s">
        <v>14</v>
      </c>
      <c r="D722" s="35" t="s">
        <v>19338</v>
      </c>
      <c r="E722" s="35" t="s">
        <v>19217</v>
      </c>
      <c r="F722" s="35"/>
      <c r="G722" s="36"/>
      <c r="H722" s="36"/>
    </row>
    <row r="723" spans="1:8" x14ac:dyDescent="0.25">
      <c r="A723" s="29">
        <v>63060</v>
      </c>
      <c r="B723" s="38" t="s">
        <v>10494</v>
      </c>
      <c r="C723" s="35" t="s">
        <v>19221</v>
      </c>
      <c r="D723" s="35" t="s">
        <v>14658</v>
      </c>
      <c r="E723" s="35" t="s">
        <v>19310</v>
      </c>
      <c r="F723" s="35"/>
      <c r="G723" s="36"/>
      <c r="H723" s="36"/>
    </row>
    <row r="724" spans="1:8" x14ac:dyDescent="0.25">
      <c r="A724" s="29">
        <v>28045</v>
      </c>
      <c r="B724" s="38" t="s">
        <v>19883</v>
      </c>
      <c r="C724" s="35" t="s">
        <v>19221</v>
      </c>
      <c r="D724" s="35" t="s">
        <v>19527</v>
      </c>
      <c r="E724" s="35" t="s">
        <v>19223</v>
      </c>
      <c r="F724" s="35"/>
      <c r="G724" s="36"/>
      <c r="H724" s="36"/>
    </row>
    <row r="725" spans="1:8" x14ac:dyDescent="0.25">
      <c r="A725" s="29">
        <v>71115</v>
      </c>
      <c r="B725" s="38" t="s">
        <v>19884</v>
      </c>
      <c r="C725" s="35" t="s">
        <v>19221</v>
      </c>
      <c r="D725" s="35" t="s">
        <v>19385</v>
      </c>
      <c r="E725" s="35" t="s">
        <v>19217</v>
      </c>
      <c r="F725" s="35"/>
      <c r="G725" s="36"/>
      <c r="H725" s="36"/>
    </row>
    <row r="726" spans="1:8" x14ac:dyDescent="0.25">
      <c r="A726" s="29">
        <v>51075</v>
      </c>
      <c r="B726" s="38" t="s">
        <v>19885</v>
      </c>
      <c r="C726" s="35" t="s">
        <v>19221</v>
      </c>
      <c r="D726" s="35" t="s">
        <v>19362</v>
      </c>
      <c r="E726" s="35" t="s">
        <v>19286</v>
      </c>
      <c r="F726" s="35"/>
      <c r="G726" s="36"/>
      <c r="H726" s="36"/>
    </row>
    <row r="727" spans="1:8" x14ac:dyDescent="0.25">
      <c r="A727" s="29">
        <v>11035</v>
      </c>
      <c r="B727" s="38" t="s">
        <v>19886</v>
      </c>
      <c r="C727" s="35" t="s">
        <v>19327</v>
      </c>
      <c r="D727" s="35" t="s">
        <v>19651</v>
      </c>
      <c r="E727" s="35" t="s">
        <v>19232</v>
      </c>
      <c r="F727" s="35"/>
      <c r="G727" s="36"/>
      <c r="H727" s="36"/>
    </row>
    <row r="728" spans="1:8" x14ac:dyDescent="0.25">
      <c r="A728" s="29">
        <v>17060</v>
      </c>
      <c r="B728" s="38" t="s">
        <v>19887</v>
      </c>
      <c r="C728" s="35" t="s">
        <v>19327</v>
      </c>
      <c r="D728" s="35" t="s">
        <v>19575</v>
      </c>
      <c r="E728" s="35" t="s">
        <v>19223</v>
      </c>
      <c r="F728" s="35"/>
      <c r="G728" s="36"/>
      <c r="H728" s="36"/>
    </row>
    <row r="729" spans="1:8" x14ac:dyDescent="0.25">
      <c r="A729" s="29">
        <v>50095</v>
      </c>
      <c r="B729" s="38" t="s">
        <v>19888</v>
      </c>
      <c r="C729" s="35" t="s">
        <v>19327</v>
      </c>
      <c r="D729" s="35" t="s">
        <v>19254</v>
      </c>
      <c r="E729" s="35" t="s">
        <v>19255</v>
      </c>
      <c r="F729" s="35"/>
      <c r="G729" s="36"/>
      <c r="H729" s="36"/>
    </row>
    <row r="730" spans="1:8" x14ac:dyDescent="0.25">
      <c r="A730" s="29">
        <v>9092</v>
      </c>
      <c r="B730" s="38" t="s">
        <v>19889</v>
      </c>
      <c r="C730" s="35" t="s">
        <v>19221</v>
      </c>
      <c r="D730" s="35" t="s">
        <v>19455</v>
      </c>
      <c r="E730" s="35" t="s">
        <v>19232</v>
      </c>
      <c r="F730" s="35"/>
      <c r="G730" s="36"/>
      <c r="H730" s="36"/>
    </row>
    <row r="731" spans="1:8" x14ac:dyDescent="0.25">
      <c r="A731" s="29">
        <v>18020</v>
      </c>
      <c r="B731" s="38" t="s">
        <v>19890</v>
      </c>
      <c r="C731" s="35" t="s">
        <v>19221</v>
      </c>
      <c r="D731" s="35" t="s">
        <v>14579</v>
      </c>
      <c r="E731" s="35" t="s">
        <v>19223</v>
      </c>
      <c r="F731" s="35"/>
      <c r="G731" s="36"/>
      <c r="H731" s="36"/>
    </row>
    <row r="732" spans="1:8" x14ac:dyDescent="0.25">
      <c r="A732" s="29">
        <v>78020</v>
      </c>
      <c r="B732" s="38" t="s">
        <v>10474</v>
      </c>
      <c r="C732" s="35" t="s">
        <v>19221</v>
      </c>
      <c r="D732" s="35" t="s">
        <v>19239</v>
      </c>
      <c r="E732" s="35" t="s">
        <v>19240</v>
      </c>
      <c r="F732" s="35"/>
      <c r="G732" s="36"/>
      <c r="H732" s="36"/>
    </row>
    <row r="733" spans="1:8" x14ac:dyDescent="0.25">
      <c r="A733" s="29">
        <v>26022</v>
      </c>
      <c r="B733" s="38" t="s">
        <v>19891</v>
      </c>
      <c r="C733" s="35" t="s">
        <v>19221</v>
      </c>
      <c r="D733" s="35" t="s">
        <v>19436</v>
      </c>
      <c r="E733" s="35" t="s">
        <v>19223</v>
      </c>
      <c r="F733" s="35"/>
      <c r="G733" s="36"/>
      <c r="H733" s="36"/>
    </row>
    <row r="734" spans="1:8" x14ac:dyDescent="0.25">
      <c r="A734" s="29">
        <v>5050</v>
      </c>
      <c r="B734" s="38" t="s">
        <v>19891</v>
      </c>
      <c r="C734" s="35" t="s">
        <v>19221</v>
      </c>
      <c r="D734" s="35" t="s">
        <v>19320</v>
      </c>
      <c r="E734" s="35" t="s">
        <v>19321</v>
      </c>
      <c r="F734" s="35"/>
      <c r="G734" s="36"/>
      <c r="H734" s="36"/>
    </row>
    <row r="735" spans="1:8" x14ac:dyDescent="0.25">
      <c r="A735" s="29">
        <v>13085</v>
      </c>
      <c r="B735" s="38" t="s">
        <v>19892</v>
      </c>
      <c r="C735" s="35" t="s">
        <v>19221</v>
      </c>
      <c r="D735" s="35" t="s">
        <v>19256</v>
      </c>
      <c r="E735" s="35" t="s">
        <v>19232</v>
      </c>
      <c r="F735" s="35"/>
      <c r="G735" s="36"/>
      <c r="H735" s="36"/>
    </row>
    <row r="736" spans="1:8" x14ac:dyDescent="0.25">
      <c r="A736" s="29">
        <v>54025</v>
      </c>
      <c r="B736" s="38" t="s">
        <v>19893</v>
      </c>
      <c r="C736" s="35" t="s">
        <v>19215</v>
      </c>
      <c r="D736" s="35" t="s">
        <v>19509</v>
      </c>
      <c r="E736" s="35" t="s">
        <v>19217</v>
      </c>
      <c r="F736" s="35"/>
      <c r="G736" s="36"/>
      <c r="H736" s="36"/>
    </row>
    <row r="737" spans="1:8" x14ac:dyDescent="0.25">
      <c r="A737" s="29">
        <v>4005</v>
      </c>
      <c r="B737" s="38" t="s">
        <v>19894</v>
      </c>
      <c r="C737" s="35" t="s">
        <v>19221</v>
      </c>
      <c r="D737" s="35" t="s">
        <v>19343</v>
      </c>
      <c r="E737" s="35" t="s">
        <v>19321</v>
      </c>
      <c r="F737" s="35"/>
      <c r="G737" s="36"/>
      <c r="H737" s="36"/>
    </row>
    <row r="738" spans="1:8" x14ac:dyDescent="0.25">
      <c r="A738" s="29">
        <v>62030</v>
      </c>
      <c r="B738" s="38" t="s">
        <v>19895</v>
      </c>
      <c r="C738" s="35" t="s">
        <v>19221</v>
      </c>
      <c r="D738" s="35" t="s">
        <v>19368</v>
      </c>
      <c r="E738" s="35" t="s">
        <v>19310</v>
      </c>
      <c r="F738" s="35"/>
      <c r="G738" s="36"/>
      <c r="H738" s="36"/>
    </row>
    <row r="739" spans="1:8" x14ac:dyDescent="0.25">
      <c r="A739" s="29">
        <v>26035</v>
      </c>
      <c r="B739" s="38" t="s">
        <v>19896</v>
      </c>
      <c r="C739" s="35" t="s">
        <v>19327</v>
      </c>
      <c r="D739" s="35" t="s">
        <v>19436</v>
      </c>
      <c r="E739" s="35" t="s">
        <v>19223</v>
      </c>
      <c r="F739" s="35"/>
      <c r="G739" s="36"/>
      <c r="H739" s="36"/>
    </row>
    <row r="740" spans="1:8" x14ac:dyDescent="0.25">
      <c r="A740" s="29">
        <v>77012</v>
      </c>
      <c r="B740" s="38" t="s">
        <v>10446</v>
      </c>
      <c r="C740" s="35" t="s">
        <v>14</v>
      </c>
      <c r="D740" s="35" t="s">
        <v>19425</v>
      </c>
      <c r="E740" s="35" t="s">
        <v>19240</v>
      </c>
      <c r="F740" s="35"/>
      <c r="G740" s="36"/>
      <c r="H740" s="36"/>
    </row>
    <row r="741" spans="1:8" x14ac:dyDescent="0.25">
      <c r="A741" s="29">
        <v>7005</v>
      </c>
      <c r="B741" s="38" t="s">
        <v>19897</v>
      </c>
      <c r="C741" s="35" t="s">
        <v>19221</v>
      </c>
      <c r="D741" s="35" t="s">
        <v>19231</v>
      </c>
      <c r="E741" s="35" t="s">
        <v>19232</v>
      </c>
      <c r="F741" s="35"/>
      <c r="G741" s="36"/>
      <c r="H741" s="36"/>
    </row>
    <row r="742" spans="1:8" x14ac:dyDescent="0.25">
      <c r="A742" s="29">
        <v>26030</v>
      </c>
      <c r="B742" s="38" t="s">
        <v>19898</v>
      </c>
      <c r="C742" s="35" t="s">
        <v>14</v>
      </c>
      <c r="D742" s="35" t="s">
        <v>19436</v>
      </c>
      <c r="E742" s="35" t="s">
        <v>19223</v>
      </c>
      <c r="F742" s="35"/>
      <c r="G742" s="36"/>
      <c r="H742" s="36"/>
    </row>
    <row r="743" spans="1:8" x14ac:dyDescent="0.25">
      <c r="A743" s="29">
        <v>38015</v>
      </c>
      <c r="B743" s="38" t="s">
        <v>19899</v>
      </c>
      <c r="C743" s="35" t="s">
        <v>19221</v>
      </c>
      <c r="D743" s="35" t="s">
        <v>19297</v>
      </c>
      <c r="E743" s="35" t="s">
        <v>19255</v>
      </c>
      <c r="F743" s="35"/>
      <c r="G743" s="36"/>
      <c r="H743" s="36"/>
    </row>
    <row r="744" spans="1:8" x14ac:dyDescent="0.25">
      <c r="A744" s="29">
        <v>54030</v>
      </c>
      <c r="B744" s="38" t="s">
        <v>19900</v>
      </c>
      <c r="C744" s="35" t="s">
        <v>19327</v>
      </c>
      <c r="D744" s="35" t="s">
        <v>19509</v>
      </c>
      <c r="E744" s="35" t="s">
        <v>19217</v>
      </c>
      <c r="F744" s="35"/>
      <c r="G744" s="36"/>
      <c r="H744" s="36"/>
    </row>
    <row r="745" spans="1:8" x14ac:dyDescent="0.25">
      <c r="A745" s="29">
        <v>63005</v>
      </c>
      <c r="B745" s="38" t="s">
        <v>19901</v>
      </c>
      <c r="C745" s="35" t="s">
        <v>19221</v>
      </c>
      <c r="D745" s="35" t="s">
        <v>14658</v>
      </c>
      <c r="E745" s="35" t="s">
        <v>19310</v>
      </c>
      <c r="F745" s="35"/>
      <c r="G745" s="36"/>
      <c r="H745" s="36"/>
    </row>
    <row r="746" spans="1:8" x14ac:dyDescent="0.25">
      <c r="A746" s="29">
        <v>71110</v>
      </c>
      <c r="B746" s="38" t="s">
        <v>10440</v>
      </c>
      <c r="C746" s="35" t="s">
        <v>19221</v>
      </c>
      <c r="D746" s="35" t="s">
        <v>19385</v>
      </c>
      <c r="E746" s="35" t="s">
        <v>19217</v>
      </c>
      <c r="F746" s="35"/>
      <c r="G746" s="36"/>
      <c r="H746" s="36"/>
    </row>
    <row r="747" spans="1:8" x14ac:dyDescent="0.25">
      <c r="A747" s="29">
        <v>72015</v>
      </c>
      <c r="B747" s="38" t="s">
        <v>10268</v>
      </c>
      <c r="C747" s="35" t="s">
        <v>14</v>
      </c>
      <c r="D747" s="35" t="s">
        <v>19397</v>
      </c>
      <c r="E747" s="35" t="s">
        <v>19240</v>
      </c>
      <c r="F747" s="35"/>
      <c r="G747" s="36"/>
      <c r="H747" s="36"/>
    </row>
    <row r="748" spans="1:8" x14ac:dyDescent="0.25">
      <c r="A748" s="29">
        <v>70012</v>
      </c>
      <c r="B748" s="38" t="s">
        <v>19902</v>
      </c>
      <c r="C748" s="35" t="s">
        <v>19221</v>
      </c>
      <c r="D748" s="35" t="s">
        <v>19903</v>
      </c>
      <c r="E748" s="35" t="s">
        <v>19217</v>
      </c>
      <c r="F748" s="35"/>
      <c r="G748" s="36"/>
      <c r="H748" s="36"/>
    </row>
    <row r="749" spans="1:8" x14ac:dyDescent="0.25">
      <c r="A749" s="29">
        <v>61050</v>
      </c>
      <c r="B749" s="38" t="s">
        <v>10263</v>
      </c>
      <c r="C749" s="35" t="s">
        <v>19221</v>
      </c>
      <c r="D749" s="35" t="s">
        <v>17483</v>
      </c>
      <c r="E749" s="35" t="s">
        <v>19310</v>
      </c>
      <c r="F749" s="35"/>
      <c r="G749" s="36"/>
      <c r="H749" s="36"/>
    </row>
    <row r="750" spans="1:8" x14ac:dyDescent="0.25">
      <c r="A750" s="29">
        <v>80125</v>
      </c>
      <c r="B750" s="38" t="s">
        <v>19904</v>
      </c>
      <c r="C750" s="35" t="s">
        <v>19221</v>
      </c>
      <c r="D750" s="35" t="s">
        <v>8694</v>
      </c>
      <c r="E750" s="35" t="s">
        <v>19235</v>
      </c>
      <c r="F750" s="35"/>
      <c r="G750" s="36"/>
      <c r="H750" s="36"/>
    </row>
    <row r="751" spans="1:8" x14ac:dyDescent="0.25">
      <c r="A751" s="29">
        <v>93075</v>
      </c>
      <c r="B751" s="38" t="s">
        <v>19905</v>
      </c>
      <c r="C751" s="35" t="s">
        <v>19221</v>
      </c>
      <c r="D751" s="35" t="s">
        <v>19237</v>
      </c>
      <c r="E751" s="35" t="s">
        <v>19229</v>
      </c>
      <c r="F751" s="35"/>
      <c r="G751" s="36"/>
      <c r="H751" s="36"/>
    </row>
    <row r="752" spans="1:8" x14ac:dyDescent="0.25">
      <c r="A752" s="29">
        <v>50057</v>
      </c>
      <c r="B752" s="38" t="s">
        <v>19905</v>
      </c>
      <c r="C752" s="35" t="s">
        <v>19221</v>
      </c>
      <c r="D752" s="35" t="s">
        <v>19254</v>
      </c>
      <c r="E752" s="35" t="s">
        <v>19255</v>
      </c>
      <c r="F752" s="35"/>
      <c r="G752" s="36"/>
      <c r="H752" s="36"/>
    </row>
    <row r="753" spans="1:8" x14ac:dyDescent="0.25">
      <c r="A753" s="29">
        <v>8040</v>
      </c>
      <c r="B753" s="38" t="s">
        <v>19906</v>
      </c>
      <c r="C753" s="35" t="s">
        <v>19221</v>
      </c>
      <c r="D753" s="35" t="s">
        <v>19269</v>
      </c>
      <c r="E753" s="35" t="s">
        <v>19232</v>
      </c>
      <c r="F753" s="35"/>
      <c r="G753" s="36"/>
      <c r="H753" s="36"/>
    </row>
    <row r="754" spans="1:8" x14ac:dyDescent="0.25">
      <c r="A754" s="29">
        <v>50050</v>
      </c>
      <c r="B754" s="38" t="s">
        <v>19907</v>
      </c>
      <c r="C754" s="35" t="s">
        <v>19327</v>
      </c>
      <c r="D754" s="35" t="s">
        <v>19254</v>
      </c>
      <c r="E754" s="35" t="s">
        <v>19255</v>
      </c>
      <c r="F754" s="35"/>
      <c r="G754" s="36"/>
      <c r="H754" s="36"/>
    </row>
    <row r="755" spans="1:8" x14ac:dyDescent="0.25">
      <c r="A755" s="29">
        <v>17030</v>
      </c>
      <c r="B755" s="38" t="s">
        <v>19907</v>
      </c>
      <c r="C755" s="35" t="s">
        <v>19221</v>
      </c>
      <c r="D755" s="35" t="s">
        <v>19575</v>
      </c>
      <c r="E755" s="35" t="s">
        <v>19223</v>
      </c>
      <c r="F755" s="35"/>
      <c r="G755" s="36"/>
      <c r="H755" s="36"/>
    </row>
    <row r="756" spans="1:8" x14ac:dyDescent="0.25">
      <c r="A756" s="29">
        <v>20030</v>
      </c>
      <c r="B756" s="38" t="s">
        <v>19908</v>
      </c>
      <c r="C756" s="35" t="s">
        <v>19215</v>
      </c>
      <c r="D756" s="35" t="s">
        <v>19865</v>
      </c>
      <c r="E756" s="35" t="s">
        <v>19276</v>
      </c>
      <c r="F756" s="35"/>
      <c r="G756" s="36"/>
      <c r="H756" s="36"/>
    </row>
    <row r="757" spans="1:8" x14ac:dyDescent="0.25">
      <c r="A757" s="29">
        <v>29112</v>
      </c>
      <c r="B757" s="38" t="s">
        <v>19909</v>
      </c>
      <c r="C757" s="35" t="s">
        <v>19221</v>
      </c>
      <c r="D757" s="35" t="s">
        <v>19500</v>
      </c>
      <c r="E757" s="35" t="s">
        <v>19223</v>
      </c>
      <c r="F757" s="35"/>
      <c r="G757" s="36"/>
      <c r="H757" s="36"/>
    </row>
    <row r="758" spans="1:8" x14ac:dyDescent="0.25">
      <c r="A758" s="29">
        <v>12030</v>
      </c>
      <c r="B758" s="38" t="s">
        <v>19910</v>
      </c>
      <c r="C758" s="35" t="s">
        <v>19221</v>
      </c>
      <c r="D758" s="35" t="s">
        <v>19336</v>
      </c>
      <c r="E758" s="35" t="s">
        <v>19232</v>
      </c>
      <c r="F758" s="35"/>
      <c r="G758" s="36"/>
      <c r="H758" s="36"/>
    </row>
    <row r="759" spans="1:8" x14ac:dyDescent="0.25">
      <c r="A759" s="29">
        <v>31050</v>
      </c>
      <c r="B759" s="38" t="s">
        <v>19911</v>
      </c>
      <c r="C759" s="35" t="s">
        <v>19327</v>
      </c>
      <c r="D759" s="35" t="s">
        <v>19222</v>
      </c>
      <c r="E759" s="35" t="s">
        <v>19223</v>
      </c>
      <c r="F759" s="35"/>
      <c r="G759" s="36"/>
      <c r="H759" s="36"/>
    </row>
    <row r="760" spans="1:8" x14ac:dyDescent="0.25">
      <c r="A760" s="29">
        <v>11015</v>
      </c>
      <c r="B760" s="38" t="s">
        <v>19912</v>
      </c>
      <c r="C760" s="35" t="s">
        <v>19221</v>
      </c>
      <c r="D760" s="35" t="s">
        <v>19651</v>
      </c>
      <c r="E760" s="35" t="s">
        <v>19232</v>
      </c>
      <c r="F760" s="35"/>
      <c r="G760" s="36"/>
      <c r="H760" s="36"/>
    </row>
    <row r="761" spans="1:8" x14ac:dyDescent="0.25">
      <c r="A761" s="29">
        <v>28030</v>
      </c>
      <c r="B761" s="38" t="s">
        <v>19913</v>
      </c>
      <c r="C761" s="35" t="s">
        <v>19221</v>
      </c>
      <c r="D761" s="35" t="s">
        <v>19527</v>
      </c>
      <c r="E761" s="35" t="s">
        <v>19223</v>
      </c>
      <c r="F761" s="35"/>
      <c r="G761" s="36"/>
      <c r="H761" s="36"/>
    </row>
    <row r="762" spans="1:8" x14ac:dyDescent="0.25">
      <c r="A762" s="29">
        <v>94230</v>
      </c>
      <c r="B762" s="38" t="s">
        <v>19914</v>
      </c>
      <c r="C762" s="35" t="s">
        <v>19327</v>
      </c>
      <c r="D762" s="35" t="s">
        <v>19300</v>
      </c>
      <c r="E762" s="35" t="s">
        <v>19229</v>
      </c>
      <c r="F762" s="35"/>
      <c r="G762" s="36"/>
      <c r="H762" s="36"/>
    </row>
    <row r="763" spans="1:8" x14ac:dyDescent="0.25">
      <c r="A763" s="29">
        <v>28065</v>
      </c>
      <c r="B763" s="38" t="s">
        <v>19915</v>
      </c>
      <c r="C763" s="35" t="s">
        <v>19327</v>
      </c>
      <c r="D763" s="35" t="s">
        <v>19527</v>
      </c>
      <c r="E763" s="35" t="s">
        <v>19223</v>
      </c>
      <c r="F763" s="35"/>
      <c r="G763" s="36"/>
      <c r="H763" s="36"/>
    </row>
    <row r="764" spans="1:8" x14ac:dyDescent="0.25">
      <c r="A764" s="29">
        <v>46105</v>
      </c>
      <c r="B764" s="38" t="s">
        <v>19915</v>
      </c>
      <c r="C764" s="35" t="s">
        <v>19221</v>
      </c>
      <c r="D764" s="35" t="s">
        <v>19216</v>
      </c>
      <c r="E764" s="35" t="s">
        <v>19217</v>
      </c>
      <c r="F764" s="35"/>
      <c r="G764" s="36"/>
      <c r="H764" s="36"/>
    </row>
    <row r="765" spans="1:8" x14ac:dyDescent="0.25">
      <c r="A765" s="29">
        <v>39105</v>
      </c>
      <c r="B765" s="38" t="s">
        <v>19916</v>
      </c>
      <c r="C765" s="35" t="s">
        <v>19327</v>
      </c>
      <c r="D765" s="35" t="s">
        <v>19370</v>
      </c>
      <c r="E765" s="35" t="s">
        <v>19255</v>
      </c>
      <c r="F765" s="35"/>
      <c r="G765" s="36"/>
      <c r="H765" s="36"/>
    </row>
    <row r="766" spans="1:8" x14ac:dyDescent="0.25">
      <c r="A766" s="29">
        <v>75028</v>
      </c>
      <c r="B766" s="38" t="s">
        <v>9534</v>
      </c>
      <c r="C766" s="35" t="s">
        <v>19221</v>
      </c>
      <c r="D766" s="35" t="s">
        <v>19698</v>
      </c>
      <c r="E766" s="35" t="s">
        <v>19240</v>
      </c>
      <c r="F766" s="35"/>
      <c r="G766" s="36"/>
      <c r="H766" s="36"/>
    </row>
    <row r="767" spans="1:8" x14ac:dyDescent="0.25">
      <c r="A767" s="29">
        <v>38040</v>
      </c>
      <c r="B767" s="38" t="s">
        <v>19917</v>
      </c>
      <c r="C767" s="35" t="s">
        <v>19327</v>
      </c>
      <c r="D767" s="35" t="s">
        <v>19297</v>
      </c>
      <c r="E767" s="35" t="s">
        <v>19255</v>
      </c>
      <c r="F767" s="35"/>
      <c r="G767" s="36"/>
      <c r="H767" s="36"/>
    </row>
    <row r="768" spans="1:8" x14ac:dyDescent="0.25">
      <c r="A768" s="29">
        <v>32023</v>
      </c>
      <c r="B768" s="38" t="s">
        <v>19918</v>
      </c>
      <c r="C768" s="35" t="s">
        <v>19221</v>
      </c>
      <c r="D768" s="35" t="s">
        <v>19485</v>
      </c>
      <c r="E768" s="35" t="s">
        <v>19255</v>
      </c>
      <c r="F768" s="35"/>
      <c r="G768" s="36"/>
      <c r="H768" s="36"/>
    </row>
    <row r="769" spans="1:8" x14ac:dyDescent="0.25">
      <c r="A769" s="29">
        <v>63030</v>
      </c>
      <c r="B769" s="38" t="s">
        <v>9511</v>
      </c>
      <c r="C769" s="35" t="s">
        <v>19221</v>
      </c>
      <c r="D769" s="35" t="s">
        <v>14658</v>
      </c>
      <c r="E769" s="35" t="s">
        <v>19310</v>
      </c>
      <c r="F769" s="35"/>
      <c r="G769" s="36"/>
      <c r="H769" s="36"/>
    </row>
    <row r="770" spans="1:8" x14ac:dyDescent="0.25">
      <c r="A770" s="29">
        <v>35050</v>
      </c>
      <c r="B770" s="38" t="s">
        <v>19919</v>
      </c>
      <c r="C770" s="35" t="s">
        <v>19221</v>
      </c>
      <c r="D770" s="35" t="s">
        <v>19452</v>
      </c>
      <c r="E770" s="35" t="s">
        <v>19286</v>
      </c>
      <c r="F770" s="35"/>
      <c r="G770" s="36"/>
      <c r="H770" s="36"/>
    </row>
    <row r="771" spans="1:8" x14ac:dyDescent="0.25">
      <c r="A771" s="29">
        <v>73010</v>
      </c>
      <c r="B771" s="38" t="s">
        <v>9184</v>
      </c>
      <c r="C771" s="35" t="s">
        <v>14</v>
      </c>
      <c r="D771" s="35" t="s">
        <v>19313</v>
      </c>
      <c r="E771" s="35" t="s">
        <v>19240</v>
      </c>
      <c r="F771" s="35"/>
      <c r="G771" s="36"/>
      <c r="H771" s="36"/>
    </row>
    <row r="772" spans="1:8" x14ac:dyDescent="0.25">
      <c r="A772" s="29">
        <v>2010</v>
      </c>
      <c r="B772" s="38" t="s">
        <v>19920</v>
      </c>
      <c r="C772" s="35" t="s">
        <v>19221</v>
      </c>
      <c r="D772" s="35" t="s">
        <v>19358</v>
      </c>
      <c r="E772" s="35" t="s">
        <v>19321</v>
      </c>
      <c r="F772" s="35"/>
      <c r="G772" s="36"/>
      <c r="H772" s="36"/>
    </row>
    <row r="773" spans="1:8" x14ac:dyDescent="0.25">
      <c r="A773" s="29">
        <v>83055</v>
      </c>
      <c r="B773" s="38" t="s">
        <v>19921</v>
      </c>
      <c r="C773" s="35" t="s">
        <v>19221</v>
      </c>
      <c r="D773" s="35" t="s">
        <v>19259</v>
      </c>
      <c r="E773" s="35" t="s">
        <v>19235</v>
      </c>
      <c r="F773" s="35"/>
      <c r="G773" s="36"/>
      <c r="H773" s="36"/>
    </row>
    <row r="774" spans="1:8" x14ac:dyDescent="0.25">
      <c r="A774" s="29">
        <v>70030</v>
      </c>
      <c r="B774" s="38" t="s">
        <v>19922</v>
      </c>
      <c r="C774" s="35" t="s">
        <v>19221</v>
      </c>
      <c r="D774" s="35" t="s">
        <v>19903</v>
      </c>
      <c r="E774" s="35" t="s">
        <v>19217</v>
      </c>
      <c r="F774" s="35"/>
      <c r="G774" s="36"/>
      <c r="H774" s="36"/>
    </row>
    <row r="775" spans="1:8" x14ac:dyDescent="0.25">
      <c r="A775" s="29">
        <v>45100</v>
      </c>
      <c r="B775" s="38" t="s">
        <v>19923</v>
      </c>
      <c r="C775" s="35" t="s">
        <v>19221</v>
      </c>
      <c r="D775" s="35" t="s">
        <v>19261</v>
      </c>
      <c r="E775" s="35" t="s">
        <v>19252</v>
      </c>
      <c r="F775" s="35"/>
      <c r="G775" s="36"/>
      <c r="H775" s="36"/>
    </row>
    <row r="776" spans="1:8" x14ac:dyDescent="0.25">
      <c r="A776" s="29">
        <v>51090</v>
      </c>
      <c r="B776" s="38" t="s">
        <v>19924</v>
      </c>
      <c r="C776" s="35" t="s">
        <v>19327</v>
      </c>
      <c r="D776" s="35" t="s">
        <v>19362</v>
      </c>
      <c r="E776" s="35" t="s">
        <v>19286</v>
      </c>
      <c r="F776" s="35"/>
      <c r="G776" s="36"/>
      <c r="H776" s="36"/>
    </row>
    <row r="777" spans="1:8" x14ac:dyDescent="0.25">
      <c r="A777" s="29">
        <v>49105</v>
      </c>
      <c r="B777" s="38" t="s">
        <v>19925</v>
      </c>
      <c r="C777" s="35" t="s">
        <v>19221</v>
      </c>
      <c r="D777" s="35" t="s">
        <v>19405</v>
      </c>
      <c r="E777" s="35" t="s">
        <v>19255</v>
      </c>
      <c r="F777" s="35"/>
      <c r="G777" s="36"/>
      <c r="H777" s="36"/>
    </row>
    <row r="778" spans="1:8" x14ac:dyDescent="0.25">
      <c r="A778" s="29">
        <v>92065</v>
      </c>
      <c r="B778" s="38" t="s">
        <v>19926</v>
      </c>
      <c r="C778" s="35" t="s">
        <v>19221</v>
      </c>
      <c r="D778" s="35" t="s">
        <v>19228</v>
      </c>
      <c r="E778" s="35" t="s">
        <v>19229</v>
      </c>
      <c r="F778" s="35"/>
      <c r="G778" s="36"/>
      <c r="H778" s="36"/>
    </row>
    <row r="779" spans="1:8" x14ac:dyDescent="0.25">
      <c r="A779" s="29">
        <v>85085</v>
      </c>
      <c r="B779" s="38" t="s">
        <v>19927</v>
      </c>
      <c r="C779" s="35" t="s">
        <v>19221</v>
      </c>
      <c r="D779" s="35" t="s">
        <v>19289</v>
      </c>
      <c r="E779" s="35" t="s">
        <v>19243</v>
      </c>
      <c r="F779" s="35"/>
      <c r="G779" s="36"/>
      <c r="H779" s="36"/>
    </row>
    <row r="780" spans="1:8" x14ac:dyDescent="0.25">
      <c r="A780" s="29">
        <v>10075</v>
      </c>
      <c r="B780" s="38" t="s">
        <v>19928</v>
      </c>
      <c r="C780" s="35" t="s">
        <v>19327</v>
      </c>
      <c r="D780" s="35" t="s">
        <v>19423</v>
      </c>
      <c r="E780" s="35" t="s">
        <v>19232</v>
      </c>
      <c r="F780" s="35"/>
      <c r="G780" s="36"/>
      <c r="H780" s="36"/>
    </row>
    <row r="781" spans="1:8" x14ac:dyDescent="0.25">
      <c r="A781" s="29">
        <v>51040</v>
      </c>
      <c r="B781" s="38" t="s">
        <v>19929</v>
      </c>
      <c r="C781" s="35" t="s">
        <v>19221</v>
      </c>
      <c r="D781" s="35" t="s">
        <v>19362</v>
      </c>
      <c r="E781" s="35" t="s">
        <v>19286</v>
      </c>
      <c r="F781" s="35"/>
      <c r="G781" s="36"/>
      <c r="H781" s="36"/>
    </row>
    <row r="782" spans="1:8" x14ac:dyDescent="0.25">
      <c r="A782" s="29">
        <v>13030</v>
      </c>
      <c r="B782" s="38" t="s">
        <v>19930</v>
      </c>
      <c r="C782" s="35" t="s">
        <v>19327</v>
      </c>
      <c r="D782" s="35" t="s">
        <v>19256</v>
      </c>
      <c r="E782" s="35" t="s">
        <v>19232</v>
      </c>
      <c r="F782" s="35"/>
      <c r="G782" s="36"/>
      <c r="H782" s="36"/>
    </row>
    <row r="783" spans="1:8" x14ac:dyDescent="0.25">
      <c r="A783" s="29">
        <v>72005</v>
      </c>
      <c r="B783" s="38" t="s">
        <v>8723</v>
      </c>
      <c r="C783" s="35" t="s">
        <v>14</v>
      </c>
      <c r="D783" s="35" t="s">
        <v>19397</v>
      </c>
      <c r="E783" s="35" t="s">
        <v>19240</v>
      </c>
      <c r="F783" s="35"/>
      <c r="G783" s="36"/>
      <c r="H783" s="36"/>
    </row>
    <row r="784" spans="1:8" x14ac:dyDescent="0.25">
      <c r="A784" s="29">
        <v>29025</v>
      </c>
      <c r="B784" s="38" t="s">
        <v>19931</v>
      </c>
      <c r="C784" s="35" t="s">
        <v>19221</v>
      </c>
      <c r="D784" s="35" t="s">
        <v>19500</v>
      </c>
      <c r="E784" s="35" t="s">
        <v>19223</v>
      </c>
      <c r="F784" s="35"/>
      <c r="G784" s="36"/>
      <c r="H784" s="36"/>
    </row>
    <row r="785" spans="1:8" x14ac:dyDescent="0.25">
      <c r="A785" s="29">
        <v>53025</v>
      </c>
      <c r="B785" s="38" t="s">
        <v>19932</v>
      </c>
      <c r="C785" s="35" t="s">
        <v>19221</v>
      </c>
      <c r="D785" s="35" t="s">
        <v>19602</v>
      </c>
      <c r="E785" s="35" t="s">
        <v>19217</v>
      </c>
      <c r="F785" s="35"/>
      <c r="G785" s="36"/>
      <c r="H785" s="36"/>
    </row>
    <row r="786" spans="1:8" x14ac:dyDescent="0.25">
      <c r="A786" s="29">
        <v>10070</v>
      </c>
      <c r="B786" s="38" t="s">
        <v>19933</v>
      </c>
      <c r="C786" s="35" t="s">
        <v>19327</v>
      </c>
      <c r="D786" s="35" t="s">
        <v>19423</v>
      </c>
      <c r="E786" s="35" t="s">
        <v>19232</v>
      </c>
      <c r="F786" s="35"/>
      <c r="G786" s="36"/>
      <c r="H786" s="36"/>
    </row>
    <row r="787" spans="1:8" x14ac:dyDescent="0.25">
      <c r="A787" s="29">
        <v>18015</v>
      </c>
      <c r="B787" s="38" t="s">
        <v>19934</v>
      </c>
      <c r="C787" s="35" t="s">
        <v>19327</v>
      </c>
      <c r="D787" s="35" t="s">
        <v>14579</v>
      </c>
      <c r="E787" s="35" t="s">
        <v>19223</v>
      </c>
      <c r="F787" s="35"/>
      <c r="G787" s="36"/>
      <c r="H787" s="36"/>
    </row>
    <row r="788" spans="1:8" x14ac:dyDescent="0.25">
      <c r="A788" s="29">
        <v>78047</v>
      </c>
      <c r="B788" s="38" t="s">
        <v>19935</v>
      </c>
      <c r="C788" s="35" t="s">
        <v>19221</v>
      </c>
      <c r="D788" s="35" t="s">
        <v>19239</v>
      </c>
      <c r="E788" s="35" t="s">
        <v>19240</v>
      </c>
      <c r="F788" s="35"/>
      <c r="G788" s="36"/>
      <c r="H788" s="36"/>
    </row>
    <row r="789" spans="1:8" x14ac:dyDescent="0.25">
      <c r="A789" s="29">
        <v>91042</v>
      </c>
      <c r="B789" s="38" t="s">
        <v>19936</v>
      </c>
      <c r="C789" s="35" t="s">
        <v>14</v>
      </c>
      <c r="D789" s="35" t="s">
        <v>19354</v>
      </c>
      <c r="E789" s="35" t="s">
        <v>19229</v>
      </c>
      <c r="F789" s="35"/>
      <c r="G789" s="36"/>
      <c r="H789" s="36"/>
    </row>
    <row r="790" spans="1:8" x14ac:dyDescent="0.25">
      <c r="A790" s="29">
        <v>88060</v>
      </c>
      <c r="B790" s="38" t="s">
        <v>19937</v>
      </c>
      <c r="C790" s="35" t="s">
        <v>19221</v>
      </c>
      <c r="D790" s="35" t="s">
        <v>19242</v>
      </c>
      <c r="E790" s="35" t="s">
        <v>19243</v>
      </c>
      <c r="F790" s="35"/>
      <c r="G790" s="36"/>
      <c r="H790" s="36"/>
    </row>
    <row r="791" spans="1:8" x14ac:dyDescent="0.25">
      <c r="A791" s="29">
        <v>49005</v>
      </c>
      <c r="B791" s="38" t="s">
        <v>19938</v>
      </c>
      <c r="C791" s="35" t="s">
        <v>19221</v>
      </c>
      <c r="D791" s="35" t="s">
        <v>19405</v>
      </c>
      <c r="E791" s="35" t="s">
        <v>19255</v>
      </c>
      <c r="F791" s="35"/>
      <c r="G791" s="36"/>
      <c r="H791" s="36"/>
    </row>
    <row r="792" spans="1:8" x14ac:dyDescent="0.25">
      <c r="A792" s="29">
        <v>62007</v>
      </c>
      <c r="B792" s="38" t="s">
        <v>8715</v>
      </c>
      <c r="C792" s="35" t="s">
        <v>19221</v>
      </c>
      <c r="D792" s="35" t="s">
        <v>19368</v>
      </c>
      <c r="E792" s="35" t="s">
        <v>19310</v>
      </c>
      <c r="F792" s="35"/>
      <c r="G792" s="36"/>
      <c r="H792" s="36"/>
    </row>
    <row r="793" spans="1:8" x14ac:dyDescent="0.25">
      <c r="A793" s="29">
        <v>94225</v>
      </c>
      <c r="B793" s="38" t="s">
        <v>19939</v>
      </c>
      <c r="C793" s="35" t="s">
        <v>19221</v>
      </c>
      <c r="D793" s="35" t="s">
        <v>19300</v>
      </c>
      <c r="E793" s="35" t="s">
        <v>19229</v>
      </c>
      <c r="F793" s="35"/>
      <c r="G793" s="36"/>
      <c r="H793" s="36"/>
    </row>
    <row r="794" spans="1:8" x14ac:dyDescent="0.25">
      <c r="A794" s="29">
        <v>32013</v>
      </c>
      <c r="B794" s="38" t="s">
        <v>19940</v>
      </c>
      <c r="C794" s="35" t="s">
        <v>19221</v>
      </c>
      <c r="D794" s="35" t="s">
        <v>19485</v>
      </c>
      <c r="E794" s="35" t="s">
        <v>19255</v>
      </c>
      <c r="F794" s="35"/>
      <c r="G794" s="36"/>
      <c r="H794" s="36"/>
    </row>
    <row r="795" spans="1:8" x14ac:dyDescent="0.25">
      <c r="A795" s="29">
        <v>21010</v>
      </c>
      <c r="B795" s="38" t="s">
        <v>19941</v>
      </c>
      <c r="C795" s="35" t="s">
        <v>19221</v>
      </c>
      <c r="D795" s="35" t="s">
        <v>19296</v>
      </c>
      <c r="E795" s="35" t="s">
        <v>19276</v>
      </c>
      <c r="F795" s="35"/>
      <c r="G795" s="36"/>
      <c r="H795" s="36"/>
    </row>
    <row r="796" spans="1:8" x14ac:dyDescent="0.25">
      <c r="A796" s="29">
        <v>33052</v>
      </c>
      <c r="B796" s="38" t="s">
        <v>19942</v>
      </c>
      <c r="C796" s="35" t="s">
        <v>19221</v>
      </c>
      <c r="D796" s="35" t="s">
        <v>19404</v>
      </c>
      <c r="E796" s="35" t="s">
        <v>19223</v>
      </c>
      <c r="F796" s="35"/>
      <c r="G796" s="36"/>
      <c r="H796" s="36"/>
    </row>
    <row r="797" spans="1:8" x14ac:dyDescent="0.25">
      <c r="A797" s="29">
        <v>31030</v>
      </c>
      <c r="B797" s="38" t="s">
        <v>19943</v>
      </c>
      <c r="C797" s="35" t="s">
        <v>19221</v>
      </c>
      <c r="D797" s="35" t="s">
        <v>19222</v>
      </c>
      <c r="E797" s="35" t="s">
        <v>19223</v>
      </c>
      <c r="F797" s="35"/>
      <c r="G797" s="36"/>
      <c r="H797" s="36"/>
    </row>
    <row r="798" spans="1:8" x14ac:dyDescent="0.25">
      <c r="A798" s="29">
        <v>6055</v>
      </c>
      <c r="B798" s="38" t="s">
        <v>19944</v>
      </c>
      <c r="C798" s="35" t="s">
        <v>19221</v>
      </c>
      <c r="D798" s="35" t="s">
        <v>19349</v>
      </c>
      <c r="E798" s="35" t="s">
        <v>19321</v>
      </c>
      <c r="F798" s="35"/>
      <c r="G798" s="36"/>
      <c r="H798" s="36"/>
    </row>
    <row r="799" spans="1:8" x14ac:dyDescent="0.25">
      <c r="A799" s="29">
        <v>18060</v>
      </c>
      <c r="B799" s="38" t="s">
        <v>19945</v>
      </c>
      <c r="C799" s="35" t="s">
        <v>19221</v>
      </c>
      <c r="D799" s="35" t="s">
        <v>14579</v>
      </c>
      <c r="E799" s="35" t="s">
        <v>19223</v>
      </c>
      <c r="F799" s="35"/>
      <c r="G799" s="36"/>
      <c r="H799" s="36"/>
    </row>
    <row r="800" spans="1:8" x14ac:dyDescent="0.25">
      <c r="A800" s="29">
        <v>20005</v>
      </c>
      <c r="B800" s="38" t="s">
        <v>19946</v>
      </c>
      <c r="C800" s="35" t="s">
        <v>19221</v>
      </c>
      <c r="D800" s="35" t="s">
        <v>19865</v>
      </c>
      <c r="E800" s="35" t="s">
        <v>19276</v>
      </c>
      <c r="F800" s="35"/>
      <c r="G800" s="36"/>
      <c r="H800" s="36"/>
    </row>
    <row r="801" spans="1:8" x14ac:dyDescent="0.25">
      <c r="A801" s="29">
        <v>91015</v>
      </c>
      <c r="B801" s="38" t="s">
        <v>19947</v>
      </c>
      <c r="C801" s="35" t="s">
        <v>19221</v>
      </c>
      <c r="D801" s="35" t="s">
        <v>19354</v>
      </c>
      <c r="E801" s="35" t="s">
        <v>19229</v>
      </c>
      <c r="F801" s="35"/>
      <c r="G801" s="36"/>
      <c r="H801" s="36"/>
    </row>
    <row r="802" spans="1:8" x14ac:dyDescent="0.25">
      <c r="A802" s="29">
        <v>50128</v>
      </c>
      <c r="B802" s="38" t="s">
        <v>19948</v>
      </c>
      <c r="C802" s="35" t="s">
        <v>19221</v>
      </c>
      <c r="D802" s="35" t="s">
        <v>19254</v>
      </c>
      <c r="E802" s="35" t="s">
        <v>19255</v>
      </c>
      <c r="F802" s="35"/>
      <c r="G802" s="36"/>
      <c r="H802" s="36"/>
    </row>
    <row r="803" spans="1:8" x14ac:dyDescent="0.25">
      <c r="A803" s="29">
        <v>42020</v>
      </c>
      <c r="B803" s="38" t="s">
        <v>19949</v>
      </c>
      <c r="C803" s="35" t="s">
        <v>19221</v>
      </c>
      <c r="D803" s="35" t="s">
        <v>19324</v>
      </c>
      <c r="E803" s="35" t="s">
        <v>19252</v>
      </c>
      <c r="F803" s="35"/>
      <c r="G803" s="36"/>
      <c r="H803" s="36"/>
    </row>
    <row r="804" spans="1:8" x14ac:dyDescent="0.25">
      <c r="A804" s="29">
        <v>12025</v>
      </c>
      <c r="B804" s="38" t="s">
        <v>19950</v>
      </c>
      <c r="C804" s="35" t="s">
        <v>19221</v>
      </c>
      <c r="D804" s="35" t="s">
        <v>19336</v>
      </c>
      <c r="E804" s="35" t="s">
        <v>19232</v>
      </c>
      <c r="F804" s="35"/>
      <c r="G804" s="36"/>
      <c r="H804" s="36"/>
    </row>
    <row r="805" spans="1:8" x14ac:dyDescent="0.25">
      <c r="A805" s="29">
        <v>27065</v>
      </c>
      <c r="B805" s="38" t="s">
        <v>8708</v>
      </c>
      <c r="C805" s="35" t="s">
        <v>19327</v>
      </c>
      <c r="D805" s="35" t="s">
        <v>19291</v>
      </c>
      <c r="E805" s="35" t="s">
        <v>19223</v>
      </c>
      <c r="F805" s="35"/>
      <c r="G805" s="36"/>
      <c r="H805" s="36"/>
    </row>
    <row r="806" spans="1:8" x14ac:dyDescent="0.25">
      <c r="A806" s="29">
        <v>94235</v>
      </c>
      <c r="B806" s="38" t="s">
        <v>19951</v>
      </c>
      <c r="C806" s="35" t="s">
        <v>19221</v>
      </c>
      <c r="D806" s="35" t="s">
        <v>19300</v>
      </c>
      <c r="E806" s="35" t="s">
        <v>19229</v>
      </c>
      <c r="F806" s="35"/>
      <c r="G806" s="36"/>
      <c r="H806" s="36"/>
    </row>
    <row r="807" spans="1:8" x14ac:dyDescent="0.25">
      <c r="A807" s="29">
        <v>52080</v>
      </c>
      <c r="B807" s="38" t="s">
        <v>19952</v>
      </c>
      <c r="C807" s="35" t="s">
        <v>14</v>
      </c>
      <c r="D807" s="35" t="s">
        <v>19309</v>
      </c>
      <c r="E807" s="35" t="s">
        <v>19310</v>
      </c>
      <c r="F807" s="35"/>
      <c r="G807" s="36"/>
      <c r="H807" s="36"/>
    </row>
    <row r="808" spans="1:8" x14ac:dyDescent="0.25">
      <c r="A808" s="29">
        <v>52085</v>
      </c>
      <c r="B808" s="38" t="s">
        <v>19953</v>
      </c>
      <c r="C808" s="35" t="s">
        <v>19221</v>
      </c>
      <c r="D808" s="35" t="s">
        <v>19309</v>
      </c>
      <c r="E808" s="35" t="s">
        <v>19310</v>
      </c>
      <c r="F808" s="35"/>
      <c r="G808" s="36"/>
      <c r="H808" s="36"/>
    </row>
    <row r="809" spans="1:8" x14ac:dyDescent="0.25">
      <c r="A809" s="29">
        <v>9025</v>
      </c>
      <c r="B809" s="38" t="s">
        <v>19954</v>
      </c>
      <c r="C809" s="35" t="s">
        <v>19221</v>
      </c>
      <c r="D809" s="35" t="s">
        <v>19455</v>
      </c>
      <c r="E809" s="35" t="s">
        <v>19232</v>
      </c>
      <c r="F809" s="35"/>
      <c r="G809" s="36"/>
      <c r="H809" s="36"/>
    </row>
    <row r="810" spans="1:8" x14ac:dyDescent="0.25">
      <c r="A810" s="29">
        <v>22025</v>
      </c>
      <c r="B810" s="38" t="s">
        <v>19955</v>
      </c>
      <c r="C810" s="35" t="s">
        <v>19221</v>
      </c>
      <c r="D810" s="35" t="s">
        <v>19434</v>
      </c>
      <c r="E810" s="35" t="s">
        <v>19276</v>
      </c>
      <c r="F810" s="35"/>
      <c r="G810" s="36"/>
      <c r="H810" s="36"/>
    </row>
    <row r="811" spans="1:8" x14ac:dyDescent="0.25">
      <c r="A811" s="29">
        <v>14075</v>
      </c>
      <c r="B811" s="38" t="s">
        <v>19956</v>
      </c>
      <c r="C811" s="35" t="s">
        <v>19221</v>
      </c>
      <c r="D811" s="35" t="s">
        <v>19487</v>
      </c>
      <c r="E811" s="35" t="s">
        <v>19232</v>
      </c>
      <c r="F811" s="35"/>
      <c r="G811" s="36"/>
      <c r="H811" s="36"/>
    </row>
    <row r="812" spans="1:8" x14ac:dyDescent="0.25">
      <c r="A812" s="29">
        <v>93035</v>
      </c>
      <c r="B812" s="38" t="s">
        <v>19957</v>
      </c>
      <c r="C812" s="35" t="s">
        <v>19221</v>
      </c>
      <c r="D812" s="35" t="s">
        <v>19237</v>
      </c>
      <c r="E812" s="35" t="s">
        <v>19229</v>
      </c>
      <c r="F812" s="35"/>
      <c r="G812" s="36"/>
      <c r="H812" s="36"/>
    </row>
    <row r="813" spans="1:8" x14ac:dyDescent="0.25">
      <c r="A813" s="29">
        <v>29013</v>
      </c>
      <c r="B813" s="38" t="s">
        <v>19958</v>
      </c>
      <c r="C813" s="35" t="s">
        <v>19221</v>
      </c>
      <c r="D813" s="35" t="s">
        <v>19500</v>
      </c>
      <c r="E813" s="35" t="s">
        <v>19223</v>
      </c>
      <c r="F813" s="35"/>
      <c r="G813" s="36"/>
      <c r="H813" s="36"/>
    </row>
    <row r="814" spans="1:8" x14ac:dyDescent="0.25">
      <c r="A814" s="29">
        <v>29073</v>
      </c>
      <c r="B814" s="38" t="s">
        <v>19959</v>
      </c>
      <c r="C814" s="35" t="s">
        <v>14</v>
      </c>
      <c r="D814" s="35" t="s">
        <v>19500</v>
      </c>
      <c r="E814" s="35" t="s">
        <v>19223</v>
      </c>
      <c r="F814" s="35"/>
      <c r="G814" s="36"/>
      <c r="H814" s="36"/>
    </row>
    <row r="815" spans="1:8" x14ac:dyDescent="0.25">
      <c r="A815" s="29">
        <v>56010</v>
      </c>
      <c r="B815" s="38" t="s">
        <v>19960</v>
      </c>
      <c r="C815" s="35" t="s">
        <v>19221</v>
      </c>
      <c r="D815" s="35" t="s">
        <v>19474</v>
      </c>
      <c r="E815" s="35" t="s">
        <v>19217</v>
      </c>
      <c r="F815" s="35"/>
      <c r="G815" s="36"/>
      <c r="H815" s="36"/>
    </row>
    <row r="816" spans="1:8" x14ac:dyDescent="0.25">
      <c r="A816" s="29">
        <v>40032</v>
      </c>
      <c r="B816" s="38" t="s">
        <v>19961</v>
      </c>
      <c r="C816" s="35" t="s">
        <v>19221</v>
      </c>
      <c r="D816" s="35" t="s">
        <v>19390</v>
      </c>
      <c r="E816" s="35" t="s">
        <v>19252</v>
      </c>
      <c r="F816" s="35"/>
      <c r="G816" s="36"/>
      <c r="H816" s="36"/>
    </row>
    <row r="817" spans="1:8" x14ac:dyDescent="0.25">
      <c r="A817" s="29">
        <v>53085</v>
      </c>
      <c r="B817" s="38" t="s">
        <v>19962</v>
      </c>
      <c r="C817" s="35" t="s">
        <v>19327</v>
      </c>
      <c r="D817" s="35" t="s">
        <v>19602</v>
      </c>
      <c r="E817" s="35" t="s">
        <v>19217</v>
      </c>
      <c r="F817" s="35"/>
      <c r="G817" s="36"/>
      <c r="H817" s="36"/>
    </row>
    <row r="818" spans="1:8" x14ac:dyDescent="0.25">
      <c r="A818" s="29">
        <v>14045</v>
      </c>
      <c r="B818" s="38" t="s">
        <v>19963</v>
      </c>
      <c r="C818" s="35" t="s">
        <v>19327</v>
      </c>
      <c r="D818" s="35" t="s">
        <v>19487</v>
      </c>
      <c r="E818" s="35" t="s">
        <v>19232</v>
      </c>
      <c r="F818" s="35"/>
      <c r="G818" s="36"/>
      <c r="H818" s="36"/>
    </row>
    <row r="819" spans="1:8" x14ac:dyDescent="0.25">
      <c r="A819" s="29">
        <v>49048</v>
      </c>
      <c r="B819" s="38" t="s">
        <v>19964</v>
      </c>
      <c r="C819" s="35" t="s">
        <v>19221</v>
      </c>
      <c r="D819" s="35" t="s">
        <v>19405</v>
      </c>
      <c r="E819" s="35" t="s">
        <v>19255</v>
      </c>
      <c r="F819" s="35"/>
      <c r="G819" s="36"/>
      <c r="H819" s="36"/>
    </row>
    <row r="820" spans="1:8" x14ac:dyDescent="0.25">
      <c r="A820" s="29">
        <v>19075</v>
      </c>
      <c r="B820" s="38" t="s">
        <v>8700</v>
      </c>
      <c r="C820" s="35" t="s">
        <v>19221</v>
      </c>
      <c r="D820" s="35" t="s">
        <v>19248</v>
      </c>
      <c r="E820" s="35" t="s">
        <v>19223</v>
      </c>
      <c r="F820" s="35"/>
      <c r="G820" s="36"/>
      <c r="H820" s="36"/>
    </row>
    <row r="821" spans="1:8" x14ac:dyDescent="0.25">
      <c r="A821" s="29">
        <v>34060</v>
      </c>
      <c r="B821" s="38" t="s">
        <v>19965</v>
      </c>
      <c r="C821" s="35" t="s">
        <v>19327</v>
      </c>
      <c r="D821" s="35" t="s">
        <v>19347</v>
      </c>
      <c r="E821" s="35" t="s">
        <v>19276</v>
      </c>
      <c r="F821" s="35"/>
      <c r="G821" s="36"/>
      <c r="H821" s="36"/>
    </row>
    <row r="822" spans="1:8" x14ac:dyDescent="0.25">
      <c r="A822" s="29">
        <v>33035</v>
      </c>
      <c r="B822" s="38" t="s">
        <v>19966</v>
      </c>
      <c r="C822" s="35" t="s">
        <v>19221</v>
      </c>
      <c r="D822" s="35" t="s">
        <v>19404</v>
      </c>
      <c r="E822" s="35" t="s">
        <v>19223</v>
      </c>
      <c r="F822" s="35"/>
      <c r="G822" s="36"/>
      <c r="H822" s="36"/>
    </row>
    <row r="823" spans="1:8" x14ac:dyDescent="0.25">
      <c r="A823" s="29">
        <v>33035</v>
      </c>
      <c r="B823" s="38" t="s">
        <v>19966</v>
      </c>
      <c r="C823" s="35" t="s">
        <v>19221</v>
      </c>
      <c r="D823" s="35" t="s">
        <v>19404</v>
      </c>
      <c r="E823" s="35" t="s">
        <v>19223</v>
      </c>
      <c r="F823" s="35"/>
      <c r="G823" s="36"/>
      <c r="H823" s="36"/>
    </row>
    <row r="824" spans="1:8" x14ac:dyDescent="0.25">
      <c r="A824" s="29">
        <v>33035</v>
      </c>
      <c r="B824" s="38" t="s">
        <v>19966</v>
      </c>
      <c r="C824" s="35" t="s">
        <v>19221</v>
      </c>
      <c r="D824" s="35" t="s">
        <v>19404</v>
      </c>
      <c r="E824" s="35" t="s">
        <v>19223</v>
      </c>
      <c r="F824" s="35"/>
      <c r="G824" s="36"/>
      <c r="H824" s="36"/>
    </row>
    <row r="825" spans="1:8" x14ac:dyDescent="0.25">
      <c r="A825" s="29">
        <v>33035</v>
      </c>
      <c r="B825" s="38" t="s">
        <v>19966</v>
      </c>
      <c r="C825" s="35" t="s">
        <v>19221</v>
      </c>
      <c r="D825" s="35" t="s">
        <v>19404</v>
      </c>
      <c r="E825" s="35" t="s">
        <v>19223</v>
      </c>
      <c r="F825" s="35"/>
      <c r="G825" s="36"/>
      <c r="H825" s="36"/>
    </row>
    <row r="826" spans="1:8" x14ac:dyDescent="0.25">
      <c r="A826" s="29">
        <v>5015</v>
      </c>
      <c r="B826" s="38" t="s">
        <v>19967</v>
      </c>
      <c r="C826" s="35" t="s">
        <v>19238</v>
      </c>
      <c r="D826" s="35" t="s">
        <v>19320</v>
      </c>
      <c r="E826" s="35" t="s">
        <v>19321</v>
      </c>
      <c r="F826" s="35"/>
      <c r="G826" s="36"/>
      <c r="H826" s="36"/>
    </row>
    <row r="827" spans="1:8" x14ac:dyDescent="0.25">
      <c r="A827" s="29">
        <v>49113</v>
      </c>
      <c r="B827" s="38" t="s">
        <v>19968</v>
      </c>
      <c r="C827" s="35" t="s">
        <v>19221</v>
      </c>
      <c r="D827" s="35" t="s">
        <v>19405</v>
      </c>
      <c r="E827" s="35" t="s">
        <v>19255</v>
      </c>
      <c r="F827" s="35"/>
      <c r="G827" s="36"/>
      <c r="H827" s="36"/>
    </row>
    <row r="828" spans="1:8" x14ac:dyDescent="0.25">
      <c r="A828" s="29">
        <v>11020</v>
      </c>
      <c r="B828" s="38" t="s">
        <v>19969</v>
      </c>
      <c r="C828" s="35" t="s">
        <v>19221</v>
      </c>
      <c r="D828" s="35" t="s">
        <v>19651</v>
      </c>
      <c r="E828" s="35" t="s">
        <v>19232</v>
      </c>
      <c r="F828" s="35"/>
      <c r="G828" s="36"/>
      <c r="H828" s="36"/>
    </row>
    <row r="829" spans="1:8" x14ac:dyDescent="0.25">
      <c r="A829" s="29">
        <v>19068</v>
      </c>
      <c r="B829" s="38" t="s">
        <v>19970</v>
      </c>
      <c r="C829" s="35" t="s">
        <v>19221</v>
      </c>
      <c r="D829" s="35" t="s">
        <v>19248</v>
      </c>
      <c r="E829" s="35" t="s">
        <v>19223</v>
      </c>
      <c r="F829" s="35"/>
      <c r="G829" s="36"/>
      <c r="H829" s="36"/>
    </row>
    <row r="830" spans="1:8" x14ac:dyDescent="0.25">
      <c r="A830" s="29">
        <v>93070</v>
      </c>
      <c r="B830" s="38" t="s">
        <v>19971</v>
      </c>
      <c r="C830" s="35" t="s">
        <v>19221</v>
      </c>
      <c r="D830" s="35" t="s">
        <v>19237</v>
      </c>
      <c r="E830" s="35" t="s">
        <v>19229</v>
      </c>
      <c r="F830" s="35"/>
      <c r="G830" s="36"/>
      <c r="H830" s="36"/>
    </row>
    <row r="831" spans="1:8" x14ac:dyDescent="0.25">
      <c r="A831" s="29">
        <v>44015</v>
      </c>
      <c r="B831" s="38" t="s">
        <v>19972</v>
      </c>
      <c r="C831" s="35" t="s">
        <v>19221</v>
      </c>
      <c r="D831" s="35" t="s">
        <v>19282</v>
      </c>
      <c r="E831" s="35" t="s">
        <v>19252</v>
      </c>
      <c r="F831" s="35"/>
      <c r="G831" s="36"/>
      <c r="H831" s="36"/>
    </row>
    <row r="832" spans="1:8" x14ac:dyDescent="0.25">
      <c r="A832" s="29">
        <v>29020</v>
      </c>
      <c r="B832" s="38" t="s">
        <v>19973</v>
      </c>
      <c r="C832" s="35" t="s">
        <v>19327</v>
      </c>
      <c r="D832" s="35" t="s">
        <v>19500</v>
      </c>
      <c r="E832" s="35" t="s">
        <v>19223</v>
      </c>
      <c r="F832" s="35"/>
      <c r="G832" s="36"/>
      <c r="H832" s="36"/>
    </row>
    <row r="833" spans="1:8" x14ac:dyDescent="0.25">
      <c r="A833" s="29">
        <v>16050</v>
      </c>
      <c r="B833" s="38" t="s">
        <v>19974</v>
      </c>
      <c r="C833" s="35" t="s">
        <v>19327</v>
      </c>
      <c r="D833" s="35" t="s">
        <v>19278</v>
      </c>
      <c r="E833" s="35" t="s">
        <v>19276</v>
      </c>
      <c r="F833" s="35"/>
      <c r="G833" s="36"/>
      <c r="H833" s="36"/>
    </row>
    <row r="834" spans="1:8" x14ac:dyDescent="0.25">
      <c r="A834" s="29">
        <v>75045</v>
      </c>
      <c r="B834" s="38" t="s">
        <v>8261</v>
      </c>
      <c r="C834" s="35" t="s">
        <v>19221</v>
      </c>
      <c r="D834" s="35" t="s">
        <v>19698</v>
      </c>
      <c r="E834" s="35" t="s">
        <v>19240</v>
      </c>
      <c r="F834" s="35"/>
      <c r="G834" s="36"/>
      <c r="H834" s="36"/>
    </row>
    <row r="835" spans="1:8" x14ac:dyDescent="0.25">
      <c r="A835" s="29">
        <v>94240</v>
      </c>
      <c r="B835" s="38" t="s">
        <v>19975</v>
      </c>
      <c r="C835" s="35" t="s">
        <v>14</v>
      </c>
      <c r="D835" s="35" t="s">
        <v>19300</v>
      </c>
      <c r="E835" s="35" t="s">
        <v>19229</v>
      </c>
      <c r="F835" s="35"/>
      <c r="G835" s="36"/>
      <c r="H835" s="36"/>
    </row>
    <row r="836" spans="1:8" x14ac:dyDescent="0.25">
      <c r="A836" s="29">
        <v>29038</v>
      </c>
      <c r="B836" s="38" t="s">
        <v>19976</v>
      </c>
      <c r="C836" s="35" t="s">
        <v>19221</v>
      </c>
      <c r="D836" s="35" t="s">
        <v>19500</v>
      </c>
      <c r="E836" s="35" t="s">
        <v>19223</v>
      </c>
      <c r="F836" s="35"/>
      <c r="G836" s="36"/>
      <c r="H836" s="36"/>
    </row>
    <row r="837" spans="1:8" x14ac:dyDescent="0.25">
      <c r="A837" s="29">
        <v>13090</v>
      </c>
      <c r="B837" s="38" t="s">
        <v>19977</v>
      </c>
      <c r="C837" s="35" t="s">
        <v>19221</v>
      </c>
      <c r="D837" s="35" t="s">
        <v>19256</v>
      </c>
      <c r="E837" s="35" t="s">
        <v>19232</v>
      </c>
      <c r="F837" s="35"/>
      <c r="G837" s="36"/>
      <c r="H837" s="36"/>
    </row>
    <row r="838" spans="1:8" x14ac:dyDescent="0.25">
      <c r="A838" s="29">
        <v>12010</v>
      </c>
      <c r="B838" s="38" t="s">
        <v>19978</v>
      </c>
      <c r="C838" s="35" t="s">
        <v>19221</v>
      </c>
      <c r="D838" s="35" t="s">
        <v>19336</v>
      </c>
      <c r="E838" s="35" t="s">
        <v>19232</v>
      </c>
      <c r="F838" s="35"/>
      <c r="G838" s="36"/>
      <c r="H838" s="36"/>
    </row>
    <row r="839" spans="1:8" x14ac:dyDescent="0.25">
      <c r="A839" s="29">
        <v>54100</v>
      </c>
      <c r="B839" s="38" t="s">
        <v>19979</v>
      </c>
      <c r="C839" s="35" t="s">
        <v>19221</v>
      </c>
      <c r="D839" s="35" t="s">
        <v>19509</v>
      </c>
      <c r="E839" s="35" t="s">
        <v>19217</v>
      </c>
      <c r="F839" s="35"/>
      <c r="G839" s="36"/>
      <c r="H839" s="36"/>
    </row>
    <row r="840" spans="1:8" x14ac:dyDescent="0.25">
      <c r="A840" s="29">
        <v>54048</v>
      </c>
      <c r="B840" s="38" t="s">
        <v>19980</v>
      </c>
      <c r="C840" s="35" t="s">
        <v>14</v>
      </c>
      <c r="D840" s="35" t="s">
        <v>19509</v>
      </c>
      <c r="E840" s="35" t="s">
        <v>19217</v>
      </c>
      <c r="F840" s="35"/>
      <c r="G840" s="36"/>
      <c r="H840" s="36"/>
    </row>
    <row r="841" spans="1:8" x14ac:dyDescent="0.25">
      <c r="A841" s="29">
        <v>52045</v>
      </c>
      <c r="B841" s="38" t="s">
        <v>19981</v>
      </c>
      <c r="C841" s="35" t="s">
        <v>19221</v>
      </c>
      <c r="D841" s="35" t="s">
        <v>19309</v>
      </c>
      <c r="E841" s="35" t="s">
        <v>19310</v>
      </c>
      <c r="F841" s="35"/>
      <c r="G841" s="36"/>
      <c r="H841" s="36"/>
    </row>
    <row r="842" spans="1:8" x14ac:dyDescent="0.25">
      <c r="A842" s="29">
        <v>46095</v>
      </c>
      <c r="B842" s="38" t="s">
        <v>19982</v>
      </c>
      <c r="C842" s="35" t="s">
        <v>19221</v>
      </c>
      <c r="D842" s="35" t="s">
        <v>19216</v>
      </c>
      <c r="E842" s="35" t="s">
        <v>19217</v>
      </c>
      <c r="F842" s="35"/>
      <c r="G842" s="36"/>
      <c r="H842" s="36"/>
    </row>
    <row r="843" spans="1:8" x14ac:dyDescent="0.25">
      <c r="A843" s="29">
        <v>15005</v>
      </c>
      <c r="B843" s="38" t="s">
        <v>19983</v>
      </c>
      <c r="C843" s="35" t="s">
        <v>19327</v>
      </c>
      <c r="D843" s="35" t="s">
        <v>19275</v>
      </c>
      <c r="E843" s="35" t="s">
        <v>19276</v>
      </c>
      <c r="F843" s="35"/>
      <c r="G843" s="36"/>
      <c r="H843" s="36"/>
    </row>
    <row r="844" spans="1:8" x14ac:dyDescent="0.25">
      <c r="A844" s="29">
        <v>67040</v>
      </c>
      <c r="B844" s="38" t="s">
        <v>19984</v>
      </c>
      <c r="C844" s="35" t="s">
        <v>19327</v>
      </c>
      <c r="D844" s="35" t="s">
        <v>19340</v>
      </c>
      <c r="E844" s="35" t="s">
        <v>19217</v>
      </c>
      <c r="F844" s="35"/>
      <c r="G844" s="36"/>
      <c r="H844" s="36"/>
    </row>
    <row r="845" spans="1:8" x14ac:dyDescent="0.25">
      <c r="A845" s="29">
        <v>26063</v>
      </c>
      <c r="B845" s="38" t="s">
        <v>19984</v>
      </c>
      <c r="C845" s="35" t="s">
        <v>19221</v>
      </c>
      <c r="D845" s="35" t="s">
        <v>19436</v>
      </c>
      <c r="E845" s="35" t="s">
        <v>19223</v>
      </c>
      <c r="F845" s="35"/>
      <c r="G845" s="36"/>
      <c r="H845" s="36"/>
    </row>
    <row r="846" spans="1:8" x14ac:dyDescent="0.25">
      <c r="A846" s="29">
        <v>41012</v>
      </c>
      <c r="B846" s="38" t="s">
        <v>19985</v>
      </c>
      <c r="C846" s="35" t="s">
        <v>19221</v>
      </c>
      <c r="D846" s="35" t="s">
        <v>19251</v>
      </c>
      <c r="E846" s="35" t="s">
        <v>19252</v>
      </c>
      <c r="F846" s="35"/>
      <c r="G846" s="36"/>
      <c r="H846" s="36"/>
    </row>
    <row r="847" spans="1:8" x14ac:dyDescent="0.25">
      <c r="A847" s="29">
        <v>63013</v>
      </c>
      <c r="B847" s="38" t="s">
        <v>19986</v>
      </c>
      <c r="C847" s="35" t="s">
        <v>19221</v>
      </c>
      <c r="D847" s="35" t="s">
        <v>14658</v>
      </c>
      <c r="E847" s="35" t="s">
        <v>19310</v>
      </c>
      <c r="F847" s="35"/>
      <c r="G847" s="36"/>
      <c r="H847" s="36"/>
    </row>
    <row r="848" spans="1:8" x14ac:dyDescent="0.25">
      <c r="A848" s="29">
        <v>31140</v>
      </c>
      <c r="B848" s="38" t="s">
        <v>19987</v>
      </c>
      <c r="C848" s="35" t="s">
        <v>19221</v>
      </c>
      <c r="D848" s="35" t="s">
        <v>19222</v>
      </c>
      <c r="E848" s="35" t="s">
        <v>19223</v>
      </c>
      <c r="F848" s="35"/>
      <c r="G848" s="36"/>
      <c r="H848" s="36"/>
    </row>
    <row r="849" spans="1:8" x14ac:dyDescent="0.25">
      <c r="A849" s="29">
        <v>31025</v>
      </c>
      <c r="B849" s="38" t="s">
        <v>19988</v>
      </c>
      <c r="C849" s="35" t="s">
        <v>19327</v>
      </c>
      <c r="D849" s="35" t="s">
        <v>19222</v>
      </c>
      <c r="E849" s="35" t="s">
        <v>19223</v>
      </c>
      <c r="F849" s="35"/>
      <c r="G849" s="36"/>
      <c r="H849" s="36"/>
    </row>
    <row r="850" spans="1:8" x14ac:dyDescent="0.25">
      <c r="A850" s="29">
        <v>68040</v>
      </c>
      <c r="B850" s="38" t="s">
        <v>19989</v>
      </c>
      <c r="C850" s="35" t="s">
        <v>19221</v>
      </c>
      <c r="D850" s="35" t="s">
        <v>19472</v>
      </c>
      <c r="E850" s="35" t="s">
        <v>19217</v>
      </c>
      <c r="F850" s="35"/>
      <c r="G850" s="36"/>
      <c r="H850" s="36"/>
    </row>
    <row r="851" spans="1:8" x14ac:dyDescent="0.25">
      <c r="A851" s="29">
        <v>33065</v>
      </c>
      <c r="B851" s="38" t="s">
        <v>19990</v>
      </c>
      <c r="C851" s="35" t="s">
        <v>19221</v>
      </c>
      <c r="D851" s="35" t="s">
        <v>19404</v>
      </c>
      <c r="E851" s="35" t="s">
        <v>19223</v>
      </c>
      <c r="F851" s="35"/>
      <c r="G851" s="36"/>
      <c r="H851" s="36"/>
    </row>
    <row r="852" spans="1:8" x14ac:dyDescent="0.25">
      <c r="A852" s="29">
        <v>57033</v>
      </c>
      <c r="B852" s="38" t="s">
        <v>19991</v>
      </c>
      <c r="C852" s="35" t="s">
        <v>19221</v>
      </c>
      <c r="D852" s="35" t="s">
        <v>19305</v>
      </c>
      <c r="E852" s="35" t="s">
        <v>19217</v>
      </c>
      <c r="F852" s="35"/>
      <c r="G852" s="36"/>
      <c r="H852" s="36"/>
    </row>
    <row r="853" spans="1:8" x14ac:dyDescent="0.25">
      <c r="A853" s="29">
        <v>31100</v>
      </c>
      <c r="B853" s="38" t="s">
        <v>19992</v>
      </c>
      <c r="C853" s="35" t="s">
        <v>19221</v>
      </c>
      <c r="D853" s="35" t="s">
        <v>19222</v>
      </c>
      <c r="E853" s="35" t="s">
        <v>19223</v>
      </c>
      <c r="F853" s="35"/>
      <c r="G853" s="36"/>
      <c r="H853" s="36"/>
    </row>
    <row r="854" spans="1:8" x14ac:dyDescent="0.25">
      <c r="A854" s="29">
        <v>8010</v>
      </c>
      <c r="B854" s="38" t="s">
        <v>19993</v>
      </c>
      <c r="C854" s="35" t="s">
        <v>19327</v>
      </c>
      <c r="D854" s="35" t="s">
        <v>19269</v>
      </c>
      <c r="E854" s="35" t="s">
        <v>19232</v>
      </c>
      <c r="F854" s="35"/>
      <c r="G854" s="36"/>
      <c r="H854" s="36"/>
    </row>
    <row r="855" spans="1:8" x14ac:dyDescent="0.25">
      <c r="A855" s="29">
        <v>11010</v>
      </c>
      <c r="B855" s="38" t="s">
        <v>19994</v>
      </c>
      <c r="C855" s="35" t="s">
        <v>19221</v>
      </c>
      <c r="D855" s="35" t="s">
        <v>19651</v>
      </c>
      <c r="E855" s="35" t="s">
        <v>19232</v>
      </c>
      <c r="F855" s="35"/>
      <c r="G855" s="36"/>
      <c r="H855" s="36"/>
    </row>
    <row r="856" spans="1:8" x14ac:dyDescent="0.25">
      <c r="A856" s="29">
        <v>13010</v>
      </c>
      <c r="B856" s="38" t="s">
        <v>19995</v>
      </c>
      <c r="C856" s="35" t="s">
        <v>19221</v>
      </c>
      <c r="D856" s="35" t="s">
        <v>19256</v>
      </c>
      <c r="E856" s="35" t="s">
        <v>19232</v>
      </c>
      <c r="F856" s="35"/>
      <c r="G856" s="36"/>
      <c r="H856" s="36"/>
    </row>
    <row r="857" spans="1:8" x14ac:dyDescent="0.25">
      <c r="A857" s="29">
        <v>20015</v>
      </c>
      <c r="B857" s="38" t="s">
        <v>19996</v>
      </c>
      <c r="C857" s="35" t="s">
        <v>19221</v>
      </c>
      <c r="D857" s="35" t="s">
        <v>19865</v>
      </c>
      <c r="E857" s="35" t="s">
        <v>19276</v>
      </c>
      <c r="F857" s="35"/>
      <c r="G857" s="36"/>
      <c r="H857" s="36"/>
    </row>
    <row r="858" spans="1:8" x14ac:dyDescent="0.25">
      <c r="A858" s="29">
        <v>62015</v>
      </c>
      <c r="B858" s="38" t="s">
        <v>8257</v>
      </c>
      <c r="C858" s="35" t="s">
        <v>19221</v>
      </c>
      <c r="D858" s="35" t="s">
        <v>19368</v>
      </c>
      <c r="E858" s="35" t="s">
        <v>19310</v>
      </c>
      <c r="F858" s="35"/>
      <c r="G858" s="36"/>
      <c r="H858" s="36"/>
    </row>
    <row r="859" spans="1:8" x14ac:dyDescent="0.25">
      <c r="A859" s="29">
        <v>17070</v>
      </c>
      <c r="B859" s="38" t="s">
        <v>19997</v>
      </c>
      <c r="C859" s="35" t="s">
        <v>19221</v>
      </c>
      <c r="D859" s="35" t="s">
        <v>19575</v>
      </c>
      <c r="E859" s="35" t="s">
        <v>19223</v>
      </c>
      <c r="F859" s="35"/>
      <c r="G859" s="36"/>
      <c r="H859" s="36"/>
    </row>
    <row r="860" spans="1:8" x14ac:dyDescent="0.25">
      <c r="A860" s="29">
        <v>56083</v>
      </c>
      <c r="B860" s="38" t="s">
        <v>8253</v>
      </c>
      <c r="C860" s="35" t="s">
        <v>14</v>
      </c>
      <c r="D860" s="35" t="s">
        <v>19474</v>
      </c>
      <c r="E860" s="35" t="s">
        <v>19217</v>
      </c>
      <c r="F860" s="35"/>
      <c r="G860" s="36"/>
      <c r="H860" s="36"/>
    </row>
    <row r="861" spans="1:8" x14ac:dyDescent="0.25">
      <c r="A861" s="29">
        <v>75017</v>
      </c>
      <c r="B861" s="38" t="s">
        <v>3186</v>
      </c>
      <c r="C861" s="35" t="s">
        <v>14</v>
      </c>
      <c r="D861" s="35" t="s">
        <v>19698</v>
      </c>
      <c r="E861" s="35" t="s">
        <v>19240</v>
      </c>
      <c r="F861" s="35"/>
      <c r="G861" s="36"/>
      <c r="H861" s="36"/>
    </row>
    <row r="862" spans="1:8" x14ac:dyDescent="0.25">
      <c r="A862" s="29">
        <v>21020</v>
      </c>
      <c r="B862" s="38" t="s">
        <v>19998</v>
      </c>
      <c r="C862" s="35" t="s">
        <v>19327</v>
      </c>
      <c r="D862" s="35" t="s">
        <v>19296</v>
      </c>
      <c r="E862" s="35" t="s">
        <v>19276</v>
      </c>
      <c r="F862" s="35"/>
      <c r="G862" s="36"/>
      <c r="H862" s="36"/>
    </row>
    <row r="863" spans="1:8" x14ac:dyDescent="0.25">
      <c r="A863" s="29">
        <v>47040</v>
      </c>
      <c r="B863" s="38" t="s">
        <v>19999</v>
      </c>
      <c r="C863" s="35" t="s">
        <v>19221</v>
      </c>
      <c r="D863" s="35" t="s">
        <v>19449</v>
      </c>
      <c r="E863" s="35" t="s">
        <v>19217</v>
      </c>
      <c r="F863" s="35"/>
      <c r="G863" s="36"/>
      <c r="H863" s="36"/>
    </row>
    <row r="864" spans="1:8" x14ac:dyDescent="0.25">
      <c r="A864" s="29">
        <v>27043</v>
      </c>
      <c r="B864" s="38" t="s">
        <v>3179</v>
      </c>
      <c r="C864" s="35" t="s">
        <v>14</v>
      </c>
      <c r="D864" s="35" t="s">
        <v>19291</v>
      </c>
      <c r="E864" s="35" t="s">
        <v>19223</v>
      </c>
      <c r="F864" s="35"/>
      <c r="G864" s="36"/>
      <c r="H864" s="36"/>
    </row>
    <row r="865" spans="1:8" x14ac:dyDescent="0.25">
      <c r="A865" s="29">
        <v>31045</v>
      </c>
      <c r="B865" s="38" t="s">
        <v>20000</v>
      </c>
      <c r="C865" s="35" t="s">
        <v>19221</v>
      </c>
      <c r="D865" s="35" t="s">
        <v>19222</v>
      </c>
      <c r="E865" s="35" t="s">
        <v>19223</v>
      </c>
      <c r="F865" s="35"/>
      <c r="G865" s="36"/>
      <c r="H865" s="36"/>
    </row>
    <row r="866" spans="1:8" x14ac:dyDescent="0.25">
      <c r="A866" s="29">
        <v>14030</v>
      </c>
      <c r="B866" s="38" t="s">
        <v>20001</v>
      </c>
      <c r="C866" s="35" t="s">
        <v>19327</v>
      </c>
      <c r="D866" s="35" t="s">
        <v>19487</v>
      </c>
      <c r="E866" s="35" t="s">
        <v>19232</v>
      </c>
      <c r="F866" s="35"/>
      <c r="G866" s="36"/>
      <c r="H866" s="36"/>
    </row>
    <row r="867" spans="1:8" x14ac:dyDescent="0.25">
      <c r="A867" s="29">
        <v>9070</v>
      </c>
      <c r="B867" s="38" t="s">
        <v>20002</v>
      </c>
      <c r="C867" s="35" t="s">
        <v>19327</v>
      </c>
      <c r="D867" s="35" t="s">
        <v>19455</v>
      </c>
      <c r="E867" s="35" t="s">
        <v>19232</v>
      </c>
      <c r="F867" s="35"/>
      <c r="G867" s="36"/>
      <c r="H867" s="36"/>
    </row>
    <row r="868" spans="1:8" x14ac:dyDescent="0.25">
      <c r="A868" s="29">
        <v>27050</v>
      </c>
      <c r="B868" s="38" t="s">
        <v>20003</v>
      </c>
      <c r="C868" s="35" t="s">
        <v>19221</v>
      </c>
      <c r="D868" s="35" t="s">
        <v>19291</v>
      </c>
      <c r="E868" s="35" t="s">
        <v>19223</v>
      </c>
      <c r="F868" s="35"/>
      <c r="G868" s="36"/>
      <c r="H868" s="36"/>
    </row>
    <row r="869" spans="1:8" x14ac:dyDescent="0.25">
      <c r="A869" s="29">
        <v>53050</v>
      </c>
      <c r="B869" s="38" t="s">
        <v>20004</v>
      </c>
      <c r="C869" s="35" t="s">
        <v>14</v>
      </c>
      <c r="D869" s="35" t="s">
        <v>19602</v>
      </c>
      <c r="E869" s="35" t="s">
        <v>19217</v>
      </c>
      <c r="F869" s="35"/>
      <c r="G869" s="36"/>
      <c r="H869" s="36"/>
    </row>
    <row r="870" spans="1:8" x14ac:dyDescent="0.25">
      <c r="A870" s="29">
        <v>72025</v>
      </c>
      <c r="B870" s="38" t="s">
        <v>3068</v>
      </c>
      <c r="C870" s="35" t="s">
        <v>19221</v>
      </c>
      <c r="D870" s="35" t="s">
        <v>19397</v>
      </c>
      <c r="E870" s="35" t="s">
        <v>19240</v>
      </c>
      <c r="F870" s="35"/>
      <c r="G870" s="36"/>
      <c r="H870" s="36"/>
    </row>
    <row r="871" spans="1:8" x14ac:dyDescent="0.25">
      <c r="A871" s="29">
        <v>54110</v>
      </c>
      <c r="B871" s="38" t="s">
        <v>20005</v>
      </c>
      <c r="C871" s="35" t="s">
        <v>19221</v>
      </c>
      <c r="D871" s="35" t="s">
        <v>19509</v>
      </c>
      <c r="E871" s="35" t="s">
        <v>19217</v>
      </c>
      <c r="F871" s="35"/>
      <c r="G871" s="36"/>
      <c r="H871" s="36"/>
    </row>
    <row r="872" spans="1:8" x14ac:dyDescent="0.25">
      <c r="A872" s="29">
        <v>27055</v>
      </c>
      <c r="B872" s="38" t="s">
        <v>20006</v>
      </c>
      <c r="C872" s="35" t="s">
        <v>19327</v>
      </c>
      <c r="D872" s="35" t="s">
        <v>19291</v>
      </c>
      <c r="E872" s="35" t="s">
        <v>19223</v>
      </c>
      <c r="F872" s="35"/>
      <c r="G872" s="36"/>
      <c r="H872" s="36"/>
    </row>
    <row r="873" spans="1:8" x14ac:dyDescent="0.25">
      <c r="A873" s="29">
        <v>31035</v>
      </c>
      <c r="B873" s="38" t="s">
        <v>20007</v>
      </c>
      <c r="C873" s="35" t="s">
        <v>19221</v>
      </c>
      <c r="D873" s="35" t="s">
        <v>19222</v>
      </c>
      <c r="E873" s="35" t="s">
        <v>19223</v>
      </c>
      <c r="F873" s="35"/>
      <c r="G873" s="36"/>
      <c r="H873" s="36"/>
    </row>
    <row r="874" spans="1:8" x14ac:dyDescent="0.25">
      <c r="A874" s="29">
        <v>18005</v>
      </c>
      <c r="B874" s="38" t="s">
        <v>20008</v>
      </c>
      <c r="C874" s="35" t="s">
        <v>19221</v>
      </c>
      <c r="D874" s="35" t="s">
        <v>14579</v>
      </c>
      <c r="E874" s="35" t="s">
        <v>19223</v>
      </c>
      <c r="F874" s="35"/>
      <c r="G874" s="36"/>
      <c r="H874" s="36"/>
    </row>
    <row r="875" spans="1:8" x14ac:dyDescent="0.25">
      <c r="A875" s="29">
        <v>13040</v>
      </c>
      <c r="B875" s="38" t="s">
        <v>20009</v>
      </c>
      <c r="C875" s="35" t="s">
        <v>19221</v>
      </c>
      <c r="D875" s="35" t="s">
        <v>19256</v>
      </c>
      <c r="E875" s="35" t="s">
        <v>19232</v>
      </c>
      <c r="F875" s="35"/>
      <c r="G875" s="36"/>
      <c r="H875" s="36"/>
    </row>
    <row r="876" spans="1:8" x14ac:dyDescent="0.25">
      <c r="A876" s="29">
        <v>51045</v>
      </c>
      <c r="B876" s="38" t="s">
        <v>20010</v>
      </c>
      <c r="C876" s="35" t="s">
        <v>19221</v>
      </c>
      <c r="D876" s="35" t="s">
        <v>19362</v>
      </c>
      <c r="E876" s="35" t="s">
        <v>19286</v>
      </c>
      <c r="F876" s="35"/>
      <c r="G876" s="36"/>
      <c r="H876" s="36"/>
    </row>
    <row r="877" spans="1:8" x14ac:dyDescent="0.25">
      <c r="A877" s="29">
        <v>58012</v>
      </c>
      <c r="B877" s="38" t="s">
        <v>20011</v>
      </c>
      <c r="C877" s="35" t="s">
        <v>14</v>
      </c>
      <c r="D877" s="35" t="s">
        <v>19272</v>
      </c>
      <c r="E877" s="35" t="s">
        <v>19217</v>
      </c>
      <c r="F877" s="35"/>
      <c r="G877" s="36"/>
      <c r="H877" s="36"/>
    </row>
    <row r="878" spans="1:8" x14ac:dyDescent="0.25">
      <c r="A878" s="29">
        <v>87120</v>
      </c>
      <c r="B878" s="38" t="s">
        <v>20011</v>
      </c>
      <c r="C878" s="35" t="s">
        <v>19327</v>
      </c>
      <c r="D878" s="35" t="s">
        <v>19263</v>
      </c>
      <c r="E878" s="35" t="s">
        <v>19243</v>
      </c>
      <c r="F878" s="35"/>
      <c r="G878" s="36"/>
      <c r="H878" s="36"/>
    </row>
    <row r="879" spans="1:8" x14ac:dyDescent="0.25">
      <c r="A879" s="29">
        <v>26070</v>
      </c>
      <c r="B879" s="38" t="s">
        <v>20012</v>
      </c>
      <c r="C879" s="35" t="s">
        <v>19221</v>
      </c>
      <c r="D879" s="35" t="s">
        <v>19436</v>
      </c>
      <c r="E879" s="35" t="s">
        <v>19223</v>
      </c>
      <c r="F879" s="35"/>
      <c r="G879" s="36"/>
      <c r="H879" s="36"/>
    </row>
    <row r="880" spans="1:8" x14ac:dyDescent="0.25">
      <c r="A880" s="29">
        <v>20020</v>
      </c>
      <c r="B880" s="38" t="s">
        <v>20013</v>
      </c>
      <c r="C880" s="35" t="s">
        <v>19221</v>
      </c>
      <c r="D880" s="35" t="s">
        <v>19865</v>
      </c>
      <c r="E880" s="35" t="s">
        <v>19276</v>
      </c>
      <c r="F880" s="35"/>
      <c r="G880" s="36"/>
      <c r="H880" s="36"/>
    </row>
    <row r="881" spans="1:8" x14ac:dyDescent="0.25">
      <c r="A881" s="29">
        <v>71105</v>
      </c>
      <c r="B881" s="38" t="s">
        <v>20014</v>
      </c>
      <c r="C881" s="35" t="s">
        <v>14</v>
      </c>
      <c r="D881" s="35" t="s">
        <v>19482</v>
      </c>
      <c r="E881" s="35" t="s">
        <v>19217</v>
      </c>
      <c r="F881" s="35"/>
      <c r="G881" s="36"/>
      <c r="H881" s="36"/>
    </row>
    <row r="882" spans="1:8" x14ac:dyDescent="0.25">
      <c r="A882" s="29">
        <v>19050</v>
      </c>
      <c r="B882" s="38" t="s">
        <v>20015</v>
      </c>
      <c r="C882" s="35" t="s">
        <v>19221</v>
      </c>
      <c r="D882" s="35" t="s">
        <v>19248</v>
      </c>
      <c r="E882" s="35" t="s">
        <v>19223</v>
      </c>
      <c r="F882" s="35"/>
      <c r="G882" s="36"/>
      <c r="H882" s="36"/>
    </row>
    <row r="883" spans="1:8" x14ac:dyDescent="0.25">
      <c r="A883" s="29">
        <v>8065</v>
      </c>
      <c r="B883" s="38" t="s">
        <v>20016</v>
      </c>
      <c r="C883" s="35" t="s">
        <v>19327</v>
      </c>
      <c r="D883" s="35" t="s">
        <v>19269</v>
      </c>
      <c r="E883" s="35" t="s">
        <v>19232</v>
      </c>
      <c r="F883" s="35"/>
      <c r="G883" s="36"/>
      <c r="H883" s="36"/>
    </row>
    <row r="884" spans="1:8" x14ac:dyDescent="0.25">
      <c r="A884" s="29">
        <v>50042</v>
      </c>
      <c r="B884" s="38" t="s">
        <v>20017</v>
      </c>
      <c r="C884" s="35" t="s">
        <v>19221</v>
      </c>
      <c r="D884" s="35" t="s">
        <v>19254</v>
      </c>
      <c r="E884" s="35" t="s">
        <v>19255</v>
      </c>
      <c r="F884" s="35"/>
      <c r="G884" s="36"/>
      <c r="H884" s="36"/>
    </row>
    <row r="885" spans="1:8" x14ac:dyDescent="0.25">
      <c r="A885" s="29">
        <v>34115</v>
      </c>
      <c r="B885" s="38" t="s">
        <v>20018</v>
      </c>
      <c r="C885" s="35" t="s">
        <v>19221</v>
      </c>
      <c r="D885" s="35" t="s">
        <v>19347</v>
      </c>
      <c r="E885" s="35" t="s">
        <v>19276</v>
      </c>
      <c r="F885" s="35"/>
      <c r="G885" s="36"/>
      <c r="H885" s="36"/>
    </row>
    <row r="886" spans="1:8" x14ac:dyDescent="0.25">
      <c r="A886" s="29">
        <v>19020</v>
      </c>
      <c r="B886" s="38" t="s">
        <v>20019</v>
      </c>
      <c r="C886" s="35" t="s">
        <v>19327</v>
      </c>
      <c r="D886" s="35" t="s">
        <v>19248</v>
      </c>
      <c r="E886" s="35" t="s">
        <v>19223</v>
      </c>
      <c r="F886" s="35"/>
      <c r="G886" s="36"/>
      <c r="H886" s="36"/>
    </row>
    <row r="887" spans="1:8" x14ac:dyDescent="0.25">
      <c r="A887" s="29">
        <v>51035</v>
      </c>
      <c r="B887" s="38" t="s">
        <v>20020</v>
      </c>
      <c r="C887" s="35" t="s">
        <v>19327</v>
      </c>
      <c r="D887" s="35" t="s">
        <v>19362</v>
      </c>
      <c r="E887" s="35" t="s">
        <v>19286</v>
      </c>
      <c r="F887" s="35"/>
      <c r="G887" s="36"/>
      <c r="H887" s="36"/>
    </row>
    <row r="888" spans="1:8" x14ac:dyDescent="0.25">
      <c r="A888" s="29">
        <v>7030</v>
      </c>
      <c r="B888" s="38" t="s">
        <v>20020</v>
      </c>
      <c r="C888" s="35" t="s">
        <v>19327</v>
      </c>
      <c r="D888" s="35" t="s">
        <v>19231</v>
      </c>
      <c r="E888" s="35" t="s">
        <v>19232</v>
      </c>
      <c r="F888" s="35"/>
      <c r="G888" s="36"/>
      <c r="H888" s="36"/>
    </row>
    <row r="889" spans="1:8" x14ac:dyDescent="0.25">
      <c r="A889" s="29">
        <v>54072</v>
      </c>
      <c r="B889" s="38" t="s">
        <v>20021</v>
      </c>
      <c r="C889" s="35" t="s">
        <v>19221</v>
      </c>
      <c r="D889" s="35" t="s">
        <v>19509</v>
      </c>
      <c r="E889" s="35" t="s">
        <v>19217</v>
      </c>
      <c r="F889" s="35"/>
      <c r="G889" s="36"/>
      <c r="H889" s="36"/>
    </row>
    <row r="890" spans="1:8" x14ac:dyDescent="0.25">
      <c r="A890" s="29">
        <v>63065</v>
      </c>
      <c r="B890" s="38" t="s">
        <v>20022</v>
      </c>
      <c r="C890" s="35" t="s">
        <v>19221</v>
      </c>
      <c r="D890" s="35" t="s">
        <v>14658</v>
      </c>
      <c r="E890" s="35" t="s">
        <v>19310</v>
      </c>
      <c r="F890" s="35"/>
      <c r="G890" s="36"/>
      <c r="H890" s="36"/>
    </row>
    <row r="891" spans="1:8" x14ac:dyDescent="0.25">
      <c r="A891" s="29">
        <v>63048</v>
      </c>
      <c r="B891" s="38" t="s">
        <v>20023</v>
      </c>
      <c r="C891" s="35" t="s">
        <v>14</v>
      </c>
      <c r="D891" s="35" t="s">
        <v>14658</v>
      </c>
      <c r="E891" s="35" t="s">
        <v>19310</v>
      </c>
      <c r="F891" s="35"/>
      <c r="G891" s="36"/>
      <c r="H891" s="36"/>
    </row>
    <row r="892" spans="1:8" x14ac:dyDescent="0.25">
      <c r="A892" s="29">
        <v>54120</v>
      </c>
      <c r="B892" s="38" t="s">
        <v>20024</v>
      </c>
      <c r="C892" s="35" t="s">
        <v>19221</v>
      </c>
      <c r="D892" s="35" t="s">
        <v>19509</v>
      </c>
      <c r="E892" s="35" t="s">
        <v>19217</v>
      </c>
      <c r="F892" s="35"/>
      <c r="G892" s="36"/>
      <c r="H892" s="36"/>
    </row>
    <row r="893" spans="1:8" x14ac:dyDescent="0.25">
      <c r="A893" s="29">
        <v>39170</v>
      </c>
      <c r="B893" s="38" t="s">
        <v>20025</v>
      </c>
      <c r="C893" s="35" t="s">
        <v>19221</v>
      </c>
      <c r="D893" s="35" t="s">
        <v>19370</v>
      </c>
      <c r="E893" s="35" t="s">
        <v>19255</v>
      </c>
      <c r="F893" s="35"/>
      <c r="G893" s="36"/>
      <c r="H893" s="36"/>
    </row>
    <row r="894" spans="1:8" x14ac:dyDescent="0.25">
      <c r="A894" s="29">
        <v>70035</v>
      </c>
      <c r="B894" s="38" t="s">
        <v>20026</v>
      </c>
      <c r="C894" s="35" t="s">
        <v>19327</v>
      </c>
      <c r="D894" s="35" t="s">
        <v>19903</v>
      </c>
      <c r="E894" s="35" t="s">
        <v>19217</v>
      </c>
      <c r="F894" s="35"/>
      <c r="G894" s="36"/>
      <c r="H894" s="36"/>
    </row>
    <row r="895" spans="1:8" x14ac:dyDescent="0.25">
      <c r="A895" s="29">
        <v>28035</v>
      </c>
      <c r="B895" s="38" t="s">
        <v>20026</v>
      </c>
      <c r="C895" s="35" t="s">
        <v>19221</v>
      </c>
      <c r="D895" s="35" t="s">
        <v>19527</v>
      </c>
      <c r="E895" s="35" t="s">
        <v>19223</v>
      </c>
      <c r="F895" s="35"/>
      <c r="G895" s="36"/>
      <c r="H895" s="36"/>
    </row>
    <row r="896" spans="1:8" x14ac:dyDescent="0.25">
      <c r="A896" s="29">
        <v>21015</v>
      </c>
      <c r="B896" s="38" t="s">
        <v>20027</v>
      </c>
      <c r="C896" s="35" t="s">
        <v>19327</v>
      </c>
      <c r="D896" s="35" t="s">
        <v>19296</v>
      </c>
      <c r="E896" s="35" t="s">
        <v>19276</v>
      </c>
      <c r="F896" s="35"/>
      <c r="G896" s="36"/>
      <c r="H896" s="36"/>
    </row>
    <row r="897" spans="1:8" x14ac:dyDescent="0.25">
      <c r="A897" s="29">
        <v>13080</v>
      </c>
      <c r="B897" s="38" t="s">
        <v>20028</v>
      </c>
      <c r="C897" s="35" t="s">
        <v>19327</v>
      </c>
      <c r="D897" s="35" t="s">
        <v>19256</v>
      </c>
      <c r="E897" s="35" t="s">
        <v>19232</v>
      </c>
      <c r="F897" s="35"/>
      <c r="G897" s="36"/>
      <c r="H897" s="36"/>
    </row>
    <row r="898" spans="1:8" x14ac:dyDescent="0.25">
      <c r="A898" s="29">
        <v>28060</v>
      </c>
      <c r="B898" s="38" t="s">
        <v>20029</v>
      </c>
      <c r="C898" s="35" t="s">
        <v>19221</v>
      </c>
      <c r="D898" s="35" t="s">
        <v>19527</v>
      </c>
      <c r="E898" s="35" t="s">
        <v>19223</v>
      </c>
      <c r="F898" s="35"/>
      <c r="G898" s="36"/>
      <c r="H898" s="36"/>
    </row>
    <row r="899" spans="1:8" x14ac:dyDescent="0.25">
      <c r="A899" s="29">
        <v>37225</v>
      </c>
      <c r="B899" s="38" t="s">
        <v>20030</v>
      </c>
      <c r="C899" s="35" t="s">
        <v>19221</v>
      </c>
      <c r="D899" s="35" t="s">
        <v>19285</v>
      </c>
      <c r="E899" s="35" t="s">
        <v>19286</v>
      </c>
      <c r="F899" s="35"/>
      <c r="G899" s="36"/>
      <c r="H899" s="36"/>
    </row>
    <row r="900" spans="1:8" x14ac:dyDescent="0.25">
      <c r="A900" s="29">
        <v>49030</v>
      </c>
      <c r="B900" s="38" t="s">
        <v>20031</v>
      </c>
      <c r="C900" s="35" t="s">
        <v>19221</v>
      </c>
      <c r="D900" s="35" t="s">
        <v>19405</v>
      </c>
      <c r="E900" s="35" t="s">
        <v>19255</v>
      </c>
      <c r="F900" s="35"/>
      <c r="G900" s="36"/>
      <c r="H900" s="36"/>
    </row>
    <row r="901" spans="1:8" x14ac:dyDescent="0.25">
      <c r="A901" s="29">
        <v>30072</v>
      </c>
      <c r="B901" s="38" t="s">
        <v>20032</v>
      </c>
      <c r="C901" s="35" t="s">
        <v>19221</v>
      </c>
      <c r="D901" s="35" t="s">
        <v>19257</v>
      </c>
      <c r="E901" s="35" t="s">
        <v>19252</v>
      </c>
      <c r="F901" s="35"/>
      <c r="G901" s="36"/>
      <c r="H901" s="36"/>
    </row>
    <row r="902" spans="1:8" x14ac:dyDescent="0.25">
      <c r="A902" s="29">
        <v>93080</v>
      </c>
      <c r="B902" s="38" t="s">
        <v>20033</v>
      </c>
      <c r="C902" s="35" t="s">
        <v>19221</v>
      </c>
      <c r="D902" s="35" t="s">
        <v>19237</v>
      </c>
      <c r="E902" s="35" t="s">
        <v>19229</v>
      </c>
      <c r="F902" s="35"/>
      <c r="G902" s="36"/>
      <c r="H902" s="36"/>
    </row>
    <row r="903" spans="1:8" x14ac:dyDescent="0.25">
      <c r="A903" s="29">
        <v>28075</v>
      </c>
      <c r="B903" s="38" t="s">
        <v>20034</v>
      </c>
      <c r="C903" s="35" t="s">
        <v>19221</v>
      </c>
      <c r="D903" s="35" t="s">
        <v>19527</v>
      </c>
      <c r="E903" s="35" t="s">
        <v>19223</v>
      </c>
      <c r="F903" s="35"/>
      <c r="G903" s="36"/>
      <c r="H903" s="36"/>
    </row>
    <row r="904" spans="1:8" x14ac:dyDescent="0.25">
      <c r="A904" s="29">
        <v>49095</v>
      </c>
      <c r="B904" s="38" t="s">
        <v>20035</v>
      </c>
      <c r="C904" s="35" t="s">
        <v>19327</v>
      </c>
      <c r="D904" s="35" t="s">
        <v>19405</v>
      </c>
      <c r="E904" s="35" t="s">
        <v>19255</v>
      </c>
      <c r="F904" s="35"/>
      <c r="G904" s="36"/>
      <c r="H904" s="36"/>
    </row>
    <row r="905" spans="1:8" x14ac:dyDescent="0.25">
      <c r="A905" s="29">
        <v>19025</v>
      </c>
      <c r="B905" s="38" t="s">
        <v>20036</v>
      </c>
      <c r="C905" s="35" t="s">
        <v>19327</v>
      </c>
      <c r="D905" s="35" t="s">
        <v>19248</v>
      </c>
      <c r="E905" s="35" t="s">
        <v>19223</v>
      </c>
      <c r="F905" s="35"/>
      <c r="G905" s="36"/>
      <c r="H905" s="36"/>
    </row>
    <row r="906" spans="1:8" x14ac:dyDescent="0.25">
      <c r="A906" s="29">
        <v>44003</v>
      </c>
      <c r="B906" s="38" t="s">
        <v>20037</v>
      </c>
      <c r="C906" s="35" t="s">
        <v>19221</v>
      </c>
      <c r="D906" s="35" t="s">
        <v>19282</v>
      </c>
      <c r="E906" s="35" t="s">
        <v>19252</v>
      </c>
      <c r="F906" s="35"/>
      <c r="G906" s="36"/>
      <c r="H906" s="36"/>
    </row>
    <row r="907" spans="1:8" x14ac:dyDescent="0.25">
      <c r="A907" s="29">
        <v>88040</v>
      </c>
      <c r="B907" s="38" t="s">
        <v>3062</v>
      </c>
      <c r="C907" s="35" t="s">
        <v>19327</v>
      </c>
      <c r="D907" s="35" t="s">
        <v>19242</v>
      </c>
      <c r="E907" s="35" t="s">
        <v>19243</v>
      </c>
      <c r="F907" s="35"/>
      <c r="G907" s="36"/>
      <c r="H907" s="36"/>
    </row>
    <row r="908" spans="1:8" x14ac:dyDescent="0.25">
      <c r="A908" s="29">
        <v>34065</v>
      </c>
      <c r="B908" s="38" t="s">
        <v>20038</v>
      </c>
      <c r="C908" s="35" t="s">
        <v>14</v>
      </c>
      <c r="D908" s="35" t="s">
        <v>19347</v>
      </c>
      <c r="E908" s="35" t="s">
        <v>19276</v>
      </c>
      <c r="F908" s="35"/>
      <c r="G908" s="36"/>
      <c r="H908" s="36"/>
    </row>
    <row r="909" spans="1:8" x14ac:dyDescent="0.25">
      <c r="A909" s="29">
        <v>13020</v>
      </c>
      <c r="B909" s="38" t="s">
        <v>20039</v>
      </c>
      <c r="C909" s="35" t="s">
        <v>19327</v>
      </c>
      <c r="D909" s="35" t="s">
        <v>19256</v>
      </c>
      <c r="E909" s="35" t="s">
        <v>19232</v>
      </c>
      <c r="F909" s="35"/>
      <c r="G909" s="36"/>
      <c r="H909" s="36"/>
    </row>
    <row r="910" spans="1:8" x14ac:dyDescent="0.25">
      <c r="A910" s="29">
        <v>17020</v>
      </c>
      <c r="B910" s="38" t="s">
        <v>20040</v>
      </c>
      <c r="C910" s="35" t="s">
        <v>19221</v>
      </c>
      <c r="D910" s="35" t="s">
        <v>19575</v>
      </c>
      <c r="E910" s="35" t="s">
        <v>19223</v>
      </c>
      <c r="F910" s="35"/>
      <c r="G910" s="36"/>
      <c r="H910" s="36"/>
    </row>
    <row r="911" spans="1:8" x14ac:dyDescent="0.25">
      <c r="A911" s="29">
        <v>54125</v>
      </c>
      <c r="B911" s="38" t="s">
        <v>20041</v>
      </c>
      <c r="C911" s="35" t="s">
        <v>19221</v>
      </c>
      <c r="D911" s="35" t="s">
        <v>19509</v>
      </c>
      <c r="E911" s="35" t="s">
        <v>19217</v>
      </c>
      <c r="F911" s="35"/>
      <c r="G911" s="36"/>
      <c r="H911" s="36"/>
    </row>
    <row r="912" spans="1:8" x14ac:dyDescent="0.25">
      <c r="A912" s="29">
        <v>10025</v>
      </c>
      <c r="B912" s="38" t="s">
        <v>20042</v>
      </c>
      <c r="C912" s="35" t="s">
        <v>19327</v>
      </c>
      <c r="D912" s="35" t="s">
        <v>19423</v>
      </c>
      <c r="E912" s="35" t="s">
        <v>19232</v>
      </c>
      <c r="F912" s="35"/>
      <c r="G912" s="36"/>
      <c r="H912" s="36"/>
    </row>
    <row r="913" spans="1:8" x14ac:dyDescent="0.25">
      <c r="A913" s="29">
        <v>57050</v>
      </c>
      <c r="B913" s="38" t="s">
        <v>20043</v>
      </c>
      <c r="C913" s="35" t="s">
        <v>19221</v>
      </c>
      <c r="D913" s="35" t="s">
        <v>19759</v>
      </c>
      <c r="E913" s="35" t="s">
        <v>19217</v>
      </c>
      <c r="F913" s="35"/>
      <c r="G913" s="36"/>
      <c r="H913" s="36"/>
    </row>
    <row r="914" spans="1:8" x14ac:dyDescent="0.25">
      <c r="A914" s="29">
        <v>29045</v>
      </c>
      <c r="B914" s="38" t="s">
        <v>20044</v>
      </c>
      <c r="C914" s="35" t="s">
        <v>19327</v>
      </c>
      <c r="D914" s="35" t="s">
        <v>19500</v>
      </c>
      <c r="E914" s="35" t="s">
        <v>19223</v>
      </c>
      <c r="F914" s="35"/>
      <c r="G914" s="36"/>
      <c r="H914" s="36"/>
    </row>
    <row r="915" spans="1:8" x14ac:dyDescent="0.25">
      <c r="A915" s="29">
        <v>55065</v>
      </c>
      <c r="B915" s="38" t="s">
        <v>20045</v>
      </c>
      <c r="C915" s="35" t="s">
        <v>19221</v>
      </c>
      <c r="D915" s="35" t="s">
        <v>19706</v>
      </c>
      <c r="E915" s="35" t="s">
        <v>19217</v>
      </c>
      <c r="F915" s="35"/>
      <c r="G915" s="36"/>
      <c r="H915" s="36"/>
    </row>
    <row r="916" spans="1:8" x14ac:dyDescent="0.25">
      <c r="A916" s="29">
        <v>67005</v>
      </c>
      <c r="B916" s="38" t="s">
        <v>20046</v>
      </c>
      <c r="C916" s="35" t="s">
        <v>19221</v>
      </c>
      <c r="D916" s="35" t="s">
        <v>19340</v>
      </c>
      <c r="E916" s="35" t="s">
        <v>19217</v>
      </c>
      <c r="F916" s="35"/>
      <c r="G916" s="36"/>
      <c r="H916" s="36"/>
    </row>
    <row r="917" spans="1:8" x14ac:dyDescent="0.25">
      <c r="A917" s="29">
        <v>57045</v>
      </c>
      <c r="B917" s="38" t="s">
        <v>20047</v>
      </c>
      <c r="C917" s="35" t="s">
        <v>19221</v>
      </c>
      <c r="D917" s="35" t="s">
        <v>19305</v>
      </c>
      <c r="E917" s="35" t="s">
        <v>19217</v>
      </c>
      <c r="F917" s="35"/>
      <c r="G917" s="36"/>
      <c r="H917" s="36"/>
    </row>
    <row r="918" spans="1:8" x14ac:dyDescent="0.25">
      <c r="A918" s="29">
        <v>11050</v>
      </c>
      <c r="B918" s="38" t="s">
        <v>20048</v>
      </c>
      <c r="C918" s="35" t="s">
        <v>19221</v>
      </c>
      <c r="D918" s="35" t="s">
        <v>19651</v>
      </c>
      <c r="E918" s="35" t="s">
        <v>19232</v>
      </c>
      <c r="F918" s="35"/>
      <c r="G918" s="36"/>
      <c r="H918" s="36"/>
    </row>
    <row r="919" spans="1:8" x14ac:dyDescent="0.25">
      <c r="A919" s="29">
        <v>88050</v>
      </c>
      <c r="B919" s="38" t="s">
        <v>20049</v>
      </c>
      <c r="C919" s="35" t="s">
        <v>19221</v>
      </c>
      <c r="D919" s="35" t="s">
        <v>19242</v>
      </c>
      <c r="E919" s="35" t="s">
        <v>19243</v>
      </c>
      <c r="F919" s="35"/>
      <c r="G919" s="36"/>
      <c r="H919" s="36"/>
    </row>
    <row r="920" spans="1:8" x14ac:dyDescent="0.25">
      <c r="A920" s="29">
        <v>51070</v>
      </c>
      <c r="B920" s="38" t="s">
        <v>20050</v>
      </c>
      <c r="C920" s="35" t="s">
        <v>19221</v>
      </c>
      <c r="D920" s="35" t="s">
        <v>19362</v>
      </c>
      <c r="E920" s="35" t="s">
        <v>19286</v>
      </c>
      <c r="F920" s="35"/>
      <c r="G920" s="36"/>
      <c r="H920" s="36"/>
    </row>
    <row r="921" spans="1:8" x14ac:dyDescent="0.25">
      <c r="A921" s="29">
        <v>37230</v>
      </c>
      <c r="B921" s="38" t="s">
        <v>20051</v>
      </c>
      <c r="C921" s="35" t="s">
        <v>19327</v>
      </c>
      <c r="D921" s="35" t="s">
        <v>19285</v>
      </c>
      <c r="E921" s="35" t="s">
        <v>19286</v>
      </c>
      <c r="F921" s="35"/>
      <c r="G921" s="36"/>
      <c r="H921" s="36"/>
    </row>
    <row r="922" spans="1:8" x14ac:dyDescent="0.25">
      <c r="A922" s="29">
        <v>4010</v>
      </c>
      <c r="B922" s="38" t="s">
        <v>20052</v>
      </c>
      <c r="C922" s="35" t="s">
        <v>19221</v>
      </c>
      <c r="D922" s="35" t="s">
        <v>19343</v>
      </c>
      <c r="E922" s="35" t="s">
        <v>19321</v>
      </c>
      <c r="F922" s="35"/>
      <c r="G922" s="36"/>
      <c r="H922" s="36"/>
    </row>
    <row r="923" spans="1:8" x14ac:dyDescent="0.25">
      <c r="A923" s="29">
        <v>11025</v>
      </c>
      <c r="B923" s="38" t="s">
        <v>20053</v>
      </c>
      <c r="C923" s="35" t="s">
        <v>19221</v>
      </c>
      <c r="D923" s="35" t="s">
        <v>19651</v>
      </c>
      <c r="E923" s="35" t="s">
        <v>19232</v>
      </c>
      <c r="F923" s="35"/>
      <c r="G923" s="36"/>
      <c r="H923" s="36"/>
    </row>
    <row r="924" spans="1:8" x14ac:dyDescent="0.25">
      <c r="A924" s="29">
        <v>68050</v>
      </c>
      <c r="B924" s="38" t="s">
        <v>20054</v>
      </c>
      <c r="C924" s="35" t="s">
        <v>19221</v>
      </c>
      <c r="D924" s="35" t="s">
        <v>19472</v>
      </c>
      <c r="E924" s="35" t="s">
        <v>19217</v>
      </c>
      <c r="F924" s="35"/>
      <c r="G924" s="36"/>
      <c r="H924" s="36"/>
    </row>
    <row r="925" spans="1:8" x14ac:dyDescent="0.25">
      <c r="A925" s="29">
        <v>19110</v>
      </c>
      <c r="B925" s="38" t="s">
        <v>20055</v>
      </c>
      <c r="C925" s="35" t="s">
        <v>19221</v>
      </c>
      <c r="D925" s="35" t="s">
        <v>19248</v>
      </c>
      <c r="E925" s="35" t="s">
        <v>19223</v>
      </c>
      <c r="F925" s="35"/>
      <c r="G925" s="36"/>
      <c r="H925" s="36"/>
    </row>
    <row r="926" spans="1:8" x14ac:dyDescent="0.25">
      <c r="A926" s="29">
        <v>62085</v>
      </c>
      <c r="B926" s="38" t="s">
        <v>20056</v>
      </c>
      <c r="C926" s="35" t="s">
        <v>19221</v>
      </c>
      <c r="D926" s="35" t="s">
        <v>19368</v>
      </c>
      <c r="E926" s="35" t="s">
        <v>19310</v>
      </c>
      <c r="F926" s="35"/>
      <c r="G926" s="36"/>
      <c r="H926" s="36"/>
    </row>
    <row r="927" spans="1:8" x14ac:dyDescent="0.25">
      <c r="A927" s="29">
        <v>13065</v>
      </c>
      <c r="B927" s="38" t="s">
        <v>20057</v>
      </c>
      <c r="C927" s="35" t="s">
        <v>19221</v>
      </c>
      <c r="D927" s="35" t="s">
        <v>19256</v>
      </c>
      <c r="E927" s="35" t="s">
        <v>19232</v>
      </c>
      <c r="F927" s="35"/>
      <c r="G927" s="36"/>
      <c r="H927" s="36"/>
    </row>
    <row r="928" spans="1:8" x14ac:dyDescent="0.25">
      <c r="A928" s="29">
        <v>12020</v>
      </c>
      <c r="B928" s="38" t="s">
        <v>20058</v>
      </c>
      <c r="C928" s="35" t="s">
        <v>19221</v>
      </c>
      <c r="D928" s="35" t="s">
        <v>19336</v>
      </c>
      <c r="E928" s="35" t="s">
        <v>19232</v>
      </c>
      <c r="F928" s="35"/>
      <c r="G928" s="36"/>
      <c r="H928" s="36"/>
    </row>
    <row r="929" spans="1:8" x14ac:dyDescent="0.25">
      <c r="A929" s="29">
        <v>7095</v>
      </c>
      <c r="B929" s="38" t="s">
        <v>20059</v>
      </c>
      <c r="C929" s="35" t="s">
        <v>19327</v>
      </c>
      <c r="D929" s="35" t="s">
        <v>19231</v>
      </c>
      <c r="E929" s="35" t="s">
        <v>19232</v>
      </c>
      <c r="F929" s="35"/>
      <c r="G929" s="36"/>
      <c r="H929" s="36"/>
    </row>
    <row r="930" spans="1:8" x14ac:dyDescent="0.25">
      <c r="A930" s="29">
        <v>37240</v>
      </c>
      <c r="B930" s="38" t="s">
        <v>20060</v>
      </c>
      <c r="C930" s="35" t="s">
        <v>19327</v>
      </c>
      <c r="D930" s="35" t="s">
        <v>19285</v>
      </c>
      <c r="E930" s="35" t="s">
        <v>19286</v>
      </c>
      <c r="F930" s="35"/>
      <c r="G930" s="36"/>
      <c r="H930" s="36"/>
    </row>
    <row r="931" spans="1:8" x14ac:dyDescent="0.25">
      <c r="A931" s="29">
        <v>33030</v>
      </c>
      <c r="B931" s="38" t="s">
        <v>20061</v>
      </c>
      <c r="C931" s="35" t="s">
        <v>19327</v>
      </c>
      <c r="D931" s="35" t="s">
        <v>19404</v>
      </c>
      <c r="E931" s="35" t="s">
        <v>19223</v>
      </c>
      <c r="F931" s="35"/>
      <c r="G931" s="36"/>
      <c r="H931" s="36"/>
    </row>
    <row r="932" spans="1:8" x14ac:dyDescent="0.25">
      <c r="A932" s="29">
        <v>10015</v>
      </c>
      <c r="B932" s="38" t="s">
        <v>20062</v>
      </c>
      <c r="C932" s="35" t="s">
        <v>19327</v>
      </c>
      <c r="D932" s="35" t="s">
        <v>19423</v>
      </c>
      <c r="E932" s="35" t="s">
        <v>19232</v>
      </c>
      <c r="F932" s="35"/>
      <c r="G932" s="36"/>
      <c r="H932" s="36"/>
    </row>
    <row r="933" spans="1:8" x14ac:dyDescent="0.25">
      <c r="A933" s="29">
        <v>93045</v>
      </c>
      <c r="B933" s="38" t="s">
        <v>20063</v>
      </c>
      <c r="C933" s="35" t="s">
        <v>19221</v>
      </c>
      <c r="D933" s="35" t="s">
        <v>19237</v>
      </c>
      <c r="E933" s="35" t="s">
        <v>19229</v>
      </c>
      <c r="F933" s="35"/>
      <c r="G933" s="36"/>
      <c r="H933" s="36"/>
    </row>
    <row r="934" spans="1:8" x14ac:dyDescent="0.25">
      <c r="A934" s="29">
        <v>48050</v>
      </c>
      <c r="B934" s="38" t="s">
        <v>20064</v>
      </c>
      <c r="C934" s="35" t="s">
        <v>19327</v>
      </c>
      <c r="D934" s="35" t="s">
        <v>19219</v>
      </c>
      <c r="E934" s="35" t="s">
        <v>19217</v>
      </c>
      <c r="F934" s="35"/>
      <c r="G934" s="36"/>
      <c r="H934" s="36"/>
    </row>
    <row r="935" spans="1:8" x14ac:dyDescent="0.25">
      <c r="A935" s="29">
        <v>19015</v>
      </c>
      <c r="B935" s="38" t="s">
        <v>20065</v>
      </c>
      <c r="C935" s="35" t="s">
        <v>19327</v>
      </c>
      <c r="D935" s="35" t="s">
        <v>19248</v>
      </c>
      <c r="E935" s="35" t="s">
        <v>19223</v>
      </c>
      <c r="F935" s="35"/>
      <c r="G935" s="36"/>
      <c r="H935" s="36"/>
    </row>
    <row r="936" spans="1:8" x14ac:dyDescent="0.25">
      <c r="A936" s="29">
        <v>19045</v>
      </c>
      <c r="B936" s="38" t="s">
        <v>20066</v>
      </c>
      <c r="C936" s="35" t="s">
        <v>19221</v>
      </c>
      <c r="D936" s="35" t="s">
        <v>19248</v>
      </c>
      <c r="E936" s="35" t="s">
        <v>19223</v>
      </c>
      <c r="F936" s="35"/>
      <c r="G936" s="36"/>
      <c r="H936" s="36"/>
    </row>
    <row r="937" spans="1:8" x14ac:dyDescent="0.25">
      <c r="A937" s="29">
        <v>7100</v>
      </c>
      <c r="B937" s="38" t="s">
        <v>20067</v>
      </c>
      <c r="C937" s="35" t="s">
        <v>19215</v>
      </c>
      <c r="D937" s="35" t="s">
        <v>19231</v>
      </c>
      <c r="E937" s="35" t="s">
        <v>19232</v>
      </c>
      <c r="F937" s="35"/>
      <c r="G937" s="36"/>
      <c r="H937" s="36"/>
    </row>
    <row r="938" spans="1:8" x14ac:dyDescent="0.25">
      <c r="A938" s="29">
        <v>52070</v>
      </c>
      <c r="B938" s="38" t="s">
        <v>20068</v>
      </c>
      <c r="C938" s="35" t="s">
        <v>19327</v>
      </c>
      <c r="D938" s="35" t="s">
        <v>19309</v>
      </c>
      <c r="E938" s="35" t="s">
        <v>19310</v>
      </c>
      <c r="F938" s="35"/>
      <c r="G938" s="36"/>
      <c r="H938" s="36"/>
    </row>
    <row r="939" spans="1:8" x14ac:dyDescent="0.25">
      <c r="A939" s="29">
        <v>39043</v>
      </c>
      <c r="B939" s="38" t="s">
        <v>20069</v>
      </c>
      <c r="C939" s="35" t="s">
        <v>19221</v>
      </c>
      <c r="D939" s="35" t="s">
        <v>19370</v>
      </c>
      <c r="E939" s="35" t="s">
        <v>19255</v>
      </c>
      <c r="F939" s="35"/>
      <c r="G939" s="36"/>
      <c r="H939" s="36"/>
    </row>
    <row r="940" spans="1:8" x14ac:dyDescent="0.25">
      <c r="A940" s="29">
        <v>9055</v>
      </c>
      <c r="B940" s="38" t="s">
        <v>20070</v>
      </c>
      <c r="C940" s="35" t="s">
        <v>19327</v>
      </c>
      <c r="D940" s="35" t="s">
        <v>19455</v>
      </c>
      <c r="E940" s="35" t="s">
        <v>19232</v>
      </c>
      <c r="F940" s="35"/>
      <c r="G940" s="36"/>
      <c r="H940" s="36"/>
    </row>
    <row r="941" spans="1:8" x14ac:dyDescent="0.25">
      <c r="A941" s="29">
        <v>27035</v>
      </c>
      <c r="B941" s="38" t="s">
        <v>20071</v>
      </c>
      <c r="C941" s="35" t="s">
        <v>19327</v>
      </c>
      <c r="D941" s="35" t="s">
        <v>19291</v>
      </c>
      <c r="E941" s="35" t="s">
        <v>19223</v>
      </c>
      <c r="F941" s="35"/>
      <c r="G941" s="36"/>
      <c r="H941" s="36"/>
    </row>
    <row r="942" spans="1:8" x14ac:dyDescent="0.25">
      <c r="A942" s="29">
        <v>17005</v>
      </c>
      <c r="B942" s="38" t="s">
        <v>20072</v>
      </c>
      <c r="C942" s="35" t="s">
        <v>19221</v>
      </c>
      <c r="D942" s="35" t="s">
        <v>19575</v>
      </c>
      <c r="E942" s="35" t="s">
        <v>19223</v>
      </c>
      <c r="F942" s="35"/>
      <c r="G942" s="36"/>
      <c r="H942" s="36"/>
    </row>
    <row r="943" spans="1:8" x14ac:dyDescent="0.25">
      <c r="A943" s="29">
        <v>14080</v>
      </c>
      <c r="B943" s="38" t="s">
        <v>20073</v>
      </c>
      <c r="C943" s="35" t="s">
        <v>19221</v>
      </c>
      <c r="D943" s="35" t="s">
        <v>19487</v>
      </c>
      <c r="E943" s="35" t="s">
        <v>19232</v>
      </c>
      <c r="F943" s="35"/>
      <c r="G943" s="36"/>
      <c r="H943" s="36"/>
    </row>
    <row r="944" spans="1:8" x14ac:dyDescent="0.25">
      <c r="A944" s="29">
        <v>53032</v>
      </c>
      <c r="B944" s="38" t="s">
        <v>20074</v>
      </c>
      <c r="C944" s="35" t="s">
        <v>14</v>
      </c>
      <c r="D944" s="35" t="s">
        <v>19602</v>
      </c>
      <c r="E944" s="35" t="s">
        <v>19217</v>
      </c>
      <c r="F944" s="35"/>
      <c r="G944" s="36"/>
      <c r="H944" s="36"/>
    </row>
    <row r="945" spans="1:8" x14ac:dyDescent="0.25">
      <c r="A945" s="29">
        <v>14070</v>
      </c>
      <c r="B945" s="38" t="s">
        <v>20075</v>
      </c>
      <c r="C945" s="35" t="s">
        <v>19221</v>
      </c>
      <c r="D945" s="35" t="s">
        <v>19487</v>
      </c>
      <c r="E945" s="35" t="s">
        <v>19232</v>
      </c>
      <c r="F945" s="35"/>
      <c r="G945" s="36"/>
      <c r="H945" s="36"/>
    </row>
    <row r="946" spans="1:8" x14ac:dyDescent="0.25">
      <c r="A946" s="29">
        <v>17010</v>
      </c>
      <c r="B946" s="38" t="s">
        <v>20076</v>
      </c>
      <c r="C946" s="35" t="s">
        <v>14</v>
      </c>
      <c r="D946" s="35" t="s">
        <v>19575</v>
      </c>
      <c r="E946" s="35" t="s">
        <v>19223</v>
      </c>
      <c r="F946" s="35"/>
      <c r="G946" s="36"/>
      <c r="H946" s="36"/>
    </row>
    <row r="947" spans="1:8" x14ac:dyDescent="0.25">
      <c r="A947" s="29">
        <v>14018</v>
      </c>
      <c r="B947" s="38" t="s">
        <v>20077</v>
      </c>
      <c r="C947" s="35" t="s">
        <v>14</v>
      </c>
      <c r="D947" s="35" t="s">
        <v>19487</v>
      </c>
      <c r="E947" s="35" t="s">
        <v>19232</v>
      </c>
      <c r="F947" s="35"/>
      <c r="G947" s="36"/>
      <c r="H947" s="36"/>
    </row>
    <row r="948" spans="1:8" x14ac:dyDescent="0.25">
      <c r="A948" s="29">
        <v>33025</v>
      </c>
      <c r="B948" s="38" t="s">
        <v>20078</v>
      </c>
      <c r="C948" s="35" t="s">
        <v>19221</v>
      </c>
      <c r="D948" s="35" t="s">
        <v>19404</v>
      </c>
      <c r="E948" s="35" t="s">
        <v>19223</v>
      </c>
      <c r="F948" s="35"/>
      <c r="G948" s="36"/>
      <c r="H948" s="36"/>
    </row>
    <row r="949" spans="1:8" x14ac:dyDescent="0.25">
      <c r="A949" s="29">
        <v>68025</v>
      </c>
      <c r="B949" s="38" t="s">
        <v>20079</v>
      </c>
      <c r="C949" s="35" t="s">
        <v>19221</v>
      </c>
      <c r="D949" s="35" t="s">
        <v>19472</v>
      </c>
      <c r="E949" s="35" t="s">
        <v>19217</v>
      </c>
      <c r="F949" s="35"/>
      <c r="G949" s="36"/>
      <c r="H949" s="36"/>
    </row>
    <row r="950" spans="1:8" x14ac:dyDescent="0.25">
      <c r="A950" s="29">
        <v>61005</v>
      </c>
      <c r="B950" s="38" t="s">
        <v>20080</v>
      </c>
      <c r="C950" s="35" t="s">
        <v>19221</v>
      </c>
      <c r="D950" s="35" t="s">
        <v>17483</v>
      </c>
      <c r="E950" s="35" t="s">
        <v>19310</v>
      </c>
      <c r="F950" s="35"/>
      <c r="G950" s="36"/>
      <c r="H950" s="36"/>
    </row>
    <row r="951" spans="1:8" x14ac:dyDescent="0.25">
      <c r="A951" s="29">
        <v>55015</v>
      </c>
      <c r="B951" s="38" t="s">
        <v>20081</v>
      </c>
      <c r="C951" s="35" t="s">
        <v>19221</v>
      </c>
      <c r="D951" s="35" t="s">
        <v>19246</v>
      </c>
      <c r="E951" s="35" t="s">
        <v>19217</v>
      </c>
      <c r="F951" s="35"/>
      <c r="G951" s="36"/>
      <c r="H951" s="36"/>
    </row>
    <row r="952" spans="1:8" x14ac:dyDescent="0.25">
      <c r="A952" s="29">
        <v>12035</v>
      </c>
      <c r="B952" s="38" t="s">
        <v>20082</v>
      </c>
      <c r="C952" s="35" t="s">
        <v>19327</v>
      </c>
      <c r="D952" s="35" t="s">
        <v>19336</v>
      </c>
      <c r="E952" s="35" t="s">
        <v>19232</v>
      </c>
      <c r="F952" s="35"/>
      <c r="G952" s="36"/>
      <c r="H952" s="36"/>
    </row>
    <row r="953" spans="1:8" x14ac:dyDescent="0.25">
      <c r="A953" s="29">
        <v>56035</v>
      </c>
      <c r="B953" s="38" t="s">
        <v>20083</v>
      </c>
      <c r="C953" s="35" t="s">
        <v>19221</v>
      </c>
      <c r="D953" s="35" t="s">
        <v>19474</v>
      </c>
      <c r="E953" s="35" t="s">
        <v>19217</v>
      </c>
      <c r="F953" s="35"/>
      <c r="G953" s="36"/>
      <c r="H953" s="36"/>
    </row>
    <row r="954" spans="1:8" x14ac:dyDescent="0.25">
      <c r="A954" s="29">
        <v>18030</v>
      </c>
      <c r="B954" s="38" t="s">
        <v>20084</v>
      </c>
      <c r="C954" s="35" t="s">
        <v>19221</v>
      </c>
      <c r="D954" s="35" t="s">
        <v>14579</v>
      </c>
      <c r="E954" s="35" t="s">
        <v>19223</v>
      </c>
      <c r="F954" s="35"/>
      <c r="G954" s="36"/>
      <c r="H954" s="36"/>
    </row>
    <row r="955" spans="1:8" x14ac:dyDescent="0.25">
      <c r="A955" s="29">
        <v>51060</v>
      </c>
      <c r="B955" s="38" t="s">
        <v>20085</v>
      </c>
      <c r="C955" s="35" t="s">
        <v>19221</v>
      </c>
      <c r="D955" s="35" t="s">
        <v>19362</v>
      </c>
      <c r="E955" s="35" t="s">
        <v>19286</v>
      </c>
      <c r="F955" s="35"/>
      <c r="G955" s="36"/>
      <c r="H955" s="36"/>
    </row>
    <row r="956" spans="1:8" x14ac:dyDescent="0.25">
      <c r="A956" s="29">
        <v>19005</v>
      </c>
      <c r="B956" s="38" t="s">
        <v>20086</v>
      </c>
      <c r="C956" s="35" t="s">
        <v>19327</v>
      </c>
      <c r="D956" s="35" t="s">
        <v>19248</v>
      </c>
      <c r="E956" s="35" t="s">
        <v>19223</v>
      </c>
      <c r="F956" s="35"/>
      <c r="G956" s="36"/>
      <c r="H956" s="36"/>
    </row>
    <row r="957" spans="1:8" x14ac:dyDescent="0.25">
      <c r="A957" s="29">
        <v>29065</v>
      </c>
      <c r="B957" s="38" t="s">
        <v>20087</v>
      </c>
      <c r="C957" s="35" t="s">
        <v>19221</v>
      </c>
      <c r="D957" s="35" t="s">
        <v>19500</v>
      </c>
      <c r="E957" s="35" t="s">
        <v>19223</v>
      </c>
      <c r="F957" s="35"/>
      <c r="G957" s="36"/>
      <c r="H957" s="36"/>
    </row>
    <row r="958" spans="1:8" x14ac:dyDescent="0.25">
      <c r="A958" s="29">
        <v>67010</v>
      </c>
      <c r="B958" s="38" t="s">
        <v>3057</v>
      </c>
      <c r="C958" s="35" t="s">
        <v>14</v>
      </c>
      <c r="D958" s="35" t="s">
        <v>19340</v>
      </c>
      <c r="E958" s="35" t="s">
        <v>19217</v>
      </c>
      <c r="F958" s="35"/>
      <c r="G958" s="36"/>
      <c r="H958" s="36"/>
    </row>
    <row r="959" spans="1:8" x14ac:dyDescent="0.25">
      <c r="A959" s="29">
        <v>14060</v>
      </c>
      <c r="B959" s="38" t="s">
        <v>20088</v>
      </c>
      <c r="C959" s="35" t="s">
        <v>19327</v>
      </c>
      <c r="D959" s="35" t="s">
        <v>19487</v>
      </c>
      <c r="E959" s="35" t="s">
        <v>19232</v>
      </c>
      <c r="F959" s="35"/>
      <c r="G959" s="36"/>
      <c r="H959" s="36"/>
    </row>
    <row r="960" spans="1:8" x14ac:dyDescent="0.25">
      <c r="A960" s="29">
        <v>54008</v>
      </c>
      <c r="B960" s="38" t="s">
        <v>20089</v>
      </c>
      <c r="C960" s="35" t="s">
        <v>14</v>
      </c>
      <c r="D960" s="35" t="s">
        <v>19509</v>
      </c>
      <c r="E960" s="35" t="s">
        <v>19217</v>
      </c>
      <c r="F960" s="35"/>
      <c r="G960" s="36"/>
      <c r="H960" s="36"/>
    </row>
    <row r="961" spans="1:8" x14ac:dyDescent="0.25">
      <c r="A961" s="29">
        <v>49130</v>
      </c>
      <c r="B961" s="38" t="s">
        <v>20090</v>
      </c>
      <c r="C961" s="35" t="s">
        <v>19327</v>
      </c>
      <c r="D961" s="35" t="s">
        <v>19405</v>
      </c>
      <c r="E961" s="35" t="s">
        <v>19255</v>
      </c>
      <c r="F961" s="35"/>
      <c r="G961" s="36"/>
      <c r="H961" s="36"/>
    </row>
    <row r="962" spans="1:8" x14ac:dyDescent="0.25">
      <c r="A962" s="29">
        <v>61020</v>
      </c>
      <c r="B962" s="38" t="s">
        <v>20091</v>
      </c>
      <c r="C962" s="35" t="s">
        <v>19215</v>
      </c>
      <c r="D962" s="35" t="s">
        <v>17483</v>
      </c>
      <c r="E962" s="35" t="s">
        <v>19310</v>
      </c>
      <c r="F962" s="35"/>
      <c r="G962" s="36"/>
      <c r="H962" s="36"/>
    </row>
    <row r="963" spans="1:8" x14ac:dyDescent="0.25">
      <c r="A963" s="29">
        <v>32050</v>
      </c>
      <c r="B963" s="38" t="s">
        <v>20092</v>
      </c>
      <c r="C963" s="35" t="s">
        <v>19327</v>
      </c>
      <c r="D963" s="35" t="s">
        <v>19485</v>
      </c>
      <c r="E963" s="35" t="s">
        <v>19255</v>
      </c>
      <c r="F963" s="35"/>
      <c r="G963" s="36"/>
      <c r="H963" s="36"/>
    </row>
    <row r="964" spans="1:8" x14ac:dyDescent="0.25">
      <c r="A964" s="29">
        <v>31135</v>
      </c>
      <c r="B964" s="38" t="s">
        <v>20093</v>
      </c>
      <c r="C964" s="35" t="s">
        <v>19221</v>
      </c>
      <c r="D964" s="35" t="s">
        <v>19222</v>
      </c>
      <c r="E964" s="35" t="s">
        <v>19223</v>
      </c>
      <c r="F964" s="35"/>
      <c r="G964" s="36"/>
      <c r="H964" s="36"/>
    </row>
    <row r="965" spans="1:8" x14ac:dyDescent="0.25">
      <c r="A965" s="29">
        <v>13075</v>
      </c>
      <c r="B965" s="38" t="s">
        <v>20094</v>
      </c>
      <c r="C965" s="35" t="s">
        <v>19221</v>
      </c>
      <c r="D965" s="35" t="s">
        <v>19256</v>
      </c>
      <c r="E965" s="35" t="s">
        <v>19232</v>
      </c>
      <c r="F965" s="35"/>
      <c r="G965" s="36"/>
      <c r="H965" s="36"/>
    </row>
    <row r="966" spans="1:8" x14ac:dyDescent="0.25">
      <c r="A966" s="29">
        <v>18055</v>
      </c>
      <c r="B966" s="38" t="s">
        <v>20095</v>
      </c>
      <c r="C966" s="35" t="s">
        <v>19327</v>
      </c>
      <c r="D966" s="35" t="s">
        <v>14579</v>
      </c>
      <c r="E966" s="35" t="s">
        <v>19223</v>
      </c>
      <c r="F966" s="35"/>
      <c r="G966" s="36"/>
      <c r="H966" s="36"/>
    </row>
    <row r="967" spans="1:8" x14ac:dyDescent="0.25">
      <c r="A967" s="29">
        <v>20025</v>
      </c>
      <c r="B967" s="38" t="s">
        <v>20096</v>
      </c>
      <c r="C967" s="35" t="s">
        <v>19221</v>
      </c>
      <c r="D967" s="35" t="s">
        <v>19865</v>
      </c>
      <c r="E967" s="35" t="s">
        <v>19276</v>
      </c>
      <c r="F967" s="35"/>
      <c r="G967" s="36"/>
      <c r="H967" s="36"/>
    </row>
    <row r="968" spans="1:8" x14ac:dyDescent="0.25">
      <c r="A968" s="29">
        <v>38065</v>
      </c>
      <c r="B968" s="38" t="s">
        <v>20097</v>
      </c>
      <c r="C968" s="35" t="s">
        <v>19221</v>
      </c>
      <c r="D968" s="35" t="s">
        <v>19297</v>
      </c>
      <c r="E968" s="35" t="s">
        <v>19255</v>
      </c>
      <c r="F968" s="35"/>
      <c r="G968" s="36"/>
      <c r="H968" s="36"/>
    </row>
    <row r="969" spans="1:8" x14ac:dyDescent="0.25">
      <c r="A969" s="29">
        <v>72043</v>
      </c>
      <c r="B969" s="38" t="s">
        <v>3037</v>
      </c>
      <c r="C969" s="35" t="s">
        <v>19221</v>
      </c>
      <c r="D969" s="35" t="s">
        <v>17631</v>
      </c>
      <c r="E969" s="35" t="s">
        <v>19240</v>
      </c>
      <c r="F969" s="35"/>
      <c r="G969" s="36"/>
      <c r="H969" s="36"/>
    </row>
    <row r="970" spans="1:8" x14ac:dyDescent="0.25">
      <c r="A970" s="29">
        <v>71020</v>
      </c>
      <c r="B970" s="38" t="s">
        <v>20098</v>
      </c>
      <c r="C970" s="35" t="s">
        <v>19221</v>
      </c>
      <c r="D970" s="35" t="s">
        <v>19385</v>
      </c>
      <c r="E970" s="35" t="s">
        <v>19217</v>
      </c>
      <c r="F970" s="35"/>
      <c r="G970" s="36"/>
      <c r="H970" s="36"/>
    </row>
    <row r="971" spans="1:8" x14ac:dyDescent="0.25">
      <c r="A971" s="29">
        <v>91035</v>
      </c>
      <c r="B971" s="38" t="s">
        <v>20099</v>
      </c>
      <c r="C971" s="35" t="s">
        <v>19221</v>
      </c>
      <c r="D971" s="35" t="s">
        <v>19354</v>
      </c>
      <c r="E971" s="35" t="s">
        <v>19229</v>
      </c>
      <c r="F971" s="35"/>
      <c r="G971" s="36"/>
      <c r="H971" s="36"/>
    </row>
    <row r="972" spans="1:8" x14ac:dyDescent="0.25">
      <c r="A972" s="29">
        <v>28020</v>
      </c>
      <c r="B972" s="38" t="s">
        <v>20100</v>
      </c>
      <c r="C972" s="35" t="s">
        <v>19221</v>
      </c>
      <c r="D972" s="35" t="s">
        <v>19527</v>
      </c>
      <c r="E972" s="35" t="s">
        <v>19223</v>
      </c>
      <c r="F972" s="35"/>
      <c r="G972" s="36"/>
      <c r="H972" s="36"/>
    </row>
    <row r="973" spans="1:8" x14ac:dyDescent="0.25">
      <c r="A973" s="29">
        <v>37250</v>
      </c>
      <c r="B973" s="38" t="s">
        <v>20101</v>
      </c>
      <c r="C973" s="35" t="s">
        <v>19221</v>
      </c>
      <c r="D973" s="35" t="s">
        <v>19285</v>
      </c>
      <c r="E973" s="35" t="s">
        <v>19286</v>
      </c>
      <c r="F973" s="35"/>
      <c r="G973" s="36"/>
      <c r="H973" s="36"/>
    </row>
    <row r="974" spans="1:8" x14ac:dyDescent="0.25">
      <c r="A974" s="29">
        <v>19082</v>
      </c>
      <c r="B974" s="38" t="s">
        <v>20102</v>
      </c>
      <c r="C974" s="35" t="s">
        <v>19221</v>
      </c>
      <c r="D974" s="35" t="s">
        <v>19248</v>
      </c>
      <c r="E974" s="35" t="s">
        <v>19223</v>
      </c>
      <c r="F974" s="35"/>
      <c r="G974" s="36"/>
      <c r="H974" s="36"/>
    </row>
    <row r="975" spans="1:8" x14ac:dyDescent="0.25">
      <c r="A975" s="29">
        <v>34128</v>
      </c>
      <c r="B975" s="38" t="s">
        <v>20103</v>
      </c>
      <c r="C975" s="35" t="s">
        <v>14</v>
      </c>
      <c r="D975" s="35" t="s">
        <v>19347</v>
      </c>
      <c r="E975" s="35" t="s">
        <v>19276</v>
      </c>
      <c r="F975" s="35"/>
      <c r="G975" s="36"/>
      <c r="H975" s="36"/>
    </row>
    <row r="976" spans="1:8" x14ac:dyDescent="0.25">
      <c r="A976" s="29">
        <v>68055</v>
      </c>
      <c r="B976" s="38" t="s">
        <v>20104</v>
      </c>
      <c r="C976" s="35" t="s">
        <v>14</v>
      </c>
      <c r="D976" s="35" t="s">
        <v>19472</v>
      </c>
      <c r="E976" s="35" t="s">
        <v>19217</v>
      </c>
      <c r="F976" s="35"/>
      <c r="G976" s="36"/>
      <c r="H976" s="36"/>
    </row>
    <row r="977" spans="1:8" x14ac:dyDescent="0.25">
      <c r="A977" s="29">
        <v>39020</v>
      </c>
      <c r="B977" s="38" t="s">
        <v>20105</v>
      </c>
      <c r="C977" s="35" t="s">
        <v>19221</v>
      </c>
      <c r="D977" s="35" t="s">
        <v>19370</v>
      </c>
      <c r="E977" s="35" t="s">
        <v>19255</v>
      </c>
      <c r="F977" s="35"/>
      <c r="G977" s="36"/>
      <c r="H977" s="36"/>
    </row>
    <row r="978" spans="1:8" x14ac:dyDescent="0.25">
      <c r="A978" s="29">
        <v>29050</v>
      </c>
      <c r="B978" s="38" t="s">
        <v>20106</v>
      </c>
      <c r="C978" s="35" t="s">
        <v>19327</v>
      </c>
      <c r="D978" s="35" t="s">
        <v>19500</v>
      </c>
      <c r="E978" s="35" t="s">
        <v>19223</v>
      </c>
      <c r="F978" s="35"/>
      <c r="G978" s="36"/>
      <c r="H978" s="36"/>
    </row>
    <row r="979" spans="1:8" x14ac:dyDescent="0.25">
      <c r="A979" s="29">
        <v>8035</v>
      </c>
      <c r="B979" s="38" t="s">
        <v>20107</v>
      </c>
      <c r="C979" s="35" t="s">
        <v>19221</v>
      </c>
      <c r="D979" s="35" t="s">
        <v>19269</v>
      </c>
      <c r="E979" s="35" t="s">
        <v>19232</v>
      </c>
      <c r="F979" s="35"/>
      <c r="G979" s="36"/>
      <c r="H979" s="36"/>
    </row>
    <row r="980" spans="1:8" x14ac:dyDescent="0.25">
      <c r="A980" s="29">
        <v>53020</v>
      </c>
      <c r="B980" s="38" t="s">
        <v>20108</v>
      </c>
      <c r="C980" s="35" t="s">
        <v>19221</v>
      </c>
      <c r="D980" s="35" t="s">
        <v>19602</v>
      </c>
      <c r="E980" s="35" t="s">
        <v>19217</v>
      </c>
      <c r="F980" s="35"/>
      <c r="G980" s="36"/>
      <c r="H980" s="36"/>
    </row>
    <row r="981" spans="1:8" x14ac:dyDescent="0.25">
      <c r="A981" s="29">
        <v>30070</v>
      </c>
      <c r="B981" s="38" t="s">
        <v>20109</v>
      </c>
      <c r="C981" s="35" t="s">
        <v>19221</v>
      </c>
      <c r="D981" s="35" t="s">
        <v>19257</v>
      </c>
      <c r="E981" s="35" t="s">
        <v>19252</v>
      </c>
      <c r="F981" s="35"/>
      <c r="G981" s="36"/>
      <c r="H981" s="36"/>
    </row>
    <row r="982" spans="1:8" x14ac:dyDescent="0.25">
      <c r="A982" s="29">
        <v>63035</v>
      </c>
      <c r="B982" s="38" t="s">
        <v>2998</v>
      </c>
      <c r="C982" s="35" t="s">
        <v>19221</v>
      </c>
      <c r="D982" s="35" t="s">
        <v>14658</v>
      </c>
      <c r="E982" s="35" t="s">
        <v>19310</v>
      </c>
      <c r="F982" s="35"/>
      <c r="G982" s="36"/>
      <c r="H982" s="36"/>
    </row>
    <row r="983" spans="1:8" x14ac:dyDescent="0.25">
      <c r="A983" s="29">
        <v>35045</v>
      </c>
      <c r="B983" s="38" t="s">
        <v>20110</v>
      </c>
      <c r="C983" s="35" t="s">
        <v>19327</v>
      </c>
      <c r="D983" s="35" t="s">
        <v>19452</v>
      </c>
      <c r="E983" s="35" t="s">
        <v>19286</v>
      </c>
      <c r="F983" s="35"/>
      <c r="G983" s="36"/>
      <c r="H983" s="36"/>
    </row>
    <row r="984" spans="1:8" x14ac:dyDescent="0.25">
      <c r="A984" s="29">
        <v>53040</v>
      </c>
      <c r="B984" s="38" t="s">
        <v>20111</v>
      </c>
      <c r="C984" s="35" t="s">
        <v>19221</v>
      </c>
      <c r="D984" s="35" t="s">
        <v>19602</v>
      </c>
      <c r="E984" s="35" t="s">
        <v>19217</v>
      </c>
      <c r="F984" s="35"/>
      <c r="G984" s="36"/>
      <c r="H984" s="36"/>
    </row>
    <row r="985" spans="1:8" x14ac:dyDescent="0.25">
      <c r="A985" s="29">
        <v>17065</v>
      </c>
      <c r="B985" s="38" t="s">
        <v>20112</v>
      </c>
      <c r="C985" s="35" t="s">
        <v>19221</v>
      </c>
      <c r="D985" s="35" t="s">
        <v>19575</v>
      </c>
      <c r="E985" s="35" t="s">
        <v>19223</v>
      </c>
      <c r="F985" s="35"/>
      <c r="G985" s="36"/>
      <c r="H985" s="36"/>
    </row>
    <row r="986" spans="1:8" x14ac:dyDescent="0.25">
      <c r="A986" s="29">
        <v>63040</v>
      </c>
      <c r="B986" s="38" t="s">
        <v>20113</v>
      </c>
      <c r="C986" s="35" t="s">
        <v>19221</v>
      </c>
      <c r="D986" s="35" t="s">
        <v>14658</v>
      </c>
      <c r="E986" s="35" t="s">
        <v>19310</v>
      </c>
      <c r="F986" s="35"/>
      <c r="G986" s="36"/>
      <c r="H986" s="36"/>
    </row>
    <row r="987" spans="1:8" x14ac:dyDescent="0.25">
      <c r="A987" s="29">
        <v>30100</v>
      </c>
      <c r="B987" s="38" t="s">
        <v>20114</v>
      </c>
      <c r="C987" s="35" t="s">
        <v>19221</v>
      </c>
      <c r="D987" s="35" t="s">
        <v>19257</v>
      </c>
      <c r="E987" s="35" t="s">
        <v>19252</v>
      </c>
      <c r="F987" s="35"/>
      <c r="G987" s="36"/>
      <c r="H987" s="36"/>
    </row>
    <row r="988" spans="1:8" x14ac:dyDescent="0.25">
      <c r="A988" s="29">
        <v>39145</v>
      </c>
      <c r="B988" s="38" t="s">
        <v>20115</v>
      </c>
      <c r="C988" s="35" t="s">
        <v>19327</v>
      </c>
      <c r="D988" s="35" t="s">
        <v>19370</v>
      </c>
      <c r="E988" s="35" t="s">
        <v>19255</v>
      </c>
      <c r="F988" s="35"/>
      <c r="G988" s="36"/>
      <c r="H988" s="36"/>
    </row>
    <row r="989" spans="1:8" x14ac:dyDescent="0.25">
      <c r="A989" s="29">
        <v>39130</v>
      </c>
      <c r="B989" s="38" t="s">
        <v>20116</v>
      </c>
      <c r="C989" s="35" t="s">
        <v>19221</v>
      </c>
      <c r="D989" s="35" t="s">
        <v>19370</v>
      </c>
      <c r="E989" s="35" t="s">
        <v>19255</v>
      </c>
      <c r="F989" s="35"/>
      <c r="G989" s="36"/>
      <c r="H989" s="36"/>
    </row>
    <row r="990" spans="1:8" x14ac:dyDescent="0.25">
      <c r="A990" s="29">
        <v>26010</v>
      </c>
      <c r="B990" s="38" t="s">
        <v>20117</v>
      </c>
      <c r="C990" s="35" t="s">
        <v>19327</v>
      </c>
      <c r="D990" s="35" t="s">
        <v>19436</v>
      </c>
      <c r="E990" s="35" t="s">
        <v>19223</v>
      </c>
      <c r="F990" s="35"/>
      <c r="G990" s="36"/>
      <c r="H990" s="36"/>
    </row>
    <row r="991" spans="1:8" x14ac:dyDescent="0.25">
      <c r="A991" s="29">
        <v>77043</v>
      </c>
      <c r="B991" s="38" t="s">
        <v>2617</v>
      </c>
      <c r="C991" s="35" t="s">
        <v>14</v>
      </c>
      <c r="D991" s="35" t="s">
        <v>19425</v>
      </c>
      <c r="E991" s="35" t="s">
        <v>19240</v>
      </c>
      <c r="F991" s="35"/>
      <c r="G991" s="36"/>
      <c r="H991" s="36"/>
    </row>
    <row r="992" spans="1:8" x14ac:dyDescent="0.25">
      <c r="A992" s="29">
        <v>30085</v>
      </c>
      <c r="B992" s="38" t="s">
        <v>20118</v>
      </c>
      <c r="C992" s="35" t="s">
        <v>19221</v>
      </c>
      <c r="D992" s="35" t="s">
        <v>19257</v>
      </c>
      <c r="E992" s="35" t="s">
        <v>19252</v>
      </c>
      <c r="F992" s="35"/>
      <c r="G992" s="36"/>
      <c r="H992" s="36"/>
    </row>
    <row r="993" spans="1:8" x14ac:dyDescent="0.25">
      <c r="A993" s="29">
        <v>56050</v>
      </c>
      <c r="B993" s="38" t="s">
        <v>20118</v>
      </c>
      <c r="C993" s="35" t="s">
        <v>19221</v>
      </c>
      <c r="D993" s="35" t="s">
        <v>19474</v>
      </c>
      <c r="E993" s="35" t="s">
        <v>19217</v>
      </c>
      <c r="F993" s="35"/>
      <c r="G993" s="36"/>
      <c r="H993" s="36"/>
    </row>
    <row r="994" spans="1:8" x14ac:dyDescent="0.25">
      <c r="A994" s="29">
        <v>51030</v>
      </c>
      <c r="B994" s="38" t="s">
        <v>20119</v>
      </c>
      <c r="C994" s="35" t="s">
        <v>19327</v>
      </c>
      <c r="D994" s="35" t="s">
        <v>19362</v>
      </c>
      <c r="E994" s="35" t="s">
        <v>19286</v>
      </c>
      <c r="F994" s="35"/>
      <c r="G994" s="36"/>
      <c r="H994" s="36"/>
    </row>
    <row r="995" spans="1:8" x14ac:dyDescent="0.25">
      <c r="A995" s="29">
        <v>27070</v>
      </c>
      <c r="B995" s="38" t="s">
        <v>20120</v>
      </c>
      <c r="C995" s="35" t="s">
        <v>19327</v>
      </c>
      <c r="D995" s="35" t="s">
        <v>19291</v>
      </c>
      <c r="E995" s="35" t="s">
        <v>19223</v>
      </c>
      <c r="F995" s="35"/>
      <c r="G995" s="36"/>
      <c r="H995" s="36"/>
    </row>
    <row r="996" spans="1:8" x14ac:dyDescent="0.25">
      <c r="A996" s="29">
        <v>35020</v>
      </c>
      <c r="B996" s="38" t="s">
        <v>20120</v>
      </c>
      <c r="C996" s="35" t="s">
        <v>19327</v>
      </c>
      <c r="D996" s="35" t="s">
        <v>19452</v>
      </c>
      <c r="E996" s="35" t="s">
        <v>19286</v>
      </c>
      <c r="F996" s="35"/>
      <c r="G996" s="36"/>
      <c r="H996" s="36"/>
    </row>
    <row r="997" spans="1:8" x14ac:dyDescent="0.25">
      <c r="A997" s="29">
        <v>5055</v>
      </c>
      <c r="B997" s="38" t="s">
        <v>20121</v>
      </c>
      <c r="C997" s="35" t="s">
        <v>19327</v>
      </c>
      <c r="D997" s="35" t="s">
        <v>19320</v>
      </c>
      <c r="E997" s="35" t="s">
        <v>19321</v>
      </c>
      <c r="F997" s="35"/>
      <c r="G997" s="36"/>
      <c r="H997" s="36"/>
    </row>
    <row r="998" spans="1:8" x14ac:dyDescent="0.25">
      <c r="A998" s="29">
        <v>15058</v>
      </c>
      <c r="B998" s="38" t="s">
        <v>20121</v>
      </c>
      <c r="C998" s="35" t="s">
        <v>19221</v>
      </c>
      <c r="D998" s="35" t="s">
        <v>19275</v>
      </c>
      <c r="E998" s="35" t="s">
        <v>19276</v>
      </c>
      <c r="F998" s="35"/>
      <c r="G998" s="36"/>
      <c r="H998" s="36"/>
    </row>
    <row r="999" spans="1:8" x14ac:dyDescent="0.25">
      <c r="A999" s="29">
        <v>54090</v>
      </c>
      <c r="B999" s="38" t="s">
        <v>20122</v>
      </c>
      <c r="C999" s="35" t="s">
        <v>19221</v>
      </c>
      <c r="D999" s="35" t="s">
        <v>19509</v>
      </c>
      <c r="E999" s="35" t="s">
        <v>19217</v>
      </c>
      <c r="F999" s="35"/>
      <c r="G999" s="36"/>
      <c r="H999" s="36"/>
    </row>
    <row r="1000" spans="1:8" x14ac:dyDescent="0.25">
      <c r="A1000" s="29">
        <v>11055</v>
      </c>
      <c r="B1000" s="38" t="s">
        <v>20123</v>
      </c>
      <c r="C1000" s="35" t="s">
        <v>19221</v>
      </c>
      <c r="D1000" s="35" t="s">
        <v>19651</v>
      </c>
      <c r="E1000" s="35" t="s">
        <v>19232</v>
      </c>
      <c r="F1000" s="35"/>
      <c r="G1000" s="36"/>
      <c r="H1000" s="36"/>
    </row>
    <row r="1001" spans="1:8" x14ac:dyDescent="0.25">
      <c r="A1001" s="29">
        <v>29125</v>
      </c>
      <c r="B1001" s="38" t="s">
        <v>20124</v>
      </c>
      <c r="C1001" s="35" t="s">
        <v>19221</v>
      </c>
      <c r="D1001" s="35" t="s">
        <v>19500</v>
      </c>
      <c r="E1001" s="35" t="s">
        <v>19223</v>
      </c>
      <c r="F1001" s="35"/>
      <c r="G1001" s="36"/>
      <c r="H1001" s="36"/>
    </row>
    <row r="1002" spans="1:8" x14ac:dyDescent="0.25">
      <c r="A1002" s="29">
        <v>80070</v>
      </c>
      <c r="B1002" s="38" t="s">
        <v>20125</v>
      </c>
      <c r="C1002" s="35" t="s">
        <v>19221</v>
      </c>
      <c r="D1002" s="35" t="s">
        <v>8694</v>
      </c>
      <c r="E1002" s="35" t="s">
        <v>19235</v>
      </c>
      <c r="F1002" s="35"/>
      <c r="G1002" s="36"/>
      <c r="H1002" s="36"/>
    </row>
    <row r="1003" spans="1:8" x14ac:dyDescent="0.25">
      <c r="A1003" s="29">
        <v>39005</v>
      </c>
      <c r="B1003" s="38" t="s">
        <v>20126</v>
      </c>
      <c r="C1003" s="35" t="s">
        <v>19327</v>
      </c>
      <c r="D1003" s="35" t="s">
        <v>19370</v>
      </c>
      <c r="E1003" s="35" t="s">
        <v>19255</v>
      </c>
      <c r="F1003" s="35"/>
      <c r="G1003" s="36"/>
      <c r="H1003" s="36"/>
    </row>
    <row r="1004" spans="1:8" x14ac:dyDescent="0.25">
      <c r="A1004" s="29">
        <v>37245</v>
      </c>
      <c r="B1004" s="38" t="s">
        <v>20127</v>
      </c>
      <c r="C1004" s="35" t="s">
        <v>19221</v>
      </c>
      <c r="D1004" s="35" t="s">
        <v>19285</v>
      </c>
      <c r="E1004" s="35" t="s">
        <v>19286</v>
      </c>
      <c r="F1004" s="35"/>
      <c r="G1004" s="36"/>
      <c r="H1004" s="36"/>
    </row>
    <row r="1005" spans="1:8" x14ac:dyDescent="0.25">
      <c r="A1005" s="29">
        <v>92070</v>
      </c>
      <c r="B1005" s="38" t="s">
        <v>20127</v>
      </c>
      <c r="C1005" s="35" t="s">
        <v>19221</v>
      </c>
      <c r="D1005" s="35" t="s">
        <v>19228</v>
      </c>
      <c r="E1005" s="35" t="s">
        <v>19229</v>
      </c>
      <c r="F1005" s="35"/>
      <c r="G1005" s="36"/>
      <c r="H1005" s="36"/>
    </row>
    <row r="1006" spans="1:8" x14ac:dyDescent="0.25">
      <c r="A1006" s="29">
        <v>70040</v>
      </c>
      <c r="B1006" s="38" t="s">
        <v>20128</v>
      </c>
      <c r="C1006" s="35" t="s">
        <v>19221</v>
      </c>
      <c r="D1006" s="35" t="s">
        <v>19903</v>
      </c>
      <c r="E1006" s="35" t="s">
        <v>19217</v>
      </c>
      <c r="F1006" s="35"/>
      <c r="G1006" s="36"/>
      <c r="H1006" s="36"/>
    </row>
    <row r="1007" spans="1:8" x14ac:dyDescent="0.25">
      <c r="A1007" s="29">
        <v>60020</v>
      </c>
      <c r="B1007" s="38" t="s">
        <v>20129</v>
      </c>
      <c r="C1007" s="35" t="s">
        <v>19327</v>
      </c>
      <c r="D1007" s="35" t="s">
        <v>19363</v>
      </c>
      <c r="E1007" s="35" t="s">
        <v>19310</v>
      </c>
      <c r="F1007" s="35"/>
      <c r="G1007" s="36"/>
      <c r="H1007" s="36"/>
    </row>
    <row r="1008" spans="1:8" x14ac:dyDescent="0.25">
      <c r="A1008" s="29">
        <v>38005</v>
      </c>
      <c r="B1008" s="38" t="s">
        <v>20130</v>
      </c>
      <c r="C1008" s="35" t="s">
        <v>19221</v>
      </c>
      <c r="D1008" s="35" t="s">
        <v>19297</v>
      </c>
      <c r="E1008" s="35" t="s">
        <v>19255</v>
      </c>
      <c r="F1008" s="35"/>
      <c r="G1008" s="36"/>
      <c r="H1008" s="36"/>
    </row>
    <row r="1009" spans="1:8" x14ac:dyDescent="0.25">
      <c r="A1009" s="29">
        <v>33007</v>
      </c>
      <c r="B1009" s="38" t="s">
        <v>20131</v>
      </c>
      <c r="C1009" s="35" t="s">
        <v>19221</v>
      </c>
      <c r="D1009" s="35" t="s">
        <v>19404</v>
      </c>
      <c r="E1009" s="35" t="s">
        <v>19223</v>
      </c>
      <c r="F1009" s="35"/>
      <c r="G1009" s="36"/>
      <c r="H1009" s="36"/>
    </row>
    <row r="1010" spans="1:8" x14ac:dyDescent="0.25">
      <c r="A1010" s="29">
        <v>71015</v>
      </c>
      <c r="B1010" s="38" t="s">
        <v>20132</v>
      </c>
      <c r="C1010" s="35" t="s">
        <v>19221</v>
      </c>
      <c r="D1010" s="35" t="s">
        <v>19385</v>
      </c>
      <c r="E1010" s="35" t="s">
        <v>19217</v>
      </c>
      <c r="F1010" s="35"/>
      <c r="G1010" s="36"/>
      <c r="H1010" s="36"/>
    </row>
    <row r="1011" spans="1:8" x14ac:dyDescent="0.25">
      <c r="A1011" s="29">
        <v>7070</v>
      </c>
      <c r="B1011" s="38" t="s">
        <v>20133</v>
      </c>
      <c r="C1011" s="35" t="s">
        <v>19327</v>
      </c>
      <c r="D1011" s="35" t="s">
        <v>19231</v>
      </c>
      <c r="E1011" s="35" t="s">
        <v>19232</v>
      </c>
      <c r="F1011" s="35"/>
      <c r="G1011" s="36"/>
      <c r="H1011" s="36"/>
    </row>
    <row r="1012" spans="1:8" x14ac:dyDescent="0.25">
      <c r="A1012" s="29">
        <v>48045</v>
      </c>
      <c r="B1012" s="38" t="s">
        <v>20134</v>
      </c>
      <c r="C1012" s="35" t="s">
        <v>19221</v>
      </c>
      <c r="D1012" s="35" t="s">
        <v>19219</v>
      </c>
      <c r="E1012" s="35" t="s">
        <v>19217</v>
      </c>
      <c r="F1012" s="35"/>
      <c r="G1012" s="36"/>
      <c r="H1012" s="36"/>
    </row>
    <row r="1013" spans="1:8" x14ac:dyDescent="0.25">
      <c r="A1013" s="29">
        <v>29005</v>
      </c>
      <c r="B1013" s="38" t="s">
        <v>20135</v>
      </c>
      <c r="C1013" s="35" t="s">
        <v>19221</v>
      </c>
      <c r="D1013" s="35" t="s">
        <v>19500</v>
      </c>
      <c r="E1013" s="35" t="s">
        <v>19223</v>
      </c>
      <c r="F1013" s="35"/>
      <c r="G1013" s="36"/>
      <c r="H1013" s="36"/>
    </row>
    <row r="1014" spans="1:8" x14ac:dyDescent="0.25">
      <c r="A1014" s="29">
        <v>61027</v>
      </c>
      <c r="B1014" s="38" t="s">
        <v>20136</v>
      </c>
      <c r="C1014" s="35" t="s">
        <v>19221</v>
      </c>
      <c r="D1014" s="35" t="s">
        <v>17483</v>
      </c>
      <c r="E1014" s="35" t="s">
        <v>19310</v>
      </c>
      <c r="F1014" s="35"/>
      <c r="G1014" s="36"/>
      <c r="H1014" s="36"/>
    </row>
    <row r="1015" spans="1:8" x14ac:dyDescent="0.25">
      <c r="A1015" s="29">
        <v>92045</v>
      </c>
      <c r="B1015" s="38" t="s">
        <v>20137</v>
      </c>
      <c r="C1015" s="35" t="s">
        <v>19221</v>
      </c>
      <c r="D1015" s="35" t="s">
        <v>19228</v>
      </c>
      <c r="E1015" s="35" t="s">
        <v>19229</v>
      </c>
      <c r="F1015" s="35"/>
      <c r="G1015" s="36"/>
      <c r="H1015" s="36"/>
    </row>
    <row r="1016" spans="1:8" x14ac:dyDescent="0.25">
      <c r="A1016" s="29">
        <v>34085</v>
      </c>
      <c r="B1016" s="38" t="s">
        <v>20138</v>
      </c>
      <c r="C1016" s="35" t="s">
        <v>19327</v>
      </c>
      <c r="D1016" s="35" t="s">
        <v>19347</v>
      </c>
      <c r="E1016" s="35" t="s">
        <v>19276</v>
      </c>
      <c r="F1016" s="35"/>
      <c r="G1016" s="36"/>
      <c r="H1016" s="36"/>
    </row>
    <row r="1017" spans="1:8" x14ac:dyDescent="0.25">
      <c r="A1017" s="29">
        <v>35027</v>
      </c>
      <c r="B1017" s="38" t="s">
        <v>20139</v>
      </c>
      <c r="C1017" s="35" t="s">
        <v>14</v>
      </c>
      <c r="D1017" s="35" t="s">
        <v>19452</v>
      </c>
      <c r="E1017" s="35" t="s">
        <v>19286</v>
      </c>
      <c r="F1017" s="35"/>
      <c r="G1017" s="36"/>
      <c r="H1017" s="36"/>
    </row>
    <row r="1018" spans="1:8" x14ac:dyDescent="0.25">
      <c r="A1018" s="29">
        <v>21005</v>
      </c>
      <c r="B1018" s="38" t="s">
        <v>20140</v>
      </c>
      <c r="C1018" s="35" t="s">
        <v>19221</v>
      </c>
      <c r="D1018" s="35" t="s">
        <v>19296</v>
      </c>
      <c r="E1018" s="35" t="s">
        <v>19276</v>
      </c>
      <c r="F1018" s="35"/>
      <c r="G1018" s="36"/>
      <c r="H1018" s="36"/>
    </row>
    <row r="1019" spans="1:8" x14ac:dyDescent="0.25">
      <c r="A1019" s="29">
        <v>34090</v>
      </c>
      <c r="B1019" s="38" t="s">
        <v>20141</v>
      </c>
      <c r="C1019" s="35" t="s">
        <v>19221</v>
      </c>
      <c r="D1019" s="35" t="s">
        <v>19347</v>
      </c>
      <c r="E1019" s="35" t="s">
        <v>19276</v>
      </c>
      <c r="F1019" s="35"/>
      <c r="G1019" s="36"/>
      <c r="H1019" s="36"/>
    </row>
    <row r="1020" spans="1:8" x14ac:dyDescent="0.25">
      <c r="A1020" s="29">
        <v>8073</v>
      </c>
      <c r="B1020" s="38" t="s">
        <v>20142</v>
      </c>
      <c r="C1020" s="35" t="s">
        <v>19221</v>
      </c>
      <c r="D1020" s="35" t="s">
        <v>19269</v>
      </c>
      <c r="E1020" s="35" t="s">
        <v>19232</v>
      </c>
      <c r="F1020" s="35"/>
      <c r="G1020" s="36"/>
      <c r="H1020" s="36"/>
    </row>
    <row r="1021" spans="1:8" x14ac:dyDescent="0.25">
      <c r="A1021" s="29">
        <v>16055</v>
      </c>
      <c r="B1021" s="38" t="s">
        <v>20143</v>
      </c>
      <c r="C1021" s="35" t="s">
        <v>19327</v>
      </c>
      <c r="D1021" s="35" t="s">
        <v>19278</v>
      </c>
      <c r="E1021" s="35" t="s">
        <v>19276</v>
      </c>
      <c r="F1021" s="35"/>
      <c r="G1021" s="36"/>
      <c r="H1021" s="36"/>
    </row>
    <row r="1022" spans="1:8" x14ac:dyDescent="0.25">
      <c r="A1022" s="29">
        <v>70005</v>
      </c>
      <c r="B1022" s="38" t="s">
        <v>20144</v>
      </c>
      <c r="C1022" s="35" t="s">
        <v>19221</v>
      </c>
      <c r="D1022" s="35" t="s">
        <v>19903</v>
      </c>
      <c r="E1022" s="35" t="s">
        <v>19217</v>
      </c>
      <c r="F1022" s="35"/>
      <c r="G1022" s="36"/>
      <c r="H1022" s="36"/>
    </row>
    <row r="1023" spans="1:8" x14ac:dyDescent="0.25">
      <c r="A1023" s="29">
        <v>56030</v>
      </c>
      <c r="B1023" s="38" t="s">
        <v>20145</v>
      </c>
      <c r="C1023" s="35" t="s">
        <v>19221</v>
      </c>
      <c r="D1023" s="35" t="s">
        <v>19474</v>
      </c>
      <c r="E1023" s="35" t="s">
        <v>19217</v>
      </c>
      <c r="F1023" s="35"/>
      <c r="G1023" s="36"/>
      <c r="H1023" s="36"/>
    </row>
    <row r="1024" spans="1:8" x14ac:dyDescent="0.25">
      <c r="A1024" s="29">
        <v>39135</v>
      </c>
      <c r="B1024" s="38" t="s">
        <v>20146</v>
      </c>
      <c r="C1024" s="35" t="s">
        <v>19221</v>
      </c>
      <c r="D1024" s="35" t="s">
        <v>19370</v>
      </c>
      <c r="E1024" s="35" t="s">
        <v>19255</v>
      </c>
      <c r="F1024" s="35"/>
      <c r="G1024" s="36"/>
      <c r="H1024" s="36"/>
    </row>
    <row r="1025" spans="1:8" x14ac:dyDescent="0.25">
      <c r="A1025" s="29">
        <v>10060</v>
      </c>
      <c r="B1025" s="38" t="s">
        <v>20147</v>
      </c>
      <c r="C1025" s="35" t="s">
        <v>19327</v>
      </c>
      <c r="D1025" s="35" t="s">
        <v>19423</v>
      </c>
      <c r="E1025" s="35" t="s">
        <v>19232</v>
      </c>
      <c r="F1025" s="35"/>
      <c r="G1025" s="36"/>
      <c r="H1025" s="36"/>
    </row>
    <row r="1026" spans="1:8" x14ac:dyDescent="0.25">
      <c r="A1026" s="29">
        <v>54065</v>
      </c>
      <c r="B1026" s="38" t="s">
        <v>20148</v>
      </c>
      <c r="C1026" s="35" t="s">
        <v>19221</v>
      </c>
      <c r="D1026" s="35" t="s">
        <v>19509</v>
      </c>
      <c r="E1026" s="35" t="s">
        <v>19217</v>
      </c>
      <c r="F1026" s="35"/>
      <c r="G1026" s="36"/>
      <c r="H1026" s="36"/>
    </row>
    <row r="1027" spans="1:8" x14ac:dyDescent="0.25">
      <c r="A1027" s="29">
        <v>19117</v>
      </c>
      <c r="B1027" s="38" t="s">
        <v>20149</v>
      </c>
      <c r="C1027" s="35" t="s">
        <v>19221</v>
      </c>
      <c r="D1027" s="35" t="s">
        <v>19248</v>
      </c>
      <c r="E1027" s="35" t="s">
        <v>19223</v>
      </c>
      <c r="F1027" s="35"/>
      <c r="G1027" s="36"/>
      <c r="H1027" s="36"/>
    </row>
    <row r="1028" spans="1:8" x14ac:dyDescent="0.25">
      <c r="A1028" s="29">
        <v>44005</v>
      </c>
      <c r="B1028" s="38" t="s">
        <v>20150</v>
      </c>
      <c r="C1028" s="35" t="s">
        <v>19221</v>
      </c>
      <c r="D1028" s="35" t="s">
        <v>19282</v>
      </c>
      <c r="E1028" s="35" t="s">
        <v>19252</v>
      </c>
      <c r="F1028" s="35"/>
      <c r="G1028" s="36"/>
      <c r="H1028" s="36"/>
    </row>
    <row r="1029" spans="1:8" x14ac:dyDescent="0.25">
      <c r="A1029" s="29">
        <v>7075</v>
      </c>
      <c r="B1029" s="38" t="s">
        <v>20151</v>
      </c>
      <c r="C1029" s="35" t="s">
        <v>19221</v>
      </c>
      <c r="D1029" s="35" t="s">
        <v>19231</v>
      </c>
      <c r="E1029" s="35" t="s">
        <v>19232</v>
      </c>
      <c r="F1029" s="35"/>
      <c r="G1029" s="36"/>
      <c r="H1029" s="36"/>
    </row>
    <row r="1030" spans="1:8" x14ac:dyDescent="0.25">
      <c r="A1030" s="29">
        <v>27008</v>
      </c>
      <c r="B1030" s="38" t="s">
        <v>20152</v>
      </c>
      <c r="C1030" s="35" t="s">
        <v>19221</v>
      </c>
      <c r="D1030" s="35" t="s">
        <v>19291</v>
      </c>
      <c r="E1030" s="35" t="s">
        <v>19223</v>
      </c>
      <c r="F1030" s="35"/>
      <c r="G1030" s="36"/>
      <c r="H1030" s="36"/>
    </row>
    <row r="1031" spans="1:8" x14ac:dyDescent="0.25">
      <c r="A1031" s="29">
        <v>50023</v>
      </c>
      <c r="B1031" s="38" t="s">
        <v>20153</v>
      </c>
      <c r="C1031" s="35" t="s">
        <v>19221</v>
      </c>
      <c r="D1031" s="35" t="s">
        <v>19254</v>
      </c>
      <c r="E1031" s="35" t="s">
        <v>19255</v>
      </c>
      <c r="F1031" s="35"/>
      <c r="G1031" s="36"/>
      <c r="H1031" s="36"/>
    </row>
    <row r="1032" spans="1:8" x14ac:dyDescent="0.25">
      <c r="A1032" s="29">
        <v>28005</v>
      </c>
      <c r="B1032" s="38" t="s">
        <v>20154</v>
      </c>
      <c r="C1032" s="35" t="s">
        <v>19221</v>
      </c>
      <c r="D1032" s="35" t="s">
        <v>19527</v>
      </c>
      <c r="E1032" s="35" t="s">
        <v>19223</v>
      </c>
      <c r="F1032" s="35"/>
      <c r="G1032" s="36"/>
      <c r="H1032" s="36"/>
    </row>
    <row r="1033" spans="1:8" x14ac:dyDescent="0.25">
      <c r="A1033" s="29">
        <v>62080</v>
      </c>
      <c r="B1033" s="38" t="s">
        <v>20155</v>
      </c>
      <c r="C1033" s="35" t="s">
        <v>19221</v>
      </c>
      <c r="D1033" s="35" t="s">
        <v>19368</v>
      </c>
      <c r="E1033" s="35" t="s">
        <v>19310</v>
      </c>
      <c r="F1033" s="35"/>
      <c r="G1033" s="36"/>
      <c r="H1033" s="36"/>
    </row>
    <row r="1034" spans="1:8" x14ac:dyDescent="0.25">
      <c r="A1034" s="29">
        <v>7035</v>
      </c>
      <c r="B1034" s="38" t="s">
        <v>20156</v>
      </c>
      <c r="C1034" s="35" t="s">
        <v>19327</v>
      </c>
      <c r="D1034" s="35" t="s">
        <v>19231</v>
      </c>
      <c r="E1034" s="35" t="s">
        <v>19232</v>
      </c>
      <c r="F1034" s="35"/>
      <c r="G1034" s="36"/>
      <c r="H1034" s="36"/>
    </row>
    <row r="1035" spans="1:8" x14ac:dyDescent="0.25">
      <c r="A1035" s="29">
        <v>50090</v>
      </c>
      <c r="B1035" s="38" t="s">
        <v>20157</v>
      </c>
      <c r="C1035" s="35" t="s">
        <v>19327</v>
      </c>
      <c r="D1035" s="35" t="s">
        <v>19254</v>
      </c>
      <c r="E1035" s="35" t="s">
        <v>19255</v>
      </c>
      <c r="F1035" s="35"/>
      <c r="G1035" s="36"/>
      <c r="H1035" s="36"/>
    </row>
    <row r="1036" spans="1:8" x14ac:dyDescent="0.25">
      <c r="A1036" s="29">
        <v>71025</v>
      </c>
      <c r="B1036" s="38" t="s">
        <v>20158</v>
      </c>
      <c r="C1036" s="35" t="s">
        <v>19221</v>
      </c>
      <c r="D1036" s="35" t="s">
        <v>19385</v>
      </c>
      <c r="E1036" s="35" t="s">
        <v>19217</v>
      </c>
      <c r="F1036" s="35"/>
      <c r="G1036" s="36"/>
      <c r="H1036" s="36"/>
    </row>
    <row r="1037" spans="1:8" x14ac:dyDescent="0.25">
      <c r="A1037" s="29">
        <v>70052</v>
      </c>
      <c r="B1037" s="38" t="s">
        <v>20159</v>
      </c>
      <c r="C1037" s="35" t="s">
        <v>14</v>
      </c>
      <c r="D1037" s="35" t="s">
        <v>19903</v>
      </c>
      <c r="E1037" s="35" t="s">
        <v>19217</v>
      </c>
      <c r="F1037" s="35"/>
      <c r="G1037" s="36"/>
      <c r="H1037" s="36"/>
    </row>
    <row r="1038" spans="1:8" x14ac:dyDescent="0.25">
      <c r="A1038" s="29">
        <v>7085</v>
      </c>
      <c r="B1038" s="38" t="s">
        <v>20160</v>
      </c>
      <c r="C1038" s="35" t="s">
        <v>19221</v>
      </c>
      <c r="D1038" s="35" t="s">
        <v>19231</v>
      </c>
      <c r="E1038" s="35" t="s">
        <v>19232</v>
      </c>
      <c r="F1038" s="35"/>
      <c r="G1038" s="36"/>
      <c r="H1038" s="36"/>
    </row>
    <row r="1039" spans="1:8" x14ac:dyDescent="0.25">
      <c r="A1039" s="29">
        <v>97040</v>
      </c>
      <c r="B1039" s="38" t="s">
        <v>20161</v>
      </c>
      <c r="C1039" s="35" t="s">
        <v>14</v>
      </c>
      <c r="D1039" s="35" t="s">
        <v>19429</v>
      </c>
      <c r="E1039" s="35" t="s">
        <v>19226</v>
      </c>
      <c r="F1039" s="35"/>
      <c r="G1039" s="36"/>
      <c r="H1039" s="36"/>
    </row>
    <row r="1040" spans="1:8" x14ac:dyDescent="0.25">
      <c r="A1040" s="29">
        <v>41080</v>
      </c>
      <c r="B1040" s="38" t="s">
        <v>20162</v>
      </c>
      <c r="C1040" s="35" t="s">
        <v>14</v>
      </c>
      <c r="D1040" s="35" t="s">
        <v>19251</v>
      </c>
      <c r="E1040" s="35" t="s">
        <v>19252</v>
      </c>
      <c r="F1040" s="35"/>
      <c r="G1040" s="36"/>
      <c r="H1040" s="36"/>
    </row>
    <row r="1041" spans="1:8" x14ac:dyDescent="0.25">
      <c r="A1041" s="29">
        <v>26048</v>
      </c>
      <c r="B1041" s="38" t="s">
        <v>20163</v>
      </c>
      <c r="C1041" s="35" t="s">
        <v>19221</v>
      </c>
      <c r="D1041" s="35" t="s">
        <v>19436</v>
      </c>
      <c r="E1041" s="35" t="s">
        <v>19223</v>
      </c>
      <c r="F1041" s="35"/>
      <c r="G1041" s="36"/>
      <c r="H1041" s="36"/>
    </row>
    <row r="1042" spans="1:8" x14ac:dyDescent="0.25">
      <c r="A1042" s="29">
        <v>89045</v>
      </c>
      <c r="B1042" s="38" t="s">
        <v>2608</v>
      </c>
      <c r="C1042" s="35" t="s">
        <v>19327</v>
      </c>
      <c r="D1042" s="35" t="s">
        <v>19302</v>
      </c>
      <c r="E1042" s="35" t="s">
        <v>19243</v>
      </c>
      <c r="F1042" s="35"/>
      <c r="G1042" s="36"/>
      <c r="H1042" s="36"/>
    </row>
    <row r="1043" spans="1:8" x14ac:dyDescent="0.25">
      <c r="A1043" s="29">
        <v>89040</v>
      </c>
      <c r="B1043" s="38" t="s">
        <v>2608</v>
      </c>
      <c r="C1043" s="35" t="s">
        <v>14</v>
      </c>
      <c r="D1043" s="35" t="s">
        <v>19302</v>
      </c>
      <c r="E1043" s="35" t="s">
        <v>19243</v>
      </c>
      <c r="F1043" s="35"/>
      <c r="G1043" s="36"/>
      <c r="H1043" s="36"/>
    </row>
    <row r="1044" spans="1:8" x14ac:dyDescent="0.25">
      <c r="A1044" s="29">
        <v>66127</v>
      </c>
      <c r="B1044" s="38" t="s">
        <v>20164</v>
      </c>
      <c r="C1044" s="35" t="s">
        <v>19215</v>
      </c>
      <c r="D1044" s="35" t="s">
        <v>19272</v>
      </c>
      <c r="E1044" s="35" t="s">
        <v>14481</v>
      </c>
      <c r="F1044" s="35"/>
      <c r="G1044" s="36"/>
      <c r="H1044" s="36"/>
    </row>
    <row r="1045" spans="1:8" x14ac:dyDescent="0.25">
      <c r="A1045" s="29">
        <v>97007</v>
      </c>
      <c r="B1045" s="38" t="s">
        <v>20165</v>
      </c>
      <c r="C1045" s="35" t="s">
        <v>14</v>
      </c>
      <c r="D1045" s="35" t="s">
        <v>19692</v>
      </c>
      <c r="E1045" s="35" t="s">
        <v>19226</v>
      </c>
      <c r="F1045" s="35"/>
      <c r="G1045" s="36"/>
      <c r="H1045" s="36"/>
    </row>
    <row r="1046" spans="1:8" x14ac:dyDescent="0.25">
      <c r="A1046" s="29">
        <v>22020</v>
      </c>
      <c r="B1046" s="38" t="s">
        <v>3049</v>
      </c>
      <c r="C1046" s="35" t="s">
        <v>14</v>
      </c>
      <c r="D1046" s="35" t="s">
        <v>19434</v>
      </c>
      <c r="E1046" s="35" t="s">
        <v>19276</v>
      </c>
      <c r="F1046" s="35"/>
      <c r="G1046" s="36"/>
      <c r="H1046" s="36"/>
    </row>
    <row r="1047" spans="1:8" x14ac:dyDescent="0.25">
      <c r="A1047" s="29">
        <v>36033</v>
      </c>
      <c r="B1047" s="38" t="s">
        <v>2602</v>
      </c>
      <c r="C1047" s="35" t="s">
        <v>14</v>
      </c>
      <c r="D1047" s="35" t="s">
        <v>19360</v>
      </c>
      <c r="E1047" s="35" t="s">
        <v>19286</v>
      </c>
      <c r="F1047" s="35"/>
      <c r="G1047" s="36"/>
      <c r="H1047" s="36"/>
    </row>
    <row r="1048" spans="1:8" x14ac:dyDescent="0.25">
      <c r="A1048" s="29">
        <v>84010</v>
      </c>
      <c r="B1048" s="38" t="s">
        <v>20166</v>
      </c>
      <c r="C1048" s="35" t="s">
        <v>19221</v>
      </c>
      <c r="D1048" s="35" t="s">
        <v>19234</v>
      </c>
      <c r="E1048" s="35" t="s">
        <v>19235</v>
      </c>
      <c r="F1048" s="35"/>
      <c r="G1048" s="36"/>
      <c r="H1048" s="36"/>
    </row>
    <row r="1049" spans="1:8" x14ac:dyDescent="0.25">
      <c r="A1049" s="29">
        <v>84095</v>
      </c>
      <c r="B1049" s="38" t="s">
        <v>20167</v>
      </c>
      <c r="C1049" s="35" t="s">
        <v>19221</v>
      </c>
      <c r="D1049" s="35" t="s">
        <v>19234</v>
      </c>
      <c r="E1049" s="35" t="s">
        <v>19235</v>
      </c>
      <c r="F1049" s="35"/>
      <c r="G1049" s="36"/>
      <c r="H1049" s="36"/>
    </row>
    <row r="1050" spans="1:8" x14ac:dyDescent="0.25">
      <c r="A1050" s="29">
        <v>47035</v>
      </c>
      <c r="B1050" s="38" t="s">
        <v>20168</v>
      </c>
      <c r="C1050" s="35" t="s">
        <v>19238</v>
      </c>
      <c r="D1050" s="35" t="s">
        <v>19449</v>
      </c>
      <c r="E1050" s="35" t="s">
        <v>19217</v>
      </c>
      <c r="F1050" s="35"/>
      <c r="G1050" s="36"/>
      <c r="H1050" s="36"/>
    </row>
    <row r="1051" spans="1:8" x14ac:dyDescent="0.25">
      <c r="A1051" s="29">
        <v>43027</v>
      </c>
      <c r="B1051" s="38" t="s">
        <v>20169</v>
      </c>
      <c r="C1051" s="35" t="s">
        <v>14</v>
      </c>
      <c r="D1051" s="35" t="s">
        <v>19360</v>
      </c>
      <c r="E1051" s="35" t="s">
        <v>19252</v>
      </c>
      <c r="F1051" s="35"/>
      <c r="G1051" s="36"/>
      <c r="H1051" s="36"/>
    </row>
    <row r="1052" spans="1:8" x14ac:dyDescent="0.25">
      <c r="A1052" s="29">
        <v>5010</v>
      </c>
      <c r="B1052" s="38" t="s">
        <v>20170</v>
      </c>
      <c r="C1052" s="35" t="s">
        <v>19221</v>
      </c>
      <c r="D1052" s="35" t="s">
        <v>19320</v>
      </c>
      <c r="E1052" s="35" t="s">
        <v>19321</v>
      </c>
      <c r="F1052" s="35"/>
      <c r="G1052" s="36"/>
      <c r="H1052" s="36"/>
    </row>
    <row r="1053" spans="1:8" x14ac:dyDescent="0.25">
      <c r="A1053" s="29">
        <v>53052</v>
      </c>
      <c r="B1053" s="38" t="s">
        <v>20171</v>
      </c>
      <c r="C1053" s="35" t="s">
        <v>14</v>
      </c>
      <c r="D1053" s="35" t="s">
        <v>19602</v>
      </c>
      <c r="E1053" s="35" t="s">
        <v>19217</v>
      </c>
      <c r="F1053" s="35"/>
      <c r="G1053" s="36"/>
      <c r="H1053" s="36"/>
    </row>
    <row r="1054" spans="1:8" x14ac:dyDescent="0.25">
      <c r="A1054" s="29">
        <v>46045</v>
      </c>
      <c r="B1054" s="38" t="s">
        <v>20172</v>
      </c>
      <c r="C1054" s="35" t="s">
        <v>19221</v>
      </c>
      <c r="D1054" s="35" t="s">
        <v>19216</v>
      </c>
      <c r="E1054" s="35" t="s">
        <v>19217</v>
      </c>
      <c r="F1054" s="35"/>
      <c r="G1054" s="36"/>
      <c r="H1054" s="36"/>
    </row>
    <row r="1055" spans="1:8" x14ac:dyDescent="0.25">
      <c r="A1055" s="29">
        <v>46030</v>
      </c>
      <c r="B1055" s="38" t="s">
        <v>20173</v>
      </c>
      <c r="C1055" s="35" t="s">
        <v>19221</v>
      </c>
      <c r="D1055" s="35" t="s">
        <v>19216</v>
      </c>
      <c r="E1055" s="35" t="s">
        <v>19217</v>
      </c>
      <c r="F1055" s="35"/>
      <c r="G1055" s="36"/>
      <c r="H1055" s="36"/>
    </row>
    <row r="1056" spans="1:8" x14ac:dyDescent="0.25">
      <c r="A1056" s="29">
        <v>45008</v>
      </c>
      <c r="B1056" s="38" t="s">
        <v>20174</v>
      </c>
      <c r="C1056" s="35" t="s">
        <v>14</v>
      </c>
      <c r="D1056" s="35" t="s">
        <v>19261</v>
      </c>
      <c r="E1056" s="35" t="s">
        <v>19252</v>
      </c>
      <c r="F1056" s="35"/>
      <c r="G1056" s="36"/>
      <c r="H1056" s="36"/>
    </row>
    <row r="1057" spans="1:8" x14ac:dyDescent="0.25">
      <c r="A1057" s="29">
        <v>45025</v>
      </c>
      <c r="B1057" s="38" t="s">
        <v>20174</v>
      </c>
      <c r="C1057" s="35" t="s">
        <v>19238</v>
      </c>
      <c r="D1057" s="35" t="s">
        <v>19261</v>
      </c>
      <c r="E1057" s="35" t="s">
        <v>19252</v>
      </c>
      <c r="F1057" s="35"/>
      <c r="G1057" s="36"/>
      <c r="H1057" s="36"/>
    </row>
    <row r="1058" spans="1:8" x14ac:dyDescent="0.25">
      <c r="A1058" s="29">
        <v>44050</v>
      </c>
      <c r="B1058" s="38" t="s">
        <v>20175</v>
      </c>
      <c r="C1058" s="35" t="s">
        <v>19221</v>
      </c>
      <c r="D1058" s="35" t="s">
        <v>19282</v>
      </c>
      <c r="E1058" s="35" t="s">
        <v>19252</v>
      </c>
      <c r="F1058" s="35"/>
      <c r="G1058" s="36"/>
      <c r="H1058" s="36"/>
    </row>
    <row r="1059" spans="1:8" x14ac:dyDescent="0.25">
      <c r="A1059" s="29">
        <v>42005</v>
      </c>
      <c r="B1059" s="38" t="s">
        <v>20176</v>
      </c>
      <c r="C1059" s="35" t="s">
        <v>19221</v>
      </c>
      <c r="D1059" s="35" t="s">
        <v>19324</v>
      </c>
      <c r="E1059" s="35" t="s">
        <v>19252</v>
      </c>
      <c r="F1059" s="35"/>
      <c r="G1059" s="36"/>
      <c r="H1059" s="36"/>
    </row>
    <row r="1060" spans="1:8" x14ac:dyDescent="0.25">
      <c r="A1060" s="29">
        <v>22035</v>
      </c>
      <c r="B1060" s="38" t="s">
        <v>20177</v>
      </c>
      <c r="C1060" s="35" t="s">
        <v>19550</v>
      </c>
      <c r="D1060" s="35" t="s">
        <v>19434</v>
      </c>
      <c r="E1060" s="35" t="s">
        <v>19276</v>
      </c>
      <c r="F1060" s="35"/>
      <c r="G1060" s="36"/>
      <c r="H1060" s="36"/>
    </row>
    <row r="1061" spans="1:8" x14ac:dyDescent="0.25">
      <c r="A1061" s="29">
        <v>30105</v>
      </c>
      <c r="B1061" s="38" t="s">
        <v>20178</v>
      </c>
      <c r="C1061" s="35" t="s">
        <v>19221</v>
      </c>
      <c r="D1061" s="35" t="s">
        <v>19257</v>
      </c>
      <c r="E1061" s="35" t="s">
        <v>19252</v>
      </c>
      <c r="F1061" s="35"/>
      <c r="G1061" s="36"/>
      <c r="H1061" s="36"/>
    </row>
    <row r="1062" spans="1:8" x14ac:dyDescent="0.25">
      <c r="A1062" s="29">
        <v>30110</v>
      </c>
      <c r="B1062" s="38" t="s">
        <v>20179</v>
      </c>
      <c r="C1062" s="35" t="s">
        <v>19238</v>
      </c>
      <c r="D1062" s="35" t="s">
        <v>19257</v>
      </c>
      <c r="E1062" s="35" t="s">
        <v>19252</v>
      </c>
      <c r="F1062" s="35"/>
      <c r="G1062" s="36"/>
      <c r="H1062" s="36"/>
    </row>
    <row r="1063" spans="1:8" x14ac:dyDescent="0.25">
      <c r="A1063" s="29">
        <v>45105</v>
      </c>
      <c r="B1063" s="38" t="s">
        <v>20180</v>
      </c>
      <c r="C1063" s="35" t="s">
        <v>19215</v>
      </c>
      <c r="D1063" s="35" t="s">
        <v>19261</v>
      </c>
      <c r="E1063" s="35" t="s">
        <v>19252</v>
      </c>
      <c r="F1063" s="35"/>
      <c r="G1063" s="36"/>
      <c r="H1063" s="36"/>
    </row>
    <row r="1064" spans="1:8" x14ac:dyDescent="0.25">
      <c r="A1064" s="29">
        <v>46058</v>
      </c>
      <c r="B1064" s="38" t="s">
        <v>20181</v>
      </c>
      <c r="C1064" s="35" t="s">
        <v>14</v>
      </c>
      <c r="D1064" s="35" t="s">
        <v>19216</v>
      </c>
      <c r="E1064" s="35" t="s">
        <v>19217</v>
      </c>
      <c r="F1064" s="35"/>
      <c r="G1064" s="36"/>
      <c r="H1064" s="36"/>
    </row>
    <row r="1065" spans="1:8" x14ac:dyDescent="0.25">
      <c r="A1065" s="29">
        <v>95005</v>
      </c>
      <c r="B1065" s="38" t="s">
        <v>20182</v>
      </c>
      <c r="C1065" s="35" t="s">
        <v>19215</v>
      </c>
      <c r="D1065" s="35" t="s">
        <v>19381</v>
      </c>
      <c r="E1065" s="35" t="s">
        <v>19226</v>
      </c>
      <c r="F1065" s="35"/>
      <c r="G1065" s="36"/>
      <c r="H1065" s="36"/>
    </row>
    <row r="1066" spans="1:8" x14ac:dyDescent="0.25">
      <c r="A1066" s="29">
        <v>87042</v>
      </c>
      <c r="B1066" s="38" t="s">
        <v>20183</v>
      </c>
      <c r="C1066" s="35" t="s">
        <v>19221</v>
      </c>
      <c r="D1066" s="35" t="s">
        <v>19263</v>
      </c>
      <c r="E1066" s="35" t="s">
        <v>19243</v>
      </c>
      <c r="F1066" s="35"/>
      <c r="G1066" s="36"/>
      <c r="H1066" s="36"/>
    </row>
    <row r="1067" spans="1:8" x14ac:dyDescent="0.25">
      <c r="A1067" s="29">
        <v>85005</v>
      </c>
      <c r="B1067" s="38" t="s">
        <v>20184</v>
      </c>
      <c r="C1067" s="35" t="s">
        <v>14</v>
      </c>
      <c r="D1067" s="35" t="s">
        <v>19289</v>
      </c>
      <c r="E1067" s="35" t="s">
        <v>19243</v>
      </c>
      <c r="F1067" s="35"/>
      <c r="G1067" s="36"/>
      <c r="H1067" s="36"/>
    </row>
    <row r="1068" spans="1:8" x14ac:dyDescent="0.25">
      <c r="A1068" s="29">
        <v>13073</v>
      </c>
      <c r="B1068" s="38" t="s">
        <v>20185</v>
      </c>
      <c r="C1068" s="35" t="s">
        <v>14</v>
      </c>
      <c r="D1068" s="35" t="s">
        <v>19256</v>
      </c>
      <c r="E1068" s="35" t="s">
        <v>19232</v>
      </c>
      <c r="F1068" s="35"/>
      <c r="G1068" s="36"/>
      <c r="H1068" s="36"/>
    </row>
    <row r="1069" spans="1:8" x14ac:dyDescent="0.25">
      <c r="A1069" s="29">
        <v>71075</v>
      </c>
      <c r="B1069" s="38" t="s">
        <v>20186</v>
      </c>
      <c r="C1069" s="35" t="s">
        <v>19221</v>
      </c>
      <c r="D1069" s="35" t="s">
        <v>19482</v>
      </c>
      <c r="E1069" s="35" t="s">
        <v>19217</v>
      </c>
      <c r="F1069" s="35"/>
      <c r="G1069" s="36"/>
      <c r="H1069" s="36"/>
    </row>
    <row r="1070" spans="1:8" x14ac:dyDescent="0.25">
      <c r="A1070" s="29">
        <v>64008</v>
      </c>
      <c r="B1070" s="38" t="s">
        <v>2039</v>
      </c>
      <c r="C1070" s="35" t="s">
        <v>14</v>
      </c>
      <c r="D1070" s="35" t="s">
        <v>19600</v>
      </c>
      <c r="E1070" s="35" t="s">
        <v>19310</v>
      </c>
      <c r="F1070" s="35"/>
      <c r="G1070" s="36"/>
      <c r="H1070" s="36"/>
    </row>
    <row r="1071" spans="1:8" x14ac:dyDescent="0.25">
      <c r="A1071" s="29">
        <v>31084</v>
      </c>
      <c r="B1071" s="38" t="s">
        <v>20187</v>
      </c>
      <c r="C1071" s="35" t="s">
        <v>14</v>
      </c>
      <c r="D1071" s="35" t="s">
        <v>19222</v>
      </c>
      <c r="E1071" s="35" t="s">
        <v>19223</v>
      </c>
      <c r="F1071" s="35"/>
      <c r="G1071" s="36"/>
      <c r="H1071" s="36"/>
    </row>
    <row r="1072" spans="1:8" x14ac:dyDescent="0.25">
      <c r="A1072" s="29">
        <v>84045</v>
      </c>
      <c r="B1072" s="38" t="s">
        <v>20188</v>
      </c>
      <c r="C1072" s="35" t="s">
        <v>19221</v>
      </c>
      <c r="D1072" s="35" t="s">
        <v>19234</v>
      </c>
      <c r="E1072" s="35" t="s">
        <v>19235</v>
      </c>
      <c r="F1072" s="35"/>
      <c r="G1072" s="36"/>
      <c r="H1072" s="36"/>
    </row>
    <row r="1073" spans="1:8" x14ac:dyDescent="0.25">
      <c r="A1073" s="29">
        <v>80050</v>
      </c>
      <c r="B1073" s="38" t="s">
        <v>2031</v>
      </c>
      <c r="C1073" s="35" t="s">
        <v>14</v>
      </c>
      <c r="D1073" s="35" t="s">
        <v>8694</v>
      </c>
      <c r="E1073" s="35" t="s">
        <v>19235</v>
      </c>
      <c r="F1073" s="35"/>
      <c r="G1073" s="36"/>
      <c r="H1073" s="36"/>
    </row>
    <row r="1074" spans="1:8" x14ac:dyDescent="0.25">
      <c r="A1074" s="29">
        <v>39025</v>
      </c>
      <c r="B1074" s="38" t="s">
        <v>20189</v>
      </c>
      <c r="C1074" s="35" t="s">
        <v>19221</v>
      </c>
      <c r="D1074" s="35" t="s">
        <v>19370</v>
      </c>
      <c r="E1074" s="35" t="s">
        <v>19255</v>
      </c>
      <c r="F1074" s="35"/>
      <c r="G1074" s="36"/>
      <c r="H1074" s="36"/>
    </row>
    <row r="1075" spans="1:8" x14ac:dyDescent="0.25">
      <c r="A1075" s="29">
        <v>17035</v>
      </c>
      <c r="B1075" s="38" t="s">
        <v>20190</v>
      </c>
      <c r="C1075" s="35" t="s">
        <v>19221</v>
      </c>
      <c r="D1075" s="35" t="s">
        <v>19575</v>
      </c>
      <c r="E1075" s="35" t="s">
        <v>19223</v>
      </c>
      <c r="F1075" s="35"/>
      <c r="G1075" s="36"/>
      <c r="H1075" s="36"/>
    </row>
    <row r="1076" spans="1:8" x14ac:dyDescent="0.25">
      <c r="A1076" s="29">
        <v>88075</v>
      </c>
      <c r="B1076" s="38" t="s">
        <v>20191</v>
      </c>
      <c r="C1076" s="35" t="s">
        <v>19238</v>
      </c>
      <c r="D1076" s="35" t="s">
        <v>19242</v>
      </c>
      <c r="E1076" s="35" t="s">
        <v>19243</v>
      </c>
      <c r="F1076" s="35"/>
      <c r="G1076" s="36"/>
      <c r="H1076" s="36"/>
    </row>
    <row r="1077" spans="1:8" x14ac:dyDescent="0.25">
      <c r="A1077" s="29">
        <v>71125</v>
      </c>
      <c r="B1077" s="38" t="s">
        <v>20192</v>
      </c>
      <c r="C1077" s="35" t="s">
        <v>19221</v>
      </c>
      <c r="D1077" s="35" t="s">
        <v>19385</v>
      </c>
      <c r="E1077" s="35" t="s">
        <v>19217</v>
      </c>
      <c r="F1077" s="35"/>
      <c r="G1077" s="36"/>
      <c r="H1077" s="36"/>
    </row>
    <row r="1078" spans="1:8" x14ac:dyDescent="0.25">
      <c r="A1078" s="29">
        <v>69030</v>
      </c>
      <c r="B1078" s="38" t="s">
        <v>20193</v>
      </c>
      <c r="C1078" s="35" t="s">
        <v>19327</v>
      </c>
      <c r="D1078" s="35" t="s">
        <v>19410</v>
      </c>
      <c r="E1078" s="35" t="s">
        <v>19217</v>
      </c>
      <c r="F1078" s="35"/>
      <c r="G1078" s="36"/>
      <c r="H1078" s="36"/>
    </row>
    <row r="1079" spans="1:8" x14ac:dyDescent="0.25">
      <c r="A1079" s="29">
        <v>27060</v>
      </c>
      <c r="B1079" s="38" t="s">
        <v>20194</v>
      </c>
      <c r="C1079" s="35" t="s">
        <v>19215</v>
      </c>
      <c r="D1079" s="35" t="s">
        <v>19291</v>
      </c>
      <c r="E1079" s="35" t="s">
        <v>19223</v>
      </c>
      <c r="F1079" s="35"/>
      <c r="G1079" s="36"/>
      <c r="H1079" s="36"/>
    </row>
    <row r="1080" spans="1:8" x14ac:dyDescent="0.25">
      <c r="A1080" s="29">
        <v>11040</v>
      </c>
      <c r="B1080" s="38" t="s">
        <v>20195</v>
      </c>
      <c r="C1080" s="35" t="s">
        <v>14</v>
      </c>
      <c r="D1080" s="35" t="s">
        <v>19651</v>
      </c>
      <c r="E1080" s="35" t="s">
        <v>19232</v>
      </c>
      <c r="F1080" s="35"/>
      <c r="G1080" s="36"/>
      <c r="H1080" s="36"/>
    </row>
    <row r="1081" spans="1:8" x14ac:dyDescent="0.25">
      <c r="A1081" s="29">
        <v>35055</v>
      </c>
      <c r="B1081" s="38" t="s">
        <v>20196</v>
      </c>
      <c r="C1081" s="35" t="s">
        <v>19221</v>
      </c>
      <c r="D1081" s="35" t="s">
        <v>19452</v>
      </c>
      <c r="E1081" s="35" t="s">
        <v>19286</v>
      </c>
      <c r="F1081" s="35"/>
      <c r="G1081" s="36"/>
      <c r="H1081" s="36"/>
    </row>
    <row r="1082" spans="1:8" x14ac:dyDescent="0.25">
      <c r="A1082" s="29">
        <v>37067</v>
      </c>
      <c r="B1082" s="38" t="s">
        <v>2012</v>
      </c>
      <c r="C1082" s="35" t="s">
        <v>14</v>
      </c>
      <c r="D1082" s="35" t="s">
        <v>19360</v>
      </c>
      <c r="E1082" s="35" t="s">
        <v>19286</v>
      </c>
      <c r="F1082" s="35"/>
      <c r="G1082" s="36"/>
      <c r="H1082" s="36"/>
    </row>
    <row r="1083" spans="1:8" x14ac:dyDescent="0.25">
      <c r="A1083" s="29">
        <v>42078</v>
      </c>
      <c r="B1083" s="38" t="s">
        <v>20197</v>
      </c>
      <c r="C1083" s="35" t="s">
        <v>19221</v>
      </c>
      <c r="D1083" s="35" t="s">
        <v>19324</v>
      </c>
      <c r="E1083" s="35" t="s">
        <v>19252</v>
      </c>
      <c r="F1083" s="35"/>
      <c r="G1083" s="36"/>
      <c r="H1083" s="36"/>
    </row>
    <row r="1084" spans="1:8" x14ac:dyDescent="0.25">
      <c r="A1084" s="29">
        <v>48038</v>
      </c>
      <c r="B1084" s="38" t="s">
        <v>20198</v>
      </c>
      <c r="C1084" s="35" t="s">
        <v>19221</v>
      </c>
      <c r="D1084" s="35" t="s">
        <v>19219</v>
      </c>
      <c r="E1084" s="35" t="s">
        <v>19217</v>
      </c>
      <c r="F1084" s="35"/>
      <c r="G1084" s="36"/>
      <c r="H1084" s="36"/>
    </row>
    <row r="1085" spans="1:8" x14ac:dyDescent="0.25">
      <c r="A1085" s="29">
        <v>33070</v>
      </c>
      <c r="B1085" s="38" t="s">
        <v>20199</v>
      </c>
      <c r="C1085" s="35" t="s">
        <v>19221</v>
      </c>
      <c r="D1085" s="35" t="s">
        <v>19404</v>
      </c>
      <c r="E1085" s="35" t="s">
        <v>19223</v>
      </c>
      <c r="F1085" s="35"/>
      <c r="G1085" s="36"/>
      <c r="H1085" s="36"/>
    </row>
    <row r="1086" spans="1:8" x14ac:dyDescent="0.25">
      <c r="A1086" s="29">
        <v>7080</v>
      </c>
      <c r="B1086" s="38" t="s">
        <v>20200</v>
      </c>
      <c r="C1086" s="35" t="s">
        <v>19221</v>
      </c>
      <c r="D1086" s="35" t="s">
        <v>19231</v>
      </c>
      <c r="E1086" s="35" t="s">
        <v>19232</v>
      </c>
      <c r="F1086" s="35"/>
      <c r="G1086" s="36"/>
      <c r="H1086" s="36"/>
    </row>
    <row r="1087" spans="1:8" x14ac:dyDescent="0.25">
      <c r="A1087" s="29">
        <v>42060</v>
      </c>
      <c r="B1087" s="38" t="s">
        <v>20201</v>
      </c>
      <c r="C1087" s="35" t="s">
        <v>19238</v>
      </c>
      <c r="D1087" s="35" t="s">
        <v>19324</v>
      </c>
      <c r="E1087" s="35" t="s">
        <v>19252</v>
      </c>
      <c r="F1087" s="35"/>
      <c r="G1087" s="36"/>
      <c r="H1087" s="36"/>
    </row>
    <row r="1088" spans="1:8" x14ac:dyDescent="0.25">
      <c r="A1088" s="29">
        <v>42055</v>
      </c>
      <c r="B1088" s="38" t="s">
        <v>20201</v>
      </c>
      <c r="C1088" s="35" t="s">
        <v>14</v>
      </c>
      <c r="D1088" s="35" t="s">
        <v>19324</v>
      </c>
      <c r="E1088" s="35" t="s">
        <v>19252</v>
      </c>
      <c r="F1088" s="35"/>
      <c r="G1088" s="36"/>
      <c r="H1088" s="36"/>
    </row>
    <row r="1089" spans="1:8" x14ac:dyDescent="0.25">
      <c r="A1089" s="29">
        <v>78010</v>
      </c>
      <c r="B1089" s="38" t="s">
        <v>1776</v>
      </c>
      <c r="C1089" s="35" t="s">
        <v>19215</v>
      </c>
      <c r="D1089" s="35" t="s">
        <v>19239</v>
      </c>
      <c r="E1089" s="35" t="s">
        <v>19240</v>
      </c>
      <c r="F1089" s="35"/>
      <c r="G1089" s="36"/>
      <c r="H1089" s="36"/>
    </row>
    <row r="1090" spans="1:8" x14ac:dyDescent="0.25">
      <c r="A1090" s="29">
        <v>80140</v>
      </c>
      <c r="B1090" s="38" t="s">
        <v>20202</v>
      </c>
      <c r="C1090" s="35" t="s">
        <v>19221</v>
      </c>
      <c r="D1090" s="35" t="s">
        <v>8694</v>
      </c>
      <c r="E1090" s="35" t="s">
        <v>19235</v>
      </c>
      <c r="F1090" s="35"/>
      <c r="G1090" s="36"/>
      <c r="H1090" s="36"/>
    </row>
    <row r="1091" spans="1:8" x14ac:dyDescent="0.25">
      <c r="A1091" s="29">
        <v>78100</v>
      </c>
      <c r="B1091" s="38" t="s">
        <v>1761</v>
      </c>
      <c r="C1091" s="35" t="s">
        <v>19221</v>
      </c>
      <c r="D1091" s="35" t="s">
        <v>19239</v>
      </c>
      <c r="E1091" s="35" t="s">
        <v>19240</v>
      </c>
      <c r="F1091" s="35"/>
      <c r="G1091" s="36"/>
      <c r="H1091" s="36"/>
    </row>
    <row r="1092" spans="1:8" x14ac:dyDescent="0.25">
      <c r="A1092" s="29">
        <v>82015</v>
      </c>
      <c r="B1092" s="38" t="s">
        <v>20203</v>
      </c>
      <c r="C1092" s="35" t="s">
        <v>19221</v>
      </c>
      <c r="D1092" s="35" t="s">
        <v>19341</v>
      </c>
      <c r="E1092" s="35" t="s">
        <v>19235</v>
      </c>
      <c r="F1092" s="35"/>
      <c r="G1092" s="36"/>
      <c r="H1092" s="36"/>
    </row>
    <row r="1093" spans="1:8" x14ac:dyDescent="0.25">
      <c r="A1093" s="29">
        <v>40043</v>
      </c>
      <c r="B1093" s="38" t="s">
        <v>20204</v>
      </c>
      <c r="C1093" s="35" t="s">
        <v>14</v>
      </c>
      <c r="D1093" s="35" t="s">
        <v>19390</v>
      </c>
      <c r="E1093" s="35" t="s">
        <v>19252</v>
      </c>
      <c r="F1093" s="35"/>
      <c r="G1093" s="36"/>
      <c r="H1093" s="36"/>
    </row>
    <row r="1094" spans="1:8" x14ac:dyDescent="0.25">
      <c r="A1094" s="29">
        <v>40043</v>
      </c>
      <c r="B1094" s="38" t="s">
        <v>20204</v>
      </c>
      <c r="C1094" s="35" t="s">
        <v>14</v>
      </c>
      <c r="D1094" s="35" t="s">
        <v>19390</v>
      </c>
      <c r="E1094" s="35" t="s">
        <v>19252</v>
      </c>
      <c r="F1094" s="35"/>
      <c r="G1094" s="36"/>
      <c r="H1094" s="36"/>
    </row>
    <row r="1095" spans="1:8" x14ac:dyDescent="0.25">
      <c r="A1095" s="29">
        <v>40043</v>
      </c>
      <c r="B1095" s="38" t="s">
        <v>20204</v>
      </c>
      <c r="C1095" s="35" t="s">
        <v>14</v>
      </c>
      <c r="D1095" s="35" t="s">
        <v>19390</v>
      </c>
      <c r="E1095" s="35" t="s">
        <v>19252</v>
      </c>
      <c r="F1095" s="35"/>
      <c r="G1095" s="36"/>
      <c r="H1095" s="36"/>
    </row>
    <row r="1096" spans="1:8" x14ac:dyDescent="0.25">
      <c r="A1096" s="29">
        <v>40043</v>
      </c>
      <c r="B1096" s="38" t="s">
        <v>20204</v>
      </c>
      <c r="C1096" s="35" t="s">
        <v>14</v>
      </c>
      <c r="D1096" s="35" t="s">
        <v>19390</v>
      </c>
      <c r="E1096" s="35" t="s">
        <v>19252</v>
      </c>
      <c r="F1096" s="35"/>
      <c r="G1096" s="36"/>
      <c r="H1096" s="36"/>
    </row>
    <row r="1097" spans="1:8" x14ac:dyDescent="0.25">
      <c r="A1097" s="29">
        <v>89008</v>
      </c>
      <c r="B1097" s="38" t="s">
        <v>1748</v>
      </c>
      <c r="C1097" s="35" t="s">
        <v>14</v>
      </c>
      <c r="D1097" s="35" t="s">
        <v>19302</v>
      </c>
      <c r="E1097" s="35" t="s">
        <v>19243</v>
      </c>
      <c r="F1097" s="35"/>
      <c r="G1097" s="36"/>
      <c r="H1097" s="36"/>
    </row>
    <row r="1098" spans="1:8" x14ac:dyDescent="0.25">
      <c r="A1098" s="29">
        <v>42095</v>
      </c>
      <c r="B1098" s="38" t="s">
        <v>20205</v>
      </c>
      <c r="C1098" s="35" t="s">
        <v>19221</v>
      </c>
      <c r="D1098" s="35" t="s">
        <v>19324</v>
      </c>
      <c r="E1098" s="35" t="s">
        <v>19252</v>
      </c>
      <c r="F1098" s="35"/>
      <c r="G1098" s="36"/>
      <c r="H1098" s="36"/>
    </row>
    <row r="1099" spans="1:8" x14ac:dyDescent="0.25">
      <c r="A1099" s="29">
        <v>26015</v>
      </c>
      <c r="B1099" s="38" t="s">
        <v>20206</v>
      </c>
      <c r="C1099" s="35" t="s">
        <v>19221</v>
      </c>
      <c r="D1099" s="35" t="s">
        <v>19436</v>
      </c>
      <c r="E1099" s="35" t="s">
        <v>19223</v>
      </c>
      <c r="F1099" s="35"/>
      <c r="G1099" s="35"/>
      <c r="H1099" s="35"/>
    </row>
    <row r="1100" spans="1:8" x14ac:dyDescent="0.25">
      <c r="A1100" s="29">
        <v>78005</v>
      </c>
      <c r="B1100" s="38" t="s">
        <v>1644</v>
      </c>
      <c r="C1100" s="35" t="s">
        <v>19221</v>
      </c>
      <c r="D1100" s="35" t="s">
        <v>19239</v>
      </c>
      <c r="E1100" s="35" t="s">
        <v>19240</v>
      </c>
      <c r="F1100" s="35"/>
      <c r="G1100" s="36"/>
      <c r="H1100" s="36"/>
    </row>
    <row r="1101" spans="1:8" x14ac:dyDescent="0.25">
      <c r="A1101" s="29">
        <v>30015</v>
      </c>
      <c r="B1101" s="38" t="s">
        <v>20207</v>
      </c>
      <c r="C1101" s="35" t="s">
        <v>19221</v>
      </c>
      <c r="D1101" s="35" t="s">
        <v>19257</v>
      </c>
      <c r="E1101" s="35" t="s">
        <v>19252</v>
      </c>
      <c r="F1101" s="35"/>
      <c r="G1101" s="36"/>
      <c r="H1101" s="36"/>
    </row>
    <row r="1102" spans="1:8" x14ac:dyDescent="0.25">
      <c r="A1102" s="29">
        <v>87105</v>
      </c>
      <c r="B1102" s="38" t="s">
        <v>20208</v>
      </c>
      <c r="C1102" s="35" t="s">
        <v>19221</v>
      </c>
      <c r="D1102" s="35" t="s">
        <v>19263</v>
      </c>
      <c r="E1102" s="35" t="s">
        <v>19243</v>
      </c>
      <c r="F1102" s="35"/>
      <c r="G1102" s="36"/>
      <c r="H1102" s="36"/>
    </row>
    <row r="1103" spans="1:8" x14ac:dyDescent="0.25">
      <c r="A1103" s="29">
        <v>59020</v>
      </c>
      <c r="B1103" s="38" t="s">
        <v>20209</v>
      </c>
      <c r="C1103" s="35" t="s">
        <v>14</v>
      </c>
      <c r="D1103" s="35" t="s">
        <v>19338</v>
      </c>
      <c r="E1103" s="35" t="s">
        <v>19217</v>
      </c>
      <c r="F1103" s="35"/>
      <c r="G1103" s="35"/>
      <c r="H1103" s="35"/>
    </row>
    <row r="1104" spans="1:8" x14ac:dyDescent="0.25">
      <c r="A1104" s="29">
        <v>71083</v>
      </c>
      <c r="B1104" s="38" t="s">
        <v>1635</v>
      </c>
      <c r="C1104" s="35" t="s">
        <v>14</v>
      </c>
      <c r="D1104" s="35" t="s">
        <v>19482</v>
      </c>
      <c r="E1104" s="35" t="s">
        <v>19217</v>
      </c>
      <c r="F1104" s="35"/>
      <c r="G1104" s="35"/>
      <c r="H1104" s="35"/>
    </row>
    <row r="1105" spans="1:8" x14ac:dyDescent="0.25">
      <c r="A1105" s="29">
        <v>71090</v>
      </c>
      <c r="B1105" s="38" t="s">
        <v>20210</v>
      </c>
      <c r="C1105" s="35" t="s">
        <v>19215</v>
      </c>
      <c r="D1105" s="35" t="s">
        <v>19482</v>
      </c>
      <c r="E1105" s="35" t="s">
        <v>19217</v>
      </c>
      <c r="F1105" s="35"/>
      <c r="G1105" s="35"/>
      <c r="H1105" s="35"/>
    </row>
    <row r="1106" spans="1:8" x14ac:dyDescent="0.25">
      <c r="A1106" s="29">
        <v>56005</v>
      </c>
      <c r="B1106" s="38" t="s">
        <v>20211</v>
      </c>
      <c r="C1106" s="35" t="s">
        <v>19221</v>
      </c>
      <c r="D1106" s="35" t="s">
        <v>19474</v>
      </c>
      <c r="E1106" s="35" t="s">
        <v>19217</v>
      </c>
      <c r="F1106" s="35"/>
      <c r="G1106" s="35"/>
      <c r="H1106" s="35"/>
    </row>
    <row r="1107" spans="1:8" x14ac:dyDescent="0.25">
      <c r="A1107" s="29">
        <v>59025</v>
      </c>
      <c r="B1107" s="38" t="s">
        <v>20212</v>
      </c>
      <c r="C1107" s="35" t="s">
        <v>19221</v>
      </c>
      <c r="D1107" s="35" t="s">
        <v>19338</v>
      </c>
      <c r="E1107" s="35" t="s">
        <v>19217</v>
      </c>
      <c r="F1107" s="35"/>
      <c r="G1107" s="35"/>
      <c r="H1107" s="35"/>
    </row>
    <row r="1108" spans="1:8" x14ac:dyDescent="0.25">
      <c r="A1108" s="29">
        <v>39062</v>
      </c>
      <c r="B1108" s="38" t="s">
        <v>1619</v>
      </c>
      <c r="C1108" s="35" t="s">
        <v>14</v>
      </c>
      <c r="D1108" s="35" t="s">
        <v>19370</v>
      </c>
      <c r="E1108" s="35" t="s">
        <v>19255</v>
      </c>
      <c r="F1108" s="35"/>
      <c r="G1108" s="35"/>
      <c r="H1108" s="35"/>
    </row>
    <row r="1109" spans="1:8" x14ac:dyDescent="0.25">
      <c r="A1109" s="29">
        <v>85025</v>
      </c>
      <c r="B1109" s="38" t="s">
        <v>1610</v>
      </c>
      <c r="C1109" s="35" t="s">
        <v>14</v>
      </c>
      <c r="D1109" s="35" t="s">
        <v>19289</v>
      </c>
      <c r="E1109" s="35" t="s">
        <v>19243</v>
      </c>
      <c r="F1109" s="35"/>
      <c r="G1109" s="35"/>
      <c r="H1109" s="35"/>
    </row>
    <row r="1110" spans="1:8" x14ac:dyDescent="0.25">
      <c r="A1110" s="29">
        <v>32085</v>
      </c>
      <c r="B1110" s="38" t="s">
        <v>20213</v>
      </c>
      <c r="C1110" s="35" t="s">
        <v>19221</v>
      </c>
      <c r="D1110" s="35" t="s">
        <v>19485</v>
      </c>
      <c r="E1110" s="35" t="s">
        <v>19255</v>
      </c>
      <c r="F1110" s="35"/>
      <c r="G1110" s="35"/>
      <c r="H1110" s="35"/>
    </row>
    <row r="1111" spans="1:8" x14ac:dyDescent="0.25">
      <c r="A1111" s="29">
        <v>84070</v>
      </c>
      <c r="B1111" s="38" t="s">
        <v>20214</v>
      </c>
      <c r="C1111" s="35" t="s">
        <v>19221</v>
      </c>
      <c r="D1111" s="35" t="s">
        <v>19234</v>
      </c>
      <c r="E1111" s="35" t="s">
        <v>19235</v>
      </c>
      <c r="F1111" s="35"/>
      <c r="G1111" s="35"/>
      <c r="H1111" s="35"/>
    </row>
    <row r="1112" spans="1:8" x14ac:dyDescent="0.25">
      <c r="A1112" s="29">
        <v>47030</v>
      </c>
      <c r="B1112" s="38" t="s">
        <v>20215</v>
      </c>
      <c r="C1112" s="35" t="s">
        <v>19215</v>
      </c>
      <c r="D1112" s="35" t="s">
        <v>19449</v>
      </c>
      <c r="E1112" s="35" t="s">
        <v>19217</v>
      </c>
      <c r="F1112" s="35"/>
      <c r="G1112" s="35"/>
      <c r="H1112" s="35"/>
    </row>
    <row r="1113" spans="1:8" x14ac:dyDescent="0.25">
      <c r="A1113" s="29">
        <v>39077</v>
      </c>
      <c r="B1113" s="38" t="s">
        <v>20216</v>
      </c>
      <c r="C1113" s="35" t="s">
        <v>14</v>
      </c>
      <c r="D1113" s="35" t="s">
        <v>19370</v>
      </c>
      <c r="E1113" s="35" t="s">
        <v>19255</v>
      </c>
      <c r="F1113" s="35"/>
      <c r="G1113" s="35"/>
      <c r="H1113" s="35"/>
    </row>
    <row r="1114" spans="1:8" x14ac:dyDescent="0.25">
      <c r="A1114" s="29">
        <v>47025</v>
      </c>
      <c r="B1114" s="38" t="s">
        <v>20217</v>
      </c>
      <c r="C1114" s="35" t="s">
        <v>14</v>
      </c>
      <c r="D1114" s="35" t="s">
        <v>19449</v>
      </c>
      <c r="E1114" s="35" t="s">
        <v>19217</v>
      </c>
      <c r="F1114" s="35"/>
      <c r="G1114" s="35"/>
      <c r="H1114" s="35"/>
    </row>
    <row r="1115" spans="1:8" x14ac:dyDescent="0.25">
      <c r="A1115" s="29">
        <v>44080</v>
      </c>
      <c r="B1115" s="38" t="s">
        <v>20218</v>
      </c>
      <c r="C1115" s="35" t="s">
        <v>14</v>
      </c>
      <c r="D1115" s="35" t="s">
        <v>19282</v>
      </c>
      <c r="E1115" s="35" t="s">
        <v>19252</v>
      </c>
      <c r="F1115" s="35"/>
      <c r="G1115" s="35"/>
      <c r="H1115" s="35"/>
    </row>
    <row r="1116" spans="1:8" x14ac:dyDescent="0.25">
      <c r="A1116" s="29">
        <v>41098</v>
      </c>
      <c r="B1116" s="38" t="s">
        <v>20219</v>
      </c>
      <c r="C1116" s="35" t="s">
        <v>19221</v>
      </c>
      <c r="D1116" s="35" t="s">
        <v>19251</v>
      </c>
      <c r="E1116" s="35" t="s">
        <v>19252</v>
      </c>
      <c r="F1116" s="35"/>
      <c r="G1116" s="35"/>
      <c r="H1116" s="35"/>
    </row>
    <row r="1117" spans="1:8" x14ac:dyDescent="0.25">
      <c r="A1117" s="29">
        <v>76035</v>
      </c>
      <c r="B1117" s="38" t="s">
        <v>20220</v>
      </c>
      <c r="C1117" s="35" t="s">
        <v>19238</v>
      </c>
      <c r="D1117" s="35" t="s">
        <v>19332</v>
      </c>
      <c r="E1117" s="35" t="s">
        <v>19240</v>
      </c>
      <c r="F1117" s="35"/>
      <c r="G1117" s="35"/>
      <c r="H1117" s="35"/>
    </row>
    <row r="1118" spans="1:8" x14ac:dyDescent="0.25">
      <c r="A1118" s="29">
        <v>77060</v>
      </c>
      <c r="B1118" s="38" t="s">
        <v>1601</v>
      </c>
      <c r="C1118" s="35" t="s">
        <v>19221</v>
      </c>
      <c r="D1118" s="35" t="s">
        <v>19425</v>
      </c>
      <c r="E1118" s="35" t="s">
        <v>19240</v>
      </c>
      <c r="F1118" s="35"/>
      <c r="G1118" s="35"/>
      <c r="H1118" s="35"/>
    </row>
    <row r="1119" spans="1:8" x14ac:dyDescent="0.25">
      <c r="A1119" s="29">
        <v>41065</v>
      </c>
      <c r="B1119" s="38" t="s">
        <v>20221</v>
      </c>
      <c r="C1119" s="35" t="s">
        <v>19238</v>
      </c>
      <c r="D1119" s="35" t="s">
        <v>19251</v>
      </c>
      <c r="E1119" s="35" t="s">
        <v>19252</v>
      </c>
      <c r="F1119" s="35"/>
      <c r="G1119" s="35"/>
      <c r="H1119" s="35"/>
    </row>
    <row r="1120" spans="1:8" x14ac:dyDescent="0.25">
      <c r="A1120" s="29">
        <v>41065</v>
      </c>
      <c r="B1120" s="38" t="s">
        <v>20221</v>
      </c>
      <c r="C1120" s="35" t="s">
        <v>19238</v>
      </c>
      <c r="D1120" s="35" t="s">
        <v>19251</v>
      </c>
      <c r="E1120" s="35" t="s">
        <v>19252</v>
      </c>
      <c r="F1120" s="35"/>
      <c r="G1120" s="35"/>
      <c r="H1120" s="35"/>
    </row>
    <row r="1121" spans="1:8" x14ac:dyDescent="0.25">
      <c r="A1121" s="29">
        <v>41065</v>
      </c>
      <c r="B1121" s="38" t="s">
        <v>20221</v>
      </c>
      <c r="C1121" s="35" t="s">
        <v>19238</v>
      </c>
      <c r="D1121" s="35" t="s">
        <v>19251</v>
      </c>
      <c r="E1121" s="35" t="s">
        <v>19252</v>
      </c>
      <c r="F1121" s="35"/>
      <c r="G1121" s="35"/>
      <c r="H1121" s="35"/>
    </row>
    <row r="1122" spans="1:8" x14ac:dyDescent="0.25">
      <c r="A1122" s="29">
        <v>41065</v>
      </c>
      <c r="B1122" s="38" t="s">
        <v>20221</v>
      </c>
      <c r="C1122" s="35" t="s">
        <v>19238</v>
      </c>
      <c r="D1122" s="35" t="s">
        <v>19251</v>
      </c>
      <c r="E1122" s="35" t="s">
        <v>19252</v>
      </c>
      <c r="F1122" s="35"/>
      <c r="G1122" s="35"/>
      <c r="H1122" s="35"/>
    </row>
    <row r="1123" spans="1:8" x14ac:dyDescent="0.25">
      <c r="A1123" s="29">
        <v>66032</v>
      </c>
      <c r="B1123" s="38" t="s">
        <v>20222</v>
      </c>
      <c r="C1123" s="35" t="s">
        <v>14</v>
      </c>
      <c r="D1123" s="35" t="s">
        <v>19272</v>
      </c>
      <c r="E1123" s="35" t="s">
        <v>14481</v>
      </c>
      <c r="F1123" s="35"/>
      <c r="G1123" s="35"/>
      <c r="H1123" s="35"/>
    </row>
    <row r="1124" spans="1:8" x14ac:dyDescent="0.25">
      <c r="A1124" s="29">
        <v>49040</v>
      </c>
      <c r="B1124" s="38" t="s">
        <v>20223</v>
      </c>
      <c r="C1124" s="35" t="s">
        <v>19221</v>
      </c>
      <c r="D1124" s="35" t="s">
        <v>19405</v>
      </c>
      <c r="E1124" s="35" t="s">
        <v>19255</v>
      </c>
      <c r="F1124" s="35"/>
      <c r="G1124" s="35"/>
      <c r="H1124" s="35"/>
    </row>
    <row r="1125" spans="1:8" x14ac:dyDescent="0.25">
      <c r="A1125" s="29">
        <v>42088</v>
      </c>
      <c r="B1125" s="38" t="s">
        <v>20224</v>
      </c>
      <c r="C1125" s="35" t="s">
        <v>14</v>
      </c>
      <c r="D1125" s="35" t="s">
        <v>19324</v>
      </c>
      <c r="E1125" s="35" t="s">
        <v>19252</v>
      </c>
      <c r="F1125" s="35"/>
      <c r="G1125" s="35"/>
      <c r="H1125" s="35"/>
    </row>
    <row r="1126" spans="1:8" x14ac:dyDescent="0.25">
      <c r="A1126" s="29">
        <v>40017</v>
      </c>
      <c r="B1126" s="38" t="s">
        <v>20225</v>
      </c>
      <c r="C1126" s="35" t="s">
        <v>19221</v>
      </c>
      <c r="D1126" s="35" t="s">
        <v>19390</v>
      </c>
      <c r="E1126" s="35" t="s">
        <v>19252</v>
      </c>
      <c r="F1126" s="35"/>
      <c r="G1126" s="35"/>
      <c r="H1126" s="35"/>
    </row>
    <row r="1127" spans="1:8" x14ac:dyDescent="0.25">
      <c r="A1127" s="29">
        <v>51020</v>
      </c>
      <c r="B1127" s="38" t="s">
        <v>20226</v>
      </c>
      <c r="C1127" s="35" t="s">
        <v>19221</v>
      </c>
      <c r="D1127" s="35" t="s">
        <v>19362</v>
      </c>
      <c r="E1127" s="35" t="s">
        <v>19286</v>
      </c>
      <c r="F1127" s="35"/>
      <c r="G1127" s="35"/>
      <c r="H1127" s="35"/>
    </row>
    <row r="1128" spans="1:8" x14ac:dyDescent="0.25">
      <c r="A1128" s="30">
        <v>53072</v>
      </c>
      <c r="B1128" s="39" t="s">
        <v>20227</v>
      </c>
      <c r="C1128" s="37" t="s">
        <v>19221</v>
      </c>
      <c r="D1128" s="37" t="s">
        <v>19602</v>
      </c>
      <c r="E1128" s="37" t="s">
        <v>19217</v>
      </c>
      <c r="F1128" s="37"/>
      <c r="G1128" s="37"/>
      <c r="H1128" s="37"/>
    </row>
    <row r="1136" spans="1:8" x14ac:dyDescent="0.25">
      <c r="A1136" s="29"/>
    </row>
    <row r="1137" spans="1:1" x14ac:dyDescent="0.25">
      <c r="A1137" s="29"/>
    </row>
    <row r="1138" spans="1:1" x14ac:dyDescent="0.25">
      <c r="A1138" s="29"/>
    </row>
    <row r="1139" spans="1:1" x14ac:dyDescent="0.25">
      <c r="A1139" s="29"/>
    </row>
    <row r="1140" spans="1:1" x14ac:dyDescent="0.25">
      <c r="A1140" s="29"/>
    </row>
    <row r="1141" spans="1:1" x14ac:dyDescent="0.25">
      <c r="A1141" s="29"/>
    </row>
    <row r="1142" spans="1:1" x14ac:dyDescent="0.25">
      <c r="A1142" s="29"/>
    </row>
    <row r="1143" spans="1:1" x14ac:dyDescent="0.25">
      <c r="A1143" s="29"/>
    </row>
    <row r="1144" spans="1:1" x14ac:dyDescent="0.25">
      <c r="A1144" s="29"/>
    </row>
    <row r="1145" spans="1:1" x14ac:dyDescent="0.25">
      <c r="A1145" s="29"/>
    </row>
    <row r="1146" spans="1:1" x14ac:dyDescent="0.25">
      <c r="A1146" s="29"/>
    </row>
    <row r="1147" spans="1:1" x14ac:dyDescent="0.25">
      <c r="A1147" s="29"/>
    </row>
    <row r="1148" spans="1:1" x14ac:dyDescent="0.25">
      <c r="A1148" s="29"/>
    </row>
    <row r="1149" spans="1:1" x14ac:dyDescent="0.25">
      <c r="A1149" s="29"/>
    </row>
    <row r="1150" spans="1:1" x14ac:dyDescent="0.25">
      <c r="A1150" s="29"/>
    </row>
    <row r="1151" spans="1:1" x14ac:dyDescent="0.25">
      <c r="A1151" s="29"/>
    </row>
    <row r="1152" spans="1:1" x14ac:dyDescent="0.25">
      <c r="A1152" s="29"/>
    </row>
    <row r="1153" spans="1:1" x14ac:dyDescent="0.25">
      <c r="A1153" s="29"/>
    </row>
    <row r="1154" spans="1:1" x14ac:dyDescent="0.25">
      <c r="A1154" s="29"/>
    </row>
    <row r="1155" spans="1:1" x14ac:dyDescent="0.25">
      <c r="A1155" s="29"/>
    </row>
    <row r="1156" spans="1:1" x14ac:dyDescent="0.25">
      <c r="A1156" s="29"/>
    </row>
    <row r="1157" spans="1:1" x14ac:dyDescent="0.25">
      <c r="A1157" s="29"/>
    </row>
    <row r="1158" spans="1:1" x14ac:dyDescent="0.25">
      <c r="A1158" s="29"/>
    </row>
    <row r="1159" spans="1:1" x14ac:dyDescent="0.25">
      <c r="A1159" s="29"/>
    </row>
    <row r="1160" spans="1:1" x14ac:dyDescent="0.25">
      <c r="A1160" s="29"/>
    </row>
    <row r="1161" spans="1:1" x14ac:dyDescent="0.25">
      <c r="A1161" s="29"/>
    </row>
    <row r="1162" spans="1:1" x14ac:dyDescent="0.25">
      <c r="A1162" s="29"/>
    </row>
    <row r="1163" spans="1:1" x14ac:dyDescent="0.25">
      <c r="A1163" s="29"/>
    </row>
  </sheetData>
  <sortState xmlns:xlrd2="http://schemas.microsoft.com/office/spreadsheetml/2017/richdata2" ref="A2:H1128">
    <sortCondition ref="B2:B1128"/>
  </sortState>
  <conditionalFormatting sqref="A2:H1128">
    <cfRule type="expression" dxfId="5" priority="1">
      <formula>COUNTIFS($B:$B,$B2)&gt;1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D652A-2850-4AD6-8339-5AF373410342}">
  <dimension ref="A1:A97"/>
  <sheetViews>
    <sheetView zoomScaleNormal="100" workbookViewId="0"/>
  </sheetViews>
  <sheetFormatPr baseColWidth="10" defaultColWidth="11.42578125" defaultRowHeight="15" x14ac:dyDescent="0.25"/>
  <cols>
    <col min="1" max="1" width="61.140625" bestFit="1" customWidth="1"/>
  </cols>
  <sheetData>
    <row r="1" spans="1:1" ht="21.75" thickBot="1" x14ac:dyDescent="0.3">
      <c r="A1" s="45" t="s">
        <v>19210</v>
      </c>
    </row>
    <row r="2" spans="1:1" x14ac:dyDescent="0.25">
      <c r="A2" s="46" t="s">
        <v>19242</v>
      </c>
    </row>
    <row r="3" spans="1:1" x14ac:dyDescent="0.25">
      <c r="A3" s="46" t="s">
        <v>19263</v>
      </c>
    </row>
    <row r="4" spans="1:1" x14ac:dyDescent="0.25">
      <c r="A4" s="46" t="s">
        <v>19219</v>
      </c>
    </row>
    <row r="5" spans="1:1" x14ac:dyDescent="0.25">
      <c r="A5" s="46" t="s">
        <v>19374</v>
      </c>
    </row>
    <row r="6" spans="1:1" x14ac:dyDescent="0.25">
      <c r="A6" s="46" t="s">
        <v>19332</v>
      </c>
    </row>
    <row r="7" spans="1:1" x14ac:dyDescent="0.25">
      <c r="A7" s="46" t="s">
        <v>19370</v>
      </c>
    </row>
    <row r="8" spans="1:1" x14ac:dyDescent="0.25">
      <c r="A8" s="46" t="s">
        <v>19349</v>
      </c>
    </row>
    <row r="9" spans="1:1" x14ac:dyDescent="0.25">
      <c r="A9" s="46" t="s">
        <v>19500</v>
      </c>
    </row>
    <row r="10" spans="1:1" x14ac:dyDescent="0.25">
      <c r="A10" s="46" t="s">
        <v>19903</v>
      </c>
    </row>
    <row r="11" spans="1:1" x14ac:dyDescent="0.25">
      <c r="A11" s="46" t="s">
        <v>19293</v>
      </c>
    </row>
    <row r="12" spans="1:1" x14ac:dyDescent="0.25">
      <c r="A12" s="46" t="s">
        <v>19297</v>
      </c>
    </row>
    <row r="13" spans="1:1" x14ac:dyDescent="0.25">
      <c r="A13" s="46" t="s">
        <v>19248</v>
      </c>
    </row>
    <row r="14" spans="1:1" x14ac:dyDescent="0.25">
      <c r="A14" s="46" t="s">
        <v>19320</v>
      </c>
    </row>
    <row r="15" spans="1:1" x14ac:dyDescent="0.25">
      <c r="A15" s="46" t="s">
        <v>19216</v>
      </c>
    </row>
    <row r="16" spans="1:1" x14ac:dyDescent="0.25">
      <c r="A16" s="46" t="s">
        <v>19429</v>
      </c>
    </row>
    <row r="17" spans="1:1" x14ac:dyDescent="0.25">
      <c r="A17" s="46" t="s">
        <v>19278</v>
      </c>
    </row>
    <row r="18" spans="1:1" x14ac:dyDescent="0.25">
      <c r="A18" s="46" t="s">
        <v>19275</v>
      </c>
    </row>
    <row r="19" spans="1:1" x14ac:dyDescent="0.25">
      <c r="A19" s="46" t="s">
        <v>19282</v>
      </c>
    </row>
    <row r="20" spans="1:1" x14ac:dyDescent="0.25">
      <c r="A20" s="46" t="s">
        <v>19309</v>
      </c>
    </row>
    <row r="21" spans="1:1" x14ac:dyDescent="0.25">
      <c r="A21" s="46" t="s">
        <v>17631</v>
      </c>
    </row>
    <row r="22" spans="1:1" x14ac:dyDescent="0.25">
      <c r="A22" s="46" t="s">
        <v>19397</v>
      </c>
    </row>
    <row r="23" spans="1:1" x14ac:dyDescent="0.25">
      <c r="A23" s="46" t="s">
        <v>19405</v>
      </c>
    </row>
    <row r="24" spans="1:1" x14ac:dyDescent="0.25">
      <c r="A24" s="46" t="s">
        <v>19360</v>
      </c>
    </row>
    <row r="25" spans="1:1" x14ac:dyDescent="0.25">
      <c r="A25" s="46" t="s">
        <v>19272</v>
      </c>
    </row>
    <row r="26" spans="1:1" x14ac:dyDescent="0.25">
      <c r="A26" s="46" t="s">
        <v>19542</v>
      </c>
    </row>
    <row r="27" spans="1:1" x14ac:dyDescent="0.25">
      <c r="A27" s="46" t="s">
        <v>17483</v>
      </c>
    </row>
    <row r="28" spans="1:1" x14ac:dyDescent="0.25">
      <c r="A28" s="46" t="s">
        <v>19487</v>
      </c>
    </row>
    <row r="29" spans="1:1" x14ac:dyDescent="0.25">
      <c r="A29" s="46" t="s">
        <v>19296</v>
      </c>
    </row>
    <row r="30" spans="1:1" x14ac:dyDescent="0.25">
      <c r="A30" s="46" t="s">
        <v>19379</v>
      </c>
    </row>
    <row r="31" spans="1:1" x14ac:dyDescent="0.25">
      <c r="A31" s="46" t="s">
        <v>19381</v>
      </c>
    </row>
    <row r="32" spans="1:1" x14ac:dyDescent="0.25">
      <c r="A32" s="46" t="s">
        <v>19343</v>
      </c>
    </row>
    <row r="33" spans="1:1" x14ac:dyDescent="0.25">
      <c r="A33" s="46" t="s">
        <v>19449</v>
      </c>
    </row>
    <row r="34" spans="1:1" x14ac:dyDescent="0.25">
      <c r="A34" s="46" t="s">
        <v>19434</v>
      </c>
    </row>
    <row r="35" spans="1:1" x14ac:dyDescent="0.25">
      <c r="A35" s="46" t="s">
        <v>19269</v>
      </c>
    </row>
    <row r="36" spans="1:1" x14ac:dyDescent="0.25">
      <c r="A36" s="46" t="s">
        <v>19231</v>
      </c>
    </row>
    <row r="37" spans="1:1" x14ac:dyDescent="0.25">
      <c r="A37" s="46" t="s">
        <v>19455</v>
      </c>
    </row>
    <row r="38" spans="1:1" x14ac:dyDescent="0.25">
      <c r="A38" s="46" t="s">
        <v>19436</v>
      </c>
    </row>
    <row r="39" spans="1:1" x14ac:dyDescent="0.25">
      <c r="A39" s="46" t="s">
        <v>19698</v>
      </c>
    </row>
    <row r="40" spans="1:1" x14ac:dyDescent="0.25">
      <c r="A40" s="46" t="s">
        <v>19259</v>
      </c>
    </row>
    <row r="41" spans="1:1" x14ac:dyDescent="0.25">
      <c r="A41" s="46" t="s">
        <v>19302</v>
      </c>
    </row>
    <row r="42" spans="1:1" x14ac:dyDescent="0.25">
      <c r="A42" s="46" t="s">
        <v>19759</v>
      </c>
    </row>
    <row r="43" spans="1:1" x14ac:dyDescent="0.25">
      <c r="A43" s="46" t="s">
        <v>19305</v>
      </c>
    </row>
    <row r="44" spans="1:1" x14ac:dyDescent="0.25">
      <c r="A44" s="46" t="s">
        <v>19237</v>
      </c>
    </row>
    <row r="45" spans="1:1" x14ac:dyDescent="0.25">
      <c r="A45" s="46" t="s">
        <v>17086</v>
      </c>
    </row>
    <row r="46" spans="1:1" x14ac:dyDescent="0.25">
      <c r="A46" s="46" t="s">
        <v>19363</v>
      </c>
    </row>
    <row r="47" spans="1:1" x14ac:dyDescent="0.25">
      <c r="A47" s="46" t="s">
        <v>19354</v>
      </c>
    </row>
    <row r="48" spans="1:1" x14ac:dyDescent="0.25">
      <c r="A48" s="46" t="s">
        <v>19300</v>
      </c>
    </row>
    <row r="49" spans="1:1" x14ac:dyDescent="0.25">
      <c r="A49" s="46" t="s">
        <v>19315</v>
      </c>
    </row>
    <row r="50" spans="1:1" x14ac:dyDescent="0.25">
      <c r="A50" s="46" t="s">
        <v>19257</v>
      </c>
    </row>
    <row r="51" spans="1:1" x14ac:dyDescent="0.25">
      <c r="A51" s="46" t="s">
        <v>19474</v>
      </c>
    </row>
    <row r="52" spans="1:1" x14ac:dyDescent="0.25">
      <c r="A52" s="46" t="s">
        <v>19251</v>
      </c>
    </row>
    <row r="53" spans="1:1" x14ac:dyDescent="0.25">
      <c r="A53" s="46" t="s">
        <v>19410</v>
      </c>
    </row>
    <row r="54" spans="1:1" x14ac:dyDescent="0.25">
      <c r="A54" s="46" t="s">
        <v>19358</v>
      </c>
    </row>
    <row r="55" spans="1:1" x14ac:dyDescent="0.25">
      <c r="A55" s="46" t="s">
        <v>19324</v>
      </c>
    </row>
    <row r="56" spans="1:1" x14ac:dyDescent="0.25">
      <c r="A56" s="46" t="s">
        <v>19485</v>
      </c>
    </row>
    <row r="57" spans="1:1" x14ac:dyDescent="0.25">
      <c r="A57" s="46" t="s">
        <v>19222</v>
      </c>
    </row>
    <row r="58" spans="1:1" x14ac:dyDescent="0.25">
      <c r="A58" s="46" t="s">
        <v>19651</v>
      </c>
    </row>
    <row r="59" spans="1:1" x14ac:dyDescent="0.25">
      <c r="A59" s="46" t="s">
        <v>19285</v>
      </c>
    </row>
    <row r="60" spans="1:1" x14ac:dyDescent="0.25">
      <c r="A60" s="46" t="s">
        <v>19341</v>
      </c>
    </row>
    <row r="61" spans="1:1" x14ac:dyDescent="0.25">
      <c r="A61" s="46" t="s">
        <v>19527</v>
      </c>
    </row>
    <row r="62" spans="1:1" x14ac:dyDescent="0.25">
      <c r="A62" s="46" t="s">
        <v>19472</v>
      </c>
    </row>
    <row r="63" spans="1:1" x14ac:dyDescent="0.25">
      <c r="A63" s="46" t="s">
        <v>19239</v>
      </c>
    </row>
    <row r="64" spans="1:1" x14ac:dyDescent="0.25">
      <c r="A64" s="46" t="s">
        <v>19509</v>
      </c>
    </row>
    <row r="65" spans="1:1" x14ac:dyDescent="0.25">
      <c r="A65" s="46" t="s">
        <v>19600</v>
      </c>
    </row>
    <row r="66" spans="1:1" x14ac:dyDescent="0.25">
      <c r="A66" s="46" t="s">
        <v>19425</v>
      </c>
    </row>
    <row r="67" spans="1:1" x14ac:dyDescent="0.25">
      <c r="A67" s="46" t="s">
        <v>19390</v>
      </c>
    </row>
    <row r="68" spans="1:1" x14ac:dyDescent="0.25">
      <c r="A68" s="46" t="s">
        <v>19865</v>
      </c>
    </row>
    <row r="69" spans="1:1" x14ac:dyDescent="0.25">
      <c r="A69" s="46" t="s">
        <v>19575</v>
      </c>
    </row>
    <row r="70" spans="1:1" x14ac:dyDescent="0.25">
      <c r="A70" s="46" t="s">
        <v>19404</v>
      </c>
    </row>
    <row r="71" spans="1:1" x14ac:dyDescent="0.25">
      <c r="A71" s="46" t="s">
        <v>19267</v>
      </c>
    </row>
    <row r="72" spans="1:1" x14ac:dyDescent="0.25">
      <c r="A72" s="46" t="s">
        <v>19338</v>
      </c>
    </row>
    <row r="73" spans="1:1" x14ac:dyDescent="0.25">
      <c r="A73" s="46" t="s">
        <v>19228</v>
      </c>
    </row>
    <row r="74" spans="1:1" x14ac:dyDescent="0.25">
      <c r="A74" s="46" t="s">
        <v>19362</v>
      </c>
    </row>
    <row r="75" spans="1:1" x14ac:dyDescent="0.25">
      <c r="A75" s="46" t="s">
        <v>19368</v>
      </c>
    </row>
    <row r="76" spans="1:1" x14ac:dyDescent="0.25">
      <c r="A76" s="46" t="s">
        <v>19452</v>
      </c>
    </row>
    <row r="77" spans="1:1" x14ac:dyDescent="0.25">
      <c r="A77" s="46" t="s">
        <v>19261</v>
      </c>
    </row>
    <row r="78" spans="1:1" x14ac:dyDescent="0.25">
      <c r="A78" s="46" t="s">
        <v>19225</v>
      </c>
    </row>
    <row r="79" spans="1:1" x14ac:dyDescent="0.25">
      <c r="A79" s="46" t="s">
        <v>14658</v>
      </c>
    </row>
    <row r="80" spans="1:1" x14ac:dyDescent="0.25">
      <c r="A80" s="46" t="s">
        <v>14579</v>
      </c>
    </row>
    <row r="81" spans="1:1" x14ac:dyDescent="0.25">
      <c r="A81" s="46" t="s">
        <v>19254</v>
      </c>
    </row>
    <row r="82" spans="1:1" x14ac:dyDescent="0.25">
      <c r="A82" s="46" t="s">
        <v>8694</v>
      </c>
    </row>
    <row r="83" spans="1:1" x14ac:dyDescent="0.25">
      <c r="A83" s="46" t="s">
        <v>19602</v>
      </c>
    </row>
    <row r="84" spans="1:1" x14ac:dyDescent="0.25">
      <c r="A84" s="46" t="s">
        <v>19234</v>
      </c>
    </row>
    <row r="85" spans="1:1" x14ac:dyDescent="0.25">
      <c r="A85" s="46" t="s">
        <v>19347</v>
      </c>
    </row>
    <row r="86" spans="1:1" x14ac:dyDescent="0.25">
      <c r="A86" s="46" t="s">
        <v>19423</v>
      </c>
    </row>
    <row r="87" spans="1:1" x14ac:dyDescent="0.25">
      <c r="A87" s="46" t="s">
        <v>19336</v>
      </c>
    </row>
    <row r="88" spans="1:1" x14ac:dyDescent="0.25">
      <c r="A88" s="46" t="s">
        <v>19291</v>
      </c>
    </row>
    <row r="89" spans="1:1" x14ac:dyDescent="0.25">
      <c r="A89" s="46" t="s">
        <v>19340</v>
      </c>
    </row>
    <row r="90" spans="1:1" x14ac:dyDescent="0.25">
      <c r="A90" s="46" t="s">
        <v>19246</v>
      </c>
    </row>
    <row r="91" spans="1:1" x14ac:dyDescent="0.25">
      <c r="A91" s="46" t="s">
        <v>19706</v>
      </c>
    </row>
    <row r="92" spans="1:1" x14ac:dyDescent="0.25">
      <c r="A92" s="46" t="s">
        <v>19692</v>
      </c>
    </row>
    <row r="93" spans="1:1" x14ac:dyDescent="0.25">
      <c r="A93" s="46" t="s">
        <v>19289</v>
      </c>
    </row>
    <row r="94" spans="1:1" x14ac:dyDescent="0.25">
      <c r="A94" s="46" t="s">
        <v>19256</v>
      </c>
    </row>
    <row r="95" spans="1:1" x14ac:dyDescent="0.25">
      <c r="A95" s="46" t="s">
        <v>19313</v>
      </c>
    </row>
    <row r="96" spans="1:1" x14ac:dyDescent="0.25">
      <c r="A96" s="46" t="s">
        <v>19385</v>
      </c>
    </row>
    <row r="97" spans="1:1" ht="15.75" thickBot="1" x14ac:dyDescent="0.3">
      <c r="A97" s="47" t="s">
        <v>19482</v>
      </c>
    </row>
  </sheetData>
  <sortState xmlns:xlrd2="http://schemas.microsoft.com/office/spreadsheetml/2017/richdata2" ref="A2:A1162">
    <sortCondition ref="A1:A1162"/>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540FC-A7E1-40C9-9AFC-941CB22F3DEE}">
  <dimension ref="A1:A18"/>
  <sheetViews>
    <sheetView zoomScaleNormal="100" workbookViewId="0"/>
  </sheetViews>
  <sheetFormatPr baseColWidth="10" defaultColWidth="11.42578125" defaultRowHeight="15" x14ac:dyDescent="0.25"/>
  <cols>
    <col min="1" max="1" width="29.140625" bestFit="1" customWidth="1"/>
  </cols>
  <sheetData>
    <row r="1" spans="1:1" ht="21.75" thickBot="1" x14ac:dyDescent="0.3">
      <c r="A1" s="72" t="s">
        <v>18</v>
      </c>
    </row>
    <row r="2" spans="1:1" x14ac:dyDescent="0.25">
      <c r="A2" s="35" t="s">
        <v>19243</v>
      </c>
    </row>
    <row r="3" spans="1:1" x14ac:dyDescent="0.25">
      <c r="A3" s="35" t="s">
        <v>19232</v>
      </c>
    </row>
    <row r="4" spans="1:1" x14ac:dyDescent="0.25">
      <c r="A4" s="35" t="s">
        <v>19276</v>
      </c>
    </row>
    <row r="5" spans="1:1" x14ac:dyDescent="0.25">
      <c r="A5" s="35" t="s">
        <v>19255</v>
      </c>
    </row>
    <row r="6" spans="1:1" x14ac:dyDescent="0.25">
      <c r="A6" s="35" t="s">
        <v>19223</v>
      </c>
    </row>
    <row r="7" spans="1:1" x14ac:dyDescent="0.25">
      <c r="A7" s="35" t="s">
        <v>19226</v>
      </c>
    </row>
    <row r="8" spans="1:1" x14ac:dyDescent="0.25">
      <c r="A8" s="35" t="s">
        <v>19252</v>
      </c>
    </row>
    <row r="9" spans="1:1" x14ac:dyDescent="0.25">
      <c r="A9" s="35" t="s">
        <v>19321</v>
      </c>
    </row>
    <row r="10" spans="1:1" x14ac:dyDescent="0.25">
      <c r="A10" s="35" t="s">
        <v>19310</v>
      </c>
    </row>
    <row r="11" spans="1:1" x14ac:dyDescent="0.25">
      <c r="A11" s="35" t="s">
        <v>19240</v>
      </c>
    </row>
    <row r="12" spans="1:1" x14ac:dyDescent="0.25">
      <c r="A12" s="35" t="s">
        <v>16566</v>
      </c>
    </row>
    <row r="13" spans="1:1" x14ac:dyDescent="0.25">
      <c r="A13" s="35" t="s">
        <v>19286</v>
      </c>
    </row>
    <row r="14" spans="1:1" x14ac:dyDescent="0.25">
      <c r="A14" s="35" t="s">
        <v>19217</v>
      </c>
    </row>
    <row r="15" spans="1:1" x14ac:dyDescent="0.25">
      <c r="A15" s="35" t="s">
        <v>14481</v>
      </c>
    </row>
    <row r="16" spans="1:1" x14ac:dyDescent="0.25">
      <c r="A16" s="35" t="s">
        <v>19361</v>
      </c>
    </row>
    <row r="17" spans="1:1" x14ac:dyDescent="0.25">
      <c r="A17" s="35" t="s">
        <v>19235</v>
      </c>
    </row>
    <row r="18" spans="1:1" x14ac:dyDescent="0.25">
      <c r="A18" s="73" t="s">
        <v>19229</v>
      </c>
    </row>
  </sheetData>
  <sortState xmlns:xlrd2="http://schemas.microsoft.com/office/spreadsheetml/2017/richdata2" ref="A2:A1128">
    <sortCondition ref="A2:A1128"/>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1D71F-0D3F-4BC1-A99D-1DF86A75B4CE}">
  <dimension ref="A1:B71"/>
  <sheetViews>
    <sheetView zoomScaleNormal="100" workbookViewId="0"/>
  </sheetViews>
  <sheetFormatPr baseColWidth="10" defaultColWidth="11.42578125" defaultRowHeight="15" x14ac:dyDescent="0.25"/>
  <cols>
    <col min="1" max="1" width="34.42578125" customWidth="1"/>
    <col min="2" max="2" width="31.5703125" bestFit="1" customWidth="1"/>
  </cols>
  <sheetData>
    <row r="1" spans="1:2" ht="21.75" customHeight="1" thickBot="1" x14ac:dyDescent="0.3">
      <c r="A1" s="27" t="s">
        <v>15</v>
      </c>
      <c r="B1" s="27" t="s">
        <v>17</v>
      </c>
    </row>
    <row r="2" spans="1:2" x14ac:dyDescent="0.25">
      <c r="A2" s="9" t="s">
        <v>1399</v>
      </c>
      <c r="B2" s="9" t="s">
        <v>14481</v>
      </c>
    </row>
    <row r="3" spans="1:2" x14ac:dyDescent="0.25">
      <c r="A3" s="2" t="s">
        <v>1018</v>
      </c>
      <c r="B3" s="9" t="s">
        <v>18156</v>
      </c>
    </row>
    <row r="4" spans="1:2" x14ac:dyDescent="0.25">
      <c r="A4" s="2" t="s">
        <v>1567</v>
      </c>
      <c r="B4" s="9" t="s">
        <v>3186</v>
      </c>
    </row>
    <row r="5" spans="1:2" x14ac:dyDescent="0.25">
      <c r="A5" s="2" t="s">
        <v>854</v>
      </c>
      <c r="B5" s="9" t="s">
        <v>17888</v>
      </c>
    </row>
    <row r="6" spans="1:2" x14ac:dyDescent="0.25">
      <c r="A6" s="2" t="s">
        <v>453</v>
      </c>
      <c r="B6" s="9" t="s">
        <v>19655</v>
      </c>
    </row>
    <row r="7" spans="1:2" x14ac:dyDescent="0.25">
      <c r="A7" s="2" t="s">
        <v>572</v>
      </c>
      <c r="B7" s="9" t="s">
        <v>17777</v>
      </c>
    </row>
    <row r="8" spans="1:2" x14ac:dyDescent="0.25">
      <c r="A8" s="2" t="s">
        <v>916</v>
      </c>
      <c r="B8" s="9" t="s">
        <v>17738</v>
      </c>
    </row>
    <row r="9" spans="1:2" x14ac:dyDescent="0.25">
      <c r="A9" s="2" t="s">
        <v>1278</v>
      </c>
      <c r="B9" s="9" t="s">
        <v>17466</v>
      </c>
    </row>
    <row r="10" spans="1:2" x14ac:dyDescent="0.25">
      <c r="A10" s="2" t="s">
        <v>790</v>
      </c>
      <c r="B10" s="9" t="s">
        <v>17729</v>
      </c>
    </row>
    <row r="11" spans="1:2" x14ac:dyDescent="0.25">
      <c r="A11" s="2" t="s">
        <v>263</v>
      </c>
      <c r="B11" s="9" t="s">
        <v>19419</v>
      </c>
    </row>
    <row r="12" spans="1:2" x14ac:dyDescent="0.25">
      <c r="A12" s="2" t="s">
        <v>489</v>
      </c>
      <c r="B12" s="9" t="s">
        <v>16566</v>
      </c>
    </row>
    <row r="13" spans="1:2" x14ac:dyDescent="0.25">
      <c r="A13" s="2" t="s">
        <v>1344</v>
      </c>
      <c r="B13" s="9" t="s">
        <v>19521</v>
      </c>
    </row>
    <row r="14" spans="1:2" x14ac:dyDescent="0.25">
      <c r="A14" s="2" t="s">
        <v>552</v>
      </c>
      <c r="B14" s="9" t="s">
        <v>17536</v>
      </c>
    </row>
    <row r="15" spans="1:2" x14ac:dyDescent="0.25">
      <c r="A15" s="2" t="s">
        <v>705</v>
      </c>
      <c r="B15" s="9" t="s">
        <v>16566</v>
      </c>
    </row>
    <row r="16" spans="1:2" x14ac:dyDescent="0.25">
      <c r="A16" s="2" t="s">
        <v>372</v>
      </c>
      <c r="B16" s="9" t="s">
        <v>14481</v>
      </c>
    </row>
    <row r="17" spans="1:2" x14ac:dyDescent="0.25">
      <c r="A17" s="2" t="s">
        <v>638</v>
      </c>
      <c r="B17" s="9" t="s">
        <v>14481</v>
      </c>
    </row>
    <row r="18" spans="1:2" x14ac:dyDescent="0.25">
      <c r="A18" s="2" t="s">
        <v>157</v>
      </c>
      <c r="B18" s="9" t="s">
        <v>12981</v>
      </c>
    </row>
    <row r="19" spans="1:2" x14ac:dyDescent="0.25">
      <c r="A19" s="2" t="s">
        <v>646</v>
      </c>
      <c r="B19" s="9" t="s">
        <v>8261</v>
      </c>
    </row>
    <row r="20" spans="1:2" x14ac:dyDescent="0.25">
      <c r="A20" s="2" t="s">
        <v>1200</v>
      </c>
      <c r="B20" s="9" t="s">
        <v>3186</v>
      </c>
    </row>
    <row r="21" spans="1:2" x14ac:dyDescent="0.25">
      <c r="A21" s="2" t="s">
        <v>296</v>
      </c>
      <c r="B21" s="9" t="s">
        <v>3186</v>
      </c>
    </row>
    <row r="22" spans="1:2" x14ac:dyDescent="0.25">
      <c r="A22" s="2" t="s">
        <v>1585</v>
      </c>
      <c r="B22" s="9" t="s">
        <v>9534</v>
      </c>
    </row>
    <row r="23" spans="1:2" x14ac:dyDescent="0.25">
      <c r="A23" s="2" t="s">
        <v>603</v>
      </c>
      <c r="B23" s="9" t="s">
        <v>12824</v>
      </c>
    </row>
    <row r="24" spans="1:2" x14ac:dyDescent="0.25">
      <c r="A24" s="2" t="s">
        <v>189</v>
      </c>
      <c r="B24" s="9" t="s">
        <v>11695</v>
      </c>
    </row>
    <row r="25" spans="1:2" x14ac:dyDescent="0.25">
      <c r="A25" s="2" t="s">
        <v>1304</v>
      </c>
      <c r="B25" s="9" t="s">
        <v>19896</v>
      </c>
    </row>
    <row r="26" spans="1:2" x14ac:dyDescent="0.25">
      <c r="A26" s="2" t="s">
        <v>1137</v>
      </c>
      <c r="B26" s="9" t="s">
        <v>10446</v>
      </c>
    </row>
    <row r="27" spans="1:2" x14ac:dyDescent="0.25">
      <c r="A27" s="2" t="s">
        <v>1296</v>
      </c>
      <c r="B27" s="9" t="s">
        <v>11250</v>
      </c>
    </row>
    <row r="28" spans="1:2" x14ac:dyDescent="0.25">
      <c r="A28" s="2" t="s">
        <v>542</v>
      </c>
      <c r="B28" s="9" t="s">
        <v>11047</v>
      </c>
    </row>
    <row r="29" spans="1:2" x14ac:dyDescent="0.25">
      <c r="A29" s="2" t="s">
        <v>686</v>
      </c>
      <c r="B29" s="9" t="s">
        <v>11047</v>
      </c>
    </row>
    <row r="30" spans="1:2" x14ac:dyDescent="0.25">
      <c r="A30" s="2" t="s">
        <v>398</v>
      </c>
      <c r="B30" s="9" t="s">
        <v>16566</v>
      </c>
    </row>
    <row r="31" spans="1:2" x14ac:dyDescent="0.25">
      <c r="A31" s="2" t="s">
        <v>1285</v>
      </c>
      <c r="B31" s="9" t="s">
        <v>3186</v>
      </c>
    </row>
    <row r="32" spans="1:2" x14ac:dyDescent="0.25">
      <c r="A32" s="2" t="s">
        <v>69</v>
      </c>
      <c r="B32" s="9" t="s">
        <v>10446</v>
      </c>
    </row>
    <row r="33" spans="1:2" x14ac:dyDescent="0.25">
      <c r="A33" s="2" t="s">
        <v>512</v>
      </c>
      <c r="B33" s="9" t="s">
        <v>16566</v>
      </c>
    </row>
    <row r="34" spans="1:2" x14ac:dyDescent="0.25">
      <c r="A34" s="2" t="s">
        <v>124</v>
      </c>
      <c r="B34" s="9" t="s">
        <v>19935</v>
      </c>
    </row>
    <row r="35" spans="1:2" x14ac:dyDescent="0.25">
      <c r="A35" s="2" t="s">
        <v>893</v>
      </c>
      <c r="B35" s="9" t="s">
        <v>19935</v>
      </c>
    </row>
    <row r="36" spans="1:2" x14ac:dyDescent="0.25">
      <c r="A36" s="2" t="s">
        <v>1391</v>
      </c>
      <c r="B36" s="9" t="s">
        <v>14662</v>
      </c>
    </row>
    <row r="37" spans="1:2" x14ac:dyDescent="0.25">
      <c r="A37" s="2" t="s">
        <v>829</v>
      </c>
      <c r="B37" s="9" t="s">
        <v>3186</v>
      </c>
    </row>
    <row r="38" spans="1:2" x14ac:dyDescent="0.25">
      <c r="A38" s="2" t="s">
        <v>971</v>
      </c>
      <c r="B38" s="9" t="s">
        <v>3186</v>
      </c>
    </row>
    <row r="39" spans="1:2" x14ac:dyDescent="0.25">
      <c r="A39" s="2" t="s">
        <v>1498</v>
      </c>
      <c r="B39" s="9" t="s">
        <v>14481</v>
      </c>
    </row>
    <row r="40" spans="1:2" x14ac:dyDescent="0.25">
      <c r="A40" s="2" t="s">
        <v>335</v>
      </c>
      <c r="B40" s="9" t="s">
        <v>14481</v>
      </c>
    </row>
    <row r="41" spans="1:2" x14ac:dyDescent="0.25">
      <c r="A41" s="2" t="s">
        <v>51</v>
      </c>
      <c r="B41" s="9" t="s">
        <v>20023</v>
      </c>
    </row>
    <row r="42" spans="1:2" x14ac:dyDescent="0.25">
      <c r="A42" s="2" t="s">
        <v>798</v>
      </c>
      <c r="B42" s="9" t="s">
        <v>20023</v>
      </c>
    </row>
    <row r="43" spans="1:2" x14ac:dyDescent="0.25">
      <c r="A43" s="2" t="s">
        <v>37</v>
      </c>
      <c r="B43" s="9" t="s">
        <v>20023</v>
      </c>
    </row>
    <row r="44" spans="1:2" x14ac:dyDescent="0.25">
      <c r="A44" s="2" t="s">
        <v>382</v>
      </c>
      <c r="B44" s="9" t="s">
        <v>19196</v>
      </c>
    </row>
    <row r="45" spans="1:2" x14ac:dyDescent="0.25">
      <c r="A45" s="2" t="s">
        <v>1317</v>
      </c>
      <c r="B45" s="9" t="s">
        <v>11726</v>
      </c>
    </row>
    <row r="46" spans="1:2" x14ac:dyDescent="0.25">
      <c r="A46" s="2" t="s">
        <v>306</v>
      </c>
      <c r="B46" s="9" t="s">
        <v>3186</v>
      </c>
    </row>
    <row r="47" spans="1:2" x14ac:dyDescent="0.25">
      <c r="A47" s="2" t="s">
        <v>146</v>
      </c>
      <c r="B47" s="9" t="s">
        <v>3186</v>
      </c>
    </row>
    <row r="48" spans="1:2" x14ac:dyDescent="0.25">
      <c r="A48" s="2" t="s">
        <v>356</v>
      </c>
      <c r="B48" s="9" t="s">
        <v>14662</v>
      </c>
    </row>
    <row r="49" spans="1:2" x14ac:dyDescent="0.25">
      <c r="A49" s="2" t="s">
        <v>998</v>
      </c>
      <c r="B49" s="9" t="s">
        <v>11726</v>
      </c>
    </row>
    <row r="50" spans="1:2" x14ac:dyDescent="0.25">
      <c r="A50" s="2" t="s">
        <v>990</v>
      </c>
      <c r="B50" s="9" t="s">
        <v>11250</v>
      </c>
    </row>
    <row r="51" spans="1:2" x14ac:dyDescent="0.25">
      <c r="A51" s="2" t="s">
        <v>1170</v>
      </c>
      <c r="B51" s="9" t="s">
        <v>19831</v>
      </c>
    </row>
    <row r="52" spans="1:2" x14ac:dyDescent="0.25">
      <c r="A52" s="2" t="s">
        <v>406</v>
      </c>
      <c r="B52" s="9" t="s">
        <v>16566</v>
      </c>
    </row>
    <row r="53" spans="1:2" x14ac:dyDescent="0.25">
      <c r="A53" s="2" t="s">
        <v>497</v>
      </c>
      <c r="B53" s="9" t="s">
        <v>9534</v>
      </c>
    </row>
    <row r="54" spans="1:2" x14ac:dyDescent="0.25">
      <c r="A54" s="2" t="s">
        <v>745</v>
      </c>
      <c r="B54" s="9" t="s">
        <v>9184</v>
      </c>
    </row>
    <row r="55" spans="1:2" x14ac:dyDescent="0.25">
      <c r="A55" s="2" t="s">
        <v>1129</v>
      </c>
      <c r="B55" s="9" t="s">
        <v>9184</v>
      </c>
    </row>
    <row r="56" spans="1:2" x14ac:dyDescent="0.25">
      <c r="A56" s="2" t="s">
        <v>624</v>
      </c>
      <c r="B56" s="9" t="s">
        <v>8723</v>
      </c>
    </row>
    <row r="57" spans="1:2" x14ac:dyDescent="0.25">
      <c r="A57" s="2" t="s">
        <v>319</v>
      </c>
      <c r="B57" s="9" t="s">
        <v>19935</v>
      </c>
    </row>
    <row r="58" spans="1:2" x14ac:dyDescent="0.25">
      <c r="A58" s="2" t="s">
        <v>769</v>
      </c>
      <c r="B58" s="9" t="s">
        <v>8261</v>
      </c>
    </row>
    <row r="59" spans="1:2" x14ac:dyDescent="0.25">
      <c r="A59" s="2" t="s">
        <v>870</v>
      </c>
      <c r="B59" s="9" t="s">
        <v>8261</v>
      </c>
    </row>
    <row r="60" spans="1:2" x14ac:dyDescent="0.25">
      <c r="A60" s="2" t="s">
        <v>220</v>
      </c>
      <c r="B60" s="9" t="s">
        <v>3186</v>
      </c>
    </row>
    <row r="61" spans="1:2" x14ac:dyDescent="0.25">
      <c r="A61" s="2" t="s">
        <v>433</v>
      </c>
      <c r="B61" s="9" t="s">
        <v>3186</v>
      </c>
    </row>
    <row r="62" spans="1:2" x14ac:dyDescent="0.25">
      <c r="A62" s="2" t="s">
        <v>1531</v>
      </c>
      <c r="B62" s="9" t="s">
        <v>3186</v>
      </c>
    </row>
    <row r="63" spans="1:2" x14ac:dyDescent="0.25">
      <c r="A63" s="2" t="s">
        <v>235</v>
      </c>
      <c r="B63" s="9" t="s">
        <v>3186</v>
      </c>
    </row>
    <row r="64" spans="1:2" x14ac:dyDescent="0.25">
      <c r="A64" s="2" t="s">
        <v>901</v>
      </c>
      <c r="B64" s="9" t="s">
        <v>3068</v>
      </c>
    </row>
    <row r="65" spans="1:2" x14ac:dyDescent="0.25">
      <c r="A65" s="2" t="s">
        <v>885</v>
      </c>
      <c r="B65" s="9" t="s">
        <v>20023</v>
      </c>
    </row>
    <row r="66" spans="1:2" x14ac:dyDescent="0.25">
      <c r="A66" s="2" t="s">
        <v>594</v>
      </c>
      <c r="B66" s="9" t="s">
        <v>20023</v>
      </c>
    </row>
    <row r="67" spans="1:2" x14ac:dyDescent="0.25">
      <c r="A67" s="2" t="s">
        <v>481</v>
      </c>
      <c r="B67" s="9" t="s">
        <v>20023</v>
      </c>
    </row>
    <row r="68" spans="1:2" x14ac:dyDescent="0.25">
      <c r="A68" s="2" t="s">
        <v>1593</v>
      </c>
      <c r="B68" s="9" t="s">
        <v>10268</v>
      </c>
    </row>
    <row r="69" spans="1:2" x14ac:dyDescent="0.25">
      <c r="A69" s="2" t="s">
        <v>364</v>
      </c>
      <c r="B69" s="9" t="s">
        <v>3037</v>
      </c>
    </row>
    <row r="70" spans="1:2" x14ac:dyDescent="0.25">
      <c r="A70" s="2" t="s">
        <v>1309</v>
      </c>
      <c r="B70" s="9" t="s">
        <v>14481</v>
      </c>
    </row>
    <row r="71" spans="1:2" x14ac:dyDescent="0.25">
      <c r="A71" s="2" t="s">
        <v>442</v>
      </c>
      <c r="B71" s="9" t="s">
        <v>16566</v>
      </c>
    </row>
  </sheetData>
  <sortState xmlns:xlrd2="http://schemas.microsoft.com/office/spreadsheetml/2017/richdata2" ref="A2:A72">
    <sortCondition ref="A1:A72"/>
  </sortState>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E7B09788-05E1-4528-AB1F-E0427465423A}">
          <x14:formula1>
            <xm:f>'Liste des Villes'!$B$2:$B$1128</xm:f>
          </x14:formula1>
          <xm:sqref>B2:B71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AC783-288B-4982-99EC-902543EEE9B1}">
  <dimension ref="A1:I10"/>
  <sheetViews>
    <sheetView zoomScaleNormal="100" workbookViewId="0"/>
  </sheetViews>
  <sheetFormatPr baseColWidth="10" defaultColWidth="11.42578125" defaultRowHeight="15" x14ac:dyDescent="0.25"/>
  <sheetData>
    <row r="1" spans="1:9" ht="26.25" x14ac:dyDescent="0.4">
      <c r="A1" s="53" t="s">
        <v>20228</v>
      </c>
    </row>
    <row r="2" spans="1:9" ht="45" x14ac:dyDescent="0.25">
      <c r="A2" s="51" t="s">
        <v>20229</v>
      </c>
      <c r="B2" s="49"/>
      <c r="C2" s="49"/>
      <c r="D2" s="49"/>
      <c r="E2" s="50"/>
    </row>
    <row r="3" spans="1:9" ht="18.75" x14ac:dyDescent="0.3">
      <c r="A3" s="52" t="s">
        <v>20230</v>
      </c>
      <c r="B3" s="50"/>
      <c r="C3" s="50"/>
      <c r="D3" s="50"/>
      <c r="E3" s="50"/>
    </row>
    <row r="4" spans="1:9" ht="45" x14ac:dyDescent="0.25">
      <c r="A4" s="51" t="s">
        <v>20231</v>
      </c>
      <c r="B4" s="49"/>
      <c r="C4" s="49"/>
      <c r="D4" s="49"/>
      <c r="E4" s="49"/>
    </row>
    <row r="7" spans="1:9" ht="26.25" x14ac:dyDescent="0.4">
      <c r="A7" s="53" t="s">
        <v>20232</v>
      </c>
    </row>
    <row r="8" spans="1:9" ht="30" x14ac:dyDescent="0.25">
      <c r="A8" s="51" t="s">
        <v>20233</v>
      </c>
      <c r="B8" s="49"/>
      <c r="C8" s="49"/>
      <c r="D8" s="49"/>
      <c r="E8" s="49"/>
      <c r="F8" s="50"/>
      <c r="G8" s="50"/>
      <c r="H8" s="50"/>
      <c r="I8" s="50"/>
    </row>
    <row r="9" spans="1:9" ht="18.75" x14ac:dyDescent="0.3">
      <c r="A9" s="52" t="s">
        <v>20234</v>
      </c>
      <c r="B9" s="50"/>
      <c r="C9" s="50"/>
      <c r="D9" s="50"/>
      <c r="E9" s="50"/>
      <c r="F9" s="50"/>
      <c r="G9" s="50"/>
      <c r="H9" s="50"/>
      <c r="I9" s="50"/>
    </row>
    <row r="10" spans="1:9" ht="30" x14ac:dyDescent="0.25">
      <c r="A10" s="51" t="s">
        <v>20235</v>
      </c>
      <c r="B10" s="50"/>
      <c r="C10" s="50"/>
      <c r="D10" s="50"/>
      <c r="E10" s="50"/>
      <c r="F10" s="50"/>
      <c r="G10" s="50"/>
      <c r="H10" s="50"/>
      <c r="I10" s="50"/>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5D5A2-95F2-4073-A175-C38AD4B7C6D6}">
  <dimension ref="A1:B6"/>
  <sheetViews>
    <sheetView zoomScaleNormal="100" workbookViewId="0"/>
  </sheetViews>
  <sheetFormatPr baseColWidth="10" defaultColWidth="11.42578125" defaultRowHeight="15" x14ac:dyDescent="0.25"/>
  <cols>
    <col min="1" max="1" width="26.7109375" bestFit="1" customWidth="1"/>
    <col min="2" max="2" width="44.5703125" bestFit="1" customWidth="1"/>
  </cols>
  <sheetData>
    <row r="1" spans="1:2" ht="67.5" x14ac:dyDescent="0.25">
      <c r="A1" s="70" t="s">
        <v>10</v>
      </c>
      <c r="B1" s="70" t="s">
        <v>20236</v>
      </c>
    </row>
    <row r="2" spans="1:2" x14ac:dyDescent="0.25">
      <c r="A2" s="54" t="s">
        <v>262</v>
      </c>
      <c r="B2" s="54">
        <v>1029</v>
      </c>
    </row>
    <row r="3" spans="1:2" x14ac:dyDescent="0.25">
      <c r="A3" s="54" t="s">
        <v>156</v>
      </c>
      <c r="B3" s="54">
        <v>779</v>
      </c>
    </row>
    <row r="4" spans="1:2" x14ac:dyDescent="0.25">
      <c r="A4" s="54" t="s">
        <v>68</v>
      </c>
      <c r="B4" s="54">
        <v>766</v>
      </c>
    </row>
    <row r="5" spans="1:2" x14ac:dyDescent="0.25">
      <c r="A5" s="54" t="s">
        <v>123</v>
      </c>
      <c r="B5" s="54">
        <v>949</v>
      </c>
    </row>
    <row r="6" spans="1:2" x14ac:dyDescent="0.25">
      <c r="A6" s="54" t="s">
        <v>36</v>
      </c>
      <c r="B6" s="54">
        <v>1091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DBCC3-2FF4-46B8-A815-2E94A183CEE0}">
  <sheetPr filterMode="1"/>
  <dimension ref="A1:C4618"/>
  <sheetViews>
    <sheetView zoomScaleNormal="100" workbookViewId="0"/>
  </sheetViews>
  <sheetFormatPr baseColWidth="10" defaultColWidth="11.42578125" defaultRowHeight="15" x14ac:dyDescent="0.25"/>
  <cols>
    <col min="1" max="1" width="11.42578125" customWidth="1"/>
    <col min="2" max="2" width="20" style="65" customWidth="1"/>
    <col min="3" max="3" width="37.140625" bestFit="1" customWidth="1"/>
  </cols>
  <sheetData>
    <row r="1" spans="1:3" ht="37.5" x14ac:dyDescent="0.25">
      <c r="A1" s="71"/>
      <c r="B1" s="56" t="s">
        <v>20237</v>
      </c>
      <c r="C1" s="56" t="s">
        <v>20238</v>
      </c>
    </row>
    <row r="2" spans="1:3" x14ac:dyDescent="0.25">
      <c r="A2" s="54" t="s">
        <v>20239</v>
      </c>
      <c r="B2" s="66">
        <v>37663</v>
      </c>
      <c r="C2" s="54" t="s">
        <v>19194</v>
      </c>
    </row>
    <row r="3" spans="1:3" x14ac:dyDescent="0.25">
      <c r="A3" s="54" t="s">
        <v>20240</v>
      </c>
      <c r="B3" s="66">
        <v>37627</v>
      </c>
      <c r="C3" s="54" t="s">
        <v>19203</v>
      </c>
    </row>
    <row r="4" spans="1:3" x14ac:dyDescent="0.25">
      <c r="A4" s="54" t="s">
        <v>20241</v>
      </c>
      <c r="B4" s="66">
        <v>37616</v>
      </c>
      <c r="C4" s="54" t="s">
        <v>2299</v>
      </c>
    </row>
    <row r="5" spans="1:3" x14ac:dyDescent="0.25">
      <c r="A5" s="54" t="s">
        <v>20242</v>
      </c>
      <c r="B5" s="66">
        <v>37604</v>
      </c>
      <c r="C5" s="54" t="s">
        <v>19185</v>
      </c>
    </row>
    <row r="6" spans="1:3" x14ac:dyDescent="0.25">
      <c r="A6" s="54" t="s">
        <v>20243</v>
      </c>
      <c r="B6" s="66">
        <v>37603</v>
      </c>
      <c r="C6" s="54" t="s">
        <v>1395</v>
      </c>
    </row>
    <row r="7" spans="1:3" hidden="1" x14ac:dyDescent="0.25">
      <c r="B7" s="65">
        <v>37601</v>
      </c>
      <c r="C7" t="s">
        <v>1014</v>
      </c>
    </row>
    <row r="8" spans="1:3" hidden="1" x14ac:dyDescent="0.25">
      <c r="B8" s="65">
        <v>37588</v>
      </c>
      <c r="C8" t="s">
        <v>1563</v>
      </c>
    </row>
    <row r="9" spans="1:3" hidden="1" x14ac:dyDescent="0.25">
      <c r="B9" s="65">
        <v>37575</v>
      </c>
      <c r="C9" t="s">
        <v>19107</v>
      </c>
    </row>
    <row r="10" spans="1:3" hidden="1" x14ac:dyDescent="0.25">
      <c r="B10" s="65">
        <v>37551</v>
      </c>
      <c r="C10" t="s">
        <v>8030</v>
      </c>
    </row>
    <row r="11" spans="1:3" hidden="1" x14ac:dyDescent="0.25">
      <c r="B11" s="65">
        <v>37550</v>
      </c>
      <c r="C11" t="s">
        <v>9432</v>
      </c>
    </row>
    <row r="12" spans="1:3" hidden="1" x14ac:dyDescent="0.25">
      <c r="B12" s="65">
        <v>37547</v>
      </c>
      <c r="C12" t="s">
        <v>3782</v>
      </c>
    </row>
    <row r="13" spans="1:3" hidden="1" x14ac:dyDescent="0.25">
      <c r="B13" s="65">
        <v>37540</v>
      </c>
      <c r="C13" t="s">
        <v>18844</v>
      </c>
    </row>
    <row r="14" spans="1:3" hidden="1" x14ac:dyDescent="0.25">
      <c r="B14" s="65">
        <v>37540</v>
      </c>
      <c r="C14" t="s">
        <v>3510</v>
      </c>
    </row>
    <row r="15" spans="1:3" hidden="1" x14ac:dyDescent="0.25">
      <c r="B15" s="65">
        <v>37530</v>
      </c>
      <c r="C15" t="s">
        <v>18160</v>
      </c>
    </row>
    <row r="16" spans="1:3" hidden="1" x14ac:dyDescent="0.25">
      <c r="B16" s="65">
        <v>37529</v>
      </c>
      <c r="C16" t="s">
        <v>152</v>
      </c>
    </row>
    <row r="17" spans="2:3" hidden="1" x14ac:dyDescent="0.25">
      <c r="B17" s="65">
        <v>37528</v>
      </c>
      <c r="C17" t="s">
        <v>18245</v>
      </c>
    </row>
    <row r="18" spans="2:3" hidden="1" x14ac:dyDescent="0.25">
      <c r="B18" s="65">
        <v>37527</v>
      </c>
      <c r="C18" t="s">
        <v>4157</v>
      </c>
    </row>
    <row r="19" spans="2:3" hidden="1" x14ac:dyDescent="0.25">
      <c r="B19" s="65">
        <v>37527</v>
      </c>
      <c r="C19" t="s">
        <v>18521</v>
      </c>
    </row>
    <row r="20" spans="2:3" hidden="1" x14ac:dyDescent="0.25">
      <c r="B20" s="65">
        <v>37527</v>
      </c>
      <c r="C20" t="s">
        <v>18689</v>
      </c>
    </row>
    <row r="21" spans="2:3" hidden="1" x14ac:dyDescent="0.25">
      <c r="B21" s="65">
        <v>37527</v>
      </c>
      <c r="C21" t="s">
        <v>2800</v>
      </c>
    </row>
    <row r="22" spans="2:3" hidden="1" x14ac:dyDescent="0.25">
      <c r="B22" s="65">
        <v>37526</v>
      </c>
      <c r="C22" t="s">
        <v>18290</v>
      </c>
    </row>
    <row r="23" spans="2:3" hidden="1" x14ac:dyDescent="0.25">
      <c r="B23" s="65">
        <v>37526</v>
      </c>
      <c r="C23" t="s">
        <v>18329</v>
      </c>
    </row>
    <row r="24" spans="2:3" hidden="1" x14ac:dyDescent="0.25">
      <c r="B24" s="65">
        <v>37526</v>
      </c>
      <c r="C24" t="s">
        <v>4483</v>
      </c>
    </row>
    <row r="25" spans="2:3" hidden="1" x14ac:dyDescent="0.25">
      <c r="B25" s="65">
        <v>37525</v>
      </c>
      <c r="C25" t="s">
        <v>19152</v>
      </c>
    </row>
    <row r="26" spans="2:3" hidden="1" x14ac:dyDescent="0.25">
      <c r="B26" s="65">
        <v>37524</v>
      </c>
      <c r="C26" t="s">
        <v>18411</v>
      </c>
    </row>
    <row r="27" spans="2:3" hidden="1" x14ac:dyDescent="0.25">
      <c r="B27" s="65">
        <v>37524</v>
      </c>
      <c r="C27" t="s">
        <v>6336</v>
      </c>
    </row>
    <row r="28" spans="2:3" hidden="1" x14ac:dyDescent="0.25">
      <c r="B28" s="65">
        <v>37524</v>
      </c>
      <c r="C28" t="s">
        <v>18734</v>
      </c>
    </row>
    <row r="29" spans="2:3" hidden="1" x14ac:dyDescent="0.25">
      <c r="B29" s="65">
        <v>37524</v>
      </c>
      <c r="C29" t="s">
        <v>19181</v>
      </c>
    </row>
    <row r="30" spans="2:3" hidden="1" x14ac:dyDescent="0.25">
      <c r="B30" s="65">
        <v>37523</v>
      </c>
      <c r="C30" t="s">
        <v>105</v>
      </c>
    </row>
    <row r="31" spans="2:3" hidden="1" x14ac:dyDescent="0.25">
      <c r="B31" s="65">
        <v>37523</v>
      </c>
      <c r="C31" t="s">
        <v>18540</v>
      </c>
    </row>
    <row r="32" spans="2:3" hidden="1" x14ac:dyDescent="0.25">
      <c r="B32" s="65">
        <v>37523</v>
      </c>
      <c r="C32" t="s">
        <v>18761</v>
      </c>
    </row>
    <row r="33" spans="2:3" hidden="1" x14ac:dyDescent="0.25">
      <c r="B33" s="65">
        <v>37523</v>
      </c>
      <c r="C33" t="s">
        <v>4624</v>
      </c>
    </row>
    <row r="34" spans="2:3" hidden="1" x14ac:dyDescent="0.25">
      <c r="B34" s="65">
        <v>37522</v>
      </c>
      <c r="C34" t="s">
        <v>2542</v>
      </c>
    </row>
    <row r="35" spans="2:3" hidden="1" x14ac:dyDescent="0.25">
      <c r="B35" s="65">
        <v>37522</v>
      </c>
      <c r="C35" t="s">
        <v>18418</v>
      </c>
    </row>
    <row r="36" spans="2:3" hidden="1" x14ac:dyDescent="0.25">
      <c r="B36" s="65">
        <v>37521</v>
      </c>
      <c r="C36" t="s">
        <v>5020</v>
      </c>
    </row>
    <row r="37" spans="2:3" hidden="1" x14ac:dyDescent="0.25">
      <c r="B37" s="65">
        <v>37521</v>
      </c>
      <c r="C37" t="s">
        <v>5176</v>
      </c>
    </row>
    <row r="38" spans="2:3" hidden="1" x14ac:dyDescent="0.25">
      <c r="B38" s="65">
        <v>37520</v>
      </c>
      <c r="C38" t="s">
        <v>18294</v>
      </c>
    </row>
    <row r="39" spans="2:3" hidden="1" x14ac:dyDescent="0.25">
      <c r="B39" s="65">
        <v>37519</v>
      </c>
      <c r="C39" t="s">
        <v>18238</v>
      </c>
    </row>
    <row r="40" spans="2:3" hidden="1" x14ac:dyDescent="0.25">
      <c r="B40" s="65">
        <v>37519</v>
      </c>
      <c r="C40" t="s">
        <v>7680</v>
      </c>
    </row>
    <row r="41" spans="2:3" hidden="1" x14ac:dyDescent="0.25">
      <c r="B41" s="65">
        <v>37519</v>
      </c>
      <c r="C41" t="s">
        <v>1103</v>
      </c>
    </row>
    <row r="42" spans="2:3" hidden="1" x14ac:dyDescent="0.25">
      <c r="B42" s="65">
        <v>37518</v>
      </c>
      <c r="C42" t="s">
        <v>18378</v>
      </c>
    </row>
    <row r="43" spans="2:3" hidden="1" x14ac:dyDescent="0.25">
      <c r="B43" s="65">
        <v>37518</v>
      </c>
      <c r="C43" t="s">
        <v>1806</v>
      </c>
    </row>
    <row r="44" spans="2:3" hidden="1" x14ac:dyDescent="0.25">
      <c r="B44" s="65">
        <v>37518</v>
      </c>
      <c r="C44" t="s">
        <v>18487</v>
      </c>
    </row>
    <row r="45" spans="2:3" hidden="1" x14ac:dyDescent="0.25">
      <c r="B45" s="65">
        <v>37518</v>
      </c>
      <c r="C45" t="s">
        <v>18898</v>
      </c>
    </row>
    <row r="46" spans="2:3" hidden="1" x14ac:dyDescent="0.25">
      <c r="B46" s="65">
        <v>37518</v>
      </c>
      <c r="C46" t="s">
        <v>10092</v>
      </c>
    </row>
    <row r="47" spans="2:3" hidden="1" x14ac:dyDescent="0.25">
      <c r="B47" s="65">
        <v>37518</v>
      </c>
      <c r="C47" t="s">
        <v>19131</v>
      </c>
    </row>
    <row r="48" spans="2:3" hidden="1" x14ac:dyDescent="0.25">
      <c r="B48" s="65">
        <v>37517</v>
      </c>
      <c r="C48" t="s">
        <v>1174</v>
      </c>
    </row>
    <row r="49" spans="2:3" hidden="1" x14ac:dyDescent="0.25">
      <c r="B49" s="65">
        <v>37517</v>
      </c>
      <c r="C49" t="s">
        <v>7162</v>
      </c>
    </row>
    <row r="50" spans="2:3" hidden="1" x14ac:dyDescent="0.25">
      <c r="B50" s="65">
        <v>37517</v>
      </c>
      <c r="C50" t="s">
        <v>18476</v>
      </c>
    </row>
    <row r="51" spans="2:3" hidden="1" x14ac:dyDescent="0.25">
      <c r="B51" s="65">
        <v>37517</v>
      </c>
      <c r="C51" t="s">
        <v>4936</v>
      </c>
    </row>
    <row r="52" spans="2:3" hidden="1" x14ac:dyDescent="0.25">
      <c r="B52" s="65">
        <v>37517</v>
      </c>
      <c r="C52" t="s">
        <v>3782</v>
      </c>
    </row>
    <row r="53" spans="2:3" hidden="1" x14ac:dyDescent="0.25">
      <c r="B53" s="65">
        <v>37517</v>
      </c>
      <c r="C53" t="s">
        <v>19052</v>
      </c>
    </row>
    <row r="54" spans="2:3" hidden="1" x14ac:dyDescent="0.25">
      <c r="B54" s="65">
        <v>37516</v>
      </c>
      <c r="C54" t="s">
        <v>18281</v>
      </c>
    </row>
    <row r="55" spans="2:3" hidden="1" x14ac:dyDescent="0.25">
      <c r="B55" s="65">
        <v>37516</v>
      </c>
      <c r="C55" t="s">
        <v>18306</v>
      </c>
    </row>
    <row r="56" spans="2:3" hidden="1" x14ac:dyDescent="0.25">
      <c r="B56" s="65">
        <v>37516</v>
      </c>
      <c r="C56" t="s">
        <v>12815</v>
      </c>
    </row>
    <row r="57" spans="2:3" hidden="1" x14ac:dyDescent="0.25">
      <c r="B57" s="65">
        <v>37516</v>
      </c>
      <c r="C57" t="s">
        <v>105</v>
      </c>
    </row>
    <row r="58" spans="2:3" hidden="1" x14ac:dyDescent="0.25">
      <c r="B58" s="65">
        <v>37516</v>
      </c>
      <c r="C58" t="s">
        <v>5137</v>
      </c>
    </row>
    <row r="59" spans="2:3" hidden="1" x14ac:dyDescent="0.25">
      <c r="B59" s="65">
        <v>37515</v>
      </c>
      <c r="C59" t="s">
        <v>18182</v>
      </c>
    </row>
    <row r="60" spans="2:3" hidden="1" x14ac:dyDescent="0.25">
      <c r="B60" s="65">
        <v>37515</v>
      </c>
      <c r="C60" t="s">
        <v>6607</v>
      </c>
    </row>
    <row r="61" spans="2:3" hidden="1" x14ac:dyDescent="0.25">
      <c r="B61" s="65">
        <v>37515</v>
      </c>
      <c r="C61" t="s">
        <v>18891</v>
      </c>
    </row>
    <row r="62" spans="2:3" hidden="1" x14ac:dyDescent="0.25">
      <c r="B62" s="65">
        <v>37514</v>
      </c>
      <c r="C62" t="s">
        <v>19090</v>
      </c>
    </row>
    <row r="63" spans="2:3" hidden="1" x14ac:dyDescent="0.25">
      <c r="B63" s="65">
        <v>37513</v>
      </c>
      <c r="C63" t="s">
        <v>8013</v>
      </c>
    </row>
    <row r="64" spans="2:3" hidden="1" x14ac:dyDescent="0.25">
      <c r="B64" s="65">
        <v>37513</v>
      </c>
      <c r="C64" t="s">
        <v>18543</v>
      </c>
    </row>
    <row r="65" spans="2:3" hidden="1" x14ac:dyDescent="0.25">
      <c r="B65" s="65">
        <v>37513</v>
      </c>
      <c r="C65" t="s">
        <v>19026</v>
      </c>
    </row>
    <row r="66" spans="2:3" hidden="1" x14ac:dyDescent="0.25">
      <c r="B66" s="65">
        <v>37512</v>
      </c>
      <c r="C66" t="s">
        <v>18446</v>
      </c>
    </row>
    <row r="67" spans="2:3" hidden="1" x14ac:dyDescent="0.25">
      <c r="B67" s="65">
        <v>37512</v>
      </c>
      <c r="C67" t="s">
        <v>18524</v>
      </c>
    </row>
    <row r="68" spans="2:3" hidden="1" x14ac:dyDescent="0.25">
      <c r="B68" s="65">
        <v>37512</v>
      </c>
      <c r="C68" t="s">
        <v>17077</v>
      </c>
    </row>
    <row r="69" spans="2:3" hidden="1" x14ac:dyDescent="0.25">
      <c r="B69" s="65">
        <v>37511</v>
      </c>
      <c r="C69" t="s">
        <v>18837</v>
      </c>
    </row>
    <row r="70" spans="2:3" hidden="1" x14ac:dyDescent="0.25">
      <c r="B70" s="65">
        <v>37510</v>
      </c>
      <c r="C70" t="s">
        <v>13493</v>
      </c>
    </row>
    <row r="71" spans="2:3" hidden="1" x14ac:dyDescent="0.25">
      <c r="B71" s="65">
        <v>37510</v>
      </c>
      <c r="C71" t="s">
        <v>18787</v>
      </c>
    </row>
    <row r="72" spans="2:3" hidden="1" x14ac:dyDescent="0.25">
      <c r="B72" s="65">
        <v>37510</v>
      </c>
      <c r="C72" t="s">
        <v>310</v>
      </c>
    </row>
    <row r="73" spans="2:3" hidden="1" x14ac:dyDescent="0.25">
      <c r="B73" s="65">
        <v>37510</v>
      </c>
      <c r="C73" t="s">
        <v>18921</v>
      </c>
    </row>
    <row r="74" spans="2:3" hidden="1" x14ac:dyDescent="0.25">
      <c r="B74" s="65">
        <v>37509</v>
      </c>
      <c r="C74" t="s">
        <v>18220</v>
      </c>
    </row>
    <row r="75" spans="2:3" hidden="1" x14ac:dyDescent="0.25">
      <c r="B75" s="65">
        <v>37509</v>
      </c>
      <c r="C75" t="s">
        <v>3782</v>
      </c>
    </row>
    <row r="76" spans="2:3" hidden="1" x14ac:dyDescent="0.25">
      <c r="B76" s="65">
        <v>37509</v>
      </c>
      <c r="C76" t="s">
        <v>5300</v>
      </c>
    </row>
    <row r="77" spans="2:3" hidden="1" x14ac:dyDescent="0.25">
      <c r="B77" s="65">
        <v>37508</v>
      </c>
      <c r="C77" t="s">
        <v>16439</v>
      </c>
    </row>
    <row r="78" spans="2:3" hidden="1" x14ac:dyDescent="0.25">
      <c r="B78" s="65">
        <v>37508</v>
      </c>
      <c r="C78" t="s">
        <v>19121</v>
      </c>
    </row>
    <row r="79" spans="2:3" hidden="1" x14ac:dyDescent="0.25">
      <c r="B79" s="65">
        <v>37507</v>
      </c>
      <c r="C79" t="s">
        <v>18397</v>
      </c>
    </row>
    <row r="80" spans="2:3" hidden="1" x14ac:dyDescent="0.25">
      <c r="B80" s="65">
        <v>37507</v>
      </c>
      <c r="C80" t="s">
        <v>14436</v>
      </c>
    </row>
    <row r="81" spans="2:3" hidden="1" x14ac:dyDescent="0.25">
      <c r="B81" s="65">
        <v>37506</v>
      </c>
      <c r="C81" t="s">
        <v>17006</v>
      </c>
    </row>
    <row r="82" spans="2:3" hidden="1" x14ac:dyDescent="0.25">
      <c r="B82" s="65">
        <v>37506</v>
      </c>
      <c r="C82" t="s">
        <v>18509</v>
      </c>
    </row>
    <row r="83" spans="2:3" hidden="1" x14ac:dyDescent="0.25">
      <c r="B83" s="65">
        <v>37505</v>
      </c>
      <c r="C83" t="s">
        <v>8156</v>
      </c>
    </row>
    <row r="84" spans="2:3" hidden="1" x14ac:dyDescent="0.25">
      <c r="B84" s="65">
        <v>37505</v>
      </c>
      <c r="C84" t="s">
        <v>18603</v>
      </c>
    </row>
    <row r="85" spans="2:3" hidden="1" x14ac:dyDescent="0.25">
      <c r="B85" s="65">
        <v>37505</v>
      </c>
      <c r="C85" t="s">
        <v>3787</v>
      </c>
    </row>
    <row r="86" spans="2:3" hidden="1" x14ac:dyDescent="0.25">
      <c r="B86" s="65">
        <v>37504</v>
      </c>
      <c r="C86" t="s">
        <v>18178</v>
      </c>
    </row>
    <row r="87" spans="2:3" hidden="1" x14ac:dyDescent="0.25">
      <c r="B87" s="65">
        <v>37504</v>
      </c>
      <c r="C87" t="s">
        <v>18336</v>
      </c>
    </row>
    <row r="88" spans="2:3" hidden="1" x14ac:dyDescent="0.25">
      <c r="B88" s="65">
        <v>37504</v>
      </c>
      <c r="C88" t="s">
        <v>16946</v>
      </c>
    </row>
    <row r="89" spans="2:3" hidden="1" x14ac:dyDescent="0.25">
      <c r="B89" s="65">
        <v>37504</v>
      </c>
      <c r="C89" t="s">
        <v>18701</v>
      </c>
    </row>
    <row r="90" spans="2:3" hidden="1" x14ac:dyDescent="0.25">
      <c r="B90" s="65">
        <v>37504</v>
      </c>
      <c r="C90" t="s">
        <v>19005</v>
      </c>
    </row>
    <row r="91" spans="2:3" hidden="1" x14ac:dyDescent="0.25">
      <c r="B91" s="65">
        <v>37504</v>
      </c>
      <c r="C91" t="s">
        <v>19015</v>
      </c>
    </row>
    <row r="92" spans="2:3" hidden="1" x14ac:dyDescent="0.25">
      <c r="B92" s="65">
        <v>37503</v>
      </c>
      <c r="C92" t="s">
        <v>1435</v>
      </c>
    </row>
    <row r="93" spans="2:3" hidden="1" x14ac:dyDescent="0.25">
      <c r="B93" s="65">
        <v>37503</v>
      </c>
      <c r="C93" t="s">
        <v>576</v>
      </c>
    </row>
    <row r="94" spans="2:3" hidden="1" x14ac:dyDescent="0.25">
      <c r="B94" s="65">
        <v>37503</v>
      </c>
      <c r="C94" t="s">
        <v>717</v>
      </c>
    </row>
    <row r="95" spans="2:3" hidden="1" x14ac:dyDescent="0.25">
      <c r="B95" s="65">
        <v>37503</v>
      </c>
      <c r="C95" t="s">
        <v>19096</v>
      </c>
    </row>
    <row r="96" spans="2:3" hidden="1" x14ac:dyDescent="0.25">
      <c r="B96" s="65">
        <v>37502</v>
      </c>
      <c r="C96" t="s">
        <v>5497</v>
      </c>
    </row>
    <row r="97" spans="2:3" hidden="1" x14ac:dyDescent="0.25">
      <c r="B97" s="65">
        <v>37502</v>
      </c>
      <c r="C97" t="s">
        <v>3579</v>
      </c>
    </row>
    <row r="98" spans="2:3" hidden="1" x14ac:dyDescent="0.25">
      <c r="B98" s="65">
        <v>37501</v>
      </c>
      <c r="C98" t="s">
        <v>7680</v>
      </c>
    </row>
    <row r="99" spans="2:3" hidden="1" x14ac:dyDescent="0.25">
      <c r="B99" s="65">
        <v>37501</v>
      </c>
      <c r="C99" t="s">
        <v>7005</v>
      </c>
    </row>
    <row r="100" spans="2:3" hidden="1" x14ac:dyDescent="0.25">
      <c r="B100" s="65">
        <v>37501</v>
      </c>
      <c r="C100" t="s">
        <v>18880</v>
      </c>
    </row>
    <row r="101" spans="2:3" hidden="1" x14ac:dyDescent="0.25">
      <c r="B101" s="65">
        <v>37501</v>
      </c>
      <c r="C101" t="s">
        <v>18984</v>
      </c>
    </row>
    <row r="102" spans="2:3" hidden="1" x14ac:dyDescent="0.25">
      <c r="B102" s="65">
        <v>37500</v>
      </c>
      <c r="C102" t="s">
        <v>3787</v>
      </c>
    </row>
    <row r="103" spans="2:3" hidden="1" x14ac:dyDescent="0.25">
      <c r="B103" s="65">
        <v>37499</v>
      </c>
      <c r="C103" t="s">
        <v>18697</v>
      </c>
    </row>
    <row r="104" spans="2:3" hidden="1" x14ac:dyDescent="0.25">
      <c r="B104" s="65">
        <v>37499</v>
      </c>
      <c r="C104" t="s">
        <v>18757</v>
      </c>
    </row>
    <row r="105" spans="2:3" hidden="1" x14ac:dyDescent="0.25">
      <c r="B105" s="65">
        <v>37499</v>
      </c>
      <c r="C105" t="s">
        <v>18855</v>
      </c>
    </row>
    <row r="106" spans="2:3" hidden="1" x14ac:dyDescent="0.25">
      <c r="B106" s="65">
        <v>37498</v>
      </c>
      <c r="C106" t="s">
        <v>10701</v>
      </c>
    </row>
    <row r="107" spans="2:3" hidden="1" x14ac:dyDescent="0.25">
      <c r="B107" s="65">
        <v>37498</v>
      </c>
      <c r="C107" t="s">
        <v>18650</v>
      </c>
    </row>
    <row r="108" spans="2:3" hidden="1" x14ac:dyDescent="0.25">
      <c r="B108" s="65">
        <v>37498</v>
      </c>
      <c r="C108" t="s">
        <v>18693</v>
      </c>
    </row>
    <row r="109" spans="2:3" hidden="1" x14ac:dyDescent="0.25">
      <c r="B109" s="65">
        <v>37497</v>
      </c>
      <c r="C109" t="s">
        <v>4342</v>
      </c>
    </row>
    <row r="110" spans="2:3" hidden="1" x14ac:dyDescent="0.25">
      <c r="B110" s="65">
        <v>37497</v>
      </c>
      <c r="C110" t="s">
        <v>9704</v>
      </c>
    </row>
    <row r="111" spans="2:3" hidden="1" x14ac:dyDescent="0.25">
      <c r="B111" s="65">
        <v>37497</v>
      </c>
      <c r="C111" t="s">
        <v>1089</v>
      </c>
    </row>
    <row r="112" spans="2:3" hidden="1" x14ac:dyDescent="0.25">
      <c r="B112" s="65">
        <v>37497</v>
      </c>
      <c r="C112" t="s">
        <v>5972</v>
      </c>
    </row>
    <row r="113" spans="2:3" hidden="1" x14ac:dyDescent="0.25">
      <c r="B113" s="65">
        <v>37496</v>
      </c>
      <c r="C113" t="s">
        <v>7545</v>
      </c>
    </row>
    <row r="114" spans="2:3" hidden="1" x14ac:dyDescent="0.25">
      <c r="B114" s="65">
        <v>37496</v>
      </c>
      <c r="C114" t="s">
        <v>18505</v>
      </c>
    </row>
    <row r="115" spans="2:3" hidden="1" x14ac:dyDescent="0.25">
      <c r="B115" s="65">
        <v>37496</v>
      </c>
      <c r="C115" t="s">
        <v>3102</v>
      </c>
    </row>
    <row r="116" spans="2:3" hidden="1" x14ac:dyDescent="0.25">
      <c r="B116" s="65">
        <v>37495</v>
      </c>
      <c r="C116" t="s">
        <v>18483</v>
      </c>
    </row>
    <row r="117" spans="2:3" hidden="1" x14ac:dyDescent="0.25">
      <c r="B117" s="65">
        <v>37495</v>
      </c>
      <c r="C117" t="s">
        <v>568</v>
      </c>
    </row>
    <row r="118" spans="2:3" hidden="1" x14ac:dyDescent="0.25">
      <c r="B118" s="65">
        <v>37495</v>
      </c>
      <c r="C118" t="s">
        <v>493</v>
      </c>
    </row>
    <row r="119" spans="2:3" hidden="1" x14ac:dyDescent="0.25">
      <c r="B119" s="65">
        <v>37495</v>
      </c>
      <c r="C119" t="s">
        <v>11287</v>
      </c>
    </row>
    <row r="120" spans="2:3" hidden="1" x14ac:dyDescent="0.25">
      <c r="B120" s="65">
        <v>37494</v>
      </c>
      <c r="C120" t="s">
        <v>18321</v>
      </c>
    </row>
    <row r="121" spans="2:3" hidden="1" x14ac:dyDescent="0.25">
      <c r="B121" s="65">
        <v>37494</v>
      </c>
      <c r="C121" t="s">
        <v>18917</v>
      </c>
    </row>
    <row r="122" spans="2:3" hidden="1" x14ac:dyDescent="0.25">
      <c r="B122" s="65">
        <v>37494</v>
      </c>
      <c r="C122" t="s">
        <v>6792</v>
      </c>
    </row>
    <row r="123" spans="2:3" hidden="1" x14ac:dyDescent="0.25">
      <c r="B123" s="65">
        <v>37493</v>
      </c>
      <c r="C123" t="s">
        <v>1103</v>
      </c>
    </row>
    <row r="124" spans="2:3" hidden="1" x14ac:dyDescent="0.25">
      <c r="B124" s="65">
        <v>37492</v>
      </c>
      <c r="C124" t="s">
        <v>8353</v>
      </c>
    </row>
    <row r="125" spans="2:3" hidden="1" x14ac:dyDescent="0.25">
      <c r="B125" s="65">
        <v>37492</v>
      </c>
      <c r="C125" t="s">
        <v>17846</v>
      </c>
    </row>
    <row r="126" spans="2:3" hidden="1" x14ac:dyDescent="0.25">
      <c r="B126" s="65">
        <v>37492</v>
      </c>
      <c r="C126" t="s">
        <v>3320</v>
      </c>
    </row>
    <row r="127" spans="2:3" hidden="1" x14ac:dyDescent="0.25">
      <c r="B127" s="65">
        <v>37491</v>
      </c>
      <c r="C127" t="s">
        <v>3344</v>
      </c>
    </row>
    <row r="128" spans="2:3" hidden="1" x14ac:dyDescent="0.25">
      <c r="B128" s="65">
        <v>37491</v>
      </c>
      <c r="C128" t="s">
        <v>18425</v>
      </c>
    </row>
    <row r="129" spans="2:3" hidden="1" x14ac:dyDescent="0.25">
      <c r="B129" s="65">
        <v>37491</v>
      </c>
      <c r="C129" t="s">
        <v>18719</v>
      </c>
    </row>
    <row r="130" spans="2:3" hidden="1" x14ac:dyDescent="0.25">
      <c r="B130" s="65">
        <v>37491</v>
      </c>
      <c r="C130" t="s">
        <v>17417</v>
      </c>
    </row>
    <row r="131" spans="2:3" hidden="1" x14ac:dyDescent="0.25">
      <c r="B131" s="65">
        <v>37490</v>
      </c>
      <c r="C131" t="s">
        <v>18670</v>
      </c>
    </row>
    <row r="132" spans="2:3" hidden="1" x14ac:dyDescent="0.25">
      <c r="B132" s="65">
        <v>37489</v>
      </c>
      <c r="C132" t="s">
        <v>18186</v>
      </c>
    </row>
    <row r="133" spans="2:3" hidden="1" x14ac:dyDescent="0.25">
      <c r="B133" s="65">
        <v>37489</v>
      </c>
      <c r="C133" t="s">
        <v>18439</v>
      </c>
    </row>
    <row r="134" spans="2:3" hidden="1" x14ac:dyDescent="0.25">
      <c r="B134" s="65">
        <v>37489</v>
      </c>
      <c r="C134" t="s">
        <v>3467</v>
      </c>
    </row>
    <row r="135" spans="2:3" hidden="1" x14ac:dyDescent="0.25">
      <c r="B135" s="65">
        <v>37489</v>
      </c>
      <c r="C135" t="s">
        <v>18940</v>
      </c>
    </row>
    <row r="136" spans="2:3" hidden="1" x14ac:dyDescent="0.25">
      <c r="B136" s="65">
        <v>37489</v>
      </c>
      <c r="C136" t="s">
        <v>19145</v>
      </c>
    </row>
    <row r="137" spans="2:3" hidden="1" x14ac:dyDescent="0.25">
      <c r="B137" s="65">
        <v>37488</v>
      </c>
      <c r="C137" t="s">
        <v>18404</v>
      </c>
    </row>
    <row r="138" spans="2:3" hidden="1" x14ac:dyDescent="0.25">
      <c r="B138" s="65">
        <v>37488</v>
      </c>
      <c r="C138" t="s">
        <v>954</v>
      </c>
    </row>
    <row r="139" spans="2:3" hidden="1" x14ac:dyDescent="0.25">
      <c r="B139" s="65">
        <v>37488</v>
      </c>
      <c r="C139" t="s">
        <v>18741</v>
      </c>
    </row>
    <row r="140" spans="2:3" hidden="1" x14ac:dyDescent="0.25">
      <c r="B140" s="65">
        <v>37488</v>
      </c>
      <c r="C140" t="s">
        <v>7831</v>
      </c>
    </row>
    <row r="141" spans="2:3" hidden="1" x14ac:dyDescent="0.25">
      <c r="B141" s="65">
        <v>37488</v>
      </c>
      <c r="C141" t="s">
        <v>4157</v>
      </c>
    </row>
    <row r="142" spans="2:3" hidden="1" x14ac:dyDescent="0.25">
      <c r="B142" s="65">
        <v>37487</v>
      </c>
      <c r="C142" t="s">
        <v>30</v>
      </c>
    </row>
    <row r="143" spans="2:3" hidden="1" x14ac:dyDescent="0.25">
      <c r="B143" s="65">
        <v>37487</v>
      </c>
      <c r="C143" t="s">
        <v>3102</v>
      </c>
    </row>
    <row r="144" spans="2:3" hidden="1" x14ac:dyDescent="0.25">
      <c r="B144" s="65">
        <v>37487</v>
      </c>
      <c r="C144" t="s">
        <v>4171</v>
      </c>
    </row>
    <row r="145" spans="2:3" hidden="1" x14ac:dyDescent="0.25">
      <c r="B145" s="65">
        <v>37487</v>
      </c>
      <c r="C145" t="s">
        <v>3320</v>
      </c>
    </row>
    <row r="146" spans="2:3" hidden="1" x14ac:dyDescent="0.25">
      <c r="B146" s="65">
        <v>37486</v>
      </c>
      <c r="C146" t="s">
        <v>598</v>
      </c>
    </row>
    <row r="147" spans="2:3" hidden="1" x14ac:dyDescent="0.25">
      <c r="B147" s="65">
        <v>37485</v>
      </c>
      <c r="C147" t="s">
        <v>2584</v>
      </c>
    </row>
    <row r="148" spans="2:3" hidden="1" x14ac:dyDescent="0.25">
      <c r="B148" s="65">
        <v>37485</v>
      </c>
      <c r="C148" t="s">
        <v>1604</v>
      </c>
    </row>
    <row r="149" spans="2:3" hidden="1" x14ac:dyDescent="0.25">
      <c r="B149" s="65">
        <v>37485</v>
      </c>
      <c r="C149" t="s">
        <v>18858</v>
      </c>
    </row>
    <row r="150" spans="2:3" hidden="1" x14ac:dyDescent="0.25">
      <c r="B150" s="65">
        <v>37485</v>
      </c>
      <c r="C150" t="s">
        <v>18954</v>
      </c>
    </row>
    <row r="151" spans="2:3" hidden="1" x14ac:dyDescent="0.25">
      <c r="B151" s="65">
        <v>37485</v>
      </c>
      <c r="C151" t="s">
        <v>19069</v>
      </c>
    </row>
    <row r="152" spans="2:3" hidden="1" x14ac:dyDescent="0.25">
      <c r="B152" s="65">
        <v>37484</v>
      </c>
      <c r="C152" t="s">
        <v>18783</v>
      </c>
    </row>
    <row r="153" spans="2:3" hidden="1" x14ac:dyDescent="0.25">
      <c r="B153" s="65">
        <v>37484</v>
      </c>
      <c r="C153" t="s">
        <v>3681</v>
      </c>
    </row>
    <row r="154" spans="2:3" hidden="1" x14ac:dyDescent="0.25">
      <c r="B154" s="65">
        <v>37483</v>
      </c>
      <c r="C154" t="s">
        <v>18224</v>
      </c>
    </row>
    <row r="155" spans="2:3" hidden="1" x14ac:dyDescent="0.25">
      <c r="B155" s="65">
        <v>37483</v>
      </c>
      <c r="C155" t="s">
        <v>8013</v>
      </c>
    </row>
    <row r="156" spans="2:3" hidden="1" x14ac:dyDescent="0.25">
      <c r="B156" s="65">
        <v>37483</v>
      </c>
      <c r="C156" t="s">
        <v>1359</v>
      </c>
    </row>
    <row r="157" spans="2:3" hidden="1" x14ac:dyDescent="0.25">
      <c r="B157" s="65">
        <v>37483</v>
      </c>
      <c r="C157" t="s">
        <v>18679</v>
      </c>
    </row>
    <row r="158" spans="2:3" hidden="1" x14ac:dyDescent="0.25">
      <c r="B158" s="65">
        <v>37483</v>
      </c>
      <c r="C158" t="s">
        <v>19022</v>
      </c>
    </row>
    <row r="159" spans="2:3" hidden="1" x14ac:dyDescent="0.25">
      <c r="B159" s="65">
        <v>37482</v>
      </c>
      <c r="C159" t="s">
        <v>18810</v>
      </c>
    </row>
    <row r="160" spans="2:3" hidden="1" x14ac:dyDescent="0.25">
      <c r="B160" s="65">
        <v>37482</v>
      </c>
      <c r="C160" t="s">
        <v>8038</v>
      </c>
    </row>
    <row r="161" spans="2:3" hidden="1" x14ac:dyDescent="0.25">
      <c r="B161" s="65">
        <v>37482</v>
      </c>
      <c r="C161" t="s">
        <v>19139</v>
      </c>
    </row>
    <row r="162" spans="2:3" hidden="1" x14ac:dyDescent="0.25">
      <c r="B162" s="65">
        <v>37481</v>
      </c>
      <c r="C162" t="s">
        <v>18637</v>
      </c>
    </row>
    <row r="163" spans="2:3" hidden="1" x14ac:dyDescent="0.25">
      <c r="B163" s="65">
        <v>37481</v>
      </c>
      <c r="C163" t="s">
        <v>3615</v>
      </c>
    </row>
    <row r="164" spans="2:3" hidden="1" x14ac:dyDescent="0.25">
      <c r="B164" s="65">
        <v>37481</v>
      </c>
      <c r="C164" t="s">
        <v>4420</v>
      </c>
    </row>
    <row r="165" spans="2:3" hidden="1" x14ac:dyDescent="0.25">
      <c r="B165" s="65">
        <v>37478</v>
      </c>
      <c r="C165" t="s">
        <v>18974</v>
      </c>
    </row>
    <row r="166" spans="2:3" hidden="1" x14ac:dyDescent="0.25">
      <c r="B166" s="65">
        <v>37477</v>
      </c>
      <c r="C166" t="s">
        <v>18228</v>
      </c>
    </row>
    <row r="167" spans="2:3" hidden="1" x14ac:dyDescent="0.25">
      <c r="B167" s="65">
        <v>37477</v>
      </c>
      <c r="C167" t="s">
        <v>5015</v>
      </c>
    </row>
    <row r="168" spans="2:3" hidden="1" x14ac:dyDescent="0.25">
      <c r="B168" s="65">
        <v>37477</v>
      </c>
      <c r="C168" t="s">
        <v>18997</v>
      </c>
    </row>
    <row r="169" spans="2:3" hidden="1" x14ac:dyDescent="0.25">
      <c r="B169" s="65">
        <v>37476</v>
      </c>
      <c r="C169" t="s">
        <v>18267</v>
      </c>
    </row>
    <row r="170" spans="2:3" hidden="1" x14ac:dyDescent="0.25">
      <c r="B170" s="65">
        <v>37476</v>
      </c>
      <c r="C170" t="s">
        <v>18309</v>
      </c>
    </row>
    <row r="171" spans="2:3" hidden="1" x14ac:dyDescent="0.25">
      <c r="B171" s="65">
        <v>37476</v>
      </c>
      <c r="C171" t="s">
        <v>18630</v>
      </c>
    </row>
    <row r="172" spans="2:3" hidden="1" x14ac:dyDescent="0.25">
      <c r="B172" s="65">
        <v>37476</v>
      </c>
      <c r="C172" t="s">
        <v>18933</v>
      </c>
    </row>
    <row r="173" spans="2:3" hidden="1" x14ac:dyDescent="0.25">
      <c r="B173" s="65">
        <v>37476</v>
      </c>
      <c r="C173" t="s">
        <v>3787</v>
      </c>
    </row>
    <row r="174" spans="2:3" hidden="1" x14ac:dyDescent="0.25">
      <c r="B174" s="65">
        <v>37476</v>
      </c>
      <c r="C174" t="s">
        <v>19135</v>
      </c>
    </row>
    <row r="175" spans="2:3" hidden="1" x14ac:dyDescent="0.25">
      <c r="B175" s="65">
        <v>37475</v>
      </c>
      <c r="C175" t="s">
        <v>954</v>
      </c>
    </row>
    <row r="176" spans="2:3" hidden="1" x14ac:dyDescent="0.25">
      <c r="B176" s="65">
        <v>37474</v>
      </c>
      <c r="C176" t="s">
        <v>18435</v>
      </c>
    </row>
    <row r="177" spans="2:3" hidden="1" x14ac:dyDescent="0.25">
      <c r="B177" s="65">
        <v>37474</v>
      </c>
      <c r="C177" t="s">
        <v>18459</v>
      </c>
    </row>
    <row r="178" spans="2:3" hidden="1" x14ac:dyDescent="0.25">
      <c r="B178" s="65">
        <v>37474</v>
      </c>
      <c r="C178" t="s">
        <v>13162</v>
      </c>
    </row>
    <row r="179" spans="2:3" hidden="1" x14ac:dyDescent="0.25">
      <c r="B179" s="65">
        <v>37474</v>
      </c>
      <c r="C179" t="s">
        <v>10509</v>
      </c>
    </row>
    <row r="180" spans="2:3" hidden="1" x14ac:dyDescent="0.25">
      <c r="B180" s="65">
        <v>37474</v>
      </c>
      <c r="C180" t="s">
        <v>19019</v>
      </c>
    </row>
    <row r="181" spans="2:3" hidden="1" x14ac:dyDescent="0.25">
      <c r="B181" s="65">
        <v>37474</v>
      </c>
      <c r="C181" t="s">
        <v>8030</v>
      </c>
    </row>
    <row r="182" spans="2:3" hidden="1" x14ac:dyDescent="0.25">
      <c r="B182" s="65">
        <v>37474</v>
      </c>
      <c r="C182" t="s">
        <v>19174</v>
      </c>
    </row>
    <row r="183" spans="2:3" hidden="1" x14ac:dyDescent="0.25">
      <c r="B183" s="65">
        <v>37472</v>
      </c>
      <c r="C183" t="s">
        <v>15962</v>
      </c>
    </row>
    <row r="184" spans="2:3" hidden="1" x14ac:dyDescent="0.25">
      <c r="B184" s="65">
        <v>37472</v>
      </c>
      <c r="C184" t="s">
        <v>16176</v>
      </c>
    </row>
    <row r="185" spans="2:3" hidden="1" x14ac:dyDescent="0.25">
      <c r="B185" s="65">
        <v>37471</v>
      </c>
      <c r="C185" t="s">
        <v>485</v>
      </c>
    </row>
    <row r="186" spans="2:3" hidden="1" x14ac:dyDescent="0.25">
      <c r="B186" s="65">
        <v>37471</v>
      </c>
      <c r="C186" t="s">
        <v>19030</v>
      </c>
    </row>
    <row r="187" spans="2:3" hidden="1" x14ac:dyDescent="0.25">
      <c r="B187" s="65">
        <v>37470</v>
      </c>
      <c r="C187" t="s">
        <v>1144</v>
      </c>
    </row>
    <row r="188" spans="2:3" hidden="1" x14ac:dyDescent="0.25">
      <c r="B188" s="65">
        <v>37470</v>
      </c>
      <c r="C188" t="s">
        <v>18994</v>
      </c>
    </row>
    <row r="189" spans="2:3" hidden="1" x14ac:dyDescent="0.25">
      <c r="B189" s="65">
        <v>37469</v>
      </c>
      <c r="C189" t="s">
        <v>18366</v>
      </c>
    </row>
    <row r="190" spans="2:3" hidden="1" x14ac:dyDescent="0.25">
      <c r="B190" s="65">
        <v>37469</v>
      </c>
      <c r="C190" t="s">
        <v>18401</v>
      </c>
    </row>
    <row r="191" spans="2:3" hidden="1" x14ac:dyDescent="0.25">
      <c r="B191" s="65">
        <v>37469</v>
      </c>
      <c r="C191" t="s">
        <v>8038</v>
      </c>
    </row>
    <row r="192" spans="2:3" hidden="1" x14ac:dyDescent="0.25">
      <c r="B192" s="65">
        <v>37469</v>
      </c>
      <c r="C192" t="s">
        <v>14391</v>
      </c>
    </row>
    <row r="193" spans="2:3" hidden="1" x14ac:dyDescent="0.25">
      <c r="B193" s="65">
        <v>37469</v>
      </c>
      <c r="C193" t="s">
        <v>2982</v>
      </c>
    </row>
    <row r="194" spans="2:3" hidden="1" x14ac:dyDescent="0.25">
      <c r="B194" s="65">
        <v>37468</v>
      </c>
      <c r="C194" t="s">
        <v>18196</v>
      </c>
    </row>
    <row r="195" spans="2:3" hidden="1" x14ac:dyDescent="0.25">
      <c r="B195" s="65">
        <v>37468</v>
      </c>
      <c r="C195" t="s">
        <v>6164</v>
      </c>
    </row>
    <row r="196" spans="2:3" hidden="1" x14ac:dyDescent="0.25">
      <c r="B196" s="65">
        <v>37468</v>
      </c>
      <c r="C196" t="s">
        <v>18325</v>
      </c>
    </row>
    <row r="197" spans="2:3" hidden="1" x14ac:dyDescent="0.25">
      <c r="B197" s="65">
        <v>37468</v>
      </c>
      <c r="C197" t="s">
        <v>5206</v>
      </c>
    </row>
    <row r="198" spans="2:3" hidden="1" x14ac:dyDescent="0.25">
      <c r="B198" s="65">
        <v>37468</v>
      </c>
      <c r="C198" t="s">
        <v>18590</v>
      </c>
    </row>
    <row r="199" spans="2:3" hidden="1" x14ac:dyDescent="0.25">
      <c r="B199" s="65">
        <v>37468</v>
      </c>
      <c r="C199" t="s">
        <v>19164</v>
      </c>
    </row>
    <row r="200" spans="2:3" hidden="1" x14ac:dyDescent="0.25">
      <c r="B200" s="65">
        <v>37467</v>
      </c>
      <c r="C200" t="s">
        <v>5552</v>
      </c>
    </row>
    <row r="201" spans="2:3" hidden="1" x14ac:dyDescent="0.25">
      <c r="B201" s="65">
        <v>37467</v>
      </c>
      <c r="C201" t="s">
        <v>18570</v>
      </c>
    </row>
    <row r="202" spans="2:3" hidden="1" x14ac:dyDescent="0.25">
      <c r="B202" s="65">
        <v>37466</v>
      </c>
      <c r="C202" t="s">
        <v>3900</v>
      </c>
    </row>
    <row r="203" spans="2:3" hidden="1" x14ac:dyDescent="0.25">
      <c r="B203" s="65">
        <v>37466</v>
      </c>
      <c r="C203" t="s">
        <v>18944</v>
      </c>
    </row>
    <row r="204" spans="2:3" hidden="1" x14ac:dyDescent="0.25">
      <c r="B204" s="65">
        <v>37466</v>
      </c>
      <c r="C204" t="s">
        <v>19011</v>
      </c>
    </row>
    <row r="205" spans="2:3" hidden="1" x14ac:dyDescent="0.25">
      <c r="B205" s="65">
        <v>37466</v>
      </c>
      <c r="C205" t="s">
        <v>18167</v>
      </c>
    </row>
    <row r="206" spans="2:3" hidden="1" x14ac:dyDescent="0.25">
      <c r="B206" s="65">
        <v>37465</v>
      </c>
      <c r="C206" t="s">
        <v>18359</v>
      </c>
    </row>
    <row r="207" spans="2:3" hidden="1" x14ac:dyDescent="0.25">
      <c r="B207" s="65">
        <v>37465</v>
      </c>
      <c r="C207" t="s">
        <v>8030</v>
      </c>
    </row>
    <row r="208" spans="2:3" hidden="1" x14ac:dyDescent="0.25">
      <c r="B208" s="65">
        <v>37465</v>
      </c>
      <c r="C208" t="s">
        <v>3071</v>
      </c>
    </row>
    <row r="209" spans="2:3" hidden="1" x14ac:dyDescent="0.25">
      <c r="B209" s="65">
        <v>37465</v>
      </c>
      <c r="C209" t="s">
        <v>19048</v>
      </c>
    </row>
    <row r="210" spans="2:3" hidden="1" x14ac:dyDescent="0.25">
      <c r="B210" s="65">
        <v>37464</v>
      </c>
      <c r="C210" t="s">
        <v>4091</v>
      </c>
    </row>
    <row r="211" spans="2:3" hidden="1" x14ac:dyDescent="0.25">
      <c r="B211" s="65">
        <v>37463</v>
      </c>
      <c r="C211" t="s">
        <v>18528</v>
      </c>
    </row>
    <row r="212" spans="2:3" hidden="1" x14ac:dyDescent="0.25">
      <c r="B212" s="65">
        <v>37463</v>
      </c>
      <c r="C212" t="s">
        <v>18615</v>
      </c>
    </row>
    <row r="213" spans="2:3" hidden="1" x14ac:dyDescent="0.25">
      <c r="B213" s="65">
        <v>37462</v>
      </c>
      <c r="C213" t="s">
        <v>18257</v>
      </c>
    </row>
    <row r="214" spans="2:3" hidden="1" x14ac:dyDescent="0.25">
      <c r="B214" s="65">
        <v>37462</v>
      </c>
      <c r="C214" t="s">
        <v>6243</v>
      </c>
    </row>
    <row r="215" spans="2:3" hidden="1" x14ac:dyDescent="0.25">
      <c r="B215" s="65">
        <v>37462</v>
      </c>
      <c r="C215" t="s">
        <v>18599</v>
      </c>
    </row>
    <row r="216" spans="2:3" hidden="1" x14ac:dyDescent="0.25">
      <c r="B216" s="65">
        <v>37462</v>
      </c>
      <c r="C216" t="s">
        <v>2290</v>
      </c>
    </row>
    <row r="217" spans="2:3" hidden="1" x14ac:dyDescent="0.25">
      <c r="B217" s="65">
        <v>37462</v>
      </c>
      <c r="C217" t="s">
        <v>18872</v>
      </c>
    </row>
    <row r="218" spans="2:3" hidden="1" x14ac:dyDescent="0.25">
      <c r="B218" s="65">
        <v>37461</v>
      </c>
      <c r="C218" t="s">
        <v>18902</v>
      </c>
    </row>
    <row r="219" spans="2:3" hidden="1" x14ac:dyDescent="0.25">
      <c r="B219" s="65">
        <v>37461</v>
      </c>
      <c r="C219" t="s">
        <v>4394</v>
      </c>
    </row>
    <row r="220" spans="2:3" hidden="1" x14ac:dyDescent="0.25">
      <c r="B220" s="65">
        <v>37460</v>
      </c>
      <c r="C220" t="s">
        <v>13049</v>
      </c>
    </row>
    <row r="221" spans="2:3" hidden="1" x14ac:dyDescent="0.25">
      <c r="B221" s="65">
        <v>37460</v>
      </c>
      <c r="C221" t="s">
        <v>18744</v>
      </c>
    </row>
    <row r="222" spans="2:3" hidden="1" x14ac:dyDescent="0.25">
      <c r="B222" s="65">
        <v>37460</v>
      </c>
      <c r="C222" t="s">
        <v>18817</v>
      </c>
    </row>
    <row r="223" spans="2:3" hidden="1" x14ac:dyDescent="0.25">
      <c r="B223" s="65">
        <v>37459</v>
      </c>
      <c r="C223" t="s">
        <v>18709</v>
      </c>
    </row>
    <row r="224" spans="2:3" hidden="1" x14ac:dyDescent="0.25">
      <c r="B224" s="65">
        <v>37459</v>
      </c>
      <c r="C224" t="s">
        <v>3900</v>
      </c>
    </row>
    <row r="225" spans="2:3" hidden="1" x14ac:dyDescent="0.25">
      <c r="B225" s="65">
        <v>37458</v>
      </c>
      <c r="C225" t="s">
        <v>18167</v>
      </c>
    </row>
    <row r="226" spans="2:3" hidden="1" x14ac:dyDescent="0.25">
      <c r="B226" s="65">
        <v>37457</v>
      </c>
      <c r="C226" t="s">
        <v>2836</v>
      </c>
    </row>
    <row r="227" spans="2:3" hidden="1" x14ac:dyDescent="0.25">
      <c r="B227" s="65">
        <v>37456</v>
      </c>
      <c r="C227" t="s">
        <v>18469</v>
      </c>
    </row>
    <row r="228" spans="2:3" hidden="1" x14ac:dyDescent="0.25">
      <c r="B228" s="65">
        <v>37456</v>
      </c>
      <c r="C228" t="s">
        <v>18791</v>
      </c>
    </row>
    <row r="229" spans="2:3" hidden="1" x14ac:dyDescent="0.25">
      <c r="B229" s="65">
        <v>37456</v>
      </c>
      <c r="C229" t="s">
        <v>9157</v>
      </c>
    </row>
    <row r="230" spans="2:3" hidden="1" x14ac:dyDescent="0.25">
      <c r="B230" s="65">
        <v>37456</v>
      </c>
      <c r="C230" t="s">
        <v>19167</v>
      </c>
    </row>
    <row r="231" spans="2:3" hidden="1" x14ac:dyDescent="0.25">
      <c r="B231" s="65">
        <v>37455</v>
      </c>
      <c r="C231" t="s">
        <v>8757</v>
      </c>
    </row>
    <row r="232" spans="2:3" hidden="1" x14ac:dyDescent="0.25">
      <c r="B232" s="65">
        <v>37455</v>
      </c>
      <c r="C232" t="s">
        <v>18685</v>
      </c>
    </row>
    <row r="233" spans="2:3" hidden="1" x14ac:dyDescent="0.25">
      <c r="B233" s="65">
        <v>37454</v>
      </c>
      <c r="C233" t="s">
        <v>18263</v>
      </c>
    </row>
    <row r="234" spans="2:3" hidden="1" x14ac:dyDescent="0.25">
      <c r="B234" s="65">
        <v>37454</v>
      </c>
      <c r="C234" t="s">
        <v>5670</v>
      </c>
    </row>
    <row r="235" spans="2:3" hidden="1" x14ac:dyDescent="0.25">
      <c r="B235" s="65">
        <v>37454</v>
      </c>
      <c r="C235" t="s">
        <v>939</v>
      </c>
    </row>
    <row r="236" spans="2:3" hidden="1" x14ac:dyDescent="0.25">
      <c r="B236" s="65">
        <v>37454</v>
      </c>
      <c r="C236" t="s">
        <v>18965</v>
      </c>
    </row>
    <row r="237" spans="2:3" hidden="1" x14ac:dyDescent="0.25">
      <c r="B237" s="65">
        <v>37454</v>
      </c>
      <c r="C237" t="s">
        <v>19077</v>
      </c>
    </row>
    <row r="238" spans="2:3" hidden="1" x14ac:dyDescent="0.25">
      <c r="B238" s="65">
        <v>37453</v>
      </c>
      <c r="C238" t="s">
        <v>18549</v>
      </c>
    </row>
    <row r="239" spans="2:3" hidden="1" x14ac:dyDescent="0.25">
      <c r="B239" s="65">
        <v>37453</v>
      </c>
      <c r="C239" t="s">
        <v>430</v>
      </c>
    </row>
    <row r="240" spans="2:3" hidden="1" x14ac:dyDescent="0.25">
      <c r="B240" s="65">
        <v>37453</v>
      </c>
      <c r="C240" t="s">
        <v>18779</v>
      </c>
    </row>
    <row r="241" spans="2:3" hidden="1" x14ac:dyDescent="0.25">
      <c r="B241" s="65">
        <v>37452</v>
      </c>
      <c r="C241" t="s">
        <v>18171</v>
      </c>
    </row>
    <row r="242" spans="2:3" hidden="1" x14ac:dyDescent="0.25">
      <c r="B242" s="65">
        <v>37452</v>
      </c>
      <c r="C242" t="s">
        <v>18387</v>
      </c>
    </row>
    <row r="243" spans="2:3" hidden="1" x14ac:dyDescent="0.25">
      <c r="B243" s="65">
        <v>37452</v>
      </c>
      <c r="C243" t="s">
        <v>18748</v>
      </c>
    </row>
    <row r="244" spans="2:3" hidden="1" x14ac:dyDescent="0.25">
      <c r="B244" s="65">
        <v>37452</v>
      </c>
      <c r="C244" t="s">
        <v>5947</v>
      </c>
    </row>
    <row r="245" spans="2:3" hidden="1" x14ac:dyDescent="0.25">
      <c r="B245" s="65">
        <v>37451</v>
      </c>
      <c r="C245" t="s">
        <v>5137</v>
      </c>
    </row>
    <row r="246" spans="2:3" hidden="1" x14ac:dyDescent="0.25">
      <c r="B246" s="65">
        <v>37451</v>
      </c>
      <c r="C246" t="s">
        <v>18249</v>
      </c>
    </row>
    <row r="247" spans="2:3" hidden="1" x14ac:dyDescent="0.25">
      <c r="B247" s="65">
        <v>37450</v>
      </c>
      <c r="C247" t="s">
        <v>18576</v>
      </c>
    </row>
    <row r="248" spans="2:3" hidden="1" x14ac:dyDescent="0.25">
      <c r="B248" s="65">
        <v>37450</v>
      </c>
      <c r="C248" t="s">
        <v>18667</v>
      </c>
    </row>
    <row r="249" spans="2:3" hidden="1" x14ac:dyDescent="0.25">
      <c r="B249" s="65">
        <v>37448</v>
      </c>
      <c r="C249" t="s">
        <v>4690</v>
      </c>
    </row>
    <row r="250" spans="2:3" hidden="1" x14ac:dyDescent="0.25">
      <c r="B250" s="65">
        <v>37448</v>
      </c>
      <c r="C250" t="s">
        <v>2360</v>
      </c>
    </row>
    <row r="251" spans="2:3" hidden="1" x14ac:dyDescent="0.25">
      <c r="B251" s="65">
        <v>37448</v>
      </c>
      <c r="C251" t="s">
        <v>18830</v>
      </c>
    </row>
    <row r="252" spans="2:3" hidden="1" x14ac:dyDescent="0.25">
      <c r="B252" s="65">
        <v>37447</v>
      </c>
      <c r="C252" t="s">
        <v>46</v>
      </c>
    </row>
    <row r="253" spans="2:3" hidden="1" x14ac:dyDescent="0.25">
      <c r="B253" s="65">
        <v>37447</v>
      </c>
      <c r="C253" t="s">
        <v>18926</v>
      </c>
    </row>
    <row r="254" spans="2:3" hidden="1" x14ac:dyDescent="0.25">
      <c r="B254" s="65">
        <v>37446</v>
      </c>
      <c r="C254" t="s">
        <v>18730</v>
      </c>
    </row>
    <row r="255" spans="2:3" hidden="1" x14ac:dyDescent="0.25">
      <c r="B255" s="65">
        <v>37446</v>
      </c>
      <c r="C255" t="s">
        <v>19061</v>
      </c>
    </row>
    <row r="256" spans="2:3" hidden="1" x14ac:dyDescent="0.25">
      <c r="B256" s="65">
        <v>37446</v>
      </c>
      <c r="C256" t="s">
        <v>19104</v>
      </c>
    </row>
    <row r="257" spans="2:3" hidden="1" x14ac:dyDescent="0.25">
      <c r="B257" s="65">
        <v>37445</v>
      </c>
      <c r="C257" t="s">
        <v>430</v>
      </c>
    </row>
    <row r="258" spans="2:3" hidden="1" x14ac:dyDescent="0.25">
      <c r="B258" s="65">
        <v>37445</v>
      </c>
      <c r="C258" t="s">
        <v>18608</v>
      </c>
    </row>
    <row r="259" spans="2:3" hidden="1" x14ac:dyDescent="0.25">
      <c r="B259" s="65">
        <v>37445</v>
      </c>
      <c r="C259" t="s">
        <v>18626</v>
      </c>
    </row>
    <row r="260" spans="2:3" hidden="1" x14ac:dyDescent="0.25">
      <c r="B260" s="65">
        <v>37445</v>
      </c>
      <c r="C260" t="s">
        <v>19125</v>
      </c>
    </row>
    <row r="261" spans="2:3" hidden="1" x14ac:dyDescent="0.25">
      <c r="B261" s="65">
        <v>37444</v>
      </c>
      <c r="C261" t="s">
        <v>18556</v>
      </c>
    </row>
    <row r="262" spans="2:3" hidden="1" x14ac:dyDescent="0.25">
      <c r="B262" s="65">
        <v>37444</v>
      </c>
      <c r="C262" t="s">
        <v>18647</v>
      </c>
    </row>
    <row r="263" spans="2:3" hidden="1" x14ac:dyDescent="0.25">
      <c r="B263" s="65">
        <v>37444</v>
      </c>
      <c r="C263" t="s">
        <v>11937</v>
      </c>
    </row>
    <row r="264" spans="2:3" hidden="1" x14ac:dyDescent="0.25">
      <c r="B264" s="65">
        <v>37443</v>
      </c>
      <c r="C264" t="s">
        <v>18206</v>
      </c>
    </row>
    <row r="265" spans="2:3" hidden="1" x14ac:dyDescent="0.25">
      <c r="B265" s="65">
        <v>37443</v>
      </c>
      <c r="C265" t="s">
        <v>18705</v>
      </c>
    </row>
    <row r="266" spans="2:3" hidden="1" x14ac:dyDescent="0.25">
      <c r="B266" s="65">
        <v>37443</v>
      </c>
      <c r="C266" t="s">
        <v>18773</v>
      </c>
    </row>
    <row r="267" spans="2:3" hidden="1" x14ac:dyDescent="0.25">
      <c r="B267" s="65">
        <v>37442</v>
      </c>
      <c r="C267" t="s">
        <v>18302</v>
      </c>
    </row>
    <row r="268" spans="2:3" hidden="1" x14ac:dyDescent="0.25">
      <c r="B268" s="65">
        <v>37442</v>
      </c>
      <c r="C268" t="s">
        <v>2084</v>
      </c>
    </row>
    <row r="269" spans="2:3" hidden="1" x14ac:dyDescent="0.25">
      <c r="B269" s="65">
        <v>37442</v>
      </c>
      <c r="C269" t="s">
        <v>18767</v>
      </c>
    </row>
    <row r="270" spans="2:3" hidden="1" x14ac:dyDescent="0.25">
      <c r="B270" s="65">
        <v>37442</v>
      </c>
      <c r="C270" t="s">
        <v>4492</v>
      </c>
    </row>
    <row r="271" spans="2:3" hidden="1" x14ac:dyDescent="0.25">
      <c r="B271" s="65">
        <v>37441</v>
      </c>
      <c r="C271" t="s">
        <v>18298</v>
      </c>
    </row>
    <row r="272" spans="2:3" hidden="1" x14ac:dyDescent="0.25">
      <c r="B272" s="65">
        <v>37441</v>
      </c>
      <c r="C272" t="s">
        <v>18431</v>
      </c>
    </row>
    <row r="273" spans="2:3" hidden="1" x14ac:dyDescent="0.25">
      <c r="B273" s="65">
        <v>37441</v>
      </c>
      <c r="C273" t="s">
        <v>12385</v>
      </c>
    </row>
    <row r="274" spans="2:3" hidden="1" x14ac:dyDescent="0.25">
      <c r="B274" s="65">
        <v>37441</v>
      </c>
      <c r="C274" t="s">
        <v>4637</v>
      </c>
    </row>
    <row r="275" spans="2:3" hidden="1" x14ac:dyDescent="0.25">
      <c r="B275" s="65">
        <v>37441</v>
      </c>
      <c r="C275" t="s">
        <v>749</v>
      </c>
    </row>
    <row r="276" spans="2:3" hidden="1" x14ac:dyDescent="0.25">
      <c r="B276" s="65">
        <v>37441</v>
      </c>
      <c r="C276" t="s">
        <v>16694</v>
      </c>
    </row>
    <row r="277" spans="2:3" hidden="1" x14ac:dyDescent="0.25">
      <c r="B277" s="65">
        <v>37441</v>
      </c>
      <c r="C277" t="s">
        <v>1251</v>
      </c>
    </row>
    <row r="278" spans="2:3" hidden="1" x14ac:dyDescent="0.25">
      <c r="B278" s="65">
        <v>37441</v>
      </c>
      <c r="C278" t="s">
        <v>14822</v>
      </c>
    </row>
    <row r="279" spans="2:3" hidden="1" x14ac:dyDescent="0.25">
      <c r="B279" s="65">
        <v>37440</v>
      </c>
      <c r="C279" t="s">
        <v>18501</v>
      </c>
    </row>
    <row r="280" spans="2:3" hidden="1" x14ac:dyDescent="0.25">
      <c r="B280" s="65">
        <v>37440</v>
      </c>
      <c r="C280" t="s">
        <v>163</v>
      </c>
    </row>
    <row r="281" spans="2:3" hidden="1" x14ac:dyDescent="0.25">
      <c r="B281" s="65">
        <v>37440</v>
      </c>
      <c r="C281" t="s">
        <v>7316</v>
      </c>
    </row>
    <row r="282" spans="2:3" hidden="1" x14ac:dyDescent="0.25">
      <c r="B282" s="65">
        <v>37440</v>
      </c>
      <c r="C282" t="s">
        <v>18798</v>
      </c>
    </row>
    <row r="283" spans="2:3" hidden="1" x14ac:dyDescent="0.25">
      <c r="B283" s="65">
        <v>37440</v>
      </c>
      <c r="C283" t="s">
        <v>3132</v>
      </c>
    </row>
    <row r="284" spans="2:3" hidden="1" x14ac:dyDescent="0.25">
      <c r="B284" s="65">
        <v>37440</v>
      </c>
      <c r="C284" t="s">
        <v>19001</v>
      </c>
    </row>
    <row r="285" spans="2:3" hidden="1" x14ac:dyDescent="0.25">
      <c r="B285" s="65">
        <v>37439</v>
      </c>
      <c r="C285" t="s">
        <v>18317</v>
      </c>
    </row>
    <row r="286" spans="2:3" hidden="1" x14ac:dyDescent="0.25">
      <c r="B286" s="65">
        <v>37439</v>
      </c>
      <c r="C286" t="s">
        <v>18425</v>
      </c>
    </row>
    <row r="287" spans="2:3" hidden="1" x14ac:dyDescent="0.25">
      <c r="B287" s="65">
        <v>37439</v>
      </c>
      <c r="C287" t="s">
        <v>19086</v>
      </c>
    </row>
    <row r="288" spans="2:3" hidden="1" x14ac:dyDescent="0.25">
      <c r="B288" s="65">
        <v>37439</v>
      </c>
      <c r="C288" t="s">
        <v>4302</v>
      </c>
    </row>
    <row r="289" spans="2:3" hidden="1" x14ac:dyDescent="0.25">
      <c r="B289" s="65">
        <v>37438</v>
      </c>
      <c r="C289" t="s">
        <v>18313</v>
      </c>
    </row>
    <row r="290" spans="2:3" hidden="1" x14ac:dyDescent="0.25">
      <c r="B290" s="65">
        <v>37438</v>
      </c>
      <c r="C290" t="s">
        <v>19065</v>
      </c>
    </row>
    <row r="291" spans="2:3" hidden="1" x14ac:dyDescent="0.25">
      <c r="B291" s="65">
        <v>37437</v>
      </c>
      <c r="C291" t="s">
        <v>3900</v>
      </c>
    </row>
    <row r="292" spans="2:3" hidden="1" x14ac:dyDescent="0.25">
      <c r="B292" s="65">
        <v>37437</v>
      </c>
      <c r="C292" t="s">
        <v>18876</v>
      </c>
    </row>
    <row r="293" spans="2:3" hidden="1" x14ac:dyDescent="0.25">
      <c r="B293" s="65">
        <v>37437</v>
      </c>
      <c r="C293" t="s">
        <v>7063</v>
      </c>
    </row>
    <row r="294" spans="2:3" hidden="1" x14ac:dyDescent="0.25">
      <c r="B294" s="65">
        <v>37436</v>
      </c>
      <c r="C294" t="s">
        <v>6447</v>
      </c>
    </row>
    <row r="295" spans="2:3" hidden="1" x14ac:dyDescent="0.25">
      <c r="B295" s="65">
        <v>37435</v>
      </c>
      <c r="C295" t="s">
        <v>18654</v>
      </c>
    </row>
    <row r="296" spans="2:3" hidden="1" x14ac:dyDescent="0.25">
      <c r="B296" s="65">
        <v>37434</v>
      </c>
      <c r="C296" t="s">
        <v>18340</v>
      </c>
    </row>
    <row r="297" spans="2:3" hidden="1" x14ac:dyDescent="0.25">
      <c r="B297" s="65">
        <v>37434</v>
      </c>
      <c r="C297" t="s">
        <v>18795</v>
      </c>
    </row>
    <row r="298" spans="2:3" hidden="1" x14ac:dyDescent="0.25">
      <c r="B298" s="65">
        <v>37434</v>
      </c>
      <c r="C298" t="s">
        <v>2982</v>
      </c>
    </row>
    <row r="299" spans="2:3" hidden="1" x14ac:dyDescent="0.25">
      <c r="B299" s="65">
        <v>37434</v>
      </c>
      <c r="C299" t="s">
        <v>19033</v>
      </c>
    </row>
    <row r="300" spans="2:3" hidden="1" x14ac:dyDescent="0.25">
      <c r="B300" s="65">
        <v>37434</v>
      </c>
      <c r="C300" t="s">
        <v>19100</v>
      </c>
    </row>
    <row r="301" spans="2:3" hidden="1" x14ac:dyDescent="0.25">
      <c r="B301" s="65">
        <v>37433</v>
      </c>
      <c r="C301" t="s">
        <v>1112</v>
      </c>
    </row>
    <row r="302" spans="2:3" hidden="1" x14ac:dyDescent="0.25">
      <c r="B302" s="65">
        <v>37433</v>
      </c>
      <c r="C302" t="s">
        <v>18821</v>
      </c>
    </row>
    <row r="303" spans="2:3" hidden="1" x14ac:dyDescent="0.25">
      <c r="B303" s="65">
        <v>37432</v>
      </c>
      <c r="C303" t="s">
        <v>2851</v>
      </c>
    </row>
    <row r="304" spans="2:3" hidden="1" x14ac:dyDescent="0.25">
      <c r="B304" s="65">
        <v>37431</v>
      </c>
      <c r="C304" t="s">
        <v>18930</v>
      </c>
    </row>
    <row r="305" spans="2:3" hidden="1" x14ac:dyDescent="0.25">
      <c r="B305" s="65">
        <v>37430</v>
      </c>
      <c r="C305" t="s">
        <v>18325</v>
      </c>
    </row>
    <row r="306" spans="2:3" hidden="1" x14ac:dyDescent="0.25">
      <c r="B306" s="65">
        <v>37430</v>
      </c>
      <c r="C306" t="s">
        <v>981</v>
      </c>
    </row>
    <row r="307" spans="2:3" hidden="1" x14ac:dyDescent="0.25">
      <c r="B307" s="65">
        <v>37429</v>
      </c>
      <c r="C307" t="s">
        <v>12304</v>
      </c>
    </row>
    <row r="308" spans="2:3" hidden="1" x14ac:dyDescent="0.25">
      <c r="B308" s="65">
        <v>37429</v>
      </c>
      <c r="C308" t="s">
        <v>5346</v>
      </c>
    </row>
    <row r="309" spans="2:3" hidden="1" x14ac:dyDescent="0.25">
      <c r="B309" s="65">
        <v>37428</v>
      </c>
      <c r="C309" t="s">
        <v>18190</v>
      </c>
    </row>
    <row r="310" spans="2:3" hidden="1" x14ac:dyDescent="0.25">
      <c r="B310" s="65">
        <v>37428</v>
      </c>
      <c r="C310" t="s">
        <v>18349</v>
      </c>
    </row>
    <row r="311" spans="2:3" hidden="1" x14ac:dyDescent="0.25">
      <c r="B311" s="65">
        <v>37427</v>
      </c>
      <c r="C311" t="s">
        <v>849</v>
      </c>
    </row>
    <row r="312" spans="2:3" hidden="1" x14ac:dyDescent="0.25">
      <c r="B312" s="65">
        <v>37427</v>
      </c>
      <c r="C312" t="s">
        <v>18216</v>
      </c>
    </row>
    <row r="313" spans="2:3" hidden="1" x14ac:dyDescent="0.25">
      <c r="B313" s="65">
        <v>37427</v>
      </c>
      <c r="C313" t="s">
        <v>18674</v>
      </c>
    </row>
    <row r="314" spans="2:3" hidden="1" x14ac:dyDescent="0.25">
      <c r="B314" s="65">
        <v>37427</v>
      </c>
      <c r="C314" t="s">
        <v>18849</v>
      </c>
    </row>
    <row r="315" spans="2:3" hidden="1" x14ac:dyDescent="0.25">
      <c r="B315" s="65">
        <v>37427</v>
      </c>
      <c r="C315" t="s">
        <v>3320</v>
      </c>
    </row>
    <row r="316" spans="2:3" hidden="1" x14ac:dyDescent="0.25">
      <c r="B316" s="65">
        <v>37427</v>
      </c>
      <c r="C316" t="s">
        <v>19037</v>
      </c>
    </row>
    <row r="317" spans="2:3" hidden="1" x14ac:dyDescent="0.25">
      <c r="B317" s="65">
        <v>37427</v>
      </c>
      <c r="C317" t="s">
        <v>16607</v>
      </c>
    </row>
    <row r="318" spans="2:3" hidden="1" x14ac:dyDescent="0.25">
      <c r="B318" s="65">
        <v>37426</v>
      </c>
      <c r="C318" t="s">
        <v>2451</v>
      </c>
    </row>
    <row r="319" spans="2:3" hidden="1" x14ac:dyDescent="0.25">
      <c r="B319" s="65">
        <v>37426</v>
      </c>
      <c r="C319" t="s">
        <v>18056</v>
      </c>
    </row>
    <row r="320" spans="2:3" hidden="1" x14ac:dyDescent="0.25">
      <c r="B320" s="65">
        <v>37425</v>
      </c>
      <c r="C320" t="s">
        <v>9079</v>
      </c>
    </row>
    <row r="321" spans="2:3" hidden="1" x14ac:dyDescent="0.25">
      <c r="B321" s="65">
        <v>37425</v>
      </c>
      <c r="C321" t="s">
        <v>310</v>
      </c>
    </row>
    <row r="322" spans="2:3" hidden="1" x14ac:dyDescent="0.25">
      <c r="B322" s="65">
        <v>37425</v>
      </c>
      <c r="C322" t="s">
        <v>18147</v>
      </c>
    </row>
    <row r="323" spans="2:3" hidden="1" x14ac:dyDescent="0.25">
      <c r="B323" s="65">
        <v>37424</v>
      </c>
      <c r="C323" t="s">
        <v>18004</v>
      </c>
    </row>
    <row r="324" spans="2:3" hidden="1" x14ac:dyDescent="0.25">
      <c r="B324" s="65">
        <v>37424</v>
      </c>
      <c r="C324" t="s">
        <v>7084</v>
      </c>
    </row>
    <row r="325" spans="2:3" hidden="1" x14ac:dyDescent="0.25">
      <c r="B325" s="65">
        <v>37424</v>
      </c>
      <c r="C325" t="s">
        <v>18077</v>
      </c>
    </row>
    <row r="326" spans="2:3" hidden="1" x14ac:dyDescent="0.25">
      <c r="B326" s="65">
        <v>37423</v>
      </c>
      <c r="C326" t="s">
        <v>2485</v>
      </c>
    </row>
    <row r="327" spans="2:3" hidden="1" x14ac:dyDescent="0.25">
      <c r="B327" s="65">
        <v>37423</v>
      </c>
      <c r="C327" t="s">
        <v>18083</v>
      </c>
    </row>
    <row r="328" spans="2:3" hidden="1" x14ac:dyDescent="0.25">
      <c r="B328" s="65">
        <v>37423</v>
      </c>
      <c r="C328" t="s">
        <v>17187</v>
      </c>
    </row>
    <row r="329" spans="2:3" hidden="1" x14ac:dyDescent="0.25">
      <c r="B329" s="65">
        <v>37423</v>
      </c>
      <c r="C329" t="s">
        <v>3245</v>
      </c>
    </row>
    <row r="330" spans="2:3" hidden="1" x14ac:dyDescent="0.25">
      <c r="B330" s="65">
        <v>37422</v>
      </c>
      <c r="C330" t="s">
        <v>18106</v>
      </c>
    </row>
    <row r="331" spans="2:3" hidden="1" x14ac:dyDescent="0.25">
      <c r="B331" s="65">
        <v>37422</v>
      </c>
      <c r="C331" t="s">
        <v>2908</v>
      </c>
    </row>
    <row r="332" spans="2:3" hidden="1" x14ac:dyDescent="0.25">
      <c r="B332" s="65">
        <v>37422</v>
      </c>
      <c r="C332" t="s">
        <v>1806</v>
      </c>
    </row>
    <row r="333" spans="2:3" hidden="1" x14ac:dyDescent="0.25">
      <c r="B333" s="65">
        <v>37420</v>
      </c>
      <c r="C333" t="s">
        <v>17978</v>
      </c>
    </row>
    <row r="334" spans="2:3" hidden="1" x14ac:dyDescent="0.25">
      <c r="B334" s="65">
        <v>37420</v>
      </c>
      <c r="C334" t="s">
        <v>17989</v>
      </c>
    </row>
    <row r="335" spans="2:3" hidden="1" x14ac:dyDescent="0.25">
      <c r="B335" s="65">
        <v>37420</v>
      </c>
      <c r="C335" t="s">
        <v>18101</v>
      </c>
    </row>
    <row r="336" spans="2:3" hidden="1" x14ac:dyDescent="0.25">
      <c r="B336" s="65">
        <v>37419</v>
      </c>
      <c r="C336" t="s">
        <v>9541</v>
      </c>
    </row>
    <row r="337" spans="2:3" hidden="1" x14ac:dyDescent="0.25">
      <c r="B337" s="65">
        <v>37419</v>
      </c>
      <c r="C337" t="s">
        <v>4506</v>
      </c>
    </row>
    <row r="338" spans="2:3" hidden="1" x14ac:dyDescent="0.25">
      <c r="B338" s="65">
        <v>37419</v>
      </c>
      <c r="C338" t="s">
        <v>18070</v>
      </c>
    </row>
    <row r="339" spans="2:3" hidden="1" x14ac:dyDescent="0.25">
      <c r="B339" s="65">
        <v>37418</v>
      </c>
      <c r="C339" t="s">
        <v>598</v>
      </c>
    </row>
    <row r="340" spans="2:3" hidden="1" x14ac:dyDescent="0.25">
      <c r="B340" s="65">
        <v>37418</v>
      </c>
      <c r="C340" t="s">
        <v>4199</v>
      </c>
    </row>
    <row r="341" spans="2:3" hidden="1" x14ac:dyDescent="0.25">
      <c r="B341" s="65">
        <v>37417</v>
      </c>
      <c r="C341" t="s">
        <v>18049</v>
      </c>
    </row>
    <row r="342" spans="2:3" hidden="1" x14ac:dyDescent="0.25">
      <c r="B342" s="65">
        <v>37417</v>
      </c>
      <c r="C342" t="s">
        <v>530</v>
      </c>
    </row>
    <row r="343" spans="2:3" hidden="1" x14ac:dyDescent="0.25">
      <c r="B343" s="65">
        <v>37417</v>
      </c>
      <c r="C343" t="s">
        <v>12714</v>
      </c>
    </row>
    <row r="344" spans="2:3" hidden="1" x14ac:dyDescent="0.25">
      <c r="B344" s="65">
        <v>37416</v>
      </c>
      <c r="C344" t="s">
        <v>17997</v>
      </c>
    </row>
    <row r="345" spans="2:3" hidden="1" x14ac:dyDescent="0.25">
      <c r="B345" s="65">
        <v>37416</v>
      </c>
      <c r="C345" t="s">
        <v>7831</v>
      </c>
    </row>
    <row r="346" spans="2:3" hidden="1" x14ac:dyDescent="0.25">
      <c r="B346" s="65">
        <v>37416</v>
      </c>
      <c r="C346" t="s">
        <v>13802</v>
      </c>
    </row>
    <row r="347" spans="2:3" hidden="1" x14ac:dyDescent="0.25">
      <c r="B347" s="65">
        <v>37416</v>
      </c>
      <c r="C347" t="s">
        <v>2511</v>
      </c>
    </row>
    <row r="348" spans="2:3" hidden="1" x14ac:dyDescent="0.25">
      <c r="B348" s="65">
        <v>37415</v>
      </c>
      <c r="C348" t="s">
        <v>17957</v>
      </c>
    </row>
    <row r="349" spans="2:3" hidden="1" x14ac:dyDescent="0.25">
      <c r="B349" s="65">
        <v>37415</v>
      </c>
      <c r="C349" t="s">
        <v>17974</v>
      </c>
    </row>
    <row r="350" spans="2:3" hidden="1" x14ac:dyDescent="0.25">
      <c r="B350" s="65">
        <v>37415</v>
      </c>
      <c r="C350" t="s">
        <v>18032</v>
      </c>
    </row>
    <row r="351" spans="2:3" hidden="1" x14ac:dyDescent="0.25">
      <c r="B351" s="65">
        <v>37414</v>
      </c>
      <c r="C351" t="s">
        <v>17963</v>
      </c>
    </row>
    <row r="352" spans="2:3" hidden="1" x14ac:dyDescent="0.25">
      <c r="B352" s="65">
        <v>37414</v>
      </c>
      <c r="C352" t="s">
        <v>17377</v>
      </c>
    </row>
    <row r="353" spans="2:3" hidden="1" x14ac:dyDescent="0.25">
      <c r="B353" s="65">
        <v>37414</v>
      </c>
      <c r="C353" t="s">
        <v>18123</v>
      </c>
    </row>
    <row r="354" spans="2:3" hidden="1" x14ac:dyDescent="0.25">
      <c r="B354" s="65">
        <v>37414</v>
      </c>
      <c r="C354" t="s">
        <v>18143</v>
      </c>
    </row>
    <row r="355" spans="2:3" hidden="1" x14ac:dyDescent="0.25">
      <c r="B355" s="65">
        <v>37413</v>
      </c>
      <c r="C355" t="s">
        <v>18133</v>
      </c>
    </row>
    <row r="356" spans="2:3" hidden="1" x14ac:dyDescent="0.25">
      <c r="B356" s="65">
        <v>37413</v>
      </c>
      <c r="C356" t="s">
        <v>18151</v>
      </c>
    </row>
    <row r="357" spans="2:3" hidden="1" x14ac:dyDescent="0.25">
      <c r="B357" s="65">
        <v>37412</v>
      </c>
      <c r="C357" t="s">
        <v>17970</v>
      </c>
    </row>
    <row r="358" spans="2:3" hidden="1" x14ac:dyDescent="0.25">
      <c r="B358" s="65">
        <v>37412</v>
      </c>
      <c r="C358" t="s">
        <v>5329</v>
      </c>
    </row>
    <row r="359" spans="2:3" hidden="1" x14ac:dyDescent="0.25">
      <c r="B359" s="65">
        <v>37412</v>
      </c>
      <c r="C359" t="s">
        <v>8150</v>
      </c>
    </row>
    <row r="360" spans="2:3" hidden="1" x14ac:dyDescent="0.25">
      <c r="B360" s="65">
        <v>37412</v>
      </c>
      <c r="C360" t="s">
        <v>3368</v>
      </c>
    </row>
    <row r="361" spans="2:3" hidden="1" x14ac:dyDescent="0.25">
      <c r="B361" s="65">
        <v>37412</v>
      </c>
      <c r="C361" t="s">
        <v>18024</v>
      </c>
    </row>
    <row r="362" spans="2:3" hidden="1" x14ac:dyDescent="0.25">
      <c r="B362" s="65">
        <v>37411</v>
      </c>
      <c r="C362" t="s">
        <v>7680</v>
      </c>
    </row>
    <row r="363" spans="2:3" hidden="1" x14ac:dyDescent="0.25">
      <c r="B363" s="65">
        <v>37410</v>
      </c>
      <c r="C363" t="s">
        <v>18060</v>
      </c>
    </row>
    <row r="364" spans="2:3" hidden="1" x14ac:dyDescent="0.25">
      <c r="B364" s="65">
        <v>37410</v>
      </c>
      <c r="C364" t="s">
        <v>3040</v>
      </c>
    </row>
    <row r="365" spans="2:3" hidden="1" x14ac:dyDescent="0.25">
      <c r="B365" s="65">
        <v>37408</v>
      </c>
      <c r="C365" t="s">
        <v>17985</v>
      </c>
    </row>
    <row r="366" spans="2:3" hidden="1" x14ac:dyDescent="0.25">
      <c r="B366" s="65">
        <v>37408</v>
      </c>
      <c r="C366" t="s">
        <v>14822</v>
      </c>
    </row>
    <row r="367" spans="2:3" hidden="1" x14ac:dyDescent="0.25">
      <c r="B367" s="65">
        <v>37407</v>
      </c>
      <c r="C367" t="s">
        <v>18038</v>
      </c>
    </row>
    <row r="368" spans="2:3" hidden="1" x14ac:dyDescent="0.25">
      <c r="B368" s="65">
        <v>37407</v>
      </c>
      <c r="C368" t="s">
        <v>18073</v>
      </c>
    </row>
    <row r="369" spans="2:3" hidden="1" x14ac:dyDescent="0.25">
      <c r="B369" s="65">
        <v>37407</v>
      </c>
      <c r="C369" t="s">
        <v>1831</v>
      </c>
    </row>
    <row r="370" spans="2:3" hidden="1" x14ac:dyDescent="0.25">
      <c r="B370" s="65">
        <v>37407</v>
      </c>
      <c r="C370" t="s">
        <v>14626</v>
      </c>
    </row>
    <row r="371" spans="2:3" hidden="1" x14ac:dyDescent="0.25">
      <c r="B371" s="65">
        <v>37406</v>
      </c>
      <c r="C371" t="s">
        <v>17921</v>
      </c>
    </row>
    <row r="372" spans="2:3" hidden="1" x14ac:dyDescent="0.25">
      <c r="B372" s="65">
        <v>37406</v>
      </c>
      <c r="C372" t="s">
        <v>2343</v>
      </c>
    </row>
    <row r="373" spans="2:3" hidden="1" x14ac:dyDescent="0.25">
      <c r="B373" s="65">
        <v>37406</v>
      </c>
      <c r="C373" t="s">
        <v>17953</v>
      </c>
    </row>
    <row r="374" spans="2:3" hidden="1" x14ac:dyDescent="0.25">
      <c r="B374" s="65">
        <v>37406</v>
      </c>
      <c r="C374" t="s">
        <v>18020</v>
      </c>
    </row>
    <row r="375" spans="2:3" hidden="1" x14ac:dyDescent="0.25">
      <c r="B375" s="65">
        <v>37406</v>
      </c>
      <c r="C375" t="s">
        <v>18042</v>
      </c>
    </row>
    <row r="376" spans="2:3" hidden="1" x14ac:dyDescent="0.25">
      <c r="B376" s="65">
        <v>37406</v>
      </c>
      <c r="C376" t="s">
        <v>18080</v>
      </c>
    </row>
    <row r="377" spans="2:3" hidden="1" x14ac:dyDescent="0.25">
      <c r="B377" s="65">
        <v>37406</v>
      </c>
      <c r="C377" t="s">
        <v>7831</v>
      </c>
    </row>
    <row r="378" spans="2:3" hidden="1" x14ac:dyDescent="0.25">
      <c r="B378" s="65">
        <v>37406</v>
      </c>
      <c r="C378" t="s">
        <v>6516</v>
      </c>
    </row>
    <row r="379" spans="2:3" hidden="1" x14ac:dyDescent="0.25">
      <c r="B379" s="65">
        <v>37405</v>
      </c>
      <c r="C379" t="s">
        <v>17900</v>
      </c>
    </row>
    <row r="380" spans="2:3" hidden="1" x14ac:dyDescent="0.25">
      <c r="B380" s="65">
        <v>37405</v>
      </c>
      <c r="C380" t="s">
        <v>17904</v>
      </c>
    </row>
    <row r="381" spans="2:3" hidden="1" x14ac:dyDescent="0.25">
      <c r="B381" s="65">
        <v>37405</v>
      </c>
      <c r="C381" t="s">
        <v>17907</v>
      </c>
    </row>
    <row r="382" spans="2:3" hidden="1" x14ac:dyDescent="0.25">
      <c r="B382" s="65">
        <v>37405</v>
      </c>
      <c r="C382" t="s">
        <v>16800</v>
      </c>
    </row>
    <row r="383" spans="2:3" hidden="1" x14ac:dyDescent="0.25">
      <c r="B383" s="65">
        <v>37404</v>
      </c>
      <c r="C383" t="s">
        <v>4521</v>
      </c>
    </row>
    <row r="384" spans="2:3" hidden="1" x14ac:dyDescent="0.25">
      <c r="B384" s="65">
        <v>37404</v>
      </c>
      <c r="C384" t="s">
        <v>17913</v>
      </c>
    </row>
    <row r="385" spans="2:3" hidden="1" x14ac:dyDescent="0.25">
      <c r="B385" s="65">
        <v>37404</v>
      </c>
      <c r="C385" t="s">
        <v>17917</v>
      </c>
    </row>
    <row r="386" spans="2:3" hidden="1" x14ac:dyDescent="0.25">
      <c r="B386" s="65">
        <v>37404</v>
      </c>
      <c r="C386" t="s">
        <v>2542</v>
      </c>
    </row>
    <row r="387" spans="2:3" hidden="1" x14ac:dyDescent="0.25">
      <c r="B387" s="65">
        <v>37404</v>
      </c>
      <c r="C387" t="s">
        <v>17934</v>
      </c>
    </row>
    <row r="388" spans="2:3" hidden="1" x14ac:dyDescent="0.25">
      <c r="B388" s="65">
        <v>37404</v>
      </c>
      <c r="C388" t="s">
        <v>17945</v>
      </c>
    </row>
    <row r="389" spans="2:3" hidden="1" x14ac:dyDescent="0.25">
      <c r="B389" s="65">
        <v>37403</v>
      </c>
      <c r="C389" t="s">
        <v>576</v>
      </c>
    </row>
    <row r="390" spans="2:3" hidden="1" x14ac:dyDescent="0.25">
      <c r="B390" s="65">
        <v>37403</v>
      </c>
      <c r="C390" t="s">
        <v>17896</v>
      </c>
    </row>
    <row r="391" spans="2:3" hidden="1" x14ac:dyDescent="0.25">
      <c r="B391" s="65">
        <v>37403</v>
      </c>
      <c r="C391" t="s">
        <v>6211</v>
      </c>
    </row>
    <row r="392" spans="2:3" hidden="1" x14ac:dyDescent="0.25">
      <c r="B392" s="65">
        <v>37403</v>
      </c>
      <c r="C392" t="s">
        <v>17939</v>
      </c>
    </row>
    <row r="393" spans="2:3" hidden="1" x14ac:dyDescent="0.25">
      <c r="B393" s="65">
        <v>37403</v>
      </c>
      <c r="C393" t="s">
        <v>9722</v>
      </c>
    </row>
    <row r="394" spans="2:3" hidden="1" x14ac:dyDescent="0.25">
      <c r="B394" s="65">
        <v>37402</v>
      </c>
      <c r="C394" t="s">
        <v>17892</v>
      </c>
    </row>
    <row r="395" spans="2:3" hidden="1" x14ac:dyDescent="0.25">
      <c r="B395" s="65">
        <v>37401</v>
      </c>
      <c r="C395" t="s">
        <v>448</v>
      </c>
    </row>
    <row r="396" spans="2:3" hidden="1" x14ac:dyDescent="0.25">
      <c r="B396" s="65">
        <v>37401</v>
      </c>
      <c r="C396" t="s">
        <v>17876</v>
      </c>
    </row>
    <row r="397" spans="2:3" hidden="1" x14ac:dyDescent="0.25">
      <c r="B397" s="65">
        <v>37401</v>
      </c>
      <c r="C397" t="s">
        <v>1047</v>
      </c>
    </row>
    <row r="398" spans="2:3" hidden="1" x14ac:dyDescent="0.25">
      <c r="B398" s="65">
        <v>37400</v>
      </c>
      <c r="C398" t="s">
        <v>568</v>
      </c>
    </row>
    <row r="399" spans="2:3" hidden="1" x14ac:dyDescent="0.25">
      <c r="B399" s="65">
        <v>37400</v>
      </c>
      <c r="C399" t="s">
        <v>17853</v>
      </c>
    </row>
    <row r="400" spans="2:3" hidden="1" x14ac:dyDescent="0.25">
      <c r="B400" s="65">
        <v>37400</v>
      </c>
      <c r="C400" t="s">
        <v>8669</v>
      </c>
    </row>
    <row r="401" spans="2:3" hidden="1" x14ac:dyDescent="0.25">
      <c r="B401" s="65">
        <v>37399</v>
      </c>
      <c r="C401" t="s">
        <v>7974</v>
      </c>
    </row>
    <row r="402" spans="2:3" hidden="1" x14ac:dyDescent="0.25">
      <c r="B402" s="65">
        <v>37399</v>
      </c>
      <c r="C402" t="s">
        <v>4834</v>
      </c>
    </row>
    <row r="403" spans="2:3" hidden="1" x14ac:dyDescent="0.25">
      <c r="B403" s="65">
        <v>37399</v>
      </c>
      <c r="C403" t="s">
        <v>310</v>
      </c>
    </row>
    <row r="404" spans="2:3" hidden="1" x14ac:dyDescent="0.25">
      <c r="B404" s="65">
        <v>37399</v>
      </c>
      <c r="C404" t="s">
        <v>17840</v>
      </c>
    </row>
    <row r="405" spans="2:3" hidden="1" x14ac:dyDescent="0.25">
      <c r="B405" s="65">
        <v>37399</v>
      </c>
      <c r="C405" t="s">
        <v>17846</v>
      </c>
    </row>
    <row r="406" spans="2:3" hidden="1" x14ac:dyDescent="0.25">
      <c r="B406" s="65">
        <v>37398</v>
      </c>
      <c r="C406" t="s">
        <v>17788</v>
      </c>
    </row>
    <row r="407" spans="2:3" hidden="1" x14ac:dyDescent="0.25">
      <c r="B407" s="65">
        <v>37398</v>
      </c>
      <c r="C407" t="s">
        <v>17800</v>
      </c>
    </row>
    <row r="408" spans="2:3" hidden="1" x14ac:dyDescent="0.25">
      <c r="B408" s="65">
        <v>37398</v>
      </c>
      <c r="C408" t="s">
        <v>17849</v>
      </c>
    </row>
    <row r="409" spans="2:3" hidden="1" x14ac:dyDescent="0.25">
      <c r="B409" s="65">
        <v>37398</v>
      </c>
      <c r="C409" t="s">
        <v>11981</v>
      </c>
    </row>
    <row r="410" spans="2:3" hidden="1" x14ac:dyDescent="0.25">
      <c r="B410" s="65">
        <v>37396</v>
      </c>
      <c r="C410" t="s">
        <v>3699</v>
      </c>
    </row>
    <row r="411" spans="2:3" hidden="1" x14ac:dyDescent="0.25">
      <c r="B411" s="65">
        <v>37396</v>
      </c>
      <c r="C411" t="s">
        <v>17819</v>
      </c>
    </row>
    <row r="412" spans="2:3" hidden="1" x14ac:dyDescent="0.25">
      <c r="B412" s="65">
        <v>37396</v>
      </c>
      <c r="C412" t="s">
        <v>6148</v>
      </c>
    </row>
    <row r="413" spans="2:3" hidden="1" x14ac:dyDescent="0.25">
      <c r="B413" s="65">
        <v>37395</v>
      </c>
      <c r="C413" t="s">
        <v>17796</v>
      </c>
    </row>
    <row r="414" spans="2:3" hidden="1" x14ac:dyDescent="0.25">
      <c r="B414" s="65">
        <v>37393</v>
      </c>
      <c r="C414" t="s">
        <v>17784</v>
      </c>
    </row>
    <row r="415" spans="2:3" hidden="1" x14ac:dyDescent="0.25">
      <c r="B415" s="65">
        <v>37393</v>
      </c>
      <c r="C415" t="s">
        <v>16394</v>
      </c>
    </row>
    <row r="416" spans="2:3" hidden="1" x14ac:dyDescent="0.25">
      <c r="B416" s="65">
        <v>37392</v>
      </c>
      <c r="C416" t="s">
        <v>849</v>
      </c>
    </row>
    <row r="417" spans="2:3" hidden="1" x14ac:dyDescent="0.25">
      <c r="B417" s="65">
        <v>37392</v>
      </c>
      <c r="C417" t="s">
        <v>2542</v>
      </c>
    </row>
    <row r="418" spans="2:3" hidden="1" x14ac:dyDescent="0.25">
      <c r="B418" s="65">
        <v>37391</v>
      </c>
      <c r="C418" t="s">
        <v>1328</v>
      </c>
    </row>
    <row r="419" spans="2:3" hidden="1" x14ac:dyDescent="0.25">
      <c r="B419" s="65">
        <v>37391</v>
      </c>
      <c r="C419" t="s">
        <v>17828</v>
      </c>
    </row>
    <row r="420" spans="2:3" hidden="1" x14ac:dyDescent="0.25">
      <c r="B420" s="65">
        <v>37390</v>
      </c>
      <c r="C420" t="s">
        <v>17792</v>
      </c>
    </row>
    <row r="421" spans="2:3" hidden="1" x14ac:dyDescent="0.25">
      <c r="B421" s="65">
        <v>37390</v>
      </c>
      <c r="C421" t="s">
        <v>17815</v>
      </c>
    </row>
    <row r="422" spans="2:3" hidden="1" x14ac:dyDescent="0.25">
      <c r="B422" s="65">
        <v>37390</v>
      </c>
      <c r="C422" t="s">
        <v>2286</v>
      </c>
    </row>
    <row r="423" spans="2:3" hidden="1" x14ac:dyDescent="0.25">
      <c r="B423" s="65">
        <v>37390</v>
      </c>
      <c r="C423" t="s">
        <v>1733</v>
      </c>
    </row>
    <row r="424" spans="2:3" hidden="1" x14ac:dyDescent="0.25">
      <c r="B424" s="65">
        <v>37390</v>
      </c>
      <c r="C424" t="s">
        <v>16269</v>
      </c>
    </row>
    <row r="425" spans="2:3" hidden="1" x14ac:dyDescent="0.25">
      <c r="B425" s="65">
        <v>37389</v>
      </c>
      <c r="C425" t="s">
        <v>17809</v>
      </c>
    </row>
    <row r="426" spans="2:3" hidden="1" x14ac:dyDescent="0.25">
      <c r="B426" s="65">
        <v>37388</v>
      </c>
      <c r="C426" t="s">
        <v>2795</v>
      </c>
    </row>
    <row r="427" spans="2:3" hidden="1" x14ac:dyDescent="0.25">
      <c r="B427" s="65">
        <v>37387</v>
      </c>
      <c r="C427" t="s">
        <v>670</v>
      </c>
    </row>
    <row r="428" spans="2:3" hidden="1" x14ac:dyDescent="0.25">
      <c r="B428" s="65">
        <v>37387</v>
      </c>
      <c r="C428" t="s">
        <v>5802</v>
      </c>
    </row>
    <row r="429" spans="2:3" hidden="1" x14ac:dyDescent="0.25">
      <c r="B429" s="65">
        <v>37386</v>
      </c>
      <c r="C429" t="s">
        <v>17762</v>
      </c>
    </row>
    <row r="430" spans="2:3" hidden="1" x14ac:dyDescent="0.25">
      <c r="B430" s="65">
        <v>37386</v>
      </c>
      <c r="C430" t="s">
        <v>1103</v>
      </c>
    </row>
    <row r="431" spans="2:3" hidden="1" x14ac:dyDescent="0.25">
      <c r="B431" s="65">
        <v>37386</v>
      </c>
      <c r="C431" t="s">
        <v>10388</v>
      </c>
    </row>
    <row r="432" spans="2:3" hidden="1" x14ac:dyDescent="0.25">
      <c r="B432" s="65">
        <v>37386</v>
      </c>
      <c r="C432" t="s">
        <v>17857</v>
      </c>
    </row>
    <row r="433" spans="2:3" hidden="1" x14ac:dyDescent="0.25">
      <c r="B433" s="65">
        <v>37385</v>
      </c>
      <c r="C433" t="s">
        <v>17751</v>
      </c>
    </row>
    <row r="434" spans="2:3" hidden="1" x14ac:dyDescent="0.25">
      <c r="B434" s="65">
        <v>37385</v>
      </c>
      <c r="C434" t="s">
        <v>17757</v>
      </c>
    </row>
    <row r="435" spans="2:3" hidden="1" x14ac:dyDescent="0.25">
      <c r="B435" s="65">
        <v>37384</v>
      </c>
      <c r="C435" t="s">
        <v>911</v>
      </c>
    </row>
    <row r="436" spans="2:3" hidden="1" x14ac:dyDescent="0.25">
      <c r="B436" s="65">
        <v>37384</v>
      </c>
      <c r="C436" t="s">
        <v>16642</v>
      </c>
    </row>
    <row r="437" spans="2:3" hidden="1" x14ac:dyDescent="0.25">
      <c r="B437" s="65">
        <v>37384</v>
      </c>
      <c r="C437" t="s">
        <v>17747</v>
      </c>
    </row>
    <row r="438" spans="2:3" hidden="1" x14ac:dyDescent="0.25">
      <c r="B438" s="65">
        <v>37383</v>
      </c>
      <c r="C438" t="s">
        <v>17676</v>
      </c>
    </row>
    <row r="439" spans="2:3" hidden="1" x14ac:dyDescent="0.25">
      <c r="B439" s="65">
        <v>37382</v>
      </c>
      <c r="C439" t="s">
        <v>786</v>
      </c>
    </row>
    <row r="440" spans="2:3" hidden="1" x14ac:dyDescent="0.25">
      <c r="B440" s="65">
        <v>37382</v>
      </c>
      <c r="C440" t="s">
        <v>1274</v>
      </c>
    </row>
    <row r="441" spans="2:3" hidden="1" x14ac:dyDescent="0.25">
      <c r="B441" s="65">
        <v>37382</v>
      </c>
      <c r="C441" t="s">
        <v>17722</v>
      </c>
    </row>
    <row r="442" spans="2:3" hidden="1" x14ac:dyDescent="0.25">
      <c r="B442" s="65">
        <v>37382</v>
      </c>
      <c r="C442" t="s">
        <v>517</v>
      </c>
    </row>
    <row r="443" spans="2:3" hidden="1" x14ac:dyDescent="0.25">
      <c r="B443" s="65">
        <v>37382</v>
      </c>
      <c r="C443" t="s">
        <v>15929</v>
      </c>
    </row>
    <row r="444" spans="2:3" hidden="1" x14ac:dyDescent="0.25">
      <c r="B444" s="65">
        <v>37381</v>
      </c>
      <c r="C444" t="s">
        <v>4506</v>
      </c>
    </row>
    <row r="445" spans="2:3" hidden="1" x14ac:dyDescent="0.25">
      <c r="B445" s="65">
        <v>37381</v>
      </c>
      <c r="C445" t="s">
        <v>7691</v>
      </c>
    </row>
    <row r="446" spans="2:3" hidden="1" x14ac:dyDescent="0.25">
      <c r="B446" s="65">
        <v>37381</v>
      </c>
      <c r="C446" t="s">
        <v>2511</v>
      </c>
    </row>
    <row r="447" spans="2:3" hidden="1" x14ac:dyDescent="0.25">
      <c r="B447" s="65">
        <v>37381</v>
      </c>
      <c r="C447" t="s">
        <v>17679</v>
      </c>
    </row>
    <row r="448" spans="2:3" hidden="1" x14ac:dyDescent="0.25">
      <c r="B448" s="65">
        <v>37381</v>
      </c>
      <c r="C448" t="s">
        <v>17717</v>
      </c>
    </row>
    <row r="449" spans="2:3" hidden="1" x14ac:dyDescent="0.25">
      <c r="B449" s="65">
        <v>37380</v>
      </c>
      <c r="C449" t="s">
        <v>6038</v>
      </c>
    </row>
    <row r="450" spans="2:3" hidden="1" x14ac:dyDescent="0.25">
      <c r="B450" s="65">
        <v>37380</v>
      </c>
      <c r="C450" t="s">
        <v>17710</v>
      </c>
    </row>
    <row r="451" spans="2:3" hidden="1" x14ac:dyDescent="0.25">
      <c r="B451" s="65">
        <v>37379</v>
      </c>
      <c r="C451" t="s">
        <v>1976</v>
      </c>
    </row>
    <row r="452" spans="2:3" hidden="1" x14ac:dyDescent="0.25">
      <c r="B452" s="65">
        <v>37379</v>
      </c>
      <c r="C452" t="s">
        <v>8837</v>
      </c>
    </row>
    <row r="453" spans="2:3" hidden="1" x14ac:dyDescent="0.25">
      <c r="B453" s="65">
        <v>37379</v>
      </c>
      <c r="C453" t="s">
        <v>17673</v>
      </c>
    </row>
    <row r="454" spans="2:3" hidden="1" x14ac:dyDescent="0.25">
      <c r="B454" s="65">
        <v>37379</v>
      </c>
      <c r="C454" t="s">
        <v>17686</v>
      </c>
    </row>
    <row r="455" spans="2:3" hidden="1" x14ac:dyDescent="0.25">
      <c r="B455" s="65">
        <v>37379</v>
      </c>
      <c r="C455" t="s">
        <v>17707</v>
      </c>
    </row>
    <row r="456" spans="2:3" hidden="1" x14ac:dyDescent="0.25">
      <c r="B456" s="65">
        <v>37378</v>
      </c>
      <c r="C456" t="s">
        <v>17660</v>
      </c>
    </row>
    <row r="457" spans="2:3" hidden="1" x14ac:dyDescent="0.25">
      <c r="B457" s="65">
        <v>37377</v>
      </c>
      <c r="C457" t="s">
        <v>9919</v>
      </c>
    </row>
    <row r="458" spans="2:3" hidden="1" x14ac:dyDescent="0.25">
      <c r="B458" s="65">
        <v>37377</v>
      </c>
      <c r="C458" t="s">
        <v>10092</v>
      </c>
    </row>
    <row r="459" spans="2:3" hidden="1" x14ac:dyDescent="0.25">
      <c r="B459" s="65">
        <v>37377</v>
      </c>
      <c r="C459" t="s">
        <v>17676</v>
      </c>
    </row>
    <row r="460" spans="2:3" hidden="1" x14ac:dyDescent="0.25">
      <c r="B460" s="65">
        <v>37377</v>
      </c>
      <c r="C460" t="s">
        <v>5615</v>
      </c>
    </row>
    <row r="461" spans="2:3" hidden="1" x14ac:dyDescent="0.25">
      <c r="B461" s="65">
        <v>37377</v>
      </c>
      <c r="C461" t="s">
        <v>17692</v>
      </c>
    </row>
    <row r="462" spans="2:3" hidden="1" x14ac:dyDescent="0.25">
      <c r="B462" s="65">
        <v>37377</v>
      </c>
      <c r="C462" t="s">
        <v>10085</v>
      </c>
    </row>
    <row r="463" spans="2:3" hidden="1" x14ac:dyDescent="0.25">
      <c r="B463" s="65">
        <v>37377</v>
      </c>
      <c r="C463" t="s">
        <v>2286</v>
      </c>
    </row>
    <row r="464" spans="2:3" hidden="1" x14ac:dyDescent="0.25">
      <c r="B464" s="65">
        <v>37377</v>
      </c>
      <c r="C464" t="s">
        <v>17704</v>
      </c>
    </row>
    <row r="465" spans="2:3" hidden="1" x14ac:dyDescent="0.25">
      <c r="B465" s="65">
        <v>37377</v>
      </c>
      <c r="C465" t="s">
        <v>12726</v>
      </c>
    </row>
    <row r="466" spans="2:3" hidden="1" x14ac:dyDescent="0.25">
      <c r="B466" s="65">
        <v>37376</v>
      </c>
      <c r="C466" t="s">
        <v>17650</v>
      </c>
    </row>
    <row r="467" spans="2:3" hidden="1" x14ac:dyDescent="0.25">
      <c r="B467" s="65">
        <v>37376</v>
      </c>
      <c r="C467" t="s">
        <v>17654</v>
      </c>
    </row>
    <row r="468" spans="2:3" hidden="1" x14ac:dyDescent="0.25">
      <c r="B468" s="65">
        <v>37376</v>
      </c>
      <c r="C468" t="s">
        <v>7298</v>
      </c>
    </row>
    <row r="469" spans="2:3" hidden="1" x14ac:dyDescent="0.25">
      <c r="B469" s="65">
        <v>37376</v>
      </c>
      <c r="C469" t="s">
        <v>3065</v>
      </c>
    </row>
    <row r="470" spans="2:3" hidden="1" x14ac:dyDescent="0.25">
      <c r="B470" s="65">
        <v>37375</v>
      </c>
      <c r="C470" t="s">
        <v>960</v>
      </c>
    </row>
    <row r="471" spans="2:3" hidden="1" x14ac:dyDescent="0.25">
      <c r="B471" s="65">
        <v>37375</v>
      </c>
      <c r="C471" t="s">
        <v>17640</v>
      </c>
    </row>
    <row r="472" spans="2:3" hidden="1" x14ac:dyDescent="0.25">
      <c r="B472" s="65">
        <v>37375</v>
      </c>
      <c r="C472" t="s">
        <v>17700</v>
      </c>
    </row>
    <row r="473" spans="2:3" hidden="1" x14ac:dyDescent="0.25">
      <c r="B473" s="65">
        <v>37374</v>
      </c>
      <c r="C473" t="s">
        <v>17619</v>
      </c>
    </row>
    <row r="474" spans="2:3" hidden="1" x14ac:dyDescent="0.25">
      <c r="B474" s="65">
        <v>37374</v>
      </c>
      <c r="C474" t="s">
        <v>17624</v>
      </c>
    </row>
    <row r="475" spans="2:3" hidden="1" x14ac:dyDescent="0.25">
      <c r="B475" s="65">
        <v>37373</v>
      </c>
      <c r="C475" t="s">
        <v>258</v>
      </c>
    </row>
    <row r="476" spans="2:3" hidden="1" x14ac:dyDescent="0.25">
      <c r="B476" s="65">
        <v>37373</v>
      </c>
      <c r="C476" t="s">
        <v>485</v>
      </c>
    </row>
    <row r="477" spans="2:3" hidden="1" x14ac:dyDescent="0.25">
      <c r="B477" s="65">
        <v>37373</v>
      </c>
      <c r="C477" t="s">
        <v>561</v>
      </c>
    </row>
    <row r="478" spans="2:3" hidden="1" x14ac:dyDescent="0.25">
      <c r="B478" s="65">
        <v>37373</v>
      </c>
      <c r="C478" t="s">
        <v>17610</v>
      </c>
    </row>
    <row r="479" spans="2:3" hidden="1" x14ac:dyDescent="0.25">
      <c r="B479" s="65">
        <v>37373</v>
      </c>
      <c r="C479" t="s">
        <v>17616</v>
      </c>
    </row>
    <row r="480" spans="2:3" hidden="1" x14ac:dyDescent="0.25">
      <c r="B480" s="65">
        <v>37372</v>
      </c>
      <c r="C480" t="s">
        <v>17604</v>
      </c>
    </row>
    <row r="481" spans="2:3" hidden="1" x14ac:dyDescent="0.25">
      <c r="B481" s="65">
        <v>37371</v>
      </c>
      <c r="C481" t="s">
        <v>17587</v>
      </c>
    </row>
    <row r="482" spans="2:3" hidden="1" x14ac:dyDescent="0.25">
      <c r="B482" s="65">
        <v>37371</v>
      </c>
      <c r="C482" t="s">
        <v>17593</v>
      </c>
    </row>
    <row r="483" spans="2:3" hidden="1" x14ac:dyDescent="0.25">
      <c r="B483" s="65">
        <v>37371</v>
      </c>
      <c r="C483" t="s">
        <v>17596</v>
      </c>
    </row>
    <row r="484" spans="2:3" hidden="1" x14ac:dyDescent="0.25">
      <c r="B484" s="65">
        <v>37371</v>
      </c>
      <c r="C484" t="s">
        <v>3040</v>
      </c>
    </row>
    <row r="485" spans="2:3" hidden="1" x14ac:dyDescent="0.25">
      <c r="B485" s="65">
        <v>37370</v>
      </c>
      <c r="C485" t="s">
        <v>17553</v>
      </c>
    </row>
    <row r="486" spans="2:3" hidden="1" x14ac:dyDescent="0.25">
      <c r="B486" s="65">
        <v>37370</v>
      </c>
      <c r="C486" t="s">
        <v>4701</v>
      </c>
    </row>
    <row r="487" spans="2:3" hidden="1" x14ac:dyDescent="0.25">
      <c r="B487" s="65">
        <v>37370</v>
      </c>
      <c r="C487" t="s">
        <v>17562</v>
      </c>
    </row>
    <row r="488" spans="2:3" hidden="1" x14ac:dyDescent="0.25">
      <c r="B488" s="65">
        <v>37370</v>
      </c>
      <c r="C488" t="s">
        <v>5659</v>
      </c>
    </row>
    <row r="489" spans="2:3" hidden="1" x14ac:dyDescent="0.25">
      <c r="B489" s="65">
        <v>37370</v>
      </c>
      <c r="C489" t="s">
        <v>1759</v>
      </c>
    </row>
    <row r="490" spans="2:3" hidden="1" x14ac:dyDescent="0.25">
      <c r="B490" s="65">
        <v>37370</v>
      </c>
      <c r="C490" t="s">
        <v>9288</v>
      </c>
    </row>
    <row r="491" spans="2:3" hidden="1" x14ac:dyDescent="0.25">
      <c r="B491" s="65">
        <v>37369</v>
      </c>
      <c r="C491" t="s">
        <v>17550</v>
      </c>
    </row>
    <row r="492" spans="2:3" hidden="1" x14ac:dyDescent="0.25">
      <c r="B492" s="65">
        <v>37369</v>
      </c>
      <c r="C492" t="s">
        <v>6230</v>
      </c>
    </row>
    <row r="493" spans="2:3" hidden="1" x14ac:dyDescent="0.25">
      <c r="B493" s="65">
        <v>37369</v>
      </c>
      <c r="C493" t="s">
        <v>1370</v>
      </c>
    </row>
    <row r="494" spans="2:3" hidden="1" x14ac:dyDescent="0.25">
      <c r="B494" s="65">
        <v>37369</v>
      </c>
      <c r="C494" t="s">
        <v>17572</v>
      </c>
    </row>
    <row r="495" spans="2:3" hidden="1" x14ac:dyDescent="0.25">
      <c r="B495" s="65">
        <v>37369</v>
      </c>
      <c r="C495" t="s">
        <v>12689</v>
      </c>
    </row>
    <row r="496" spans="2:3" hidden="1" x14ac:dyDescent="0.25">
      <c r="B496" s="65">
        <v>37368</v>
      </c>
      <c r="C496" t="s">
        <v>17528</v>
      </c>
    </row>
    <row r="497" spans="2:3" hidden="1" x14ac:dyDescent="0.25">
      <c r="B497" s="65">
        <v>37368</v>
      </c>
      <c r="C497" t="s">
        <v>17534</v>
      </c>
    </row>
    <row r="498" spans="2:3" hidden="1" x14ac:dyDescent="0.25">
      <c r="B498" s="65">
        <v>37368</v>
      </c>
      <c r="C498" t="s">
        <v>17539</v>
      </c>
    </row>
    <row r="499" spans="2:3" hidden="1" x14ac:dyDescent="0.25">
      <c r="B499" s="65">
        <v>37368</v>
      </c>
      <c r="C499" t="s">
        <v>2612</v>
      </c>
    </row>
    <row r="500" spans="2:3" hidden="1" x14ac:dyDescent="0.25">
      <c r="B500" s="65">
        <v>37368</v>
      </c>
      <c r="C500" t="s">
        <v>2542</v>
      </c>
    </row>
    <row r="501" spans="2:3" hidden="1" x14ac:dyDescent="0.25">
      <c r="B501" s="65">
        <v>37367</v>
      </c>
      <c r="C501" t="s">
        <v>994</v>
      </c>
    </row>
    <row r="502" spans="2:3" hidden="1" x14ac:dyDescent="0.25">
      <c r="B502" s="65">
        <v>37366</v>
      </c>
      <c r="C502" t="s">
        <v>17513</v>
      </c>
    </row>
    <row r="503" spans="2:3" hidden="1" x14ac:dyDescent="0.25">
      <c r="B503" s="65">
        <v>37366</v>
      </c>
      <c r="C503" t="s">
        <v>17519</v>
      </c>
    </row>
    <row r="504" spans="2:3" hidden="1" x14ac:dyDescent="0.25">
      <c r="B504" s="65">
        <v>37365</v>
      </c>
      <c r="C504" t="s">
        <v>17523</v>
      </c>
    </row>
    <row r="505" spans="2:3" hidden="1" x14ac:dyDescent="0.25">
      <c r="B505" s="65">
        <v>37365</v>
      </c>
      <c r="C505" t="s">
        <v>184</v>
      </c>
    </row>
    <row r="506" spans="2:3" hidden="1" x14ac:dyDescent="0.25">
      <c r="B506" s="65">
        <v>37364</v>
      </c>
      <c r="C506" t="s">
        <v>547</v>
      </c>
    </row>
    <row r="507" spans="2:3" hidden="1" x14ac:dyDescent="0.25">
      <c r="B507" s="65">
        <v>37364</v>
      </c>
      <c r="C507" t="s">
        <v>1340</v>
      </c>
    </row>
    <row r="508" spans="2:3" hidden="1" x14ac:dyDescent="0.25">
      <c r="B508" s="65">
        <v>37363</v>
      </c>
      <c r="C508" t="s">
        <v>8250</v>
      </c>
    </row>
    <row r="509" spans="2:3" hidden="1" x14ac:dyDescent="0.25">
      <c r="B509" s="65">
        <v>37363</v>
      </c>
      <c r="C509" t="s">
        <v>17496</v>
      </c>
    </row>
    <row r="510" spans="2:3" hidden="1" x14ac:dyDescent="0.25">
      <c r="B510" s="65">
        <v>37363</v>
      </c>
      <c r="C510" t="s">
        <v>8837</v>
      </c>
    </row>
    <row r="511" spans="2:3" hidden="1" x14ac:dyDescent="0.25">
      <c r="B511" s="65">
        <v>37363</v>
      </c>
      <c r="C511" t="s">
        <v>17502</v>
      </c>
    </row>
    <row r="512" spans="2:3" hidden="1" x14ac:dyDescent="0.25">
      <c r="B512" s="65">
        <v>37363</v>
      </c>
      <c r="C512" t="s">
        <v>3320</v>
      </c>
    </row>
    <row r="513" spans="2:3" hidden="1" x14ac:dyDescent="0.25">
      <c r="B513" s="65">
        <v>37363</v>
      </c>
      <c r="C513" t="s">
        <v>17509</v>
      </c>
    </row>
    <row r="514" spans="2:3" hidden="1" x14ac:dyDescent="0.25">
      <c r="B514" s="65">
        <v>37362</v>
      </c>
      <c r="C514" t="s">
        <v>17469</v>
      </c>
    </row>
    <row r="515" spans="2:3" hidden="1" x14ac:dyDescent="0.25">
      <c r="B515" s="65">
        <v>37362</v>
      </c>
      <c r="C515" t="s">
        <v>17473</v>
      </c>
    </row>
    <row r="516" spans="2:3" hidden="1" x14ac:dyDescent="0.25">
      <c r="B516" s="65">
        <v>37362</v>
      </c>
      <c r="C516" t="s">
        <v>13595</v>
      </c>
    </row>
    <row r="517" spans="2:3" hidden="1" x14ac:dyDescent="0.25">
      <c r="B517" s="65">
        <v>37362</v>
      </c>
      <c r="C517" t="s">
        <v>17480</v>
      </c>
    </row>
    <row r="518" spans="2:3" hidden="1" x14ac:dyDescent="0.25">
      <c r="B518" s="65">
        <v>37362</v>
      </c>
      <c r="C518" t="s">
        <v>8353</v>
      </c>
    </row>
    <row r="519" spans="2:3" hidden="1" x14ac:dyDescent="0.25">
      <c r="B519" s="65">
        <v>37362</v>
      </c>
      <c r="C519" t="s">
        <v>1251</v>
      </c>
    </row>
    <row r="520" spans="2:3" hidden="1" x14ac:dyDescent="0.25">
      <c r="B520" s="65">
        <v>37361</v>
      </c>
      <c r="C520" t="s">
        <v>874</v>
      </c>
    </row>
    <row r="521" spans="2:3" hidden="1" x14ac:dyDescent="0.25">
      <c r="B521" s="65">
        <v>37361</v>
      </c>
      <c r="C521" t="s">
        <v>17446</v>
      </c>
    </row>
    <row r="522" spans="2:3" hidden="1" x14ac:dyDescent="0.25">
      <c r="B522" s="65">
        <v>37361</v>
      </c>
      <c r="C522" t="s">
        <v>3088</v>
      </c>
    </row>
    <row r="523" spans="2:3" hidden="1" x14ac:dyDescent="0.25">
      <c r="B523" s="65">
        <v>37361</v>
      </c>
      <c r="C523" t="s">
        <v>17455</v>
      </c>
    </row>
    <row r="524" spans="2:3" hidden="1" x14ac:dyDescent="0.25">
      <c r="B524" s="65">
        <v>37361</v>
      </c>
      <c r="C524" t="s">
        <v>17463</v>
      </c>
    </row>
    <row r="525" spans="2:3" hidden="1" x14ac:dyDescent="0.25">
      <c r="B525" s="65">
        <v>37360</v>
      </c>
      <c r="C525" t="s">
        <v>5593</v>
      </c>
    </row>
    <row r="526" spans="2:3" hidden="1" x14ac:dyDescent="0.25">
      <c r="B526" s="65">
        <v>37359</v>
      </c>
      <c r="C526" t="s">
        <v>17433</v>
      </c>
    </row>
    <row r="527" spans="2:3" hidden="1" x14ac:dyDescent="0.25">
      <c r="B527" s="65">
        <v>37359</v>
      </c>
      <c r="C527" t="s">
        <v>17450</v>
      </c>
    </row>
    <row r="528" spans="2:3" hidden="1" x14ac:dyDescent="0.25">
      <c r="B528" s="65">
        <v>37358</v>
      </c>
      <c r="C528" t="s">
        <v>14634</v>
      </c>
    </row>
    <row r="529" spans="2:3" hidden="1" x14ac:dyDescent="0.25">
      <c r="B529" s="65">
        <v>37356</v>
      </c>
      <c r="C529" t="s">
        <v>17410</v>
      </c>
    </row>
    <row r="530" spans="2:3" hidden="1" x14ac:dyDescent="0.25">
      <c r="B530" s="65">
        <v>37356</v>
      </c>
      <c r="C530" t="s">
        <v>5297</v>
      </c>
    </row>
    <row r="531" spans="2:3" hidden="1" x14ac:dyDescent="0.25">
      <c r="B531" s="65">
        <v>37356</v>
      </c>
      <c r="C531" t="s">
        <v>17417</v>
      </c>
    </row>
    <row r="532" spans="2:3" hidden="1" x14ac:dyDescent="0.25">
      <c r="B532" s="65">
        <v>37356</v>
      </c>
      <c r="C532" t="s">
        <v>17420</v>
      </c>
    </row>
    <row r="533" spans="2:3" hidden="1" x14ac:dyDescent="0.25">
      <c r="B533" s="65">
        <v>37356</v>
      </c>
      <c r="C533" t="s">
        <v>6327</v>
      </c>
    </row>
    <row r="534" spans="2:3" hidden="1" x14ac:dyDescent="0.25">
      <c r="B534" s="65">
        <v>37355</v>
      </c>
      <c r="C534" t="s">
        <v>6569</v>
      </c>
    </row>
    <row r="535" spans="2:3" hidden="1" x14ac:dyDescent="0.25">
      <c r="B535" s="65">
        <v>37355</v>
      </c>
      <c r="C535" t="s">
        <v>17403</v>
      </c>
    </row>
    <row r="536" spans="2:3" hidden="1" x14ac:dyDescent="0.25">
      <c r="B536" s="65">
        <v>37354</v>
      </c>
      <c r="C536" t="s">
        <v>8635</v>
      </c>
    </row>
    <row r="537" spans="2:3" hidden="1" x14ac:dyDescent="0.25">
      <c r="B537" s="65">
        <v>37354</v>
      </c>
      <c r="C537" t="s">
        <v>12424</v>
      </c>
    </row>
    <row r="538" spans="2:3" hidden="1" x14ac:dyDescent="0.25">
      <c r="B538" s="65">
        <v>37354</v>
      </c>
      <c r="C538" t="s">
        <v>17227</v>
      </c>
    </row>
    <row r="539" spans="2:3" hidden="1" x14ac:dyDescent="0.25">
      <c r="B539" s="65">
        <v>37354</v>
      </c>
      <c r="C539" t="s">
        <v>1251</v>
      </c>
    </row>
    <row r="540" spans="2:3" hidden="1" x14ac:dyDescent="0.25">
      <c r="B540" s="65">
        <v>37354</v>
      </c>
      <c r="C540" t="s">
        <v>11873</v>
      </c>
    </row>
    <row r="541" spans="2:3" hidden="1" x14ac:dyDescent="0.25">
      <c r="B541" s="65">
        <v>37354</v>
      </c>
      <c r="C541" t="s">
        <v>17374</v>
      </c>
    </row>
    <row r="542" spans="2:3" hidden="1" x14ac:dyDescent="0.25">
      <c r="B542" s="65">
        <v>37354</v>
      </c>
      <c r="C542" t="s">
        <v>17389</v>
      </c>
    </row>
    <row r="543" spans="2:3" hidden="1" x14ac:dyDescent="0.25">
      <c r="B543" s="65">
        <v>37354</v>
      </c>
      <c r="C543" t="s">
        <v>17396</v>
      </c>
    </row>
    <row r="544" spans="2:3" hidden="1" x14ac:dyDescent="0.25">
      <c r="B544" s="65">
        <v>37353</v>
      </c>
      <c r="C544" t="s">
        <v>11508</v>
      </c>
    </row>
    <row r="545" spans="2:3" hidden="1" x14ac:dyDescent="0.25">
      <c r="B545" s="65">
        <v>37353</v>
      </c>
      <c r="C545" t="s">
        <v>17234</v>
      </c>
    </row>
    <row r="546" spans="2:3" hidden="1" x14ac:dyDescent="0.25">
      <c r="B546" s="65">
        <v>37353</v>
      </c>
      <c r="C546" t="s">
        <v>17246</v>
      </c>
    </row>
    <row r="547" spans="2:3" hidden="1" x14ac:dyDescent="0.25">
      <c r="B547" s="65">
        <v>37353</v>
      </c>
      <c r="C547" t="s">
        <v>2606</v>
      </c>
    </row>
    <row r="548" spans="2:3" hidden="1" x14ac:dyDescent="0.25">
      <c r="B548" s="65">
        <v>37352</v>
      </c>
      <c r="C548" t="s">
        <v>12093</v>
      </c>
    </row>
    <row r="549" spans="2:3" hidden="1" x14ac:dyDescent="0.25">
      <c r="B549" s="65">
        <v>37352</v>
      </c>
      <c r="C549" t="s">
        <v>17356</v>
      </c>
    </row>
    <row r="550" spans="2:3" hidden="1" x14ac:dyDescent="0.25">
      <c r="B550" s="65">
        <v>37351</v>
      </c>
      <c r="C550" t="s">
        <v>13199</v>
      </c>
    </row>
    <row r="551" spans="2:3" hidden="1" x14ac:dyDescent="0.25">
      <c r="B551" s="65">
        <v>37351</v>
      </c>
      <c r="C551" t="s">
        <v>2795</v>
      </c>
    </row>
    <row r="552" spans="2:3" hidden="1" x14ac:dyDescent="0.25">
      <c r="B552" s="65">
        <v>37351</v>
      </c>
      <c r="C552" t="s">
        <v>17329</v>
      </c>
    </row>
    <row r="553" spans="2:3" hidden="1" x14ac:dyDescent="0.25">
      <c r="B553" s="65">
        <v>37351</v>
      </c>
      <c r="C553" t="s">
        <v>17367</v>
      </c>
    </row>
    <row r="554" spans="2:3" hidden="1" x14ac:dyDescent="0.25">
      <c r="B554" s="65">
        <v>37350</v>
      </c>
      <c r="C554" t="s">
        <v>7883</v>
      </c>
    </row>
    <row r="555" spans="2:3" hidden="1" x14ac:dyDescent="0.25">
      <c r="B555" s="65">
        <v>37350</v>
      </c>
      <c r="C555" t="s">
        <v>17177</v>
      </c>
    </row>
    <row r="556" spans="2:3" hidden="1" x14ac:dyDescent="0.25">
      <c r="B556" s="65">
        <v>37350</v>
      </c>
      <c r="C556" t="s">
        <v>112</v>
      </c>
    </row>
    <row r="557" spans="2:3" hidden="1" x14ac:dyDescent="0.25">
      <c r="B557" s="65">
        <v>37350</v>
      </c>
      <c r="C557" t="s">
        <v>3239</v>
      </c>
    </row>
    <row r="558" spans="2:3" hidden="1" x14ac:dyDescent="0.25">
      <c r="B558" s="65">
        <v>37349</v>
      </c>
      <c r="C558" t="s">
        <v>17223</v>
      </c>
    </row>
    <row r="559" spans="2:3" hidden="1" x14ac:dyDescent="0.25">
      <c r="B559" s="65">
        <v>37349</v>
      </c>
      <c r="C559" t="s">
        <v>988</v>
      </c>
    </row>
    <row r="560" spans="2:3" hidden="1" x14ac:dyDescent="0.25">
      <c r="B560" s="65">
        <v>37349</v>
      </c>
      <c r="C560" t="s">
        <v>17305</v>
      </c>
    </row>
    <row r="561" spans="2:3" hidden="1" x14ac:dyDescent="0.25">
      <c r="B561" s="65">
        <v>37349</v>
      </c>
      <c r="C561" t="s">
        <v>17339</v>
      </c>
    </row>
    <row r="562" spans="2:3" hidden="1" x14ac:dyDescent="0.25">
      <c r="B562" s="65">
        <v>37349</v>
      </c>
      <c r="C562" t="s">
        <v>5981</v>
      </c>
    </row>
    <row r="563" spans="2:3" hidden="1" x14ac:dyDescent="0.25">
      <c r="B563" s="65">
        <v>37349</v>
      </c>
      <c r="C563" t="s">
        <v>17385</v>
      </c>
    </row>
    <row r="564" spans="2:3" hidden="1" x14ac:dyDescent="0.25">
      <c r="B564" s="65">
        <v>37348</v>
      </c>
      <c r="C564" t="s">
        <v>1370</v>
      </c>
    </row>
    <row r="565" spans="2:3" hidden="1" x14ac:dyDescent="0.25">
      <c r="B565" s="65">
        <v>37348</v>
      </c>
      <c r="C565" t="s">
        <v>11558</v>
      </c>
    </row>
    <row r="566" spans="2:3" hidden="1" x14ac:dyDescent="0.25">
      <c r="B566" s="65">
        <v>37347</v>
      </c>
      <c r="C566" t="s">
        <v>7437</v>
      </c>
    </row>
    <row r="567" spans="2:3" hidden="1" x14ac:dyDescent="0.25">
      <c r="B567" s="65">
        <v>37347</v>
      </c>
      <c r="C567" t="s">
        <v>1831</v>
      </c>
    </row>
    <row r="568" spans="2:3" hidden="1" x14ac:dyDescent="0.25">
      <c r="B568" s="65">
        <v>37347</v>
      </c>
      <c r="C568" t="s">
        <v>3012</v>
      </c>
    </row>
    <row r="569" spans="2:3" hidden="1" x14ac:dyDescent="0.25">
      <c r="B569" s="65">
        <v>37347</v>
      </c>
      <c r="C569" t="s">
        <v>11805</v>
      </c>
    </row>
    <row r="570" spans="2:3" hidden="1" x14ac:dyDescent="0.25">
      <c r="B570" s="65">
        <v>37346</v>
      </c>
      <c r="C570" t="s">
        <v>6707</v>
      </c>
    </row>
    <row r="571" spans="2:3" hidden="1" x14ac:dyDescent="0.25">
      <c r="B571" s="65">
        <v>37344</v>
      </c>
      <c r="C571" t="s">
        <v>8300</v>
      </c>
    </row>
    <row r="572" spans="2:3" hidden="1" x14ac:dyDescent="0.25">
      <c r="B572" s="65">
        <v>37344</v>
      </c>
      <c r="C572" t="s">
        <v>17302</v>
      </c>
    </row>
    <row r="573" spans="2:3" hidden="1" x14ac:dyDescent="0.25">
      <c r="B573" s="65">
        <v>37344</v>
      </c>
      <c r="C573" t="s">
        <v>2795</v>
      </c>
    </row>
    <row r="574" spans="2:3" hidden="1" x14ac:dyDescent="0.25">
      <c r="B574" s="65">
        <v>37343</v>
      </c>
      <c r="C574" t="s">
        <v>17173</v>
      </c>
    </row>
    <row r="575" spans="2:3" hidden="1" x14ac:dyDescent="0.25">
      <c r="B575" s="65">
        <v>37343</v>
      </c>
      <c r="C575" t="s">
        <v>9573</v>
      </c>
    </row>
    <row r="576" spans="2:3" hidden="1" x14ac:dyDescent="0.25">
      <c r="B576" s="65">
        <v>37343</v>
      </c>
      <c r="C576" t="s">
        <v>16228</v>
      </c>
    </row>
    <row r="577" spans="2:3" hidden="1" x14ac:dyDescent="0.25">
      <c r="B577" s="65">
        <v>37343</v>
      </c>
      <c r="C577" t="s">
        <v>17323</v>
      </c>
    </row>
    <row r="578" spans="2:3" hidden="1" x14ac:dyDescent="0.25">
      <c r="B578" s="65">
        <v>37343</v>
      </c>
      <c r="C578" t="s">
        <v>17382</v>
      </c>
    </row>
    <row r="579" spans="2:3" hidden="1" x14ac:dyDescent="0.25">
      <c r="B579" s="65">
        <v>37342</v>
      </c>
      <c r="C579" t="s">
        <v>16394</v>
      </c>
    </row>
    <row r="580" spans="2:3" hidden="1" x14ac:dyDescent="0.25">
      <c r="B580" s="65">
        <v>37342</v>
      </c>
      <c r="C580" t="s">
        <v>960</v>
      </c>
    </row>
    <row r="581" spans="2:3" hidden="1" x14ac:dyDescent="0.25">
      <c r="B581" s="65">
        <v>37342</v>
      </c>
      <c r="C581" t="s">
        <v>1793</v>
      </c>
    </row>
    <row r="582" spans="2:3" hidden="1" x14ac:dyDescent="0.25">
      <c r="B582" s="65">
        <v>37342</v>
      </c>
      <c r="C582" t="s">
        <v>8827</v>
      </c>
    </row>
    <row r="583" spans="2:3" hidden="1" x14ac:dyDescent="0.25">
      <c r="B583" s="65">
        <v>37342</v>
      </c>
      <c r="C583" t="s">
        <v>11564</v>
      </c>
    </row>
    <row r="584" spans="2:3" hidden="1" x14ac:dyDescent="0.25">
      <c r="B584" s="65">
        <v>37342</v>
      </c>
      <c r="C584" t="s">
        <v>17359</v>
      </c>
    </row>
    <row r="585" spans="2:3" hidden="1" x14ac:dyDescent="0.25">
      <c r="B585" s="65">
        <v>37341</v>
      </c>
      <c r="C585" t="s">
        <v>12260</v>
      </c>
    </row>
    <row r="586" spans="2:3" hidden="1" x14ac:dyDescent="0.25">
      <c r="B586" s="65">
        <v>37341</v>
      </c>
      <c r="C586" t="s">
        <v>17253</v>
      </c>
    </row>
    <row r="587" spans="2:3" hidden="1" x14ac:dyDescent="0.25">
      <c r="B587" s="65">
        <v>37341</v>
      </c>
      <c r="C587" t="s">
        <v>17377</v>
      </c>
    </row>
    <row r="588" spans="2:3" hidden="1" x14ac:dyDescent="0.25">
      <c r="B588" s="65">
        <v>37340</v>
      </c>
      <c r="C588" t="s">
        <v>17267</v>
      </c>
    </row>
    <row r="589" spans="2:3" hidden="1" x14ac:dyDescent="0.25">
      <c r="B589" s="65">
        <v>37340</v>
      </c>
      <c r="C589" t="s">
        <v>11571</v>
      </c>
    </row>
    <row r="590" spans="2:3" hidden="1" x14ac:dyDescent="0.25">
      <c r="B590" s="65">
        <v>37340</v>
      </c>
      <c r="C590" t="s">
        <v>9757</v>
      </c>
    </row>
    <row r="591" spans="2:3" hidden="1" x14ac:dyDescent="0.25">
      <c r="B591" s="65">
        <v>37339</v>
      </c>
      <c r="C591" t="s">
        <v>2231</v>
      </c>
    </row>
    <row r="592" spans="2:3" hidden="1" x14ac:dyDescent="0.25">
      <c r="B592" s="65">
        <v>37339</v>
      </c>
      <c r="C592" t="s">
        <v>17200</v>
      </c>
    </row>
    <row r="593" spans="2:3" hidden="1" x14ac:dyDescent="0.25">
      <c r="B593" s="65">
        <v>37339</v>
      </c>
      <c r="C593" t="s">
        <v>4230</v>
      </c>
    </row>
    <row r="594" spans="2:3" hidden="1" x14ac:dyDescent="0.25">
      <c r="B594" s="65">
        <v>37339</v>
      </c>
      <c r="C594" t="s">
        <v>4025</v>
      </c>
    </row>
    <row r="595" spans="2:3" hidden="1" x14ac:dyDescent="0.25">
      <c r="B595" s="65">
        <v>37339</v>
      </c>
      <c r="C595" t="s">
        <v>7930</v>
      </c>
    </row>
    <row r="596" spans="2:3" hidden="1" x14ac:dyDescent="0.25">
      <c r="B596" s="65">
        <v>37339</v>
      </c>
      <c r="C596" t="s">
        <v>5314</v>
      </c>
    </row>
    <row r="597" spans="2:3" hidden="1" x14ac:dyDescent="0.25">
      <c r="B597" s="65">
        <v>37339</v>
      </c>
      <c r="C597" t="s">
        <v>1445</v>
      </c>
    </row>
    <row r="598" spans="2:3" hidden="1" x14ac:dyDescent="0.25">
      <c r="B598" s="65">
        <v>37339</v>
      </c>
      <c r="C598" t="s">
        <v>14692</v>
      </c>
    </row>
    <row r="599" spans="2:3" hidden="1" x14ac:dyDescent="0.25">
      <c r="B599" s="65">
        <v>37338</v>
      </c>
      <c r="C599" t="s">
        <v>17259</v>
      </c>
    </row>
    <row r="600" spans="2:3" hidden="1" x14ac:dyDescent="0.25">
      <c r="B600" s="65">
        <v>37338</v>
      </c>
      <c r="C600" t="s">
        <v>17298</v>
      </c>
    </row>
    <row r="601" spans="2:3" hidden="1" x14ac:dyDescent="0.25">
      <c r="B601" s="65">
        <v>37337</v>
      </c>
      <c r="C601" t="s">
        <v>17155</v>
      </c>
    </row>
    <row r="602" spans="2:3" hidden="1" x14ac:dyDescent="0.25">
      <c r="B602" s="65">
        <v>37337</v>
      </c>
      <c r="C602" t="s">
        <v>17219</v>
      </c>
    </row>
    <row r="603" spans="2:3" hidden="1" x14ac:dyDescent="0.25">
      <c r="B603" s="65">
        <v>37337</v>
      </c>
      <c r="C603" t="s">
        <v>8097</v>
      </c>
    </row>
    <row r="604" spans="2:3" hidden="1" x14ac:dyDescent="0.25">
      <c r="B604" s="65">
        <v>37335</v>
      </c>
      <c r="C604" t="s">
        <v>17145</v>
      </c>
    </row>
    <row r="605" spans="2:3" hidden="1" x14ac:dyDescent="0.25">
      <c r="B605" s="65">
        <v>37335</v>
      </c>
      <c r="C605" t="s">
        <v>17197</v>
      </c>
    </row>
    <row r="606" spans="2:3" hidden="1" x14ac:dyDescent="0.25">
      <c r="B606" s="65">
        <v>37335</v>
      </c>
      <c r="C606" t="s">
        <v>17256</v>
      </c>
    </row>
    <row r="607" spans="2:3" hidden="1" x14ac:dyDescent="0.25">
      <c r="B607" s="65">
        <v>37335</v>
      </c>
      <c r="C607" t="s">
        <v>17273</v>
      </c>
    </row>
    <row r="608" spans="2:3" hidden="1" x14ac:dyDescent="0.25">
      <c r="B608" s="65">
        <v>37335</v>
      </c>
      <c r="C608" t="s">
        <v>5696</v>
      </c>
    </row>
    <row r="609" spans="2:3" hidden="1" x14ac:dyDescent="0.25">
      <c r="B609" s="65">
        <v>37335</v>
      </c>
      <c r="C609" t="s">
        <v>3136</v>
      </c>
    </row>
    <row r="610" spans="2:3" hidden="1" x14ac:dyDescent="0.25">
      <c r="B610" s="65">
        <v>37334</v>
      </c>
      <c r="C610" t="s">
        <v>17194</v>
      </c>
    </row>
    <row r="611" spans="2:3" hidden="1" x14ac:dyDescent="0.25">
      <c r="B611" s="65">
        <v>37333</v>
      </c>
      <c r="C611" t="s">
        <v>17163</v>
      </c>
    </row>
    <row r="612" spans="2:3" hidden="1" x14ac:dyDescent="0.25">
      <c r="B612" s="65">
        <v>37333</v>
      </c>
      <c r="C612" t="s">
        <v>17284</v>
      </c>
    </row>
    <row r="613" spans="2:3" hidden="1" x14ac:dyDescent="0.25">
      <c r="B613" s="65">
        <v>37333</v>
      </c>
      <c r="C613" t="s">
        <v>17352</v>
      </c>
    </row>
    <row r="614" spans="2:3" hidden="1" x14ac:dyDescent="0.25">
      <c r="B614" s="65">
        <v>37333</v>
      </c>
      <c r="C614" t="s">
        <v>17370</v>
      </c>
    </row>
    <row r="615" spans="2:3" hidden="1" x14ac:dyDescent="0.25">
      <c r="B615" s="65">
        <v>37332</v>
      </c>
      <c r="C615" t="s">
        <v>17159</v>
      </c>
    </row>
    <row r="616" spans="2:3" hidden="1" x14ac:dyDescent="0.25">
      <c r="B616" s="65">
        <v>37332</v>
      </c>
      <c r="C616" t="s">
        <v>17187</v>
      </c>
    </row>
    <row r="617" spans="2:3" hidden="1" x14ac:dyDescent="0.25">
      <c r="B617" s="65">
        <v>37332</v>
      </c>
      <c r="C617" t="s">
        <v>17335</v>
      </c>
    </row>
    <row r="618" spans="2:3" hidden="1" x14ac:dyDescent="0.25">
      <c r="B618" s="65">
        <v>37331</v>
      </c>
      <c r="C618" t="s">
        <v>17127</v>
      </c>
    </row>
    <row r="619" spans="2:3" hidden="1" x14ac:dyDescent="0.25">
      <c r="B619" s="65">
        <v>37331</v>
      </c>
      <c r="C619" t="s">
        <v>17133</v>
      </c>
    </row>
    <row r="620" spans="2:3" hidden="1" x14ac:dyDescent="0.25">
      <c r="B620" s="65">
        <v>37331</v>
      </c>
      <c r="C620" t="s">
        <v>17288</v>
      </c>
    </row>
    <row r="621" spans="2:3" hidden="1" x14ac:dyDescent="0.25">
      <c r="B621" s="65">
        <v>37330</v>
      </c>
      <c r="C621" t="s">
        <v>17121</v>
      </c>
    </row>
    <row r="622" spans="2:3" hidden="1" x14ac:dyDescent="0.25">
      <c r="B622" s="65">
        <v>37329</v>
      </c>
      <c r="C622" t="s">
        <v>17103</v>
      </c>
    </row>
    <row r="623" spans="2:3" hidden="1" x14ac:dyDescent="0.25">
      <c r="B623" s="65">
        <v>37329</v>
      </c>
      <c r="C623" t="s">
        <v>17114</v>
      </c>
    </row>
    <row r="624" spans="2:3" hidden="1" x14ac:dyDescent="0.25">
      <c r="B624" s="65">
        <v>37329</v>
      </c>
      <c r="C624" t="s">
        <v>17130</v>
      </c>
    </row>
    <row r="625" spans="2:3" hidden="1" x14ac:dyDescent="0.25">
      <c r="B625" s="65">
        <v>37328</v>
      </c>
      <c r="C625" t="s">
        <v>17097</v>
      </c>
    </row>
    <row r="626" spans="2:3" hidden="1" x14ac:dyDescent="0.25">
      <c r="B626" s="65">
        <v>37328</v>
      </c>
      <c r="C626" t="s">
        <v>7803</v>
      </c>
    </row>
    <row r="627" spans="2:3" hidden="1" x14ac:dyDescent="0.25">
      <c r="B627" s="65">
        <v>37328</v>
      </c>
      <c r="C627" t="s">
        <v>17118</v>
      </c>
    </row>
    <row r="628" spans="2:3" hidden="1" x14ac:dyDescent="0.25">
      <c r="B628" s="65">
        <v>37327</v>
      </c>
      <c r="C628" t="s">
        <v>2286</v>
      </c>
    </row>
    <row r="629" spans="2:3" hidden="1" x14ac:dyDescent="0.25">
      <c r="B629" s="65">
        <v>37327</v>
      </c>
      <c r="C629" t="s">
        <v>16817</v>
      </c>
    </row>
    <row r="630" spans="2:3" hidden="1" x14ac:dyDescent="0.25">
      <c r="B630" s="65">
        <v>37327</v>
      </c>
      <c r="C630" t="s">
        <v>16941</v>
      </c>
    </row>
    <row r="631" spans="2:3" hidden="1" x14ac:dyDescent="0.25">
      <c r="B631" s="65">
        <v>37327</v>
      </c>
      <c r="C631" t="s">
        <v>6327</v>
      </c>
    </row>
    <row r="632" spans="2:3" hidden="1" x14ac:dyDescent="0.25">
      <c r="B632" s="65">
        <v>37327</v>
      </c>
      <c r="C632" t="s">
        <v>9541</v>
      </c>
    </row>
    <row r="633" spans="2:3" hidden="1" x14ac:dyDescent="0.25">
      <c r="B633" s="65">
        <v>37327</v>
      </c>
      <c r="C633" t="s">
        <v>8827</v>
      </c>
    </row>
    <row r="634" spans="2:3" hidden="1" x14ac:dyDescent="0.25">
      <c r="B634" s="65">
        <v>37327</v>
      </c>
      <c r="C634" t="s">
        <v>960</v>
      </c>
    </row>
    <row r="635" spans="2:3" hidden="1" x14ac:dyDescent="0.25">
      <c r="B635" s="65">
        <v>37327</v>
      </c>
      <c r="C635" t="s">
        <v>17106</v>
      </c>
    </row>
    <row r="636" spans="2:3" hidden="1" x14ac:dyDescent="0.25">
      <c r="B636" s="65">
        <v>37326</v>
      </c>
      <c r="C636" t="s">
        <v>960</v>
      </c>
    </row>
    <row r="637" spans="2:3" hidden="1" x14ac:dyDescent="0.25">
      <c r="B637" s="65">
        <v>37326</v>
      </c>
      <c r="C637" t="s">
        <v>16890</v>
      </c>
    </row>
    <row r="638" spans="2:3" hidden="1" x14ac:dyDescent="0.25">
      <c r="B638" s="65">
        <v>37326</v>
      </c>
      <c r="C638" t="s">
        <v>17022</v>
      </c>
    </row>
    <row r="639" spans="2:3" hidden="1" x14ac:dyDescent="0.25">
      <c r="B639" s="65">
        <v>37326</v>
      </c>
      <c r="C639" t="s">
        <v>576</v>
      </c>
    </row>
    <row r="640" spans="2:3" hidden="1" x14ac:dyDescent="0.25">
      <c r="B640" s="65">
        <v>37325</v>
      </c>
      <c r="C640" t="s">
        <v>16607</v>
      </c>
    </row>
    <row r="641" spans="2:3" hidden="1" x14ac:dyDescent="0.25">
      <c r="B641" s="65">
        <v>37325</v>
      </c>
      <c r="C641" t="s">
        <v>105</v>
      </c>
    </row>
    <row r="642" spans="2:3" hidden="1" x14ac:dyDescent="0.25">
      <c r="B642" s="65">
        <v>37325</v>
      </c>
      <c r="C642" t="s">
        <v>16904</v>
      </c>
    </row>
    <row r="643" spans="2:3" hidden="1" x14ac:dyDescent="0.25">
      <c r="B643" s="65">
        <v>37325</v>
      </c>
      <c r="C643" t="s">
        <v>17017</v>
      </c>
    </row>
    <row r="644" spans="2:3" hidden="1" x14ac:dyDescent="0.25">
      <c r="B644" s="65">
        <v>37325</v>
      </c>
      <c r="C644" t="s">
        <v>17062</v>
      </c>
    </row>
    <row r="645" spans="2:3" hidden="1" x14ac:dyDescent="0.25">
      <c r="B645" s="65">
        <v>37324</v>
      </c>
      <c r="C645" t="s">
        <v>16966</v>
      </c>
    </row>
    <row r="646" spans="2:3" hidden="1" x14ac:dyDescent="0.25">
      <c r="B646" s="65">
        <v>37323</v>
      </c>
      <c r="C646" t="s">
        <v>16694</v>
      </c>
    </row>
    <row r="647" spans="2:3" hidden="1" x14ac:dyDescent="0.25">
      <c r="B647" s="65">
        <v>37323</v>
      </c>
      <c r="C647" t="s">
        <v>16927</v>
      </c>
    </row>
    <row r="648" spans="2:3" hidden="1" x14ac:dyDescent="0.25">
      <c r="B648" s="65">
        <v>37322</v>
      </c>
      <c r="C648" t="s">
        <v>16646</v>
      </c>
    </row>
    <row r="649" spans="2:3" hidden="1" x14ac:dyDescent="0.25">
      <c r="B649" s="65">
        <v>37322</v>
      </c>
      <c r="C649" t="s">
        <v>16788</v>
      </c>
    </row>
    <row r="650" spans="2:3" hidden="1" x14ac:dyDescent="0.25">
      <c r="B650" s="65">
        <v>37322</v>
      </c>
      <c r="C650" t="s">
        <v>16840</v>
      </c>
    </row>
    <row r="651" spans="2:3" hidden="1" x14ac:dyDescent="0.25">
      <c r="B651" s="65">
        <v>37321</v>
      </c>
      <c r="C651" t="s">
        <v>1793</v>
      </c>
    </row>
    <row r="652" spans="2:3" hidden="1" x14ac:dyDescent="0.25">
      <c r="B652" s="65">
        <v>37321</v>
      </c>
      <c r="C652" t="s">
        <v>17077</v>
      </c>
    </row>
    <row r="653" spans="2:3" hidden="1" x14ac:dyDescent="0.25">
      <c r="B653" s="65">
        <v>37320</v>
      </c>
      <c r="C653" t="s">
        <v>9722</v>
      </c>
    </row>
    <row r="654" spans="2:3" hidden="1" x14ac:dyDescent="0.25">
      <c r="B654" s="65">
        <v>37320</v>
      </c>
      <c r="C654" t="s">
        <v>16772</v>
      </c>
    </row>
    <row r="655" spans="2:3" hidden="1" x14ac:dyDescent="0.25">
      <c r="B655" s="65">
        <v>37320</v>
      </c>
      <c r="C655" t="s">
        <v>16853</v>
      </c>
    </row>
    <row r="656" spans="2:3" hidden="1" x14ac:dyDescent="0.25">
      <c r="B656" s="65">
        <v>37320</v>
      </c>
      <c r="C656" t="s">
        <v>16946</v>
      </c>
    </row>
    <row r="657" spans="2:3" hidden="1" x14ac:dyDescent="0.25">
      <c r="B657" s="65">
        <v>37320</v>
      </c>
      <c r="C657" t="s">
        <v>16974</v>
      </c>
    </row>
    <row r="658" spans="2:3" hidden="1" x14ac:dyDescent="0.25">
      <c r="B658" s="65">
        <v>37319</v>
      </c>
      <c r="C658" t="s">
        <v>2290</v>
      </c>
    </row>
    <row r="659" spans="2:3" hidden="1" x14ac:dyDescent="0.25">
      <c r="B659" s="65">
        <v>37319</v>
      </c>
      <c r="C659" t="s">
        <v>6230</v>
      </c>
    </row>
    <row r="660" spans="2:3" hidden="1" x14ac:dyDescent="0.25">
      <c r="B660" s="65">
        <v>37317</v>
      </c>
      <c r="C660" t="s">
        <v>717</v>
      </c>
    </row>
    <row r="661" spans="2:3" hidden="1" x14ac:dyDescent="0.25">
      <c r="B661" s="65">
        <v>37317</v>
      </c>
      <c r="C661" t="s">
        <v>16710</v>
      </c>
    </row>
    <row r="662" spans="2:3" hidden="1" x14ac:dyDescent="0.25">
      <c r="B662" s="65">
        <v>37317</v>
      </c>
      <c r="C662" t="s">
        <v>16745</v>
      </c>
    </row>
    <row r="663" spans="2:3" hidden="1" x14ac:dyDescent="0.25">
      <c r="B663" s="65">
        <v>37317</v>
      </c>
      <c r="C663" t="s">
        <v>17067</v>
      </c>
    </row>
    <row r="664" spans="2:3" hidden="1" x14ac:dyDescent="0.25">
      <c r="B664" s="65">
        <v>37316</v>
      </c>
      <c r="C664" t="s">
        <v>5952</v>
      </c>
    </row>
    <row r="665" spans="2:3" hidden="1" x14ac:dyDescent="0.25">
      <c r="B665" s="65">
        <v>37316</v>
      </c>
      <c r="C665" t="s">
        <v>9460</v>
      </c>
    </row>
    <row r="666" spans="2:3" hidden="1" x14ac:dyDescent="0.25">
      <c r="B666" s="65">
        <v>37315</v>
      </c>
      <c r="C666" t="s">
        <v>2606</v>
      </c>
    </row>
    <row r="667" spans="2:3" hidden="1" x14ac:dyDescent="0.25">
      <c r="B667" s="65">
        <v>37315</v>
      </c>
      <c r="C667" t="s">
        <v>16954</v>
      </c>
    </row>
    <row r="668" spans="2:3" hidden="1" x14ac:dyDescent="0.25">
      <c r="B668" s="65">
        <v>37315</v>
      </c>
      <c r="C668" t="s">
        <v>3842</v>
      </c>
    </row>
    <row r="669" spans="2:3" hidden="1" x14ac:dyDescent="0.25">
      <c r="B669" s="65">
        <v>37314</v>
      </c>
      <c r="C669" t="s">
        <v>5783</v>
      </c>
    </row>
    <row r="670" spans="2:3" hidden="1" x14ac:dyDescent="0.25">
      <c r="B670" s="65">
        <v>37314</v>
      </c>
      <c r="C670" t="s">
        <v>16923</v>
      </c>
    </row>
    <row r="671" spans="2:3" hidden="1" x14ac:dyDescent="0.25">
      <c r="B671" s="65">
        <v>37314</v>
      </c>
      <c r="C671" t="s">
        <v>530</v>
      </c>
    </row>
    <row r="672" spans="2:3" hidden="1" x14ac:dyDescent="0.25">
      <c r="B672" s="65">
        <v>37314</v>
      </c>
      <c r="C672" t="s">
        <v>430</v>
      </c>
    </row>
    <row r="673" spans="2:3" hidden="1" x14ac:dyDescent="0.25">
      <c r="B673" s="65">
        <v>37313</v>
      </c>
      <c r="C673" t="s">
        <v>16630</v>
      </c>
    </row>
    <row r="674" spans="2:3" hidden="1" x14ac:dyDescent="0.25">
      <c r="B674" s="65">
        <v>37313</v>
      </c>
      <c r="C674" t="s">
        <v>16984</v>
      </c>
    </row>
    <row r="675" spans="2:3" hidden="1" x14ac:dyDescent="0.25">
      <c r="B675" s="65">
        <v>37312</v>
      </c>
      <c r="C675" t="s">
        <v>16719</v>
      </c>
    </row>
    <row r="676" spans="2:3" hidden="1" x14ac:dyDescent="0.25">
      <c r="B676" s="65">
        <v>37312</v>
      </c>
      <c r="C676" t="s">
        <v>4744</v>
      </c>
    </row>
    <row r="677" spans="2:3" hidden="1" x14ac:dyDescent="0.25">
      <c r="B677" s="65">
        <v>37311</v>
      </c>
      <c r="C677" t="s">
        <v>6144</v>
      </c>
    </row>
    <row r="678" spans="2:3" hidden="1" x14ac:dyDescent="0.25">
      <c r="B678" s="65">
        <v>37311</v>
      </c>
      <c r="C678" t="s">
        <v>16791</v>
      </c>
    </row>
    <row r="679" spans="2:3" hidden="1" x14ac:dyDescent="0.25">
      <c r="B679" s="65">
        <v>37311</v>
      </c>
      <c r="C679" t="s">
        <v>16870</v>
      </c>
    </row>
    <row r="680" spans="2:3" hidden="1" x14ac:dyDescent="0.25">
      <c r="B680" s="65">
        <v>37311</v>
      </c>
      <c r="C680" t="s">
        <v>1813</v>
      </c>
    </row>
    <row r="681" spans="2:3" hidden="1" x14ac:dyDescent="0.25">
      <c r="B681" s="65">
        <v>37310</v>
      </c>
      <c r="C681" t="s">
        <v>16634</v>
      </c>
    </row>
    <row r="682" spans="2:3" hidden="1" x14ac:dyDescent="0.25">
      <c r="B682" s="65">
        <v>37310</v>
      </c>
      <c r="C682" t="s">
        <v>1370</v>
      </c>
    </row>
    <row r="683" spans="2:3" hidden="1" x14ac:dyDescent="0.25">
      <c r="B683" s="65">
        <v>37309</v>
      </c>
      <c r="C683" t="s">
        <v>16820</v>
      </c>
    </row>
    <row r="684" spans="2:3" hidden="1" x14ac:dyDescent="0.25">
      <c r="B684" s="65">
        <v>37309</v>
      </c>
      <c r="C684" t="s">
        <v>17032</v>
      </c>
    </row>
    <row r="685" spans="2:3" hidden="1" x14ac:dyDescent="0.25">
      <c r="B685" s="65">
        <v>37308</v>
      </c>
      <c r="C685" t="s">
        <v>16597</v>
      </c>
    </row>
    <row r="686" spans="2:3" hidden="1" x14ac:dyDescent="0.25">
      <c r="B686" s="65">
        <v>37308</v>
      </c>
      <c r="C686" t="s">
        <v>16622</v>
      </c>
    </row>
    <row r="687" spans="2:3" hidden="1" x14ac:dyDescent="0.25">
      <c r="B687" s="65">
        <v>37308</v>
      </c>
      <c r="C687" t="s">
        <v>10929</v>
      </c>
    </row>
    <row r="688" spans="2:3" hidden="1" x14ac:dyDescent="0.25">
      <c r="B688" s="65">
        <v>37308</v>
      </c>
      <c r="C688" t="s">
        <v>16835</v>
      </c>
    </row>
    <row r="689" spans="2:3" hidden="1" x14ac:dyDescent="0.25">
      <c r="B689" s="65">
        <v>37308</v>
      </c>
      <c r="C689" t="s">
        <v>14436</v>
      </c>
    </row>
    <row r="690" spans="2:3" hidden="1" x14ac:dyDescent="0.25">
      <c r="B690" s="65">
        <v>37308</v>
      </c>
      <c r="C690" t="s">
        <v>954</v>
      </c>
    </row>
    <row r="691" spans="2:3" hidden="1" x14ac:dyDescent="0.25">
      <c r="B691" s="65">
        <v>37307</v>
      </c>
      <c r="C691" t="s">
        <v>16752</v>
      </c>
    </row>
    <row r="692" spans="2:3" hidden="1" x14ac:dyDescent="0.25">
      <c r="B692" s="65">
        <v>37307</v>
      </c>
      <c r="C692" t="s">
        <v>16901</v>
      </c>
    </row>
    <row r="693" spans="2:3" hidden="1" x14ac:dyDescent="0.25">
      <c r="B693" s="65">
        <v>37307</v>
      </c>
      <c r="C693" t="s">
        <v>17036</v>
      </c>
    </row>
    <row r="694" spans="2:3" hidden="1" x14ac:dyDescent="0.25">
      <c r="B694" s="65">
        <v>37306</v>
      </c>
      <c r="C694" t="s">
        <v>10701</v>
      </c>
    </row>
    <row r="695" spans="2:3" hidden="1" x14ac:dyDescent="0.25">
      <c r="B695" s="65">
        <v>37306</v>
      </c>
      <c r="C695" t="s">
        <v>16770</v>
      </c>
    </row>
    <row r="696" spans="2:3" hidden="1" x14ac:dyDescent="0.25">
      <c r="B696" s="65">
        <v>37306</v>
      </c>
      <c r="C696" t="s">
        <v>16885</v>
      </c>
    </row>
    <row r="697" spans="2:3" hidden="1" x14ac:dyDescent="0.25">
      <c r="B697" s="65">
        <v>37306</v>
      </c>
      <c r="C697" t="s">
        <v>4091</v>
      </c>
    </row>
    <row r="698" spans="2:3" hidden="1" x14ac:dyDescent="0.25">
      <c r="B698" s="65">
        <v>37305</v>
      </c>
      <c r="C698" t="s">
        <v>16683</v>
      </c>
    </row>
    <row r="699" spans="2:3" hidden="1" x14ac:dyDescent="0.25">
      <c r="B699" s="65">
        <v>37305</v>
      </c>
      <c r="C699" t="s">
        <v>16749</v>
      </c>
    </row>
    <row r="700" spans="2:3" hidden="1" x14ac:dyDescent="0.25">
      <c r="B700" s="65">
        <v>37305</v>
      </c>
      <c r="C700" t="s">
        <v>16759</v>
      </c>
    </row>
    <row r="701" spans="2:3" hidden="1" x14ac:dyDescent="0.25">
      <c r="B701" s="65">
        <v>37305</v>
      </c>
      <c r="C701" t="s">
        <v>3102</v>
      </c>
    </row>
    <row r="702" spans="2:3" hidden="1" x14ac:dyDescent="0.25">
      <c r="B702" s="65">
        <v>37305</v>
      </c>
      <c r="C702" t="s">
        <v>16895</v>
      </c>
    </row>
    <row r="703" spans="2:3" hidden="1" x14ac:dyDescent="0.25">
      <c r="B703" s="65">
        <v>37305</v>
      </c>
      <c r="C703" t="s">
        <v>16931</v>
      </c>
    </row>
    <row r="704" spans="2:3" hidden="1" x14ac:dyDescent="0.25">
      <c r="B704" s="65">
        <v>37305</v>
      </c>
      <c r="C704" t="s">
        <v>13595</v>
      </c>
    </row>
    <row r="705" spans="2:3" hidden="1" x14ac:dyDescent="0.25">
      <c r="B705" s="65">
        <v>37303</v>
      </c>
      <c r="C705" t="s">
        <v>16615</v>
      </c>
    </row>
    <row r="706" spans="2:3" hidden="1" x14ac:dyDescent="0.25">
      <c r="B706" s="65">
        <v>37303</v>
      </c>
      <c r="C706" t="s">
        <v>16619</v>
      </c>
    </row>
    <row r="707" spans="2:3" hidden="1" x14ac:dyDescent="0.25">
      <c r="B707" s="65">
        <v>37303</v>
      </c>
      <c r="C707" t="s">
        <v>16878</v>
      </c>
    </row>
    <row r="708" spans="2:3" hidden="1" x14ac:dyDescent="0.25">
      <c r="B708" s="65">
        <v>37303</v>
      </c>
      <c r="C708" t="s">
        <v>4701</v>
      </c>
    </row>
    <row r="709" spans="2:3" hidden="1" x14ac:dyDescent="0.25">
      <c r="B709" s="65">
        <v>37302</v>
      </c>
      <c r="C709" t="s">
        <v>16656</v>
      </c>
    </row>
    <row r="710" spans="2:3" hidden="1" x14ac:dyDescent="0.25">
      <c r="B710" s="65">
        <v>37301</v>
      </c>
      <c r="C710" t="s">
        <v>17073</v>
      </c>
    </row>
    <row r="711" spans="2:3" hidden="1" x14ac:dyDescent="0.25">
      <c r="B711" s="65">
        <v>37300</v>
      </c>
      <c r="C711" t="s">
        <v>16570</v>
      </c>
    </row>
    <row r="712" spans="2:3" hidden="1" x14ac:dyDescent="0.25">
      <c r="B712" s="65">
        <v>37300</v>
      </c>
      <c r="C712" t="s">
        <v>16728</v>
      </c>
    </row>
    <row r="713" spans="2:3" hidden="1" x14ac:dyDescent="0.25">
      <c r="B713" s="65">
        <v>37300</v>
      </c>
      <c r="C713" t="s">
        <v>16762</v>
      </c>
    </row>
    <row r="714" spans="2:3" hidden="1" x14ac:dyDescent="0.25">
      <c r="B714" s="65">
        <v>37300</v>
      </c>
      <c r="C714" t="s">
        <v>16783</v>
      </c>
    </row>
    <row r="715" spans="2:3" hidden="1" x14ac:dyDescent="0.25">
      <c r="B715" s="65">
        <v>37300</v>
      </c>
      <c r="C715" t="s">
        <v>16800</v>
      </c>
    </row>
    <row r="716" spans="2:3" hidden="1" x14ac:dyDescent="0.25">
      <c r="B716" s="65">
        <v>37300</v>
      </c>
      <c r="C716" t="s">
        <v>2000</v>
      </c>
    </row>
    <row r="717" spans="2:3" hidden="1" x14ac:dyDescent="0.25">
      <c r="B717" s="65">
        <v>37300</v>
      </c>
      <c r="C717" t="s">
        <v>16958</v>
      </c>
    </row>
    <row r="718" spans="2:3" hidden="1" x14ac:dyDescent="0.25">
      <c r="B718" s="65">
        <v>37300</v>
      </c>
      <c r="C718" t="s">
        <v>16980</v>
      </c>
    </row>
    <row r="719" spans="2:3" hidden="1" x14ac:dyDescent="0.25">
      <c r="B719" s="65">
        <v>37299</v>
      </c>
      <c r="C719" t="s">
        <v>6925</v>
      </c>
    </row>
    <row r="720" spans="2:3" hidden="1" x14ac:dyDescent="0.25">
      <c r="B720" s="65">
        <v>37299</v>
      </c>
      <c r="C720" t="s">
        <v>4834</v>
      </c>
    </row>
    <row r="721" spans="2:3" hidden="1" x14ac:dyDescent="0.25">
      <c r="B721" s="65">
        <v>37299</v>
      </c>
      <c r="C721" t="s">
        <v>17025</v>
      </c>
    </row>
    <row r="722" spans="2:3" hidden="1" x14ac:dyDescent="0.25">
      <c r="B722" s="65">
        <v>37299</v>
      </c>
      <c r="C722" t="s">
        <v>3579</v>
      </c>
    </row>
    <row r="723" spans="2:3" hidden="1" x14ac:dyDescent="0.25">
      <c r="B723" s="65">
        <v>37298</v>
      </c>
      <c r="C723" t="s">
        <v>16659</v>
      </c>
    </row>
    <row r="724" spans="2:3" hidden="1" x14ac:dyDescent="0.25">
      <c r="B724" s="65">
        <v>37298</v>
      </c>
      <c r="C724" t="s">
        <v>8375</v>
      </c>
    </row>
    <row r="725" spans="2:3" hidden="1" x14ac:dyDescent="0.25">
      <c r="B725" s="65">
        <v>37298</v>
      </c>
      <c r="C725" t="s">
        <v>5527</v>
      </c>
    </row>
    <row r="726" spans="2:3" hidden="1" x14ac:dyDescent="0.25">
      <c r="B726" s="65">
        <v>37296</v>
      </c>
      <c r="C726" t="s">
        <v>4516</v>
      </c>
    </row>
    <row r="727" spans="2:3" hidden="1" x14ac:dyDescent="0.25">
      <c r="B727" s="65">
        <v>37296</v>
      </c>
      <c r="C727" t="s">
        <v>5241</v>
      </c>
    </row>
    <row r="728" spans="2:3" hidden="1" x14ac:dyDescent="0.25">
      <c r="B728" s="65">
        <v>37296</v>
      </c>
      <c r="C728" t="s">
        <v>9740</v>
      </c>
    </row>
    <row r="729" spans="2:3" hidden="1" x14ac:dyDescent="0.25">
      <c r="B729" s="65">
        <v>37296</v>
      </c>
      <c r="C729" t="s">
        <v>2891</v>
      </c>
    </row>
    <row r="730" spans="2:3" hidden="1" x14ac:dyDescent="0.25">
      <c r="B730" s="65">
        <v>37295</v>
      </c>
      <c r="C730" t="s">
        <v>1229</v>
      </c>
    </row>
    <row r="731" spans="2:3" hidden="1" x14ac:dyDescent="0.25">
      <c r="B731" s="65">
        <v>37295</v>
      </c>
      <c r="C731" t="s">
        <v>3417</v>
      </c>
    </row>
    <row r="732" spans="2:3" hidden="1" x14ac:dyDescent="0.25">
      <c r="B732" s="65">
        <v>37294</v>
      </c>
      <c r="C732" t="s">
        <v>16667</v>
      </c>
    </row>
    <row r="733" spans="2:3" hidden="1" x14ac:dyDescent="0.25">
      <c r="B733" s="65">
        <v>37294</v>
      </c>
      <c r="C733" t="s">
        <v>13855</v>
      </c>
    </row>
    <row r="734" spans="2:3" hidden="1" x14ac:dyDescent="0.25">
      <c r="B734" s="65">
        <v>37294</v>
      </c>
      <c r="C734" t="s">
        <v>13293</v>
      </c>
    </row>
    <row r="735" spans="2:3" hidden="1" x14ac:dyDescent="0.25">
      <c r="B735" s="65">
        <v>37294</v>
      </c>
      <c r="C735" t="s">
        <v>2901</v>
      </c>
    </row>
    <row r="736" spans="2:3" hidden="1" x14ac:dyDescent="0.25">
      <c r="B736" s="65">
        <v>37293</v>
      </c>
      <c r="C736" t="s">
        <v>16578</v>
      </c>
    </row>
    <row r="737" spans="2:3" hidden="1" x14ac:dyDescent="0.25">
      <c r="B737" s="65">
        <v>37293</v>
      </c>
      <c r="C737" t="s">
        <v>16950</v>
      </c>
    </row>
    <row r="738" spans="2:3" hidden="1" x14ac:dyDescent="0.25">
      <c r="B738" s="65">
        <v>37293</v>
      </c>
      <c r="C738" t="s">
        <v>3102</v>
      </c>
    </row>
    <row r="739" spans="2:3" hidden="1" x14ac:dyDescent="0.25">
      <c r="B739" s="65">
        <v>37291</v>
      </c>
      <c r="C739" t="s">
        <v>16593</v>
      </c>
    </row>
    <row r="740" spans="2:3" hidden="1" x14ac:dyDescent="0.25">
      <c r="B740" s="65">
        <v>37291</v>
      </c>
      <c r="C740" t="s">
        <v>2722</v>
      </c>
    </row>
    <row r="741" spans="2:3" hidden="1" x14ac:dyDescent="0.25">
      <c r="B741" s="65">
        <v>37291</v>
      </c>
      <c r="C741" t="s">
        <v>16724</v>
      </c>
    </row>
    <row r="742" spans="2:3" hidden="1" x14ac:dyDescent="0.25">
      <c r="B742" s="65">
        <v>37291</v>
      </c>
      <c r="C742" t="s">
        <v>3848</v>
      </c>
    </row>
    <row r="743" spans="2:3" hidden="1" x14ac:dyDescent="0.25">
      <c r="B743" s="65">
        <v>37291</v>
      </c>
      <c r="C743" t="s">
        <v>568</v>
      </c>
    </row>
    <row r="744" spans="2:3" hidden="1" x14ac:dyDescent="0.25">
      <c r="B744" s="65">
        <v>37290</v>
      </c>
      <c r="C744" t="s">
        <v>16881</v>
      </c>
    </row>
    <row r="745" spans="2:3" hidden="1" x14ac:dyDescent="0.25">
      <c r="B745" s="65">
        <v>37289</v>
      </c>
      <c r="C745" t="s">
        <v>346</v>
      </c>
    </row>
    <row r="746" spans="2:3" hidden="1" x14ac:dyDescent="0.25">
      <c r="B746" s="65">
        <v>37289</v>
      </c>
      <c r="C746" t="s">
        <v>16776</v>
      </c>
    </row>
    <row r="747" spans="2:3" hidden="1" x14ac:dyDescent="0.25">
      <c r="B747" s="65">
        <v>37289</v>
      </c>
      <c r="C747" t="s">
        <v>3012</v>
      </c>
    </row>
    <row r="748" spans="2:3" hidden="1" x14ac:dyDescent="0.25">
      <c r="B748" s="65">
        <v>37288</v>
      </c>
      <c r="C748" t="s">
        <v>17002</v>
      </c>
    </row>
    <row r="749" spans="2:3" hidden="1" x14ac:dyDescent="0.25">
      <c r="B749" s="65">
        <v>37288</v>
      </c>
      <c r="C749" t="s">
        <v>5020</v>
      </c>
    </row>
    <row r="750" spans="2:3" hidden="1" x14ac:dyDescent="0.25">
      <c r="B750" s="65">
        <v>37287</v>
      </c>
      <c r="C750" t="s">
        <v>9640</v>
      </c>
    </row>
    <row r="751" spans="2:3" hidden="1" x14ac:dyDescent="0.25">
      <c r="B751" s="65">
        <v>37287</v>
      </c>
      <c r="C751" t="s">
        <v>3848</v>
      </c>
    </row>
    <row r="752" spans="2:3" hidden="1" x14ac:dyDescent="0.25">
      <c r="B752" s="65">
        <v>37287</v>
      </c>
      <c r="C752" t="s">
        <v>16741</v>
      </c>
    </row>
    <row r="753" spans="2:3" hidden="1" x14ac:dyDescent="0.25">
      <c r="B753" s="65">
        <v>37287</v>
      </c>
      <c r="C753" t="s">
        <v>16862</v>
      </c>
    </row>
    <row r="754" spans="2:3" hidden="1" x14ac:dyDescent="0.25">
      <c r="B754" s="65">
        <v>37287</v>
      </c>
      <c r="C754" t="s">
        <v>17028</v>
      </c>
    </row>
    <row r="755" spans="2:3" hidden="1" x14ac:dyDescent="0.25">
      <c r="B755" s="65">
        <v>37286</v>
      </c>
      <c r="C755" t="s">
        <v>16687</v>
      </c>
    </row>
    <row r="756" spans="2:3" hidden="1" x14ac:dyDescent="0.25">
      <c r="B756" s="65">
        <v>37286</v>
      </c>
      <c r="C756" t="s">
        <v>3160</v>
      </c>
    </row>
    <row r="757" spans="2:3" hidden="1" x14ac:dyDescent="0.25">
      <c r="B757" s="65">
        <v>37286</v>
      </c>
      <c r="C757" t="s">
        <v>16916</v>
      </c>
    </row>
    <row r="758" spans="2:3" hidden="1" x14ac:dyDescent="0.25">
      <c r="B758" s="65">
        <v>37285</v>
      </c>
      <c r="C758" t="s">
        <v>16642</v>
      </c>
    </row>
    <row r="759" spans="2:3" hidden="1" x14ac:dyDescent="0.25">
      <c r="B759" s="65">
        <v>37284</v>
      </c>
      <c r="C759" t="s">
        <v>16962</v>
      </c>
    </row>
    <row r="760" spans="2:3" hidden="1" x14ac:dyDescent="0.25">
      <c r="B760" s="65">
        <v>37284</v>
      </c>
      <c r="C760" t="s">
        <v>17059</v>
      </c>
    </row>
    <row r="761" spans="2:3" hidden="1" x14ac:dyDescent="0.25">
      <c r="B761" s="65">
        <v>37283</v>
      </c>
      <c r="C761" t="s">
        <v>17055</v>
      </c>
    </row>
    <row r="762" spans="2:3" hidden="1" x14ac:dyDescent="0.25">
      <c r="B762" s="65">
        <v>37282</v>
      </c>
      <c r="C762" t="s">
        <v>5552</v>
      </c>
    </row>
    <row r="763" spans="2:3" hidden="1" x14ac:dyDescent="0.25">
      <c r="B763" s="65">
        <v>37282</v>
      </c>
      <c r="C763" t="s">
        <v>16813</v>
      </c>
    </row>
    <row r="764" spans="2:3" hidden="1" x14ac:dyDescent="0.25">
      <c r="B764" s="65">
        <v>37281</v>
      </c>
      <c r="C764" t="s">
        <v>16638</v>
      </c>
    </row>
    <row r="765" spans="2:3" hidden="1" x14ac:dyDescent="0.25">
      <c r="B765" s="65">
        <v>37281</v>
      </c>
      <c r="C765" t="s">
        <v>129</v>
      </c>
    </row>
    <row r="766" spans="2:3" hidden="1" x14ac:dyDescent="0.25">
      <c r="B766" s="65">
        <v>37281</v>
      </c>
      <c r="C766" t="s">
        <v>7346</v>
      </c>
    </row>
    <row r="767" spans="2:3" hidden="1" x14ac:dyDescent="0.25">
      <c r="B767" s="65">
        <v>37280</v>
      </c>
      <c r="C767" t="s">
        <v>16705</v>
      </c>
    </row>
    <row r="768" spans="2:3" hidden="1" x14ac:dyDescent="0.25">
      <c r="B768" s="65">
        <v>37280</v>
      </c>
      <c r="C768" t="s">
        <v>16804</v>
      </c>
    </row>
    <row r="769" spans="2:3" hidden="1" x14ac:dyDescent="0.25">
      <c r="B769" s="65">
        <v>37280</v>
      </c>
      <c r="C769" t="s">
        <v>16846</v>
      </c>
    </row>
    <row r="770" spans="2:3" hidden="1" x14ac:dyDescent="0.25">
      <c r="B770" s="65">
        <v>37280</v>
      </c>
      <c r="C770" t="s">
        <v>1752</v>
      </c>
    </row>
    <row r="771" spans="2:3" hidden="1" x14ac:dyDescent="0.25">
      <c r="B771" s="65">
        <v>37280</v>
      </c>
      <c r="C771" t="s">
        <v>17049</v>
      </c>
    </row>
    <row r="772" spans="2:3" hidden="1" x14ac:dyDescent="0.25">
      <c r="B772" s="65">
        <v>37279</v>
      </c>
      <c r="C772" t="s">
        <v>16582</v>
      </c>
    </row>
    <row r="773" spans="2:3" hidden="1" x14ac:dyDescent="0.25">
      <c r="B773" s="65">
        <v>37279</v>
      </c>
      <c r="C773" t="s">
        <v>3422</v>
      </c>
    </row>
    <row r="774" spans="2:3" hidden="1" x14ac:dyDescent="0.25">
      <c r="B774" s="65">
        <v>37279</v>
      </c>
      <c r="C774" t="s">
        <v>16937</v>
      </c>
    </row>
    <row r="775" spans="2:3" hidden="1" x14ac:dyDescent="0.25">
      <c r="B775" s="65">
        <v>37278</v>
      </c>
      <c r="C775" t="s">
        <v>2000</v>
      </c>
    </row>
    <row r="776" spans="2:3" hidden="1" x14ac:dyDescent="0.25">
      <c r="B776" s="65">
        <v>37278</v>
      </c>
      <c r="C776" t="s">
        <v>16671</v>
      </c>
    </row>
    <row r="777" spans="2:3" hidden="1" x14ac:dyDescent="0.25">
      <c r="B777" s="65">
        <v>37278</v>
      </c>
      <c r="C777" t="s">
        <v>15693</v>
      </c>
    </row>
    <row r="778" spans="2:3" hidden="1" x14ac:dyDescent="0.25">
      <c r="B778" s="65">
        <v>37278</v>
      </c>
      <c r="C778" t="s">
        <v>2795</v>
      </c>
    </row>
    <row r="779" spans="2:3" hidden="1" x14ac:dyDescent="0.25">
      <c r="B779" s="65">
        <v>37278</v>
      </c>
      <c r="C779" t="s">
        <v>16907</v>
      </c>
    </row>
    <row r="780" spans="2:3" hidden="1" x14ac:dyDescent="0.25">
      <c r="B780" s="65">
        <v>37277</v>
      </c>
      <c r="C780" t="s">
        <v>16626</v>
      </c>
    </row>
    <row r="781" spans="2:3" hidden="1" x14ac:dyDescent="0.25">
      <c r="B781" s="65">
        <v>37277</v>
      </c>
      <c r="C781" t="s">
        <v>16663</v>
      </c>
    </row>
    <row r="782" spans="2:3" hidden="1" x14ac:dyDescent="0.25">
      <c r="B782" s="65">
        <v>37277</v>
      </c>
      <c r="C782" t="s">
        <v>7379</v>
      </c>
    </row>
    <row r="783" spans="2:3" hidden="1" x14ac:dyDescent="0.25">
      <c r="B783" s="65">
        <v>37276</v>
      </c>
      <c r="C783" t="s">
        <v>5115</v>
      </c>
    </row>
    <row r="784" spans="2:3" hidden="1" x14ac:dyDescent="0.25">
      <c r="B784" s="65">
        <v>37276</v>
      </c>
      <c r="C784" t="s">
        <v>17006</v>
      </c>
    </row>
    <row r="785" spans="2:3" hidden="1" x14ac:dyDescent="0.25">
      <c r="B785" s="65">
        <v>37274</v>
      </c>
      <c r="C785" t="s">
        <v>194</v>
      </c>
    </row>
    <row r="786" spans="2:3" hidden="1" x14ac:dyDescent="0.25">
      <c r="B786" s="65">
        <v>37274</v>
      </c>
      <c r="C786" t="s">
        <v>16779</v>
      </c>
    </row>
    <row r="787" spans="2:3" hidden="1" x14ac:dyDescent="0.25">
      <c r="B787" s="65">
        <v>37274</v>
      </c>
      <c r="C787" t="s">
        <v>16866</v>
      </c>
    </row>
    <row r="788" spans="2:3" hidden="1" x14ac:dyDescent="0.25">
      <c r="B788" s="65">
        <v>37274</v>
      </c>
      <c r="C788" t="s">
        <v>8915</v>
      </c>
    </row>
    <row r="789" spans="2:3" hidden="1" x14ac:dyDescent="0.25">
      <c r="B789" s="65">
        <v>37273</v>
      </c>
      <c r="C789" t="s">
        <v>702</v>
      </c>
    </row>
    <row r="790" spans="2:3" hidden="1" x14ac:dyDescent="0.25">
      <c r="B790" s="65">
        <v>37273</v>
      </c>
      <c r="C790" t="s">
        <v>1359</v>
      </c>
    </row>
    <row r="791" spans="2:3" hidden="1" x14ac:dyDescent="0.25">
      <c r="B791" s="65">
        <v>37273</v>
      </c>
      <c r="C791" t="s">
        <v>16558</v>
      </c>
    </row>
    <row r="792" spans="2:3" hidden="1" x14ac:dyDescent="0.25">
      <c r="B792" s="65">
        <v>37272</v>
      </c>
      <c r="C792" t="s">
        <v>16543</v>
      </c>
    </row>
    <row r="793" spans="2:3" hidden="1" x14ac:dyDescent="0.25">
      <c r="B793" s="65">
        <v>37272</v>
      </c>
      <c r="C793" t="s">
        <v>12017</v>
      </c>
    </row>
    <row r="794" spans="2:3" hidden="1" x14ac:dyDescent="0.25">
      <c r="B794" s="65">
        <v>37271</v>
      </c>
      <c r="C794" t="s">
        <v>633</v>
      </c>
    </row>
    <row r="795" spans="2:3" hidden="1" x14ac:dyDescent="0.25">
      <c r="B795" s="65">
        <v>37270</v>
      </c>
      <c r="C795" t="s">
        <v>8567</v>
      </c>
    </row>
    <row r="796" spans="2:3" hidden="1" x14ac:dyDescent="0.25">
      <c r="B796" s="65">
        <v>37269</v>
      </c>
      <c r="C796" t="s">
        <v>16526</v>
      </c>
    </row>
    <row r="797" spans="2:3" hidden="1" x14ac:dyDescent="0.25">
      <c r="B797" s="65">
        <v>37268</v>
      </c>
      <c r="C797" t="s">
        <v>16511</v>
      </c>
    </row>
    <row r="798" spans="2:3" hidden="1" x14ac:dyDescent="0.25">
      <c r="B798" s="65">
        <v>37268</v>
      </c>
      <c r="C798" t="s">
        <v>16522</v>
      </c>
    </row>
    <row r="799" spans="2:3" hidden="1" x14ac:dyDescent="0.25">
      <c r="B799" s="65">
        <v>37268</v>
      </c>
      <c r="C799" t="s">
        <v>16535</v>
      </c>
    </row>
    <row r="800" spans="2:3" hidden="1" x14ac:dyDescent="0.25">
      <c r="B800" s="65">
        <v>37267</v>
      </c>
      <c r="C800" t="s">
        <v>16499</v>
      </c>
    </row>
    <row r="801" spans="2:3" hidden="1" x14ac:dyDescent="0.25">
      <c r="B801" s="65">
        <v>37267</v>
      </c>
      <c r="C801" t="s">
        <v>16507</v>
      </c>
    </row>
    <row r="802" spans="2:3" hidden="1" x14ac:dyDescent="0.25">
      <c r="B802" s="65">
        <v>37267</v>
      </c>
      <c r="C802" t="s">
        <v>4091</v>
      </c>
    </row>
    <row r="803" spans="2:3" hidden="1" x14ac:dyDescent="0.25">
      <c r="B803" s="65">
        <v>37266</v>
      </c>
      <c r="C803" t="s">
        <v>16530</v>
      </c>
    </row>
    <row r="804" spans="2:3" hidden="1" x14ac:dyDescent="0.25">
      <c r="B804" s="65">
        <v>37265</v>
      </c>
      <c r="C804" t="s">
        <v>46</v>
      </c>
    </row>
    <row r="805" spans="2:3" hidden="1" x14ac:dyDescent="0.25">
      <c r="B805" s="65">
        <v>37265</v>
      </c>
      <c r="C805" t="s">
        <v>16518</v>
      </c>
    </row>
    <row r="806" spans="2:3" hidden="1" x14ac:dyDescent="0.25">
      <c r="B806" s="65">
        <v>37264</v>
      </c>
      <c r="C806" t="s">
        <v>16402</v>
      </c>
    </row>
    <row r="807" spans="2:3" hidden="1" x14ac:dyDescent="0.25">
      <c r="B807" s="65">
        <v>37264</v>
      </c>
      <c r="C807" t="s">
        <v>8481</v>
      </c>
    </row>
    <row r="808" spans="2:3" hidden="1" x14ac:dyDescent="0.25">
      <c r="B808" s="65">
        <v>37263</v>
      </c>
      <c r="C808" t="s">
        <v>16385</v>
      </c>
    </row>
    <row r="809" spans="2:3" hidden="1" x14ac:dyDescent="0.25">
      <c r="B809" s="65">
        <v>37263</v>
      </c>
      <c r="C809" t="s">
        <v>16398</v>
      </c>
    </row>
    <row r="810" spans="2:3" hidden="1" x14ac:dyDescent="0.25">
      <c r="B810" s="65">
        <v>37263</v>
      </c>
      <c r="C810" t="s">
        <v>16410</v>
      </c>
    </row>
    <row r="811" spans="2:3" hidden="1" x14ac:dyDescent="0.25">
      <c r="B811" s="65">
        <v>37263</v>
      </c>
      <c r="C811" t="s">
        <v>2565</v>
      </c>
    </row>
    <row r="812" spans="2:3" hidden="1" x14ac:dyDescent="0.25">
      <c r="B812" s="65">
        <v>37263</v>
      </c>
      <c r="C812" t="s">
        <v>16423</v>
      </c>
    </row>
    <row r="813" spans="2:3" hidden="1" x14ac:dyDescent="0.25">
      <c r="B813" s="65">
        <v>37263</v>
      </c>
      <c r="C813" t="s">
        <v>16439</v>
      </c>
    </row>
    <row r="814" spans="2:3" hidden="1" x14ac:dyDescent="0.25">
      <c r="B814" s="65">
        <v>37263</v>
      </c>
      <c r="C814" t="s">
        <v>16462</v>
      </c>
    </row>
    <row r="815" spans="2:3" hidden="1" x14ac:dyDescent="0.25">
      <c r="B815" s="65">
        <v>37263</v>
      </c>
      <c r="C815" t="s">
        <v>16466</v>
      </c>
    </row>
    <row r="816" spans="2:3" hidden="1" x14ac:dyDescent="0.25">
      <c r="B816" s="65">
        <v>37263</v>
      </c>
      <c r="C816" t="s">
        <v>5393</v>
      </c>
    </row>
    <row r="817" spans="2:3" hidden="1" x14ac:dyDescent="0.25">
      <c r="B817" s="65">
        <v>37263</v>
      </c>
      <c r="C817" t="s">
        <v>10509</v>
      </c>
    </row>
    <row r="818" spans="2:3" hidden="1" x14ac:dyDescent="0.25">
      <c r="B818" s="65">
        <v>37262</v>
      </c>
      <c r="C818" t="s">
        <v>16477</v>
      </c>
    </row>
    <row r="819" spans="2:3" hidden="1" x14ac:dyDescent="0.25">
      <c r="B819" s="65">
        <v>37261</v>
      </c>
      <c r="C819" t="s">
        <v>517</v>
      </c>
    </row>
    <row r="820" spans="2:3" hidden="1" x14ac:dyDescent="0.25">
      <c r="B820" s="65">
        <v>37261</v>
      </c>
      <c r="C820" t="s">
        <v>16406</v>
      </c>
    </row>
    <row r="821" spans="2:3" hidden="1" x14ac:dyDescent="0.25">
      <c r="B821" s="65">
        <v>37261</v>
      </c>
      <c r="C821" t="s">
        <v>16433</v>
      </c>
    </row>
    <row r="822" spans="2:3" hidden="1" x14ac:dyDescent="0.25">
      <c r="B822" s="65">
        <v>37261</v>
      </c>
      <c r="C822" t="s">
        <v>16458</v>
      </c>
    </row>
    <row r="823" spans="2:3" hidden="1" x14ac:dyDescent="0.25">
      <c r="B823" s="65">
        <v>37260</v>
      </c>
      <c r="C823" t="s">
        <v>7535</v>
      </c>
    </row>
    <row r="824" spans="2:3" hidden="1" x14ac:dyDescent="0.25">
      <c r="B824" s="65">
        <v>37260</v>
      </c>
      <c r="C824" t="s">
        <v>8960</v>
      </c>
    </row>
    <row r="825" spans="2:3" hidden="1" x14ac:dyDescent="0.25">
      <c r="B825" s="65">
        <v>37260</v>
      </c>
      <c r="C825" t="s">
        <v>16449</v>
      </c>
    </row>
    <row r="826" spans="2:3" hidden="1" x14ac:dyDescent="0.25">
      <c r="B826" s="65">
        <v>37260</v>
      </c>
      <c r="C826" t="s">
        <v>16454</v>
      </c>
    </row>
    <row r="827" spans="2:3" hidden="1" x14ac:dyDescent="0.25">
      <c r="B827" s="65">
        <v>37259</v>
      </c>
      <c r="C827" t="s">
        <v>16394</v>
      </c>
    </row>
    <row r="828" spans="2:3" hidden="1" x14ac:dyDescent="0.25">
      <c r="B828" s="65">
        <v>37259</v>
      </c>
      <c r="C828" t="s">
        <v>16413</v>
      </c>
    </row>
    <row r="829" spans="2:3" hidden="1" x14ac:dyDescent="0.25">
      <c r="B829" s="65">
        <v>37259</v>
      </c>
      <c r="C829" t="s">
        <v>2565</v>
      </c>
    </row>
    <row r="830" spans="2:3" hidden="1" x14ac:dyDescent="0.25">
      <c r="B830" s="65">
        <v>37259</v>
      </c>
      <c r="C830" t="s">
        <v>6607</v>
      </c>
    </row>
    <row r="831" spans="2:3" hidden="1" x14ac:dyDescent="0.25">
      <c r="B831" s="65">
        <v>37259</v>
      </c>
      <c r="C831" t="s">
        <v>5141</v>
      </c>
    </row>
    <row r="832" spans="2:3" hidden="1" x14ac:dyDescent="0.25">
      <c r="B832" s="65">
        <v>37258</v>
      </c>
      <c r="C832" t="s">
        <v>16426</v>
      </c>
    </row>
    <row r="833" spans="2:3" hidden="1" x14ac:dyDescent="0.25">
      <c r="B833" s="65">
        <v>37258</v>
      </c>
      <c r="C833" t="s">
        <v>16446</v>
      </c>
    </row>
    <row r="834" spans="2:3" hidden="1" x14ac:dyDescent="0.25">
      <c r="B834" s="65">
        <v>37257</v>
      </c>
      <c r="C834" t="s">
        <v>561</v>
      </c>
    </row>
    <row r="835" spans="2:3" hidden="1" x14ac:dyDescent="0.25">
      <c r="B835" s="65">
        <v>37257</v>
      </c>
      <c r="C835" t="s">
        <v>16472</v>
      </c>
    </row>
    <row r="836" spans="2:3" hidden="1" x14ac:dyDescent="0.25">
      <c r="B836" s="65">
        <v>37256</v>
      </c>
      <c r="C836" t="s">
        <v>8013</v>
      </c>
    </row>
    <row r="837" spans="2:3" hidden="1" x14ac:dyDescent="0.25">
      <c r="B837" s="65">
        <v>37256</v>
      </c>
      <c r="C837" t="s">
        <v>6516</v>
      </c>
    </row>
    <row r="838" spans="2:3" hidden="1" x14ac:dyDescent="0.25">
      <c r="B838" s="65">
        <v>37255</v>
      </c>
      <c r="C838" t="s">
        <v>16484</v>
      </c>
    </row>
    <row r="839" spans="2:3" hidden="1" x14ac:dyDescent="0.25">
      <c r="B839" s="65">
        <v>37254</v>
      </c>
      <c r="C839" t="s">
        <v>16371</v>
      </c>
    </row>
    <row r="840" spans="2:3" hidden="1" x14ac:dyDescent="0.25">
      <c r="B840" s="65">
        <v>37254</v>
      </c>
      <c r="C840" t="s">
        <v>8459</v>
      </c>
    </row>
    <row r="841" spans="2:3" hidden="1" x14ac:dyDescent="0.25">
      <c r="B841" s="65">
        <v>37254</v>
      </c>
      <c r="C841" t="s">
        <v>3102</v>
      </c>
    </row>
    <row r="842" spans="2:3" hidden="1" x14ac:dyDescent="0.25">
      <c r="B842" s="65">
        <v>37253</v>
      </c>
      <c r="C842" t="s">
        <v>16326</v>
      </c>
    </row>
    <row r="843" spans="2:3" hidden="1" x14ac:dyDescent="0.25">
      <c r="B843" s="65">
        <v>37253</v>
      </c>
      <c r="C843" t="s">
        <v>16333</v>
      </c>
    </row>
    <row r="844" spans="2:3" hidden="1" x14ac:dyDescent="0.25">
      <c r="B844" s="65">
        <v>37253</v>
      </c>
      <c r="C844" t="s">
        <v>16367</v>
      </c>
    </row>
    <row r="845" spans="2:3" hidden="1" x14ac:dyDescent="0.25">
      <c r="B845" s="65">
        <v>37252</v>
      </c>
      <c r="C845" t="s">
        <v>1435</v>
      </c>
    </row>
    <row r="846" spans="2:3" hidden="1" x14ac:dyDescent="0.25">
      <c r="B846" s="65">
        <v>37252</v>
      </c>
      <c r="C846" t="s">
        <v>16306</v>
      </c>
    </row>
    <row r="847" spans="2:3" hidden="1" x14ac:dyDescent="0.25">
      <c r="B847" s="65">
        <v>37252</v>
      </c>
      <c r="C847" t="s">
        <v>16322</v>
      </c>
    </row>
    <row r="848" spans="2:3" hidden="1" x14ac:dyDescent="0.25">
      <c r="B848" s="65">
        <v>37252</v>
      </c>
      <c r="C848" t="s">
        <v>16337</v>
      </c>
    </row>
    <row r="849" spans="2:3" hidden="1" x14ac:dyDescent="0.25">
      <c r="B849" s="65">
        <v>37251</v>
      </c>
      <c r="C849" t="s">
        <v>16318</v>
      </c>
    </row>
    <row r="850" spans="2:3" hidden="1" x14ac:dyDescent="0.25">
      <c r="B850" s="65">
        <v>37250</v>
      </c>
      <c r="C850" t="s">
        <v>16348</v>
      </c>
    </row>
    <row r="851" spans="2:3" hidden="1" x14ac:dyDescent="0.25">
      <c r="B851" s="65">
        <v>37250</v>
      </c>
      <c r="C851" t="s">
        <v>16353</v>
      </c>
    </row>
    <row r="852" spans="2:3" hidden="1" x14ac:dyDescent="0.25">
      <c r="B852" s="65">
        <v>37250</v>
      </c>
      <c r="C852" t="s">
        <v>16361</v>
      </c>
    </row>
    <row r="853" spans="2:3" hidden="1" x14ac:dyDescent="0.25">
      <c r="B853" s="65">
        <v>37249</v>
      </c>
      <c r="C853" t="s">
        <v>16310</v>
      </c>
    </row>
    <row r="854" spans="2:3" hidden="1" x14ac:dyDescent="0.25">
      <c r="B854" s="65">
        <v>37249</v>
      </c>
      <c r="C854" t="s">
        <v>16314</v>
      </c>
    </row>
    <row r="855" spans="2:3" hidden="1" x14ac:dyDescent="0.25">
      <c r="B855" s="65">
        <v>37249</v>
      </c>
      <c r="C855" t="s">
        <v>7265</v>
      </c>
    </row>
    <row r="856" spans="2:3" hidden="1" x14ac:dyDescent="0.25">
      <c r="B856" s="65">
        <v>37249</v>
      </c>
      <c r="C856" t="s">
        <v>16357</v>
      </c>
    </row>
    <row r="857" spans="2:3" hidden="1" x14ac:dyDescent="0.25">
      <c r="B857" s="65">
        <v>37249</v>
      </c>
      <c r="C857" t="s">
        <v>5212</v>
      </c>
    </row>
    <row r="858" spans="2:3" hidden="1" x14ac:dyDescent="0.25">
      <c r="B858" s="65">
        <v>37248</v>
      </c>
      <c r="C858" t="s">
        <v>16330</v>
      </c>
    </row>
    <row r="859" spans="2:3" hidden="1" x14ac:dyDescent="0.25">
      <c r="B859" s="65">
        <v>37247</v>
      </c>
      <c r="C859" t="s">
        <v>13414</v>
      </c>
    </row>
    <row r="860" spans="2:3" hidden="1" x14ac:dyDescent="0.25">
      <c r="B860" s="65">
        <v>37247</v>
      </c>
      <c r="C860" t="s">
        <v>10598</v>
      </c>
    </row>
    <row r="861" spans="2:3" hidden="1" x14ac:dyDescent="0.25">
      <c r="B861" s="65">
        <v>37247</v>
      </c>
      <c r="C861" t="s">
        <v>6552</v>
      </c>
    </row>
    <row r="862" spans="2:3" hidden="1" x14ac:dyDescent="0.25">
      <c r="B862" s="65">
        <v>37246</v>
      </c>
      <c r="C862" t="s">
        <v>14777</v>
      </c>
    </row>
    <row r="863" spans="2:3" hidden="1" x14ac:dyDescent="0.25">
      <c r="B863" s="65">
        <v>37246</v>
      </c>
      <c r="C863" t="s">
        <v>15176</v>
      </c>
    </row>
    <row r="864" spans="2:3" hidden="1" x14ac:dyDescent="0.25">
      <c r="B864" s="65">
        <v>37246</v>
      </c>
      <c r="C864" t="s">
        <v>15186</v>
      </c>
    </row>
    <row r="865" spans="2:3" hidden="1" x14ac:dyDescent="0.25">
      <c r="B865" s="65">
        <v>37246</v>
      </c>
      <c r="C865" t="s">
        <v>10092</v>
      </c>
    </row>
    <row r="866" spans="2:3" hidden="1" x14ac:dyDescent="0.25">
      <c r="B866" s="65">
        <v>37245</v>
      </c>
      <c r="C866" t="s">
        <v>14926</v>
      </c>
    </row>
    <row r="867" spans="2:3" hidden="1" x14ac:dyDescent="0.25">
      <c r="B867" s="65">
        <v>37245</v>
      </c>
      <c r="C867" t="s">
        <v>16166</v>
      </c>
    </row>
    <row r="868" spans="2:3" hidden="1" x14ac:dyDescent="0.25">
      <c r="B868" s="65">
        <v>37244</v>
      </c>
      <c r="C868" t="s">
        <v>1288</v>
      </c>
    </row>
    <row r="869" spans="2:3" hidden="1" x14ac:dyDescent="0.25">
      <c r="B869" s="65">
        <v>37244</v>
      </c>
      <c r="C869" t="s">
        <v>8030</v>
      </c>
    </row>
    <row r="870" spans="2:3" hidden="1" x14ac:dyDescent="0.25">
      <c r="B870" s="65">
        <v>37243</v>
      </c>
      <c r="C870" t="s">
        <v>10437</v>
      </c>
    </row>
    <row r="871" spans="2:3" hidden="1" x14ac:dyDescent="0.25">
      <c r="B871" s="65">
        <v>37243</v>
      </c>
      <c r="C871" t="s">
        <v>2290</v>
      </c>
    </row>
    <row r="872" spans="2:3" hidden="1" x14ac:dyDescent="0.25">
      <c r="B872" s="65">
        <v>37243</v>
      </c>
      <c r="C872" t="s">
        <v>15379</v>
      </c>
    </row>
    <row r="873" spans="2:3" hidden="1" x14ac:dyDescent="0.25">
      <c r="B873" s="65">
        <v>37243</v>
      </c>
      <c r="C873" t="s">
        <v>15526</v>
      </c>
    </row>
    <row r="874" spans="2:3" hidden="1" x14ac:dyDescent="0.25">
      <c r="B874" s="65">
        <v>37242</v>
      </c>
      <c r="C874" t="s">
        <v>13548</v>
      </c>
    </row>
    <row r="875" spans="2:3" hidden="1" x14ac:dyDescent="0.25">
      <c r="B875" s="65">
        <v>37242</v>
      </c>
      <c r="C875" t="s">
        <v>9324</v>
      </c>
    </row>
    <row r="876" spans="2:3" hidden="1" x14ac:dyDescent="0.25">
      <c r="B876" s="65">
        <v>37241</v>
      </c>
      <c r="C876" t="s">
        <v>15151</v>
      </c>
    </row>
    <row r="877" spans="2:3" hidden="1" x14ac:dyDescent="0.25">
      <c r="B877" s="65">
        <v>37240</v>
      </c>
      <c r="C877" t="s">
        <v>15286</v>
      </c>
    </row>
    <row r="878" spans="2:3" hidden="1" x14ac:dyDescent="0.25">
      <c r="B878" s="65">
        <v>37240</v>
      </c>
      <c r="C878" t="s">
        <v>9541</v>
      </c>
    </row>
    <row r="879" spans="2:3" hidden="1" x14ac:dyDescent="0.25">
      <c r="B879" s="65">
        <v>37239</v>
      </c>
      <c r="C879" t="s">
        <v>14908</v>
      </c>
    </row>
    <row r="880" spans="2:3" hidden="1" x14ac:dyDescent="0.25">
      <c r="B880" s="65">
        <v>37239</v>
      </c>
      <c r="C880" t="s">
        <v>4483</v>
      </c>
    </row>
    <row r="881" spans="2:3" hidden="1" x14ac:dyDescent="0.25">
      <c r="B881" s="65">
        <v>37239</v>
      </c>
      <c r="C881" t="s">
        <v>16130</v>
      </c>
    </row>
    <row r="882" spans="2:3" hidden="1" x14ac:dyDescent="0.25">
      <c r="B882" s="65">
        <v>37238</v>
      </c>
      <c r="C882" t="s">
        <v>15317</v>
      </c>
    </row>
    <row r="883" spans="2:3" hidden="1" x14ac:dyDescent="0.25">
      <c r="B883" s="65">
        <v>37237</v>
      </c>
      <c r="C883" t="s">
        <v>14817</v>
      </c>
    </row>
    <row r="884" spans="2:3" hidden="1" x14ac:dyDescent="0.25">
      <c r="B884" s="65">
        <v>37237</v>
      </c>
      <c r="C884" t="s">
        <v>14992</v>
      </c>
    </row>
    <row r="885" spans="2:3" hidden="1" x14ac:dyDescent="0.25">
      <c r="B885" s="65">
        <v>37237</v>
      </c>
      <c r="C885" t="s">
        <v>8867</v>
      </c>
    </row>
    <row r="886" spans="2:3" hidden="1" x14ac:dyDescent="0.25">
      <c r="B886" s="65">
        <v>37237</v>
      </c>
      <c r="C886" t="s">
        <v>2186</v>
      </c>
    </row>
    <row r="887" spans="2:3" hidden="1" x14ac:dyDescent="0.25">
      <c r="B887" s="65">
        <v>37237</v>
      </c>
      <c r="C887" t="s">
        <v>6726</v>
      </c>
    </row>
    <row r="888" spans="2:3" hidden="1" x14ac:dyDescent="0.25">
      <c r="B888" s="65">
        <v>37237</v>
      </c>
      <c r="C888" t="s">
        <v>170</v>
      </c>
    </row>
    <row r="889" spans="2:3" hidden="1" x14ac:dyDescent="0.25">
      <c r="B889" s="65">
        <v>37237</v>
      </c>
      <c r="C889" t="s">
        <v>15842</v>
      </c>
    </row>
    <row r="890" spans="2:3" hidden="1" x14ac:dyDescent="0.25">
      <c r="B890" s="65">
        <v>37237</v>
      </c>
      <c r="C890" t="s">
        <v>3239</v>
      </c>
    </row>
    <row r="891" spans="2:3" hidden="1" x14ac:dyDescent="0.25">
      <c r="B891" s="65">
        <v>37237</v>
      </c>
      <c r="C891" t="s">
        <v>16127</v>
      </c>
    </row>
    <row r="892" spans="2:3" hidden="1" x14ac:dyDescent="0.25">
      <c r="B892" s="65">
        <v>37237</v>
      </c>
      <c r="C892" t="s">
        <v>16134</v>
      </c>
    </row>
    <row r="893" spans="2:3" hidden="1" x14ac:dyDescent="0.25">
      <c r="B893" s="65">
        <v>37236</v>
      </c>
      <c r="C893" t="s">
        <v>16091</v>
      </c>
    </row>
    <row r="894" spans="2:3" hidden="1" x14ac:dyDescent="0.25">
      <c r="B894" s="65">
        <v>37235</v>
      </c>
      <c r="C894" t="s">
        <v>14794</v>
      </c>
    </row>
    <row r="895" spans="2:3" hidden="1" x14ac:dyDescent="0.25">
      <c r="B895" s="65">
        <v>37235</v>
      </c>
      <c r="C895" t="s">
        <v>14829</v>
      </c>
    </row>
    <row r="896" spans="2:3" hidden="1" x14ac:dyDescent="0.25">
      <c r="B896" s="65">
        <v>37235</v>
      </c>
      <c r="C896" t="s">
        <v>15310</v>
      </c>
    </row>
    <row r="897" spans="2:3" hidden="1" x14ac:dyDescent="0.25">
      <c r="B897" s="65">
        <v>37235</v>
      </c>
      <c r="C897" t="s">
        <v>15645</v>
      </c>
    </row>
    <row r="898" spans="2:3" hidden="1" x14ac:dyDescent="0.25">
      <c r="B898" s="65">
        <v>37235</v>
      </c>
      <c r="C898" t="s">
        <v>15696</v>
      </c>
    </row>
    <row r="899" spans="2:3" hidden="1" x14ac:dyDescent="0.25">
      <c r="B899" s="65">
        <v>37235</v>
      </c>
      <c r="C899" t="s">
        <v>3653</v>
      </c>
    </row>
    <row r="900" spans="2:3" hidden="1" x14ac:dyDescent="0.25">
      <c r="B900" s="65">
        <v>37233</v>
      </c>
      <c r="C900" t="s">
        <v>7545</v>
      </c>
    </row>
    <row r="901" spans="2:3" hidden="1" x14ac:dyDescent="0.25">
      <c r="B901" s="65">
        <v>37232</v>
      </c>
      <c r="C901" t="s">
        <v>5840</v>
      </c>
    </row>
    <row r="902" spans="2:3" hidden="1" x14ac:dyDescent="0.25">
      <c r="B902" s="65">
        <v>37232</v>
      </c>
      <c r="C902" t="s">
        <v>8955</v>
      </c>
    </row>
    <row r="903" spans="2:3" hidden="1" x14ac:dyDescent="0.25">
      <c r="B903" s="65">
        <v>37231</v>
      </c>
      <c r="C903" t="s">
        <v>10701</v>
      </c>
    </row>
    <row r="904" spans="2:3" hidden="1" x14ac:dyDescent="0.25">
      <c r="B904" s="65">
        <v>37231</v>
      </c>
      <c r="C904" t="s">
        <v>15778</v>
      </c>
    </row>
    <row r="905" spans="2:3" hidden="1" x14ac:dyDescent="0.25">
      <c r="B905" s="65">
        <v>37230</v>
      </c>
      <c r="C905" t="s">
        <v>15169</v>
      </c>
    </row>
    <row r="906" spans="2:3" hidden="1" x14ac:dyDescent="0.25">
      <c r="B906" s="65">
        <v>37230</v>
      </c>
      <c r="C906" t="s">
        <v>15453</v>
      </c>
    </row>
    <row r="907" spans="2:3" hidden="1" x14ac:dyDescent="0.25">
      <c r="B907" s="65">
        <v>37230</v>
      </c>
      <c r="C907" t="s">
        <v>15612</v>
      </c>
    </row>
    <row r="908" spans="2:3" hidden="1" x14ac:dyDescent="0.25">
      <c r="B908" s="65">
        <v>37230</v>
      </c>
      <c r="C908" t="s">
        <v>16157</v>
      </c>
    </row>
    <row r="909" spans="2:3" hidden="1" x14ac:dyDescent="0.25">
      <c r="B909" s="65">
        <v>37230</v>
      </c>
      <c r="C909" t="s">
        <v>5651</v>
      </c>
    </row>
    <row r="910" spans="2:3" hidden="1" x14ac:dyDescent="0.25">
      <c r="B910" s="65">
        <v>37229</v>
      </c>
      <c r="C910" t="s">
        <v>15037</v>
      </c>
    </row>
    <row r="911" spans="2:3" hidden="1" x14ac:dyDescent="0.25">
      <c r="B911" s="65">
        <v>37229</v>
      </c>
      <c r="C911" t="s">
        <v>15204</v>
      </c>
    </row>
    <row r="912" spans="2:3" hidden="1" x14ac:dyDescent="0.25">
      <c r="B912" s="65">
        <v>37229</v>
      </c>
      <c r="C912" t="s">
        <v>15498</v>
      </c>
    </row>
    <row r="913" spans="2:3" hidden="1" x14ac:dyDescent="0.25">
      <c r="B913" s="65">
        <v>37227</v>
      </c>
      <c r="C913" t="s">
        <v>7441</v>
      </c>
    </row>
    <row r="914" spans="2:3" hidden="1" x14ac:dyDescent="0.25">
      <c r="B914" s="65">
        <v>37227</v>
      </c>
      <c r="C914" t="s">
        <v>16002</v>
      </c>
    </row>
    <row r="915" spans="2:3" hidden="1" x14ac:dyDescent="0.25">
      <c r="B915" s="65">
        <v>37227</v>
      </c>
      <c r="C915" t="s">
        <v>12424</v>
      </c>
    </row>
    <row r="916" spans="2:3" hidden="1" x14ac:dyDescent="0.25">
      <c r="B916" s="65">
        <v>37226</v>
      </c>
      <c r="C916" t="s">
        <v>7480</v>
      </c>
    </row>
    <row r="917" spans="2:3" hidden="1" x14ac:dyDescent="0.25">
      <c r="B917" s="65">
        <v>37225</v>
      </c>
      <c r="C917" t="s">
        <v>3640</v>
      </c>
    </row>
    <row r="918" spans="2:3" hidden="1" x14ac:dyDescent="0.25">
      <c r="B918" s="65">
        <v>37225</v>
      </c>
      <c r="C918" t="s">
        <v>16191</v>
      </c>
    </row>
    <row r="919" spans="2:3" hidden="1" x14ac:dyDescent="0.25">
      <c r="B919" s="65">
        <v>37225</v>
      </c>
      <c r="C919" t="s">
        <v>9464</v>
      </c>
    </row>
    <row r="920" spans="2:3" hidden="1" x14ac:dyDescent="0.25">
      <c r="B920" s="65">
        <v>37224</v>
      </c>
      <c r="C920" t="s">
        <v>14867</v>
      </c>
    </row>
    <row r="921" spans="2:3" hidden="1" x14ac:dyDescent="0.25">
      <c r="B921" s="65">
        <v>37224</v>
      </c>
      <c r="C921" t="s">
        <v>7433</v>
      </c>
    </row>
    <row r="922" spans="2:3" hidden="1" x14ac:dyDescent="0.25">
      <c r="B922" s="65">
        <v>37224</v>
      </c>
      <c r="C922" t="s">
        <v>7480</v>
      </c>
    </row>
    <row r="923" spans="2:3" hidden="1" x14ac:dyDescent="0.25">
      <c r="B923" s="65">
        <v>37224</v>
      </c>
      <c r="C923" t="s">
        <v>12469</v>
      </c>
    </row>
    <row r="924" spans="2:3" hidden="1" x14ac:dyDescent="0.25">
      <c r="B924" s="65">
        <v>37223</v>
      </c>
      <c r="C924" t="s">
        <v>598</v>
      </c>
    </row>
    <row r="925" spans="2:3" hidden="1" x14ac:dyDescent="0.25">
      <c r="B925" s="65">
        <v>37223</v>
      </c>
      <c r="C925" t="s">
        <v>8727</v>
      </c>
    </row>
    <row r="926" spans="2:3" hidden="1" x14ac:dyDescent="0.25">
      <c r="B926" s="65">
        <v>37223</v>
      </c>
      <c r="C926" t="s">
        <v>15526</v>
      </c>
    </row>
    <row r="927" spans="2:3" hidden="1" x14ac:dyDescent="0.25">
      <c r="B927" s="65">
        <v>37223</v>
      </c>
      <c r="C927" t="s">
        <v>16195</v>
      </c>
    </row>
    <row r="928" spans="2:3" hidden="1" x14ac:dyDescent="0.25">
      <c r="B928" s="65">
        <v>37222</v>
      </c>
      <c r="C928" t="s">
        <v>598</v>
      </c>
    </row>
    <row r="929" spans="2:3" hidden="1" x14ac:dyDescent="0.25">
      <c r="B929" s="65">
        <v>37222</v>
      </c>
      <c r="C929" t="s">
        <v>15363</v>
      </c>
    </row>
    <row r="930" spans="2:3" hidden="1" x14ac:dyDescent="0.25">
      <c r="B930" s="65">
        <v>37222</v>
      </c>
      <c r="C930" t="s">
        <v>4701</v>
      </c>
    </row>
    <row r="931" spans="2:3" hidden="1" x14ac:dyDescent="0.25">
      <c r="B931" s="65">
        <v>37221</v>
      </c>
      <c r="C931" t="s">
        <v>15929</v>
      </c>
    </row>
    <row r="932" spans="2:3" hidden="1" x14ac:dyDescent="0.25">
      <c r="B932" s="65">
        <v>37220</v>
      </c>
      <c r="C932" t="s">
        <v>4624</v>
      </c>
    </row>
    <row r="933" spans="2:3" hidden="1" x14ac:dyDescent="0.25">
      <c r="B933" s="65">
        <v>37219</v>
      </c>
      <c r="C933" t="s">
        <v>14812</v>
      </c>
    </row>
    <row r="934" spans="2:3" hidden="1" x14ac:dyDescent="0.25">
      <c r="B934" s="65">
        <v>37219</v>
      </c>
      <c r="C934" t="s">
        <v>15182</v>
      </c>
    </row>
    <row r="935" spans="2:3" hidden="1" x14ac:dyDescent="0.25">
      <c r="B935" s="65">
        <v>37219</v>
      </c>
      <c r="C935" t="s">
        <v>15504</v>
      </c>
    </row>
    <row r="936" spans="2:3" hidden="1" x14ac:dyDescent="0.25">
      <c r="B936" s="65">
        <v>37219</v>
      </c>
      <c r="C936" t="s">
        <v>15722</v>
      </c>
    </row>
    <row r="937" spans="2:3" hidden="1" x14ac:dyDescent="0.25">
      <c r="B937" s="65">
        <v>37218</v>
      </c>
      <c r="C937" t="s">
        <v>3096</v>
      </c>
    </row>
    <row r="938" spans="2:3" hidden="1" x14ac:dyDescent="0.25">
      <c r="B938" s="65">
        <v>37218</v>
      </c>
      <c r="C938" t="s">
        <v>4214</v>
      </c>
    </row>
    <row r="939" spans="2:3" hidden="1" x14ac:dyDescent="0.25">
      <c r="B939" s="65">
        <v>37218</v>
      </c>
      <c r="C939" t="s">
        <v>15748</v>
      </c>
    </row>
    <row r="940" spans="2:3" hidden="1" x14ac:dyDescent="0.25">
      <c r="B940" s="65">
        <v>37218</v>
      </c>
      <c r="C940" t="s">
        <v>954</v>
      </c>
    </row>
    <row r="941" spans="2:3" hidden="1" x14ac:dyDescent="0.25">
      <c r="B941" s="65">
        <v>37217</v>
      </c>
      <c r="C941" t="s">
        <v>16217</v>
      </c>
    </row>
    <row r="942" spans="2:3" hidden="1" x14ac:dyDescent="0.25">
      <c r="B942" s="65">
        <v>37217</v>
      </c>
      <c r="C942" t="s">
        <v>8477</v>
      </c>
    </row>
    <row r="943" spans="2:3" hidden="1" x14ac:dyDescent="0.25">
      <c r="B943" s="65">
        <v>37216</v>
      </c>
      <c r="C943" t="s">
        <v>15533</v>
      </c>
    </row>
    <row r="944" spans="2:3" hidden="1" x14ac:dyDescent="0.25">
      <c r="B944" s="65">
        <v>37216</v>
      </c>
      <c r="C944" t="s">
        <v>15795</v>
      </c>
    </row>
    <row r="945" spans="2:3" hidden="1" x14ac:dyDescent="0.25">
      <c r="B945" s="65">
        <v>37216</v>
      </c>
      <c r="C945" t="s">
        <v>6327</v>
      </c>
    </row>
    <row r="946" spans="2:3" hidden="1" x14ac:dyDescent="0.25">
      <c r="B946" s="65">
        <v>37215</v>
      </c>
      <c r="C946" t="s">
        <v>3787</v>
      </c>
    </row>
    <row r="947" spans="2:3" hidden="1" x14ac:dyDescent="0.25">
      <c r="B947" s="65">
        <v>37215</v>
      </c>
      <c r="C947" t="s">
        <v>13759</v>
      </c>
    </row>
    <row r="948" spans="2:3" hidden="1" x14ac:dyDescent="0.25">
      <c r="B948" s="65">
        <v>37215</v>
      </c>
      <c r="C948" t="s">
        <v>15950</v>
      </c>
    </row>
    <row r="949" spans="2:3" hidden="1" x14ac:dyDescent="0.25">
      <c r="B949" s="65">
        <v>37214</v>
      </c>
      <c r="C949" t="s">
        <v>14955</v>
      </c>
    </row>
    <row r="950" spans="2:3" hidden="1" x14ac:dyDescent="0.25">
      <c r="B950" s="65">
        <v>37214</v>
      </c>
      <c r="C950" t="s">
        <v>15934</v>
      </c>
    </row>
    <row r="951" spans="2:3" hidden="1" x14ac:dyDescent="0.25">
      <c r="B951" s="65">
        <v>37214</v>
      </c>
      <c r="C951" t="s">
        <v>947</v>
      </c>
    </row>
    <row r="952" spans="2:3" hidden="1" x14ac:dyDescent="0.25">
      <c r="B952" s="65">
        <v>37213</v>
      </c>
      <c r="C952" t="s">
        <v>15034</v>
      </c>
    </row>
    <row r="953" spans="2:3" hidden="1" x14ac:dyDescent="0.25">
      <c r="B953" s="65">
        <v>37212</v>
      </c>
      <c r="C953" t="s">
        <v>7050</v>
      </c>
    </row>
    <row r="954" spans="2:3" hidden="1" x14ac:dyDescent="0.25">
      <c r="B954" s="65">
        <v>37212</v>
      </c>
      <c r="C954" t="s">
        <v>9346</v>
      </c>
    </row>
    <row r="955" spans="2:3" hidden="1" x14ac:dyDescent="0.25">
      <c r="B955" s="65">
        <v>37211</v>
      </c>
      <c r="C955" t="s">
        <v>14666</v>
      </c>
    </row>
    <row r="956" spans="2:3" hidden="1" x14ac:dyDescent="0.25">
      <c r="B956" s="65">
        <v>37211</v>
      </c>
      <c r="C956" t="s">
        <v>14981</v>
      </c>
    </row>
    <row r="957" spans="2:3" hidden="1" x14ac:dyDescent="0.25">
      <c r="B957" s="65">
        <v>37211</v>
      </c>
      <c r="C957" t="s">
        <v>15269</v>
      </c>
    </row>
    <row r="958" spans="2:3" hidden="1" x14ac:dyDescent="0.25">
      <c r="B958" s="65">
        <v>37210</v>
      </c>
      <c r="C958" t="s">
        <v>15523</v>
      </c>
    </row>
    <row r="959" spans="2:3" hidden="1" x14ac:dyDescent="0.25">
      <c r="B959" s="65">
        <v>37210</v>
      </c>
      <c r="C959" t="s">
        <v>15700</v>
      </c>
    </row>
    <row r="960" spans="2:3" hidden="1" x14ac:dyDescent="0.25">
      <c r="B960" s="65">
        <v>37210</v>
      </c>
      <c r="C960" t="s">
        <v>6144</v>
      </c>
    </row>
    <row r="961" spans="2:3" hidden="1" x14ac:dyDescent="0.25">
      <c r="B961" s="65">
        <v>37210</v>
      </c>
      <c r="C961" t="s">
        <v>15973</v>
      </c>
    </row>
    <row r="962" spans="2:3" hidden="1" x14ac:dyDescent="0.25">
      <c r="B962" s="65">
        <v>37210</v>
      </c>
      <c r="C962" t="s">
        <v>16055</v>
      </c>
    </row>
    <row r="963" spans="2:3" hidden="1" x14ac:dyDescent="0.25">
      <c r="B963" s="65">
        <v>37209</v>
      </c>
      <c r="C963" t="s">
        <v>14696</v>
      </c>
    </row>
    <row r="964" spans="2:3" hidden="1" x14ac:dyDescent="0.25">
      <c r="B964" s="65">
        <v>37209</v>
      </c>
      <c r="C964" t="s">
        <v>13085</v>
      </c>
    </row>
    <row r="965" spans="2:3" hidden="1" x14ac:dyDescent="0.25">
      <c r="B965" s="65">
        <v>37209</v>
      </c>
      <c r="C965" t="s">
        <v>1370</v>
      </c>
    </row>
    <row r="966" spans="2:3" hidden="1" x14ac:dyDescent="0.25">
      <c r="B966" s="65">
        <v>37209</v>
      </c>
      <c r="C966" t="s">
        <v>15850</v>
      </c>
    </row>
    <row r="967" spans="2:3" hidden="1" x14ac:dyDescent="0.25">
      <c r="B967" s="65">
        <v>37209</v>
      </c>
      <c r="C967" t="s">
        <v>7733</v>
      </c>
    </row>
    <row r="968" spans="2:3" hidden="1" x14ac:dyDescent="0.25">
      <c r="B968" s="65">
        <v>37209</v>
      </c>
      <c r="C968" t="s">
        <v>3699</v>
      </c>
    </row>
    <row r="969" spans="2:3" hidden="1" x14ac:dyDescent="0.25">
      <c r="B969" s="65">
        <v>37208</v>
      </c>
      <c r="C969" t="s">
        <v>2209</v>
      </c>
    </row>
    <row r="970" spans="2:3" hidden="1" x14ac:dyDescent="0.25">
      <c r="B970" s="65">
        <v>37208</v>
      </c>
      <c r="C970" t="s">
        <v>15116</v>
      </c>
    </row>
    <row r="971" spans="2:3" hidden="1" x14ac:dyDescent="0.25">
      <c r="B971" s="65">
        <v>37208</v>
      </c>
      <c r="C971" t="s">
        <v>46</v>
      </c>
    </row>
    <row r="972" spans="2:3" hidden="1" x14ac:dyDescent="0.25">
      <c r="B972" s="65">
        <v>37208</v>
      </c>
      <c r="C972" t="s">
        <v>7741</v>
      </c>
    </row>
    <row r="973" spans="2:3" hidden="1" x14ac:dyDescent="0.25">
      <c r="B973" s="65">
        <v>37207</v>
      </c>
      <c r="C973" t="s">
        <v>2451</v>
      </c>
    </row>
    <row r="974" spans="2:3" hidden="1" x14ac:dyDescent="0.25">
      <c r="B974" s="65">
        <v>37207</v>
      </c>
      <c r="C974" t="s">
        <v>3873</v>
      </c>
    </row>
    <row r="975" spans="2:3" hidden="1" x14ac:dyDescent="0.25">
      <c r="B975" s="65">
        <v>37206</v>
      </c>
      <c r="C975" t="s">
        <v>14713</v>
      </c>
    </row>
    <row r="976" spans="2:3" hidden="1" x14ac:dyDescent="0.25">
      <c r="B976" s="65">
        <v>37205</v>
      </c>
      <c r="C976" t="s">
        <v>15906</v>
      </c>
    </row>
    <row r="977" spans="2:3" hidden="1" x14ac:dyDescent="0.25">
      <c r="B977" s="65">
        <v>37205</v>
      </c>
      <c r="C977" t="s">
        <v>4237</v>
      </c>
    </row>
    <row r="978" spans="2:3" hidden="1" x14ac:dyDescent="0.25">
      <c r="B978" s="65">
        <v>37204</v>
      </c>
      <c r="C978" t="s">
        <v>1733</v>
      </c>
    </row>
    <row r="979" spans="2:3" hidden="1" x14ac:dyDescent="0.25">
      <c r="B979" s="65">
        <v>37203</v>
      </c>
      <c r="C979" t="s">
        <v>14897</v>
      </c>
    </row>
    <row r="980" spans="2:3" hidden="1" x14ac:dyDescent="0.25">
      <c r="B980" s="65">
        <v>37202</v>
      </c>
      <c r="C980" t="s">
        <v>6021</v>
      </c>
    </row>
    <row r="981" spans="2:3" hidden="1" x14ac:dyDescent="0.25">
      <c r="B981" s="65">
        <v>37202</v>
      </c>
      <c r="C981" t="s">
        <v>5643</v>
      </c>
    </row>
    <row r="982" spans="2:3" hidden="1" x14ac:dyDescent="0.25">
      <c r="B982" s="65">
        <v>37202</v>
      </c>
      <c r="C982" t="s">
        <v>15870</v>
      </c>
    </row>
    <row r="983" spans="2:3" hidden="1" x14ac:dyDescent="0.25">
      <c r="B983" s="65">
        <v>37202</v>
      </c>
      <c r="C983" t="s">
        <v>16211</v>
      </c>
    </row>
    <row r="984" spans="2:3" hidden="1" x14ac:dyDescent="0.25">
      <c r="B984" s="65">
        <v>37202</v>
      </c>
      <c r="C984" t="s">
        <v>16215</v>
      </c>
    </row>
    <row r="985" spans="2:3" hidden="1" x14ac:dyDescent="0.25">
      <c r="B985" s="65">
        <v>37202</v>
      </c>
      <c r="C985" t="s">
        <v>16269</v>
      </c>
    </row>
    <row r="986" spans="2:3" hidden="1" x14ac:dyDescent="0.25">
      <c r="B986" s="65">
        <v>37200</v>
      </c>
      <c r="C986" t="s">
        <v>14930</v>
      </c>
    </row>
    <row r="987" spans="2:3" hidden="1" x14ac:dyDescent="0.25">
      <c r="B987" s="65">
        <v>37200</v>
      </c>
      <c r="C987" t="s">
        <v>15265</v>
      </c>
    </row>
    <row r="988" spans="2:3" hidden="1" x14ac:dyDescent="0.25">
      <c r="B988" s="65">
        <v>37199</v>
      </c>
      <c r="C988" t="s">
        <v>14973</v>
      </c>
    </row>
    <row r="989" spans="2:3" hidden="1" x14ac:dyDescent="0.25">
      <c r="B989" s="65">
        <v>37197</v>
      </c>
      <c r="C989" t="s">
        <v>14919</v>
      </c>
    </row>
    <row r="990" spans="2:3" hidden="1" x14ac:dyDescent="0.25">
      <c r="B990" s="65">
        <v>37197</v>
      </c>
      <c r="C990" t="s">
        <v>3227</v>
      </c>
    </row>
    <row r="991" spans="2:3" hidden="1" x14ac:dyDescent="0.25">
      <c r="B991" s="65">
        <v>37197</v>
      </c>
      <c r="C991" t="s">
        <v>16120</v>
      </c>
    </row>
    <row r="992" spans="2:3" hidden="1" x14ac:dyDescent="0.25">
      <c r="B992" s="65">
        <v>37196</v>
      </c>
      <c r="C992" t="s">
        <v>14734</v>
      </c>
    </row>
    <row r="993" spans="2:3" hidden="1" x14ac:dyDescent="0.25">
      <c r="B993" s="65">
        <v>37196</v>
      </c>
      <c r="C993" t="s">
        <v>46</v>
      </c>
    </row>
    <row r="994" spans="2:3" hidden="1" x14ac:dyDescent="0.25">
      <c r="B994" s="65">
        <v>37195</v>
      </c>
      <c r="C994" t="s">
        <v>6409</v>
      </c>
    </row>
    <row r="995" spans="2:3" hidden="1" x14ac:dyDescent="0.25">
      <c r="B995" s="65">
        <v>37195</v>
      </c>
      <c r="C995" t="s">
        <v>8239</v>
      </c>
    </row>
    <row r="996" spans="2:3" hidden="1" x14ac:dyDescent="0.25">
      <c r="B996" s="65">
        <v>37194</v>
      </c>
      <c r="C996" t="s">
        <v>15251</v>
      </c>
    </row>
    <row r="997" spans="2:3" hidden="1" x14ac:dyDescent="0.25">
      <c r="B997" s="65">
        <v>37194</v>
      </c>
      <c r="C997" t="s">
        <v>15634</v>
      </c>
    </row>
    <row r="998" spans="2:3" hidden="1" x14ac:dyDescent="0.25">
      <c r="B998" s="65">
        <v>37194</v>
      </c>
      <c r="C998" t="s">
        <v>15693</v>
      </c>
    </row>
    <row r="999" spans="2:3" hidden="1" x14ac:dyDescent="0.25">
      <c r="B999" s="65">
        <v>37193</v>
      </c>
      <c r="C999" t="s">
        <v>14671</v>
      </c>
    </row>
    <row r="1000" spans="2:3" hidden="1" x14ac:dyDescent="0.25">
      <c r="B1000" s="65">
        <v>37193</v>
      </c>
      <c r="C1000" t="s">
        <v>13802</v>
      </c>
    </row>
    <row r="1001" spans="2:3" hidden="1" x14ac:dyDescent="0.25">
      <c r="B1001" s="65">
        <v>37193</v>
      </c>
      <c r="C1001" t="s">
        <v>15441</v>
      </c>
    </row>
    <row r="1002" spans="2:3" hidden="1" x14ac:dyDescent="0.25">
      <c r="B1002" s="65">
        <v>37192</v>
      </c>
      <c r="C1002" t="s">
        <v>1589</v>
      </c>
    </row>
    <row r="1003" spans="2:3" hidden="1" x14ac:dyDescent="0.25">
      <c r="B1003" s="65">
        <v>37192</v>
      </c>
      <c r="C1003" t="s">
        <v>15962</v>
      </c>
    </row>
    <row r="1004" spans="2:3" hidden="1" x14ac:dyDescent="0.25">
      <c r="B1004" s="65">
        <v>37191</v>
      </c>
      <c r="C1004" t="s">
        <v>15709</v>
      </c>
    </row>
    <row r="1005" spans="2:3" hidden="1" x14ac:dyDescent="0.25">
      <c r="B1005" s="65">
        <v>37190</v>
      </c>
      <c r="C1005" t="s">
        <v>15034</v>
      </c>
    </row>
    <row r="1006" spans="2:3" hidden="1" x14ac:dyDescent="0.25">
      <c r="B1006" s="65">
        <v>37190</v>
      </c>
      <c r="C1006" t="s">
        <v>3320</v>
      </c>
    </row>
    <row r="1007" spans="2:3" hidden="1" x14ac:dyDescent="0.25">
      <c r="B1007" s="65">
        <v>37190</v>
      </c>
      <c r="C1007" t="s">
        <v>7596</v>
      </c>
    </row>
    <row r="1008" spans="2:3" hidden="1" x14ac:dyDescent="0.25">
      <c r="B1008" s="65">
        <v>37189</v>
      </c>
      <c r="C1008" t="s">
        <v>14885</v>
      </c>
    </row>
    <row r="1009" spans="2:3" hidden="1" x14ac:dyDescent="0.25">
      <c r="B1009" s="65">
        <v>37188</v>
      </c>
      <c r="C1009" t="s">
        <v>4797</v>
      </c>
    </row>
    <row r="1010" spans="2:3" hidden="1" x14ac:dyDescent="0.25">
      <c r="B1010" s="65">
        <v>37186</v>
      </c>
      <c r="C1010" t="s">
        <v>14805</v>
      </c>
    </row>
    <row r="1011" spans="2:3" hidden="1" x14ac:dyDescent="0.25">
      <c r="B1011" s="65">
        <v>37184</v>
      </c>
      <c r="C1011" t="s">
        <v>3835</v>
      </c>
    </row>
    <row r="1012" spans="2:3" hidden="1" x14ac:dyDescent="0.25">
      <c r="B1012" s="65">
        <v>37184</v>
      </c>
      <c r="C1012" t="s">
        <v>15557</v>
      </c>
    </row>
    <row r="1013" spans="2:3" hidden="1" x14ac:dyDescent="0.25">
      <c r="B1013" s="65">
        <v>37183</v>
      </c>
      <c r="C1013" t="s">
        <v>2836</v>
      </c>
    </row>
    <row r="1014" spans="2:3" hidden="1" x14ac:dyDescent="0.25">
      <c r="B1014" s="65">
        <v>37183</v>
      </c>
      <c r="C1014" t="s">
        <v>15468</v>
      </c>
    </row>
    <row r="1015" spans="2:3" hidden="1" x14ac:dyDescent="0.25">
      <c r="B1015" s="65">
        <v>37183</v>
      </c>
      <c r="C1015" t="s">
        <v>16068</v>
      </c>
    </row>
    <row r="1016" spans="2:3" hidden="1" x14ac:dyDescent="0.25">
      <c r="B1016" s="65">
        <v>37182</v>
      </c>
      <c r="C1016" t="s">
        <v>4230</v>
      </c>
    </row>
    <row r="1017" spans="2:3" hidden="1" x14ac:dyDescent="0.25">
      <c r="B1017" s="65">
        <v>37182</v>
      </c>
      <c r="C1017" t="s">
        <v>4214</v>
      </c>
    </row>
    <row r="1018" spans="2:3" hidden="1" x14ac:dyDescent="0.25">
      <c r="B1018" s="65">
        <v>37182</v>
      </c>
      <c r="C1018" t="s">
        <v>954</v>
      </c>
    </row>
    <row r="1019" spans="2:3" hidden="1" x14ac:dyDescent="0.25">
      <c r="B1019" s="65">
        <v>37181</v>
      </c>
      <c r="C1019" t="s">
        <v>15095</v>
      </c>
    </row>
    <row r="1020" spans="2:3" hidden="1" x14ac:dyDescent="0.25">
      <c r="B1020" s="65">
        <v>37181</v>
      </c>
      <c r="C1020" t="s">
        <v>15369</v>
      </c>
    </row>
    <row r="1021" spans="2:3" hidden="1" x14ac:dyDescent="0.25">
      <c r="B1021" s="65">
        <v>37181</v>
      </c>
      <c r="C1021" t="s">
        <v>12424</v>
      </c>
    </row>
    <row r="1022" spans="2:3" hidden="1" x14ac:dyDescent="0.25">
      <c r="B1022" s="65">
        <v>37180</v>
      </c>
      <c r="C1022" t="s">
        <v>14904</v>
      </c>
    </row>
    <row r="1023" spans="2:3" hidden="1" x14ac:dyDescent="0.25">
      <c r="B1023" s="65">
        <v>37180</v>
      </c>
      <c r="C1023" t="s">
        <v>11651</v>
      </c>
    </row>
    <row r="1024" spans="2:3" hidden="1" x14ac:dyDescent="0.25">
      <c r="B1024" s="65">
        <v>37180</v>
      </c>
      <c r="C1024" t="s">
        <v>15116</v>
      </c>
    </row>
    <row r="1025" spans="2:3" hidden="1" x14ac:dyDescent="0.25">
      <c r="B1025" s="65">
        <v>37180</v>
      </c>
      <c r="C1025" t="s">
        <v>15383</v>
      </c>
    </row>
    <row r="1026" spans="2:3" hidden="1" x14ac:dyDescent="0.25">
      <c r="B1026" s="65">
        <v>37180</v>
      </c>
      <c r="C1026" t="s">
        <v>15570</v>
      </c>
    </row>
    <row r="1027" spans="2:3" hidden="1" x14ac:dyDescent="0.25">
      <c r="B1027" s="65">
        <v>37180</v>
      </c>
      <c r="C1027" t="s">
        <v>8097</v>
      </c>
    </row>
    <row r="1028" spans="2:3" hidden="1" x14ac:dyDescent="0.25">
      <c r="B1028" s="65">
        <v>37180</v>
      </c>
      <c r="C1028" t="s">
        <v>16286</v>
      </c>
    </row>
    <row r="1029" spans="2:3" hidden="1" x14ac:dyDescent="0.25">
      <c r="B1029" s="65">
        <v>37179</v>
      </c>
      <c r="C1029" t="s">
        <v>15414</v>
      </c>
    </row>
    <row r="1030" spans="2:3" hidden="1" x14ac:dyDescent="0.25">
      <c r="B1030" s="65">
        <v>37179</v>
      </c>
      <c r="C1030" t="s">
        <v>3624</v>
      </c>
    </row>
    <row r="1031" spans="2:3" hidden="1" x14ac:dyDescent="0.25">
      <c r="B1031" s="65">
        <v>37179</v>
      </c>
      <c r="C1031" t="s">
        <v>12985</v>
      </c>
    </row>
    <row r="1032" spans="2:3" hidden="1" x14ac:dyDescent="0.25">
      <c r="B1032" s="65">
        <v>37179</v>
      </c>
      <c r="C1032" t="s">
        <v>16065</v>
      </c>
    </row>
    <row r="1033" spans="2:3" hidden="1" x14ac:dyDescent="0.25">
      <c r="B1033" s="65">
        <v>37179</v>
      </c>
      <c r="C1033" t="s">
        <v>16124</v>
      </c>
    </row>
    <row r="1034" spans="2:3" hidden="1" x14ac:dyDescent="0.25">
      <c r="B1034" s="65">
        <v>37178</v>
      </c>
      <c r="C1034" t="s">
        <v>15970</v>
      </c>
    </row>
    <row r="1035" spans="2:3" hidden="1" x14ac:dyDescent="0.25">
      <c r="B1035" s="65">
        <v>37177</v>
      </c>
      <c r="C1035" t="s">
        <v>14265</v>
      </c>
    </row>
    <row r="1036" spans="2:3" hidden="1" x14ac:dyDescent="0.25">
      <c r="B1036" s="65">
        <v>37177</v>
      </c>
      <c r="C1036" t="s">
        <v>15056</v>
      </c>
    </row>
    <row r="1037" spans="2:3" hidden="1" x14ac:dyDescent="0.25">
      <c r="B1037" s="65">
        <v>37177</v>
      </c>
      <c r="C1037" t="s">
        <v>2060</v>
      </c>
    </row>
    <row r="1038" spans="2:3" hidden="1" x14ac:dyDescent="0.25">
      <c r="B1038" s="65">
        <v>37176</v>
      </c>
      <c r="C1038" t="s">
        <v>14766</v>
      </c>
    </row>
    <row r="1039" spans="2:3" hidden="1" x14ac:dyDescent="0.25">
      <c r="B1039" s="65">
        <v>37176</v>
      </c>
      <c r="C1039" t="s">
        <v>15007</v>
      </c>
    </row>
    <row r="1040" spans="2:3" hidden="1" x14ac:dyDescent="0.25">
      <c r="B1040" s="65">
        <v>37176</v>
      </c>
      <c r="C1040" t="s">
        <v>15328</v>
      </c>
    </row>
    <row r="1041" spans="2:3" hidden="1" x14ac:dyDescent="0.25">
      <c r="B1041" s="65">
        <v>37176</v>
      </c>
      <c r="C1041" t="s">
        <v>16141</v>
      </c>
    </row>
    <row r="1042" spans="2:3" hidden="1" x14ac:dyDescent="0.25">
      <c r="B1042" s="65">
        <v>37175</v>
      </c>
      <c r="C1042" t="s">
        <v>15242</v>
      </c>
    </row>
    <row r="1043" spans="2:3" hidden="1" x14ac:dyDescent="0.25">
      <c r="B1043" s="65">
        <v>37175</v>
      </c>
      <c r="C1043" t="s">
        <v>2009</v>
      </c>
    </row>
    <row r="1044" spans="2:3" hidden="1" x14ac:dyDescent="0.25">
      <c r="B1044" s="65">
        <v>37175</v>
      </c>
      <c r="C1044" t="s">
        <v>2496</v>
      </c>
    </row>
    <row r="1045" spans="2:3" hidden="1" x14ac:dyDescent="0.25">
      <c r="B1045" s="65">
        <v>37174</v>
      </c>
      <c r="C1045" t="s">
        <v>15892</v>
      </c>
    </row>
    <row r="1046" spans="2:3" hidden="1" x14ac:dyDescent="0.25">
      <c r="B1046" s="65">
        <v>37173</v>
      </c>
      <c r="C1046" t="s">
        <v>2542</v>
      </c>
    </row>
    <row r="1047" spans="2:3" hidden="1" x14ac:dyDescent="0.25">
      <c r="B1047" s="65">
        <v>37173</v>
      </c>
      <c r="C1047" t="s">
        <v>15076</v>
      </c>
    </row>
    <row r="1048" spans="2:3" hidden="1" x14ac:dyDescent="0.25">
      <c r="B1048" s="65">
        <v>37173</v>
      </c>
      <c r="C1048" t="s">
        <v>15086</v>
      </c>
    </row>
    <row r="1049" spans="2:3" hidden="1" x14ac:dyDescent="0.25">
      <c r="B1049" s="65">
        <v>37173</v>
      </c>
      <c r="C1049" t="s">
        <v>696</v>
      </c>
    </row>
    <row r="1050" spans="2:3" hidden="1" x14ac:dyDescent="0.25">
      <c r="B1050" s="65">
        <v>37172</v>
      </c>
      <c r="C1050" t="s">
        <v>16169</v>
      </c>
    </row>
    <row r="1051" spans="2:3" hidden="1" x14ac:dyDescent="0.25">
      <c r="B1051" s="65">
        <v>37172</v>
      </c>
      <c r="C1051" t="s">
        <v>939</v>
      </c>
    </row>
    <row r="1052" spans="2:3" hidden="1" x14ac:dyDescent="0.25">
      <c r="B1052" s="65">
        <v>37172</v>
      </c>
      <c r="C1052" t="s">
        <v>3136</v>
      </c>
    </row>
    <row r="1053" spans="2:3" hidden="1" x14ac:dyDescent="0.25">
      <c r="B1053" s="65">
        <v>37171</v>
      </c>
      <c r="C1053" t="s">
        <v>15405</v>
      </c>
    </row>
    <row r="1054" spans="2:3" hidden="1" x14ac:dyDescent="0.25">
      <c r="B1054" s="65">
        <v>37171</v>
      </c>
      <c r="C1054" t="s">
        <v>15595</v>
      </c>
    </row>
    <row r="1055" spans="2:3" hidden="1" x14ac:dyDescent="0.25">
      <c r="B1055" s="65">
        <v>37170</v>
      </c>
      <c r="C1055" t="s">
        <v>15882</v>
      </c>
    </row>
    <row r="1056" spans="2:3" hidden="1" x14ac:dyDescent="0.25">
      <c r="B1056" s="65">
        <v>37170</v>
      </c>
      <c r="C1056" t="s">
        <v>1144</v>
      </c>
    </row>
    <row r="1057" spans="2:3" hidden="1" x14ac:dyDescent="0.25">
      <c r="B1057" s="65">
        <v>37170</v>
      </c>
      <c r="C1057" t="s">
        <v>16255</v>
      </c>
    </row>
    <row r="1058" spans="2:3" hidden="1" x14ac:dyDescent="0.25">
      <c r="B1058" s="65">
        <v>37169</v>
      </c>
      <c r="C1058" t="s">
        <v>14951</v>
      </c>
    </row>
    <row r="1059" spans="2:3" hidden="1" x14ac:dyDescent="0.25">
      <c r="B1059" s="65">
        <v>37169</v>
      </c>
      <c r="C1059" t="s">
        <v>15561</v>
      </c>
    </row>
    <row r="1060" spans="2:3" hidden="1" x14ac:dyDescent="0.25">
      <c r="B1060" s="65">
        <v>37169</v>
      </c>
      <c r="C1060" t="s">
        <v>15744</v>
      </c>
    </row>
    <row r="1061" spans="2:3" hidden="1" x14ac:dyDescent="0.25">
      <c r="B1061" s="65">
        <v>37169</v>
      </c>
      <c r="C1061" t="s">
        <v>3320</v>
      </c>
    </row>
    <row r="1062" spans="2:3" hidden="1" x14ac:dyDescent="0.25">
      <c r="B1062" s="65">
        <v>37168</v>
      </c>
      <c r="C1062" t="s">
        <v>3610</v>
      </c>
    </row>
    <row r="1063" spans="2:3" hidden="1" x14ac:dyDescent="0.25">
      <c r="B1063" s="65">
        <v>37168</v>
      </c>
      <c r="C1063" t="s">
        <v>15158</v>
      </c>
    </row>
    <row r="1064" spans="2:3" hidden="1" x14ac:dyDescent="0.25">
      <c r="B1064" s="65">
        <v>37168</v>
      </c>
      <c r="C1064" t="s">
        <v>2009</v>
      </c>
    </row>
    <row r="1065" spans="2:3" hidden="1" x14ac:dyDescent="0.25">
      <c r="B1065" s="65">
        <v>37168</v>
      </c>
      <c r="C1065" t="s">
        <v>9981</v>
      </c>
    </row>
    <row r="1066" spans="2:3" hidden="1" x14ac:dyDescent="0.25">
      <c r="B1066" s="65">
        <v>37168</v>
      </c>
      <c r="C1066" t="s">
        <v>15733</v>
      </c>
    </row>
    <row r="1067" spans="2:3" hidden="1" x14ac:dyDescent="0.25">
      <c r="B1067" s="65">
        <v>37167</v>
      </c>
      <c r="C1067" t="s">
        <v>3169</v>
      </c>
    </row>
    <row r="1068" spans="2:3" hidden="1" x14ac:dyDescent="0.25">
      <c r="B1068" s="65">
        <v>37167</v>
      </c>
      <c r="C1068" t="s">
        <v>4516</v>
      </c>
    </row>
    <row r="1069" spans="2:3" hidden="1" x14ac:dyDescent="0.25">
      <c r="B1069" s="65">
        <v>37167</v>
      </c>
      <c r="C1069" t="s">
        <v>15456</v>
      </c>
    </row>
    <row r="1070" spans="2:3" hidden="1" x14ac:dyDescent="0.25">
      <c r="B1070" s="65">
        <v>37167</v>
      </c>
      <c r="C1070" t="s">
        <v>15807</v>
      </c>
    </row>
    <row r="1071" spans="2:3" hidden="1" x14ac:dyDescent="0.25">
      <c r="B1071" s="65">
        <v>37167</v>
      </c>
      <c r="C1071" t="s">
        <v>15925</v>
      </c>
    </row>
    <row r="1072" spans="2:3" hidden="1" x14ac:dyDescent="0.25">
      <c r="B1072" s="65">
        <v>37167</v>
      </c>
      <c r="C1072" t="s">
        <v>16149</v>
      </c>
    </row>
    <row r="1073" spans="2:3" hidden="1" x14ac:dyDescent="0.25">
      <c r="B1073" s="65">
        <v>37166</v>
      </c>
      <c r="C1073" t="s">
        <v>5615</v>
      </c>
    </row>
    <row r="1074" spans="2:3" hidden="1" x14ac:dyDescent="0.25">
      <c r="B1074" s="65">
        <v>37165</v>
      </c>
      <c r="C1074" t="s">
        <v>14857</v>
      </c>
    </row>
    <row r="1075" spans="2:3" hidden="1" x14ac:dyDescent="0.25">
      <c r="B1075" s="65">
        <v>37165</v>
      </c>
      <c r="C1075" t="s">
        <v>5329</v>
      </c>
    </row>
    <row r="1076" spans="2:3" hidden="1" x14ac:dyDescent="0.25">
      <c r="B1076" s="65">
        <v>37165</v>
      </c>
      <c r="C1076" t="s">
        <v>15832</v>
      </c>
    </row>
    <row r="1077" spans="2:3" hidden="1" x14ac:dyDescent="0.25">
      <c r="B1077" s="65">
        <v>37165</v>
      </c>
      <c r="C1077" t="s">
        <v>16009</v>
      </c>
    </row>
    <row r="1078" spans="2:3" hidden="1" x14ac:dyDescent="0.25">
      <c r="B1078" s="65">
        <v>37164</v>
      </c>
      <c r="C1078" t="s">
        <v>11430</v>
      </c>
    </row>
    <row r="1079" spans="2:3" hidden="1" x14ac:dyDescent="0.25">
      <c r="B1079" s="65">
        <v>37163</v>
      </c>
      <c r="C1079" t="s">
        <v>14893</v>
      </c>
    </row>
    <row r="1080" spans="2:3" hidden="1" x14ac:dyDescent="0.25">
      <c r="B1080" s="65">
        <v>37162</v>
      </c>
      <c r="C1080" t="s">
        <v>16137</v>
      </c>
    </row>
    <row r="1081" spans="2:3" hidden="1" x14ac:dyDescent="0.25">
      <c r="B1081" s="65">
        <v>37162</v>
      </c>
      <c r="C1081" t="s">
        <v>16228</v>
      </c>
    </row>
    <row r="1082" spans="2:3" hidden="1" x14ac:dyDescent="0.25">
      <c r="B1082" s="65">
        <v>37161</v>
      </c>
      <c r="C1082" t="s">
        <v>14923</v>
      </c>
    </row>
    <row r="1083" spans="2:3" hidden="1" x14ac:dyDescent="0.25">
      <c r="B1083" s="65">
        <v>37161</v>
      </c>
      <c r="C1083" t="s">
        <v>6230</v>
      </c>
    </row>
    <row r="1084" spans="2:3" hidden="1" x14ac:dyDescent="0.25">
      <c r="B1084" s="65">
        <v>37161</v>
      </c>
      <c r="C1084" t="s">
        <v>46</v>
      </c>
    </row>
    <row r="1085" spans="2:3" hidden="1" x14ac:dyDescent="0.25">
      <c r="B1085" s="65">
        <v>37161</v>
      </c>
      <c r="C1085" t="s">
        <v>15480</v>
      </c>
    </row>
    <row r="1086" spans="2:3" hidden="1" x14ac:dyDescent="0.25">
      <c r="B1086" s="65">
        <v>37160</v>
      </c>
      <c r="C1086" t="s">
        <v>1288</v>
      </c>
    </row>
    <row r="1087" spans="2:3" hidden="1" x14ac:dyDescent="0.25">
      <c r="B1087" s="65">
        <v>37160</v>
      </c>
      <c r="C1087" t="s">
        <v>15661</v>
      </c>
    </row>
    <row r="1088" spans="2:3" hidden="1" x14ac:dyDescent="0.25">
      <c r="B1088" s="65">
        <v>37160</v>
      </c>
      <c r="C1088" t="s">
        <v>1414</v>
      </c>
    </row>
    <row r="1089" spans="2:3" hidden="1" x14ac:dyDescent="0.25">
      <c r="B1089" s="65">
        <v>37159</v>
      </c>
      <c r="C1089" t="s">
        <v>2354</v>
      </c>
    </row>
    <row r="1090" spans="2:3" hidden="1" x14ac:dyDescent="0.25">
      <c r="B1090" s="65">
        <v>37159</v>
      </c>
      <c r="C1090" t="s">
        <v>16027</v>
      </c>
    </row>
    <row r="1091" spans="2:3" hidden="1" x14ac:dyDescent="0.25">
      <c r="B1091" s="65">
        <v>37159</v>
      </c>
      <c r="C1091" t="s">
        <v>16112</v>
      </c>
    </row>
    <row r="1092" spans="2:3" hidden="1" x14ac:dyDescent="0.25">
      <c r="B1092" s="65">
        <v>37158</v>
      </c>
      <c r="C1092" t="s">
        <v>15120</v>
      </c>
    </row>
    <row r="1093" spans="2:3" hidden="1" x14ac:dyDescent="0.25">
      <c r="B1093" s="65">
        <v>37158</v>
      </c>
      <c r="C1093" t="s">
        <v>3653</v>
      </c>
    </row>
    <row r="1094" spans="2:3" hidden="1" x14ac:dyDescent="0.25">
      <c r="B1094" s="65">
        <v>37158</v>
      </c>
      <c r="C1094" t="s">
        <v>15617</v>
      </c>
    </row>
    <row r="1095" spans="2:3" hidden="1" x14ac:dyDescent="0.25">
      <c r="B1095" s="65">
        <v>37156</v>
      </c>
      <c r="C1095" t="s">
        <v>4283</v>
      </c>
    </row>
    <row r="1096" spans="2:3" hidden="1" x14ac:dyDescent="0.25">
      <c r="B1096" s="65">
        <v>37156</v>
      </c>
      <c r="C1096" t="s">
        <v>8915</v>
      </c>
    </row>
    <row r="1097" spans="2:3" hidden="1" x14ac:dyDescent="0.25">
      <c r="B1097" s="65">
        <v>37156</v>
      </c>
      <c r="C1097" t="s">
        <v>7798</v>
      </c>
    </row>
    <row r="1098" spans="2:3" hidden="1" x14ac:dyDescent="0.25">
      <c r="B1098" s="65">
        <v>37156</v>
      </c>
      <c r="C1098" t="s">
        <v>4394</v>
      </c>
    </row>
    <row r="1099" spans="2:3" hidden="1" x14ac:dyDescent="0.25">
      <c r="B1099" s="65">
        <v>37156</v>
      </c>
      <c r="C1099" t="s">
        <v>15853</v>
      </c>
    </row>
    <row r="1100" spans="2:3" hidden="1" x14ac:dyDescent="0.25">
      <c r="B1100" s="65">
        <v>37155</v>
      </c>
      <c r="C1100" t="s">
        <v>15221</v>
      </c>
    </row>
    <row r="1101" spans="2:3" hidden="1" x14ac:dyDescent="0.25">
      <c r="B1101" s="65">
        <v>37155</v>
      </c>
      <c r="C1101" t="s">
        <v>15486</v>
      </c>
    </row>
    <row r="1102" spans="2:3" hidden="1" x14ac:dyDescent="0.25">
      <c r="B1102" s="65">
        <v>37155</v>
      </c>
      <c r="C1102" t="s">
        <v>8837</v>
      </c>
    </row>
    <row r="1103" spans="2:3" hidden="1" x14ac:dyDescent="0.25">
      <c r="B1103" s="65">
        <v>37155</v>
      </c>
      <c r="C1103" t="s">
        <v>8837</v>
      </c>
    </row>
    <row r="1104" spans="2:3" hidden="1" x14ac:dyDescent="0.25">
      <c r="B1104" s="65">
        <v>37154</v>
      </c>
      <c r="C1104" t="s">
        <v>15078</v>
      </c>
    </row>
    <row r="1105" spans="2:3" hidden="1" x14ac:dyDescent="0.25">
      <c r="B1105" s="65">
        <v>37154</v>
      </c>
      <c r="C1105" t="s">
        <v>15290</v>
      </c>
    </row>
    <row r="1106" spans="2:3" hidden="1" x14ac:dyDescent="0.25">
      <c r="B1106" s="65">
        <v>37154</v>
      </c>
      <c r="C1106" t="s">
        <v>16101</v>
      </c>
    </row>
    <row r="1107" spans="2:3" hidden="1" x14ac:dyDescent="0.25">
      <c r="B1107" s="65">
        <v>37153</v>
      </c>
      <c r="C1107" t="s">
        <v>15226</v>
      </c>
    </row>
    <row r="1108" spans="2:3" hidden="1" x14ac:dyDescent="0.25">
      <c r="B1108" s="65">
        <v>37153</v>
      </c>
      <c r="C1108" t="s">
        <v>2445</v>
      </c>
    </row>
    <row r="1109" spans="2:3" hidden="1" x14ac:dyDescent="0.25">
      <c r="B1109" s="65">
        <v>37153</v>
      </c>
      <c r="C1109" t="s">
        <v>2945</v>
      </c>
    </row>
    <row r="1110" spans="2:3" hidden="1" x14ac:dyDescent="0.25">
      <c r="B1110" s="65">
        <v>37152</v>
      </c>
      <c r="C1110" t="s">
        <v>14745</v>
      </c>
    </row>
    <row r="1111" spans="2:3" hidden="1" x14ac:dyDescent="0.25">
      <c r="B1111" s="65">
        <v>37152</v>
      </c>
      <c r="C1111" t="s">
        <v>2000</v>
      </c>
    </row>
    <row r="1112" spans="2:3" hidden="1" x14ac:dyDescent="0.25">
      <c r="B1112" s="65">
        <v>37152</v>
      </c>
      <c r="C1112" t="s">
        <v>13855</v>
      </c>
    </row>
    <row r="1113" spans="2:3" hidden="1" x14ac:dyDescent="0.25">
      <c r="B1113" s="65">
        <v>37151</v>
      </c>
      <c r="C1113" t="s">
        <v>8250</v>
      </c>
    </row>
    <row r="1114" spans="2:3" hidden="1" x14ac:dyDescent="0.25">
      <c r="B1114" s="65">
        <v>37151</v>
      </c>
      <c r="C1114" t="s">
        <v>15674</v>
      </c>
    </row>
    <row r="1115" spans="2:3" hidden="1" x14ac:dyDescent="0.25">
      <c r="B1115" s="65">
        <v>37150</v>
      </c>
      <c r="C1115" t="s">
        <v>12512</v>
      </c>
    </row>
    <row r="1116" spans="2:3" hidden="1" x14ac:dyDescent="0.25">
      <c r="B1116" s="65">
        <v>37150</v>
      </c>
      <c r="C1116" t="s">
        <v>15836</v>
      </c>
    </row>
    <row r="1117" spans="2:3" hidden="1" x14ac:dyDescent="0.25">
      <c r="B1117" s="65">
        <v>37150</v>
      </c>
      <c r="C1117" t="s">
        <v>7265</v>
      </c>
    </row>
    <row r="1118" spans="2:3" hidden="1" x14ac:dyDescent="0.25">
      <c r="B1118" s="65">
        <v>37148</v>
      </c>
      <c r="C1118" t="s">
        <v>15015</v>
      </c>
    </row>
    <row r="1119" spans="2:3" hidden="1" x14ac:dyDescent="0.25">
      <c r="B1119" s="65">
        <v>37148</v>
      </c>
      <c r="C1119" t="s">
        <v>15979</v>
      </c>
    </row>
    <row r="1120" spans="2:3" hidden="1" x14ac:dyDescent="0.25">
      <c r="B1120" s="65">
        <v>37147</v>
      </c>
      <c r="C1120" t="s">
        <v>1336</v>
      </c>
    </row>
    <row r="1121" spans="2:3" hidden="1" x14ac:dyDescent="0.25">
      <c r="B1121" s="65">
        <v>37147</v>
      </c>
      <c r="C1121" t="s">
        <v>15681</v>
      </c>
    </row>
    <row r="1122" spans="2:3" hidden="1" x14ac:dyDescent="0.25">
      <c r="B1122" s="65">
        <v>37147</v>
      </c>
      <c r="C1122" t="s">
        <v>15715</v>
      </c>
    </row>
    <row r="1123" spans="2:3" hidden="1" x14ac:dyDescent="0.25">
      <c r="B1123" s="65">
        <v>37147</v>
      </c>
      <c r="C1123" t="s">
        <v>8567</v>
      </c>
    </row>
    <row r="1124" spans="2:3" hidden="1" x14ac:dyDescent="0.25">
      <c r="B1124" s="65">
        <v>37147</v>
      </c>
      <c r="C1124" t="s">
        <v>12331</v>
      </c>
    </row>
    <row r="1125" spans="2:3" hidden="1" x14ac:dyDescent="0.25">
      <c r="B1125" s="65">
        <v>37146</v>
      </c>
      <c r="C1125" t="s">
        <v>5766</v>
      </c>
    </row>
    <row r="1126" spans="2:3" hidden="1" x14ac:dyDescent="0.25">
      <c r="B1126" s="65">
        <v>37146</v>
      </c>
      <c r="C1126" t="s">
        <v>15218</v>
      </c>
    </row>
    <row r="1127" spans="2:3" hidden="1" x14ac:dyDescent="0.25">
      <c r="B1127" s="65">
        <v>37145</v>
      </c>
      <c r="C1127" t="s">
        <v>9631</v>
      </c>
    </row>
    <row r="1128" spans="2:3" hidden="1" x14ac:dyDescent="0.25">
      <c r="B1128" s="65">
        <v>37144</v>
      </c>
      <c r="C1128" t="s">
        <v>9288</v>
      </c>
    </row>
    <row r="1129" spans="2:3" hidden="1" x14ac:dyDescent="0.25">
      <c r="B1129" s="65">
        <v>37144</v>
      </c>
      <c r="C1129" t="s">
        <v>14915</v>
      </c>
    </row>
    <row r="1130" spans="2:3" hidden="1" x14ac:dyDescent="0.25">
      <c r="B1130" s="65">
        <v>37143</v>
      </c>
      <c r="C1130" t="s">
        <v>15448</v>
      </c>
    </row>
    <row r="1131" spans="2:3" hidden="1" x14ac:dyDescent="0.25">
      <c r="B1131" s="65">
        <v>37143</v>
      </c>
      <c r="C1131" t="s">
        <v>15584</v>
      </c>
    </row>
    <row r="1132" spans="2:3" hidden="1" x14ac:dyDescent="0.25">
      <c r="B1132" s="65">
        <v>37143</v>
      </c>
      <c r="C1132" t="s">
        <v>9916</v>
      </c>
    </row>
    <row r="1133" spans="2:3" hidden="1" x14ac:dyDescent="0.25">
      <c r="B1133" s="65">
        <v>37142</v>
      </c>
      <c r="C1133" t="s">
        <v>3738</v>
      </c>
    </row>
    <row r="1134" spans="2:3" hidden="1" x14ac:dyDescent="0.25">
      <c r="B1134" s="65">
        <v>37141</v>
      </c>
      <c r="C1134" t="s">
        <v>8375</v>
      </c>
    </row>
    <row r="1135" spans="2:3" hidden="1" x14ac:dyDescent="0.25">
      <c r="B1135" s="65">
        <v>37141</v>
      </c>
      <c r="C1135" t="s">
        <v>15142</v>
      </c>
    </row>
    <row r="1136" spans="2:3" hidden="1" x14ac:dyDescent="0.25">
      <c r="B1136" s="65">
        <v>37141</v>
      </c>
      <c r="C1136" t="s">
        <v>1370</v>
      </c>
    </row>
    <row r="1137" spans="2:3" hidden="1" x14ac:dyDescent="0.25">
      <c r="B1137" s="65">
        <v>37140</v>
      </c>
      <c r="C1137" t="s">
        <v>3136</v>
      </c>
    </row>
    <row r="1138" spans="2:3" hidden="1" x14ac:dyDescent="0.25">
      <c r="B1138" s="65">
        <v>37140</v>
      </c>
      <c r="C1138" t="s">
        <v>15875</v>
      </c>
    </row>
    <row r="1139" spans="2:3" hidden="1" x14ac:dyDescent="0.25">
      <c r="B1139" s="65">
        <v>37139</v>
      </c>
      <c r="C1139" t="s">
        <v>15306</v>
      </c>
    </row>
    <row r="1140" spans="2:3" hidden="1" x14ac:dyDescent="0.25">
      <c r="B1140" s="65">
        <v>37139</v>
      </c>
      <c r="C1140" t="s">
        <v>15550</v>
      </c>
    </row>
    <row r="1141" spans="2:3" hidden="1" x14ac:dyDescent="0.25">
      <c r="B1141" s="65">
        <v>37139</v>
      </c>
      <c r="C1141" t="s">
        <v>16176</v>
      </c>
    </row>
    <row r="1142" spans="2:3" hidden="1" x14ac:dyDescent="0.25">
      <c r="B1142" s="65">
        <v>37138</v>
      </c>
      <c r="C1142" t="s">
        <v>14984</v>
      </c>
    </row>
    <row r="1143" spans="2:3" hidden="1" x14ac:dyDescent="0.25">
      <c r="B1143" s="65">
        <v>37138</v>
      </c>
      <c r="C1143" t="s">
        <v>15687</v>
      </c>
    </row>
    <row r="1144" spans="2:3" hidden="1" x14ac:dyDescent="0.25">
      <c r="B1144" s="65">
        <v>37138</v>
      </c>
      <c r="C1144" t="s">
        <v>3320</v>
      </c>
    </row>
    <row r="1145" spans="2:3" hidden="1" x14ac:dyDescent="0.25">
      <c r="B1145" s="65">
        <v>37138</v>
      </c>
      <c r="C1145" t="s">
        <v>15955</v>
      </c>
    </row>
    <row r="1146" spans="2:3" hidden="1" x14ac:dyDescent="0.25">
      <c r="B1146" s="65">
        <v>37138</v>
      </c>
      <c r="C1146" t="s">
        <v>16272</v>
      </c>
    </row>
    <row r="1147" spans="2:3" hidden="1" x14ac:dyDescent="0.25">
      <c r="B1147" s="65">
        <v>37137</v>
      </c>
      <c r="C1147" t="s">
        <v>15641</v>
      </c>
    </row>
    <row r="1148" spans="2:3" hidden="1" x14ac:dyDescent="0.25">
      <c r="B1148" s="65">
        <v>37137</v>
      </c>
      <c r="C1148" t="s">
        <v>15916</v>
      </c>
    </row>
    <row r="1149" spans="2:3" hidden="1" x14ac:dyDescent="0.25">
      <c r="B1149" s="65">
        <v>37137</v>
      </c>
      <c r="C1149" t="s">
        <v>3227</v>
      </c>
    </row>
    <row r="1150" spans="2:3" hidden="1" x14ac:dyDescent="0.25">
      <c r="B1150" s="65">
        <v>37136</v>
      </c>
      <c r="C1150" t="s">
        <v>14844</v>
      </c>
    </row>
    <row r="1151" spans="2:3" hidden="1" x14ac:dyDescent="0.25">
      <c r="B1151" s="65">
        <v>37136</v>
      </c>
      <c r="C1151" t="s">
        <v>15257</v>
      </c>
    </row>
    <row r="1152" spans="2:3" hidden="1" x14ac:dyDescent="0.25">
      <c r="B1152" s="65">
        <v>37136</v>
      </c>
      <c r="C1152" t="s">
        <v>16154</v>
      </c>
    </row>
    <row r="1153" spans="2:3" hidden="1" x14ac:dyDescent="0.25">
      <c r="B1153" s="65">
        <v>37136</v>
      </c>
      <c r="C1153" t="s">
        <v>16278</v>
      </c>
    </row>
    <row r="1154" spans="2:3" hidden="1" x14ac:dyDescent="0.25">
      <c r="B1154" s="65">
        <v>37135</v>
      </c>
      <c r="C1154" t="s">
        <v>15492</v>
      </c>
    </row>
    <row r="1155" spans="2:3" hidden="1" x14ac:dyDescent="0.25">
      <c r="B1155" s="65">
        <v>37135</v>
      </c>
      <c r="C1155" t="s">
        <v>3136</v>
      </c>
    </row>
    <row r="1156" spans="2:3" hidden="1" x14ac:dyDescent="0.25">
      <c r="B1156" s="65">
        <v>37134</v>
      </c>
      <c r="C1156" t="s">
        <v>14675</v>
      </c>
    </row>
    <row r="1157" spans="2:3" hidden="1" x14ac:dyDescent="0.25">
      <c r="B1157" s="65">
        <v>37134</v>
      </c>
      <c r="C1157" t="s">
        <v>1896</v>
      </c>
    </row>
    <row r="1158" spans="2:3" hidden="1" x14ac:dyDescent="0.25">
      <c r="B1158" s="65">
        <v>37134</v>
      </c>
      <c r="C1158" t="s">
        <v>9661</v>
      </c>
    </row>
    <row r="1159" spans="2:3" hidden="1" x14ac:dyDescent="0.25">
      <c r="B1159" s="65">
        <v>37134</v>
      </c>
      <c r="C1159" t="s">
        <v>8686</v>
      </c>
    </row>
    <row r="1160" spans="2:3" hidden="1" x14ac:dyDescent="0.25">
      <c r="B1160" s="65">
        <v>37133</v>
      </c>
      <c r="C1160" t="s">
        <v>15192</v>
      </c>
    </row>
    <row r="1161" spans="2:3" hidden="1" x14ac:dyDescent="0.25">
      <c r="B1161" s="65">
        <v>37133</v>
      </c>
      <c r="C1161" t="s">
        <v>11205</v>
      </c>
    </row>
    <row r="1162" spans="2:3" hidden="1" x14ac:dyDescent="0.25">
      <c r="B1162" s="65">
        <v>37132</v>
      </c>
      <c r="C1162" t="s">
        <v>15460</v>
      </c>
    </row>
    <row r="1163" spans="2:3" hidden="1" x14ac:dyDescent="0.25">
      <c r="B1163" s="65">
        <v>37132</v>
      </c>
      <c r="C1163" t="s">
        <v>3245</v>
      </c>
    </row>
    <row r="1164" spans="2:3" hidden="1" x14ac:dyDescent="0.25">
      <c r="B1164" s="65">
        <v>37132</v>
      </c>
      <c r="C1164" t="s">
        <v>15863</v>
      </c>
    </row>
    <row r="1165" spans="2:3" hidden="1" x14ac:dyDescent="0.25">
      <c r="B1165" s="65">
        <v>37132</v>
      </c>
      <c r="C1165" t="s">
        <v>8607</v>
      </c>
    </row>
    <row r="1166" spans="2:3" hidden="1" x14ac:dyDescent="0.25">
      <c r="B1166" s="65">
        <v>37131</v>
      </c>
      <c r="C1166" t="s">
        <v>15428</v>
      </c>
    </row>
    <row r="1167" spans="2:3" hidden="1" x14ac:dyDescent="0.25">
      <c r="B1167" s="65">
        <v>37131</v>
      </c>
      <c r="C1167" t="s">
        <v>15443</v>
      </c>
    </row>
    <row r="1168" spans="2:3" hidden="1" x14ac:dyDescent="0.25">
      <c r="B1168" s="65">
        <v>37131</v>
      </c>
      <c r="C1168" t="s">
        <v>2286</v>
      </c>
    </row>
    <row r="1169" spans="2:3" hidden="1" x14ac:dyDescent="0.25">
      <c r="B1169" s="65">
        <v>37131</v>
      </c>
      <c r="C1169" t="s">
        <v>12299</v>
      </c>
    </row>
    <row r="1170" spans="2:3" hidden="1" x14ac:dyDescent="0.25">
      <c r="B1170" s="65">
        <v>37131</v>
      </c>
      <c r="C1170" t="s">
        <v>15903</v>
      </c>
    </row>
    <row r="1171" spans="2:3" hidden="1" x14ac:dyDescent="0.25">
      <c r="B1171" s="65">
        <v>37130</v>
      </c>
      <c r="C1171" t="s">
        <v>15058</v>
      </c>
    </row>
    <row r="1172" spans="2:3" hidden="1" x14ac:dyDescent="0.25">
      <c r="B1172" s="65">
        <v>37130</v>
      </c>
      <c r="C1172" t="s">
        <v>16031</v>
      </c>
    </row>
    <row r="1173" spans="2:3" hidden="1" x14ac:dyDescent="0.25">
      <c r="B1173" s="65">
        <v>37130</v>
      </c>
      <c r="C1173" t="s">
        <v>16220</v>
      </c>
    </row>
    <row r="1174" spans="2:3" hidden="1" x14ac:dyDescent="0.25">
      <c r="B1174" s="65">
        <v>37129</v>
      </c>
      <c r="C1174" t="s">
        <v>3933</v>
      </c>
    </row>
    <row r="1175" spans="2:3" hidden="1" x14ac:dyDescent="0.25">
      <c r="B1175" s="65">
        <v>37129</v>
      </c>
      <c r="C1175" t="s">
        <v>15566</v>
      </c>
    </row>
    <row r="1176" spans="2:3" hidden="1" x14ac:dyDescent="0.25">
      <c r="B1176" s="65">
        <v>37128</v>
      </c>
      <c r="C1176" t="s">
        <v>15065</v>
      </c>
    </row>
    <row r="1177" spans="2:3" hidden="1" x14ac:dyDescent="0.25">
      <c r="B1177" s="65">
        <v>37128</v>
      </c>
      <c r="C1177" t="s">
        <v>2047</v>
      </c>
    </row>
    <row r="1178" spans="2:3" hidden="1" x14ac:dyDescent="0.25">
      <c r="B1178" s="65">
        <v>37128</v>
      </c>
      <c r="C1178" t="s">
        <v>15630</v>
      </c>
    </row>
    <row r="1179" spans="2:3" hidden="1" x14ac:dyDescent="0.25">
      <c r="B1179" s="65">
        <v>37128</v>
      </c>
      <c r="C1179" t="s">
        <v>7265</v>
      </c>
    </row>
    <row r="1180" spans="2:3" hidden="1" x14ac:dyDescent="0.25">
      <c r="B1180" s="65">
        <v>37128</v>
      </c>
      <c r="C1180" t="s">
        <v>11664</v>
      </c>
    </row>
    <row r="1181" spans="2:3" hidden="1" x14ac:dyDescent="0.25">
      <c r="B1181" s="65">
        <v>37128</v>
      </c>
      <c r="C1181" t="s">
        <v>13630</v>
      </c>
    </row>
    <row r="1182" spans="2:3" hidden="1" x14ac:dyDescent="0.25">
      <c r="B1182" s="65">
        <v>37127</v>
      </c>
      <c r="C1182" t="s">
        <v>14692</v>
      </c>
    </row>
    <row r="1183" spans="2:3" hidden="1" x14ac:dyDescent="0.25">
      <c r="B1183" s="65">
        <v>37127</v>
      </c>
      <c r="C1183" t="s">
        <v>15048</v>
      </c>
    </row>
    <row r="1184" spans="2:3" hidden="1" x14ac:dyDescent="0.25">
      <c r="B1184" s="65">
        <v>37127</v>
      </c>
      <c r="C1184" t="s">
        <v>9564</v>
      </c>
    </row>
    <row r="1185" spans="2:3" hidden="1" x14ac:dyDescent="0.25">
      <c r="B1185" s="65">
        <v>37127</v>
      </c>
      <c r="C1185" t="s">
        <v>13541</v>
      </c>
    </row>
    <row r="1186" spans="2:3" hidden="1" x14ac:dyDescent="0.25">
      <c r="B1186" s="65">
        <v>37127</v>
      </c>
      <c r="C1186" t="s">
        <v>16061</v>
      </c>
    </row>
    <row r="1187" spans="2:3" hidden="1" x14ac:dyDescent="0.25">
      <c r="B1187" s="65">
        <v>37126</v>
      </c>
      <c r="C1187" t="s">
        <v>2186</v>
      </c>
    </row>
    <row r="1188" spans="2:3" hidden="1" x14ac:dyDescent="0.25">
      <c r="B1188" s="65">
        <v>37126</v>
      </c>
      <c r="C1188" t="s">
        <v>14202</v>
      </c>
    </row>
    <row r="1189" spans="2:3" hidden="1" x14ac:dyDescent="0.25">
      <c r="B1189" s="65">
        <v>37125</v>
      </c>
      <c r="C1189" t="s">
        <v>14680</v>
      </c>
    </row>
    <row r="1190" spans="2:3" hidden="1" x14ac:dyDescent="0.25">
      <c r="B1190" s="65">
        <v>37125</v>
      </c>
      <c r="C1190" t="s">
        <v>14841</v>
      </c>
    </row>
    <row r="1191" spans="2:3" hidden="1" x14ac:dyDescent="0.25">
      <c r="B1191" s="65">
        <v>37124</v>
      </c>
      <c r="C1191" t="s">
        <v>4115</v>
      </c>
    </row>
    <row r="1192" spans="2:3" hidden="1" x14ac:dyDescent="0.25">
      <c r="B1192" s="65">
        <v>37124</v>
      </c>
      <c r="C1192" t="s">
        <v>15816</v>
      </c>
    </row>
    <row r="1193" spans="2:3" hidden="1" x14ac:dyDescent="0.25">
      <c r="B1193" s="65">
        <v>37124</v>
      </c>
      <c r="C1193" t="s">
        <v>16160</v>
      </c>
    </row>
    <row r="1194" spans="2:3" hidden="1" x14ac:dyDescent="0.25">
      <c r="B1194" s="65">
        <v>37123</v>
      </c>
      <c r="C1194" t="s">
        <v>14861</v>
      </c>
    </row>
    <row r="1195" spans="2:3" hidden="1" x14ac:dyDescent="0.25">
      <c r="B1195" s="65">
        <v>37123</v>
      </c>
      <c r="C1195" t="s">
        <v>13541</v>
      </c>
    </row>
    <row r="1196" spans="2:3" hidden="1" x14ac:dyDescent="0.25">
      <c r="B1196" s="65">
        <v>37123</v>
      </c>
      <c r="C1196" t="s">
        <v>1733</v>
      </c>
    </row>
    <row r="1197" spans="2:3" hidden="1" x14ac:dyDescent="0.25">
      <c r="B1197" s="65">
        <v>37123</v>
      </c>
      <c r="C1197" t="s">
        <v>15537</v>
      </c>
    </row>
    <row r="1198" spans="2:3" hidden="1" x14ac:dyDescent="0.25">
      <c r="B1198" s="65">
        <v>37123</v>
      </c>
      <c r="C1198" t="s">
        <v>16085</v>
      </c>
    </row>
    <row r="1199" spans="2:3" hidden="1" x14ac:dyDescent="0.25">
      <c r="B1199" s="65">
        <v>37122</v>
      </c>
      <c r="C1199" t="s">
        <v>14756</v>
      </c>
    </row>
    <row r="1200" spans="2:3" hidden="1" x14ac:dyDescent="0.25">
      <c r="B1200" s="65">
        <v>37122</v>
      </c>
      <c r="C1200" t="s">
        <v>15302</v>
      </c>
    </row>
    <row r="1201" spans="2:3" hidden="1" x14ac:dyDescent="0.25">
      <c r="B1201" s="65">
        <v>37122</v>
      </c>
      <c r="C1201" t="s">
        <v>13162</v>
      </c>
    </row>
    <row r="1202" spans="2:3" hidden="1" x14ac:dyDescent="0.25">
      <c r="B1202" s="65">
        <v>37122</v>
      </c>
      <c r="C1202" t="s">
        <v>15048</v>
      </c>
    </row>
    <row r="1203" spans="2:3" hidden="1" x14ac:dyDescent="0.25">
      <c r="B1203" s="65">
        <v>37121</v>
      </c>
      <c r="C1203" t="s">
        <v>1103</v>
      </c>
    </row>
    <row r="1204" spans="2:3" hidden="1" x14ac:dyDescent="0.25">
      <c r="B1204" s="65">
        <v>37121</v>
      </c>
      <c r="C1204" t="s">
        <v>15037</v>
      </c>
    </row>
    <row r="1205" spans="2:3" hidden="1" x14ac:dyDescent="0.25">
      <c r="B1205" s="65">
        <v>37120</v>
      </c>
      <c r="C1205" t="s">
        <v>15245</v>
      </c>
    </row>
    <row r="1206" spans="2:3" hidden="1" x14ac:dyDescent="0.25">
      <c r="B1206" s="65">
        <v>37120</v>
      </c>
      <c r="C1206" t="s">
        <v>2273</v>
      </c>
    </row>
    <row r="1207" spans="2:3" hidden="1" x14ac:dyDescent="0.25">
      <c r="B1207" s="65">
        <v>37120</v>
      </c>
      <c r="C1207" t="s">
        <v>6852</v>
      </c>
    </row>
    <row r="1208" spans="2:3" hidden="1" x14ac:dyDescent="0.25">
      <c r="B1208" s="65">
        <v>37119</v>
      </c>
      <c r="C1208" t="s">
        <v>15024</v>
      </c>
    </row>
    <row r="1209" spans="2:3" hidden="1" x14ac:dyDescent="0.25">
      <c r="B1209" s="65">
        <v>37118</v>
      </c>
      <c r="C1209" t="s">
        <v>15603</v>
      </c>
    </row>
    <row r="1210" spans="2:3" hidden="1" x14ac:dyDescent="0.25">
      <c r="B1210" s="65">
        <v>37118</v>
      </c>
      <c r="C1210" t="s">
        <v>9640</v>
      </c>
    </row>
    <row r="1211" spans="2:3" hidden="1" x14ac:dyDescent="0.25">
      <c r="B1211" s="65">
        <v>37118</v>
      </c>
      <c r="C1211" t="s">
        <v>3065</v>
      </c>
    </row>
    <row r="1212" spans="2:3" hidden="1" x14ac:dyDescent="0.25">
      <c r="B1212" s="65">
        <v>37118</v>
      </c>
      <c r="C1212" t="s">
        <v>16114</v>
      </c>
    </row>
    <row r="1213" spans="2:3" hidden="1" x14ac:dyDescent="0.25">
      <c r="B1213" s="65">
        <v>37117</v>
      </c>
      <c r="C1213" t="s">
        <v>2286</v>
      </c>
    </row>
    <row r="1214" spans="2:3" hidden="1" x14ac:dyDescent="0.25">
      <c r="B1214" s="65">
        <v>37117</v>
      </c>
      <c r="C1214" t="s">
        <v>15588</v>
      </c>
    </row>
    <row r="1215" spans="2:3" hidden="1" x14ac:dyDescent="0.25">
      <c r="B1215" s="65">
        <v>37117</v>
      </c>
      <c r="C1215" t="s">
        <v>9959</v>
      </c>
    </row>
    <row r="1216" spans="2:3" hidden="1" x14ac:dyDescent="0.25">
      <c r="B1216" s="65">
        <v>37117</v>
      </c>
      <c r="C1216" t="s">
        <v>3818</v>
      </c>
    </row>
    <row r="1217" spans="2:3" hidden="1" x14ac:dyDescent="0.25">
      <c r="B1217" s="65">
        <v>37116</v>
      </c>
      <c r="C1217" t="s">
        <v>1949</v>
      </c>
    </row>
    <row r="1218" spans="2:3" hidden="1" x14ac:dyDescent="0.25">
      <c r="B1218" s="65">
        <v>37116</v>
      </c>
      <c r="C1218" t="s">
        <v>15670</v>
      </c>
    </row>
    <row r="1219" spans="2:3" hidden="1" x14ac:dyDescent="0.25">
      <c r="B1219" s="65">
        <v>37116</v>
      </c>
      <c r="C1219" t="s">
        <v>15828</v>
      </c>
    </row>
    <row r="1220" spans="2:3" hidden="1" x14ac:dyDescent="0.25">
      <c r="B1220" s="65">
        <v>37115</v>
      </c>
      <c r="C1220" t="s">
        <v>5414</v>
      </c>
    </row>
    <row r="1221" spans="2:3" hidden="1" x14ac:dyDescent="0.25">
      <c r="B1221" s="65">
        <v>37114</v>
      </c>
      <c r="C1221" t="s">
        <v>14684</v>
      </c>
    </row>
    <row r="1222" spans="2:3" hidden="1" x14ac:dyDescent="0.25">
      <c r="B1222" s="65">
        <v>37114</v>
      </c>
      <c r="C1222" t="s">
        <v>849</v>
      </c>
    </row>
    <row r="1223" spans="2:3" hidden="1" x14ac:dyDescent="0.25">
      <c r="B1223" s="65">
        <v>37114</v>
      </c>
      <c r="C1223" t="s">
        <v>9181</v>
      </c>
    </row>
    <row r="1224" spans="2:3" hidden="1" x14ac:dyDescent="0.25">
      <c r="B1224" s="65">
        <v>37114</v>
      </c>
      <c r="C1224" t="s">
        <v>15946</v>
      </c>
    </row>
    <row r="1225" spans="2:3" hidden="1" x14ac:dyDescent="0.25">
      <c r="B1225" s="65">
        <v>37114</v>
      </c>
      <c r="C1225" t="s">
        <v>16005</v>
      </c>
    </row>
    <row r="1226" spans="2:3" hidden="1" x14ac:dyDescent="0.25">
      <c r="B1226" s="65">
        <v>37113</v>
      </c>
      <c r="C1226" t="s">
        <v>14701</v>
      </c>
    </row>
    <row r="1227" spans="2:3" hidden="1" x14ac:dyDescent="0.25">
      <c r="B1227" s="65">
        <v>37113</v>
      </c>
      <c r="C1227" t="s">
        <v>14798</v>
      </c>
    </row>
    <row r="1228" spans="2:3" hidden="1" x14ac:dyDescent="0.25">
      <c r="B1228" s="65">
        <v>37113</v>
      </c>
      <c r="C1228" t="s">
        <v>15132</v>
      </c>
    </row>
    <row r="1229" spans="2:3" hidden="1" x14ac:dyDescent="0.25">
      <c r="B1229" s="65">
        <v>37113</v>
      </c>
      <c r="C1229" t="s">
        <v>15510</v>
      </c>
    </row>
    <row r="1230" spans="2:3" hidden="1" x14ac:dyDescent="0.25">
      <c r="B1230" s="65">
        <v>37112</v>
      </c>
      <c r="C1230" t="s">
        <v>6516</v>
      </c>
    </row>
    <row r="1231" spans="2:3" hidden="1" x14ac:dyDescent="0.25">
      <c r="B1231" s="65">
        <v>37112</v>
      </c>
      <c r="C1231" t="s">
        <v>4715</v>
      </c>
    </row>
    <row r="1232" spans="2:3" hidden="1" x14ac:dyDescent="0.25">
      <c r="B1232" s="65">
        <v>37112</v>
      </c>
      <c r="C1232" t="s">
        <v>14943</v>
      </c>
    </row>
    <row r="1233" spans="2:3" hidden="1" x14ac:dyDescent="0.25">
      <c r="B1233" s="65">
        <v>37112</v>
      </c>
      <c r="C1233" t="s">
        <v>2138</v>
      </c>
    </row>
    <row r="1234" spans="2:3" hidden="1" x14ac:dyDescent="0.25">
      <c r="B1234" s="65">
        <v>37110</v>
      </c>
      <c r="C1234" t="s">
        <v>15298</v>
      </c>
    </row>
    <row r="1235" spans="2:3" hidden="1" x14ac:dyDescent="0.25">
      <c r="B1235" s="65">
        <v>37110</v>
      </c>
      <c r="C1235" t="s">
        <v>4483</v>
      </c>
    </row>
    <row r="1236" spans="2:3" hidden="1" x14ac:dyDescent="0.25">
      <c r="B1236" s="65">
        <v>37110</v>
      </c>
      <c r="C1236" t="s">
        <v>8863</v>
      </c>
    </row>
    <row r="1237" spans="2:3" hidden="1" x14ac:dyDescent="0.25">
      <c r="B1237" s="65">
        <v>37110</v>
      </c>
      <c r="C1237" t="s">
        <v>15912</v>
      </c>
    </row>
    <row r="1238" spans="2:3" hidden="1" x14ac:dyDescent="0.25">
      <c r="B1238" s="65">
        <v>37110</v>
      </c>
      <c r="C1238" t="s">
        <v>2360</v>
      </c>
    </row>
    <row r="1239" spans="2:3" hidden="1" x14ac:dyDescent="0.25">
      <c r="B1239" s="65">
        <v>37109</v>
      </c>
      <c r="C1239" t="s">
        <v>8757</v>
      </c>
    </row>
    <row r="1240" spans="2:3" hidden="1" x14ac:dyDescent="0.25">
      <c r="B1240" s="65">
        <v>37109</v>
      </c>
      <c r="C1240" t="s">
        <v>4483</v>
      </c>
    </row>
    <row r="1241" spans="2:3" hidden="1" x14ac:dyDescent="0.25">
      <c r="B1241" s="65">
        <v>37109</v>
      </c>
      <c r="C1241" t="s">
        <v>16202</v>
      </c>
    </row>
    <row r="1242" spans="2:3" hidden="1" x14ac:dyDescent="0.25">
      <c r="B1242" s="65">
        <v>37107</v>
      </c>
      <c r="C1242" t="s">
        <v>14822</v>
      </c>
    </row>
    <row r="1243" spans="2:3" hidden="1" x14ac:dyDescent="0.25">
      <c r="B1243" s="65">
        <v>37107</v>
      </c>
      <c r="C1243" t="s">
        <v>14967</v>
      </c>
    </row>
    <row r="1244" spans="2:3" hidden="1" x14ac:dyDescent="0.25">
      <c r="B1244" s="65">
        <v>37107</v>
      </c>
      <c r="C1244" t="s">
        <v>4035</v>
      </c>
    </row>
    <row r="1245" spans="2:3" hidden="1" x14ac:dyDescent="0.25">
      <c r="B1245" s="65">
        <v>37106</v>
      </c>
      <c r="C1245" t="s">
        <v>14960</v>
      </c>
    </row>
    <row r="1246" spans="2:3" hidden="1" x14ac:dyDescent="0.25">
      <c r="B1246" s="65">
        <v>37106</v>
      </c>
      <c r="C1246" t="s">
        <v>10388</v>
      </c>
    </row>
    <row r="1247" spans="2:3" hidden="1" x14ac:dyDescent="0.25">
      <c r="B1247" s="65">
        <v>37105</v>
      </c>
      <c r="C1247" t="s">
        <v>10929</v>
      </c>
    </row>
    <row r="1248" spans="2:3" hidden="1" x14ac:dyDescent="0.25">
      <c r="B1248" s="65">
        <v>37105</v>
      </c>
      <c r="C1248" t="s">
        <v>15821</v>
      </c>
    </row>
    <row r="1249" spans="2:3" hidden="1" x14ac:dyDescent="0.25">
      <c r="B1249" s="65">
        <v>37104</v>
      </c>
      <c r="C1249" t="s">
        <v>1793</v>
      </c>
    </row>
    <row r="1250" spans="2:3" hidden="1" x14ac:dyDescent="0.25">
      <c r="B1250" s="65">
        <v>37104</v>
      </c>
      <c r="C1250" t="s">
        <v>3102</v>
      </c>
    </row>
    <row r="1251" spans="2:3" hidden="1" x14ac:dyDescent="0.25">
      <c r="B1251" s="65">
        <v>37104</v>
      </c>
      <c r="C1251" t="s">
        <v>15719</v>
      </c>
    </row>
    <row r="1252" spans="2:3" hidden="1" x14ac:dyDescent="0.25">
      <c r="B1252" s="65">
        <v>37103</v>
      </c>
      <c r="C1252" t="s">
        <v>15011</v>
      </c>
    </row>
    <row r="1253" spans="2:3" hidden="1" x14ac:dyDescent="0.25">
      <c r="B1253" s="65">
        <v>37103</v>
      </c>
      <c r="C1253" t="s">
        <v>15574</v>
      </c>
    </row>
    <row r="1254" spans="2:3" hidden="1" x14ac:dyDescent="0.25">
      <c r="B1254" s="65">
        <v>37103</v>
      </c>
      <c r="C1254" t="s">
        <v>3102</v>
      </c>
    </row>
    <row r="1255" spans="2:3" hidden="1" x14ac:dyDescent="0.25">
      <c r="B1255" s="65">
        <v>37103</v>
      </c>
      <c r="C1255" t="s">
        <v>3136</v>
      </c>
    </row>
    <row r="1256" spans="2:3" hidden="1" x14ac:dyDescent="0.25">
      <c r="B1256" s="65">
        <v>37103</v>
      </c>
      <c r="C1256" t="s">
        <v>16207</v>
      </c>
    </row>
    <row r="1257" spans="2:3" hidden="1" x14ac:dyDescent="0.25">
      <c r="B1257" s="65">
        <v>37102</v>
      </c>
      <c r="C1257" t="s">
        <v>15238</v>
      </c>
    </row>
    <row r="1258" spans="2:3" hidden="1" x14ac:dyDescent="0.25">
      <c r="B1258" s="65">
        <v>37102</v>
      </c>
      <c r="C1258" t="s">
        <v>4516</v>
      </c>
    </row>
    <row r="1259" spans="2:3" hidden="1" x14ac:dyDescent="0.25">
      <c r="B1259" s="65">
        <v>37102</v>
      </c>
      <c r="C1259" t="s">
        <v>15770</v>
      </c>
    </row>
    <row r="1260" spans="2:3" hidden="1" x14ac:dyDescent="0.25">
      <c r="B1260" s="65">
        <v>37101</v>
      </c>
      <c r="C1260" t="s">
        <v>14781</v>
      </c>
    </row>
    <row r="1261" spans="2:3" hidden="1" x14ac:dyDescent="0.25">
      <c r="B1261" s="65">
        <v>37101</v>
      </c>
      <c r="C1261" t="s">
        <v>15752</v>
      </c>
    </row>
    <row r="1262" spans="2:3" hidden="1" x14ac:dyDescent="0.25">
      <c r="B1262" s="65">
        <v>37101</v>
      </c>
      <c r="C1262" t="s">
        <v>15897</v>
      </c>
    </row>
    <row r="1263" spans="2:3" hidden="1" x14ac:dyDescent="0.25">
      <c r="B1263" s="65">
        <v>37100</v>
      </c>
      <c r="C1263" t="s">
        <v>14964</v>
      </c>
    </row>
    <row r="1264" spans="2:3" hidden="1" x14ac:dyDescent="0.25">
      <c r="B1264" s="65">
        <v>37099</v>
      </c>
      <c r="C1264" t="s">
        <v>14836</v>
      </c>
    </row>
    <row r="1265" spans="2:3" hidden="1" x14ac:dyDescent="0.25">
      <c r="B1265" s="65">
        <v>37099</v>
      </c>
      <c r="C1265" t="s">
        <v>6318</v>
      </c>
    </row>
    <row r="1266" spans="2:3" hidden="1" x14ac:dyDescent="0.25">
      <c r="B1266" s="65">
        <v>37099</v>
      </c>
      <c r="C1266" t="s">
        <v>15124</v>
      </c>
    </row>
    <row r="1267" spans="2:3" hidden="1" x14ac:dyDescent="0.25">
      <c r="B1267" s="65">
        <v>37099</v>
      </c>
      <c r="C1267" t="s">
        <v>15395</v>
      </c>
    </row>
    <row r="1268" spans="2:3" hidden="1" x14ac:dyDescent="0.25">
      <c r="B1268" s="65">
        <v>37098</v>
      </c>
      <c r="C1268" t="s">
        <v>14705</v>
      </c>
    </row>
    <row r="1269" spans="2:3" hidden="1" x14ac:dyDescent="0.25">
      <c r="B1269" s="65">
        <v>37098</v>
      </c>
      <c r="C1269" t="s">
        <v>14717</v>
      </c>
    </row>
    <row r="1270" spans="2:3" hidden="1" x14ac:dyDescent="0.25">
      <c r="B1270" s="65">
        <v>37098</v>
      </c>
      <c r="C1270" t="s">
        <v>1144</v>
      </c>
    </row>
    <row r="1271" spans="2:3" hidden="1" x14ac:dyDescent="0.25">
      <c r="B1271" s="65">
        <v>37098</v>
      </c>
      <c r="C1271" t="s">
        <v>2000</v>
      </c>
    </row>
    <row r="1272" spans="2:3" hidden="1" x14ac:dyDescent="0.25">
      <c r="B1272" s="65">
        <v>37098</v>
      </c>
      <c r="C1272" t="s">
        <v>15424</v>
      </c>
    </row>
    <row r="1273" spans="2:3" hidden="1" x14ac:dyDescent="0.25">
      <c r="B1273" s="65">
        <v>37098</v>
      </c>
      <c r="C1273" t="s">
        <v>15579</v>
      </c>
    </row>
    <row r="1274" spans="2:3" hidden="1" x14ac:dyDescent="0.25">
      <c r="B1274" s="65">
        <v>37097</v>
      </c>
      <c r="C1274" t="s">
        <v>1883</v>
      </c>
    </row>
    <row r="1275" spans="2:3" hidden="1" x14ac:dyDescent="0.25">
      <c r="B1275" s="65">
        <v>37097</v>
      </c>
      <c r="C1275" t="s">
        <v>11221</v>
      </c>
    </row>
    <row r="1276" spans="2:3" hidden="1" x14ac:dyDescent="0.25">
      <c r="B1276" s="65">
        <v>37097</v>
      </c>
      <c r="C1276" t="s">
        <v>2689</v>
      </c>
    </row>
    <row r="1277" spans="2:3" hidden="1" x14ac:dyDescent="0.25">
      <c r="B1277" s="65">
        <v>37097</v>
      </c>
      <c r="C1277" t="s">
        <v>15163</v>
      </c>
    </row>
    <row r="1278" spans="2:3" hidden="1" x14ac:dyDescent="0.25">
      <c r="B1278" s="65">
        <v>37097</v>
      </c>
      <c r="C1278" t="s">
        <v>14829</v>
      </c>
    </row>
    <row r="1279" spans="2:3" hidden="1" x14ac:dyDescent="0.25">
      <c r="B1279" s="65">
        <v>37097</v>
      </c>
      <c r="C1279" t="s">
        <v>15825</v>
      </c>
    </row>
    <row r="1280" spans="2:3" hidden="1" x14ac:dyDescent="0.25">
      <c r="B1280" s="65">
        <v>37096</v>
      </c>
      <c r="C1280" t="s">
        <v>410</v>
      </c>
    </row>
    <row r="1281" spans="2:3" hidden="1" x14ac:dyDescent="0.25">
      <c r="B1281" s="65">
        <v>37096</v>
      </c>
      <c r="C1281" t="s">
        <v>15624</v>
      </c>
    </row>
    <row r="1282" spans="2:3" hidden="1" x14ac:dyDescent="0.25">
      <c r="B1282" s="65">
        <v>37096</v>
      </c>
      <c r="C1282" t="s">
        <v>15651</v>
      </c>
    </row>
    <row r="1283" spans="2:3" hidden="1" x14ac:dyDescent="0.25">
      <c r="B1283" s="65">
        <v>37096</v>
      </c>
      <c r="C1283" t="s">
        <v>13670</v>
      </c>
    </row>
    <row r="1284" spans="2:3" hidden="1" x14ac:dyDescent="0.25">
      <c r="B1284" s="65">
        <v>37096</v>
      </c>
      <c r="C1284" t="s">
        <v>994</v>
      </c>
    </row>
    <row r="1285" spans="2:3" hidden="1" x14ac:dyDescent="0.25">
      <c r="B1285" s="65">
        <v>37096</v>
      </c>
      <c r="C1285" t="s">
        <v>16187</v>
      </c>
    </row>
    <row r="1286" spans="2:3" hidden="1" x14ac:dyDescent="0.25">
      <c r="B1286" s="65">
        <v>37095</v>
      </c>
      <c r="C1286" t="s">
        <v>14749</v>
      </c>
    </row>
    <row r="1287" spans="2:3" hidden="1" x14ac:dyDescent="0.25">
      <c r="B1287" s="65">
        <v>37095</v>
      </c>
      <c r="C1287" t="s">
        <v>15323</v>
      </c>
    </row>
    <row r="1288" spans="2:3" hidden="1" x14ac:dyDescent="0.25">
      <c r="B1288" s="65">
        <v>37092</v>
      </c>
      <c r="C1288" t="s">
        <v>3132</v>
      </c>
    </row>
    <row r="1289" spans="2:3" hidden="1" x14ac:dyDescent="0.25">
      <c r="B1289" s="65">
        <v>37092</v>
      </c>
      <c r="C1289" t="s">
        <v>4526</v>
      </c>
    </row>
    <row r="1290" spans="2:3" hidden="1" x14ac:dyDescent="0.25">
      <c r="B1290" s="65">
        <v>37091</v>
      </c>
      <c r="C1290" t="s">
        <v>15464</v>
      </c>
    </row>
    <row r="1291" spans="2:3" hidden="1" x14ac:dyDescent="0.25">
      <c r="B1291" s="65">
        <v>37091</v>
      </c>
      <c r="C1291" t="s">
        <v>4247</v>
      </c>
    </row>
    <row r="1292" spans="2:3" hidden="1" x14ac:dyDescent="0.25">
      <c r="B1292" s="65">
        <v>37091</v>
      </c>
      <c r="C1292" t="s">
        <v>16252</v>
      </c>
    </row>
    <row r="1293" spans="2:3" hidden="1" x14ac:dyDescent="0.25">
      <c r="B1293" s="65">
        <v>37090</v>
      </c>
      <c r="C1293" t="s">
        <v>1370</v>
      </c>
    </row>
    <row r="1294" spans="2:3" hidden="1" x14ac:dyDescent="0.25">
      <c r="B1294" s="65">
        <v>37090</v>
      </c>
      <c r="C1294" t="s">
        <v>15783</v>
      </c>
    </row>
    <row r="1295" spans="2:3" hidden="1" x14ac:dyDescent="0.25">
      <c r="B1295" s="65">
        <v>37089</v>
      </c>
      <c r="C1295" t="s">
        <v>15983</v>
      </c>
    </row>
    <row r="1296" spans="2:3" hidden="1" x14ac:dyDescent="0.25">
      <c r="B1296" s="65">
        <v>37089</v>
      </c>
      <c r="C1296" t="s">
        <v>6409</v>
      </c>
    </row>
    <row r="1297" spans="2:3" hidden="1" x14ac:dyDescent="0.25">
      <c r="B1297" s="65">
        <v>37088</v>
      </c>
      <c r="C1297" t="s">
        <v>2354</v>
      </c>
    </row>
    <row r="1298" spans="2:3" hidden="1" x14ac:dyDescent="0.25">
      <c r="B1298" s="65">
        <v>37088</v>
      </c>
      <c r="C1298" t="s">
        <v>15516</v>
      </c>
    </row>
    <row r="1299" spans="2:3" hidden="1" x14ac:dyDescent="0.25">
      <c r="B1299" s="65">
        <v>37088</v>
      </c>
      <c r="C1299" t="s">
        <v>844</v>
      </c>
    </row>
    <row r="1300" spans="2:3" hidden="1" x14ac:dyDescent="0.25">
      <c r="B1300" s="65">
        <v>37088</v>
      </c>
      <c r="C1300" t="s">
        <v>16232</v>
      </c>
    </row>
    <row r="1301" spans="2:3" hidden="1" x14ac:dyDescent="0.25">
      <c r="B1301" s="65">
        <v>37087</v>
      </c>
      <c r="C1301" t="s">
        <v>118</v>
      </c>
    </row>
    <row r="1302" spans="2:3" hidden="1" x14ac:dyDescent="0.25">
      <c r="B1302" s="65">
        <v>37087</v>
      </c>
      <c r="C1302" t="s">
        <v>14772</v>
      </c>
    </row>
    <row r="1303" spans="2:3" hidden="1" x14ac:dyDescent="0.25">
      <c r="B1303" s="65">
        <v>37086</v>
      </c>
      <c r="C1303" t="s">
        <v>16246</v>
      </c>
    </row>
    <row r="1304" spans="2:3" hidden="1" x14ac:dyDescent="0.25">
      <c r="B1304" s="65">
        <v>37086</v>
      </c>
      <c r="C1304" t="s">
        <v>16295</v>
      </c>
    </row>
    <row r="1305" spans="2:3" hidden="1" x14ac:dyDescent="0.25">
      <c r="B1305" s="65">
        <v>37085</v>
      </c>
      <c r="C1305" t="s">
        <v>1103</v>
      </c>
    </row>
    <row r="1306" spans="2:3" hidden="1" x14ac:dyDescent="0.25">
      <c r="B1306" s="65">
        <v>37085</v>
      </c>
      <c r="C1306" t="s">
        <v>4171</v>
      </c>
    </row>
    <row r="1307" spans="2:3" hidden="1" x14ac:dyDescent="0.25">
      <c r="B1307" s="65">
        <v>37084</v>
      </c>
      <c r="C1307" t="s">
        <v>2009</v>
      </c>
    </row>
    <row r="1308" spans="2:3" hidden="1" x14ac:dyDescent="0.25">
      <c r="B1308" s="65">
        <v>37084</v>
      </c>
      <c r="C1308" t="s">
        <v>15272</v>
      </c>
    </row>
    <row r="1309" spans="2:3" hidden="1" x14ac:dyDescent="0.25">
      <c r="B1309" s="65">
        <v>37084</v>
      </c>
      <c r="C1309" t="s">
        <v>15545</v>
      </c>
    </row>
    <row r="1310" spans="2:3" hidden="1" x14ac:dyDescent="0.25">
      <c r="B1310" s="65">
        <v>37084</v>
      </c>
      <c r="C1310" t="s">
        <v>15965</v>
      </c>
    </row>
    <row r="1311" spans="2:3" hidden="1" x14ac:dyDescent="0.25">
      <c r="B1311" s="65">
        <v>37084</v>
      </c>
      <c r="C1311" t="s">
        <v>15991</v>
      </c>
    </row>
    <row r="1312" spans="2:3" hidden="1" x14ac:dyDescent="0.25">
      <c r="B1312" s="65">
        <v>37084</v>
      </c>
      <c r="C1312" t="s">
        <v>7842</v>
      </c>
    </row>
    <row r="1313" spans="2:3" hidden="1" x14ac:dyDescent="0.25">
      <c r="B1313" s="65">
        <v>37084</v>
      </c>
      <c r="C1313" t="s">
        <v>8635</v>
      </c>
    </row>
    <row r="1314" spans="2:3" hidden="1" x14ac:dyDescent="0.25">
      <c r="B1314" s="65">
        <v>37083</v>
      </c>
      <c r="C1314" t="s">
        <v>14852</v>
      </c>
    </row>
    <row r="1315" spans="2:3" hidden="1" x14ac:dyDescent="0.25">
      <c r="B1315" s="65">
        <v>37083</v>
      </c>
      <c r="C1315" t="s">
        <v>15052</v>
      </c>
    </row>
    <row r="1316" spans="2:3" hidden="1" x14ac:dyDescent="0.25">
      <c r="B1316" s="65">
        <v>37083</v>
      </c>
      <c r="C1316" t="s">
        <v>15128</v>
      </c>
    </row>
    <row r="1317" spans="2:3" hidden="1" x14ac:dyDescent="0.25">
      <c r="B1317" s="65">
        <v>37083</v>
      </c>
      <c r="C1317" t="s">
        <v>15475</v>
      </c>
    </row>
    <row r="1318" spans="2:3" hidden="1" x14ac:dyDescent="0.25">
      <c r="B1318" s="65">
        <v>37083</v>
      </c>
      <c r="C1318" t="s">
        <v>4958</v>
      </c>
    </row>
    <row r="1319" spans="2:3" hidden="1" x14ac:dyDescent="0.25">
      <c r="B1319" s="65">
        <v>37082</v>
      </c>
      <c r="C1319" t="s">
        <v>4483</v>
      </c>
    </row>
    <row r="1320" spans="2:3" hidden="1" x14ac:dyDescent="0.25">
      <c r="B1320" s="65">
        <v>37082</v>
      </c>
      <c r="C1320" t="s">
        <v>8288</v>
      </c>
    </row>
    <row r="1321" spans="2:3" hidden="1" x14ac:dyDescent="0.25">
      <c r="B1321" s="65">
        <v>37081</v>
      </c>
      <c r="C1321" t="s">
        <v>14947</v>
      </c>
    </row>
    <row r="1322" spans="2:3" hidden="1" x14ac:dyDescent="0.25">
      <c r="B1322" s="65">
        <v>37081</v>
      </c>
      <c r="C1322" t="s">
        <v>15373</v>
      </c>
    </row>
    <row r="1323" spans="2:3" hidden="1" x14ac:dyDescent="0.25">
      <c r="B1323" s="65">
        <v>37081</v>
      </c>
      <c r="C1323" t="s">
        <v>1700</v>
      </c>
    </row>
    <row r="1324" spans="2:3" hidden="1" x14ac:dyDescent="0.25">
      <c r="B1324" s="65">
        <v>37081</v>
      </c>
      <c r="C1324" t="s">
        <v>16265</v>
      </c>
    </row>
    <row r="1325" spans="2:3" hidden="1" x14ac:dyDescent="0.25">
      <c r="B1325" s="65">
        <v>37080</v>
      </c>
      <c r="C1325" t="s">
        <v>15230</v>
      </c>
    </row>
    <row r="1326" spans="2:3" hidden="1" x14ac:dyDescent="0.25">
      <c r="B1326" s="65">
        <v>37080</v>
      </c>
      <c r="C1326" t="s">
        <v>15261</v>
      </c>
    </row>
    <row r="1327" spans="2:3" hidden="1" x14ac:dyDescent="0.25">
      <c r="B1327" s="65">
        <v>37080</v>
      </c>
      <c r="C1327" t="s">
        <v>8459</v>
      </c>
    </row>
    <row r="1328" spans="2:3" hidden="1" x14ac:dyDescent="0.25">
      <c r="B1328" s="65">
        <v>37080</v>
      </c>
      <c r="C1328" t="s">
        <v>3102</v>
      </c>
    </row>
    <row r="1329" spans="2:3" hidden="1" x14ac:dyDescent="0.25">
      <c r="B1329" s="65">
        <v>37079</v>
      </c>
      <c r="C1329" t="s">
        <v>15314</v>
      </c>
    </row>
    <row r="1330" spans="2:3" hidden="1" x14ac:dyDescent="0.25">
      <c r="B1330" s="65">
        <v>37079</v>
      </c>
      <c r="C1330" t="s">
        <v>7400</v>
      </c>
    </row>
    <row r="1331" spans="2:3" hidden="1" x14ac:dyDescent="0.25">
      <c r="B1331" s="65">
        <v>37078</v>
      </c>
      <c r="C1331" t="s">
        <v>5552</v>
      </c>
    </row>
    <row r="1332" spans="2:3" hidden="1" x14ac:dyDescent="0.25">
      <c r="B1332" s="65">
        <v>37077</v>
      </c>
      <c r="C1332" t="s">
        <v>63</v>
      </c>
    </row>
    <row r="1333" spans="2:3" hidden="1" x14ac:dyDescent="0.25">
      <c r="B1333" s="65">
        <v>37077</v>
      </c>
      <c r="C1333" t="s">
        <v>5321</v>
      </c>
    </row>
    <row r="1334" spans="2:3" hidden="1" x14ac:dyDescent="0.25">
      <c r="B1334" s="65">
        <v>37077</v>
      </c>
      <c r="C1334" t="s">
        <v>15921</v>
      </c>
    </row>
    <row r="1335" spans="2:3" hidden="1" x14ac:dyDescent="0.25">
      <c r="B1335" s="65">
        <v>37076</v>
      </c>
      <c r="C1335" t="s">
        <v>14618</v>
      </c>
    </row>
    <row r="1336" spans="2:3" hidden="1" x14ac:dyDescent="0.25">
      <c r="B1336" s="65">
        <v>37076</v>
      </c>
      <c r="C1336" t="s">
        <v>14634</v>
      </c>
    </row>
    <row r="1337" spans="2:3" hidden="1" x14ac:dyDescent="0.25">
      <c r="B1337" s="65">
        <v>37076</v>
      </c>
      <c r="C1337" t="s">
        <v>14656</v>
      </c>
    </row>
    <row r="1338" spans="2:3" hidden="1" x14ac:dyDescent="0.25">
      <c r="B1338" s="65">
        <v>37075</v>
      </c>
      <c r="C1338" t="s">
        <v>14588</v>
      </c>
    </row>
    <row r="1339" spans="2:3" hidden="1" x14ac:dyDescent="0.25">
      <c r="B1339" s="65">
        <v>37075</v>
      </c>
      <c r="C1339" t="s">
        <v>5552</v>
      </c>
    </row>
    <row r="1340" spans="2:3" hidden="1" x14ac:dyDescent="0.25">
      <c r="B1340" s="65">
        <v>37075</v>
      </c>
      <c r="C1340" t="s">
        <v>14626</v>
      </c>
    </row>
    <row r="1341" spans="2:3" hidden="1" x14ac:dyDescent="0.25">
      <c r="B1341" s="65">
        <v>37075</v>
      </c>
      <c r="C1341" t="s">
        <v>14630</v>
      </c>
    </row>
    <row r="1342" spans="2:3" hidden="1" x14ac:dyDescent="0.25">
      <c r="B1342" s="65">
        <v>37074</v>
      </c>
      <c r="C1342" t="s">
        <v>14608</v>
      </c>
    </row>
    <row r="1343" spans="2:3" hidden="1" x14ac:dyDescent="0.25">
      <c r="B1343" s="65">
        <v>37074</v>
      </c>
      <c r="C1343" t="s">
        <v>4420</v>
      </c>
    </row>
    <row r="1344" spans="2:3" hidden="1" x14ac:dyDescent="0.25">
      <c r="B1344" s="65">
        <v>37072</v>
      </c>
      <c r="C1344" t="s">
        <v>4678</v>
      </c>
    </row>
    <row r="1345" spans="2:3" hidden="1" x14ac:dyDescent="0.25">
      <c r="B1345" s="65">
        <v>37072</v>
      </c>
      <c r="C1345" t="s">
        <v>2914</v>
      </c>
    </row>
    <row r="1346" spans="2:3" hidden="1" x14ac:dyDescent="0.25">
      <c r="B1346" s="65">
        <v>37072</v>
      </c>
      <c r="C1346" t="s">
        <v>4637</v>
      </c>
    </row>
    <row r="1347" spans="2:3" hidden="1" x14ac:dyDescent="0.25">
      <c r="B1347" s="65">
        <v>37071</v>
      </c>
      <c r="C1347" t="s">
        <v>14582</v>
      </c>
    </row>
    <row r="1348" spans="2:3" hidden="1" x14ac:dyDescent="0.25">
      <c r="B1348" s="65">
        <v>37071</v>
      </c>
      <c r="C1348" t="s">
        <v>14593</v>
      </c>
    </row>
    <row r="1349" spans="2:3" hidden="1" x14ac:dyDescent="0.25">
      <c r="B1349" s="65">
        <v>37070</v>
      </c>
      <c r="C1349" t="s">
        <v>14597</v>
      </c>
    </row>
    <row r="1350" spans="2:3" hidden="1" x14ac:dyDescent="0.25">
      <c r="B1350" s="65">
        <v>37070</v>
      </c>
      <c r="C1350" t="s">
        <v>13677</v>
      </c>
    </row>
    <row r="1351" spans="2:3" hidden="1" x14ac:dyDescent="0.25">
      <c r="B1351" s="65">
        <v>37070</v>
      </c>
      <c r="C1351" t="s">
        <v>1733</v>
      </c>
    </row>
    <row r="1352" spans="2:3" hidden="1" x14ac:dyDescent="0.25">
      <c r="B1352" s="65">
        <v>37070</v>
      </c>
      <c r="C1352" t="s">
        <v>14643</v>
      </c>
    </row>
    <row r="1353" spans="2:3" hidden="1" x14ac:dyDescent="0.25">
      <c r="B1353" s="65">
        <v>37070</v>
      </c>
      <c r="C1353" t="s">
        <v>6537</v>
      </c>
    </row>
    <row r="1354" spans="2:3" hidden="1" x14ac:dyDescent="0.25">
      <c r="B1354" s="65">
        <v>37070</v>
      </c>
      <c r="C1354" t="s">
        <v>11856</v>
      </c>
    </row>
    <row r="1355" spans="2:3" hidden="1" x14ac:dyDescent="0.25">
      <c r="B1355" s="65">
        <v>37069</v>
      </c>
      <c r="C1355" t="s">
        <v>8013</v>
      </c>
    </row>
    <row r="1356" spans="2:3" hidden="1" x14ac:dyDescent="0.25">
      <c r="B1356" s="65">
        <v>37069</v>
      </c>
      <c r="C1356" t="s">
        <v>14524</v>
      </c>
    </row>
    <row r="1357" spans="2:3" hidden="1" x14ac:dyDescent="0.25">
      <c r="B1357" s="65">
        <v>37069</v>
      </c>
      <c r="C1357" t="s">
        <v>14536</v>
      </c>
    </row>
    <row r="1358" spans="2:3" hidden="1" x14ac:dyDescent="0.25">
      <c r="B1358" s="65">
        <v>37069</v>
      </c>
      <c r="C1358" t="s">
        <v>3848</v>
      </c>
    </row>
    <row r="1359" spans="2:3" hidden="1" x14ac:dyDescent="0.25">
      <c r="B1359" s="65">
        <v>37069</v>
      </c>
      <c r="C1359" t="s">
        <v>3787</v>
      </c>
    </row>
    <row r="1360" spans="2:3" hidden="1" x14ac:dyDescent="0.25">
      <c r="B1360" s="65">
        <v>37069</v>
      </c>
      <c r="C1360" t="s">
        <v>7470</v>
      </c>
    </row>
    <row r="1361" spans="2:3" hidden="1" x14ac:dyDescent="0.25">
      <c r="B1361" s="65">
        <v>37068</v>
      </c>
      <c r="C1361" t="s">
        <v>14540</v>
      </c>
    </row>
    <row r="1362" spans="2:3" hidden="1" x14ac:dyDescent="0.25">
      <c r="B1362" s="65">
        <v>37068</v>
      </c>
      <c r="C1362" t="s">
        <v>13961</v>
      </c>
    </row>
    <row r="1363" spans="2:3" hidden="1" x14ac:dyDescent="0.25">
      <c r="B1363" s="65">
        <v>37067</v>
      </c>
      <c r="C1363" t="s">
        <v>14495</v>
      </c>
    </row>
    <row r="1364" spans="2:3" hidden="1" x14ac:dyDescent="0.25">
      <c r="B1364" s="65">
        <v>37067</v>
      </c>
      <c r="C1364" t="s">
        <v>14548</v>
      </c>
    </row>
    <row r="1365" spans="2:3" hidden="1" x14ac:dyDescent="0.25">
      <c r="B1365" s="65">
        <v>37067</v>
      </c>
      <c r="C1365" t="s">
        <v>14570</v>
      </c>
    </row>
    <row r="1366" spans="2:3" hidden="1" x14ac:dyDescent="0.25">
      <c r="B1366" s="65">
        <v>37066</v>
      </c>
      <c r="C1366" t="s">
        <v>14544</v>
      </c>
    </row>
    <row r="1367" spans="2:3" hidden="1" x14ac:dyDescent="0.25">
      <c r="B1367" s="65">
        <v>37066</v>
      </c>
      <c r="C1367" t="s">
        <v>14555</v>
      </c>
    </row>
    <row r="1368" spans="2:3" hidden="1" x14ac:dyDescent="0.25">
      <c r="B1368" s="65">
        <v>37065</v>
      </c>
      <c r="C1368" t="s">
        <v>14528</v>
      </c>
    </row>
    <row r="1369" spans="2:3" hidden="1" x14ac:dyDescent="0.25">
      <c r="B1369" s="65">
        <v>37064</v>
      </c>
      <c r="C1369" t="s">
        <v>14504</v>
      </c>
    </row>
    <row r="1370" spans="2:3" hidden="1" x14ac:dyDescent="0.25">
      <c r="B1370" s="65">
        <v>37064</v>
      </c>
      <c r="C1370" t="s">
        <v>14532</v>
      </c>
    </row>
    <row r="1371" spans="2:3" hidden="1" x14ac:dyDescent="0.25">
      <c r="B1371" s="65">
        <v>37064</v>
      </c>
      <c r="C1371" t="s">
        <v>4492</v>
      </c>
    </row>
    <row r="1372" spans="2:3" hidden="1" x14ac:dyDescent="0.25">
      <c r="B1372" s="65">
        <v>37064</v>
      </c>
      <c r="C1372" t="s">
        <v>598</v>
      </c>
    </row>
    <row r="1373" spans="2:3" hidden="1" x14ac:dyDescent="0.25">
      <c r="B1373" s="65">
        <v>37062</v>
      </c>
      <c r="C1373" t="s">
        <v>3699</v>
      </c>
    </row>
    <row r="1374" spans="2:3" hidden="1" x14ac:dyDescent="0.25">
      <c r="B1374" s="65">
        <v>37061</v>
      </c>
      <c r="C1374" t="s">
        <v>14508</v>
      </c>
    </row>
    <row r="1375" spans="2:3" hidden="1" x14ac:dyDescent="0.25">
      <c r="B1375" s="65">
        <v>37061</v>
      </c>
      <c r="C1375" t="s">
        <v>14512</v>
      </c>
    </row>
    <row r="1376" spans="2:3" hidden="1" x14ac:dyDescent="0.25">
      <c r="B1376" s="65">
        <v>37061</v>
      </c>
      <c r="C1376" t="s">
        <v>1288</v>
      </c>
    </row>
    <row r="1377" spans="2:3" hidden="1" x14ac:dyDescent="0.25">
      <c r="B1377" s="65">
        <v>37061</v>
      </c>
      <c r="C1377" t="s">
        <v>14519</v>
      </c>
    </row>
    <row r="1378" spans="2:3" hidden="1" x14ac:dyDescent="0.25">
      <c r="B1378" s="65">
        <v>37061</v>
      </c>
      <c r="C1378" t="s">
        <v>14566</v>
      </c>
    </row>
    <row r="1379" spans="2:3" hidden="1" x14ac:dyDescent="0.25">
      <c r="B1379" s="65">
        <v>37060</v>
      </c>
      <c r="C1379" t="s">
        <v>14485</v>
      </c>
    </row>
    <row r="1380" spans="2:3" hidden="1" x14ac:dyDescent="0.25">
      <c r="B1380" s="65">
        <v>37060</v>
      </c>
      <c r="C1380" t="s">
        <v>9586</v>
      </c>
    </row>
    <row r="1381" spans="2:3" hidden="1" x14ac:dyDescent="0.25">
      <c r="B1381" s="65">
        <v>37059</v>
      </c>
      <c r="C1381" t="s">
        <v>14499</v>
      </c>
    </row>
    <row r="1382" spans="2:3" hidden="1" x14ac:dyDescent="0.25">
      <c r="B1382" s="65">
        <v>37058</v>
      </c>
      <c r="C1382" t="s">
        <v>368</v>
      </c>
    </row>
    <row r="1383" spans="2:3" hidden="1" x14ac:dyDescent="0.25">
      <c r="B1383" s="65">
        <v>37058</v>
      </c>
      <c r="C1383" t="s">
        <v>517</v>
      </c>
    </row>
    <row r="1384" spans="2:3" hidden="1" x14ac:dyDescent="0.25">
      <c r="B1384" s="65">
        <v>37058</v>
      </c>
      <c r="C1384" t="s">
        <v>662</v>
      </c>
    </row>
    <row r="1385" spans="2:3" hidden="1" x14ac:dyDescent="0.25">
      <c r="B1385" s="65">
        <v>37058</v>
      </c>
      <c r="C1385" t="s">
        <v>1507</v>
      </c>
    </row>
    <row r="1386" spans="2:3" hidden="1" x14ac:dyDescent="0.25">
      <c r="B1386" s="65">
        <v>37057</v>
      </c>
      <c r="C1386" t="s">
        <v>655</v>
      </c>
    </row>
    <row r="1387" spans="2:3" hidden="1" x14ac:dyDescent="0.25">
      <c r="B1387" s="65">
        <v>37056</v>
      </c>
      <c r="C1387" t="s">
        <v>14453</v>
      </c>
    </row>
    <row r="1388" spans="2:3" hidden="1" x14ac:dyDescent="0.25">
      <c r="B1388" s="65">
        <v>37056</v>
      </c>
      <c r="C1388" t="s">
        <v>14463</v>
      </c>
    </row>
    <row r="1389" spans="2:3" hidden="1" x14ac:dyDescent="0.25">
      <c r="B1389" s="65">
        <v>37055</v>
      </c>
      <c r="C1389" t="s">
        <v>14391</v>
      </c>
    </row>
    <row r="1390" spans="2:3" hidden="1" x14ac:dyDescent="0.25">
      <c r="B1390" s="65">
        <v>37055</v>
      </c>
      <c r="C1390" t="s">
        <v>14440</v>
      </c>
    </row>
    <row r="1391" spans="2:3" hidden="1" x14ac:dyDescent="0.25">
      <c r="B1391" s="65">
        <v>37055</v>
      </c>
      <c r="C1391" t="s">
        <v>14472</v>
      </c>
    </row>
    <row r="1392" spans="2:3" hidden="1" x14ac:dyDescent="0.25">
      <c r="B1392" s="65">
        <v>37054</v>
      </c>
      <c r="C1392" t="s">
        <v>5552</v>
      </c>
    </row>
    <row r="1393" spans="2:3" hidden="1" x14ac:dyDescent="0.25">
      <c r="B1393" s="65">
        <v>37054</v>
      </c>
      <c r="C1393" t="s">
        <v>3835</v>
      </c>
    </row>
    <row r="1394" spans="2:3" hidden="1" x14ac:dyDescent="0.25">
      <c r="B1394" s="65">
        <v>37054</v>
      </c>
      <c r="C1394" t="s">
        <v>6516</v>
      </c>
    </row>
    <row r="1395" spans="2:3" hidden="1" x14ac:dyDescent="0.25">
      <c r="B1395" s="65">
        <v>37054</v>
      </c>
      <c r="C1395" t="s">
        <v>46</v>
      </c>
    </row>
    <row r="1396" spans="2:3" hidden="1" x14ac:dyDescent="0.25">
      <c r="B1396" s="65">
        <v>37053</v>
      </c>
      <c r="C1396" t="s">
        <v>14417</v>
      </c>
    </row>
    <row r="1397" spans="2:3" hidden="1" x14ac:dyDescent="0.25">
      <c r="B1397" s="65">
        <v>37053</v>
      </c>
      <c r="C1397" t="s">
        <v>1244</v>
      </c>
    </row>
    <row r="1398" spans="2:3" hidden="1" x14ac:dyDescent="0.25">
      <c r="B1398" s="65">
        <v>37053</v>
      </c>
      <c r="C1398" t="s">
        <v>14428</v>
      </c>
    </row>
    <row r="1399" spans="2:3" hidden="1" x14ac:dyDescent="0.25">
      <c r="B1399" s="65">
        <v>37053</v>
      </c>
      <c r="C1399" t="s">
        <v>14432</v>
      </c>
    </row>
    <row r="1400" spans="2:3" hidden="1" x14ac:dyDescent="0.25">
      <c r="B1400" s="65">
        <v>37053</v>
      </c>
      <c r="C1400" t="s">
        <v>11100</v>
      </c>
    </row>
    <row r="1401" spans="2:3" hidden="1" x14ac:dyDescent="0.25">
      <c r="B1401" s="65">
        <v>37053</v>
      </c>
      <c r="C1401" t="s">
        <v>6383</v>
      </c>
    </row>
    <row r="1402" spans="2:3" hidden="1" x14ac:dyDescent="0.25">
      <c r="B1402" s="65">
        <v>37052</v>
      </c>
      <c r="C1402" t="s">
        <v>14401</v>
      </c>
    </row>
    <row r="1403" spans="2:3" hidden="1" x14ac:dyDescent="0.25">
      <c r="B1403" s="65">
        <v>37052</v>
      </c>
      <c r="C1403" t="s">
        <v>14436</v>
      </c>
    </row>
    <row r="1404" spans="2:3" hidden="1" x14ac:dyDescent="0.25">
      <c r="B1404" s="65">
        <v>37052</v>
      </c>
      <c r="C1404" t="s">
        <v>11221</v>
      </c>
    </row>
    <row r="1405" spans="2:3" hidden="1" x14ac:dyDescent="0.25">
      <c r="B1405" s="65">
        <v>37052</v>
      </c>
      <c r="C1405" t="s">
        <v>2354</v>
      </c>
    </row>
    <row r="1406" spans="2:3" hidden="1" x14ac:dyDescent="0.25">
      <c r="B1406" s="65">
        <v>37051</v>
      </c>
      <c r="C1406" t="s">
        <v>14397</v>
      </c>
    </row>
    <row r="1407" spans="2:3" hidden="1" x14ac:dyDescent="0.25">
      <c r="B1407" s="65">
        <v>37051</v>
      </c>
      <c r="C1407" t="s">
        <v>14424</v>
      </c>
    </row>
    <row r="1408" spans="2:3" hidden="1" x14ac:dyDescent="0.25">
      <c r="B1408" s="65">
        <v>37051</v>
      </c>
      <c r="C1408" t="s">
        <v>11344</v>
      </c>
    </row>
    <row r="1409" spans="2:3" hidden="1" x14ac:dyDescent="0.25">
      <c r="B1409" s="65">
        <v>37050</v>
      </c>
      <c r="C1409" t="s">
        <v>14322</v>
      </c>
    </row>
    <row r="1410" spans="2:3" hidden="1" x14ac:dyDescent="0.25">
      <c r="B1410" s="65">
        <v>37050</v>
      </c>
      <c r="C1410" t="s">
        <v>14408</v>
      </c>
    </row>
    <row r="1411" spans="2:3" hidden="1" x14ac:dyDescent="0.25">
      <c r="B1411" s="65">
        <v>37049</v>
      </c>
      <c r="C1411" t="s">
        <v>14308</v>
      </c>
    </row>
    <row r="1412" spans="2:3" hidden="1" x14ac:dyDescent="0.25">
      <c r="B1412" s="65">
        <v>37049</v>
      </c>
      <c r="C1412" t="s">
        <v>14335</v>
      </c>
    </row>
    <row r="1413" spans="2:3" hidden="1" x14ac:dyDescent="0.25">
      <c r="B1413" s="65">
        <v>37048</v>
      </c>
      <c r="C1413" t="s">
        <v>4115</v>
      </c>
    </row>
    <row r="1414" spans="2:3" hidden="1" x14ac:dyDescent="0.25">
      <c r="B1414" s="65">
        <v>37048</v>
      </c>
      <c r="C1414" t="s">
        <v>9314</v>
      </c>
    </row>
    <row r="1415" spans="2:3" hidden="1" x14ac:dyDescent="0.25">
      <c r="B1415" s="65">
        <v>37048</v>
      </c>
      <c r="C1415" t="s">
        <v>4701</v>
      </c>
    </row>
    <row r="1416" spans="2:3" hidden="1" x14ac:dyDescent="0.25">
      <c r="B1416" s="65">
        <v>37047</v>
      </c>
      <c r="C1416" t="s">
        <v>6537</v>
      </c>
    </row>
    <row r="1417" spans="2:3" hidden="1" x14ac:dyDescent="0.25">
      <c r="B1417" s="65">
        <v>37047</v>
      </c>
      <c r="C1417" t="s">
        <v>6968</v>
      </c>
    </row>
    <row r="1418" spans="2:3" hidden="1" x14ac:dyDescent="0.25">
      <c r="B1418" s="65">
        <v>37047</v>
      </c>
      <c r="C1418" t="s">
        <v>14330</v>
      </c>
    </row>
    <row r="1419" spans="2:3" hidden="1" x14ac:dyDescent="0.25">
      <c r="B1419" s="65">
        <v>37047</v>
      </c>
      <c r="C1419" t="s">
        <v>7953</v>
      </c>
    </row>
    <row r="1420" spans="2:3" hidden="1" x14ac:dyDescent="0.25">
      <c r="B1420" s="65">
        <v>37047</v>
      </c>
      <c r="C1420" t="s">
        <v>14369</v>
      </c>
    </row>
    <row r="1421" spans="2:3" hidden="1" x14ac:dyDescent="0.25">
      <c r="B1421" s="65">
        <v>37046</v>
      </c>
      <c r="C1421" t="s">
        <v>14289</v>
      </c>
    </row>
    <row r="1422" spans="2:3" hidden="1" x14ac:dyDescent="0.25">
      <c r="B1422" s="65">
        <v>37046</v>
      </c>
      <c r="C1422" t="s">
        <v>46</v>
      </c>
    </row>
    <row r="1423" spans="2:3" hidden="1" x14ac:dyDescent="0.25">
      <c r="B1423" s="65">
        <v>37045</v>
      </c>
      <c r="C1423" t="s">
        <v>2273</v>
      </c>
    </row>
    <row r="1424" spans="2:3" hidden="1" x14ac:dyDescent="0.25">
      <c r="B1424" s="65">
        <v>37045</v>
      </c>
      <c r="C1424" t="s">
        <v>14347</v>
      </c>
    </row>
    <row r="1425" spans="2:3" hidden="1" x14ac:dyDescent="0.25">
      <c r="B1425" s="65">
        <v>37044</v>
      </c>
      <c r="C1425" t="s">
        <v>1029</v>
      </c>
    </row>
    <row r="1426" spans="2:3" hidden="1" x14ac:dyDescent="0.25">
      <c r="B1426" s="65">
        <v>37044</v>
      </c>
      <c r="C1426" t="s">
        <v>14365</v>
      </c>
    </row>
    <row r="1427" spans="2:3" hidden="1" x14ac:dyDescent="0.25">
      <c r="B1427" s="65">
        <v>37044</v>
      </c>
      <c r="C1427" t="s">
        <v>14387</v>
      </c>
    </row>
    <row r="1428" spans="2:3" hidden="1" x14ac:dyDescent="0.25">
      <c r="B1428" s="65">
        <v>37043</v>
      </c>
      <c r="C1428" t="s">
        <v>11149</v>
      </c>
    </row>
    <row r="1429" spans="2:3" hidden="1" x14ac:dyDescent="0.25">
      <c r="B1429" s="65">
        <v>37042</v>
      </c>
      <c r="C1429" t="s">
        <v>14339</v>
      </c>
    </row>
    <row r="1430" spans="2:3" hidden="1" x14ac:dyDescent="0.25">
      <c r="B1430" s="65">
        <v>37042</v>
      </c>
      <c r="C1430" t="s">
        <v>598</v>
      </c>
    </row>
    <row r="1431" spans="2:3" hidden="1" x14ac:dyDescent="0.25">
      <c r="B1431" s="65">
        <v>37042</v>
      </c>
      <c r="C1431" t="s">
        <v>8049</v>
      </c>
    </row>
    <row r="1432" spans="2:3" hidden="1" x14ac:dyDescent="0.25">
      <c r="B1432" s="65">
        <v>37041</v>
      </c>
      <c r="C1432" t="s">
        <v>14297</v>
      </c>
    </row>
    <row r="1433" spans="2:3" hidden="1" x14ac:dyDescent="0.25">
      <c r="B1433" s="65">
        <v>37041</v>
      </c>
      <c r="C1433" t="s">
        <v>410</v>
      </c>
    </row>
    <row r="1434" spans="2:3" hidden="1" x14ac:dyDescent="0.25">
      <c r="B1434" s="65">
        <v>37040</v>
      </c>
      <c r="C1434" t="s">
        <v>8038</v>
      </c>
    </row>
    <row r="1435" spans="2:3" hidden="1" x14ac:dyDescent="0.25">
      <c r="B1435" s="65">
        <v>37040</v>
      </c>
      <c r="C1435" t="s">
        <v>14283</v>
      </c>
    </row>
    <row r="1436" spans="2:3" hidden="1" x14ac:dyDescent="0.25">
      <c r="B1436" s="65">
        <v>37040</v>
      </c>
      <c r="C1436" t="s">
        <v>14293</v>
      </c>
    </row>
    <row r="1437" spans="2:3" hidden="1" x14ac:dyDescent="0.25">
      <c r="B1437" s="65">
        <v>37040</v>
      </c>
      <c r="C1437" t="s">
        <v>14318</v>
      </c>
    </row>
    <row r="1438" spans="2:3" hidden="1" x14ac:dyDescent="0.25">
      <c r="B1438" s="65">
        <v>37040</v>
      </c>
      <c r="C1438" t="s">
        <v>14354</v>
      </c>
    </row>
    <row r="1439" spans="2:3" hidden="1" x14ac:dyDescent="0.25">
      <c r="B1439" s="65">
        <v>37040</v>
      </c>
      <c r="C1439" t="s">
        <v>14382</v>
      </c>
    </row>
    <row r="1440" spans="2:3" hidden="1" x14ac:dyDescent="0.25">
      <c r="B1440" s="65">
        <v>37039</v>
      </c>
      <c r="C1440" t="s">
        <v>14265</v>
      </c>
    </row>
    <row r="1441" spans="2:3" hidden="1" x14ac:dyDescent="0.25">
      <c r="B1441" s="65">
        <v>37039</v>
      </c>
      <c r="C1441" t="s">
        <v>14276</v>
      </c>
    </row>
    <row r="1442" spans="2:3" hidden="1" x14ac:dyDescent="0.25">
      <c r="B1442" s="65">
        <v>37038</v>
      </c>
      <c r="C1442" t="s">
        <v>14241</v>
      </c>
    </row>
    <row r="1443" spans="2:3" hidden="1" x14ac:dyDescent="0.25">
      <c r="B1443" s="65">
        <v>37038</v>
      </c>
      <c r="C1443" t="s">
        <v>14250</v>
      </c>
    </row>
    <row r="1444" spans="2:3" hidden="1" x14ac:dyDescent="0.25">
      <c r="B1444" s="65">
        <v>37038</v>
      </c>
      <c r="C1444" t="s">
        <v>981</v>
      </c>
    </row>
    <row r="1445" spans="2:3" hidden="1" x14ac:dyDescent="0.25">
      <c r="B1445" s="65">
        <v>37038</v>
      </c>
      <c r="C1445" t="s">
        <v>6576</v>
      </c>
    </row>
    <row r="1446" spans="2:3" hidden="1" x14ac:dyDescent="0.25">
      <c r="B1446" s="65">
        <v>37038</v>
      </c>
      <c r="C1446" t="s">
        <v>12455</v>
      </c>
    </row>
    <row r="1447" spans="2:3" hidden="1" x14ac:dyDescent="0.25">
      <c r="B1447" s="65">
        <v>37037</v>
      </c>
      <c r="C1447" t="s">
        <v>14237</v>
      </c>
    </row>
    <row r="1448" spans="2:3" hidden="1" x14ac:dyDescent="0.25">
      <c r="B1448" s="65">
        <v>37037</v>
      </c>
      <c r="C1448" t="s">
        <v>14247</v>
      </c>
    </row>
    <row r="1449" spans="2:3" hidden="1" x14ac:dyDescent="0.25">
      <c r="B1449" s="65">
        <v>37036</v>
      </c>
      <c r="C1449" t="s">
        <v>14206</v>
      </c>
    </row>
    <row r="1450" spans="2:3" hidden="1" x14ac:dyDescent="0.25">
      <c r="B1450" s="65">
        <v>37036</v>
      </c>
      <c r="C1450" t="s">
        <v>14231</v>
      </c>
    </row>
    <row r="1451" spans="2:3" hidden="1" x14ac:dyDescent="0.25">
      <c r="B1451" s="65">
        <v>37035</v>
      </c>
      <c r="C1451" t="s">
        <v>14186</v>
      </c>
    </row>
    <row r="1452" spans="2:3" hidden="1" x14ac:dyDescent="0.25">
      <c r="B1452" s="65">
        <v>37035</v>
      </c>
      <c r="C1452" t="s">
        <v>11856</v>
      </c>
    </row>
    <row r="1453" spans="2:3" hidden="1" x14ac:dyDescent="0.25">
      <c r="B1453" s="65">
        <v>37035</v>
      </c>
      <c r="C1453" t="s">
        <v>14194</v>
      </c>
    </row>
    <row r="1454" spans="2:3" hidden="1" x14ac:dyDescent="0.25">
      <c r="B1454" s="65">
        <v>37035</v>
      </c>
      <c r="C1454" t="s">
        <v>14202</v>
      </c>
    </row>
    <row r="1455" spans="2:3" hidden="1" x14ac:dyDescent="0.25">
      <c r="B1455" s="65">
        <v>37035</v>
      </c>
      <c r="C1455" t="s">
        <v>2840</v>
      </c>
    </row>
    <row r="1456" spans="2:3" hidden="1" x14ac:dyDescent="0.25">
      <c r="B1456" s="65">
        <v>37035</v>
      </c>
      <c r="C1456" t="s">
        <v>14220</v>
      </c>
    </row>
    <row r="1457" spans="2:3" hidden="1" x14ac:dyDescent="0.25">
      <c r="B1457" s="65">
        <v>37035</v>
      </c>
      <c r="C1457" t="s">
        <v>14225</v>
      </c>
    </row>
    <row r="1458" spans="2:3" hidden="1" x14ac:dyDescent="0.25">
      <c r="B1458" s="65">
        <v>37035</v>
      </c>
      <c r="C1458" t="s">
        <v>14228</v>
      </c>
    </row>
    <row r="1459" spans="2:3" hidden="1" x14ac:dyDescent="0.25">
      <c r="B1459" s="65">
        <v>37034</v>
      </c>
      <c r="C1459" t="s">
        <v>14172</v>
      </c>
    </row>
    <row r="1460" spans="2:3" hidden="1" x14ac:dyDescent="0.25">
      <c r="B1460" s="65">
        <v>37034</v>
      </c>
      <c r="C1460" t="s">
        <v>14181</v>
      </c>
    </row>
    <row r="1461" spans="2:3" hidden="1" x14ac:dyDescent="0.25">
      <c r="B1461" s="65">
        <v>37034</v>
      </c>
      <c r="C1461" t="s">
        <v>14199</v>
      </c>
    </row>
    <row r="1462" spans="2:3" hidden="1" x14ac:dyDescent="0.25">
      <c r="B1462" s="65">
        <v>37034</v>
      </c>
      <c r="C1462" t="s">
        <v>2231</v>
      </c>
    </row>
    <row r="1463" spans="2:3" hidden="1" x14ac:dyDescent="0.25">
      <c r="B1463" s="65">
        <v>37034</v>
      </c>
      <c r="C1463" t="s">
        <v>4394</v>
      </c>
    </row>
    <row r="1464" spans="2:3" hidden="1" x14ac:dyDescent="0.25">
      <c r="B1464" s="65">
        <v>37034</v>
      </c>
      <c r="C1464" t="s">
        <v>11664</v>
      </c>
    </row>
    <row r="1465" spans="2:3" hidden="1" x14ac:dyDescent="0.25">
      <c r="B1465" s="65">
        <v>37033</v>
      </c>
      <c r="C1465" t="s">
        <v>6893</v>
      </c>
    </row>
    <row r="1466" spans="2:3" hidden="1" x14ac:dyDescent="0.25">
      <c r="B1466" s="65">
        <v>37033</v>
      </c>
      <c r="C1466" t="s">
        <v>1813</v>
      </c>
    </row>
    <row r="1467" spans="2:3" hidden="1" x14ac:dyDescent="0.25">
      <c r="B1467" s="65">
        <v>37033</v>
      </c>
      <c r="C1467" t="s">
        <v>14160</v>
      </c>
    </row>
    <row r="1468" spans="2:3" hidden="1" x14ac:dyDescent="0.25">
      <c r="B1468" s="65">
        <v>37033</v>
      </c>
      <c r="C1468" t="s">
        <v>14178</v>
      </c>
    </row>
    <row r="1469" spans="2:3" hidden="1" x14ac:dyDescent="0.25">
      <c r="B1469" s="65">
        <v>37032</v>
      </c>
      <c r="C1469" t="s">
        <v>14138</v>
      </c>
    </row>
    <row r="1470" spans="2:3" hidden="1" x14ac:dyDescent="0.25">
      <c r="B1470" s="65">
        <v>37032</v>
      </c>
      <c r="C1470" t="s">
        <v>1340</v>
      </c>
    </row>
    <row r="1471" spans="2:3" hidden="1" x14ac:dyDescent="0.25">
      <c r="B1471" s="65">
        <v>37031</v>
      </c>
      <c r="C1471" t="s">
        <v>11344</v>
      </c>
    </row>
    <row r="1472" spans="2:3" hidden="1" x14ac:dyDescent="0.25">
      <c r="B1472" s="65">
        <v>37030</v>
      </c>
      <c r="C1472" t="s">
        <v>1435</v>
      </c>
    </row>
    <row r="1473" spans="2:3" hidden="1" x14ac:dyDescent="0.25">
      <c r="B1473" s="65">
        <v>37030</v>
      </c>
      <c r="C1473" t="s">
        <v>1370</v>
      </c>
    </row>
    <row r="1474" spans="2:3" hidden="1" x14ac:dyDescent="0.25">
      <c r="B1474" s="65">
        <v>37029</v>
      </c>
      <c r="C1474" t="s">
        <v>14088</v>
      </c>
    </row>
    <row r="1475" spans="2:3" hidden="1" x14ac:dyDescent="0.25">
      <c r="B1475" s="65">
        <v>37029</v>
      </c>
      <c r="C1475" t="s">
        <v>14101</v>
      </c>
    </row>
    <row r="1476" spans="2:3" hidden="1" x14ac:dyDescent="0.25">
      <c r="B1476" s="65">
        <v>37028</v>
      </c>
      <c r="C1476" t="s">
        <v>14094</v>
      </c>
    </row>
    <row r="1477" spans="2:3" hidden="1" x14ac:dyDescent="0.25">
      <c r="B1477" s="65">
        <v>37028</v>
      </c>
      <c r="C1477" t="s">
        <v>14130</v>
      </c>
    </row>
    <row r="1478" spans="2:3" hidden="1" x14ac:dyDescent="0.25">
      <c r="B1478" s="65">
        <v>37028</v>
      </c>
      <c r="C1478" t="s">
        <v>14141</v>
      </c>
    </row>
    <row r="1479" spans="2:3" hidden="1" x14ac:dyDescent="0.25">
      <c r="B1479" s="65">
        <v>37028</v>
      </c>
      <c r="C1479" t="s">
        <v>5065</v>
      </c>
    </row>
    <row r="1480" spans="2:3" hidden="1" x14ac:dyDescent="0.25">
      <c r="B1480" s="65">
        <v>37028</v>
      </c>
      <c r="C1480" t="s">
        <v>3413</v>
      </c>
    </row>
    <row r="1481" spans="2:3" hidden="1" x14ac:dyDescent="0.25">
      <c r="B1481" s="65">
        <v>37028</v>
      </c>
      <c r="C1481" t="s">
        <v>1387</v>
      </c>
    </row>
    <row r="1482" spans="2:3" hidden="1" x14ac:dyDescent="0.25">
      <c r="B1482" s="65">
        <v>37027</v>
      </c>
      <c r="C1482" t="s">
        <v>14105</v>
      </c>
    </row>
    <row r="1483" spans="2:3" hidden="1" x14ac:dyDescent="0.25">
      <c r="B1483" s="65">
        <v>37027</v>
      </c>
      <c r="C1483" t="s">
        <v>14110</v>
      </c>
    </row>
    <row r="1484" spans="2:3" hidden="1" x14ac:dyDescent="0.25">
      <c r="B1484" s="65">
        <v>37027</v>
      </c>
      <c r="C1484" t="s">
        <v>14118</v>
      </c>
    </row>
    <row r="1485" spans="2:3" hidden="1" x14ac:dyDescent="0.25">
      <c r="B1485" s="65">
        <v>37027</v>
      </c>
      <c r="C1485" t="s">
        <v>14124</v>
      </c>
    </row>
    <row r="1486" spans="2:3" hidden="1" x14ac:dyDescent="0.25">
      <c r="B1486" s="65">
        <v>37027</v>
      </c>
      <c r="C1486" t="s">
        <v>14135</v>
      </c>
    </row>
    <row r="1487" spans="2:3" hidden="1" x14ac:dyDescent="0.25">
      <c r="B1487" s="65">
        <v>37026</v>
      </c>
      <c r="C1487" t="s">
        <v>858</v>
      </c>
    </row>
    <row r="1488" spans="2:3" hidden="1" x14ac:dyDescent="0.25">
      <c r="B1488" s="65">
        <v>37026</v>
      </c>
      <c r="C1488" t="s">
        <v>5791</v>
      </c>
    </row>
    <row r="1489" spans="2:3" hidden="1" x14ac:dyDescent="0.25">
      <c r="B1489" s="65">
        <v>37026</v>
      </c>
      <c r="C1489" t="s">
        <v>5238</v>
      </c>
    </row>
    <row r="1490" spans="2:3" hidden="1" x14ac:dyDescent="0.25">
      <c r="B1490" s="65">
        <v>37026</v>
      </c>
      <c r="C1490" t="s">
        <v>14083</v>
      </c>
    </row>
    <row r="1491" spans="2:3" hidden="1" x14ac:dyDescent="0.25">
      <c r="B1491" s="65">
        <v>37026</v>
      </c>
      <c r="C1491" t="s">
        <v>14149</v>
      </c>
    </row>
    <row r="1492" spans="2:3" hidden="1" x14ac:dyDescent="0.25">
      <c r="B1492" s="65">
        <v>37026</v>
      </c>
      <c r="C1492" t="s">
        <v>14167</v>
      </c>
    </row>
    <row r="1493" spans="2:3" hidden="1" x14ac:dyDescent="0.25">
      <c r="B1493" s="65">
        <v>37025</v>
      </c>
      <c r="C1493" t="s">
        <v>14052</v>
      </c>
    </row>
    <row r="1494" spans="2:3" hidden="1" x14ac:dyDescent="0.25">
      <c r="B1494" s="65">
        <v>37025</v>
      </c>
      <c r="C1494" t="s">
        <v>14071</v>
      </c>
    </row>
    <row r="1495" spans="2:3" hidden="1" x14ac:dyDescent="0.25">
      <c r="B1495" s="65">
        <v>37025</v>
      </c>
      <c r="C1495" t="s">
        <v>14075</v>
      </c>
    </row>
    <row r="1496" spans="2:3" hidden="1" x14ac:dyDescent="0.25">
      <c r="B1496" s="65">
        <v>37025</v>
      </c>
      <c r="C1496" t="s">
        <v>3601</v>
      </c>
    </row>
    <row r="1497" spans="2:3" hidden="1" x14ac:dyDescent="0.25">
      <c r="B1497" s="65">
        <v>37023</v>
      </c>
      <c r="C1497" t="s">
        <v>10598</v>
      </c>
    </row>
    <row r="1498" spans="2:3" hidden="1" x14ac:dyDescent="0.25">
      <c r="B1498" s="65">
        <v>37023</v>
      </c>
      <c r="C1498" t="s">
        <v>14056</v>
      </c>
    </row>
    <row r="1499" spans="2:3" hidden="1" x14ac:dyDescent="0.25">
      <c r="B1499" s="65">
        <v>37022</v>
      </c>
      <c r="C1499" t="s">
        <v>14036</v>
      </c>
    </row>
    <row r="1500" spans="2:3" hidden="1" x14ac:dyDescent="0.25">
      <c r="B1500" s="65">
        <v>37022</v>
      </c>
      <c r="C1500" t="s">
        <v>866</v>
      </c>
    </row>
    <row r="1501" spans="2:3" hidden="1" x14ac:dyDescent="0.25">
      <c r="B1501" s="65">
        <v>37022</v>
      </c>
      <c r="C1501" t="s">
        <v>5716</v>
      </c>
    </row>
    <row r="1502" spans="2:3" hidden="1" x14ac:dyDescent="0.25">
      <c r="B1502" s="65">
        <v>37022</v>
      </c>
      <c r="C1502" t="s">
        <v>14067</v>
      </c>
    </row>
    <row r="1503" spans="2:3" hidden="1" x14ac:dyDescent="0.25">
      <c r="B1503" s="65">
        <v>37021</v>
      </c>
      <c r="C1503" t="s">
        <v>13278</v>
      </c>
    </row>
    <row r="1504" spans="2:3" hidden="1" x14ac:dyDescent="0.25">
      <c r="B1504" s="65">
        <v>37021</v>
      </c>
      <c r="C1504" t="s">
        <v>9157</v>
      </c>
    </row>
    <row r="1505" spans="2:3" hidden="1" x14ac:dyDescent="0.25">
      <c r="B1505" s="65">
        <v>37021</v>
      </c>
      <c r="C1505" t="s">
        <v>14029</v>
      </c>
    </row>
    <row r="1506" spans="2:3" hidden="1" x14ac:dyDescent="0.25">
      <c r="B1506" s="65">
        <v>37021</v>
      </c>
      <c r="C1506" t="s">
        <v>14045</v>
      </c>
    </row>
    <row r="1507" spans="2:3" hidden="1" x14ac:dyDescent="0.25">
      <c r="B1507" s="65">
        <v>37021</v>
      </c>
      <c r="C1507" t="s">
        <v>14078</v>
      </c>
    </row>
    <row r="1508" spans="2:3" hidden="1" x14ac:dyDescent="0.25">
      <c r="B1508" s="65">
        <v>37020</v>
      </c>
      <c r="C1508" t="s">
        <v>717</v>
      </c>
    </row>
    <row r="1509" spans="2:3" hidden="1" x14ac:dyDescent="0.25">
      <c r="B1509" s="65">
        <v>37019</v>
      </c>
      <c r="C1509" t="s">
        <v>13897</v>
      </c>
    </row>
    <row r="1510" spans="2:3" hidden="1" x14ac:dyDescent="0.25">
      <c r="B1510" s="65">
        <v>37019</v>
      </c>
      <c r="C1510" t="s">
        <v>13904</v>
      </c>
    </row>
    <row r="1511" spans="2:3" hidden="1" x14ac:dyDescent="0.25">
      <c r="B1511" s="65">
        <v>37019</v>
      </c>
      <c r="C1511" t="s">
        <v>2299</v>
      </c>
    </row>
    <row r="1512" spans="2:3" hidden="1" x14ac:dyDescent="0.25">
      <c r="B1512" s="65">
        <v>37018</v>
      </c>
      <c r="C1512" t="s">
        <v>13162</v>
      </c>
    </row>
    <row r="1513" spans="2:3" hidden="1" x14ac:dyDescent="0.25">
      <c r="B1513" s="65">
        <v>37018</v>
      </c>
      <c r="C1513" t="s">
        <v>10958</v>
      </c>
    </row>
    <row r="1514" spans="2:3" hidden="1" x14ac:dyDescent="0.25">
      <c r="B1514" s="65">
        <v>37018</v>
      </c>
      <c r="C1514" t="s">
        <v>13883</v>
      </c>
    </row>
    <row r="1515" spans="2:3" hidden="1" x14ac:dyDescent="0.25">
      <c r="B1515" s="65">
        <v>37017</v>
      </c>
      <c r="C1515" t="s">
        <v>2209</v>
      </c>
    </row>
    <row r="1516" spans="2:3" hidden="1" x14ac:dyDescent="0.25">
      <c r="B1516" s="65">
        <v>37017</v>
      </c>
      <c r="C1516" t="s">
        <v>3728</v>
      </c>
    </row>
    <row r="1517" spans="2:3" hidden="1" x14ac:dyDescent="0.25">
      <c r="B1517" s="65">
        <v>37017</v>
      </c>
      <c r="C1517" t="s">
        <v>13384</v>
      </c>
    </row>
    <row r="1518" spans="2:3" hidden="1" x14ac:dyDescent="0.25">
      <c r="B1518" s="65">
        <v>37017</v>
      </c>
      <c r="C1518" t="s">
        <v>13577</v>
      </c>
    </row>
    <row r="1519" spans="2:3" hidden="1" x14ac:dyDescent="0.25">
      <c r="B1519" s="65">
        <v>37016</v>
      </c>
      <c r="C1519" t="s">
        <v>13589</v>
      </c>
    </row>
    <row r="1520" spans="2:3" hidden="1" x14ac:dyDescent="0.25">
      <c r="B1520" s="65">
        <v>37014</v>
      </c>
      <c r="C1520" t="s">
        <v>13392</v>
      </c>
    </row>
    <row r="1521" spans="2:3" hidden="1" x14ac:dyDescent="0.25">
      <c r="B1521" s="65">
        <v>37014</v>
      </c>
      <c r="C1521" t="s">
        <v>13514</v>
      </c>
    </row>
    <row r="1522" spans="2:3" hidden="1" x14ac:dyDescent="0.25">
      <c r="B1522" s="65">
        <v>37014</v>
      </c>
      <c r="C1522" t="s">
        <v>14006</v>
      </c>
    </row>
    <row r="1523" spans="2:3" hidden="1" x14ac:dyDescent="0.25">
      <c r="B1523" s="65">
        <v>37013</v>
      </c>
      <c r="C1523" t="s">
        <v>13221</v>
      </c>
    </row>
    <row r="1524" spans="2:3" hidden="1" x14ac:dyDescent="0.25">
      <c r="B1524" s="65">
        <v>37013</v>
      </c>
      <c r="C1524" t="s">
        <v>13289</v>
      </c>
    </row>
    <row r="1525" spans="2:3" hidden="1" x14ac:dyDescent="0.25">
      <c r="B1525" s="65">
        <v>37013</v>
      </c>
      <c r="C1525" t="s">
        <v>7088</v>
      </c>
    </row>
    <row r="1526" spans="2:3" hidden="1" x14ac:dyDescent="0.25">
      <c r="B1526" s="65">
        <v>37013</v>
      </c>
      <c r="C1526" t="s">
        <v>13630</v>
      </c>
    </row>
    <row r="1527" spans="2:3" hidden="1" x14ac:dyDescent="0.25">
      <c r="B1527" s="65">
        <v>37013</v>
      </c>
      <c r="C1527" t="s">
        <v>1806</v>
      </c>
    </row>
    <row r="1528" spans="2:3" hidden="1" x14ac:dyDescent="0.25">
      <c r="B1528" s="65">
        <v>37013</v>
      </c>
      <c r="C1528" t="s">
        <v>13823</v>
      </c>
    </row>
    <row r="1529" spans="2:3" hidden="1" x14ac:dyDescent="0.25">
      <c r="B1529" s="65">
        <v>37012</v>
      </c>
      <c r="C1529" t="s">
        <v>13704</v>
      </c>
    </row>
    <row r="1530" spans="2:3" hidden="1" x14ac:dyDescent="0.25">
      <c r="B1530" s="65">
        <v>37012</v>
      </c>
      <c r="C1530" t="s">
        <v>13880</v>
      </c>
    </row>
    <row r="1531" spans="2:3" hidden="1" x14ac:dyDescent="0.25">
      <c r="B1531" s="65">
        <v>37011</v>
      </c>
      <c r="C1531" t="s">
        <v>13330</v>
      </c>
    </row>
    <row r="1532" spans="2:3" hidden="1" x14ac:dyDescent="0.25">
      <c r="B1532" s="65">
        <v>37011</v>
      </c>
      <c r="C1532" t="s">
        <v>46</v>
      </c>
    </row>
    <row r="1533" spans="2:3" hidden="1" x14ac:dyDescent="0.25">
      <c r="B1533" s="65">
        <v>37011</v>
      </c>
      <c r="C1533" t="s">
        <v>13763</v>
      </c>
    </row>
    <row r="1534" spans="2:3" hidden="1" x14ac:dyDescent="0.25">
      <c r="B1534" s="65">
        <v>37011</v>
      </c>
      <c r="C1534" t="s">
        <v>13912</v>
      </c>
    </row>
    <row r="1535" spans="2:3" hidden="1" x14ac:dyDescent="0.25">
      <c r="B1535" s="65">
        <v>37011</v>
      </c>
      <c r="C1535" t="s">
        <v>3782</v>
      </c>
    </row>
    <row r="1536" spans="2:3" hidden="1" x14ac:dyDescent="0.25">
      <c r="B1536" s="65">
        <v>37009</v>
      </c>
      <c r="C1536" t="s">
        <v>960</v>
      </c>
    </row>
    <row r="1537" spans="2:3" hidden="1" x14ac:dyDescent="0.25">
      <c r="B1537" s="65">
        <v>37009</v>
      </c>
      <c r="C1537" t="s">
        <v>13414</v>
      </c>
    </row>
    <row r="1538" spans="2:3" hidden="1" x14ac:dyDescent="0.25">
      <c r="B1538" s="65">
        <v>37009</v>
      </c>
      <c r="C1538" t="s">
        <v>8693</v>
      </c>
    </row>
    <row r="1539" spans="2:3" hidden="1" x14ac:dyDescent="0.25">
      <c r="B1539" s="65">
        <v>37008</v>
      </c>
      <c r="C1539" t="s">
        <v>13361</v>
      </c>
    </row>
    <row r="1540" spans="2:3" hidden="1" x14ac:dyDescent="0.25">
      <c r="B1540" s="65">
        <v>37008</v>
      </c>
      <c r="C1540" t="s">
        <v>8097</v>
      </c>
    </row>
    <row r="1541" spans="2:3" hidden="1" x14ac:dyDescent="0.25">
      <c r="B1541" s="65">
        <v>37007</v>
      </c>
      <c r="C1541" t="s">
        <v>13268</v>
      </c>
    </row>
    <row r="1542" spans="2:3" hidden="1" x14ac:dyDescent="0.25">
      <c r="B1542" s="65">
        <v>37007</v>
      </c>
      <c r="C1542" t="s">
        <v>13724</v>
      </c>
    </row>
    <row r="1543" spans="2:3" hidden="1" x14ac:dyDescent="0.25">
      <c r="B1543" s="65">
        <v>37006</v>
      </c>
      <c r="C1543" t="s">
        <v>13231</v>
      </c>
    </row>
    <row r="1544" spans="2:3" hidden="1" x14ac:dyDescent="0.25">
      <c r="B1544" s="65">
        <v>37006</v>
      </c>
      <c r="C1544" t="s">
        <v>8508</v>
      </c>
    </row>
    <row r="1545" spans="2:3" hidden="1" x14ac:dyDescent="0.25">
      <c r="B1545" s="65">
        <v>37006</v>
      </c>
      <c r="C1545" t="s">
        <v>13584</v>
      </c>
    </row>
    <row r="1546" spans="2:3" hidden="1" x14ac:dyDescent="0.25">
      <c r="B1546" s="65">
        <v>37006</v>
      </c>
      <c r="C1546" t="s">
        <v>598</v>
      </c>
    </row>
    <row r="1547" spans="2:3" hidden="1" x14ac:dyDescent="0.25">
      <c r="B1547" s="65">
        <v>37005</v>
      </c>
      <c r="C1547" t="s">
        <v>13598</v>
      </c>
    </row>
    <row r="1548" spans="2:3" hidden="1" x14ac:dyDescent="0.25">
      <c r="B1548" s="65">
        <v>37005</v>
      </c>
      <c r="C1548" t="s">
        <v>8459</v>
      </c>
    </row>
    <row r="1549" spans="2:3" hidden="1" x14ac:dyDescent="0.25">
      <c r="B1549" s="65">
        <v>37004</v>
      </c>
      <c r="C1549" t="s">
        <v>2119</v>
      </c>
    </row>
    <row r="1550" spans="2:3" hidden="1" x14ac:dyDescent="0.25">
      <c r="B1550" s="65">
        <v>37004</v>
      </c>
      <c r="C1550" t="s">
        <v>13670</v>
      </c>
    </row>
    <row r="1551" spans="2:3" hidden="1" x14ac:dyDescent="0.25">
      <c r="B1551" s="65">
        <v>37003</v>
      </c>
      <c r="C1551" t="s">
        <v>13427</v>
      </c>
    </row>
    <row r="1552" spans="2:3" hidden="1" x14ac:dyDescent="0.25">
      <c r="B1552" s="65">
        <v>37003</v>
      </c>
      <c r="C1552" t="s">
        <v>13806</v>
      </c>
    </row>
    <row r="1553" spans="2:3" hidden="1" x14ac:dyDescent="0.25">
      <c r="B1553" s="65">
        <v>37003</v>
      </c>
      <c r="C1553" t="s">
        <v>13952</v>
      </c>
    </row>
    <row r="1554" spans="2:3" hidden="1" x14ac:dyDescent="0.25">
      <c r="B1554" s="65">
        <v>37001</v>
      </c>
      <c r="C1554" t="s">
        <v>13370</v>
      </c>
    </row>
    <row r="1555" spans="2:3" hidden="1" x14ac:dyDescent="0.25">
      <c r="B1555" s="65">
        <v>37001</v>
      </c>
      <c r="C1555" t="s">
        <v>13388</v>
      </c>
    </row>
    <row r="1556" spans="2:3" hidden="1" x14ac:dyDescent="0.25">
      <c r="B1556" s="65">
        <v>37001</v>
      </c>
      <c r="C1556" t="s">
        <v>13653</v>
      </c>
    </row>
    <row r="1557" spans="2:3" hidden="1" x14ac:dyDescent="0.25">
      <c r="B1557" s="65">
        <v>37001</v>
      </c>
      <c r="C1557" t="s">
        <v>3102</v>
      </c>
    </row>
    <row r="1558" spans="2:3" hidden="1" x14ac:dyDescent="0.25">
      <c r="B1558" s="65">
        <v>37001</v>
      </c>
      <c r="C1558" t="s">
        <v>2009</v>
      </c>
    </row>
    <row r="1559" spans="2:3" hidden="1" x14ac:dyDescent="0.25">
      <c r="B1559" s="65">
        <v>37000</v>
      </c>
      <c r="C1559" t="s">
        <v>1949</v>
      </c>
    </row>
    <row r="1560" spans="2:3" hidden="1" x14ac:dyDescent="0.25">
      <c r="B1560" s="65">
        <v>37000</v>
      </c>
      <c r="C1560" t="s">
        <v>13820</v>
      </c>
    </row>
    <row r="1561" spans="2:3" hidden="1" x14ac:dyDescent="0.25">
      <c r="B1561" s="65">
        <v>37000</v>
      </c>
      <c r="C1561" t="s">
        <v>3417</v>
      </c>
    </row>
    <row r="1562" spans="2:3" hidden="1" x14ac:dyDescent="0.25">
      <c r="B1562" s="65">
        <v>36999</v>
      </c>
      <c r="C1562" t="s">
        <v>13202</v>
      </c>
    </row>
    <row r="1563" spans="2:3" hidden="1" x14ac:dyDescent="0.25">
      <c r="B1563" s="65">
        <v>36999</v>
      </c>
      <c r="C1563" t="s">
        <v>13257</v>
      </c>
    </row>
    <row r="1564" spans="2:3" hidden="1" x14ac:dyDescent="0.25">
      <c r="B1564" s="65">
        <v>36999</v>
      </c>
      <c r="C1564" t="s">
        <v>598</v>
      </c>
    </row>
    <row r="1565" spans="2:3" hidden="1" x14ac:dyDescent="0.25">
      <c r="B1565" s="65">
        <v>36999</v>
      </c>
      <c r="C1565" t="s">
        <v>1174</v>
      </c>
    </row>
    <row r="1566" spans="2:3" hidden="1" x14ac:dyDescent="0.25">
      <c r="B1566" s="65">
        <v>36999</v>
      </c>
      <c r="C1566" t="s">
        <v>13754</v>
      </c>
    </row>
    <row r="1567" spans="2:3" hidden="1" x14ac:dyDescent="0.25">
      <c r="B1567" s="65">
        <v>36999</v>
      </c>
      <c r="C1567" t="s">
        <v>12304</v>
      </c>
    </row>
    <row r="1568" spans="2:3" hidden="1" x14ac:dyDescent="0.25">
      <c r="B1568" s="65">
        <v>36998</v>
      </c>
      <c r="C1568" t="s">
        <v>13842</v>
      </c>
    </row>
    <row r="1569" spans="2:3" hidden="1" x14ac:dyDescent="0.25">
      <c r="B1569" s="65">
        <v>36998</v>
      </c>
      <c r="C1569" t="s">
        <v>9985</v>
      </c>
    </row>
    <row r="1570" spans="2:3" hidden="1" x14ac:dyDescent="0.25">
      <c r="B1570" s="65">
        <v>36997</v>
      </c>
      <c r="C1570" t="s">
        <v>13797</v>
      </c>
    </row>
    <row r="1571" spans="2:3" hidden="1" x14ac:dyDescent="0.25">
      <c r="B1571" s="65">
        <v>36996</v>
      </c>
      <c r="C1571" t="s">
        <v>13552</v>
      </c>
    </row>
    <row r="1572" spans="2:3" hidden="1" x14ac:dyDescent="0.25">
      <c r="B1572" s="65">
        <v>36995</v>
      </c>
      <c r="C1572" t="s">
        <v>13217</v>
      </c>
    </row>
    <row r="1573" spans="2:3" hidden="1" x14ac:dyDescent="0.25">
      <c r="B1573" s="65">
        <v>36995</v>
      </c>
      <c r="C1573" t="s">
        <v>8915</v>
      </c>
    </row>
    <row r="1574" spans="2:3" hidden="1" x14ac:dyDescent="0.25">
      <c r="B1574" s="65">
        <v>36995</v>
      </c>
      <c r="C1574" t="s">
        <v>13533</v>
      </c>
    </row>
    <row r="1575" spans="2:3" hidden="1" x14ac:dyDescent="0.25">
      <c r="B1575" s="65">
        <v>36994</v>
      </c>
      <c r="C1575" t="s">
        <v>3065</v>
      </c>
    </row>
    <row r="1576" spans="2:3" hidden="1" x14ac:dyDescent="0.25">
      <c r="B1576" s="65">
        <v>36993</v>
      </c>
      <c r="C1576" t="s">
        <v>13720</v>
      </c>
    </row>
    <row r="1577" spans="2:3" hidden="1" x14ac:dyDescent="0.25">
      <c r="B1577" s="65">
        <v>36992</v>
      </c>
      <c r="C1577" t="s">
        <v>6792</v>
      </c>
    </row>
    <row r="1578" spans="2:3" hidden="1" x14ac:dyDescent="0.25">
      <c r="B1578" s="65">
        <v>36992</v>
      </c>
      <c r="C1578" t="s">
        <v>13781</v>
      </c>
    </row>
    <row r="1579" spans="2:3" hidden="1" x14ac:dyDescent="0.25">
      <c r="B1579" s="65">
        <v>36992</v>
      </c>
      <c r="C1579" t="s">
        <v>13802</v>
      </c>
    </row>
    <row r="1580" spans="2:3" hidden="1" x14ac:dyDescent="0.25">
      <c r="B1580" s="65">
        <v>36992</v>
      </c>
      <c r="C1580" t="s">
        <v>13886</v>
      </c>
    </row>
    <row r="1581" spans="2:3" hidden="1" x14ac:dyDescent="0.25">
      <c r="B1581" s="65">
        <v>36992</v>
      </c>
      <c r="C1581" t="s">
        <v>6707</v>
      </c>
    </row>
    <row r="1582" spans="2:3" hidden="1" x14ac:dyDescent="0.25">
      <c r="B1582" s="65">
        <v>36991</v>
      </c>
      <c r="C1582" t="s">
        <v>14018</v>
      </c>
    </row>
    <row r="1583" spans="2:3" hidden="1" x14ac:dyDescent="0.25">
      <c r="B1583" s="65">
        <v>36990</v>
      </c>
      <c r="C1583" t="s">
        <v>13680</v>
      </c>
    </row>
    <row r="1584" spans="2:3" hidden="1" x14ac:dyDescent="0.25">
      <c r="B1584" s="65">
        <v>36990</v>
      </c>
      <c r="C1584" t="s">
        <v>13777</v>
      </c>
    </row>
    <row r="1585" spans="2:3" hidden="1" x14ac:dyDescent="0.25">
      <c r="B1585" s="65">
        <v>36990</v>
      </c>
      <c r="C1585" t="s">
        <v>1359</v>
      </c>
    </row>
    <row r="1586" spans="2:3" hidden="1" x14ac:dyDescent="0.25">
      <c r="B1586" s="65">
        <v>36990</v>
      </c>
      <c r="C1586" t="s">
        <v>13984</v>
      </c>
    </row>
    <row r="1587" spans="2:3" hidden="1" x14ac:dyDescent="0.25">
      <c r="B1587" s="65">
        <v>36989</v>
      </c>
      <c r="C1587" t="s">
        <v>13558</v>
      </c>
    </row>
    <row r="1588" spans="2:3" hidden="1" x14ac:dyDescent="0.25">
      <c r="B1588" s="65">
        <v>36988</v>
      </c>
      <c r="C1588" t="s">
        <v>13305</v>
      </c>
    </row>
    <row r="1589" spans="2:3" hidden="1" x14ac:dyDescent="0.25">
      <c r="B1589" s="65">
        <v>36988</v>
      </c>
      <c r="C1589" t="s">
        <v>13521</v>
      </c>
    </row>
    <row r="1590" spans="2:3" hidden="1" x14ac:dyDescent="0.25">
      <c r="B1590" s="65">
        <v>36988</v>
      </c>
      <c r="C1590" t="s">
        <v>13622</v>
      </c>
    </row>
    <row r="1591" spans="2:3" hidden="1" x14ac:dyDescent="0.25">
      <c r="B1591" s="65">
        <v>36987</v>
      </c>
      <c r="C1591" t="s">
        <v>13225</v>
      </c>
    </row>
    <row r="1592" spans="2:3" hidden="1" x14ac:dyDescent="0.25">
      <c r="B1592" s="65">
        <v>36987</v>
      </c>
      <c r="C1592" t="s">
        <v>13541</v>
      </c>
    </row>
    <row r="1593" spans="2:3" hidden="1" x14ac:dyDescent="0.25">
      <c r="B1593" s="65">
        <v>36987</v>
      </c>
      <c r="C1593" t="s">
        <v>3155</v>
      </c>
    </row>
    <row r="1594" spans="2:3" hidden="1" x14ac:dyDescent="0.25">
      <c r="B1594" s="65">
        <v>36987</v>
      </c>
      <c r="C1594" t="s">
        <v>13742</v>
      </c>
    </row>
    <row r="1595" spans="2:3" hidden="1" x14ac:dyDescent="0.25">
      <c r="B1595" s="65">
        <v>36986</v>
      </c>
      <c r="C1595" t="s">
        <v>1648</v>
      </c>
    </row>
    <row r="1596" spans="2:3" hidden="1" x14ac:dyDescent="0.25">
      <c r="B1596" s="65">
        <v>36986</v>
      </c>
      <c r="C1596" t="s">
        <v>13510</v>
      </c>
    </row>
    <row r="1597" spans="2:3" hidden="1" x14ac:dyDescent="0.25">
      <c r="B1597" s="65">
        <v>36985</v>
      </c>
      <c r="C1597" t="s">
        <v>13710</v>
      </c>
    </row>
    <row r="1598" spans="2:3" hidden="1" x14ac:dyDescent="0.25">
      <c r="B1598" s="65">
        <v>36985</v>
      </c>
      <c r="C1598" t="s">
        <v>13970</v>
      </c>
    </row>
    <row r="1599" spans="2:3" hidden="1" x14ac:dyDescent="0.25">
      <c r="B1599" s="65">
        <v>36984</v>
      </c>
      <c r="C1599" t="s">
        <v>9046</v>
      </c>
    </row>
    <row r="1600" spans="2:3" hidden="1" x14ac:dyDescent="0.25">
      <c r="B1600" s="65">
        <v>36984</v>
      </c>
      <c r="C1600" t="s">
        <v>12017</v>
      </c>
    </row>
    <row r="1601" spans="2:3" hidden="1" x14ac:dyDescent="0.25">
      <c r="B1601" s="65">
        <v>36984</v>
      </c>
      <c r="C1601" t="s">
        <v>5878</v>
      </c>
    </row>
    <row r="1602" spans="2:3" hidden="1" x14ac:dyDescent="0.25">
      <c r="B1602" s="65">
        <v>36983</v>
      </c>
      <c r="C1602" t="s">
        <v>12714</v>
      </c>
    </row>
    <row r="1603" spans="2:3" hidden="1" x14ac:dyDescent="0.25">
      <c r="B1603" s="65">
        <v>36983</v>
      </c>
      <c r="C1603" t="s">
        <v>8837</v>
      </c>
    </row>
    <row r="1604" spans="2:3" hidden="1" x14ac:dyDescent="0.25">
      <c r="B1604" s="65">
        <v>36983</v>
      </c>
      <c r="C1604" t="s">
        <v>4506</v>
      </c>
    </row>
    <row r="1605" spans="2:3" hidden="1" x14ac:dyDescent="0.25">
      <c r="B1605" s="65">
        <v>36982</v>
      </c>
      <c r="C1605" t="s">
        <v>6021</v>
      </c>
    </row>
    <row r="1606" spans="2:3" hidden="1" x14ac:dyDescent="0.25">
      <c r="B1606" s="65">
        <v>36982</v>
      </c>
      <c r="C1606" t="s">
        <v>2542</v>
      </c>
    </row>
    <row r="1607" spans="2:3" hidden="1" x14ac:dyDescent="0.25">
      <c r="B1607" s="65">
        <v>36981</v>
      </c>
      <c r="C1607" t="s">
        <v>13293</v>
      </c>
    </row>
    <row r="1608" spans="2:3" hidden="1" x14ac:dyDescent="0.25">
      <c r="B1608" s="65">
        <v>36981</v>
      </c>
      <c r="C1608" t="s">
        <v>7596</v>
      </c>
    </row>
    <row r="1609" spans="2:3" hidden="1" x14ac:dyDescent="0.25">
      <c r="B1609" s="65">
        <v>36981</v>
      </c>
      <c r="C1609" t="s">
        <v>3290</v>
      </c>
    </row>
    <row r="1610" spans="2:3" hidden="1" x14ac:dyDescent="0.25">
      <c r="B1610" s="65">
        <v>36980</v>
      </c>
      <c r="C1610" t="s">
        <v>13715</v>
      </c>
    </row>
    <row r="1611" spans="2:3" hidden="1" x14ac:dyDescent="0.25">
      <c r="B1611" s="65">
        <v>36980</v>
      </c>
      <c r="C1611" t="s">
        <v>13774</v>
      </c>
    </row>
    <row r="1612" spans="2:3" hidden="1" x14ac:dyDescent="0.25">
      <c r="B1612" s="65">
        <v>36980</v>
      </c>
      <c r="C1612" t="s">
        <v>13930</v>
      </c>
    </row>
    <row r="1613" spans="2:3" hidden="1" x14ac:dyDescent="0.25">
      <c r="B1613" s="65">
        <v>36979</v>
      </c>
      <c r="C1613" t="s">
        <v>5137</v>
      </c>
    </row>
    <row r="1614" spans="2:3" hidden="1" x14ac:dyDescent="0.25">
      <c r="B1614" s="65">
        <v>36979</v>
      </c>
      <c r="C1614" t="s">
        <v>13455</v>
      </c>
    </row>
    <row r="1615" spans="2:3" hidden="1" x14ac:dyDescent="0.25">
      <c r="B1615" s="65">
        <v>36979</v>
      </c>
      <c r="C1615" t="s">
        <v>13731</v>
      </c>
    </row>
    <row r="1616" spans="2:3" hidden="1" x14ac:dyDescent="0.25">
      <c r="B1616" s="65">
        <v>36978</v>
      </c>
      <c r="C1616" t="s">
        <v>13524</v>
      </c>
    </row>
    <row r="1617" spans="2:3" hidden="1" x14ac:dyDescent="0.25">
      <c r="B1617" s="65">
        <v>36978</v>
      </c>
      <c r="C1617" t="s">
        <v>13635</v>
      </c>
    </row>
    <row r="1618" spans="2:3" hidden="1" x14ac:dyDescent="0.25">
      <c r="B1618" s="65">
        <v>36978</v>
      </c>
      <c r="C1618" t="s">
        <v>8780</v>
      </c>
    </row>
    <row r="1619" spans="2:3" hidden="1" x14ac:dyDescent="0.25">
      <c r="B1619" s="65">
        <v>36978</v>
      </c>
      <c r="C1619" t="s">
        <v>3835</v>
      </c>
    </row>
    <row r="1620" spans="2:3" hidden="1" x14ac:dyDescent="0.25">
      <c r="B1620" s="65">
        <v>36977</v>
      </c>
      <c r="C1620" t="s">
        <v>3699</v>
      </c>
    </row>
    <row r="1621" spans="2:3" hidden="1" x14ac:dyDescent="0.25">
      <c r="B1621" s="65">
        <v>36977</v>
      </c>
      <c r="C1621" t="s">
        <v>13470</v>
      </c>
    </row>
    <row r="1622" spans="2:3" hidden="1" x14ac:dyDescent="0.25">
      <c r="B1622" s="65">
        <v>36977</v>
      </c>
      <c r="C1622" t="s">
        <v>13677</v>
      </c>
    </row>
    <row r="1623" spans="2:3" hidden="1" x14ac:dyDescent="0.25">
      <c r="B1623" s="65">
        <v>36977</v>
      </c>
      <c r="C1623" t="s">
        <v>13893</v>
      </c>
    </row>
    <row r="1624" spans="2:3" hidden="1" x14ac:dyDescent="0.25">
      <c r="B1624" s="65">
        <v>36977</v>
      </c>
      <c r="C1624" t="s">
        <v>13909</v>
      </c>
    </row>
    <row r="1625" spans="2:3" hidden="1" x14ac:dyDescent="0.25">
      <c r="B1625" s="65">
        <v>36977</v>
      </c>
      <c r="C1625" t="s">
        <v>46</v>
      </c>
    </row>
    <row r="1626" spans="2:3" hidden="1" x14ac:dyDescent="0.25">
      <c r="B1626" s="65">
        <v>36977</v>
      </c>
      <c r="C1626" t="s">
        <v>6021</v>
      </c>
    </row>
    <row r="1627" spans="2:3" hidden="1" x14ac:dyDescent="0.25">
      <c r="B1627" s="65">
        <v>36976</v>
      </c>
      <c r="C1627" t="s">
        <v>5985</v>
      </c>
    </row>
    <row r="1628" spans="2:3" hidden="1" x14ac:dyDescent="0.25">
      <c r="B1628" s="65">
        <v>36976</v>
      </c>
      <c r="C1628" t="s">
        <v>13380</v>
      </c>
    </row>
    <row r="1629" spans="2:3" hidden="1" x14ac:dyDescent="0.25">
      <c r="B1629" s="65">
        <v>36976</v>
      </c>
      <c r="C1629" t="s">
        <v>13979</v>
      </c>
    </row>
    <row r="1630" spans="2:3" hidden="1" x14ac:dyDescent="0.25">
      <c r="B1630" s="65">
        <v>36976</v>
      </c>
      <c r="C1630" t="s">
        <v>14010</v>
      </c>
    </row>
    <row r="1631" spans="2:3" hidden="1" x14ac:dyDescent="0.25">
      <c r="B1631" s="65">
        <v>36975</v>
      </c>
      <c r="C1631" t="s">
        <v>13317</v>
      </c>
    </row>
    <row r="1632" spans="2:3" hidden="1" x14ac:dyDescent="0.25">
      <c r="B1632" s="65">
        <v>36975</v>
      </c>
      <c r="C1632" t="s">
        <v>8960</v>
      </c>
    </row>
    <row r="1633" spans="2:3" hidden="1" x14ac:dyDescent="0.25">
      <c r="B1633" s="65">
        <v>36975</v>
      </c>
      <c r="C1633" t="s">
        <v>7709</v>
      </c>
    </row>
    <row r="1634" spans="2:3" hidden="1" x14ac:dyDescent="0.25">
      <c r="B1634" s="65">
        <v>36974</v>
      </c>
      <c r="C1634" t="s">
        <v>2186</v>
      </c>
    </row>
    <row r="1635" spans="2:3" hidden="1" x14ac:dyDescent="0.25">
      <c r="B1635" s="65">
        <v>36974</v>
      </c>
      <c r="C1635" t="s">
        <v>1922</v>
      </c>
    </row>
    <row r="1636" spans="2:3" hidden="1" x14ac:dyDescent="0.25">
      <c r="B1636" s="65">
        <v>36974</v>
      </c>
      <c r="C1636" t="s">
        <v>13871</v>
      </c>
    </row>
    <row r="1637" spans="2:3" hidden="1" x14ac:dyDescent="0.25">
      <c r="B1637" s="65">
        <v>36974</v>
      </c>
      <c r="C1637" t="s">
        <v>13957</v>
      </c>
    </row>
    <row r="1638" spans="2:3" hidden="1" x14ac:dyDescent="0.25">
      <c r="B1638" s="65">
        <v>36973</v>
      </c>
      <c r="C1638" t="s">
        <v>13443</v>
      </c>
    </row>
    <row r="1639" spans="2:3" hidden="1" x14ac:dyDescent="0.25">
      <c r="B1639" s="65">
        <v>36972</v>
      </c>
      <c r="C1639" t="s">
        <v>13402</v>
      </c>
    </row>
    <row r="1640" spans="2:3" hidden="1" x14ac:dyDescent="0.25">
      <c r="B1640" s="65">
        <v>36972</v>
      </c>
      <c r="C1640" t="s">
        <v>13961</v>
      </c>
    </row>
    <row r="1641" spans="2:3" hidden="1" x14ac:dyDescent="0.25">
      <c r="B1641" s="65">
        <v>36971</v>
      </c>
      <c r="C1641" t="s">
        <v>13485</v>
      </c>
    </row>
    <row r="1642" spans="2:3" hidden="1" x14ac:dyDescent="0.25">
      <c r="B1642" s="65">
        <v>36971</v>
      </c>
      <c r="C1642" t="s">
        <v>6633</v>
      </c>
    </row>
    <row r="1643" spans="2:3" hidden="1" x14ac:dyDescent="0.25">
      <c r="B1643" s="65">
        <v>36971</v>
      </c>
      <c r="C1643" t="s">
        <v>13759</v>
      </c>
    </row>
    <row r="1644" spans="2:3" hidden="1" x14ac:dyDescent="0.25">
      <c r="B1644" s="65">
        <v>36970</v>
      </c>
      <c r="C1644" t="s">
        <v>8361</v>
      </c>
    </row>
    <row r="1645" spans="2:3" hidden="1" x14ac:dyDescent="0.25">
      <c r="B1645" s="65">
        <v>36970</v>
      </c>
      <c r="C1645" t="s">
        <v>13493</v>
      </c>
    </row>
    <row r="1646" spans="2:3" hidden="1" x14ac:dyDescent="0.25">
      <c r="B1646" s="65">
        <v>36969</v>
      </c>
      <c r="C1646" t="s">
        <v>13213</v>
      </c>
    </row>
    <row r="1647" spans="2:3" hidden="1" x14ac:dyDescent="0.25">
      <c r="B1647" s="65">
        <v>36969</v>
      </c>
      <c r="C1647" t="s">
        <v>2138</v>
      </c>
    </row>
    <row r="1648" spans="2:3" hidden="1" x14ac:dyDescent="0.25">
      <c r="B1648" s="65">
        <v>36969</v>
      </c>
      <c r="C1648" t="s">
        <v>13499</v>
      </c>
    </row>
    <row r="1649" spans="2:3" hidden="1" x14ac:dyDescent="0.25">
      <c r="B1649" s="65">
        <v>36969</v>
      </c>
      <c r="C1649" t="s">
        <v>13828</v>
      </c>
    </row>
    <row r="1650" spans="2:3" hidden="1" x14ac:dyDescent="0.25">
      <c r="B1650" s="65">
        <v>36969</v>
      </c>
      <c r="C1650" t="s">
        <v>13944</v>
      </c>
    </row>
    <row r="1651" spans="2:3" hidden="1" x14ac:dyDescent="0.25">
      <c r="B1651" s="65">
        <v>36969</v>
      </c>
      <c r="C1651" t="s">
        <v>410</v>
      </c>
    </row>
    <row r="1652" spans="2:3" hidden="1" x14ac:dyDescent="0.25">
      <c r="B1652" s="65">
        <v>36966</v>
      </c>
      <c r="C1652" t="s">
        <v>2451</v>
      </c>
    </row>
    <row r="1653" spans="2:3" hidden="1" x14ac:dyDescent="0.25">
      <c r="B1653" s="65">
        <v>36966</v>
      </c>
      <c r="C1653" t="s">
        <v>13638</v>
      </c>
    </row>
    <row r="1654" spans="2:3" hidden="1" x14ac:dyDescent="0.25">
      <c r="B1654" s="65">
        <v>36966</v>
      </c>
      <c r="C1654" t="s">
        <v>13687</v>
      </c>
    </row>
    <row r="1655" spans="2:3" hidden="1" x14ac:dyDescent="0.25">
      <c r="B1655" s="65">
        <v>36966</v>
      </c>
      <c r="C1655" t="s">
        <v>13374</v>
      </c>
    </row>
    <row r="1656" spans="2:3" hidden="1" x14ac:dyDescent="0.25">
      <c r="B1656" s="65">
        <v>36966</v>
      </c>
      <c r="C1656" t="s">
        <v>6151</v>
      </c>
    </row>
    <row r="1657" spans="2:3" hidden="1" x14ac:dyDescent="0.25">
      <c r="B1657" s="65">
        <v>36965</v>
      </c>
      <c r="C1657" t="s">
        <v>5878</v>
      </c>
    </row>
    <row r="1658" spans="2:3" hidden="1" x14ac:dyDescent="0.25">
      <c r="B1658" s="65">
        <v>36964</v>
      </c>
      <c r="C1658" t="s">
        <v>13465</v>
      </c>
    </row>
    <row r="1659" spans="2:3" hidden="1" x14ac:dyDescent="0.25">
      <c r="B1659" s="65">
        <v>36964</v>
      </c>
      <c r="C1659" t="s">
        <v>13748</v>
      </c>
    </row>
    <row r="1660" spans="2:3" hidden="1" x14ac:dyDescent="0.25">
      <c r="B1660" s="65">
        <v>36964</v>
      </c>
      <c r="C1660" t="s">
        <v>12714</v>
      </c>
    </row>
    <row r="1661" spans="2:3" hidden="1" x14ac:dyDescent="0.25">
      <c r="B1661" s="65">
        <v>36964</v>
      </c>
      <c r="C1661" t="s">
        <v>14014</v>
      </c>
    </row>
    <row r="1662" spans="2:3" hidden="1" x14ac:dyDescent="0.25">
      <c r="B1662" s="65">
        <v>36963</v>
      </c>
      <c r="C1662" t="s">
        <v>13537</v>
      </c>
    </row>
    <row r="1663" spans="2:3" hidden="1" x14ac:dyDescent="0.25">
      <c r="B1663" s="65">
        <v>36963</v>
      </c>
      <c r="C1663" t="s">
        <v>3842</v>
      </c>
    </row>
    <row r="1664" spans="2:3" hidden="1" x14ac:dyDescent="0.25">
      <c r="B1664" s="65">
        <v>36962</v>
      </c>
      <c r="C1664" t="s">
        <v>2795</v>
      </c>
    </row>
    <row r="1665" spans="2:3" hidden="1" x14ac:dyDescent="0.25">
      <c r="B1665" s="65">
        <v>36962</v>
      </c>
      <c r="C1665" t="s">
        <v>1733</v>
      </c>
    </row>
    <row r="1666" spans="2:3" hidden="1" x14ac:dyDescent="0.25">
      <c r="B1666" s="65">
        <v>36962</v>
      </c>
      <c r="C1666" t="s">
        <v>13859</v>
      </c>
    </row>
    <row r="1667" spans="2:3" hidden="1" x14ac:dyDescent="0.25">
      <c r="B1667" s="65">
        <v>36962</v>
      </c>
      <c r="C1667" t="s">
        <v>13966</v>
      </c>
    </row>
    <row r="1668" spans="2:3" hidden="1" x14ac:dyDescent="0.25">
      <c r="B1668" s="65">
        <v>36961</v>
      </c>
      <c r="C1668" t="s">
        <v>3088</v>
      </c>
    </row>
    <row r="1669" spans="2:3" hidden="1" x14ac:dyDescent="0.25">
      <c r="B1669" s="65">
        <v>36959</v>
      </c>
      <c r="C1669" t="s">
        <v>11348</v>
      </c>
    </row>
    <row r="1670" spans="2:3" hidden="1" x14ac:dyDescent="0.25">
      <c r="B1670" s="65">
        <v>36959</v>
      </c>
      <c r="C1670" t="s">
        <v>4283</v>
      </c>
    </row>
    <row r="1671" spans="2:3" hidden="1" x14ac:dyDescent="0.25">
      <c r="B1671" s="65">
        <v>36959</v>
      </c>
      <c r="C1671" t="s">
        <v>4583</v>
      </c>
    </row>
    <row r="1672" spans="2:3" hidden="1" x14ac:dyDescent="0.25">
      <c r="B1672" s="65">
        <v>36958</v>
      </c>
      <c r="C1672" t="s">
        <v>8979</v>
      </c>
    </row>
    <row r="1673" spans="2:3" hidden="1" x14ac:dyDescent="0.25">
      <c r="B1673" s="65">
        <v>36958</v>
      </c>
      <c r="C1673" t="s">
        <v>12008</v>
      </c>
    </row>
    <row r="1674" spans="2:3" hidden="1" x14ac:dyDescent="0.25">
      <c r="B1674" s="65">
        <v>36958</v>
      </c>
      <c r="C1674" t="s">
        <v>3467</v>
      </c>
    </row>
    <row r="1675" spans="2:3" hidden="1" x14ac:dyDescent="0.25">
      <c r="B1675" s="65">
        <v>36958</v>
      </c>
      <c r="C1675" t="s">
        <v>13647</v>
      </c>
    </row>
    <row r="1676" spans="2:3" hidden="1" x14ac:dyDescent="0.25">
      <c r="B1676" s="65">
        <v>36958</v>
      </c>
      <c r="C1676" t="s">
        <v>13674</v>
      </c>
    </row>
    <row r="1677" spans="2:3" hidden="1" x14ac:dyDescent="0.25">
      <c r="B1677" s="65">
        <v>36958</v>
      </c>
      <c r="C1677" t="s">
        <v>13767</v>
      </c>
    </row>
    <row r="1678" spans="2:3" hidden="1" x14ac:dyDescent="0.25">
      <c r="B1678" s="65">
        <v>36958</v>
      </c>
      <c r="C1678" t="s">
        <v>13920</v>
      </c>
    </row>
    <row r="1679" spans="2:3" hidden="1" x14ac:dyDescent="0.25">
      <c r="B1679" s="65">
        <v>36957</v>
      </c>
      <c r="C1679" t="s">
        <v>13459</v>
      </c>
    </row>
    <row r="1680" spans="2:3" hidden="1" x14ac:dyDescent="0.25">
      <c r="B1680" s="65">
        <v>36957</v>
      </c>
      <c r="C1680" t="s">
        <v>13562</v>
      </c>
    </row>
    <row r="1681" spans="2:3" hidden="1" x14ac:dyDescent="0.25">
      <c r="B1681" s="65">
        <v>36957</v>
      </c>
      <c r="C1681" t="s">
        <v>13992</v>
      </c>
    </row>
    <row r="1682" spans="2:3" hidden="1" x14ac:dyDescent="0.25">
      <c r="B1682" s="65">
        <v>36956</v>
      </c>
      <c r="C1682" t="s">
        <v>13238</v>
      </c>
    </row>
    <row r="1683" spans="2:3" hidden="1" x14ac:dyDescent="0.25">
      <c r="B1683" s="65">
        <v>36956</v>
      </c>
      <c r="C1683" t="s">
        <v>13309</v>
      </c>
    </row>
    <row r="1684" spans="2:3" hidden="1" x14ac:dyDescent="0.25">
      <c r="B1684" s="65">
        <v>36956</v>
      </c>
      <c r="C1684" t="s">
        <v>3413</v>
      </c>
    </row>
    <row r="1685" spans="2:3" hidden="1" x14ac:dyDescent="0.25">
      <c r="B1685" s="65">
        <v>36956</v>
      </c>
      <c r="C1685" t="s">
        <v>13407</v>
      </c>
    </row>
    <row r="1686" spans="2:3" hidden="1" x14ac:dyDescent="0.25">
      <c r="B1686" s="65">
        <v>36956</v>
      </c>
      <c r="C1686" t="s">
        <v>13607</v>
      </c>
    </row>
    <row r="1687" spans="2:3" hidden="1" x14ac:dyDescent="0.25">
      <c r="B1687" s="65">
        <v>36956</v>
      </c>
      <c r="C1687" t="s">
        <v>8567</v>
      </c>
    </row>
    <row r="1688" spans="2:3" hidden="1" x14ac:dyDescent="0.25">
      <c r="B1688" s="65">
        <v>36956</v>
      </c>
      <c r="C1688" t="s">
        <v>6327</v>
      </c>
    </row>
    <row r="1689" spans="2:3" hidden="1" x14ac:dyDescent="0.25">
      <c r="B1689" s="65">
        <v>36955</v>
      </c>
      <c r="C1689" t="s">
        <v>13356</v>
      </c>
    </row>
    <row r="1690" spans="2:3" hidden="1" x14ac:dyDescent="0.25">
      <c r="B1690" s="65">
        <v>36954</v>
      </c>
      <c r="C1690" t="s">
        <v>13346</v>
      </c>
    </row>
    <row r="1691" spans="2:3" hidden="1" x14ac:dyDescent="0.25">
      <c r="B1691" s="65">
        <v>36954</v>
      </c>
      <c r="C1691" t="s">
        <v>13447</v>
      </c>
    </row>
    <row r="1692" spans="2:3" hidden="1" x14ac:dyDescent="0.25">
      <c r="B1692" s="65">
        <v>36954</v>
      </c>
      <c r="C1692" t="s">
        <v>6808</v>
      </c>
    </row>
    <row r="1693" spans="2:3" hidden="1" x14ac:dyDescent="0.25">
      <c r="B1693" s="65">
        <v>36953</v>
      </c>
      <c r="C1693" t="s">
        <v>13611</v>
      </c>
    </row>
    <row r="1694" spans="2:3" hidden="1" x14ac:dyDescent="0.25">
      <c r="B1694" s="65">
        <v>36953</v>
      </c>
      <c r="C1694" t="s">
        <v>8682</v>
      </c>
    </row>
    <row r="1695" spans="2:3" hidden="1" x14ac:dyDescent="0.25">
      <c r="B1695" s="65">
        <v>36953</v>
      </c>
      <c r="C1695" t="s">
        <v>6893</v>
      </c>
    </row>
    <row r="1696" spans="2:3" hidden="1" x14ac:dyDescent="0.25">
      <c r="B1696" s="65">
        <v>36953</v>
      </c>
      <c r="C1696" t="s">
        <v>13851</v>
      </c>
    </row>
    <row r="1697" spans="2:3" hidden="1" x14ac:dyDescent="0.25">
      <c r="B1697" s="65">
        <v>36953</v>
      </c>
      <c r="C1697" t="s">
        <v>13855</v>
      </c>
    </row>
    <row r="1698" spans="2:3" hidden="1" x14ac:dyDescent="0.25">
      <c r="B1698" s="65">
        <v>36952</v>
      </c>
      <c r="C1698" t="s">
        <v>1251</v>
      </c>
    </row>
    <row r="1699" spans="2:3" hidden="1" x14ac:dyDescent="0.25">
      <c r="B1699" s="65">
        <v>36951</v>
      </c>
      <c r="C1699" t="s">
        <v>7396</v>
      </c>
    </row>
    <row r="1700" spans="2:3" hidden="1" x14ac:dyDescent="0.25">
      <c r="B1700" s="65">
        <v>36951</v>
      </c>
      <c r="C1700" t="s">
        <v>8757</v>
      </c>
    </row>
    <row r="1701" spans="2:3" hidden="1" x14ac:dyDescent="0.25">
      <c r="B1701" s="65">
        <v>36951</v>
      </c>
      <c r="C1701" t="s">
        <v>13420</v>
      </c>
    </row>
    <row r="1702" spans="2:3" hidden="1" x14ac:dyDescent="0.25">
      <c r="B1702" s="65">
        <v>36951</v>
      </c>
      <c r="C1702" t="s">
        <v>2496</v>
      </c>
    </row>
    <row r="1703" spans="2:3" hidden="1" x14ac:dyDescent="0.25">
      <c r="B1703" s="65">
        <v>36951</v>
      </c>
      <c r="C1703" t="s">
        <v>13863</v>
      </c>
    </row>
    <row r="1704" spans="2:3" hidden="1" x14ac:dyDescent="0.25">
      <c r="B1704" s="65">
        <v>36951</v>
      </c>
      <c r="C1704" t="s">
        <v>13976</v>
      </c>
    </row>
    <row r="1705" spans="2:3" hidden="1" x14ac:dyDescent="0.25">
      <c r="B1705" s="65">
        <v>36950</v>
      </c>
      <c r="C1705" t="s">
        <v>13438</v>
      </c>
    </row>
    <row r="1706" spans="2:3" hidden="1" x14ac:dyDescent="0.25">
      <c r="B1706" s="65">
        <v>36950</v>
      </c>
      <c r="C1706" t="s">
        <v>13595</v>
      </c>
    </row>
    <row r="1707" spans="2:3" hidden="1" x14ac:dyDescent="0.25">
      <c r="B1707" s="65">
        <v>36950</v>
      </c>
      <c r="C1707" t="s">
        <v>1793</v>
      </c>
    </row>
    <row r="1708" spans="2:3" hidden="1" x14ac:dyDescent="0.25">
      <c r="B1708" s="65">
        <v>36949</v>
      </c>
      <c r="C1708" t="s">
        <v>3867</v>
      </c>
    </row>
    <row r="1709" spans="2:3" hidden="1" x14ac:dyDescent="0.25">
      <c r="B1709" s="65">
        <v>36949</v>
      </c>
      <c r="C1709" t="s">
        <v>6027</v>
      </c>
    </row>
    <row r="1710" spans="2:3" hidden="1" x14ac:dyDescent="0.25">
      <c r="B1710" s="65">
        <v>36949</v>
      </c>
      <c r="C1710" t="s">
        <v>10579</v>
      </c>
    </row>
    <row r="1711" spans="2:3" hidden="1" x14ac:dyDescent="0.25">
      <c r="B1711" s="65">
        <v>36948</v>
      </c>
      <c r="C1711" t="s">
        <v>1328</v>
      </c>
    </row>
    <row r="1712" spans="2:3" hidden="1" x14ac:dyDescent="0.25">
      <c r="B1712" s="65">
        <v>36947</v>
      </c>
      <c r="C1712" t="s">
        <v>13274</v>
      </c>
    </row>
    <row r="1713" spans="2:3" hidden="1" x14ac:dyDescent="0.25">
      <c r="B1713" s="65">
        <v>36947</v>
      </c>
      <c r="C1713" t="s">
        <v>7400</v>
      </c>
    </row>
    <row r="1714" spans="2:3" hidden="1" x14ac:dyDescent="0.25">
      <c r="B1714" s="65">
        <v>36947</v>
      </c>
      <c r="C1714" t="s">
        <v>13785</v>
      </c>
    </row>
    <row r="1715" spans="2:3" hidden="1" x14ac:dyDescent="0.25">
      <c r="B1715" s="65">
        <v>36946</v>
      </c>
      <c r="C1715" t="s">
        <v>9981</v>
      </c>
    </row>
    <row r="1716" spans="2:3" hidden="1" x14ac:dyDescent="0.25">
      <c r="B1716" s="65">
        <v>36946</v>
      </c>
      <c r="C1716" t="s">
        <v>13659</v>
      </c>
    </row>
    <row r="1717" spans="2:3" hidden="1" x14ac:dyDescent="0.25">
      <c r="B1717" s="65">
        <v>36945</v>
      </c>
      <c r="C1717" t="s">
        <v>13695</v>
      </c>
    </row>
    <row r="1718" spans="2:3" hidden="1" x14ac:dyDescent="0.25">
      <c r="B1718" s="65">
        <v>36944</v>
      </c>
      <c r="C1718" t="s">
        <v>13252</v>
      </c>
    </row>
    <row r="1719" spans="2:3" hidden="1" x14ac:dyDescent="0.25">
      <c r="B1719" s="65">
        <v>36944</v>
      </c>
      <c r="C1719" t="s">
        <v>13528</v>
      </c>
    </row>
    <row r="1720" spans="2:3" hidden="1" x14ac:dyDescent="0.25">
      <c r="B1720" s="65">
        <v>36944</v>
      </c>
      <c r="C1720" t="s">
        <v>13734</v>
      </c>
    </row>
    <row r="1721" spans="2:3" hidden="1" x14ac:dyDescent="0.25">
      <c r="B1721" s="65">
        <v>36944</v>
      </c>
      <c r="C1721" t="s">
        <v>13810</v>
      </c>
    </row>
    <row r="1722" spans="2:3" hidden="1" x14ac:dyDescent="0.25">
      <c r="B1722" s="65">
        <v>36943</v>
      </c>
      <c r="C1722" t="s">
        <v>13728</v>
      </c>
    </row>
    <row r="1723" spans="2:3" hidden="1" x14ac:dyDescent="0.25">
      <c r="B1723" s="65">
        <v>36942</v>
      </c>
      <c r="C1723" t="s">
        <v>13365</v>
      </c>
    </row>
    <row r="1724" spans="2:3" hidden="1" x14ac:dyDescent="0.25">
      <c r="B1724" s="65">
        <v>36942</v>
      </c>
      <c r="C1724" t="s">
        <v>13488</v>
      </c>
    </row>
    <row r="1725" spans="2:3" hidden="1" x14ac:dyDescent="0.25">
      <c r="B1725" s="65">
        <v>36942</v>
      </c>
      <c r="C1725" t="s">
        <v>13548</v>
      </c>
    </row>
    <row r="1726" spans="2:3" hidden="1" x14ac:dyDescent="0.25">
      <c r="B1726" s="65">
        <v>36942</v>
      </c>
      <c r="C1726" t="s">
        <v>13793</v>
      </c>
    </row>
    <row r="1727" spans="2:3" hidden="1" x14ac:dyDescent="0.25">
      <c r="B1727" s="65">
        <v>36940</v>
      </c>
      <c r="C1727" t="s">
        <v>13178</v>
      </c>
    </row>
    <row r="1728" spans="2:3" hidden="1" x14ac:dyDescent="0.25">
      <c r="B1728" s="65">
        <v>36940</v>
      </c>
      <c r="C1728" t="s">
        <v>13194</v>
      </c>
    </row>
    <row r="1729" spans="2:3" hidden="1" x14ac:dyDescent="0.25">
      <c r="B1729" s="65">
        <v>36940</v>
      </c>
      <c r="C1729" t="s">
        <v>13374</v>
      </c>
    </row>
    <row r="1730" spans="2:3" hidden="1" x14ac:dyDescent="0.25">
      <c r="B1730" s="65">
        <v>36940</v>
      </c>
      <c r="C1730" t="s">
        <v>13480</v>
      </c>
    </row>
    <row r="1731" spans="2:3" hidden="1" x14ac:dyDescent="0.25">
      <c r="B1731" s="65">
        <v>36939</v>
      </c>
      <c r="C1731" t="s">
        <v>13184</v>
      </c>
    </row>
    <row r="1732" spans="2:3" hidden="1" x14ac:dyDescent="0.25">
      <c r="B1732" s="65">
        <v>36939</v>
      </c>
      <c r="C1732" t="s">
        <v>1507</v>
      </c>
    </row>
    <row r="1733" spans="2:3" hidden="1" x14ac:dyDescent="0.25">
      <c r="B1733" s="65">
        <v>36939</v>
      </c>
      <c r="C1733" t="s">
        <v>7037</v>
      </c>
    </row>
    <row r="1734" spans="2:3" hidden="1" x14ac:dyDescent="0.25">
      <c r="B1734" s="65">
        <v>36938</v>
      </c>
      <c r="C1734" t="s">
        <v>5696</v>
      </c>
    </row>
    <row r="1735" spans="2:3" hidden="1" x14ac:dyDescent="0.25">
      <c r="B1735" s="65">
        <v>36938</v>
      </c>
      <c r="C1735" t="s">
        <v>13199</v>
      </c>
    </row>
    <row r="1736" spans="2:3" hidden="1" x14ac:dyDescent="0.25">
      <c r="B1736" s="65">
        <v>36937</v>
      </c>
      <c r="C1736" t="s">
        <v>13150</v>
      </c>
    </row>
    <row r="1737" spans="2:3" hidden="1" x14ac:dyDescent="0.25">
      <c r="B1737" s="65">
        <v>36937</v>
      </c>
      <c r="C1737" t="s">
        <v>13162</v>
      </c>
    </row>
    <row r="1738" spans="2:3" hidden="1" x14ac:dyDescent="0.25">
      <c r="B1738" s="65">
        <v>36937</v>
      </c>
      <c r="C1738" t="s">
        <v>1348</v>
      </c>
    </row>
    <row r="1739" spans="2:3" hidden="1" x14ac:dyDescent="0.25">
      <c r="B1739" s="65">
        <v>36937</v>
      </c>
      <c r="C1739" t="s">
        <v>8644</v>
      </c>
    </row>
    <row r="1740" spans="2:3" hidden="1" x14ac:dyDescent="0.25">
      <c r="B1740" s="65">
        <v>36937</v>
      </c>
      <c r="C1740" t="s">
        <v>13174</v>
      </c>
    </row>
    <row r="1741" spans="2:3" hidden="1" x14ac:dyDescent="0.25">
      <c r="B1741" s="65">
        <v>36936</v>
      </c>
      <c r="C1741" t="s">
        <v>13136</v>
      </c>
    </row>
    <row r="1742" spans="2:3" hidden="1" x14ac:dyDescent="0.25">
      <c r="B1742" s="65">
        <v>36936</v>
      </c>
      <c r="C1742" t="s">
        <v>4843</v>
      </c>
    </row>
    <row r="1743" spans="2:3" hidden="1" x14ac:dyDescent="0.25">
      <c r="B1743" s="65">
        <v>36936</v>
      </c>
      <c r="C1743" t="s">
        <v>4140</v>
      </c>
    </row>
    <row r="1744" spans="2:3" hidden="1" x14ac:dyDescent="0.25">
      <c r="B1744" s="65">
        <v>36935</v>
      </c>
      <c r="C1744" t="s">
        <v>13141</v>
      </c>
    </row>
    <row r="1745" spans="2:3" hidden="1" x14ac:dyDescent="0.25">
      <c r="B1745" s="65">
        <v>36935</v>
      </c>
      <c r="C1745" t="s">
        <v>13146</v>
      </c>
    </row>
    <row r="1746" spans="2:3" hidden="1" x14ac:dyDescent="0.25">
      <c r="B1746" s="65">
        <v>36934</v>
      </c>
      <c r="C1746" t="s">
        <v>13085</v>
      </c>
    </row>
    <row r="1747" spans="2:3" hidden="1" x14ac:dyDescent="0.25">
      <c r="B1747" s="65">
        <v>36934</v>
      </c>
      <c r="C1747" t="s">
        <v>2565</v>
      </c>
    </row>
    <row r="1748" spans="2:3" hidden="1" x14ac:dyDescent="0.25">
      <c r="B1748" s="65">
        <v>36934</v>
      </c>
      <c r="C1748" t="s">
        <v>5393</v>
      </c>
    </row>
    <row r="1749" spans="2:3" hidden="1" x14ac:dyDescent="0.25">
      <c r="B1749" s="65">
        <v>36933</v>
      </c>
      <c r="C1749" t="s">
        <v>2390</v>
      </c>
    </row>
    <row r="1750" spans="2:3" hidden="1" x14ac:dyDescent="0.25">
      <c r="B1750" s="65">
        <v>36932</v>
      </c>
      <c r="C1750" t="s">
        <v>13081</v>
      </c>
    </row>
    <row r="1751" spans="2:3" hidden="1" x14ac:dyDescent="0.25">
      <c r="B1751" s="65">
        <v>36932</v>
      </c>
      <c r="C1751" t="s">
        <v>8815</v>
      </c>
    </row>
    <row r="1752" spans="2:3" hidden="1" x14ac:dyDescent="0.25">
      <c r="B1752" s="65">
        <v>36932</v>
      </c>
      <c r="C1752" t="s">
        <v>749</v>
      </c>
    </row>
    <row r="1753" spans="2:3" hidden="1" x14ac:dyDescent="0.25">
      <c r="B1753" s="65">
        <v>36932</v>
      </c>
      <c r="C1753" t="s">
        <v>13111</v>
      </c>
    </row>
    <row r="1754" spans="2:3" hidden="1" x14ac:dyDescent="0.25">
      <c r="B1754" s="65">
        <v>36931</v>
      </c>
      <c r="C1754" t="s">
        <v>13073</v>
      </c>
    </row>
    <row r="1755" spans="2:3" hidden="1" x14ac:dyDescent="0.25">
      <c r="B1755" s="65">
        <v>36931</v>
      </c>
      <c r="C1755" t="s">
        <v>1103</v>
      </c>
    </row>
    <row r="1756" spans="2:3" hidden="1" x14ac:dyDescent="0.25">
      <c r="B1756" s="65">
        <v>36931</v>
      </c>
      <c r="C1756" t="s">
        <v>13108</v>
      </c>
    </row>
    <row r="1757" spans="2:3" hidden="1" x14ac:dyDescent="0.25">
      <c r="B1757" s="65">
        <v>36930</v>
      </c>
      <c r="C1757" t="s">
        <v>13092</v>
      </c>
    </row>
    <row r="1758" spans="2:3" hidden="1" x14ac:dyDescent="0.25">
      <c r="B1758" s="65">
        <v>36930</v>
      </c>
      <c r="C1758" t="s">
        <v>13114</v>
      </c>
    </row>
    <row r="1759" spans="2:3" hidden="1" x14ac:dyDescent="0.25">
      <c r="B1759" s="65">
        <v>36930</v>
      </c>
      <c r="C1759" t="s">
        <v>13121</v>
      </c>
    </row>
    <row r="1760" spans="2:3" hidden="1" x14ac:dyDescent="0.25">
      <c r="B1760" s="65">
        <v>36930</v>
      </c>
      <c r="C1760" t="s">
        <v>13125</v>
      </c>
    </row>
    <row r="1761" spans="2:3" hidden="1" x14ac:dyDescent="0.25">
      <c r="B1761" s="65">
        <v>36930</v>
      </c>
      <c r="C1761" t="s">
        <v>7803</v>
      </c>
    </row>
    <row r="1762" spans="2:3" hidden="1" x14ac:dyDescent="0.25">
      <c r="B1762" s="65">
        <v>36929</v>
      </c>
      <c r="C1762" t="s">
        <v>152</v>
      </c>
    </row>
    <row r="1763" spans="2:3" hidden="1" x14ac:dyDescent="0.25">
      <c r="B1763" s="65">
        <v>36929</v>
      </c>
      <c r="C1763" t="s">
        <v>13102</v>
      </c>
    </row>
    <row r="1764" spans="2:3" hidden="1" x14ac:dyDescent="0.25">
      <c r="B1764" s="65">
        <v>36928</v>
      </c>
      <c r="C1764" t="s">
        <v>12979</v>
      </c>
    </row>
    <row r="1765" spans="2:3" hidden="1" x14ac:dyDescent="0.25">
      <c r="B1765" s="65">
        <v>36928</v>
      </c>
      <c r="C1765" t="s">
        <v>13002</v>
      </c>
    </row>
    <row r="1766" spans="2:3" hidden="1" x14ac:dyDescent="0.25">
      <c r="B1766" s="65">
        <v>36928</v>
      </c>
      <c r="C1766" t="s">
        <v>13012</v>
      </c>
    </row>
    <row r="1767" spans="2:3" hidden="1" x14ac:dyDescent="0.25">
      <c r="B1767" s="65">
        <v>36927</v>
      </c>
      <c r="C1767" t="s">
        <v>10384</v>
      </c>
    </row>
    <row r="1768" spans="2:3" hidden="1" x14ac:dyDescent="0.25">
      <c r="B1768" s="65">
        <v>36927</v>
      </c>
      <c r="C1768" t="s">
        <v>1806</v>
      </c>
    </row>
    <row r="1769" spans="2:3" hidden="1" x14ac:dyDescent="0.25">
      <c r="B1769" s="65">
        <v>36927</v>
      </c>
      <c r="C1769" t="s">
        <v>13063</v>
      </c>
    </row>
    <row r="1770" spans="2:3" hidden="1" x14ac:dyDescent="0.25">
      <c r="B1770" s="65">
        <v>36926</v>
      </c>
      <c r="C1770" t="s">
        <v>12985</v>
      </c>
    </row>
    <row r="1771" spans="2:3" hidden="1" x14ac:dyDescent="0.25">
      <c r="B1771" s="65">
        <v>36925</v>
      </c>
      <c r="C1771" t="s">
        <v>13007</v>
      </c>
    </row>
    <row r="1772" spans="2:3" hidden="1" x14ac:dyDescent="0.25">
      <c r="B1772" s="65">
        <v>36925</v>
      </c>
      <c r="C1772" t="s">
        <v>163</v>
      </c>
    </row>
    <row r="1773" spans="2:3" hidden="1" x14ac:dyDescent="0.25">
      <c r="B1773" s="65">
        <v>36924</v>
      </c>
      <c r="C1773" t="s">
        <v>12991</v>
      </c>
    </row>
    <row r="1774" spans="2:3" hidden="1" x14ac:dyDescent="0.25">
      <c r="B1774" s="65">
        <v>36924</v>
      </c>
      <c r="C1774" t="s">
        <v>13026</v>
      </c>
    </row>
    <row r="1775" spans="2:3" hidden="1" x14ac:dyDescent="0.25">
      <c r="B1775" s="65">
        <v>36924</v>
      </c>
      <c r="C1775" t="s">
        <v>13041</v>
      </c>
    </row>
    <row r="1776" spans="2:3" hidden="1" x14ac:dyDescent="0.25">
      <c r="B1776" s="65">
        <v>36924</v>
      </c>
      <c r="C1776" t="s">
        <v>13049</v>
      </c>
    </row>
    <row r="1777" spans="2:3" hidden="1" x14ac:dyDescent="0.25">
      <c r="B1777" s="65">
        <v>36924</v>
      </c>
      <c r="C1777" t="s">
        <v>2964</v>
      </c>
    </row>
    <row r="1778" spans="2:3" hidden="1" x14ac:dyDescent="0.25">
      <c r="B1778" s="65">
        <v>36923</v>
      </c>
      <c r="C1778" t="s">
        <v>9631</v>
      </c>
    </row>
    <row r="1779" spans="2:3" hidden="1" x14ac:dyDescent="0.25">
      <c r="B1779" s="65">
        <v>36923</v>
      </c>
      <c r="C1779" t="s">
        <v>3417</v>
      </c>
    </row>
    <row r="1780" spans="2:3" hidden="1" x14ac:dyDescent="0.25">
      <c r="B1780" s="65">
        <v>36922</v>
      </c>
      <c r="C1780" t="s">
        <v>8635</v>
      </c>
    </row>
    <row r="1781" spans="2:3" hidden="1" x14ac:dyDescent="0.25">
      <c r="B1781" s="65">
        <v>36922</v>
      </c>
      <c r="C1781" t="s">
        <v>13017</v>
      </c>
    </row>
    <row r="1782" spans="2:3" hidden="1" x14ac:dyDescent="0.25">
      <c r="B1782" s="65">
        <v>36922</v>
      </c>
      <c r="C1782" t="s">
        <v>12030</v>
      </c>
    </row>
    <row r="1783" spans="2:3" hidden="1" x14ac:dyDescent="0.25">
      <c r="B1783" s="65">
        <v>36922</v>
      </c>
      <c r="C1783" t="s">
        <v>13033</v>
      </c>
    </row>
    <row r="1784" spans="2:3" hidden="1" x14ac:dyDescent="0.25">
      <c r="B1784" s="65">
        <v>36922</v>
      </c>
      <c r="C1784" t="s">
        <v>8576</v>
      </c>
    </row>
    <row r="1785" spans="2:3" hidden="1" x14ac:dyDescent="0.25">
      <c r="B1785" s="65">
        <v>36921</v>
      </c>
      <c r="C1785" t="s">
        <v>1174</v>
      </c>
    </row>
    <row r="1786" spans="2:3" hidden="1" x14ac:dyDescent="0.25">
      <c r="B1786" s="65">
        <v>36921</v>
      </c>
      <c r="C1786" t="s">
        <v>12961</v>
      </c>
    </row>
    <row r="1787" spans="2:3" hidden="1" x14ac:dyDescent="0.25">
      <c r="B1787" s="65">
        <v>36921</v>
      </c>
      <c r="C1787" t="s">
        <v>12970</v>
      </c>
    </row>
    <row r="1788" spans="2:3" hidden="1" x14ac:dyDescent="0.25">
      <c r="B1788" s="65">
        <v>36921</v>
      </c>
      <c r="C1788" t="s">
        <v>8792</v>
      </c>
    </row>
    <row r="1789" spans="2:3" hidden="1" x14ac:dyDescent="0.25">
      <c r="B1789" s="65">
        <v>36921</v>
      </c>
      <c r="C1789" t="s">
        <v>2348</v>
      </c>
    </row>
    <row r="1790" spans="2:3" hidden="1" x14ac:dyDescent="0.25">
      <c r="B1790" s="65">
        <v>36917</v>
      </c>
      <c r="C1790" t="s">
        <v>291</v>
      </c>
    </row>
    <row r="1791" spans="2:3" hidden="1" x14ac:dyDescent="0.25">
      <c r="B1791" s="65">
        <v>36917</v>
      </c>
      <c r="C1791" t="s">
        <v>641</v>
      </c>
    </row>
    <row r="1792" spans="2:3" hidden="1" x14ac:dyDescent="0.25">
      <c r="B1792" s="65">
        <v>36917</v>
      </c>
      <c r="C1792" t="s">
        <v>1196</v>
      </c>
    </row>
    <row r="1793" spans="2:3" hidden="1" x14ac:dyDescent="0.25">
      <c r="B1793" s="65">
        <v>36916</v>
      </c>
      <c r="C1793" t="s">
        <v>1421</v>
      </c>
    </row>
    <row r="1794" spans="2:3" hidden="1" x14ac:dyDescent="0.25">
      <c r="B1794" s="65">
        <v>36916</v>
      </c>
      <c r="C1794" t="s">
        <v>1580</v>
      </c>
    </row>
    <row r="1795" spans="2:3" hidden="1" x14ac:dyDescent="0.25">
      <c r="B1795" s="65">
        <v>36915</v>
      </c>
      <c r="C1795" t="s">
        <v>9722</v>
      </c>
    </row>
    <row r="1796" spans="2:3" hidden="1" x14ac:dyDescent="0.25">
      <c r="B1796" s="65">
        <v>36915</v>
      </c>
      <c r="C1796" t="s">
        <v>12952</v>
      </c>
    </row>
    <row r="1797" spans="2:3" hidden="1" x14ac:dyDescent="0.25">
      <c r="B1797" s="65">
        <v>36914</v>
      </c>
      <c r="C1797" t="s">
        <v>12923</v>
      </c>
    </row>
    <row r="1798" spans="2:3" hidden="1" x14ac:dyDescent="0.25">
      <c r="B1798" s="65">
        <v>36914</v>
      </c>
      <c r="C1798" t="s">
        <v>11615</v>
      </c>
    </row>
    <row r="1799" spans="2:3" hidden="1" x14ac:dyDescent="0.25">
      <c r="B1799" s="65">
        <v>36914</v>
      </c>
      <c r="C1799" t="s">
        <v>112</v>
      </c>
    </row>
    <row r="1800" spans="2:3" hidden="1" x14ac:dyDescent="0.25">
      <c r="B1800" s="65">
        <v>36913</v>
      </c>
      <c r="C1800" t="s">
        <v>12938</v>
      </c>
    </row>
    <row r="1801" spans="2:3" hidden="1" x14ac:dyDescent="0.25">
      <c r="B1801" s="65">
        <v>36913</v>
      </c>
      <c r="C1801" t="s">
        <v>12943</v>
      </c>
    </row>
    <row r="1802" spans="2:3" hidden="1" x14ac:dyDescent="0.25">
      <c r="B1802" s="65">
        <v>36912</v>
      </c>
      <c r="C1802" t="s">
        <v>1359</v>
      </c>
    </row>
    <row r="1803" spans="2:3" hidden="1" x14ac:dyDescent="0.25">
      <c r="B1803" s="65">
        <v>36910</v>
      </c>
      <c r="C1803" t="s">
        <v>12927</v>
      </c>
    </row>
    <row r="1804" spans="2:3" hidden="1" x14ac:dyDescent="0.25">
      <c r="B1804" s="65">
        <v>36910</v>
      </c>
      <c r="C1804" t="s">
        <v>12933</v>
      </c>
    </row>
    <row r="1805" spans="2:3" hidden="1" x14ac:dyDescent="0.25">
      <c r="B1805" s="65">
        <v>36910</v>
      </c>
      <c r="C1805" t="s">
        <v>10739</v>
      </c>
    </row>
    <row r="1806" spans="2:3" hidden="1" x14ac:dyDescent="0.25">
      <c r="B1806" s="65">
        <v>36910</v>
      </c>
      <c r="C1806" t="s">
        <v>717</v>
      </c>
    </row>
    <row r="1807" spans="2:3" hidden="1" x14ac:dyDescent="0.25">
      <c r="B1807" s="65">
        <v>36909</v>
      </c>
      <c r="C1807" t="s">
        <v>163</v>
      </c>
    </row>
    <row r="1808" spans="2:3" hidden="1" x14ac:dyDescent="0.25">
      <c r="B1808" s="65">
        <v>36909</v>
      </c>
      <c r="C1808" t="s">
        <v>2836</v>
      </c>
    </row>
    <row r="1809" spans="2:3" hidden="1" x14ac:dyDescent="0.25">
      <c r="B1809" s="65">
        <v>36909</v>
      </c>
      <c r="C1809" t="s">
        <v>12904</v>
      </c>
    </row>
    <row r="1810" spans="2:3" hidden="1" x14ac:dyDescent="0.25">
      <c r="B1810" s="65">
        <v>36909</v>
      </c>
      <c r="C1810" t="s">
        <v>12918</v>
      </c>
    </row>
    <row r="1811" spans="2:3" hidden="1" x14ac:dyDescent="0.25">
      <c r="B1811" s="65">
        <v>36908</v>
      </c>
      <c r="C1811" t="s">
        <v>3102</v>
      </c>
    </row>
    <row r="1812" spans="2:3" hidden="1" x14ac:dyDescent="0.25">
      <c r="B1812" s="65">
        <v>36908</v>
      </c>
      <c r="C1812" t="s">
        <v>12888</v>
      </c>
    </row>
    <row r="1813" spans="2:3" hidden="1" x14ac:dyDescent="0.25">
      <c r="B1813" s="65">
        <v>36907</v>
      </c>
      <c r="C1813" t="s">
        <v>12856</v>
      </c>
    </row>
    <row r="1814" spans="2:3" hidden="1" x14ac:dyDescent="0.25">
      <c r="B1814" s="65">
        <v>36907</v>
      </c>
      <c r="C1814" t="s">
        <v>12876</v>
      </c>
    </row>
    <row r="1815" spans="2:3" hidden="1" x14ac:dyDescent="0.25">
      <c r="B1815" s="65">
        <v>36907</v>
      </c>
      <c r="C1815" t="s">
        <v>2542</v>
      </c>
    </row>
    <row r="1816" spans="2:3" hidden="1" x14ac:dyDescent="0.25">
      <c r="B1816" s="65">
        <v>36904</v>
      </c>
      <c r="C1816" t="s">
        <v>12851</v>
      </c>
    </row>
    <row r="1817" spans="2:3" hidden="1" x14ac:dyDescent="0.25">
      <c r="B1817" s="65">
        <v>36903</v>
      </c>
      <c r="C1817" t="s">
        <v>8491</v>
      </c>
    </row>
    <row r="1818" spans="2:3" hidden="1" x14ac:dyDescent="0.25">
      <c r="B1818" s="65">
        <v>36903</v>
      </c>
      <c r="C1818" t="s">
        <v>12867</v>
      </c>
    </row>
    <row r="1819" spans="2:3" hidden="1" x14ac:dyDescent="0.25">
      <c r="B1819" s="65">
        <v>36903</v>
      </c>
      <c r="C1819" t="s">
        <v>177</v>
      </c>
    </row>
    <row r="1820" spans="2:3" hidden="1" x14ac:dyDescent="0.25">
      <c r="B1820" s="65">
        <v>36902</v>
      </c>
      <c r="C1820" t="s">
        <v>12838</v>
      </c>
    </row>
    <row r="1821" spans="2:3" hidden="1" x14ac:dyDescent="0.25">
      <c r="B1821" s="65">
        <v>36902</v>
      </c>
      <c r="C1821" t="s">
        <v>12843</v>
      </c>
    </row>
    <row r="1822" spans="2:3" hidden="1" x14ac:dyDescent="0.25">
      <c r="B1822" s="65">
        <v>36902</v>
      </c>
      <c r="C1822" t="s">
        <v>12846</v>
      </c>
    </row>
    <row r="1823" spans="2:3" hidden="1" x14ac:dyDescent="0.25">
      <c r="B1823" s="65">
        <v>36901</v>
      </c>
      <c r="C1823" t="s">
        <v>795</v>
      </c>
    </row>
    <row r="1824" spans="2:3" hidden="1" x14ac:dyDescent="0.25">
      <c r="B1824" s="65">
        <v>36901</v>
      </c>
      <c r="C1824" t="s">
        <v>12862</v>
      </c>
    </row>
    <row r="1825" spans="2:3" hidden="1" x14ac:dyDescent="0.25">
      <c r="B1825" s="65">
        <v>36900</v>
      </c>
      <c r="C1825" t="s">
        <v>12870</v>
      </c>
    </row>
    <row r="1826" spans="2:3" hidden="1" x14ac:dyDescent="0.25">
      <c r="B1826" s="65">
        <v>36899</v>
      </c>
      <c r="C1826" t="s">
        <v>598</v>
      </c>
    </row>
    <row r="1827" spans="2:3" hidden="1" x14ac:dyDescent="0.25">
      <c r="B1827" s="65">
        <v>36899</v>
      </c>
      <c r="C1827" t="s">
        <v>12815</v>
      </c>
    </row>
    <row r="1828" spans="2:3" hidden="1" x14ac:dyDescent="0.25">
      <c r="B1828" s="65">
        <v>36899</v>
      </c>
      <c r="C1828" t="s">
        <v>12822</v>
      </c>
    </row>
    <row r="1829" spans="2:3" hidden="1" x14ac:dyDescent="0.25">
      <c r="B1829" s="65">
        <v>36898</v>
      </c>
      <c r="C1829" t="s">
        <v>8837</v>
      </c>
    </row>
    <row r="1830" spans="2:3" hidden="1" x14ac:dyDescent="0.25">
      <c r="B1830" s="65">
        <v>36896</v>
      </c>
      <c r="C1830" t="s">
        <v>3900</v>
      </c>
    </row>
    <row r="1831" spans="2:3" hidden="1" x14ac:dyDescent="0.25">
      <c r="B1831" s="65">
        <v>36894</v>
      </c>
      <c r="C1831" t="s">
        <v>12752</v>
      </c>
    </row>
    <row r="1832" spans="2:3" hidden="1" x14ac:dyDescent="0.25">
      <c r="B1832" s="65">
        <v>36894</v>
      </c>
      <c r="C1832" t="s">
        <v>12756</v>
      </c>
    </row>
    <row r="1833" spans="2:3" hidden="1" x14ac:dyDescent="0.25">
      <c r="B1833" s="65">
        <v>36894</v>
      </c>
      <c r="C1833" t="s">
        <v>3430</v>
      </c>
    </row>
    <row r="1834" spans="2:3" hidden="1" x14ac:dyDescent="0.25">
      <c r="B1834" s="65">
        <v>36893</v>
      </c>
      <c r="C1834" t="s">
        <v>1103</v>
      </c>
    </row>
    <row r="1835" spans="2:3" hidden="1" x14ac:dyDescent="0.25">
      <c r="B1835" s="65">
        <v>36892</v>
      </c>
      <c r="C1835" t="s">
        <v>12785</v>
      </c>
    </row>
    <row r="1836" spans="2:3" hidden="1" x14ac:dyDescent="0.25">
      <c r="B1836" s="65">
        <v>36892</v>
      </c>
      <c r="C1836" t="s">
        <v>12801</v>
      </c>
    </row>
    <row r="1837" spans="2:3" hidden="1" x14ac:dyDescent="0.25">
      <c r="B1837" s="65">
        <v>36892</v>
      </c>
      <c r="C1837" t="s">
        <v>2119</v>
      </c>
    </row>
    <row r="1838" spans="2:3" hidden="1" x14ac:dyDescent="0.25">
      <c r="B1838" s="65">
        <v>36891</v>
      </c>
      <c r="C1838" t="s">
        <v>12780</v>
      </c>
    </row>
    <row r="1839" spans="2:3" hidden="1" x14ac:dyDescent="0.25">
      <c r="B1839" s="65">
        <v>36890</v>
      </c>
      <c r="C1839" t="s">
        <v>12720</v>
      </c>
    </row>
    <row r="1840" spans="2:3" hidden="1" x14ac:dyDescent="0.25">
      <c r="B1840" s="65">
        <v>36888</v>
      </c>
      <c r="C1840" t="s">
        <v>12726</v>
      </c>
    </row>
    <row r="1841" spans="2:3" hidden="1" x14ac:dyDescent="0.25">
      <c r="B1841" s="65">
        <v>36888</v>
      </c>
      <c r="C1841" t="s">
        <v>12731</v>
      </c>
    </row>
    <row r="1842" spans="2:3" hidden="1" x14ac:dyDescent="0.25">
      <c r="B1842" s="65">
        <v>36888</v>
      </c>
      <c r="C1842" t="s">
        <v>12796</v>
      </c>
    </row>
    <row r="1843" spans="2:3" hidden="1" x14ac:dyDescent="0.25">
      <c r="B1843" s="65">
        <v>36887</v>
      </c>
      <c r="C1843" t="s">
        <v>12735</v>
      </c>
    </row>
    <row r="1844" spans="2:3" hidden="1" x14ac:dyDescent="0.25">
      <c r="B1844" s="65">
        <v>36887</v>
      </c>
      <c r="C1844" t="s">
        <v>12746</v>
      </c>
    </row>
    <row r="1845" spans="2:3" hidden="1" x14ac:dyDescent="0.25">
      <c r="B1845" s="65">
        <v>36887</v>
      </c>
      <c r="C1845" t="s">
        <v>12805</v>
      </c>
    </row>
    <row r="1846" spans="2:3" hidden="1" x14ac:dyDescent="0.25">
      <c r="B1846" s="65">
        <v>36886</v>
      </c>
      <c r="C1846" t="s">
        <v>1359</v>
      </c>
    </row>
    <row r="1847" spans="2:3" hidden="1" x14ac:dyDescent="0.25">
      <c r="B1847" s="65">
        <v>36886</v>
      </c>
      <c r="C1847" t="s">
        <v>11856</v>
      </c>
    </row>
    <row r="1848" spans="2:3" hidden="1" x14ac:dyDescent="0.25">
      <c r="B1848" s="65">
        <v>36886</v>
      </c>
      <c r="C1848" t="s">
        <v>12772</v>
      </c>
    </row>
    <row r="1849" spans="2:3" hidden="1" x14ac:dyDescent="0.25">
      <c r="B1849" s="65">
        <v>36885</v>
      </c>
      <c r="C1849" t="s">
        <v>3483</v>
      </c>
    </row>
    <row r="1850" spans="2:3" hidden="1" x14ac:dyDescent="0.25">
      <c r="B1850" s="65">
        <v>36884</v>
      </c>
      <c r="C1850" t="s">
        <v>12777</v>
      </c>
    </row>
    <row r="1851" spans="2:3" hidden="1" x14ac:dyDescent="0.25">
      <c r="B1851" s="65">
        <v>36883</v>
      </c>
      <c r="C1851" t="s">
        <v>12714</v>
      </c>
    </row>
    <row r="1852" spans="2:3" hidden="1" x14ac:dyDescent="0.25">
      <c r="B1852" s="65">
        <v>36883</v>
      </c>
      <c r="C1852" t="s">
        <v>6243</v>
      </c>
    </row>
    <row r="1853" spans="2:3" hidden="1" x14ac:dyDescent="0.25">
      <c r="B1853" s="65">
        <v>36883</v>
      </c>
      <c r="C1853" t="s">
        <v>786</v>
      </c>
    </row>
    <row r="1854" spans="2:3" hidden="1" x14ac:dyDescent="0.25">
      <c r="B1854" s="65">
        <v>36882</v>
      </c>
      <c r="C1854" t="s">
        <v>12762</v>
      </c>
    </row>
    <row r="1855" spans="2:3" hidden="1" x14ac:dyDescent="0.25">
      <c r="B1855" s="65">
        <v>36880</v>
      </c>
      <c r="C1855" t="s">
        <v>8979</v>
      </c>
    </row>
    <row r="1856" spans="2:3" hidden="1" x14ac:dyDescent="0.25">
      <c r="B1856" s="65">
        <v>36880</v>
      </c>
      <c r="C1856" t="s">
        <v>8150</v>
      </c>
    </row>
    <row r="1857" spans="2:3" hidden="1" x14ac:dyDescent="0.25">
      <c r="B1857" s="65">
        <v>36879</v>
      </c>
      <c r="C1857" t="s">
        <v>3771</v>
      </c>
    </row>
    <row r="1858" spans="2:3" hidden="1" x14ac:dyDescent="0.25">
      <c r="B1858" s="65">
        <v>36879</v>
      </c>
      <c r="C1858" t="s">
        <v>12689</v>
      </c>
    </row>
    <row r="1859" spans="2:3" hidden="1" x14ac:dyDescent="0.25">
      <c r="B1859" s="65">
        <v>36879</v>
      </c>
      <c r="C1859" t="s">
        <v>1733</v>
      </c>
    </row>
    <row r="1860" spans="2:3" hidden="1" x14ac:dyDescent="0.25">
      <c r="B1860" s="65">
        <v>36879</v>
      </c>
      <c r="C1860" t="s">
        <v>12704</v>
      </c>
    </row>
    <row r="1861" spans="2:3" hidden="1" x14ac:dyDescent="0.25">
      <c r="B1861" s="65">
        <v>36879</v>
      </c>
      <c r="C1861" t="s">
        <v>5393</v>
      </c>
    </row>
    <row r="1862" spans="2:3" hidden="1" x14ac:dyDescent="0.25">
      <c r="B1862" s="65">
        <v>36878</v>
      </c>
      <c r="C1862" t="s">
        <v>11929</v>
      </c>
    </row>
    <row r="1863" spans="2:3" hidden="1" x14ac:dyDescent="0.25">
      <c r="B1863" s="65">
        <v>36878</v>
      </c>
      <c r="C1863" t="s">
        <v>12483</v>
      </c>
    </row>
    <row r="1864" spans="2:3" hidden="1" x14ac:dyDescent="0.25">
      <c r="B1864" s="65">
        <v>36878</v>
      </c>
      <c r="C1864" t="s">
        <v>11430</v>
      </c>
    </row>
    <row r="1865" spans="2:3" hidden="1" x14ac:dyDescent="0.25">
      <c r="B1865" s="65">
        <v>36877</v>
      </c>
      <c r="C1865" t="s">
        <v>46</v>
      </c>
    </row>
    <row r="1866" spans="2:3" hidden="1" x14ac:dyDescent="0.25">
      <c r="B1866" s="65">
        <v>36877</v>
      </c>
      <c r="C1866" t="s">
        <v>4274</v>
      </c>
    </row>
    <row r="1867" spans="2:3" hidden="1" x14ac:dyDescent="0.25">
      <c r="B1867" s="65">
        <v>36875</v>
      </c>
      <c r="C1867" t="s">
        <v>11833</v>
      </c>
    </row>
    <row r="1868" spans="2:3" hidden="1" x14ac:dyDescent="0.25">
      <c r="B1868" s="65">
        <v>36875</v>
      </c>
      <c r="C1868" t="s">
        <v>3681</v>
      </c>
    </row>
    <row r="1869" spans="2:3" hidden="1" x14ac:dyDescent="0.25">
      <c r="B1869" s="65">
        <v>36874</v>
      </c>
      <c r="C1869" t="s">
        <v>11637</v>
      </c>
    </row>
    <row r="1870" spans="2:3" hidden="1" x14ac:dyDescent="0.25">
      <c r="B1870" s="65">
        <v>36874</v>
      </c>
      <c r="C1870" t="s">
        <v>12630</v>
      </c>
    </row>
    <row r="1871" spans="2:3" hidden="1" x14ac:dyDescent="0.25">
      <c r="B1871" s="65">
        <v>36874</v>
      </c>
      <c r="C1871" t="s">
        <v>12634</v>
      </c>
    </row>
    <row r="1872" spans="2:3" hidden="1" x14ac:dyDescent="0.25">
      <c r="B1872" s="65">
        <v>36873</v>
      </c>
      <c r="C1872" t="s">
        <v>11799</v>
      </c>
    </row>
    <row r="1873" spans="2:3" hidden="1" x14ac:dyDescent="0.25">
      <c r="B1873" s="65">
        <v>36873</v>
      </c>
      <c r="C1873" t="s">
        <v>12093</v>
      </c>
    </row>
    <row r="1874" spans="2:3" hidden="1" x14ac:dyDescent="0.25">
      <c r="B1874" s="65">
        <v>36873</v>
      </c>
      <c r="C1874" t="s">
        <v>12230</v>
      </c>
    </row>
    <row r="1875" spans="2:3" hidden="1" x14ac:dyDescent="0.25">
      <c r="B1875" s="65">
        <v>36872</v>
      </c>
      <c r="C1875" t="s">
        <v>11981</v>
      </c>
    </row>
    <row r="1876" spans="2:3" hidden="1" x14ac:dyDescent="0.25">
      <c r="B1876" s="65">
        <v>36871</v>
      </c>
      <c r="C1876" t="s">
        <v>12505</v>
      </c>
    </row>
    <row r="1877" spans="2:3" hidden="1" x14ac:dyDescent="0.25">
      <c r="B1877" s="65">
        <v>36871</v>
      </c>
      <c r="C1877" t="s">
        <v>12587</v>
      </c>
    </row>
    <row r="1878" spans="2:3" hidden="1" x14ac:dyDescent="0.25">
      <c r="B1878" s="65">
        <v>36869</v>
      </c>
      <c r="C1878" t="s">
        <v>12558</v>
      </c>
    </row>
    <row r="1879" spans="2:3" hidden="1" x14ac:dyDescent="0.25">
      <c r="B1879" s="65">
        <v>36867</v>
      </c>
      <c r="C1879" t="s">
        <v>11785</v>
      </c>
    </row>
    <row r="1880" spans="2:3" hidden="1" x14ac:dyDescent="0.25">
      <c r="B1880" s="65">
        <v>36867</v>
      </c>
      <c r="C1880" t="s">
        <v>11791</v>
      </c>
    </row>
    <row r="1881" spans="2:3" hidden="1" x14ac:dyDescent="0.25">
      <c r="B1881" s="65">
        <v>36867</v>
      </c>
      <c r="C1881" t="s">
        <v>12625</v>
      </c>
    </row>
    <row r="1882" spans="2:3" hidden="1" x14ac:dyDescent="0.25">
      <c r="B1882" s="65">
        <v>36866</v>
      </c>
      <c r="C1882" t="s">
        <v>11969</v>
      </c>
    </row>
    <row r="1883" spans="2:3" hidden="1" x14ac:dyDescent="0.25">
      <c r="B1883" s="65">
        <v>36866</v>
      </c>
      <c r="C1883" t="s">
        <v>12017</v>
      </c>
    </row>
    <row r="1884" spans="2:3" hidden="1" x14ac:dyDescent="0.25">
      <c r="B1884" s="65">
        <v>36866</v>
      </c>
      <c r="C1884" t="s">
        <v>12263</v>
      </c>
    </row>
    <row r="1885" spans="2:3" hidden="1" x14ac:dyDescent="0.25">
      <c r="B1885" s="65">
        <v>36866</v>
      </c>
      <c r="C1885" t="s">
        <v>3842</v>
      </c>
    </row>
    <row r="1886" spans="2:3" hidden="1" x14ac:dyDescent="0.25">
      <c r="B1886" s="65">
        <v>36865</v>
      </c>
      <c r="C1886" t="s">
        <v>11889</v>
      </c>
    </row>
    <row r="1887" spans="2:3" hidden="1" x14ac:dyDescent="0.25">
      <c r="B1887" s="65">
        <v>36865</v>
      </c>
      <c r="C1887" t="s">
        <v>12243</v>
      </c>
    </row>
    <row r="1888" spans="2:3" hidden="1" x14ac:dyDescent="0.25">
      <c r="B1888" s="65">
        <v>36865</v>
      </c>
      <c r="C1888" t="s">
        <v>12289</v>
      </c>
    </row>
    <row r="1889" spans="2:3" hidden="1" x14ac:dyDescent="0.25">
      <c r="B1889" s="65">
        <v>36865</v>
      </c>
      <c r="C1889" t="s">
        <v>12299</v>
      </c>
    </row>
    <row r="1890" spans="2:3" hidden="1" x14ac:dyDescent="0.25">
      <c r="B1890" s="65">
        <v>36864</v>
      </c>
      <c r="C1890" t="s">
        <v>12369</v>
      </c>
    </row>
    <row r="1891" spans="2:3" hidden="1" x14ac:dyDescent="0.25">
      <c r="B1891" s="65">
        <v>36864</v>
      </c>
      <c r="C1891" t="s">
        <v>12539</v>
      </c>
    </row>
    <row r="1892" spans="2:3" hidden="1" x14ac:dyDescent="0.25">
      <c r="B1892" s="65">
        <v>36863</v>
      </c>
      <c r="C1892" t="s">
        <v>12055</v>
      </c>
    </row>
    <row r="1893" spans="2:3" hidden="1" x14ac:dyDescent="0.25">
      <c r="B1893" s="65">
        <v>36863</v>
      </c>
      <c r="C1893" t="s">
        <v>12385</v>
      </c>
    </row>
    <row r="1894" spans="2:3" hidden="1" x14ac:dyDescent="0.25">
      <c r="B1894" s="65">
        <v>36861</v>
      </c>
      <c r="C1894" t="s">
        <v>7691</v>
      </c>
    </row>
    <row r="1895" spans="2:3" hidden="1" x14ac:dyDescent="0.25">
      <c r="B1895" s="65">
        <v>36861</v>
      </c>
      <c r="C1895" t="s">
        <v>4203</v>
      </c>
    </row>
    <row r="1896" spans="2:3" hidden="1" x14ac:dyDescent="0.25">
      <c r="B1896" s="65">
        <v>36860</v>
      </c>
      <c r="C1896" t="s">
        <v>11724</v>
      </c>
    </row>
    <row r="1897" spans="2:3" hidden="1" x14ac:dyDescent="0.25">
      <c r="B1897" s="65">
        <v>36860</v>
      </c>
      <c r="C1897" t="s">
        <v>2925</v>
      </c>
    </row>
    <row r="1898" spans="2:3" hidden="1" x14ac:dyDescent="0.25">
      <c r="B1898" s="65">
        <v>36860</v>
      </c>
      <c r="C1898" t="s">
        <v>5593</v>
      </c>
    </row>
    <row r="1899" spans="2:3" hidden="1" x14ac:dyDescent="0.25">
      <c r="B1899" s="65">
        <v>36860</v>
      </c>
      <c r="C1899" t="s">
        <v>12026</v>
      </c>
    </row>
    <row r="1900" spans="2:3" hidden="1" x14ac:dyDescent="0.25">
      <c r="B1900" s="65">
        <v>36859</v>
      </c>
      <c r="C1900" t="s">
        <v>12246</v>
      </c>
    </row>
    <row r="1901" spans="2:3" hidden="1" x14ac:dyDescent="0.25">
      <c r="B1901" s="65">
        <v>36859</v>
      </c>
      <c r="C1901" t="s">
        <v>12320</v>
      </c>
    </row>
    <row r="1902" spans="2:3" hidden="1" x14ac:dyDescent="0.25">
      <c r="B1902" s="65">
        <v>36859</v>
      </c>
      <c r="C1902" t="s">
        <v>12344</v>
      </c>
    </row>
    <row r="1903" spans="2:3" hidden="1" x14ac:dyDescent="0.25">
      <c r="B1903" s="65">
        <v>36858</v>
      </c>
      <c r="C1903" t="s">
        <v>12112</v>
      </c>
    </row>
    <row r="1904" spans="2:3" hidden="1" x14ac:dyDescent="0.25">
      <c r="B1904" s="65">
        <v>36858</v>
      </c>
      <c r="C1904" t="s">
        <v>8607</v>
      </c>
    </row>
    <row r="1905" spans="2:3" hidden="1" x14ac:dyDescent="0.25">
      <c r="B1905" s="65">
        <v>36857</v>
      </c>
      <c r="C1905" t="s">
        <v>12304</v>
      </c>
    </row>
    <row r="1906" spans="2:3" hidden="1" x14ac:dyDescent="0.25">
      <c r="B1906" s="65">
        <v>36857</v>
      </c>
      <c r="C1906" t="s">
        <v>12331</v>
      </c>
    </row>
    <row r="1907" spans="2:3" hidden="1" x14ac:dyDescent="0.25">
      <c r="B1907" s="65">
        <v>36857</v>
      </c>
      <c r="C1907" t="s">
        <v>12499</v>
      </c>
    </row>
    <row r="1908" spans="2:3" hidden="1" x14ac:dyDescent="0.25">
      <c r="B1908" s="65">
        <v>36856</v>
      </c>
      <c r="C1908" t="s">
        <v>12644</v>
      </c>
    </row>
    <row r="1909" spans="2:3" hidden="1" x14ac:dyDescent="0.25">
      <c r="B1909" s="65">
        <v>36855</v>
      </c>
      <c r="C1909" t="s">
        <v>12066</v>
      </c>
    </row>
    <row r="1910" spans="2:3" hidden="1" x14ac:dyDescent="0.25">
      <c r="B1910" s="65">
        <v>36855</v>
      </c>
      <c r="C1910" t="s">
        <v>12083</v>
      </c>
    </row>
    <row r="1911" spans="2:3" hidden="1" x14ac:dyDescent="0.25">
      <c r="B1911" s="65">
        <v>36855</v>
      </c>
      <c r="C1911" t="s">
        <v>12521</v>
      </c>
    </row>
    <row r="1912" spans="2:3" hidden="1" x14ac:dyDescent="0.25">
      <c r="B1912" s="65">
        <v>36854</v>
      </c>
      <c r="C1912" t="s">
        <v>12051</v>
      </c>
    </row>
    <row r="1913" spans="2:3" hidden="1" x14ac:dyDescent="0.25">
      <c r="B1913" s="65">
        <v>36853</v>
      </c>
      <c r="C1913" t="s">
        <v>11900</v>
      </c>
    </row>
    <row r="1914" spans="2:3" hidden="1" x14ac:dyDescent="0.25">
      <c r="B1914" s="65">
        <v>36853</v>
      </c>
      <c r="C1914" t="s">
        <v>12450</v>
      </c>
    </row>
    <row r="1915" spans="2:3" hidden="1" x14ac:dyDescent="0.25">
      <c r="B1915" s="65">
        <v>36852</v>
      </c>
      <c r="C1915" t="s">
        <v>12597</v>
      </c>
    </row>
    <row r="1916" spans="2:3" hidden="1" x14ac:dyDescent="0.25">
      <c r="B1916" s="65">
        <v>36852</v>
      </c>
      <c r="C1916" t="s">
        <v>2215</v>
      </c>
    </row>
    <row r="1917" spans="2:3" hidden="1" x14ac:dyDescent="0.25">
      <c r="B1917" s="65">
        <v>36851</v>
      </c>
      <c r="C1917" t="s">
        <v>4583</v>
      </c>
    </row>
    <row r="1918" spans="2:3" hidden="1" x14ac:dyDescent="0.25">
      <c r="B1918" s="65">
        <v>36851</v>
      </c>
      <c r="C1918" t="s">
        <v>11976</v>
      </c>
    </row>
    <row r="1919" spans="2:3" hidden="1" x14ac:dyDescent="0.25">
      <c r="B1919" s="65">
        <v>36851</v>
      </c>
      <c r="C1919" t="s">
        <v>12336</v>
      </c>
    </row>
    <row r="1920" spans="2:3" hidden="1" x14ac:dyDescent="0.25">
      <c r="B1920" s="65">
        <v>36851</v>
      </c>
      <c r="C1920" t="s">
        <v>12509</v>
      </c>
    </row>
    <row r="1921" spans="2:3" hidden="1" x14ac:dyDescent="0.25">
      <c r="B1921" s="65">
        <v>36851</v>
      </c>
      <c r="C1921" t="s">
        <v>9712</v>
      </c>
    </row>
    <row r="1922" spans="2:3" hidden="1" x14ac:dyDescent="0.25">
      <c r="B1922" s="65">
        <v>36850</v>
      </c>
      <c r="C1922" t="s">
        <v>12555</v>
      </c>
    </row>
    <row r="1923" spans="2:3" hidden="1" x14ac:dyDescent="0.25">
      <c r="B1923" s="65">
        <v>36850</v>
      </c>
      <c r="C1923" t="s">
        <v>12565</v>
      </c>
    </row>
    <row r="1924" spans="2:3" hidden="1" x14ac:dyDescent="0.25">
      <c r="B1924" s="65">
        <v>36850</v>
      </c>
      <c r="C1924" t="s">
        <v>8863</v>
      </c>
    </row>
    <row r="1925" spans="2:3" hidden="1" x14ac:dyDescent="0.25">
      <c r="B1925" s="65">
        <v>36850</v>
      </c>
      <c r="C1925" t="s">
        <v>954</v>
      </c>
    </row>
    <row r="1926" spans="2:3" hidden="1" x14ac:dyDescent="0.25">
      <c r="B1926" s="65">
        <v>36849</v>
      </c>
      <c r="C1926" t="s">
        <v>12059</v>
      </c>
    </row>
    <row r="1927" spans="2:3" hidden="1" x14ac:dyDescent="0.25">
      <c r="B1927" s="65">
        <v>36849</v>
      </c>
      <c r="C1927" t="s">
        <v>12165</v>
      </c>
    </row>
    <row r="1928" spans="2:3" hidden="1" x14ac:dyDescent="0.25">
      <c r="B1928" s="65">
        <v>36848</v>
      </c>
      <c r="C1928" t="s">
        <v>11905</v>
      </c>
    </row>
    <row r="1929" spans="2:3" hidden="1" x14ac:dyDescent="0.25">
      <c r="B1929" s="65">
        <v>36848</v>
      </c>
      <c r="C1929" t="s">
        <v>12304</v>
      </c>
    </row>
    <row r="1930" spans="2:3" hidden="1" x14ac:dyDescent="0.25">
      <c r="B1930" s="65">
        <v>36848</v>
      </c>
      <c r="C1930" t="s">
        <v>46</v>
      </c>
    </row>
    <row r="1931" spans="2:3" hidden="1" x14ac:dyDescent="0.25">
      <c r="B1931" s="65">
        <v>36847</v>
      </c>
      <c r="C1931" t="s">
        <v>3278</v>
      </c>
    </row>
    <row r="1932" spans="2:3" hidden="1" x14ac:dyDescent="0.25">
      <c r="B1932" s="65">
        <v>36847</v>
      </c>
      <c r="C1932" t="s">
        <v>12350</v>
      </c>
    </row>
    <row r="1933" spans="2:3" hidden="1" x14ac:dyDescent="0.25">
      <c r="B1933" s="65">
        <v>36846</v>
      </c>
      <c r="C1933" t="s">
        <v>11805</v>
      </c>
    </row>
    <row r="1934" spans="2:3" hidden="1" x14ac:dyDescent="0.25">
      <c r="B1934" s="65">
        <v>36846</v>
      </c>
      <c r="C1934" t="s">
        <v>12465</v>
      </c>
    </row>
    <row r="1935" spans="2:3" hidden="1" x14ac:dyDescent="0.25">
      <c r="B1935" s="65">
        <v>36846</v>
      </c>
      <c r="C1935" t="s">
        <v>12490</v>
      </c>
    </row>
    <row r="1936" spans="2:3" hidden="1" x14ac:dyDescent="0.25">
      <c r="B1936" s="65">
        <v>36846</v>
      </c>
      <c r="C1936" t="s">
        <v>12531</v>
      </c>
    </row>
    <row r="1937" spans="2:3" hidden="1" x14ac:dyDescent="0.25">
      <c r="B1937" s="65">
        <v>36845</v>
      </c>
      <c r="C1937" t="s">
        <v>2084</v>
      </c>
    </row>
    <row r="1938" spans="2:3" hidden="1" x14ac:dyDescent="0.25">
      <c r="B1938" s="65">
        <v>36845</v>
      </c>
      <c r="C1938" t="s">
        <v>9965</v>
      </c>
    </row>
    <row r="1939" spans="2:3" hidden="1" x14ac:dyDescent="0.25">
      <c r="B1939" s="65">
        <v>36845</v>
      </c>
      <c r="C1939" t="s">
        <v>12313</v>
      </c>
    </row>
    <row r="1940" spans="2:3" hidden="1" x14ac:dyDescent="0.25">
      <c r="B1940" s="65">
        <v>36844</v>
      </c>
      <c r="C1940" t="s">
        <v>11753</v>
      </c>
    </row>
    <row r="1941" spans="2:3" hidden="1" x14ac:dyDescent="0.25">
      <c r="B1941" s="65">
        <v>36842</v>
      </c>
      <c r="C1941" t="s">
        <v>12402</v>
      </c>
    </row>
    <row r="1942" spans="2:3" hidden="1" x14ac:dyDescent="0.25">
      <c r="B1942" s="65">
        <v>36841</v>
      </c>
      <c r="C1942" t="s">
        <v>4135</v>
      </c>
    </row>
    <row r="1943" spans="2:3" hidden="1" x14ac:dyDescent="0.25">
      <c r="B1943" s="65">
        <v>36841</v>
      </c>
      <c r="C1943" t="s">
        <v>2092</v>
      </c>
    </row>
    <row r="1944" spans="2:3" hidden="1" x14ac:dyDescent="0.25">
      <c r="B1944" s="65">
        <v>36840</v>
      </c>
      <c r="C1944" t="s">
        <v>11852</v>
      </c>
    </row>
    <row r="1945" spans="2:3" hidden="1" x14ac:dyDescent="0.25">
      <c r="B1945" s="65">
        <v>36840</v>
      </c>
      <c r="C1945" t="s">
        <v>11991</v>
      </c>
    </row>
    <row r="1946" spans="2:3" hidden="1" x14ac:dyDescent="0.25">
      <c r="B1946" s="65">
        <v>36840</v>
      </c>
      <c r="C1946" t="s">
        <v>3601</v>
      </c>
    </row>
    <row r="1947" spans="2:3" hidden="1" x14ac:dyDescent="0.25">
      <c r="B1947" s="65">
        <v>36840</v>
      </c>
      <c r="C1947" t="s">
        <v>3867</v>
      </c>
    </row>
    <row r="1948" spans="2:3" hidden="1" x14ac:dyDescent="0.25">
      <c r="B1948" s="65">
        <v>36838</v>
      </c>
      <c r="C1948" t="s">
        <v>12198</v>
      </c>
    </row>
    <row r="1949" spans="2:3" hidden="1" x14ac:dyDescent="0.25">
      <c r="B1949" s="65">
        <v>36838</v>
      </c>
      <c r="C1949" t="s">
        <v>12271</v>
      </c>
    </row>
    <row r="1950" spans="2:3" hidden="1" x14ac:dyDescent="0.25">
      <c r="B1950" s="65">
        <v>36838</v>
      </c>
      <c r="C1950" t="s">
        <v>8361</v>
      </c>
    </row>
    <row r="1951" spans="2:3" hidden="1" x14ac:dyDescent="0.25">
      <c r="B1951" s="65">
        <v>36837</v>
      </c>
      <c r="C1951" t="s">
        <v>11864</v>
      </c>
    </row>
    <row r="1952" spans="2:3" hidden="1" x14ac:dyDescent="0.25">
      <c r="B1952" s="65">
        <v>36837</v>
      </c>
      <c r="C1952" t="s">
        <v>12046</v>
      </c>
    </row>
    <row r="1953" spans="2:3" hidden="1" x14ac:dyDescent="0.25">
      <c r="B1953" s="65">
        <v>36837</v>
      </c>
      <c r="C1953" t="s">
        <v>12088</v>
      </c>
    </row>
    <row r="1954" spans="2:3" hidden="1" x14ac:dyDescent="0.25">
      <c r="B1954" s="65">
        <v>36837</v>
      </c>
      <c r="C1954" t="s">
        <v>12174</v>
      </c>
    </row>
    <row r="1955" spans="2:3" hidden="1" x14ac:dyDescent="0.25">
      <c r="B1955" s="65">
        <v>36836</v>
      </c>
      <c r="C1955" t="s">
        <v>4394</v>
      </c>
    </row>
    <row r="1956" spans="2:3" hidden="1" x14ac:dyDescent="0.25">
      <c r="B1956" s="65">
        <v>36836</v>
      </c>
      <c r="C1956" t="s">
        <v>12153</v>
      </c>
    </row>
    <row r="1957" spans="2:3" hidden="1" x14ac:dyDescent="0.25">
      <c r="B1957" s="65">
        <v>36836</v>
      </c>
      <c r="C1957" t="s">
        <v>12223</v>
      </c>
    </row>
    <row r="1958" spans="2:3" hidden="1" x14ac:dyDescent="0.25">
      <c r="B1958" s="65">
        <v>36836</v>
      </c>
      <c r="C1958" t="s">
        <v>12459</v>
      </c>
    </row>
    <row r="1959" spans="2:3" hidden="1" x14ac:dyDescent="0.25">
      <c r="B1959" s="65">
        <v>36835</v>
      </c>
      <c r="C1959" t="s">
        <v>12378</v>
      </c>
    </row>
    <row r="1960" spans="2:3" hidden="1" x14ac:dyDescent="0.25">
      <c r="B1960" s="65">
        <v>36835</v>
      </c>
      <c r="C1960" t="s">
        <v>12569</v>
      </c>
    </row>
    <row r="1961" spans="2:3" hidden="1" x14ac:dyDescent="0.25">
      <c r="B1961" s="65">
        <v>36834</v>
      </c>
      <c r="C1961" t="s">
        <v>6633</v>
      </c>
    </row>
    <row r="1962" spans="2:3" hidden="1" x14ac:dyDescent="0.25">
      <c r="B1962" s="65">
        <v>36834</v>
      </c>
      <c r="C1962" t="s">
        <v>12578</v>
      </c>
    </row>
    <row r="1963" spans="2:3" hidden="1" x14ac:dyDescent="0.25">
      <c r="B1963" s="65">
        <v>36834</v>
      </c>
      <c r="C1963" t="s">
        <v>12664</v>
      </c>
    </row>
    <row r="1964" spans="2:3" hidden="1" x14ac:dyDescent="0.25">
      <c r="B1964" s="65">
        <v>36833</v>
      </c>
      <c r="C1964" t="s">
        <v>11757</v>
      </c>
    </row>
    <row r="1965" spans="2:3" hidden="1" x14ac:dyDescent="0.25">
      <c r="B1965" s="65">
        <v>36833</v>
      </c>
      <c r="C1965" t="s">
        <v>4521</v>
      </c>
    </row>
    <row r="1966" spans="2:3" hidden="1" x14ac:dyDescent="0.25">
      <c r="B1966" s="65">
        <v>36832</v>
      </c>
      <c r="C1966" t="s">
        <v>11848</v>
      </c>
    </row>
    <row r="1967" spans="2:3" hidden="1" x14ac:dyDescent="0.25">
      <c r="B1967" s="65">
        <v>36832</v>
      </c>
      <c r="C1967" t="s">
        <v>11873</v>
      </c>
    </row>
    <row r="1968" spans="2:3" hidden="1" x14ac:dyDescent="0.25">
      <c r="B1968" s="65">
        <v>36832</v>
      </c>
      <c r="C1968" t="s">
        <v>12078</v>
      </c>
    </row>
    <row r="1969" spans="2:3" hidden="1" x14ac:dyDescent="0.25">
      <c r="B1969" s="65">
        <v>36832</v>
      </c>
      <c r="C1969" t="s">
        <v>12260</v>
      </c>
    </row>
    <row r="1970" spans="2:3" hidden="1" x14ac:dyDescent="0.25">
      <c r="B1970" s="65">
        <v>36832</v>
      </c>
      <c r="C1970" t="s">
        <v>12656</v>
      </c>
    </row>
    <row r="1971" spans="2:3" hidden="1" x14ac:dyDescent="0.25">
      <c r="B1971" s="65">
        <v>36831</v>
      </c>
      <c r="C1971" t="s">
        <v>2084</v>
      </c>
    </row>
    <row r="1972" spans="2:3" hidden="1" x14ac:dyDescent="0.25">
      <c r="B1972" s="65">
        <v>36831</v>
      </c>
      <c r="C1972" t="s">
        <v>12004</v>
      </c>
    </row>
    <row r="1973" spans="2:3" hidden="1" x14ac:dyDescent="0.25">
      <c r="B1973" s="65">
        <v>36830</v>
      </c>
      <c r="C1973" t="s">
        <v>2511</v>
      </c>
    </row>
    <row r="1974" spans="2:3" hidden="1" x14ac:dyDescent="0.25">
      <c r="B1974" s="65">
        <v>36830</v>
      </c>
      <c r="C1974" t="s">
        <v>12147</v>
      </c>
    </row>
    <row r="1975" spans="2:3" hidden="1" x14ac:dyDescent="0.25">
      <c r="B1975" s="65">
        <v>36829</v>
      </c>
      <c r="C1975" t="s">
        <v>12219</v>
      </c>
    </row>
    <row r="1976" spans="2:3" hidden="1" x14ac:dyDescent="0.25">
      <c r="B1976" s="65">
        <v>36829</v>
      </c>
      <c r="C1976" t="s">
        <v>12292</v>
      </c>
    </row>
    <row r="1977" spans="2:3" hidden="1" x14ac:dyDescent="0.25">
      <c r="B1977" s="65">
        <v>36828</v>
      </c>
      <c r="C1977" t="s">
        <v>12170</v>
      </c>
    </row>
    <row r="1978" spans="2:3" hidden="1" x14ac:dyDescent="0.25">
      <c r="B1978" s="65">
        <v>36828</v>
      </c>
      <c r="C1978" t="s">
        <v>12605</v>
      </c>
    </row>
    <row r="1979" spans="2:3" hidden="1" x14ac:dyDescent="0.25">
      <c r="B1979" s="65">
        <v>36827</v>
      </c>
      <c r="C1979" t="s">
        <v>2954</v>
      </c>
    </row>
    <row r="1980" spans="2:3" hidden="1" x14ac:dyDescent="0.25">
      <c r="B1980" s="65">
        <v>36826</v>
      </c>
      <c r="C1980" t="s">
        <v>11822</v>
      </c>
    </row>
    <row r="1981" spans="2:3" hidden="1" x14ac:dyDescent="0.25">
      <c r="B1981" s="65">
        <v>36826</v>
      </c>
      <c r="C1981" t="s">
        <v>12026</v>
      </c>
    </row>
    <row r="1982" spans="2:3" hidden="1" x14ac:dyDescent="0.25">
      <c r="B1982" s="65">
        <v>36826</v>
      </c>
      <c r="C1982" t="s">
        <v>8784</v>
      </c>
    </row>
    <row r="1983" spans="2:3" hidden="1" x14ac:dyDescent="0.25">
      <c r="B1983" s="65">
        <v>36826</v>
      </c>
      <c r="C1983" t="s">
        <v>12431</v>
      </c>
    </row>
    <row r="1984" spans="2:3" hidden="1" x14ac:dyDescent="0.25">
      <c r="B1984" s="65">
        <v>36826</v>
      </c>
      <c r="C1984" t="s">
        <v>844</v>
      </c>
    </row>
    <row r="1985" spans="2:3" hidden="1" x14ac:dyDescent="0.25">
      <c r="B1985" s="65">
        <v>36825</v>
      </c>
      <c r="C1985" t="s">
        <v>11914</v>
      </c>
    </row>
    <row r="1986" spans="2:3" hidden="1" x14ac:dyDescent="0.25">
      <c r="B1986" s="65">
        <v>36825</v>
      </c>
      <c r="C1986" t="s">
        <v>2856</v>
      </c>
    </row>
    <row r="1987" spans="2:3" hidden="1" x14ac:dyDescent="0.25">
      <c r="B1987" s="65">
        <v>36825</v>
      </c>
      <c r="C1987" t="s">
        <v>12250</v>
      </c>
    </row>
    <row r="1988" spans="2:3" hidden="1" x14ac:dyDescent="0.25">
      <c r="B1988" s="65">
        <v>36824</v>
      </c>
      <c r="C1988" t="s">
        <v>8547</v>
      </c>
    </row>
    <row r="1989" spans="2:3" hidden="1" x14ac:dyDescent="0.25">
      <c r="B1989" s="65">
        <v>36824</v>
      </c>
      <c r="C1989" t="s">
        <v>12275</v>
      </c>
    </row>
    <row r="1990" spans="2:3" hidden="1" x14ac:dyDescent="0.25">
      <c r="B1990" s="65">
        <v>36824</v>
      </c>
      <c r="C1990" t="s">
        <v>12582</v>
      </c>
    </row>
    <row r="1991" spans="2:3" hidden="1" x14ac:dyDescent="0.25">
      <c r="B1991" s="65">
        <v>36823</v>
      </c>
      <c r="C1991" t="s">
        <v>12126</v>
      </c>
    </row>
    <row r="1992" spans="2:3" hidden="1" x14ac:dyDescent="0.25">
      <c r="B1992" s="65">
        <v>36823</v>
      </c>
      <c r="C1992" t="s">
        <v>46</v>
      </c>
    </row>
    <row r="1993" spans="2:3" hidden="1" x14ac:dyDescent="0.25">
      <c r="B1993" s="65">
        <v>36822</v>
      </c>
      <c r="C1993" t="s">
        <v>749</v>
      </c>
    </row>
    <row r="1994" spans="2:3" hidden="1" x14ac:dyDescent="0.25">
      <c r="B1994" s="65">
        <v>36822</v>
      </c>
      <c r="C1994" t="s">
        <v>12000</v>
      </c>
    </row>
    <row r="1995" spans="2:3" hidden="1" x14ac:dyDescent="0.25">
      <c r="B1995" s="65">
        <v>36822</v>
      </c>
      <c r="C1995" t="s">
        <v>12309</v>
      </c>
    </row>
    <row r="1996" spans="2:3" hidden="1" x14ac:dyDescent="0.25">
      <c r="B1996" s="65">
        <v>36822</v>
      </c>
      <c r="C1996" t="s">
        <v>12364</v>
      </c>
    </row>
    <row r="1997" spans="2:3" hidden="1" x14ac:dyDescent="0.25">
      <c r="B1997" s="65">
        <v>36821</v>
      </c>
      <c r="C1997" t="s">
        <v>12135</v>
      </c>
    </row>
    <row r="1998" spans="2:3" hidden="1" x14ac:dyDescent="0.25">
      <c r="B1998" s="65">
        <v>36820</v>
      </c>
      <c r="C1998" t="s">
        <v>4457</v>
      </c>
    </row>
    <row r="1999" spans="2:3" hidden="1" x14ac:dyDescent="0.25">
      <c r="B1999" s="65">
        <v>36820</v>
      </c>
      <c r="C1999" t="s">
        <v>11795</v>
      </c>
    </row>
    <row r="2000" spans="2:3" hidden="1" x14ac:dyDescent="0.25">
      <c r="B2000" s="65">
        <v>36820</v>
      </c>
      <c r="C2000" t="s">
        <v>12141</v>
      </c>
    </row>
    <row r="2001" spans="2:3" hidden="1" x14ac:dyDescent="0.25">
      <c r="B2001" s="65">
        <v>36819</v>
      </c>
      <c r="C2001" t="s">
        <v>11730</v>
      </c>
    </row>
    <row r="2002" spans="2:3" hidden="1" x14ac:dyDescent="0.25">
      <c r="B2002" s="65">
        <v>36819</v>
      </c>
      <c r="C2002" t="s">
        <v>2209</v>
      </c>
    </row>
    <row r="2003" spans="2:3" hidden="1" x14ac:dyDescent="0.25">
      <c r="B2003" s="65">
        <v>36819</v>
      </c>
      <c r="C2003" t="s">
        <v>2663</v>
      </c>
    </row>
    <row r="2004" spans="2:3" hidden="1" x14ac:dyDescent="0.25">
      <c r="B2004" s="65">
        <v>36818</v>
      </c>
      <c r="C2004" t="s">
        <v>11942</v>
      </c>
    </row>
    <row r="2005" spans="2:3" hidden="1" x14ac:dyDescent="0.25">
      <c r="B2005" s="65">
        <v>36818</v>
      </c>
      <c r="C2005" t="s">
        <v>4865</v>
      </c>
    </row>
    <row r="2006" spans="2:3" hidden="1" x14ac:dyDescent="0.25">
      <c r="B2006" s="65">
        <v>36818</v>
      </c>
      <c r="C2006" t="s">
        <v>5606</v>
      </c>
    </row>
    <row r="2007" spans="2:3" hidden="1" x14ac:dyDescent="0.25">
      <c r="B2007" s="65">
        <v>36817</v>
      </c>
      <c r="C2007" t="s">
        <v>12461</v>
      </c>
    </row>
    <row r="2008" spans="2:3" hidden="1" x14ac:dyDescent="0.25">
      <c r="B2008" s="65">
        <v>36816</v>
      </c>
      <c r="C2008" t="s">
        <v>12149</v>
      </c>
    </row>
    <row r="2009" spans="2:3" hidden="1" x14ac:dyDescent="0.25">
      <c r="B2009" s="65">
        <v>36816</v>
      </c>
      <c r="C2009" t="s">
        <v>12615</v>
      </c>
    </row>
    <row r="2010" spans="2:3" hidden="1" x14ac:dyDescent="0.25">
      <c r="B2010" s="65">
        <v>36815</v>
      </c>
      <c r="C2010" t="s">
        <v>12184</v>
      </c>
    </row>
    <row r="2011" spans="2:3" hidden="1" x14ac:dyDescent="0.25">
      <c r="B2011" s="65">
        <v>36814</v>
      </c>
      <c r="C2011" t="s">
        <v>11815</v>
      </c>
    </row>
    <row r="2012" spans="2:3" hidden="1" x14ac:dyDescent="0.25">
      <c r="B2012" s="65">
        <v>36814</v>
      </c>
      <c r="C2012" t="s">
        <v>11826</v>
      </c>
    </row>
    <row r="2013" spans="2:3" hidden="1" x14ac:dyDescent="0.25">
      <c r="B2013" s="65">
        <v>36814</v>
      </c>
      <c r="C2013" t="s">
        <v>11881</v>
      </c>
    </row>
    <row r="2014" spans="2:3" hidden="1" x14ac:dyDescent="0.25">
      <c r="B2014" s="65">
        <v>36814</v>
      </c>
      <c r="C2014" t="s">
        <v>12160</v>
      </c>
    </row>
    <row r="2015" spans="2:3" hidden="1" x14ac:dyDescent="0.25">
      <c r="B2015" s="65">
        <v>36814</v>
      </c>
      <c r="C2015" t="s">
        <v>12239</v>
      </c>
    </row>
    <row r="2016" spans="2:3" hidden="1" x14ac:dyDescent="0.25">
      <c r="B2016" s="65">
        <v>36814</v>
      </c>
      <c r="C2016" t="s">
        <v>3830</v>
      </c>
    </row>
    <row r="2017" spans="2:3" hidden="1" x14ac:dyDescent="0.25">
      <c r="B2017" s="65">
        <v>36813</v>
      </c>
      <c r="C2017" t="s">
        <v>3545</v>
      </c>
    </row>
    <row r="2018" spans="2:3" hidden="1" x14ac:dyDescent="0.25">
      <c r="B2018" s="65">
        <v>36813</v>
      </c>
      <c r="C2018" t="s">
        <v>6243</v>
      </c>
    </row>
    <row r="2019" spans="2:3" hidden="1" x14ac:dyDescent="0.25">
      <c r="B2019" s="65">
        <v>36812</v>
      </c>
      <c r="C2019" t="s">
        <v>11774</v>
      </c>
    </row>
    <row r="2020" spans="2:3" hidden="1" x14ac:dyDescent="0.25">
      <c r="B2020" s="65">
        <v>36811</v>
      </c>
      <c r="C2020" t="s">
        <v>11922</v>
      </c>
    </row>
    <row r="2021" spans="2:3" hidden="1" x14ac:dyDescent="0.25">
      <c r="B2021" s="65">
        <v>36810</v>
      </c>
      <c r="C2021" t="s">
        <v>12037</v>
      </c>
    </row>
    <row r="2022" spans="2:3" hidden="1" x14ac:dyDescent="0.25">
      <c r="B2022" s="65">
        <v>36810</v>
      </c>
      <c r="C2022" t="s">
        <v>7037</v>
      </c>
    </row>
    <row r="2023" spans="2:3" hidden="1" x14ac:dyDescent="0.25">
      <c r="B2023" s="65">
        <v>36808</v>
      </c>
      <c r="C2023" t="s">
        <v>3848</v>
      </c>
    </row>
    <row r="2024" spans="2:3" hidden="1" x14ac:dyDescent="0.25">
      <c r="B2024" s="65">
        <v>36808</v>
      </c>
      <c r="C2024" t="s">
        <v>12424</v>
      </c>
    </row>
    <row r="2025" spans="2:3" hidden="1" x14ac:dyDescent="0.25">
      <c r="B2025" s="65">
        <v>36807</v>
      </c>
      <c r="C2025" t="s">
        <v>12178</v>
      </c>
    </row>
    <row r="2026" spans="2:3" hidden="1" x14ac:dyDescent="0.25">
      <c r="B2026" s="65">
        <v>36807</v>
      </c>
      <c r="C2026" t="s">
        <v>12413</v>
      </c>
    </row>
    <row r="2027" spans="2:3" hidden="1" x14ac:dyDescent="0.25">
      <c r="B2027" s="65">
        <v>36807</v>
      </c>
      <c r="C2027" t="s">
        <v>12455</v>
      </c>
    </row>
    <row r="2028" spans="2:3" hidden="1" x14ac:dyDescent="0.25">
      <c r="B2028" s="65">
        <v>36806</v>
      </c>
      <c r="C2028" t="s">
        <v>12083</v>
      </c>
    </row>
    <row r="2029" spans="2:3" hidden="1" x14ac:dyDescent="0.25">
      <c r="B2029" s="65">
        <v>36805</v>
      </c>
      <c r="C2029" t="s">
        <v>8693</v>
      </c>
    </row>
    <row r="2030" spans="2:3" hidden="1" x14ac:dyDescent="0.25">
      <c r="B2030" s="65">
        <v>36805</v>
      </c>
      <c r="C2030" t="s">
        <v>11878</v>
      </c>
    </row>
    <row r="2031" spans="2:3" hidden="1" x14ac:dyDescent="0.25">
      <c r="B2031" s="65">
        <v>36804</v>
      </c>
      <c r="C2031" t="s">
        <v>12190</v>
      </c>
    </row>
    <row r="2032" spans="2:3" hidden="1" x14ac:dyDescent="0.25">
      <c r="B2032" s="65">
        <v>36804</v>
      </c>
      <c r="C2032" t="s">
        <v>5696</v>
      </c>
    </row>
    <row r="2033" spans="2:3" hidden="1" x14ac:dyDescent="0.25">
      <c r="B2033" s="65">
        <v>36803</v>
      </c>
      <c r="C2033" t="s">
        <v>5297</v>
      </c>
    </row>
    <row r="2034" spans="2:3" hidden="1" x14ac:dyDescent="0.25">
      <c r="B2034" s="65">
        <v>36802</v>
      </c>
      <c r="C2034" t="s">
        <v>11739</v>
      </c>
    </row>
    <row r="2035" spans="2:3" hidden="1" x14ac:dyDescent="0.25">
      <c r="B2035" s="65">
        <v>36802</v>
      </c>
      <c r="C2035" t="s">
        <v>11778</v>
      </c>
    </row>
    <row r="2036" spans="2:3" hidden="1" x14ac:dyDescent="0.25">
      <c r="B2036" s="65">
        <v>36802</v>
      </c>
      <c r="C2036" t="s">
        <v>4583</v>
      </c>
    </row>
    <row r="2037" spans="2:3" hidden="1" x14ac:dyDescent="0.25">
      <c r="B2037" s="65">
        <v>36802</v>
      </c>
      <c r="C2037" t="s">
        <v>12639</v>
      </c>
    </row>
    <row r="2038" spans="2:3" hidden="1" x14ac:dyDescent="0.25">
      <c r="B2038" s="65">
        <v>36801</v>
      </c>
      <c r="C2038" t="s">
        <v>8234</v>
      </c>
    </row>
    <row r="2039" spans="2:3" hidden="1" x14ac:dyDescent="0.25">
      <c r="B2039" s="65">
        <v>36801</v>
      </c>
      <c r="C2039" t="s">
        <v>8035</v>
      </c>
    </row>
    <row r="2040" spans="2:3" hidden="1" x14ac:dyDescent="0.25">
      <c r="B2040" s="65">
        <v>36800</v>
      </c>
      <c r="C2040" t="s">
        <v>12409</v>
      </c>
    </row>
    <row r="2041" spans="2:3" hidden="1" x14ac:dyDescent="0.25">
      <c r="B2041" s="65">
        <v>36800</v>
      </c>
      <c r="C2041" t="s">
        <v>9965</v>
      </c>
    </row>
    <row r="2042" spans="2:3" hidden="1" x14ac:dyDescent="0.25">
      <c r="B2042" s="65">
        <v>36799</v>
      </c>
      <c r="C2042" t="s">
        <v>11996</v>
      </c>
    </row>
    <row r="2043" spans="2:3" hidden="1" x14ac:dyDescent="0.25">
      <c r="B2043" s="65">
        <v>36799</v>
      </c>
      <c r="C2043" t="s">
        <v>12008</v>
      </c>
    </row>
    <row r="2044" spans="2:3" hidden="1" x14ac:dyDescent="0.25">
      <c r="B2044" s="65">
        <v>36799</v>
      </c>
      <c r="C2044" t="s">
        <v>5552</v>
      </c>
    </row>
    <row r="2045" spans="2:3" hidden="1" x14ac:dyDescent="0.25">
      <c r="B2045" s="65">
        <v>36798</v>
      </c>
      <c r="C2045" t="s">
        <v>11837</v>
      </c>
    </row>
    <row r="2046" spans="2:3" hidden="1" x14ac:dyDescent="0.25">
      <c r="B2046" s="65">
        <v>36798</v>
      </c>
      <c r="C2046" t="s">
        <v>10096</v>
      </c>
    </row>
    <row r="2047" spans="2:3" hidden="1" x14ac:dyDescent="0.25">
      <c r="B2047" s="65">
        <v>36798</v>
      </c>
      <c r="C2047" t="s">
        <v>12041</v>
      </c>
    </row>
    <row r="2048" spans="2:3" hidden="1" x14ac:dyDescent="0.25">
      <c r="B2048" s="65">
        <v>36798</v>
      </c>
      <c r="C2048" t="s">
        <v>12286</v>
      </c>
    </row>
    <row r="2049" spans="2:3" hidden="1" x14ac:dyDescent="0.25">
      <c r="B2049" s="65">
        <v>36797</v>
      </c>
      <c r="C2049" t="s">
        <v>3455</v>
      </c>
    </row>
    <row r="2050" spans="2:3" hidden="1" x14ac:dyDescent="0.25">
      <c r="B2050" s="65">
        <v>36797</v>
      </c>
      <c r="C2050" t="s">
        <v>4278</v>
      </c>
    </row>
    <row r="2051" spans="2:3" hidden="1" x14ac:dyDescent="0.25">
      <c r="B2051" s="65">
        <v>36796</v>
      </c>
      <c r="C2051" t="s">
        <v>12255</v>
      </c>
    </row>
    <row r="2052" spans="2:3" hidden="1" x14ac:dyDescent="0.25">
      <c r="B2052" s="65">
        <v>36796</v>
      </c>
      <c r="C2052" t="s">
        <v>493</v>
      </c>
    </row>
    <row r="2053" spans="2:3" hidden="1" x14ac:dyDescent="0.25">
      <c r="B2053" s="65">
        <v>36796</v>
      </c>
      <c r="C2053" t="s">
        <v>12389</v>
      </c>
    </row>
    <row r="2054" spans="2:3" hidden="1" x14ac:dyDescent="0.25">
      <c r="B2054" s="65">
        <v>36795</v>
      </c>
      <c r="C2054" t="s">
        <v>12030</v>
      </c>
    </row>
    <row r="2055" spans="2:3" hidden="1" x14ac:dyDescent="0.25">
      <c r="B2055" s="65">
        <v>36795</v>
      </c>
      <c r="C2055" t="s">
        <v>12398</v>
      </c>
    </row>
    <row r="2056" spans="2:3" hidden="1" x14ac:dyDescent="0.25">
      <c r="B2056" s="65">
        <v>36794</v>
      </c>
      <c r="C2056" t="s">
        <v>11937</v>
      </c>
    </row>
    <row r="2057" spans="2:3" hidden="1" x14ac:dyDescent="0.25">
      <c r="B2057" s="65">
        <v>36794</v>
      </c>
      <c r="C2057" t="s">
        <v>163</v>
      </c>
    </row>
    <row r="2058" spans="2:3" hidden="1" x14ac:dyDescent="0.25">
      <c r="B2058" s="65">
        <v>36791</v>
      </c>
      <c r="C2058" t="s">
        <v>12073</v>
      </c>
    </row>
    <row r="2059" spans="2:3" hidden="1" x14ac:dyDescent="0.25">
      <c r="B2059" s="65">
        <v>36791</v>
      </c>
      <c r="C2059" t="s">
        <v>12117</v>
      </c>
    </row>
    <row r="2060" spans="2:3" hidden="1" x14ac:dyDescent="0.25">
      <c r="B2060" s="65">
        <v>36791</v>
      </c>
      <c r="C2060" t="s">
        <v>12121</v>
      </c>
    </row>
    <row r="2061" spans="2:3" hidden="1" x14ac:dyDescent="0.25">
      <c r="B2061" s="65">
        <v>36791</v>
      </c>
      <c r="C2061" t="s">
        <v>12434</v>
      </c>
    </row>
    <row r="2062" spans="2:3" hidden="1" x14ac:dyDescent="0.25">
      <c r="B2062" s="65">
        <v>36790</v>
      </c>
      <c r="C2062" t="s">
        <v>11856</v>
      </c>
    </row>
    <row r="2063" spans="2:3" hidden="1" x14ac:dyDescent="0.25">
      <c r="B2063" s="65">
        <v>36790</v>
      </c>
      <c r="C2063" t="s">
        <v>5878</v>
      </c>
    </row>
    <row r="2064" spans="2:3" hidden="1" x14ac:dyDescent="0.25">
      <c r="B2064" s="65">
        <v>36789</v>
      </c>
      <c r="C2064" t="s">
        <v>2354</v>
      </c>
    </row>
    <row r="2065" spans="2:3" hidden="1" x14ac:dyDescent="0.25">
      <c r="B2065" s="65">
        <v>36789</v>
      </c>
      <c r="C2065" t="s">
        <v>12104</v>
      </c>
    </row>
    <row r="2066" spans="2:3" hidden="1" x14ac:dyDescent="0.25">
      <c r="B2066" s="65">
        <v>36789</v>
      </c>
      <c r="C2066" t="s">
        <v>12374</v>
      </c>
    </row>
    <row r="2067" spans="2:3" hidden="1" x14ac:dyDescent="0.25">
      <c r="B2067" s="65">
        <v>36789</v>
      </c>
      <c r="C2067" t="s">
        <v>3782</v>
      </c>
    </row>
    <row r="2068" spans="2:3" hidden="1" x14ac:dyDescent="0.25">
      <c r="B2068" s="65">
        <v>36788</v>
      </c>
      <c r="C2068" t="s">
        <v>11985</v>
      </c>
    </row>
    <row r="2069" spans="2:3" hidden="1" x14ac:dyDescent="0.25">
      <c r="B2069" s="65">
        <v>36788</v>
      </c>
      <c r="C2069" t="s">
        <v>9876</v>
      </c>
    </row>
    <row r="2070" spans="2:3" hidden="1" x14ac:dyDescent="0.25">
      <c r="B2070" s="65">
        <v>36787</v>
      </c>
      <c r="C2070" t="s">
        <v>9324</v>
      </c>
    </row>
    <row r="2071" spans="2:3" hidden="1" x14ac:dyDescent="0.25">
      <c r="B2071" s="65">
        <v>36785</v>
      </c>
      <c r="C2071" t="s">
        <v>12157</v>
      </c>
    </row>
    <row r="2072" spans="2:3" hidden="1" x14ac:dyDescent="0.25">
      <c r="B2072" s="65">
        <v>36784</v>
      </c>
      <c r="C2072" t="s">
        <v>11962</v>
      </c>
    </row>
    <row r="2073" spans="2:3" hidden="1" x14ac:dyDescent="0.25">
      <c r="B2073" s="65">
        <v>36783</v>
      </c>
      <c r="C2073" t="s">
        <v>11910</v>
      </c>
    </row>
    <row r="2074" spans="2:3" hidden="1" x14ac:dyDescent="0.25">
      <c r="B2074" s="65">
        <v>36783</v>
      </c>
      <c r="C2074" t="s">
        <v>9661</v>
      </c>
    </row>
    <row r="2075" spans="2:3" hidden="1" x14ac:dyDescent="0.25">
      <c r="B2075" s="65">
        <v>36783</v>
      </c>
      <c r="C2075" t="s">
        <v>6526</v>
      </c>
    </row>
    <row r="2076" spans="2:3" hidden="1" x14ac:dyDescent="0.25">
      <c r="B2076" s="65">
        <v>36783</v>
      </c>
      <c r="C2076" t="s">
        <v>12418</v>
      </c>
    </row>
    <row r="2077" spans="2:3" hidden="1" x14ac:dyDescent="0.25">
      <c r="B2077" s="65">
        <v>36782</v>
      </c>
      <c r="C2077" t="s">
        <v>10697</v>
      </c>
    </row>
    <row r="2078" spans="2:3" hidden="1" x14ac:dyDescent="0.25">
      <c r="B2078" s="65">
        <v>36782</v>
      </c>
      <c r="C2078" t="s">
        <v>12620</v>
      </c>
    </row>
    <row r="2079" spans="2:3" hidden="1" x14ac:dyDescent="0.25">
      <c r="B2079" s="65">
        <v>36781</v>
      </c>
      <c r="C2079" t="s">
        <v>4237</v>
      </c>
    </row>
    <row r="2080" spans="2:3" hidden="1" x14ac:dyDescent="0.25">
      <c r="B2080" s="65">
        <v>36781</v>
      </c>
      <c r="C2080" t="s">
        <v>12444</v>
      </c>
    </row>
    <row r="2081" spans="2:3" hidden="1" x14ac:dyDescent="0.25">
      <c r="B2081" s="65">
        <v>36780</v>
      </c>
      <c r="C2081" t="s">
        <v>11869</v>
      </c>
    </row>
    <row r="2082" spans="2:3" hidden="1" x14ac:dyDescent="0.25">
      <c r="B2082" s="65">
        <v>36780</v>
      </c>
      <c r="C2082" t="s">
        <v>2343</v>
      </c>
    </row>
    <row r="2083" spans="2:3" hidden="1" x14ac:dyDescent="0.25">
      <c r="B2083" s="65">
        <v>36780</v>
      </c>
      <c r="C2083" t="s">
        <v>4506</v>
      </c>
    </row>
    <row r="2084" spans="2:3" hidden="1" x14ac:dyDescent="0.25">
      <c r="B2084" s="65">
        <v>36780</v>
      </c>
      <c r="C2084" t="s">
        <v>12660</v>
      </c>
    </row>
    <row r="2085" spans="2:3" hidden="1" x14ac:dyDescent="0.25">
      <c r="B2085" s="65">
        <v>36778</v>
      </c>
      <c r="C2085" t="s">
        <v>1029</v>
      </c>
    </row>
    <row r="2086" spans="2:3" hidden="1" x14ac:dyDescent="0.25">
      <c r="B2086" s="65">
        <v>36777</v>
      </c>
      <c r="C2086" t="s">
        <v>2209</v>
      </c>
    </row>
    <row r="2087" spans="2:3" hidden="1" x14ac:dyDescent="0.25">
      <c r="B2087" s="65">
        <v>36777</v>
      </c>
      <c r="C2087" t="s">
        <v>2925</v>
      </c>
    </row>
    <row r="2088" spans="2:3" hidden="1" x14ac:dyDescent="0.25">
      <c r="B2088" s="65">
        <v>36776</v>
      </c>
      <c r="C2088" t="s">
        <v>5947</v>
      </c>
    </row>
    <row r="2089" spans="2:3" hidden="1" x14ac:dyDescent="0.25">
      <c r="B2089" s="65">
        <v>36776</v>
      </c>
      <c r="C2089" t="s">
        <v>12469</v>
      </c>
    </row>
    <row r="2090" spans="2:3" hidden="1" x14ac:dyDescent="0.25">
      <c r="B2090" s="65">
        <v>36776</v>
      </c>
      <c r="C2090" t="s">
        <v>12591</v>
      </c>
    </row>
    <row r="2091" spans="2:3" hidden="1" x14ac:dyDescent="0.25">
      <c r="B2091" s="65">
        <v>36775</v>
      </c>
      <c r="C2091" t="s">
        <v>2689</v>
      </c>
    </row>
    <row r="2092" spans="2:3" hidden="1" x14ac:dyDescent="0.25">
      <c r="B2092" s="65">
        <v>36775</v>
      </c>
      <c r="C2092" t="s">
        <v>5835</v>
      </c>
    </row>
    <row r="2093" spans="2:3" hidden="1" x14ac:dyDescent="0.25">
      <c r="B2093" s="65">
        <v>36775</v>
      </c>
      <c r="C2093" t="s">
        <v>2273</v>
      </c>
    </row>
    <row r="2094" spans="2:3" hidden="1" x14ac:dyDescent="0.25">
      <c r="B2094" s="65">
        <v>36774</v>
      </c>
      <c r="C2094" t="s">
        <v>12512</v>
      </c>
    </row>
    <row r="2095" spans="2:3" hidden="1" x14ac:dyDescent="0.25">
      <c r="B2095" s="65">
        <v>36773</v>
      </c>
      <c r="C2095" t="s">
        <v>12279</v>
      </c>
    </row>
    <row r="2096" spans="2:3" hidden="1" x14ac:dyDescent="0.25">
      <c r="B2096" s="65">
        <v>36773</v>
      </c>
      <c r="C2096" t="s">
        <v>9757</v>
      </c>
    </row>
    <row r="2097" spans="2:3" hidden="1" x14ac:dyDescent="0.25">
      <c r="B2097" s="65">
        <v>36772</v>
      </c>
      <c r="C2097" t="s">
        <v>12100</v>
      </c>
    </row>
    <row r="2098" spans="2:3" hidden="1" x14ac:dyDescent="0.25">
      <c r="B2098" s="65">
        <v>36772</v>
      </c>
      <c r="C2098" t="s">
        <v>9722</v>
      </c>
    </row>
    <row r="2099" spans="2:3" hidden="1" x14ac:dyDescent="0.25">
      <c r="B2099" s="65">
        <v>36771</v>
      </c>
      <c r="C2099" t="s">
        <v>12357</v>
      </c>
    </row>
    <row r="2100" spans="2:3" hidden="1" x14ac:dyDescent="0.25">
      <c r="B2100" s="65">
        <v>36769</v>
      </c>
      <c r="C2100" t="s">
        <v>7400</v>
      </c>
    </row>
    <row r="2101" spans="2:3" hidden="1" x14ac:dyDescent="0.25">
      <c r="B2101" s="65">
        <v>36769</v>
      </c>
      <c r="C2101" t="s">
        <v>12323</v>
      </c>
    </row>
    <row r="2102" spans="2:3" hidden="1" x14ac:dyDescent="0.25">
      <c r="B2102" s="65">
        <v>36768</v>
      </c>
      <c r="C2102" t="s">
        <v>11769</v>
      </c>
    </row>
    <row r="2103" spans="2:3" hidden="1" x14ac:dyDescent="0.25">
      <c r="B2103" s="65">
        <v>36768</v>
      </c>
      <c r="C2103" t="s">
        <v>696</v>
      </c>
    </row>
    <row r="2104" spans="2:3" hidden="1" x14ac:dyDescent="0.25">
      <c r="B2104" s="65">
        <v>36768</v>
      </c>
      <c r="C2104" t="s">
        <v>8970</v>
      </c>
    </row>
    <row r="2105" spans="2:3" hidden="1" x14ac:dyDescent="0.25">
      <c r="B2105" s="65">
        <v>36767</v>
      </c>
      <c r="C2105" t="s">
        <v>3699</v>
      </c>
    </row>
    <row r="2106" spans="2:3" hidden="1" x14ac:dyDescent="0.25">
      <c r="B2106" s="65">
        <v>36767</v>
      </c>
      <c r="C2106" t="s">
        <v>12235</v>
      </c>
    </row>
    <row r="2107" spans="2:3" hidden="1" x14ac:dyDescent="0.25">
      <c r="B2107" s="65">
        <v>36766</v>
      </c>
      <c r="C2107" t="s">
        <v>5015</v>
      </c>
    </row>
    <row r="2108" spans="2:3" hidden="1" x14ac:dyDescent="0.25">
      <c r="B2108" s="65">
        <v>36766</v>
      </c>
      <c r="C2108" t="s">
        <v>11705</v>
      </c>
    </row>
    <row r="2109" spans="2:3" hidden="1" x14ac:dyDescent="0.25">
      <c r="B2109" s="65">
        <v>36766</v>
      </c>
      <c r="C2109" t="s">
        <v>2836</v>
      </c>
    </row>
    <row r="2110" spans="2:3" hidden="1" x14ac:dyDescent="0.25">
      <c r="B2110" s="65">
        <v>36765</v>
      </c>
      <c r="C2110" t="s">
        <v>1116</v>
      </c>
    </row>
    <row r="2111" spans="2:3" hidden="1" x14ac:dyDescent="0.25">
      <c r="B2111" s="65">
        <v>36765</v>
      </c>
      <c r="C2111" t="s">
        <v>11699</v>
      </c>
    </row>
    <row r="2112" spans="2:3" hidden="1" x14ac:dyDescent="0.25">
      <c r="B2112" s="65">
        <v>36765</v>
      </c>
      <c r="C2112" t="s">
        <v>11708</v>
      </c>
    </row>
    <row r="2113" spans="2:3" hidden="1" x14ac:dyDescent="0.25">
      <c r="B2113" s="65">
        <v>36764</v>
      </c>
      <c r="C2113" t="s">
        <v>905</v>
      </c>
    </row>
    <row r="2114" spans="2:3" hidden="1" x14ac:dyDescent="0.25">
      <c r="B2114" s="65">
        <v>36764</v>
      </c>
      <c r="C2114" t="s">
        <v>1009</v>
      </c>
    </row>
    <row r="2115" spans="2:3" hidden="1" x14ac:dyDescent="0.25">
      <c r="B2115" s="65">
        <v>36763</v>
      </c>
      <c r="C2115" t="s">
        <v>927</v>
      </c>
    </row>
    <row r="2116" spans="2:3" hidden="1" x14ac:dyDescent="0.25">
      <c r="B2116" s="65">
        <v>36762</v>
      </c>
      <c r="C2116" t="s">
        <v>184</v>
      </c>
    </row>
    <row r="2117" spans="2:3" hidden="1" x14ac:dyDescent="0.25">
      <c r="B2117" s="65">
        <v>36762</v>
      </c>
      <c r="C2117" t="s">
        <v>834</v>
      </c>
    </row>
    <row r="2118" spans="2:3" hidden="1" x14ac:dyDescent="0.25">
      <c r="B2118" s="65">
        <v>36761</v>
      </c>
      <c r="C2118" t="s">
        <v>735</v>
      </c>
    </row>
    <row r="2119" spans="2:3" hidden="1" x14ac:dyDescent="0.25">
      <c r="B2119" s="65">
        <v>36760</v>
      </c>
      <c r="C2119" t="s">
        <v>410</v>
      </c>
    </row>
    <row r="2120" spans="2:3" hidden="1" x14ac:dyDescent="0.25">
      <c r="B2120" s="65">
        <v>36760</v>
      </c>
      <c r="C2120" t="s">
        <v>947</v>
      </c>
    </row>
    <row r="2121" spans="2:3" hidden="1" x14ac:dyDescent="0.25">
      <c r="B2121" s="65">
        <v>36760</v>
      </c>
      <c r="C2121" t="s">
        <v>1074</v>
      </c>
    </row>
    <row r="2122" spans="2:3" hidden="1" x14ac:dyDescent="0.25">
      <c r="B2122" s="65">
        <v>36760</v>
      </c>
      <c r="C2122" t="s">
        <v>1439</v>
      </c>
    </row>
    <row r="2123" spans="2:3" hidden="1" x14ac:dyDescent="0.25">
      <c r="B2123" s="65">
        <v>36759</v>
      </c>
      <c r="C2123" t="s">
        <v>1133</v>
      </c>
    </row>
    <row r="2124" spans="2:3" hidden="1" x14ac:dyDescent="0.25">
      <c r="B2124" s="65">
        <v>36759</v>
      </c>
      <c r="C2124" t="s">
        <v>1292</v>
      </c>
    </row>
    <row r="2125" spans="2:3" hidden="1" x14ac:dyDescent="0.25">
      <c r="B2125" s="65">
        <v>36759</v>
      </c>
      <c r="C2125" t="s">
        <v>1300</v>
      </c>
    </row>
    <row r="2126" spans="2:3" hidden="1" x14ac:dyDescent="0.25">
      <c r="B2126" s="65">
        <v>36759</v>
      </c>
      <c r="C2126" t="s">
        <v>1451</v>
      </c>
    </row>
    <row r="2127" spans="2:3" hidden="1" x14ac:dyDescent="0.25">
      <c r="B2127" s="65">
        <v>36758</v>
      </c>
      <c r="C2127" t="s">
        <v>11602</v>
      </c>
    </row>
    <row r="2128" spans="2:3" hidden="1" x14ac:dyDescent="0.25">
      <c r="B2128" s="65">
        <v>36757</v>
      </c>
      <c r="C2128" t="s">
        <v>8607</v>
      </c>
    </row>
    <row r="2129" spans="2:3" hidden="1" x14ac:dyDescent="0.25">
      <c r="B2129" s="65">
        <v>36756</v>
      </c>
      <c r="C2129" t="s">
        <v>2084</v>
      </c>
    </row>
    <row r="2130" spans="2:3" hidden="1" x14ac:dyDescent="0.25">
      <c r="B2130" s="65">
        <v>36756</v>
      </c>
      <c r="C2130" t="s">
        <v>11651</v>
      </c>
    </row>
    <row r="2131" spans="2:3" hidden="1" x14ac:dyDescent="0.25">
      <c r="B2131" s="65">
        <v>36756</v>
      </c>
      <c r="C2131" t="s">
        <v>1144</v>
      </c>
    </row>
    <row r="2132" spans="2:3" hidden="1" x14ac:dyDescent="0.25">
      <c r="B2132" s="65">
        <v>36754</v>
      </c>
      <c r="C2132" t="s">
        <v>2727</v>
      </c>
    </row>
    <row r="2133" spans="2:3" hidden="1" x14ac:dyDescent="0.25">
      <c r="B2133" s="65">
        <v>36754</v>
      </c>
      <c r="C2133" t="s">
        <v>1700</v>
      </c>
    </row>
    <row r="2134" spans="2:3" hidden="1" x14ac:dyDescent="0.25">
      <c r="B2134" s="65">
        <v>36754</v>
      </c>
      <c r="C2134" t="s">
        <v>2565</v>
      </c>
    </row>
    <row r="2135" spans="2:3" hidden="1" x14ac:dyDescent="0.25">
      <c r="B2135" s="65">
        <v>36752</v>
      </c>
      <c r="C2135" t="s">
        <v>11497</v>
      </c>
    </row>
    <row r="2136" spans="2:3" hidden="1" x14ac:dyDescent="0.25">
      <c r="B2136" s="65">
        <v>36752</v>
      </c>
      <c r="C2136" t="s">
        <v>11680</v>
      </c>
    </row>
    <row r="2137" spans="2:3" hidden="1" x14ac:dyDescent="0.25">
      <c r="B2137" s="65">
        <v>36751</v>
      </c>
      <c r="C2137" t="s">
        <v>11295</v>
      </c>
    </row>
    <row r="2138" spans="2:3" hidden="1" x14ac:dyDescent="0.25">
      <c r="B2138" s="65">
        <v>36751</v>
      </c>
      <c r="C2138" t="s">
        <v>11673</v>
      </c>
    </row>
    <row r="2139" spans="2:3" hidden="1" x14ac:dyDescent="0.25">
      <c r="B2139" s="65">
        <v>36750</v>
      </c>
      <c r="C2139" t="s">
        <v>11355</v>
      </c>
    </row>
    <row r="2140" spans="2:3" hidden="1" x14ac:dyDescent="0.25">
      <c r="B2140" s="65">
        <v>36750</v>
      </c>
      <c r="C2140" t="s">
        <v>11409</v>
      </c>
    </row>
    <row r="2141" spans="2:3" hidden="1" x14ac:dyDescent="0.25">
      <c r="B2141" s="65">
        <v>36748</v>
      </c>
      <c r="C2141" t="s">
        <v>11486</v>
      </c>
    </row>
    <row r="2142" spans="2:3" hidden="1" x14ac:dyDescent="0.25">
      <c r="B2142" s="65">
        <v>36748</v>
      </c>
      <c r="C2142" t="s">
        <v>1507</v>
      </c>
    </row>
    <row r="2143" spans="2:3" hidden="1" x14ac:dyDescent="0.25">
      <c r="B2143" s="65">
        <v>36748</v>
      </c>
      <c r="C2143" t="s">
        <v>11564</v>
      </c>
    </row>
    <row r="2144" spans="2:3" hidden="1" x14ac:dyDescent="0.25">
      <c r="B2144" s="65">
        <v>36748</v>
      </c>
      <c r="C2144" t="s">
        <v>11571</v>
      </c>
    </row>
    <row r="2145" spans="2:3" hidden="1" x14ac:dyDescent="0.25">
      <c r="B2145" s="65">
        <v>36746</v>
      </c>
      <c r="C2145" t="s">
        <v>4135</v>
      </c>
    </row>
    <row r="2146" spans="2:3" hidden="1" x14ac:dyDescent="0.25">
      <c r="B2146" s="65">
        <v>36746</v>
      </c>
      <c r="C2146" t="s">
        <v>7803</v>
      </c>
    </row>
    <row r="2147" spans="2:3" hidden="1" x14ac:dyDescent="0.25">
      <c r="B2147" s="65">
        <v>36745</v>
      </c>
      <c r="C2147" t="s">
        <v>5115</v>
      </c>
    </row>
    <row r="2148" spans="2:3" hidden="1" x14ac:dyDescent="0.25">
      <c r="B2148" s="65">
        <v>36744</v>
      </c>
      <c r="C2148" t="s">
        <v>11607</v>
      </c>
    </row>
    <row r="2149" spans="2:3" hidden="1" x14ac:dyDescent="0.25">
      <c r="B2149" s="65">
        <v>36744</v>
      </c>
      <c r="C2149" t="s">
        <v>11615</v>
      </c>
    </row>
    <row r="2150" spans="2:3" hidden="1" x14ac:dyDescent="0.25">
      <c r="B2150" s="65">
        <v>36743</v>
      </c>
      <c r="C2150" t="s">
        <v>3320</v>
      </c>
    </row>
    <row r="2151" spans="2:3" hidden="1" x14ac:dyDescent="0.25">
      <c r="B2151" s="65">
        <v>36743</v>
      </c>
      <c r="C2151" t="s">
        <v>1395</v>
      </c>
    </row>
    <row r="2152" spans="2:3" hidden="1" x14ac:dyDescent="0.25">
      <c r="B2152" s="65">
        <v>36742</v>
      </c>
      <c r="C2152" t="s">
        <v>6534</v>
      </c>
    </row>
    <row r="2153" spans="2:3" hidden="1" x14ac:dyDescent="0.25">
      <c r="B2153" s="65">
        <v>36741</v>
      </c>
      <c r="C2153" t="s">
        <v>2231</v>
      </c>
    </row>
    <row r="2154" spans="2:3" hidden="1" x14ac:dyDescent="0.25">
      <c r="B2154" s="65">
        <v>36740</v>
      </c>
      <c r="C2154" t="s">
        <v>7535</v>
      </c>
    </row>
    <row r="2155" spans="2:3" hidden="1" x14ac:dyDescent="0.25">
      <c r="B2155" s="65">
        <v>36739</v>
      </c>
      <c r="C2155" t="s">
        <v>8780</v>
      </c>
    </row>
    <row r="2156" spans="2:3" hidden="1" x14ac:dyDescent="0.25">
      <c r="B2156" s="65">
        <v>36739</v>
      </c>
      <c r="C2156" t="s">
        <v>11492</v>
      </c>
    </row>
    <row r="2157" spans="2:3" hidden="1" x14ac:dyDescent="0.25">
      <c r="B2157" s="65">
        <v>36739</v>
      </c>
      <c r="C2157" t="s">
        <v>11637</v>
      </c>
    </row>
    <row r="2158" spans="2:3" hidden="1" x14ac:dyDescent="0.25">
      <c r="B2158" s="65">
        <v>36738</v>
      </c>
      <c r="C2158" t="s">
        <v>10489</v>
      </c>
    </row>
    <row r="2159" spans="2:3" hidden="1" x14ac:dyDescent="0.25">
      <c r="B2159" s="65">
        <v>36738</v>
      </c>
      <c r="C2159" t="s">
        <v>11388</v>
      </c>
    </row>
    <row r="2160" spans="2:3" hidden="1" x14ac:dyDescent="0.25">
      <c r="B2160" s="65">
        <v>36738</v>
      </c>
      <c r="C2160" t="s">
        <v>3842</v>
      </c>
    </row>
    <row r="2161" spans="2:3" hidden="1" x14ac:dyDescent="0.25">
      <c r="B2161" s="65">
        <v>36737</v>
      </c>
      <c r="C2161" t="s">
        <v>11537</v>
      </c>
    </row>
    <row r="2162" spans="2:3" hidden="1" x14ac:dyDescent="0.25">
      <c r="B2162" s="65">
        <v>36736</v>
      </c>
      <c r="C2162" t="s">
        <v>11254</v>
      </c>
    </row>
    <row r="2163" spans="2:3" hidden="1" x14ac:dyDescent="0.25">
      <c r="B2163" s="65">
        <v>36736</v>
      </c>
      <c r="C2163" t="s">
        <v>11558</v>
      </c>
    </row>
    <row r="2164" spans="2:3" hidden="1" x14ac:dyDescent="0.25">
      <c r="B2164" s="65">
        <v>36735</v>
      </c>
      <c r="C2164" t="s">
        <v>2009</v>
      </c>
    </row>
    <row r="2165" spans="2:3" hidden="1" x14ac:dyDescent="0.25">
      <c r="B2165" s="65">
        <v>36735</v>
      </c>
      <c r="C2165" t="s">
        <v>11677</v>
      </c>
    </row>
    <row r="2166" spans="2:3" hidden="1" x14ac:dyDescent="0.25">
      <c r="B2166" s="65">
        <v>36734</v>
      </c>
      <c r="C2166" t="s">
        <v>11319</v>
      </c>
    </row>
    <row r="2167" spans="2:3" hidden="1" x14ac:dyDescent="0.25">
      <c r="B2167" s="65">
        <v>36734</v>
      </c>
      <c r="C2167" t="s">
        <v>11467</v>
      </c>
    </row>
    <row r="2168" spans="2:3" hidden="1" x14ac:dyDescent="0.25">
      <c r="B2168" s="65">
        <v>36734</v>
      </c>
      <c r="C2168" t="s">
        <v>11611</v>
      </c>
    </row>
    <row r="2169" spans="2:3" hidden="1" x14ac:dyDescent="0.25">
      <c r="B2169" s="65">
        <v>36734</v>
      </c>
      <c r="C2169" t="s">
        <v>11621</v>
      </c>
    </row>
    <row r="2170" spans="2:3" hidden="1" x14ac:dyDescent="0.25">
      <c r="B2170" s="65">
        <v>36734</v>
      </c>
      <c r="C2170" t="s">
        <v>8379</v>
      </c>
    </row>
    <row r="2171" spans="2:3" hidden="1" x14ac:dyDescent="0.25">
      <c r="B2171" s="65">
        <v>36732</v>
      </c>
      <c r="C2171" t="s">
        <v>11372</v>
      </c>
    </row>
    <row r="2172" spans="2:3" hidden="1" x14ac:dyDescent="0.25">
      <c r="B2172" s="65">
        <v>36732</v>
      </c>
      <c r="C2172" t="s">
        <v>11646</v>
      </c>
    </row>
    <row r="2173" spans="2:3" hidden="1" x14ac:dyDescent="0.25">
      <c r="B2173" s="65">
        <v>36732</v>
      </c>
      <c r="C2173" t="s">
        <v>11661</v>
      </c>
    </row>
    <row r="2174" spans="2:3" hidden="1" x14ac:dyDescent="0.25">
      <c r="B2174" s="65">
        <v>36732</v>
      </c>
      <c r="C2174" t="s">
        <v>2992</v>
      </c>
    </row>
    <row r="2175" spans="2:3" hidden="1" x14ac:dyDescent="0.25">
      <c r="B2175" s="65">
        <v>36730</v>
      </c>
      <c r="C2175" t="s">
        <v>11344</v>
      </c>
    </row>
    <row r="2176" spans="2:3" hidden="1" x14ac:dyDescent="0.25">
      <c r="B2176" s="65">
        <v>36730</v>
      </c>
      <c r="C2176" t="s">
        <v>1408</v>
      </c>
    </row>
    <row r="2177" spans="2:3" hidden="1" x14ac:dyDescent="0.25">
      <c r="B2177" s="65">
        <v>36729</v>
      </c>
      <c r="C2177" t="s">
        <v>2084</v>
      </c>
    </row>
    <row r="2178" spans="2:3" hidden="1" x14ac:dyDescent="0.25">
      <c r="B2178" s="65">
        <v>36729</v>
      </c>
      <c r="C2178" t="s">
        <v>11669</v>
      </c>
    </row>
    <row r="2179" spans="2:3" hidden="1" x14ac:dyDescent="0.25">
      <c r="B2179" s="65">
        <v>36728</v>
      </c>
      <c r="C2179" t="s">
        <v>8837</v>
      </c>
    </row>
    <row r="2180" spans="2:3" hidden="1" x14ac:dyDescent="0.25">
      <c r="B2180" s="65">
        <v>36727</v>
      </c>
      <c r="C2180" t="s">
        <v>960</v>
      </c>
    </row>
    <row r="2181" spans="2:3" hidden="1" x14ac:dyDescent="0.25">
      <c r="B2181" s="65">
        <v>36726</v>
      </c>
      <c r="C2181" t="s">
        <v>11246</v>
      </c>
    </row>
    <row r="2182" spans="2:3" hidden="1" x14ac:dyDescent="0.25">
      <c r="B2182" s="65">
        <v>36726</v>
      </c>
      <c r="C2182" t="s">
        <v>11279</v>
      </c>
    </row>
    <row r="2183" spans="2:3" hidden="1" x14ac:dyDescent="0.25">
      <c r="B2183" s="65">
        <v>36726</v>
      </c>
      <c r="C2183" t="s">
        <v>11309</v>
      </c>
    </row>
    <row r="2184" spans="2:3" hidden="1" x14ac:dyDescent="0.25">
      <c r="B2184" s="65">
        <v>36726</v>
      </c>
      <c r="C2184" t="s">
        <v>11438</v>
      </c>
    </row>
    <row r="2185" spans="2:3" hidden="1" x14ac:dyDescent="0.25">
      <c r="B2185" s="65">
        <v>36726</v>
      </c>
      <c r="C2185" t="s">
        <v>7298</v>
      </c>
    </row>
    <row r="2186" spans="2:3" hidden="1" x14ac:dyDescent="0.25">
      <c r="B2186" s="65">
        <v>36725</v>
      </c>
      <c r="C2186" t="s">
        <v>3132</v>
      </c>
    </row>
    <row r="2187" spans="2:3" hidden="1" x14ac:dyDescent="0.25">
      <c r="B2187" s="65">
        <v>36725</v>
      </c>
      <c r="C2187" t="s">
        <v>11287</v>
      </c>
    </row>
    <row r="2188" spans="2:3" hidden="1" x14ac:dyDescent="0.25">
      <c r="B2188" s="65">
        <v>36725</v>
      </c>
      <c r="C2188" t="s">
        <v>11335</v>
      </c>
    </row>
    <row r="2189" spans="2:3" hidden="1" x14ac:dyDescent="0.25">
      <c r="B2189" s="65">
        <v>36725</v>
      </c>
      <c r="C2189" t="s">
        <v>11398</v>
      </c>
    </row>
    <row r="2190" spans="2:3" hidden="1" x14ac:dyDescent="0.25">
      <c r="B2190" s="65">
        <v>36724</v>
      </c>
      <c r="C2190" t="s">
        <v>11314</v>
      </c>
    </row>
    <row r="2191" spans="2:3" hidden="1" x14ac:dyDescent="0.25">
      <c r="B2191" s="65">
        <v>36723</v>
      </c>
      <c r="C2191" t="s">
        <v>11348</v>
      </c>
    </row>
    <row r="2192" spans="2:3" hidden="1" x14ac:dyDescent="0.25">
      <c r="B2192" s="65">
        <v>36723</v>
      </c>
      <c r="C2192" t="s">
        <v>11453</v>
      </c>
    </row>
    <row r="2193" spans="2:3" hidden="1" x14ac:dyDescent="0.25">
      <c r="B2193" s="65">
        <v>36723</v>
      </c>
      <c r="C2193" t="s">
        <v>10388</v>
      </c>
    </row>
    <row r="2194" spans="2:3" hidden="1" x14ac:dyDescent="0.25">
      <c r="B2194" s="65">
        <v>36722</v>
      </c>
      <c r="C2194" t="s">
        <v>11300</v>
      </c>
    </row>
    <row r="2195" spans="2:3" hidden="1" x14ac:dyDescent="0.25">
      <c r="B2195" s="65">
        <v>36722</v>
      </c>
      <c r="C2195" t="s">
        <v>2891</v>
      </c>
    </row>
    <row r="2196" spans="2:3" hidden="1" x14ac:dyDescent="0.25">
      <c r="B2196" s="65">
        <v>36722</v>
      </c>
      <c r="C2196" t="s">
        <v>11430</v>
      </c>
    </row>
    <row r="2197" spans="2:3" hidden="1" x14ac:dyDescent="0.25">
      <c r="B2197" s="65">
        <v>36721</v>
      </c>
      <c r="C2197" t="s">
        <v>2286</v>
      </c>
    </row>
    <row r="2198" spans="2:3" hidden="1" x14ac:dyDescent="0.25">
      <c r="B2198" s="65">
        <v>36720</v>
      </c>
      <c r="C2198" t="s">
        <v>11579</v>
      </c>
    </row>
    <row r="2199" spans="2:3" hidden="1" x14ac:dyDescent="0.25">
      <c r="B2199" s="65">
        <v>36720</v>
      </c>
      <c r="C2199" t="s">
        <v>2795</v>
      </c>
    </row>
    <row r="2200" spans="2:3" hidden="1" x14ac:dyDescent="0.25">
      <c r="B2200" s="65">
        <v>36719</v>
      </c>
      <c r="C2200" t="s">
        <v>11379</v>
      </c>
    </row>
    <row r="2201" spans="2:3" hidden="1" x14ac:dyDescent="0.25">
      <c r="B2201" s="65">
        <v>36718</v>
      </c>
      <c r="C2201" t="s">
        <v>11441</v>
      </c>
    </row>
    <row r="2202" spans="2:3" hidden="1" x14ac:dyDescent="0.25">
      <c r="B2202" s="65">
        <v>36718</v>
      </c>
      <c r="C2202" t="s">
        <v>11585</v>
      </c>
    </row>
    <row r="2203" spans="2:3" hidden="1" x14ac:dyDescent="0.25">
      <c r="B2203" s="65">
        <v>36717</v>
      </c>
      <c r="C2203" t="s">
        <v>2795</v>
      </c>
    </row>
    <row r="2204" spans="2:3" hidden="1" x14ac:dyDescent="0.25">
      <c r="B2204" s="65">
        <v>36717</v>
      </c>
      <c r="C2204" t="s">
        <v>11656</v>
      </c>
    </row>
    <row r="2205" spans="2:3" hidden="1" x14ac:dyDescent="0.25">
      <c r="B2205" s="65">
        <v>36716</v>
      </c>
      <c r="C2205" t="s">
        <v>11445</v>
      </c>
    </row>
    <row r="2206" spans="2:3" hidden="1" x14ac:dyDescent="0.25">
      <c r="B2206" s="65">
        <v>36716</v>
      </c>
      <c r="C2206" t="s">
        <v>11512</v>
      </c>
    </row>
    <row r="2207" spans="2:3" hidden="1" x14ac:dyDescent="0.25">
      <c r="B2207" s="65">
        <v>36716</v>
      </c>
      <c r="C2207" t="s">
        <v>4583</v>
      </c>
    </row>
    <row r="2208" spans="2:3" hidden="1" x14ac:dyDescent="0.25">
      <c r="B2208" s="65">
        <v>36715</v>
      </c>
      <c r="C2208" t="s">
        <v>3842</v>
      </c>
    </row>
    <row r="2209" spans="2:3" hidden="1" x14ac:dyDescent="0.25">
      <c r="B2209" s="65">
        <v>36714</v>
      </c>
      <c r="C2209" t="s">
        <v>598</v>
      </c>
    </row>
    <row r="2210" spans="2:3" hidden="1" x14ac:dyDescent="0.25">
      <c r="B2210" s="65">
        <v>36714</v>
      </c>
      <c r="C2210" t="s">
        <v>6576</v>
      </c>
    </row>
    <row r="2211" spans="2:3" hidden="1" x14ac:dyDescent="0.25">
      <c r="B2211" s="65">
        <v>36713</v>
      </c>
      <c r="C2211" t="s">
        <v>3922</v>
      </c>
    </row>
    <row r="2212" spans="2:3" hidden="1" x14ac:dyDescent="0.25">
      <c r="B2212" s="65">
        <v>36713</v>
      </c>
      <c r="C2212" t="s">
        <v>11461</v>
      </c>
    </row>
    <row r="2213" spans="2:3" hidden="1" x14ac:dyDescent="0.25">
      <c r="B2213" s="65">
        <v>36713</v>
      </c>
      <c r="C2213" t="s">
        <v>11504</v>
      </c>
    </row>
    <row r="2214" spans="2:3" hidden="1" x14ac:dyDescent="0.25">
      <c r="B2214" s="65">
        <v>36713</v>
      </c>
      <c r="C2214" t="s">
        <v>11533</v>
      </c>
    </row>
    <row r="2215" spans="2:3" hidden="1" x14ac:dyDescent="0.25">
      <c r="B2215" s="65">
        <v>36713</v>
      </c>
      <c r="C2215" t="s">
        <v>1174</v>
      </c>
    </row>
    <row r="2216" spans="2:3" hidden="1" x14ac:dyDescent="0.25">
      <c r="B2216" s="65">
        <v>36712</v>
      </c>
      <c r="C2216" t="s">
        <v>10092</v>
      </c>
    </row>
    <row r="2217" spans="2:3" hidden="1" x14ac:dyDescent="0.25">
      <c r="B2217" s="65">
        <v>36712</v>
      </c>
      <c r="C2217" t="s">
        <v>11627</v>
      </c>
    </row>
    <row r="2218" spans="2:3" hidden="1" x14ac:dyDescent="0.25">
      <c r="B2218" s="65">
        <v>36711</v>
      </c>
      <c r="C2218" t="s">
        <v>11419</v>
      </c>
    </row>
    <row r="2219" spans="2:3" hidden="1" x14ac:dyDescent="0.25">
      <c r="B2219" s="65">
        <v>36710</v>
      </c>
      <c r="C2219" t="s">
        <v>11305</v>
      </c>
    </row>
    <row r="2220" spans="2:3" hidden="1" x14ac:dyDescent="0.25">
      <c r="B2220" s="65">
        <v>36709</v>
      </c>
      <c r="C2220" t="s">
        <v>7930</v>
      </c>
    </row>
    <row r="2221" spans="2:3" hidden="1" x14ac:dyDescent="0.25">
      <c r="B2221" s="65">
        <v>36709</v>
      </c>
      <c r="C2221" t="s">
        <v>11590</v>
      </c>
    </row>
    <row r="2222" spans="2:3" hidden="1" x14ac:dyDescent="0.25">
      <c r="B2222" s="65">
        <v>36709</v>
      </c>
      <c r="C2222" t="s">
        <v>2759</v>
      </c>
    </row>
    <row r="2223" spans="2:3" hidden="1" x14ac:dyDescent="0.25">
      <c r="B2223" s="65">
        <v>36708</v>
      </c>
      <c r="C2223" t="s">
        <v>11402</v>
      </c>
    </row>
    <row r="2224" spans="2:3" hidden="1" x14ac:dyDescent="0.25">
      <c r="B2224" s="65">
        <v>36708</v>
      </c>
      <c r="C2224" t="s">
        <v>11664</v>
      </c>
    </row>
    <row r="2225" spans="2:3" hidden="1" x14ac:dyDescent="0.25">
      <c r="B2225" s="65">
        <v>36707</v>
      </c>
      <c r="C2225" t="s">
        <v>394</v>
      </c>
    </row>
    <row r="2226" spans="2:3" hidden="1" x14ac:dyDescent="0.25">
      <c r="B2226" s="65">
        <v>36707</v>
      </c>
      <c r="C2226" t="s">
        <v>11265</v>
      </c>
    </row>
    <row r="2227" spans="2:3" hidden="1" x14ac:dyDescent="0.25">
      <c r="B2227" s="65">
        <v>36707</v>
      </c>
      <c r="C2227" t="s">
        <v>11331</v>
      </c>
    </row>
    <row r="2228" spans="2:3" hidden="1" x14ac:dyDescent="0.25">
      <c r="B2228" s="65">
        <v>36707</v>
      </c>
      <c r="C2228" t="s">
        <v>11567</v>
      </c>
    </row>
    <row r="2229" spans="2:3" hidden="1" x14ac:dyDescent="0.25">
      <c r="B2229" s="65">
        <v>36706</v>
      </c>
      <c r="C2229" t="s">
        <v>11367</v>
      </c>
    </row>
    <row r="2230" spans="2:3" hidden="1" x14ac:dyDescent="0.25">
      <c r="B2230" s="65">
        <v>36706</v>
      </c>
      <c r="C2230" t="s">
        <v>11393</v>
      </c>
    </row>
    <row r="2231" spans="2:3" hidden="1" x14ac:dyDescent="0.25">
      <c r="B2231" s="65">
        <v>36705</v>
      </c>
      <c r="C2231" t="s">
        <v>3401</v>
      </c>
    </row>
    <row r="2232" spans="2:3" hidden="1" x14ac:dyDescent="0.25">
      <c r="B2232" s="65">
        <v>36703</v>
      </c>
      <c r="C2232" t="s">
        <v>11361</v>
      </c>
    </row>
    <row r="2233" spans="2:3" hidden="1" x14ac:dyDescent="0.25">
      <c r="B2233" s="65">
        <v>36703</v>
      </c>
      <c r="C2233" t="s">
        <v>11516</v>
      </c>
    </row>
    <row r="2234" spans="2:3" hidden="1" x14ac:dyDescent="0.25">
      <c r="B2234" s="65">
        <v>36703</v>
      </c>
      <c r="C2234" t="s">
        <v>3401</v>
      </c>
    </row>
    <row r="2235" spans="2:3" hidden="1" x14ac:dyDescent="0.25">
      <c r="B2235" s="65">
        <v>36702</v>
      </c>
      <c r="C2235" t="s">
        <v>11508</v>
      </c>
    </row>
    <row r="2236" spans="2:3" hidden="1" x14ac:dyDescent="0.25">
      <c r="B2236" s="65">
        <v>36700</v>
      </c>
      <c r="C2236" t="s">
        <v>11290</v>
      </c>
    </row>
    <row r="2237" spans="2:3" hidden="1" x14ac:dyDescent="0.25">
      <c r="B2237" s="65">
        <v>36700</v>
      </c>
      <c r="C2237" t="s">
        <v>11427</v>
      </c>
    </row>
    <row r="2238" spans="2:3" hidden="1" x14ac:dyDescent="0.25">
      <c r="B2238" s="65">
        <v>36699</v>
      </c>
      <c r="C2238" t="s">
        <v>11472</v>
      </c>
    </row>
    <row r="2239" spans="2:3" hidden="1" x14ac:dyDescent="0.25">
      <c r="B2239" s="65">
        <v>36698</v>
      </c>
      <c r="C2239" t="s">
        <v>11323</v>
      </c>
    </row>
    <row r="2240" spans="2:3" hidden="1" x14ac:dyDescent="0.25">
      <c r="B2240" s="65">
        <v>36698</v>
      </c>
      <c r="C2240" t="s">
        <v>11423</v>
      </c>
    </row>
    <row r="2241" spans="2:3" hidden="1" x14ac:dyDescent="0.25">
      <c r="B2241" s="65">
        <v>36698</v>
      </c>
      <c r="C2241" t="s">
        <v>2542</v>
      </c>
    </row>
    <row r="2242" spans="2:3" hidden="1" x14ac:dyDescent="0.25">
      <c r="B2242" s="65">
        <v>36697</v>
      </c>
      <c r="C2242" t="s">
        <v>537</v>
      </c>
    </row>
    <row r="2243" spans="2:3" hidden="1" x14ac:dyDescent="0.25">
      <c r="B2243" s="65">
        <v>36697</v>
      </c>
      <c r="C2243" t="s">
        <v>11202</v>
      </c>
    </row>
    <row r="2244" spans="2:3" hidden="1" x14ac:dyDescent="0.25">
      <c r="B2244" s="65">
        <v>36696</v>
      </c>
      <c r="C2244" t="s">
        <v>11070</v>
      </c>
    </row>
    <row r="2245" spans="2:3" hidden="1" x14ac:dyDescent="0.25">
      <c r="B2245" s="65">
        <v>36695</v>
      </c>
      <c r="C2245" t="s">
        <v>11121</v>
      </c>
    </row>
    <row r="2246" spans="2:3" hidden="1" x14ac:dyDescent="0.25">
      <c r="B2246" s="65">
        <v>36695</v>
      </c>
      <c r="C2246" t="s">
        <v>11130</v>
      </c>
    </row>
    <row r="2247" spans="2:3" hidden="1" x14ac:dyDescent="0.25">
      <c r="B2247" s="65">
        <v>36694</v>
      </c>
      <c r="C2247" t="s">
        <v>11100</v>
      </c>
    </row>
    <row r="2248" spans="2:3" hidden="1" x14ac:dyDescent="0.25">
      <c r="B2248" s="65">
        <v>36694</v>
      </c>
      <c r="C2248" t="s">
        <v>11149</v>
      </c>
    </row>
    <row r="2249" spans="2:3" hidden="1" x14ac:dyDescent="0.25">
      <c r="B2249" s="65">
        <v>36693</v>
      </c>
      <c r="C2249" t="s">
        <v>2290</v>
      </c>
    </row>
    <row r="2250" spans="2:3" hidden="1" x14ac:dyDescent="0.25">
      <c r="B2250" s="65">
        <v>36692</v>
      </c>
      <c r="C2250" t="s">
        <v>9541</v>
      </c>
    </row>
    <row r="2251" spans="2:3" hidden="1" x14ac:dyDescent="0.25">
      <c r="B2251" s="65">
        <v>36692</v>
      </c>
      <c r="C2251" t="s">
        <v>11154</v>
      </c>
    </row>
    <row r="2252" spans="2:3" hidden="1" x14ac:dyDescent="0.25">
      <c r="B2252" s="65">
        <v>36692</v>
      </c>
      <c r="C2252" t="s">
        <v>11186</v>
      </c>
    </row>
    <row r="2253" spans="2:3" hidden="1" x14ac:dyDescent="0.25">
      <c r="B2253" s="65">
        <v>36692</v>
      </c>
      <c r="C2253" t="s">
        <v>1949</v>
      </c>
    </row>
    <row r="2254" spans="2:3" hidden="1" x14ac:dyDescent="0.25">
      <c r="B2254" s="65">
        <v>36692</v>
      </c>
      <c r="C2254" t="s">
        <v>7529</v>
      </c>
    </row>
    <row r="2255" spans="2:3" hidden="1" x14ac:dyDescent="0.25">
      <c r="B2255" s="65">
        <v>36691</v>
      </c>
      <c r="C2255" t="s">
        <v>11045</v>
      </c>
    </row>
    <row r="2256" spans="2:3" hidden="1" x14ac:dyDescent="0.25">
      <c r="B2256" s="65">
        <v>36691</v>
      </c>
      <c r="C2256" t="s">
        <v>11059</v>
      </c>
    </row>
    <row r="2257" spans="2:3" hidden="1" x14ac:dyDescent="0.25">
      <c r="B2257" s="65">
        <v>36691</v>
      </c>
      <c r="C2257" t="s">
        <v>11133</v>
      </c>
    </row>
    <row r="2258" spans="2:3" hidden="1" x14ac:dyDescent="0.25">
      <c r="B2258" s="65">
        <v>36691</v>
      </c>
      <c r="C2258" t="s">
        <v>11168</v>
      </c>
    </row>
    <row r="2259" spans="2:3" hidden="1" x14ac:dyDescent="0.25">
      <c r="B2259" s="65">
        <v>36691</v>
      </c>
      <c r="C2259" t="s">
        <v>11182</v>
      </c>
    </row>
    <row r="2260" spans="2:3" hidden="1" x14ac:dyDescent="0.25">
      <c r="B2260" s="65">
        <v>36691</v>
      </c>
      <c r="C2260" t="s">
        <v>11227</v>
      </c>
    </row>
    <row r="2261" spans="2:3" hidden="1" x14ac:dyDescent="0.25">
      <c r="B2261" s="65">
        <v>36691</v>
      </c>
      <c r="C2261" t="s">
        <v>11242</v>
      </c>
    </row>
    <row r="2262" spans="2:3" hidden="1" x14ac:dyDescent="0.25">
      <c r="B2262" s="65">
        <v>36690</v>
      </c>
      <c r="C2262" t="s">
        <v>11096</v>
      </c>
    </row>
    <row r="2263" spans="2:3" hidden="1" x14ac:dyDescent="0.25">
      <c r="B2263" s="65">
        <v>36690</v>
      </c>
      <c r="C2263" t="s">
        <v>11112</v>
      </c>
    </row>
    <row r="2264" spans="2:3" hidden="1" x14ac:dyDescent="0.25">
      <c r="B2264" s="65">
        <v>36688</v>
      </c>
      <c r="C2264" t="s">
        <v>11051</v>
      </c>
    </row>
    <row r="2265" spans="2:3" hidden="1" x14ac:dyDescent="0.25">
      <c r="B2265" s="65">
        <v>36688</v>
      </c>
      <c r="C2265" t="s">
        <v>849</v>
      </c>
    </row>
    <row r="2266" spans="2:3" hidden="1" x14ac:dyDescent="0.25">
      <c r="B2266" s="65">
        <v>36688</v>
      </c>
      <c r="C2266" t="s">
        <v>11237</v>
      </c>
    </row>
    <row r="2267" spans="2:3" hidden="1" x14ac:dyDescent="0.25">
      <c r="B2267" s="65">
        <v>36687</v>
      </c>
      <c r="C2267" t="s">
        <v>954</v>
      </c>
    </row>
    <row r="2268" spans="2:3" hidden="1" x14ac:dyDescent="0.25">
      <c r="B2268" s="65">
        <v>36687</v>
      </c>
      <c r="C2268" t="s">
        <v>11125</v>
      </c>
    </row>
    <row r="2269" spans="2:3" hidden="1" x14ac:dyDescent="0.25">
      <c r="B2269" s="65">
        <v>36686</v>
      </c>
      <c r="C2269" t="s">
        <v>4157</v>
      </c>
    </row>
    <row r="2270" spans="2:3" hidden="1" x14ac:dyDescent="0.25">
      <c r="B2270" s="65">
        <v>36686</v>
      </c>
      <c r="C2270" t="s">
        <v>11190</v>
      </c>
    </row>
    <row r="2271" spans="2:3" hidden="1" x14ac:dyDescent="0.25">
      <c r="B2271" s="65">
        <v>36686</v>
      </c>
      <c r="C2271" t="s">
        <v>8030</v>
      </c>
    </row>
    <row r="2272" spans="2:3" hidden="1" x14ac:dyDescent="0.25">
      <c r="B2272" s="65">
        <v>36686</v>
      </c>
      <c r="C2272" t="s">
        <v>11213</v>
      </c>
    </row>
    <row r="2273" spans="2:3" hidden="1" x14ac:dyDescent="0.25">
      <c r="B2273" s="65">
        <v>36686</v>
      </c>
      <c r="C2273" t="s">
        <v>6243</v>
      </c>
    </row>
    <row r="2274" spans="2:3" hidden="1" x14ac:dyDescent="0.25">
      <c r="B2274" s="65">
        <v>36685</v>
      </c>
      <c r="C2274" t="s">
        <v>11205</v>
      </c>
    </row>
    <row r="2275" spans="2:3" hidden="1" x14ac:dyDescent="0.25">
      <c r="B2275" s="65">
        <v>36684</v>
      </c>
      <c r="C2275" t="s">
        <v>11138</v>
      </c>
    </row>
    <row r="2276" spans="2:3" hidden="1" x14ac:dyDescent="0.25">
      <c r="B2276" s="65">
        <v>36683</v>
      </c>
      <c r="C2276" t="s">
        <v>11066</v>
      </c>
    </row>
    <row r="2277" spans="2:3" hidden="1" x14ac:dyDescent="0.25">
      <c r="B2277" s="65">
        <v>36683</v>
      </c>
      <c r="C2277" t="s">
        <v>11093</v>
      </c>
    </row>
    <row r="2278" spans="2:3" hidden="1" x14ac:dyDescent="0.25">
      <c r="B2278" s="65">
        <v>36683</v>
      </c>
      <c r="C2278" t="s">
        <v>7037</v>
      </c>
    </row>
    <row r="2279" spans="2:3" hidden="1" x14ac:dyDescent="0.25">
      <c r="B2279" s="65">
        <v>36683</v>
      </c>
      <c r="C2279" t="s">
        <v>11173</v>
      </c>
    </row>
    <row r="2280" spans="2:3" hidden="1" x14ac:dyDescent="0.25">
      <c r="B2280" s="65">
        <v>36683</v>
      </c>
      <c r="C2280" t="s">
        <v>11178</v>
      </c>
    </row>
    <row r="2281" spans="2:3" hidden="1" x14ac:dyDescent="0.25">
      <c r="B2281" s="65">
        <v>36683</v>
      </c>
      <c r="C2281" t="s">
        <v>9029</v>
      </c>
    </row>
    <row r="2282" spans="2:3" hidden="1" x14ac:dyDescent="0.25">
      <c r="B2282" s="65">
        <v>36680</v>
      </c>
      <c r="C2282" t="s">
        <v>11075</v>
      </c>
    </row>
    <row r="2283" spans="2:3" hidden="1" x14ac:dyDescent="0.25">
      <c r="B2283" s="65">
        <v>36678</v>
      </c>
      <c r="C2283" t="s">
        <v>11117</v>
      </c>
    </row>
    <row r="2284" spans="2:3" hidden="1" x14ac:dyDescent="0.25">
      <c r="B2284" s="65">
        <v>36677</v>
      </c>
      <c r="C2284" t="s">
        <v>6552</v>
      </c>
    </row>
    <row r="2285" spans="2:3" hidden="1" x14ac:dyDescent="0.25">
      <c r="B2285" s="65">
        <v>36677</v>
      </c>
      <c r="C2285" t="s">
        <v>11217</v>
      </c>
    </row>
    <row r="2286" spans="2:3" hidden="1" x14ac:dyDescent="0.25">
      <c r="B2286" s="65">
        <v>36675</v>
      </c>
      <c r="C2286" t="s">
        <v>5802</v>
      </c>
    </row>
    <row r="2287" spans="2:3" hidden="1" x14ac:dyDescent="0.25">
      <c r="B2287" s="65">
        <v>36675</v>
      </c>
      <c r="C2287" t="s">
        <v>4966</v>
      </c>
    </row>
    <row r="2288" spans="2:3" hidden="1" x14ac:dyDescent="0.25">
      <c r="B2288" s="65">
        <v>36675</v>
      </c>
      <c r="C2288" t="s">
        <v>11162</v>
      </c>
    </row>
    <row r="2289" spans="2:3" hidden="1" x14ac:dyDescent="0.25">
      <c r="B2289" s="65">
        <v>36675</v>
      </c>
      <c r="C2289" t="s">
        <v>11194</v>
      </c>
    </row>
    <row r="2290" spans="2:3" hidden="1" x14ac:dyDescent="0.25">
      <c r="B2290" s="65">
        <v>36674</v>
      </c>
      <c r="C2290" t="s">
        <v>11055</v>
      </c>
    </row>
    <row r="2291" spans="2:3" hidden="1" x14ac:dyDescent="0.25">
      <c r="B2291" s="65">
        <v>36674</v>
      </c>
      <c r="C2291" t="s">
        <v>11079</v>
      </c>
    </row>
    <row r="2292" spans="2:3" hidden="1" x14ac:dyDescent="0.25">
      <c r="B2292" s="65">
        <v>36674</v>
      </c>
      <c r="C2292" t="s">
        <v>11085</v>
      </c>
    </row>
    <row r="2293" spans="2:3" hidden="1" x14ac:dyDescent="0.25">
      <c r="B2293" s="65">
        <v>36673</v>
      </c>
      <c r="C2293" t="s">
        <v>11221</v>
      </c>
    </row>
    <row r="2294" spans="2:3" hidden="1" x14ac:dyDescent="0.25">
      <c r="B2294" s="65">
        <v>36672</v>
      </c>
      <c r="C2294" t="s">
        <v>681</v>
      </c>
    </row>
    <row r="2295" spans="2:3" hidden="1" x14ac:dyDescent="0.25">
      <c r="B2295" s="65">
        <v>36672</v>
      </c>
      <c r="C2295" t="s">
        <v>10925</v>
      </c>
    </row>
    <row r="2296" spans="2:3" hidden="1" x14ac:dyDescent="0.25">
      <c r="B2296" s="65">
        <v>36672</v>
      </c>
      <c r="C2296" t="s">
        <v>11034</v>
      </c>
    </row>
    <row r="2297" spans="2:3" hidden="1" x14ac:dyDescent="0.25">
      <c r="B2297" s="65">
        <v>36671</v>
      </c>
      <c r="C2297" t="s">
        <v>10940</v>
      </c>
    </row>
    <row r="2298" spans="2:3" hidden="1" x14ac:dyDescent="0.25">
      <c r="B2298" s="65">
        <v>36671</v>
      </c>
      <c r="C2298" t="s">
        <v>10968</v>
      </c>
    </row>
    <row r="2299" spans="2:3" hidden="1" x14ac:dyDescent="0.25">
      <c r="B2299" s="65">
        <v>36671</v>
      </c>
      <c r="C2299" t="s">
        <v>10974</v>
      </c>
    </row>
    <row r="2300" spans="2:3" hidden="1" x14ac:dyDescent="0.25">
      <c r="B2300" s="65">
        <v>36671</v>
      </c>
      <c r="C2300" t="s">
        <v>2727</v>
      </c>
    </row>
    <row r="2301" spans="2:3" hidden="1" x14ac:dyDescent="0.25">
      <c r="B2301" s="65">
        <v>36671</v>
      </c>
      <c r="C2301" t="s">
        <v>11020</v>
      </c>
    </row>
    <row r="2302" spans="2:3" hidden="1" x14ac:dyDescent="0.25">
      <c r="B2302" s="65">
        <v>36671</v>
      </c>
      <c r="C2302" t="s">
        <v>11029</v>
      </c>
    </row>
    <row r="2303" spans="2:3" hidden="1" x14ac:dyDescent="0.25">
      <c r="B2303" s="65">
        <v>36671</v>
      </c>
      <c r="C2303" t="s">
        <v>11038</v>
      </c>
    </row>
    <row r="2304" spans="2:3" hidden="1" x14ac:dyDescent="0.25">
      <c r="B2304" s="65">
        <v>36670</v>
      </c>
      <c r="C2304" t="s">
        <v>10915</v>
      </c>
    </row>
    <row r="2305" spans="2:3" hidden="1" x14ac:dyDescent="0.25">
      <c r="B2305" s="65">
        <v>36670</v>
      </c>
      <c r="C2305" t="s">
        <v>10958</v>
      </c>
    </row>
    <row r="2306" spans="2:3" hidden="1" x14ac:dyDescent="0.25">
      <c r="B2306" s="65">
        <v>36669</v>
      </c>
      <c r="C2306" t="s">
        <v>3368</v>
      </c>
    </row>
    <row r="2307" spans="2:3" hidden="1" x14ac:dyDescent="0.25">
      <c r="B2307" s="65">
        <v>36669</v>
      </c>
      <c r="C2307" t="s">
        <v>10999</v>
      </c>
    </row>
    <row r="2308" spans="2:3" hidden="1" x14ac:dyDescent="0.25">
      <c r="B2308" s="65">
        <v>36668</v>
      </c>
      <c r="C2308" t="s">
        <v>10902</v>
      </c>
    </row>
    <row r="2309" spans="2:3" hidden="1" x14ac:dyDescent="0.25">
      <c r="B2309" s="65">
        <v>36668</v>
      </c>
      <c r="C2309" t="s">
        <v>184</v>
      </c>
    </row>
    <row r="2310" spans="2:3" hidden="1" x14ac:dyDescent="0.25">
      <c r="B2310" s="65">
        <v>36666</v>
      </c>
      <c r="C2310" t="s">
        <v>10929</v>
      </c>
    </row>
    <row r="2311" spans="2:3" hidden="1" x14ac:dyDescent="0.25">
      <c r="B2311" s="65">
        <v>36666</v>
      </c>
      <c r="C2311" t="s">
        <v>8250</v>
      </c>
    </row>
    <row r="2312" spans="2:3" hidden="1" x14ac:dyDescent="0.25">
      <c r="B2312" s="65">
        <v>36666</v>
      </c>
      <c r="C2312" t="s">
        <v>10944</v>
      </c>
    </row>
    <row r="2313" spans="2:3" hidden="1" x14ac:dyDescent="0.25">
      <c r="B2313" s="65">
        <v>36666</v>
      </c>
      <c r="C2313" t="s">
        <v>10948</v>
      </c>
    </row>
    <row r="2314" spans="2:3" hidden="1" x14ac:dyDescent="0.25">
      <c r="B2314" s="65">
        <v>36665</v>
      </c>
      <c r="C2314" t="s">
        <v>3615</v>
      </c>
    </row>
    <row r="2315" spans="2:3" hidden="1" x14ac:dyDescent="0.25">
      <c r="B2315" s="65">
        <v>36665</v>
      </c>
      <c r="C2315" t="s">
        <v>10953</v>
      </c>
    </row>
    <row r="2316" spans="2:3" hidden="1" x14ac:dyDescent="0.25">
      <c r="B2316" s="65">
        <v>36665</v>
      </c>
      <c r="C2316" t="s">
        <v>11016</v>
      </c>
    </row>
    <row r="2317" spans="2:3" hidden="1" x14ac:dyDescent="0.25">
      <c r="B2317" s="65">
        <v>36663</v>
      </c>
      <c r="C2317" t="s">
        <v>6607</v>
      </c>
    </row>
    <row r="2318" spans="2:3" hidden="1" x14ac:dyDescent="0.25">
      <c r="B2318" s="65">
        <v>36663</v>
      </c>
      <c r="C2318" t="s">
        <v>11025</v>
      </c>
    </row>
    <row r="2319" spans="2:3" hidden="1" x14ac:dyDescent="0.25">
      <c r="B2319" s="65">
        <v>36662</v>
      </c>
      <c r="C2319" t="s">
        <v>8567</v>
      </c>
    </row>
    <row r="2320" spans="2:3" hidden="1" x14ac:dyDescent="0.25">
      <c r="B2320" s="65">
        <v>36661</v>
      </c>
      <c r="C2320" t="s">
        <v>10920</v>
      </c>
    </row>
    <row r="2321" spans="2:3" hidden="1" x14ac:dyDescent="0.25">
      <c r="B2321" s="65">
        <v>36661</v>
      </c>
      <c r="C2321" t="s">
        <v>6590</v>
      </c>
    </row>
    <row r="2322" spans="2:3" hidden="1" x14ac:dyDescent="0.25">
      <c r="B2322" s="65">
        <v>36661</v>
      </c>
      <c r="C2322" t="s">
        <v>10986</v>
      </c>
    </row>
    <row r="2323" spans="2:3" hidden="1" x14ac:dyDescent="0.25">
      <c r="B2323" s="65">
        <v>36661</v>
      </c>
      <c r="C2323" t="s">
        <v>11002</v>
      </c>
    </row>
    <row r="2324" spans="2:3" hidden="1" x14ac:dyDescent="0.25">
      <c r="B2324" s="65">
        <v>36660</v>
      </c>
      <c r="C2324" t="s">
        <v>10964</v>
      </c>
    </row>
    <row r="2325" spans="2:3" hidden="1" x14ac:dyDescent="0.25">
      <c r="B2325" s="65">
        <v>36660</v>
      </c>
      <c r="C2325" t="s">
        <v>10992</v>
      </c>
    </row>
    <row r="2326" spans="2:3" hidden="1" x14ac:dyDescent="0.25">
      <c r="B2326" s="65">
        <v>36659</v>
      </c>
      <c r="C2326" t="s">
        <v>10980</v>
      </c>
    </row>
    <row r="2327" spans="2:3" hidden="1" x14ac:dyDescent="0.25">
      <c r="B2327" s="65">
        <v>36658</v>
      </c>
      <c r="C2327" t="s">
        <v>163</v>
      </c>
    </row>
    <row r="2328" spans="2:3" hidden="1" x14ac:dyDescent="0.25">
      <c r="B2328" s="65">
        <v>36658</v>
      </c>
      <c r="C2328" t="s">
        <v>3422</v>
      </c>
    </row>
    <row r="2329" spans="2:3" hidden="1" x14ac:dyDescent="0.25">
      <c r="B2329" s="65">
        <v>36658</v>
      </c>
      <c r="C2329" t="s">
        <v>954</v>
      </c>
    </row>
    <row r="2330" spans="2:3" hidden="1" x14ac:dyDescent="0.25">
      <c r="B2330" s="65">
        <v>36657</v>
      </c>
      <c r="C2330" t="s">
        <v>10583</v>
      </c>
    </row>
    <row r="2331" spans="2:3" hidden="1" x14ac:dyDescent="0.25">
      <c r="B2331" s="65">
        <v>36657</v>
      </c>
      <c r="C2331" t="s">
        <v>5020</v>
      </c>
    </row>
    <row r="2332" spans="2:3" hidden="1" x14ac:dyDescent="0.25">
      <c r="B2332" s="65">
        <v>36657</v>
      </c>
      <c r="C2332" t="s">
        <v>1922</v>
      </c>
    </row>
    <row r="2333" spans="2:3" hidden="1" x14ac:dyDescent="0.25">
      <c r="B2333" s="65">
        <v>36656</v>
      </c>
      <c r="C2333" t="s">
        <v>10570</v>
      </c>
    </row>
    <row r="2334" spans="2:3" hidden="1" x14ac:dyDescent="0.25">
      <c r="B2334" s="65">
        <v>36656</v>
      </c>
      <c r="C2334" t="s">
        <v>10654</v>
      </c>
    </row>
    <row r="2335" spans="2:3" hidden="1" x14ac:dyDescent="0.25">
      <c r="B2335" s="65">
        <v>36656</v>
      </c>
      <c r="C2335" t="s">
        <v>10684</v>
      </c>
    </row>
    <row r="2336" spans="2:3" hidden="1" x14ac:dyDescent="0.25">
      <c r="B2336" s="65">
        <v>36654</v>
      </c>
      <c r="C2336" t="s">
        <v>10556</v>
      </c>
    </row>
    <row r="2337" spans="2:3" hidden="1" x14ac:dyDescent="0.25">
      <c r="B2337" s="65">
        <v>36654</v>
      </c>
      <c r="C2337" t="s">
        <v>2231</v>
      </c>
    </row>
    <row r="2338" spans="2:3" hidden="1" x14ac:dyDescent="0.25">
      <c r="B2338" s="65">
        <v>36653</v>
      </c>
      <c r="C2338" t="s">
        <v>4237</v>
      </c>
    </row>
    <row r="2339" spans="2:3" hidden="1" x14ac:dyDescent="0.25">
      <c r="B2339" s="65">
        <v>36653</v>
      </c>
      <c r="C2339" t="s">
        <v>485</v>
      </c>
    </row>
    <row r="2340" spans="2:3" hidden="1" x14ac:dyDescent="0.25">
      <c r="B2340" s="65">
        <v>36652</v>
      </c>
      <c r="C2340" t="s">
        <v>10725</v>
      </c>
    </row>
    <row r="2341" spans="2:3" hidden="1" x14ac:dyDescent="0.25">
      <c r="B2341" s="65">
        <v>36651</v>
      </c>
      <c r="C2341" t="s">
        <v>10711</v>
      </c>
    </row>
    <row r="2342" spans="2:3" hidden="1" x14ac:dyDescent="0.25">
      <c r="B2342" s="65">
        <v>36650</v>
      </c>
      <c r="C2342" t="s">
        <v>8815</v>
      </c>
    </row>
    <row r="2343" spans="2:3" hidden="1" x14ac:dyDescent="0.25">
      <c r="B2343" s="65">
        <v>36650</v>
      </c>
      <c r="C2343" t="s">
        <v>1733</v>
      </c>
    </row>
    <row r="2344" spans="2:3" hidden="1" x14ac:dyDescent="0.25">
      <c r="B2344" s="65">
        <v>36649</v>
      </c>
      <c r="C2344" t="s">
        <v>10805</v>
      </c>
    </row>
    <row r="2345" spans="2:3" hidden="1" x14ac:dyDescent="0.25">
      <c r="B2345" s="65">
        <v>36647</v>
      </c>
      <c r="C2345" t="s">
        <v>10701</v>
      </c>
    </row>
    <row r="2346" spans="2:3" hidden="1" x14ac:dyDescent="0.25">
      <c r="B2346" s="65">
        <v>36647</v>
      </c>
      <c r="C2346" t="s">
        <v>10845</v>
      </c>
    </row>
    <row r="2347" spans="2:3" hidden="1" x14ac:dyDescent="0.25">
      <c r="B2347" s="65">
        <v>36646</v>
      </c>
      <c r="C2347" t="s">
        <v>10750</v>
      </c>
    </row>
    <row r="2348" spans="2:3" hidden="1" x14ac:dyDescent="0.25">
      <c r="B2348" s="65">
        <v>36645</v>
      </c>
      <c r="C2348" t="s">
        <v>10739</v>
      </c>
    </row>
    <row r="2349" spans="2:3" hidden="1" x14ac:dyDescent="0.25">
      <c r="B2349" s="65">
        <v>36645</v>
      </c>
      <c r="C2349" t="s">
        <v>10868</v>
      </c>
    </row>
    <row r="2350" spans="2:3" hidden="1" x14ac:dyDescent="0.25">
      <c r="B2350" s="65">
        <v>36645</v>
      </c>
      <c r="C2350" t="s">
        <v>786</v>
      </c>
    </row>
    <row r="2351" spans="2:3" hidden="1" x14ac:dyDescent="0.25">
      <c r="B2351" s="65">
        <v>36644</v>
      </c>
      <c r="C2351" t="s">
        <v>988</v>
      </c>
    </row>
    <row r="2352" spans="2:3" hidden="1" x14ac:dyDescent="0.25">
      <c r="B2352" s="65">
        <v>36644</v>
      </c>
      <c r="C2352" t="s">
        <v>3771</v>
      </c>
    </row>
    <row r="2353" spans="2:3" hidden="1" x14ac:dyDescent="0.25">
      <c r="B2353" s="65">
        <v>36643</v>
      </c>
      <c r="C2353" t="s">
        <v>10680</v>
      </c>
    </row>
    <row r="2354" spans="2:3" hidden="1" x14ac:dyDescent="0.25">
      <c r="B2354" s="65">
        <v>36643</v>
      </c>
      <c r="C2354" t="s">
        <v>10720</v>
      </c>
    </row>
    <row r="2355" spans="2:3" hidden="1" x14ac:dyDescent="0.25">
      <c r="B2355" s="65">
        <v>36642</v>
      </c>
      <c r="C2355" t="s">
        <v>5791</v>
      </c>
    </row>
    <row r="2356" spans="2:3" hidden="1" x14ac:dyDescent="0.25">
      <c r="B2356" s="65">
        <v>36641</v>
      </c>
      <c r="C2356" t="s">
        <v>10579</v>
      </c>
    </row>
    <row r="2357" spans="2:3" hidden="1" x14ac:dyDescent="0.25">
      <c r="B2357" s="65">
        <v>36641</v>
      </c>
      <c r="C2357" t="s">
        <v>10622</v>
      </c>
    </row>
    <row r="2358" spans="2:3" hidden="1" x14ac:dyDescent="0.25">
      <c r="B2358" s="65">
        <v>36640</v>
      </c>
      <c r="C2358" t="s">
        <v>10814</v>
      </c>
    </row>
    <row r="2359" spans="2:3" hidden="1" x14ac:dyDescent="0.25">
      <c r="B2359" s="65">
        <v>36640</v>
      </c>
      <c r="C2359" t="s">
        <v>10825</v>
      </c>
    </row>
    <row r="2360" spans="2:3" hidden="1" x14ac:dyDescent="0.25">
      <c r="B2360" s="65">
        <v>36640</v>
      </c>
      <c r="C2360" t="s">
        <v>10864</v>
      </c>
    </row>
    <row r="2361" spans="2:3" hidden="1" x14ac:dyDescent="0.25">
      <c r="B2361" s="65">
        <v>36638</v>
      </c>
      <c r="C2361" t="s">
        <v>9596</v>
      </c>
    </row>
    <row r="2362" spans="2:3" hidden="1" x14ac:dyDescent="0.25">
      <c r="B2362" s="65">
        <v>36638</v>
      </c>
      <c r="C2362" t="s">
        <v>10841</v>
      </c>
    </row>
    <row r="2363" spans="2:3" hidden="1" x14ac:dyDescent="0.25">
      <c r="B2363" s="65">
        <v>36637</v>
      </c>
      <c r="C2363" t="s">
        <v>10598</v>
      </c>
    </row>
    <row r="2364" spans="2:3" hidden="1" x14ac:dyDescent="0.25">
      <c r="B2364" s="65">
        <v>36637</v>
      </c>
      <c r="C2364" t="s">
        <v>10746</v>
      </c>
    </row>
    <row r="2365" spans="2:3" hidden="1" x14ac:dyDescent="0.25">
      <c r="B2365" s="65">
        <v>36637</v>
      </c>
      <c r="C2365" t="s">
        <v>10795</v>
      </c>
    </row>
    <row r="2366" spans="2:3" hidden="1" x14ac:dyDescent="0.25">
      <c r="B2366" s="65">
        <v>36637</v>
      </c>
      <c r="C2366" t="s">
        <v>1370</v>
      </c>
    </row>
    <row r="2367" spans="2:3" hidden="1" x14ac:dyDescent="0.25">
      <c r="B2367" s="65">
        <v>36636</v>
      </c>
      <c r="C2367" t="s">
        <v>10615</v>
      </c>
    </row>
    <row r="2368" spans="2:3" hidden="1" x14ac:dyDescent="0.25">
      <c r="B2368" s="65">
        <v>36636</v>
      </c>
      <c r="C2368" t="s">
        <v>3368</v>
      </c>
    </row>
    <row r="2369" spans="2:3" hidden="1" x14ac:dyDescent="0.25">
      <c r="B2369" s="65">
        <v>36635</v>
      </c>
      <c r="C2369" t="s">
        <v>10627</v>
      </c>
    </row>
    <row r="2370" spans="2:3" hidden="1" x14ac:dyDescent="0.25">
      <c r="B2370" s="65">
        <v>36635</v>
      </c>
      <c r="C2370" t="s">
        <v>1387</v>
      </c>
    </row>
    <row r="2371" spans="2:3" hidden="1" x14ac:dyDescent="0.25">
      <c r="B2371" s="65">
        <v>36635</v>
      </c>
      <c r="C2371" t="s">
        <v>10836</v>
      </c>
    </row>
    <row r="2372" spans="2:3" hidden="1" x14ac:dyDescent="0.25">
      <c r="B2372" s="65">
        <v>36635</v>
      </c>
      <c r="C2372" t="s">
        <v>10849</v>
      </c>
    </row>
    <row r="2373" spans="2:3" hidden="1" x14ac:dyDescent="0.25">
      <c r="B2373" s="65">
        <v>36635</v>
      </c>
      <c r="C2373" t="s">
        <v>10886</v>
      </c>
    </row>
    <row r="2374" spans="2:3" hidden="1" x14ac:dyDescent="0.25">
      <c r="B2374" s="65">
        <v>36634</v>
      </c>
      <c r="C2374" t="s">
        <v>10633</v>
      </c>
    </row>
    <row r="2375" spans="2:3" hidden="1" x14ac:dyDescent="0.25">
      <c r="B2375" s="65">
        <v>36634</v>
      </c>
      <c r="C2375" t="s">
        <v>10649</v>
      </c>
    </row>
    <row r="2376" spans="2:3" hidden="1" x14ac:dyDescent="0.25">
      <c r="B2376" s="65">
        <v>36632</v>
      </c>
      <c r="C2376" t="s">
        <v>3290</v>
      </c>
    </row>
    <row r="2377" spans="2:3" hidden="1" x14ac:dyDescent="0.25">
      <c r="B2377" s="65">
        <v>36632</v>
      </c>
      <c r="C2377" t="s">
        <v>10705</v>
      </c>
    </row>
    <row r="2378" spans="2:3" hidden="1" x14ac:dyDescent="0.25">
      <c r="B2378" s="65">
        <v>36631</v>
      </c>
      <c r="C2378" t="s">
        <v>10755</v>
      </c>
    </row>
    <row r="2379" spans="2:3" hidden="1" x14ac:dyDescent="0.25">
      <c r="B2379" s="65">
        <v>36631</v>
      </c>
      <c r="C2379" t="s">
        <v>10780</v>
      </c>
    </row>
    <row r="2380" spans="2:3" hidden="1" x14ac:dyDescent="0.25">
      <c r="B2380" s="65">
        <v>36630</v>
      </c>
      <c r="C2380" t="s">
        <v>10564</v>
      </c>
    </row>
    <row r="2381" spans="2:3" hidden="1" x14ac:dyDescent="0.25">
      <c r="B2381" s="65">
        <v>36630</v>
      </c>
      <c r="C2381" t="s">
        <v>10605</v>
      </c>
    </row>
    <row r="2382" spans="2:3" hidden="1" x14ac:dyDescent="0.25">
      <c r="B2382" s="65">
        <v>36630</v>
      </c>
      <c r="C2382" t="s">
        <v>10658</v>
      </c>
    </row>
    <row r="2383" spans="2:3" hidden="1" x14ac:dyDescent="0.25">
      <c r="B2383" s="65">
        <v>36630</v>
      </c>
      <c r="C2383" t="s">
        <v>10890</v>
      </c>
    </row>
    <row r="2384" spans="2:3" hidden="1" x14ac:dyDescent="0.25">
      <c r="B2384" s="65">
        <v>36629</v>
      </c>
      <c r="C2384" t="s">
        <v>1370</v>
      </c>
    </row>
    <row r="2385" spans="2:3" hidden="1" x14ac:dyDescent="0.25">
      <c r="B2385" s="65">
        <v>36629</v>
      </c>
      <c r="C2385" t="s">
        <v>10896</v>
      </c>
    </row>
    <row r="2386" spans="2:3" hidden="1" x14ac:dyDescent="0.25">
      <c r="B2386" s="65">
        <v>36628</v>
      </c>
      <c r="C2386" t="s">
        <v>10734</v>
      </c>
    </row>
    <row r="2387" spans="2:3" hidden="1" x14ac:dyDescent="0.25">
      <c r="B2387" s="65">
        <v>36625</v>
      </c>
      <c r="C2387" t="s">
        <v>10858</v>
      </c>
    </row>
    <row r="2388" spans="2:3" hidden="1" x14ac:dyDescent="0.25">
      <c r="B2388" s="65">
        <v>36625</v>
      </c>
      <c r="C2388" t="s">
        <v>6537</v>
      </c>
    </row>
    <row r="2389" spans="2:3" hidden="1" x14ac:dyDescent="0.25">
      <c r="B2389" s="65">
        <v>36624</v>
      </c>
      <c r="C2389" t="s">
        <v>10642</v>
      </c>
    </row>
    <row r="2390" spans="2:3" hidden="1" x14ac:dyDescent="0.25">
      <c r="B2390" s="65">
        <v>36624</v>
      </c>
      <c r="C2390" t="s">
        <v>10853</v>
      </c>
    </row>
    <row r="2391" spans="2:3" hidden="1" x14ac:dyDescent="0.25">
      <c r="B2391" s="65">
        <v>36623</v>
      </c>
      <c r="C2391" t="s">
        <v>10589</v>
      </c>
    </row>
    <row r="2392" spans="2:3" hidden="1" x14ac:dyDescent="0.25">
      <c r="B2392" s="65">
        <v>36623</v>
      </c>
      <c r="C2392" t="s">
        <v>10789</v>
      </c>
    </row>
    <row r="2393" spans="2:3" hidden="1" x14ac:dyDescent="0.25">
      <c r="B2393" s="65">
        <v>36623</v>
      </c>
      <c r="C2393" t="s">
        <v>10861</v>
      </c>
    </row>
    <row r="2394" spans="2:3" hidden="1" x14ac:dyDescent="0.25">
      <c r="B2394" s="65">
        <v>36623</v>
      </c>
      <c r="C2394" t="s">
        <v>10879</v>
      </c>
    </row>
    <row r="2395" spans="2:3" hidden="1" x14ac:dyDescent="0.25">
      <c r="B2395" s="65">
        <v>36622</v>
      </c>
      <c r="C2395" t="s">
        <v>10770</v>
      </c>
    </row>
    <row r="2396" spans="2:3" hidden="1" x14ac:dyDescent="0.25">
      <c r="B2396" s="65">
        <v>36622</v>
      </c>
      <c r="C2396" t="s">
        <v>10776</v>
      </c>
    </row>
    <row r="2397" spans="2:3" hidden="1" x14ac:dyDescent="0.25">
      <c r="B2397" s="65">
        <v>36621</v>
      </c>
      <c r="C2397" t="s">
        <v>6159</v>
      </c>
    </row>
    <row r="2398" spans="2:3" hidden="1" x14ac:dyDescent="0.25">
      <c r="B2398" s="65">
        <v>36620</v>
      </c>
      <c r="C2398" t="s">
        <v>10666</v>
      </c>
    </row>
    <row r="2399" spans="2:3" hidden="1" x14ac:dyDescent="0.25">
      <c r="B2399" s="65">
        <v>36620</v>
      </c>
      <c r="C2399" t="s">
        <v>1733</v>
      </c>
    </row>
    <row r="2400" spans="2:3" hidden="1" x14ac:dyDescent="0.25">
      <c r="B2400" s="65">
        <v>36620</v>
      </c>
      <c r="C2400" t="s">
        <v>10799</v>
      </c>
    </row>
    <row r="2401" spans="2:3" hidden="1" x14ac:dyDescent="0.25">
      <c r="B2401" s="65">
        <v>36619</v>
      </c>
      <c r="C2401" t="s">
        <v>10674</v>
      </c>
    </row>
    <row r="2402" spans="2:3" hidden="1" x14ac:dyDescent="0.25">
      <c r="B2402" s="65">
        <v>36619</v>
      </c>
      <c r="C2402" t="s">
        <v>10809</v>
      </c>
    </row>
    <row r="2403" spans="2:3" hidden="1" x14ac:dyDescent="0.25">
      <c r="B2403" s="65">
        <v>36619</v>
      </c>
      <c r="C2403" t="s">
        <v>10819</v>
      </c>
    </row>
    <row r="2404" spans="2:3" hidden="1" x14ac:dyDescent="0.25">
      <c r="B2404" s="65">
        <v>36618</v>
      </c>
      <c r="C2404" t="s">
        <v>10688</v>
      </c>
    </row>
    <row r="2405" spans="2:3" hidden="1" x14ac:dyDescent="0.25">
      <c r="B2405" s="65">
        <v>36618</v>
      </c>
      <c r="C2405" t="s">
        <v>10697</v>
      </c>
    </row>
    <row r="2406" spans="2:3" hidden="1" x14ac:dyDescent="0.25">
      <c r="B2406" s="65">
        <v>36617</v>
      </c>
      <c r="C2406" t="s">
        <v>394</v>
      </c>
    </row>
    <row r="2407" spans="2:3" hidden="1" x14ac:dyDescent="0.25">
      <c r="B2407" s="65">
        <v>36616</v>
      </c>
      <c r="C2407" t="s">
        <v>1281</v>
      </c>
    </row>
    <row r="2408" spans="2:3" hidden="1" x14ac:dyDescent="0.25">
      <c r="B2408" s="65">
        <v>36616</v>
      </c>
      <c r="C2408" t="s">
        <v>10546</v>
      </c>
    </row>
    <row r="2409" spans="2:3" hidden="1" x14ac:dyDescent="0.25">
      <c r="B2409" s="65">
        <v>36615</v>
      </c>
      <c r="C2409" t="s">
        <v>177</v>
      </c>
    </row>
    <row r="2410" spans="2:3" hidden="1" x14ac:dyDescent="0.25">
      <c r="B2410" s="65">
        <v>36615</v>
      </c>
      <c r="C2410" t="s">
        <v>10536</v>
      </c>
    </row>
    <row r="2411" spans="2:3" hidden="1" x14ac:dyDescent="0.25">
      <c r="B2411" s="65">
        <v>36614</v>
      </c>
      <c r="C2411" t="s">
        <v>1922</v>
      </c>
    </row>
    <row r="2412" spans="2:3" hidden="1" x14ac:dyDescent="0.25">
      <c r="B2412" s="65">
        <v>36614</v>
      </c>
      <c r="C2412" t="s">
        <v>10509</v>
      </c>
    </row>
    <row r="2413" spans="2:3" hidden="1" x14ac:dyDescent="0.25">
      <c r="B2413" s="65">
        <v>36613</v>
      </c>
      <c r="C2413" t="s">
        <v>10513</v>
      </c>
    </row>
    <row r="2414" spans="2:3" hidden="1" x14ac:dyDescent="0.25">
      <c r="B2414" s="65">
        <v>36613</v>
      </c>
      <c r="C2414" t="s">
        <v>3501</v>
      </c>
    </row>
    <row r="2415" spans="2:3" hidden="1" x14ac:dyDescent="0.25">
      <c r="B2415" s="65">
        <v>36612</v>
      </c>
      <c r="C2415" t="s">
        <v>8459</v>
      </c>
    </row>
    <row r="2416" spans="2:3" hidden="1" x14ac:dyDescent="0.25">
      <c r="B2416" s="65">
        <v>36612</v>
      </c>
      <c r="C2416" t="s">
        <v>1365</v>
      </c>
    </row>
    <row r="2417" spans="2:3" hidden="1" x14ac:dyDescent="0.25">
      <c r="B2417" s="65">
        <v>36612</v>
      </c>
      <c r="C2417" t="s">
        <v>9722</v>
      </c>
    </row>
    <row r="2418" spans="2:3" hidden="1" x14ac:dyDescent="0.25">
      <c r="B2418" s="65">
        <v>36612</v>
      </c>
      <c r="C2418" t="s">
        <v>2795</v>
      </c>
    </row>
    <row r="2419" spans="2:3" hidden="1" x14ac:dyDescent="0.25">
      <c r="B2419" s="65">
        <v>36611</v>
      </c>
      <c r="C2419" t="s">
        <v>7545</v>
      </c>
    </row>
    <row r="2420" spans="2:3" hidden="1" x14ac:dyDescent="0.25">
      <c r="B2420" s="65">
        <v>36611</v>
      </c>
      <c r="C2420" t="s">
        <v>10529</v>
      </c>
    </row>
    <row r="2421" spans="2:3" hidden="1" x14ac:dyDescent="0.25">
      <c r="B2421" s="65">
        <v>36611</v>
      </c>
      <c r="C2421" t="s">
        <v>10541</v>
      </c>
    </row>
    <row r="2422" spans="2:3" hidden="1" x14ac:dyDescent="0.25">
      <c r="B2422" s="65">
        <v>36609</v>
      </c>
      <c r="C2422" t="s">
        <v>10519</v>
      </c>
    </row>
    <row r="2423" spans="2:3" hidden="1" x14ac:dyDescent="0.25">
      <c r="B2423" s="65">
        <v>36608</v>
      </c>
      <c r="C2423" t="s">
        <v>1949</v>
      </c>
    </row>
    <row r="2424" spans="2:3" hidden="1" x14ac:dyDescent="0.25">
      <c r="B2424" s="65">
        <v>36608</v>
      </c>
      <c r="C2424" t="s">
        <v>10489</v>
      </c>
    </row>
    <row r="2425" spans="2:3" hidden="1" x14ac:dyDescent="0.25">
      <c r="B2425" s="65">
        <v>36608</v>
      </c>
      <c r="C2425" t="s">
        <v>4394</v>
      </c>
    </row>
    <row r="2426" spans="2:3" hidden="1" x14ac:dyDescent="0.25">
      <c r="B2426" s="65">
        <v>36607</v>
      </c>
      <c r="C2426" t="s">
        <v>63</v>
      </c>
    </row>
    <row r="2427" spans="2:3" hidden="1" x14ac:dyDescent="0.25">
      <c r="B2427" s="65">
        <v>36607</v>
      </c>
      <c r="C2427" t="s">
        <v>1648</v>
      </c>
    </row>
    <row r="2428" spans="2:3" hidden="1" x14ac:dyDescent="0.25">
      <c r="B2428" s="65">
        <v>36607</v>
      </c>
      <c r="C2428" t="s">
        <v>5137</v>
      </c>
    </row>
    <row r="2429" spans="2:3" hidden="1" x14ac:dyDescent="0.25">
      <c r="B2429" s="65">
        <v>36607</v>
      </c>
      <c r="C2429" t="s">
        <v>10484</v>
      </c>
    </row>
    <row r="2430" spans="2:3" hidden="1" x14ac:dyDescent="0.25">
      <c r="B2430" s="65">
        <v>36606</v>
      </c>
      <c r="C2430" t="s">
        <v>10450</v>
      </c>
    </row>
    <row r="2431" spans="2:3" hidden="1" x14ac:dyDescent="0.25">
      <c r="B2431" s="65">
        <v>36605</v>
      </c>
      <c r="C2431" t="s">
        <v>8250</v>
      </c>
    </row>
    <row r="2432" spans="2:3" hidden="1" x14ac:dyDescent="0.25">
      <c r="B2432" s="65">
        <v>36605</v>
      </c>
      <c r="C2432" t="s">
        <v>10463</v>
      </c>
    </row>
    <row r="2433" spans="2:3" hidden="1" x14ac:dyDescent="0.25">
      <c r="B2433" s="65">
        <v>36604</v>
      </c>
      <c r="C2433" t="s">
        <v>10454</v>
      </c>
    </row>
    <row r="2434" spans="2:3" hidden="1" x14ac:dyDescent="0.25">
      <c r="B2434" s="65">
        <v>36604</v>
      </c>
      <c r="C2434" t="s">
        <v>2689</v>
      </c>
    </row>
    <row r="2435" spans="2:3" hidden="1" x14ac:dyDescent="0.25">
      <c r="B2435" s="65">
        <v>36603</v>
      </c>
      <c r="C2435" t="s">
        <v>10467</v>
      </c>
    </row>
    <row r="2436" spans="2:3" hidden="1" x14ac:dyDescent="0.25">
      <c r="B2436" s="65">
        <v>36602</v>
      </c>
      <c r="C2436" t="s">
        <v>10272</v>
      </c>
    </row>
    <row r="2437" spans="2:3" hidden="1" x14ac:dyDescent="0.25">
      <c r="B2437" s="65">
        <v>36602</v>
      </c>
      <c r="C2437" t="s">
        <v>10285</v>
      </c>
    </row>
    <row r="2438" spans="2:3" hidden="1" x14ac:dyDescent="0.25">
      <c r="B2438" s="65">
        <v>36602</v>
      </c>
      <c r="C2438" t="s">
        <v>10307</v>
      </c>
    </row>
    <row r="2439" spans="2:3" hidden="1" x14ac:dyDescent="0.25">
      <c r="B2439" s="65">
        <v>36602</v>
      </c>
      <c r="C2439" t="s">
        <v>10314</v>
      </c>
    </row>
    <row r="2440" spans="2:3" hidden="1" x14ac:dyDescent="0.25">
      <c r="B2440" s="65">
        <v>36602</v>
      </c>
      <c r="C2440" t="s">
        <v>10437</v>
      </c>
    </row>
    <row r="2441" spans="2:3" hidden="1" x14ac:dyDescent="0.25">
      <c r="B2441" s="65">
        <v>36601</v>
      </c>
      <c r="C2441" t="s">
        <v>10351</v>
      </c>
    </row>
    <row r="2442" spans="2:3" hidden="1" x14ac:dyDescent="0.25">
      <c r="B2442" s="65">
        <v>36601</v>
      </c>
      <c r="C2442" t="s">
        <v>10356</v>
      </c>
    </row>
    <row r="2443" spans="2:3" hidden="1" x14ac:dyDescent="0.25">
      <c r="B2443" s="65">
        <v>36600</v>
      </c>
      <c r="C2443" t="s">
        <v>1359</v>
      </c>
    </row>
    <row r="2444" spans="2:3" hidden="1" x14ac:dyDescent="0.25">
      <c r="B2444" s="65">
        <v>36598</v>
      </c>
      <c r="C2444" t="s">
        <v>5158</v>
      </c>
    </row>
    <row r="2445" spans="2:3" hidden="1" x14ac:dyDescent="0.25">
      <c r="B2445" s="65">
        <v>36598</v>
      </c>
      <c r="C2445" t="s">
        <v>10393</v>
      </c>
    </row>
    <row r="2446" spans="2:3" hidden="1" x14ac:dyDescent="0.25">
      <c r="B2446" s="65">
        <v>36598</v>
      </c>
      <c r="C2446" t="s">
        <v>10427</v>
      </c>
    </row>
    <row r="2447" spans="2:3" hidden="1" x14ac:dyDescent="0.25">
      <c r="B2447" s="65">
        <v>36597</v>
      </c>
      <c r="C2447" t="s">
        <v>10279</v>
      </c>
    </row>
    <row r="2448" spans="2:3" hidden="1" x14ac:dyDescent="0.25">
      <c r="B2448" s="65">
        <v>36596</v>
      </c>
      <c r="C2448" t="s">
        <v>10303</v>
      </c>
    </row>
    <row r="2449" spans="2:3" hidden="1" x14ac:dyDescent="0.25">
      <c r="B2449" s="65">
        <v>36596</v>
      </c>
      <c r="C2449" t="s">
        <v>10365</v>
      </c>
    </row>
    <row r="2450" spans="2:3" hidden="1" x14ac:dyDescent="0.25">
      <c r="B2450" s="65">
        <v>36596</v>
      </c>
      <c r="C2450" t="s">
        <v>10372</v>
      </c>
    </row>
    <row r="2451" spans="2:3" hidden="1" x14ac:dyDescent="0.25">
      <c r="B2451" s="65">
        <v>36596</v>
      </c>
      <c r="C2451" t="s">
        <v>10377</v>
      </c>
    </row>
    <row r="2452" spans="2:3" hidden="1" x14ac:dyDescent="0.25">
      <c r="B2452" s="65">
        <v>36595</v>
      </c>
      <c r="C2452" t="s">
        <v>10289</v>
      </c>
    </row>
    <row r="2453" spans="2:3" hidden="1" x14ac:dyDescent="0.25">
      <c r="B2453" s="65">
        <v>36595</v>
      </c>
      <c r="C2453" t="s">
        <v>10294</v>
      </c>
    </row>
    <row r="2454" spans="2:3" hidden="1" x14ac:dyDescent="0.25">
      <c r="B2454" s="65">
        <v>36595</v>
      </c>
      <c r="C2454" t="s">
        <v>2840</v>
      </c>
    </row>
    <row r="2455" spans="2:3" hidden="1" x14ac:dyDescent="0.25">
      <c r="B2455" s="65">
        <v>36595</v>
      </c>
      <c r="C2455" t="s">
        <v>2914</v>
      </c>
    </row>
    <row r="2456" spans="2:3" hidden="1" x14ac:dyDescent="0.25">
      <c r="B2456" s="65">
        <v>36595</v>
      </c>
      <c r="C2456" t="s">
        <v>10423</v>
      </c>
    </row>
    <row r="2457" spans="2:3" hidden="1" x14ac:dyDescent="0.25">
      <c r="B2457" s="65">
        <v>36594</v>
      </c>
      <c r="C2457" t="s">
        <v>9722</v>
      </c>
    </row>
    <row r="2458" spans="2:3" hidden="1" x14ac:dyDescent="0.25">
      <c r="B2458" s="65">
        <v>36594</v>
      </c>
      <c r="C2458" t="s">
        <v>10326</v>
      </c>
    </row>
    <row r="2459" spans="2:3" hidden="1" x14ac:dyDescent="0.25">
      <c r="B2459" s="65">
        <v>36593</v>
      </c>
      <c r="C2459" t="s">
        <v>9541</v>
      </c>
    </row>
    <row r="2460" spans="2:3" hidden="1" x14ac:dyDescent="0.25">
      <c r="B2460" s="65">
        <v>36593</v>
      </c>
      <c r="C2460" t="s">
        <v>10359</v>
      </c>
    </row>
    <row r="2461" spans="2:3" hidden="1" x14ac:dyDescent="0.25">
      <c r="B2461" s="65">
        <v>36593</v>
      </c>
      <c r="C2461" t="s">
        <v>10388</v>
      </c>
    </row>
    <row r="2462" spans="2:3" hidden="1" x14ac:dyDescent="0.25">
      <c r="B2462" s="65">
        <v>36593</v>
      </c>
      <c r="C2462" t="s">
        <v>10413</v>
      </c>
    </row>
    <row r="2463" spans="2:3" hidden="1" x14ac:dyDescent="0.25">
      <c r="B2463" s="65">
        <v>36592</v>
      </c>
      <c r="C2463" t="s">
        <v>981</v>
      </c>
    </row>
    <row r="2464" spans="2:3" hidden="1" x14ac:dyDescent="0.25">
      <c r="B2464" s="65">
        <v>36591</v>
      </c>
      <c r="C2464" t="s">
        <v>10397</v>
      </c>
    </row>
    <row r="2465" spans="2:3" hidden="1" x14ac:dyDescent="0.25">
      <c r="B2465" s="65">
        <v>36590</v>
      </c>
      <c r="C2465" t="s">
        <v>5115</v>
      </c>
    </row>
    <row r="2466" spans="2:3" hidden="1" x14ac:dyDescent="0.25">
      <c r="B2466" s="65">
        <v>36590</v>
      </c>
      <c r="C2466" t="s">
        <v>10384</v>
      </c>
    </row>
    <row r="2467" spans="2:3" hidden="1" x14ac:dyDescent="0.25">
      <c r="B2467" s="65">
        <v>36590</v>
      </c>
      <c r="C2467" t="s">
        <v>9683</v>
      </c>
    </row>
    <row r="2468" spans="2:3" hidden="1" x14ac:dyDescent="0.25">
      <c r="B2468" s="65">
        <v>36588</v>
      </c>
      <c r="C2468" t="s">
        <v>10319</v>
      </c>
    </row>
    <row r="2469" spans="2:3" hidden="1" x14ac:dyDescent="0.25">
      <c r="B2469" s="65">
        <v>36588</v>
      </c>
      <c r="C2469" t="s">
        <v>4516</v>
      </c>
    </row>
    <row r="2470" spans="2:3" hidden="1" x14ac:dyDescent="0.25">
      <c r="B2470" s="65">
        <v>36588</v>
      </c>
      <c r="C2470" t="s">
        <v>346</v>
      </c>
    </row>
    <row r="2471" spans="2:3" hidden="1" x14ac:dyDescent="0.25">
      <c r="B2471" s="65">
        <v>36587</v>
      </c>
      <c r="C2471" t="s">
        <v>2092</v>
      </c>
    </row>
    <row r="2472" spans="2:3" hidden="1" x14ac:dyDescent="0.25">
      <c r="B2472" s="65">
        <v>36587</v>
      </c>
      <c r="C2472" t="s">
        <v>10343</v>
      </c>
    </row>
    <row r="2473" spans="2:3" hidden="1" x14ac:dyDescent="0.25">
      <c r="B2473" s="65">
        <v>36587</v>
      </c>
      <c r="C2473" t="s">
        <v>152</v>
      </c>
    </row>
    <row r="2474" spans="2:3" hidden="1" x14ac:dyDescent="0.25">
      <c r="B2474" s="65">
        <v>36583</v>
      </c>
      <c r="C2474" t="s">
        <v>10299</v>
      </c>
    </row>
    <row r="2475" spans="2:3" hidden="1" x14ac:dyDescent="0.25">
      <c r="B2475" s="65">
        <v>36583</v>
      </c>
      <c r="C2475" t="s">
        <v>4624</v>
      </c>
    </row>
    <row r="2476" spans="2:3" hidden="1" x14ac:dyDescent="0.25">
      <c r="B2476" s="65">
        <v>36581</v>
      </c>
      <c r="C2476" t="s">
        <v>507</v>
      </c>
    </row>
    <row r="2477" spans="2:3" hidden="1" x14ac:dyDescent="0.25">
      <c r="B2477" s="65">
        <v>36581</v>
      </c>
      <c r="C2477" t="s">
        <v>1188</v>
      </c>
    </row>
    <row r="2478" spans="2:3" hidden="1" x14ac:dyDescent="0.25">
      <c r="B2478" s="65">
        <v>36581</v>
      </c>
      <c r="C2478" t="s">
        <v>1210</v>
      </c>
    </row>
    <row r="2479" spans="2:3" hidden="1" x14ac:dyDescent="0.25">
      <c r="B2479" s="65">
        <v>36581</v>
      </c>
      <c r="C2479" t="s">
        <v>1328</v>
      </c>
    </row>
    <row r="2480" spans="2:3" hidden="1" x14ac:dyDescent="0.25">
      <c r="B2480" s="65">
        <v>36581</v>
      </c>
      <c r="C2480" t="s">
        <v>10108</v>
      </c>
    </row>
    <row r="2481" spans="2:3" hidden="1" x14ac:dyDescent="0.25">
      <c r="B2481" s="65">
        <v>36581</v>
      </c>
      <c r="C2481" t="s">
        <v>207</v>
      </c>
    </row>
    <row r="2482" spans="2:3" hidden="1" x14ac:dyDescent="0.25">
      <c r="B2482" s="65">
        <v>36581</v>
      </c>
      <c r="C2482" t="s">
        <v>9324</v>
      </c>
    </row>
    <row r="2483" spans="2:3" hidden="1" x14ac:dyDescent="0.25">
      <c r="B2483" s="65">
        <v>36581</v>
      </c>
      <c r="C2483" t="s">
        <v>10419</v>
      </c>
    </row>
    <row r="2484" spans="2:3" hidden="1" x14ac:dyDescent="0.25">
      <c r="B2484" s="65">
        <v>36579</v>
      </c>
      <c r="C2484" t="s">
        <v>1348</v>
      </c>
    </row>
    <row r="2485" spans="2:3" hidden="1" x14ac:dyDescent="0.25">
      <c r="B2485" s="65">
        <v>36579</v>
      </c>
      <c r="C2485" t="s">
        <v>9554</v>
      </c>
    </row>
    <row r="2486" spans="2:3" hidden="1" x14ac:dyDescent="0.25">
      <c r="B2486" s="65">
        <v>36579</v>
      </c>
      <c r="C2486" t="s">
        <v>2542</v>
      </c>
    </row>
    <row r="2487" spans="2:3" hidden="1" x14ac:dyDescent="0.25">
      <c r="B2487" s="65">
        <v>36578</v>
      </c>
      <c r="C2487" t="s">
        <v>9610</v>
      </c>
    </row>
    <row r="2488" spans="2:3" hidden="1" x14ac:dyDescent="0.25">
      <c r="B2488" s="65">
        <v>36578</v>
      </c>
      <c r="C2488" t="s">
        <v>9752</v>
      </c>
    </row>
    <row r="2489" spans="2:3" hidden="1" x14ac:dyDescent="0.25">
      <c r="B2489" s="65">
        <v>36578</v>
      </c>
      <c r="C2489" t="s">
        <v>10163</v>
      </c>
    </row>
    <row r="2490" spans="2:3" hidden="1" x14ac:dyDescent="0.25">
      <c r="B2490" s="65">
        <v>36577</v>
      </c>
      <c r="C2490" t="s">
        <v>10158</v>
      </c>
    </row>
    <row r="2491" spans="2:3" hidden="1" x14ac:dyDescent="0.25">
      <c r="B2491" s="65">
        <v>36577</v>
      </c>
      <c r="C2491" t="s">
        <v>7486</v>
      </c>
    </row>
    <row r="2492" spans="2:3" hidden="1" x14ac:dyDescent="0.25">
      <c r="B2492" s="65">
        <v>36576</v>
      </c>
      <c r="C2492" t="s">
        <v>6956</v>
      </c>
    </row>
    <row r="2493" spans="2:3" hidden="1" x14ac:dyDescent="0.25">
      <c r="B2493" s="65">
        <v>36575</v>
      </c>
      <c r="C2493" t="s">
        <v>10138</v>
      </c>
    </row>
    <row r="2494" spans="2:3" hidden="1" x14ac:dyDescent="0.25">
      <c r="B2494" s="65">
        <v>36575</v>
      </c>
      <c r="C2494" t="s">
        <v>7803</v>
      </c>
    </row>
    <row r="2495" spans="2:3" hidden="1" x14ac:dyDescent="0.25">
      <c r="B2495" s="65">
        <v>36574</v>
      </c>
      <c r="C2495" t="s">
        <v>9631</v>
      </c>
    </row>
    <row r="2496" spans="2:3" hidden="1" x14ac:dyDescent="0.25">
      <c r="B2496" s="65">
        <v>36574</v>
      </c>
      <c r="C2496" t="s">
        <v>9867</v>
      </c>
    </row>
    <row r="2497" spans="2:3" hidden="1" x14ac:dyDescent="0.25">
      <c r="B2497" s="65">
        <v>36573</v>
      </c>
      <c r="C2497" t="s">
        <v>9892</v>
      </c>
    </row>
    <row r="2498" spans="2:3" hidden="1" x14ac:dyDescent="0.25">
      <c r="B2498" s="65">
        <v>36572</v>
      </c>
      <c r="C2498" t="s">
        <v>9640</v>
      </c>
    </row>
    <row r="2499" spans="2:3" hidden="1" x14ac:dyDescent="0.25">
      <c r="B2499" s="65">
        <v>36572</v>
      </c>
      <c r="C2499" t="s">
        <v>9762</v>
      </c>
    </row>
    <row r="2500" spans="2:3" hidden="1" x14ac:dyDescent="0.25">
      <c r="B2500" s="65">
        <v>36571</v>
      </c>
      <c r="C2500" t="s">
        <v>9801</v>
      </c>
    </row>
    <row r="2501" spans="2:3" hidden="1" x14ac:dyDescent="0.25">
      <c r="B2501" s="65">
        <v>36570</v>
      </c>
      <c r="C2501" t="s">
        <v>9746</v>
      </c>
    </row>
    <row r="2502" spans="2:3" hidden="1" x14ac:dyDescent="0.25">
      <c r="B2502" s="65">
        <v>36567</v>
      </c>
      <c r="C2502" t="s">
        <v>2286</v>
      </c>
    </row>
    <row r="2503" spans="2:3" hidden="1" x14ac:dyDescent="0.25">
      <c r="B2503" s="65">
        <v>36567</v>
      </c>
      <c r="C2503" t="s">
        <v>10131</v>
      </c>
    </row>
    <row r="2504" spans="2:3" hidden="1" x14ac:dyDescent="0.25">
      <c r="B2504" s="65">
        <v>36567</v>
      </c>
      <c r="C2504" t="s">
        <v>1922</v>
      </c>
    </row>
    <row r="2505" spans="2:3" hidden="1" x14ac:dyDescent="0.25">
      <c r="B2505" s="65">
        <v>36567</v>
      </c>
      <c r="C2505" t="s">
        <v>5346</v>
      </c>
    </row>
    <row r="2506" spans="2:3" hidden="1" x14ac:dyDescent="0.25">
      <c r="B2506" s="65">
        <v>36566</v>
      </c>
      <c r="C2506" t="s">
        <v>9541</v>
      </c>
    </row>
    <row r="2507" spans="2:3" hidden="1" x14ac:dyDescent="0.25">
      <c r="B2507" s="65">
        <v>36566</v>
      </c>
      <c r="C2507" t="s">
        <v>10027</v>
      </c>
    </row>
    <row r="2508" spans="2:3" hidden="1" x14ac:dyDescent="0.25">
      <c r="B2508" s="65">
        <v>36566</v>
      </c>
      <c r="C2508" t="s">
        <v>7545</v>
      </c>
    </row>
    <row r="2509" spans="2:3" hidden="1" x14ac:dyDescent="0.25">
      <c r="B2509" s="65">
        <v>36566</v>
      </c>
      <c r="C2509" t="s">
        <v>10185</v>
      </c>
    </row>
    <row r="2510" spans="2:3" hidden="1" x14ac:dyDescent="0.25">
      <c r="B2510" s="65">
        <v>36565</v>
      </c>
      <c r="C2510" t="s">
        <v>2286</v>
      </c>
    </row>
    <row r="2511" spans="2:3" hidden="1" x14ac:dyDescent="0.25">
      <c r="B2511" s="65">
        <v>36565</v>
      </c>
      <c r="C2511" t="s">
        <v>9778</v>
      </c>
    </row>
    <row r="2512" spans="2:3" hidden="1" x14ac:dyDescent="0.25">
      <c r="B2512" s="65">
        <v>36565</v>
      </c>
      <c r="C2512" t="s">
        <v>9886</v>
      </c>
    </row>
    <row r="2513" spans="2:3" hidden="1" x14ac:dyDescent="0.25">
      <c r="B2513" s="65">
        <v>36564</v>
      </c>
      <c r="C2513" t="s">
        <v>9901</v>
      </c>
    </row>
    <row r="2514" spans="2:3" hidden="1" x14ac:dyDescent="0.25">
      <c r="B2514" s="65">
        <v>36564</v>
      </c>
      <c r="C2514" t="s">
        <v>6141</v>
      </c>
    </row>
    <row r="2515" spans="2:3" hidden="1" x14ac:dyDescent="0.25">
      <c r="B2515" s="65">
        <v>36563</v>
      </c>
      <c r="C2515" t="s">
        <v>7733</v>
      </c>
    </row>
    <row r="2516" spans="2:3" hidden="1" x14ac:dyDescent="0.25">
      <c r="B2516" s="65">
        <v>36563</v>
      </c>
      <c r="C2516" t="s">
        <v>10173</v>
      </c>
    </row>
    <row r="2517" spans="2:3" hidden="1" x14ac:dyDescent="0.25">
      <c r="B2517" s="65">
        <v>36561</v>
      </c>
      <c r="C2517" t="s">
        <v>9656</v>
      </c>
    </row>
    <row r="2518" spans="2:3" hidden="1" x14ac:dyDescent="0.25">
      <c r="B2518" s="65">
        <v>36561</v>
      </c>
      <c r="C2518" t="s">
        <v>947</v>
      </c>
    </row>
    <row r="2519" spans="2:3" hidden="1" x14ac:dyDescent="0.25">
      <c r="B2519" s="65">
        <v>36559</v>
      </c>
      <c r="C2519" t="s">
        <v>9704</v>
      </c>
    </row>
    <row r="2520" spans="2:3" hidden="1" x14ac:dyDescent="0.25">
      <c r="B2520" s="65">
        <v>36559</v>
      </c>
      <c r="C2520" t="s">
        <v>105</v>
      </c>
    </row>
    <row r="2521" spans="2:3" hidden="1" x14ac:dyDescent="0.25">
      <c r="B2521" s="65">
        <v>36559</v>
      </c>
      <c r="C2521" t="s">
        <v>10257</v>
      </c>
    </row>
    <row r="2522" spans="2:3" hidden="1" x14ac:dyDescent="0.25">
      <c r="B2522" s="65">
        <v>36558</v>
      </c>
      <c r="C2522" t="s">
        <v>10219</v>
      </c>
    </row>
    <row r="2523" spans="2:3" hidden="1" x14ac:dyDescent="0.25">
      <c r="B2523" s="65">
        <v>36558</v>
      </c>
      <c r="C2523" t="s">
        <v>10224</v>
      </c>
    </row>
    <row r="2524" spans="2:3" hidden="1" x14ac:dyDescent="0.25">
      <c r="B2524" s="65">
        <v>36557</v>
      </c>
      <c r="C2524" t="s">
        <v>9618</v>
      </c>
    </row>
    <row r="2525" spans="2:3" hidden="1" x14ac:dyDescent="0.25">
      <c r="B2525" s="65">
        <v>36557</v>
      </c>
      <c r="C2525" t="s">
        <v>163</v>
      </c>
    </row>
    <row r="2526" spans="2:3" hidden="1" x14ac:dyDescent="0.25">
      <c r="B2526" s="65">
        <v>36557</v>
      </c>
      <c r="C2526" t="s">
        <v>9930</v>
      </c>
    </row>
    <row r="2527" spans="2:3" hidden="1" x14ac:dyDescent="0.25">
      <c r="B2527" s="65">
        <v>36557</v>
      </c>
      <c r="C2527" t="s">
        <v>10050</v>
      </c>
    </row>
    <row r="2528" spans="2:3" hidden="1" x14ac:dyDescent="0.25">
      <c r="B2528" s="65">
        <v>36555</v>
      </c>
      <c r="C2528" t="s">
        <v>10151</v>
      </c>
    </row>
    <row r="2529" spans="2:3" hidden="1" x14ac:dyDescent="0.25">
      <c r="B2529" s="65">
        <v>36555</v>
      </c>
      <c r="C2529" t="s">
        <v>10207</v>
      </c>
    </row>
    <row r="2530" spans="2:3" hidden="1" x14ac:dyDescent="0.25">
      <c r="B2530" s="65">
        <v>36554</v>
      </c>
      <c r="C2530" t="s">
        <v>10033</v>
      </c>
    </row>
    <row r="2531" spans="2:3" hidden="1" x14ac:dyDescent="0.25">
      <c r="B2531" s="65">
        <v>36554</v>
      </c>
      <c r="C2531" t="s">
        <v>10211</v>
      </c>
    </row>
    <row r="2532" spans="2:3" hidden="1" x14ac:dyDescent="0.25">
      <c r="B2532" s="65">
        <v>36553</v>
      </c>
      <c r="C2532" t="s">
        <v>1507</v>
      </c>
    </row>
    <row r="2533" spans="2:3" hidden="1" x14ac:dyDescent="0.25">
      <c r="B2533" s="65">
        <v>36553</v>
      </c>
      <c r="C2533" t="s">
        <v>7545</v>
      </c>
    </row>
    <row r="2534" spans="2:3" hidden="1" x14ac:dyDescent="0.25">
      <c r="B2534" s="65">
        <v>36553</v>
      </c>
      <c r="C2534" t="s">
        <v>6230</v>
      </c>
    </row>
    <row r="2535" spans="2:3" hidden="1" x14ac:dyDescent="0.25">
      <c r="B2535" s="65">
        <v>36551</v>
      </c>
      <c r="C2535" t="s">
        <v>10006</v>
      </c>
    </row>
    <row r="2536" spans="2:3" hidden="1" x14ac:dyDescent="0.25">
      <c r="B2536" s="65">
        <v>36551</v>
      </c>
      <c r="C2536" t="s">
        <v>10232</v>
      </c>
    </row>
    <row r="2537" spans="2:3" hidden="1" x14ac:dyDescent="0.25">
      <c r="B2537" s="65">
        <v>36550</v>
      </c>
      <c r="C2537" t="s">
        <v>2918</v>
      </c>
    </row>
    <row r="2538" spans="2:3" hidden="1" x14ac:dyDescent="0.25">
      <c r="B2538" s="65">
        <v>36550</v>
      </c>
      <c r="C2538" t="s">
        <v>3065</v>
      </c>
    </row>
    <row r="2539" spans="2:3" hidden="1" x14ac:dyDescent="0.25">
      <c r="B2539" s="65">
        <v>36550</v>
      </c>
      <c r="C2539" t="s">
        <v>5325</v>
      </c>
    </row>
    <row r="2540" spans="2:3" hidden="1" x14ac:dyDescent="0.25">
      <c r="B2540" s="65">
        <v>36549</v>
      </c>
      <c r="C2540" t="s">
        <v>9945</v>
      </c>
    </row>
    <row r="2541" spans="2:3" hidden="1" x14ac:dyDescent="0.25">
      <c r="B2541" s="65">
        <v>36549</v>
      </c>
      <c r="C2541" t="s">
        <v>4701</v>
      </c>
    </row>
    <row r="2542" spans="2:3" hidden="1" x14ac:dyDescent="0.25">
      <c r="B2542" s="65">
        <v>36548</v>
      </c>
      <c r="C2542" t="s">
        <v>10196</v>
      </c>
    </row>
    <row r="2543" spans="2:3" hidden="1" x14ac:dyDescent="0.25">
      <c r="B2543" s="65">
        <v>36547</v>
      </c>
      <c r="C2543" t="s">
        <v>4838</v>
      </c>
    </row>
    <row r="2544" spans="2:3" hidden="1" x14ac:dyDescent="0.25">
      <c r="B2544" s="65">
        <v>36547</v>
      </c>
      <c r="C2544" t="s">
        <v>10085</v>
      </c>
    </row>
    <row r="2545" spans="2:3" hidden="1" x14ac:dyDescent="0.25">
      <c r="B2545" s="65">
        <v>36546</v>
      </c>
      <c r="C2545" t="s">
        <v>9635</v>
      </c>
    </row>
    <row r="2546" spans="2:3" hidden="1" x14ac:dyDescent="0.25">
      <c r="B2546" s="65">
        <v>36546</v>
      </c>
      <c r="C2546" t="s">
        <v>9906</v>
      </c>
    </row>
    <row r="2547" spans="2:3" hidden="1" x14ac:dyDescent="0.25">
      <c r="B2547" s="65">
        <v>36545</v>
      </c>
      <c r="C2547" t="s">
        <v>9687</v>
      </c>
    </row>
    <row r="2548" spans="2:3" hidden="1" x14ac:dyDescent="0.25">
      <c r="B2548" s="65">
        <v>36545</v>
      </c>
      <c r="C2548" t="s">
        <v>4526</v>
      </c>
    </row>
    <row r="2549" spans="2:3" hidden="1" x14ac:dyDescent="0.25">
      <c r="B2549" s="65">
        <v>36545</v>
      </c>
      <c r="C2549" t="s">
        <v>10071</v>
      </c>
    </row>
    <row r="2550" spans="2:3" hidden="1" x14ac:dyDescent="0.25">
      <c r="B2550" s="65">
        <v>36544</v>
      </c>
      <c r="C2550" t="s">
        <v>9774</v>
      </c>
    </row>
    <row r="2551" spans="2:3" hidden="1" x14ac:dyDescent="0.25">
      <c r="B2551" s="65">
        <v>36544</v>
      </c>
      <c r="C2551" t="s">
        <v>9842</v>
      </c>
    </row>
    <row r="2552" spans="2:3" hidden="1" x14ac:dyDescent="0.25">
      <c r="B2552" s="65">
        <v>36543</v>
      </c>
      <c r="C2552" t="s">
        <v>9548</v>
      </c>
    </row>
    <row r="2553" spans="2:3" hidden="1" x14ac:dyDescent="0.25">
      <c r="B2553" s="65">
        <v>36543</v>
      </c>
      <c r="C2553" t="s">
        <v>9838</v>
      </c>
    </row>
    <row r="2554" spans="2:3" hidden="1" x14ac:dyDescent="0.25">
      <c r="B2554" s="65">
        <v>36543</v>
      </c>
      <c r="C2554" t="s">
        <v>10092</v>
      </c>
    </row>
    <row r="2555" spans="2:3" hidden="1" x14ac:dyDescent="0.25">
      <c r="B2555" s="65">
        <v>36542</v>
      </c>
      <c r="C2555" t="s">
        <v>10181</v>
      </c>
    </row>
    <row r="2556" spans="2:3" hidden="1" x14ac:dyDescent="0.25">
      <c r="B2556" s="65">
        <v>36541</v>
      </c>
      <c r="C2556" t="s">
        <v>943</v>
      </c>
    </row>
    <row r="2557" spans="2:3" hidden="1" x14ac:dyDescent="0.25">
      <c r="B2557" s="65">
        <v>36541</v>
      </c>
      <c r="C2557" t="s">
        <v>9661</v>
      </c>
    </row>
    <row r="2558" spans="2:3" hidden="1" x14ac:dyDescent="0.25">
      <c r="B2558" s="65">
        <v>36541</v>
      </c>
      <c r="C2558" t="s">
        <v>9965</v>
      </c>
    </row>
    <row r="2559" spans="2:3" hidden="1" x14ac:dyDescent="0.25">
      <c r="B2559" s="65">
        <v>36541</v>
      </c>
      <c r="C2559" t="s">
        <v>10117</v>
      </c>
    </row>
    <row r="2560" spans="2:3" hidden="1" x14ac:dyDescent="0.25">
      <c r="B2560" s="65">
        <v>36540</v>
      </c>
      <c r="C2560" t="s">
        <v>530</v>
      </c>
    </row>
    <row r="2561" spans="2:3" hidden="1" x14ac:dyDescent="0.25">
      <c r="B2561" s="65">
        <v>36539</v>
      </c>
      <c r="C2561" t="s">
        <v>9959</v>
      </c>
    </row>
    <row r="2562" spans="2:3" hidden="1" x14ac:dyDescent="0.25">
      <c r="B2562" s="65">
        <v>36539</v>
      </c>
      <c r="C2562" t="s">
        <v>310</v>
      </c>
    </row>
    <row r="2563" spans="2:3" hidden="1" x14ac:dyDescent="0.25">
      <c r="B2563" s="65">
        <v>36537</v>
      </c>
      <c r="C2563" t="s">
        <v>9683</v>
      </c>
    </row>
    <row r="2564" spans="2:3" hidden="1" x14ac:dyDescent="0.25">
      <c r="B2564" s="65">
        <v>36537</v>
      </c>
      <c r="C2564" t="s">
        <v>5997</v>
      </c>
    </row>
    <row r="2565" spans="2:3" hidden="1" x14ac:dyDescent="0.25">
      <c r="B2565" s="65">
        <v>36537</v>
      </c>
      <c r="C2565" t="s">
        <v>10059</v>
      </c>
    </row>
    <row r="2566" spans="2:3" hidden="1" x14ac:dyDescent="0.25">
      <c r="B2566" s="65">
        <v>36537</v>
      </c>
      <c r="C2566" t="s">
        <v>10063</v>
      </c>
    </row>
    <row r="2567" spans="2:3" hidden="1" x14ac:dyDescent="0.25">
      <c r="B2567" s="65">
        <v>36537</v>
      </c>
      <c r="C2567" t="s">
        <v>10249</v>
      </c>
    </row>
    <row r="2568" spans="2:3" hidden="1" x14ac:dyDescent="0.25">
      <c r="B2568" s="65">
        <v>36536</v>
      </c>
      <c r="C2568" t="s">
        <v>9596</v>
      </c>
    </row>
    <row r="2569" spans="2:3" hidden="1" x14ac:dyDescent="0.25">
      <c r="B2569" s="65">
        <v>36536</v>
      </c>
      <c r="C2569" t="s">
        <v>10075</v>
      </c>
    </row>
    <row r="2570" spans="2:3" hidden="1" x14ac:dyDescent="0.25">
      <c r="B2570" s="65">
        <v>36534</v>
      </c>
      <c r="C2570" t="s">
        <v>1328</v>
      </c>
    </row>
    <row r="2571" spans="2:3" hidden="1" x14ac:dyDescent="0.25">
      <c r="B2571" s="65">
        <v>36534</v>
      </c>
      <c r="C2571" t="s">
        <v>9606</v>
      </c>
    </row>
    <row r="2572" spans="2:3" hidden="1" x14ac:dyDescent="0.25">
      <c r="B2572" s="65">
        <v>36534</v>
      </c>
      <c r="C2572" t="s">
        <v>9954</v>
      </c>
    </row>
    <row r="2573" spans="2:3" hidden="1" x14ac:dyDescent="0.25">
      <c r="B2573" s="65">
        <v>36534</v>
      </c>
      <c r="C2573" t="s">
        <v>954</v>
      </c>
    </row>
    <row r="2574" spans="2:3" hidden="1" x14ac:dyDescent="0.25">
      <c r="B2574" s="65">
        <v>36533</v>
      </c>
      <c r="C2574" t="s">
        <v>9919</v>
      </c>
    </row>
    <row r="2575" spans="2:3" hidden="1" x14ac:dyDescent="0.25">
      <c r="B2575" s="65">
        <v>36531</v>
      </c>
      <c r="C2575" t="s">
        <v>9559</v>
      </c>
    </row>
    <row r="2576" spans="2:3" hidden="1" x14ac:dyDescent="0.25">
      <c r="B2576" s="65">
        <v>36530</v>
      </c>
      <c r="C2576" t="s">
        <v>170</v>
      </c>
    </row>
    <row r="2577" spans="2:3" hidden="1" x14ac:dyDescent="0.25">
      <c r="B2577" s="65">
        <v>36530</v>
      </c>
      <c r="C2577" t="s">
        <v>1793</v>
      </c>
    </row>
    <row r="2578" spans="2:3" hidden="1" x14ac:dyDescent="0.25">
      <c r="B2578" s="65">
        <v>36530</v>
      </c>
      <c r="C2578" t="s">
        <v>10042</v>
      </c>
    </row>
    <row r="2579" spans="2:3" hidden="1" x14ac:dyDescent="0.25">
      <c r="B2579" s="65">
        <v>36529</v>
      </c>
      <c r="C2579" t="s">
        <v>9971</v>
      </c>
    </row>
    <row r="2580" spans="2:3" hidden="1" x14ac:dyDescent="0.25">
      <c r="B2580" s="65">
        <v>36528</v>
      </c>
      <c r="C2580" t="s">
        <v>9717</v>
      </c>
    </row>
    <row r="2581" spans="2:3" hidden="1" x14ac:dyDescent="0.25">
      <c r="B2581" s="65">
        <v>36528</v>
      </c>
      <c r="C2581" t="s">
        <v>9769</v>
      </c>
    </row>
    <row r="2582" spans="2:3" hidden="1" x14ac:dyDescent="0.25">
      <c r="B2582" s="65">
        <v>36528</v>
      </c>
      <c r="C2582" t="s">
        <v>9977</v>
      </c>
    </row>
    <row r="2583" spans="2:3" hidden="1" x14ac:dyDescent="0.25">
      <c r="B2583" s="65">
        <v>36527</v>
      </c>
      <c r="C2583" t="s">
        <v>10147</v>
      </c>
    </row>
    <row r="2584" spans="2:3" hidden="1" x14ac:dyDescent="0.25">
      <c r="B2584" s="65">
        <v>36526</v>
      </c>
      <c r="C2584" t="s">
        <v>9734</v>
      </c>
    </row>
    <row r="2585" spans="2:3" hidden="1" x14ac:dyDescent="0.25">
      <c r="B2585" s="65">
        <v>36525</v>
      </c>
      <c r="C2585" t="s">
        <v>2669</v>
      </c>
    </row>
    <row r="2586" spans="2:3" hidden="1" x14ac:dyDescent="0.25">
      <c r="B2586" s="65">
        <v>36525</v>
      </c>
      <c r="C2586" t="s">
        <v>9729</v>
      </c>
    </row>
    <row r="2587" spans="2:3" hidden="1" x14ac:dyDescent="0.25">
      <c r="B2587" s="65">
        <v>36525</v>
      </c>
      <c r="C2587" t="s">
        <v>9981</v>
      </c>
    </row>
    <row r="2588" spans="2:3" hidden="1" x14ac:dyDescent="0.25">
      <c r="B2588" s="65">
        <v>36525</v>
      </c>
      <c r="C2588" t="s">
        <v>10199</v>
      </c>
    </row>
    <row r="2589" spans="2:3" hidden="1" x14ac:dyDescent="0.25">
      <c r="B2589" s="65">
        <v>36524</v>
      </c>
      <c r="C2589" t="s">
        <v>9804</v>
      </c>
    </row>
    <row r="2590" spans="2:3" hidden="1" x14ac:dyDescent="0.25">
      <c r="B2590" s="65">
        <v>36524</v>
      </c>
      <c r="C2590" t="s">
        <v>10023</v>
      </c>
    </row>
    <row r="2591" spans="2:3" hidden="1" x14ac:dyDescent="0.25">
      <c r="B2591" s="65">
        <v>36522</v>
      </c>
      <c r="C2591" t="s">
        <v>5206</v>
      </c>
    </row>
    <row r="2592" spans="2:3" hidden="1" x14ac:dyDescent="0.25">
      <c r="B2592" s="65">
        <v>36522</v>
      </c>
      <c r="C2592" t="s">
        <v>9624</v>
      </c>
    </row>
    <row r="2593" spans="2:3" hidden="1" x14ac:dyDescent="0.25">
      <c r="B2593" s="65">
        <v>36522</v>
      </c>
      <c r="C2593" t="s">
        <v>9743</v>
      </c>
    </row>
    <row r="2594" spans="2:3" hidden="1" x14ac:dyDescent="0.25">
      <c r="B2594" s="65">
        <v>36522</v>
      </c>
      <c r="C2594" t="s">
        <v>5615</v>
      </c>
    </row>
    <row r="2595" spans="2:3" hidden="1" x14ac:dyDescent="0.25">
      <c r="B2595" s="65">
        <v>36519</v>
      </c>
      <c r="C2595" t="s">
        <v>8353</v>
      </c>
    </row>
    <row r="2596" spans="2:3" hidden="1" x14ac:dyDescent="0.25">
      <c r="B2596" s="65">
        <v>36516</v>
      </c>
      <c r="C2596" t="s">
        <v>5696</v>
      </c>
    </row>
    <row r="2597" spans="2:3" hidden="1" x14ac:dyDescent="0.25">
      <c r="B2597" s="65">
        <v>36516</v>
      </c>
      <c r="C2597" t="s">
        <v>2290</v>
      </c>
    </row>
    <row r="2598" spans="2:3" hidden="1" x14ac:dyDescent="0.25">
      <c r="B2598" s="65">
        <v>36516</v>
      </c>
      <c r="C2598" t="s">
        <v>9989</v>
      </c>
    </row>
    <row r="2599" spans="2:3" hidden="1" x14ac:dyDescent="0.25">
      <c r="B2599" s="65">
        <v>36516</v>
      </c>
      <c r="C2599" t="s">
        <v>10169</v>
      </c>
    </row>
    <row r="2600" spans="2:3" hidden="1" x14ac:dyDescent="0.25">
      <c r="B2600" s="65">
        <v>36515</v>
      </c>
      <c r="C2600" t="s">
        <v>9826</v>
      </c>
    </row>
    <row r="2601" spans="2:3" hidden="1" x14ac:dyDescent="0.25">
      <c r="B2601" s="65">
        <v>36515</v>
      </c>
      <c r="C2601" t="s">
        <v>10246</v>
      </c>
    </row>
    <row r="2602" spans="2:3" hidden="1" x14ac:dyDescent="0.25">
      <c r="B2602" s="65">
        <v>36514</v>
      </c>
      <c r="C2602" t="s">
        <v>9708</v>
      </c>
    </row>
    <row r="2603" spans="2:3" hidden="1" x14ac:dyDescent="0.25">
      <c r="B2603" s="65">
        <v>36512</v>
      </c>
      <c r="C2603" t="s">
        <v>4157</v>
      </c>
    </row>
    <row r="2604" spans="2:3" hidden="1" x14ac:dyDescent="0.25">
      <c r="B2604" s="65">
        <v>36511</v>
      </c>
      <c r="C2604" t="s">
        <v>9695</v>
      </c>
    </row>
    <row r="2605" spans="2:3" hidden="1" x14ac:dyDescent="0.25">
      <c r="B2605" s="65">
        <v>36510</v>
      </c>
      <c r="C2605" t="s">
        <v>9783</v>
      </c>
    </row>
    <row r="2606" spans="2:3" hidden="1" x14ac:dyDescent="0.25">
      <c r="B2606" s="65">
        <v>36510</v>
      </c>
      <c r="C2606" t="s">
        <v>9998</v>
      </c>
    </row>
    <row r="2607" spans="2:3" hidden="1" x14ac:dyDescent="0.25">
      <c r="B2607" s="65">
        <v>36510</v>
      </c>
      <c r="C2607" t="s">
        <v>10102</v>
      </c>
    </row>
    <row r="2608" spans="2:3" hidden="1" x14ac:dyDescent="0.25">
      <c r="B2608" s="65">
        <v>36509</v>
      </c>
      <c r="C2608" t="s">
        <v>9650</v>
      </c>
    </row>
    <row r="2609" spans="2:3" hidden="1" x14ac:dyDescent="0.25">
      <c r="B2609" s="65">
        <v>36509</v>
      </c>
      <c r="C2609" t="s">
        <v>9740</v>
      </c>
    </row>
    <row r="2610" spans="2:3" hidden="1" x14ac:dyDescent="0.25">
      <c r="B2610" s="65">
        <v>36509</v>
      </c>
      <c r="C2610" t="s">
        <v>9880</v>
      </c>
    </row>
    <row r="2611" spans="2:3" hidden="1" x14ac:dyDescent="0.25">
      <c r="B2611" s="65">
        <v>36508</v>
      </c>
      <c r="C2611" t="s">
        <v>9757</v>
      </c>
    </row>
    <row r="2612" spans="2:3" hidden="1" x14ac:dyDescent="0.25">
      <c r="B2612" s="65">
        <v>36508</v>
      </c>
      <c r="C2612" t="s">
        <v>9850</v>
      </c>
    </row>
    <row r="2613" spans="2:3" hidden="1" x14ac:dyDescent="0.25">
      <c r="B2613" s="65">
        <v>36507</v>
      </c>
      <c r="C2613" t="s">
        <v>177</v>
      </c>
    </row>
    <row r="2614" spans="2:3" hidden="1" x14ac:dyDescent="0.25">
      <c r="B2614" s="65">
        <v>36507</v>
      </c>
      <c r="C2614" t="s">
        <v>10243</v>
      </c>
    </row>
    <row r="2615" spans="2:3" hidden="1" x14ac:dyDescent="0.25">
      <c r="B2615" s="65">
        <v>36504</v>
      </c>
      <c r="C2615" t="s">
        <v>9916</v>
      </c>
    </row>
    <row r="2616" spans="2:3" hidden="1" x14ac:dyDescent="0.25">
      <c r="B2616" s="65">
        <v>36504</v>
      </c>
      <c r="C2616" t="s">
        <v>2209</v>
      </c>
    </row>
    <row r="2617" spans="2:3" hidden="1" x14ac:dyDescent="0.25">
      <c r="B2617" s="65">
        <v>36504</v>
      </c>
      <c r="C2617" t="s">
        <v>8567</v>
      </c>
    </row>
    <row r="2618" spans="2:3" hidden="1" x14ac:dyDescent="0.25">
      <c r="B2618" s="65">
        <v>36503</v>
      </c>
      <c r="C2618" t="s">
        <v>9985</v>
      </c>
    </row>
    <row r="2619" spans="2:3" hidden="1" x14ac:dyDescent="0.25">
      <c r="B2619" s="65">
        <v>36502</v>
      </c>
      <c r="C2619" t="s">
        <v>9691</v>
      </c>
    </row>
    <row r="2620" spans="2:3" hidden="1" x14ac:dyDescent="0.25">
      <c r="B2620" s="65">
        <v>36502</v>
      </c>
      <c r="C2620" t="s">
        <v>9700</v>
      </c>
    </row>
    <row r="2621" spans="2:3" hidden="1" x14ac:dyDescent="0.25">
      <c r="B2621" s="65">
        <v>36501</v>
      </c>
      <c r="C2621" t="s">
        <v>9586</v>
      </c>
    </row>
    <row r="2622" spans="2:3" hidden="1" x14ac:dyDescent="0.25">
      <c r="B2622" s="65">
        <v>36501</v>
      </c>
      <c r="C2622" t="s">
        <v>8751</v>
      </c>
    </row>
    <row r="2623" spans="2:3" hidden="1" x14ac:dyDescent="0.25">
      <c r="B2623" s="65">
        <v>36500</v>
      </c>
      <c r="C2623" t="s">
        <v>9674</v>
      </c>
    </row>
    <row r="2624" spans="2:3" hidden="1" x14ac:dyDescent="0.25">
      <c r="B2624" s="65">
        <v>36498</v>
      </c>
      <c r="C2624" t="s">
        <v>7661</v>
      </c>
    </row>
    <row r="2625" spans="2:3" hidden="1" x14ac:dyDescent="0.25">
      <c r="B2625" s="65">
        <v>36498</v>
      </c>
      <c r="C2625" t="s">
        <v>9876</v>
      </c>
    </row>
    <row r="2626" spans="2:3" hidden="1" x14ac:dyDescent="0.25">
      <c r="B2626" s="65">
        <v>36498</v>
      </c>
      <c r="C2626" t="s">
        <v>4203</v>
      </c>
    </row>
    <row r="2627" spans="2:3" hidden="1" x14ac:dyDescent="0.25">
      <c r="B2627" s="65">
        <v>36498</v>
      </c>
      <c r="C2627" t="s">
        <v>1174</v>
      </c>
    </row>
    <row r="2628" spans="2:3" hidden="1" x14ac:dyDescent="0.25">
      <c r="B2628" s="65">
        <v>36496</v>
      </c>
      <c r="C2628" t="s">
        <v>9820</v>
      </c>
    </row>
    <row r="2629" spans="2:3" hidden="1" x14ac:dyDescent="0.25">
      <c r="B2629" s="65">
        <v>36496</v>
      </c>
      <c r="C2629" t="s">
        <v>6401</v>
      </c>
    </row>
    <row r="2630" spans="2:3" hidden="1" x14ac:dyDescent="0.25">
      <c r="B2630" s="65">
        <v>36496</v>
      </c>
      <c r="C2630" t="s">
        <v>10081</v>
      </c>
    </row>
    <row r="2631" spans="2:3" hidden="1" x14ac:dyDescent="0.25">
      <c r="B2631" s="65">
        <v>36495</v>
      </c>
      <c r="C2631" t="s">
        <v>10014</v>
      </c>
    </row>
    <row r="2632" spans="2:3" hidden="1" x14ac:dyDescent="0.25">
      <c r="B2632" s="65">
        <v>36493</v>
      </c>
      <c r="C2632" t="s">
        <v>9722</v>
      </c>
    </row>
    <row r="2633" spans="2:3" hidden="1" x14ac:dyDescent="0.25">
      <c r="B2633" s="65">
        <v>36493</v>
      </c>
      <c r="C2633" t="s">
        <v>10067</v>
      </c>
    </row>
    <row r="2634" spans="2:3" hidden="1" x14ac:dyDescent="0.25">
      <c r="B2634" s="65">
        <v>36492</v>
      </c>
      <c r="C2634" t="s">
        <v>9833</v>
      </c>
    </row>
    <row r="2635" spans="2:3" hidden="1" x14ac:dyDescent="0.25">
      <c r="B2635" s="65">
        <v>36491</v>
      </c>
      <c r="C2635" t="s">
        <v>10112</v>
      </c>
    </row>
    <row r="2636" spans="2:3" hidden="1" x14ac:dyDescent="0.25">
      <c r="B2636" s="65">
        <v>36490</v>
      </c>
      <c r="C2636" t="s">
        <v>9591</v>
      </c>
    </row>
    <row r="2637" spans="2:3" hidden="1" x14ac:dyDescent="0.25">
      <c r="B2637" s="65">
        <v>36490</v>
      </c>
      <c r="C2637" t="s">
        <v>3848</v>
      </c>
    </row>
    <row r="2638" spans="2:3" hidden="1" x14ac:dyDescent="0.25">
      <c r="B2638" s="65">
        <v>36489</v>
      </c>
      <c r="C2638" t="s">
        <v>994</v>
      </c>
    </row>
    <row r="2639" spans="2:3" hidden="1" x14ac:dyDescent="0.25">
      <c r="B2639" s="65">
        <v>36489</v>
      </c>
      <c r="C2639" t="s">
        <v>10096</v>
      </c>
    </row>
    <row r="2640" spans="2:3" hidden="1" x14ac:dyDescent="0.25">
      <c r="B2640" s="65">
        <v>36489</v>
      </c>
      <c r="C2640" t="s">
        <v>63</v>
      </c>
    </row>
    <row r="2641" spans="2:3" hidden="1" x14ac:dyDescent="0.25">
      <c r="B2641" s="65">
        <v>36489</v>
      </c>
      <c r="C2641" t="s">
        <v>10203</v>
      </c>
    </row>
    <row r="2642" spans="2:3" hidden="1" x14ac:dyDescent="0.25">
      <c r="B2642" s="65">
        <v>36488</v>
      </c>
      <c r="C2642" t="s">
        <v>9856</v>
      </c>
    </row>
    <row r="2643" spans="2:3" hidden="1" x14ac:dyDescent="0.25">
      <c r="B2643" s="65">
        <v>36487</v>
      </c>
      <c r="C2643" t="s">
        <v>9564</v>
      </c>
    </row>
    <row r="2644" spans="2:3" hidden="1" x14ac:dyDescent="0.25">
      <c r="B2644" s="65">
        <v>36487</v>
      </c>
      <c r="C2644" t="s">
        <v>9813</v>
      </c>
    </row>
    <row r="2645" spans="2:3" hidden="1" x14ac:dyDescent="0.25">
      <c r="B2645" s="65">
        <v>36485</v>
      </c>
      <c r="C2645" t="s">
        <v>9581</v>
      </c>
    </row>
    <row r="2646" spans="2:3" hidden="1" x14ac:dyDescent="0.25">
      <c r="B2646" s="65">
        <v>36484</v>
      </c>
      <c r="C2646" t="s">
        <v>9573</v>
      </c>
    </row>
    <row r="2647" spans="2:3" hidden="1" x14ac:dyDescent="0.25">
      <c r="B2647" s="65">
        <v>36484</v>
      </c>
      <c r="C2647" t="s">
        <v>9809</v>
      </c>
    </row>
    <row r="2648" spans="2:3" hidden="1" x14ac:dyDescent="0.25">
      <c r="B2648" s="65">
        <v>36484</v>
      </c>
      <c r="C2648" t="s">
        <v>10188</v>
      </c>
    </row>
    <row r="2649" spans="2:3" hidden="1" x14ac:dyDescent="0.25">
      <c r="B2649" s="65">
        <v>36484</v>
      </c>
      <c r="C2649" t="s">
        <v>2485</v>
      </c>
    </row>
    <row r="2650" spans="2:3" hidden="1" x14ac:dyDescent="0.25">
      <c r="B2650" s="65">
        <v>36483</v>
      </c>
      <c r="C2650" t="s">
        <v>9669</v>
      </c>
    </row>
    <row r="2651" spans="2:3" hidden="1" x14ac:dyDescent="0.25">
      <c r="B2651" s="65">
        <v>36483</v>
      </c>
      <c r="C2651" t="s">
        <v>9847</v>
      </c>
    </row>
    <row r="2652" spans="2:3" hidden="1" x14ac:dyDescent="0.25">
      <c r="B2652" s="65">
        <v>36482</v>
      </c>
      <c r="C2652" t="s">
        <v>6815</v>
      </c>
    </row>
    <row r="2653" spans="2:3" hidden="1" x14ac:dyDescent="0.25">
      <c r="B2653" s="65">
        <v>36482</v>
      </c>
      <c r="C2653" t="s">
        <v>10010</v>
      </c>
    </row>
    <row r="2654" spans="2:3" hidden="1" x14ac:dyDescent="0.25">
      <c r="B2654" s="65">
        <v>36481</v>
      </c>
      <c r="C2654" t="s">
        <v>9788</v>
      </c>
    </row>
    <row r="2655" spans="2:3" hidden="1" x14ac:dyDescent="0.25">
      <c r="B2655" s="65">
        <v>36481</v>
      </c>
      <c r="C2655" t="s">
        <v>5519</v>
      </c>
    </row>
    <row r="2656" spans="2:3" hidden="1" x14ac:dyDescent="0.25">
      <c r="B2656" s="65">
        <v>36479</v>
      </c>
      <c r="C2656" t="s">
        <v>3290</v>
      </c>
    </row>
    <row r="2657" spans="2:3" hidden="1" x14ac:dyDescent="0.25">
      <c r="B2657" s="65">
        <v>36479</v>
      </c>
      <c r="C2657" t="s">
        <v>9712</v>
      </c>
    </row>
    <row r="2658" spans="2:3" hidden="1" x14ac:dyDescent="0.25">
      <c r="B2658" s="65">
        <v>36478</v>
      </c>
      <c r="C2658" t="s">
        <v>9524</v>
      </c>
    </row>
    <row r="2659" spans="2:3" hidden="1" x14ac:dyDescent="0.25">
      <c r="B2659" s="65">
        <v>36477</v>
      </c>
      <c r="C2659" t="s">
        <v>8160</v>
      </c>
    </row>
    <row r="2660" spans="2:3" hidden="1" x14ac:dyDescent="0.25">
      <c r="B2660" s="65">
        <v>36477</v>
      </c>
      <c r="C2660" t="s">
        <v>2105</v>
      </c>
    </row>
    <row r="2661" spans="2:3" hidden="1" x14ac:dyDescent="0.25">
      <c r="B2661" s="65">
        <v>36477</v>
      </c>
      <c r="C2661" t="s">
        <v>9528</v>
      </c>
    </row>
    <row r="2662" spans="2:3" hidden="1" x14ac:dyDescent="0.25">
      <c r="B2662" s="65">
        <v>36476</v>
      </c>
      <c r="C2662" t="s">
        <v>9288</v>
      </c>
    </row>
    <row r="2663" spans="2:3" hidden="1" x14ac:dyDescent="0.25">
      <c r="B2663" s="65">
        <v>36475</v>
      </c>
      <c r="C2663" t="s">
        <v>4091</v>
      </c>
    </row>
    <row r="2664" spans="2:3" hidden="1" x14ac:dyDescent="0.25">
      <c r="B2664" s="65">
        <v>36475</v>
      </c>
      <c r="C2664" t="s">
        <v>9429</v>
      </c>
    </row>
    <row r="2665" spans="2:3" hidden="1" x14ac:dyDescent="0.25">
      <c r="B2665" s="65">
        <v>36475</v>
      </c>
      <c r="C2665" t="s">
        <v>4115</v>
      </c>
    </row>
    <row r="2666" spans="2:3" hidden="1" x14ac:dyDescent="0.25">
      <c r="B2666" s="65">
        <v>36474</v>
      </c>
      <c r="C2666" t="s">
        <v>9328</v>
      </c>
    </row>
    <row r="2667" spans="2:3" hidden="1" x14ac:dyDescent="0.25">
      <c r="B2667" s="65">
        <v>36474</v>
      </c>
      <c r="C2667" t="s">
        <v>9378</v>
      </c>
    </row>
    <row r="2668" spans="2:3" hidden="1" x14ac:dyDescent="0.25">
      <c r="B2668" s="65">
        <v>36474</v>
      </c>
      <c r="C2668" t="s">
        <v>9475</v>
      </c>
    </row>
    <row r="2669" spans="2:3" hidden="1" x14ac:dyDescent="0.25">
      <c r="B2669" s="65">
        <v>36473</v>
      </c>
      <c r="C2669" t="s">
        <v>9350</v>
      </c>
    </row>
    <row r="2670" spans="2:3" hidden="1" x14ac:dyDescent="0.25">
      <c r="B2670" s="65">
        <v>36472</v>
      </c>
      <c r="C2670" t="s">
        <v>5633</v>
      </c>
    </row>
    <row r="2671" spans="2:3" hidden="1" x14ac:dyDescent="0.25">
      <c r="B2671" s="65">
        <v>36471</v>
      </c>
      <c r="C2671" t="s">
        <v>9498</v>
      </c>
    </row>
    <row r="2672" spans="2:3" hidden="1" x14ac:dyDescent="0.25">
      <c r="B2672" s="65">
        <v>36469</v>
      </c>
      <c r="C2672" t="s">
        <v>2286</v>
      </c>
    </row>
    <row r="2673" spans="2:3" hidden="1" x14ac:dyDescent="0.25">
      <c r="B2673" s="65">
        <v>36469</v>
      </c>
      <c r="C2673" t="s">
        <v>9359</v>
      </c>
    </row>
    <row r="2674" spans="2:3" hidden="1" x14ac:dyDescent="0.25">
      <c r="B2674" s="65">
        <v>36468</v>
      </c>
      <c r="C2674" t="s">
        <v>9181</v>
      </c>
    </row>
    <row r="2675" spans="2:3" hidden="1" x14ac:dyDescent="0.25">
      <c r="B2675" s="65">
        <v>36468</v>
      </c>
      <c r="C2675" t="s">
        <v>6754</v>
      </c>
    </row>
    <row r="2676" spans="2:3" hidden="1" x14ac:dyDescent="0.25">
      <c r="B2676" s="65">
        <v>36467</v>
      </c>
      <c r="C2676" t="s">
        <v>9216</v>
      </c>
    </row>
    <row r="2677" spans="2:3" hidden="1" x14ac:dyDescent="0.25">
      <c r="B2677" s="65">
        <v>36467</v>
      </c>
      <c r="C2677" t="s">
        <v>9221</v>
      </c>
    </row>
    <row r="2678" spans="2:3" hidden="1" x14ac:dyDescent="0.25">
      <c r="B2678" s="65">
        <v>36467</v>
      </c>
      <c r="C2678" t="s">
        <v>9370</v>
      </c>
    </row>
    <row r="2679" spans="2:3" hidden="1" x14ac:dyDescent="0.25">
      <c r="B2679" s="65">
        <v>36467</v>
      </c>
      <c r="C2679" t="s">
        <v>2209</v>
      </c>
    </row>
    <row r="2680" spans="2:3" hidden="1" x14ac:dyDescent="0.25">
      <c r="B2680" s="65">
        <v>36465</v>
      </c>
      <c r="C2680" t="s">
        <v>9211</v>
      </c>
    </row>
    <row r="2681" spans="2:3" hidden="1" x14ac:dyDescent="0.25">
      <c r="B2681" s="65">
        <v>36465</v>
      </c>
      <c r="C2681" t="s">
        <v>2759</v>
      </c>
    </row>
    <row r="2682" spans="2:3" hidden="1" x14ac:dyDescent="0.25">
      <c r="B2682" s="65">
        <v>36465</v>
      </c>
      <c r="C2682" t="s">
        <v>9432</v>
      </c>
    </row>
    <row r="2683" spans="2:3" hidden="1" x14ac:dyDescent="0.25">
      <c r="B2683" s="65">
        <v>36463</v>
      </c>
      <c r="C2683" t="s">
        <v>8796</v>
      </c>
    </row>
    <row r="2684" spans="2:3" hidden="1" x14ac:dyDescent="0.25">
      <c r="B2684" s="65">
        <v>36461</v>
      </c>
      <c r="C2684" t="s">
        <v>46</v>
      </c>
    </row>
    <row r="2685" spans="2:3" hidden="1" x14ac:dyDescent="0.25">
      <c r="B2685" s="65">
        <v>36461</v>
      </c>
      <c r="C2685" t="s">
        <v>6852</v>
      </c>
    </row>
    <row r="2686" spans="2:3" hidden="1" x14ac:dyDescent="0.25">
      <c r="B2686" s="65">
        <v>36461</v>
      </c>
      <c r="C2686" t="s">
        <v>9386</v>
      </c>
    </row>
    <row r="2687" spans="2:3" hidden="1" x14ac:dyDescent="0.25">
      <c r="B2687" s="65">
        <v>36461</v>
      </c>
      <c r="C2687" t="s">
        <v>7545</v>
      </c>
    </row>
    <row r="2688" spans="2:3" hidden="1" x14ac:dyDescent="0.25">
      <c r="B2688" s="65">
        <v>36460</v>
      </c>
      <c r="C2688" t="s">
        <v>9318</v>
      </c>
    </row>
    <row r="2689" spans="2:3" hidden="1" x14ac:dyDescent="0.25">
      <c r="B2689" s="65">
        <v>36460</v>
      </c>
      <c r="C2689" t="s">
        <v>9419</v>
      </c>
    </row>
    <row r="2690" spans="2:3" hidden="1" x14ac:dyDescent="0.25">
      <c r="B2690" s="65">
        <v>36460</v>
      </c>
      <c r="C2690" t="s">
        <v>874</v>
      </c>
    </row>
    <row r="2691" spans="2:3" hidden="1" x14ac:dyDescent="0.25">
      <c r="B2691" s="65">
        <v>36459</v>
      </c>
      <c r="C2691" t="s">
        <v>9267</v>
      </c>
    </row>
    <row r="2692" spans="2:3" hidden="1" x14ac:dyDescent="0.25">
      <c r="B2692" s="65">
        <v>36459</v>
      </c>
      <c r="C2692" t="s">
        <v>3368</v>
      </c>
    </row>
    <row r="2693" spans="2:3" hidden="1" x14ac:dyDescent="0.25">
      <c r="B2693" s="65">
        <v>36459</v>
      </c>
      <c r="C2693" t="s">
        <v>7930</v>
      </c>
    </row>
    <row r="2694" spans="2:3" hidden="1" x14ac:dyDescent="0.25">
      <c r="B2694" s="65">
        <v>36457</v>
      </c>
      <c r="C2694" t="s">
        <v>9245</v>
      </c>
    </row>
    <row r="2695" spans="2:3" hidden="1" x14ac:dyDescent="0.25">
      <c r="B2695" s="65">
        <v>36457</v>
      </c>
      <c r="C2695" t="s">
        <v>9382</v>
      </c>
    </row>
    <row r="2696" spans="2:3" hidden="1" x14ac:dyDescent="0.25">
      <c r="B2696" s="65">
        <v>36456</v>
      </c>
      <c r="C2696" t="s">
        <v>9479</v>
      </c>
    </row>
    <row r="2697" spans="2:3" hidden="1" x14ac:dyDescent="0.25">
      <c r="B2697" s="65">
        <v>36455</v>
      </c>
      <c r="C2697" t="s">
        <v>9314</v>
      </c>
    </row>
    <row r="2698" spans="2:3" hidden="1" x14ac:dyDescent="0.25">
      <c r="B2698" s="65">
        <v>36455</v>
      </c>
      <c r="C2698" t="s">
        <v>8693</v>
      </c>
    </row>
    <row r="2699" spans="2:3" hidden="1" x14ac:dyDescent="0.25">
      <c r="B2699" s="65">
        <v>36454</v>
      </c>
      <c r="C2699" t="s">
        <v>9241</v>
      </c>
    </row>
    <row r="2700" spans="2:3" hidden="1" x14ac:dyDescent="0.25">
      <c r="B2700" s="65">
        <v>36454</v>
      </c>
      <c r="C2700" t="s">
        <v>9254</v>
      </c>
    </row>
    <row r="2701" spans="2:3" hidden="1" x14ac:dyDescent="0.25">
      <c r="B2701" s="65">
        <v>36453</v>
      </c>
      <c r="C2701" t="s">
        <v>2343</v>
      </c>
    </row>
    <row r="2702" spans="2:3" hidden="1" x14ac:dyDescent="0.25">
      <c r="B2702" s="65">
        <v>36452</v>
      </c>
      <c r="C2702" t="s">
        <v>9282</v>
      </c>
    </row>
    <row r="2703" spans="2:3" hidden="1" x14ac:dyDescent="0.25">
      <c r="B2703" s="65">
        <v>36452</v>
      </c>
      <c r="C2703" t="s">
        <v>9303</v>
      </c>
    </row>
    <row r="2704" spans="2:3" hidden="1" x14ac:dyDescent="0.25">
      <c r="B2704" s="65">
        <v>36450</v>
      </c>
      <c r="C2704" t="s">
        <v>9455</v>
      </c>
    </row>
    <row r="2705" spans="2:3" hidden="1" x14ac:dyDescent="0.25">
      <c r="B2705" s="65">
        <v>36450</v>
      </c>
      <c r="C2705" t="s">
        <v>9504</v>
      </c>
    </row>
    <row r="2706" spans="2:3" hidden="1" x14ac:dyDescent="0.25">
      <c r="B2706" s="65">
        <v>36449</v>
      </c>
      <c r="C2706" t="s">
        <v>7278</v>
      </c>
    </row>
    <row r="2707" spans="2:3" hidden="1" x14ac:dyDescent="0.25">
      <c r="B2707" s="65">
        <v>36448</v>
      </c>
      <c r="C2707" t="s">
        <v>2511</v>
      </c>
    </row>
    <row r="2708" spans="2:3" hidden="1" x14ac:dyDescent="0.25">
      <c r="B2708" s="65">
        <v>36448</v>
      </c>
      <c r="C2708" t="s">
        <v>9408</v>
      </c>
    </row>
    <row r="2709" spans="2:3" hidden="1" x14ac:dyDescent="0.25">
      <c r="B2709" s="65">
        <v>36447</v>
      </c>
      <c r="C2709" t="s">
        <v>9270</v>
      </c>
    </row>
    <row r="2710" spans="2:3" hidden="1" x14ac:dyDescent="0.25">
      <c r="B2710" s="65">
        <v>36447</v>
      </c>
      <c r="C2710" t="s">
        <v>9276</v>
      </c>
    </row>
    <row r="2711" spans="2:3" hidden="1" x14ac:dyDescent="0.25">
      <c r="B2711" s="65">
        <v>36447</v>
      </c>
      <c r="C2711" t="s">
        <v>6898</v>
      </c>
    </row>
    <row r="2712" spans="2:3" hidden="1" x14ac:dyDescent="0.25">
      <c r="B2712" s="65">
        <v>36447</v>
      </c>
      <c r="C2712" t="s">
        <v>954</v>
      </c>
    </row>
    <row r="2713" spans="2:3" hidden="1" x14ac:dyDescent="0.25">
      <c r="B2713" s="65">
        <v>36446</v>
      </c>
      <c r="C2713" t="s">
        <v>5325</v>
      </c>
    </row>
    <row r="2714" spans="2:3" hidden="1" x14ac:dyDescent="0.25">
      <c r="B2714" s="65">
        <v>36446</v>
      </c>
      <c r="C2714" t="s">
        <v>3962</v>
      </c>
    </row>
    <row r="2715" spans="2:3" hidden="1" x14ac:dyDescent="0.25">
      <c r="B2715" s="65">
        <v>36445</v>
      </c>
      <c r="C2715" t="s">
        <v>834</v>
      </c>
    </row>
    <row r="2716" spans="2:3" hidden="1" x14ac:dyDescent="0.25">
      <c r="B2716" s="65">
        <v>36445</v>
      </c>
      <c r="C2716" t="s">
        <v>9438</v>
      </c>
    </row>
    <row r="2717" spans="2:3" hidden="1" x14ac:dyDescent="0.25">
      <c r="B2717" s="65">
        <v>36444</v>
      </c>
      <c r="C2717" t="s">
        <v>9258</v>
      </c>
    </row>
    <row r="2718" spans="2:3" hidden="1" x14ac:dyDescent="0.25">
      <c r="B2718" s="65">
        <v>36444</v>
      </c>
      <c r="C2718" t="s">
        <v>9300</v>
      </c>
    </row>
    <row r="2719" spans="2:3" hidden="1" x14ac:dyDescent="0.25">
      <c r="B2719" s="65">
        <v>36443</v>
      </c>
      <c r="C2719" t="s">
        <v>9342</v>
      </c>
    </row>
    <row r="2720" spans="2:3" hidden="1" x14ac:dyDescent="0.25">
      <c r="B2720" s="65">
        <v>36443</v>
      </c>
      <c r="C2720" t="s">
        <v>9464</v>
      </c>
    </row>
    <row r="2721" spans="2:3" hidden="1" x14ac:dyDescent="0.25">
      <c r="B2721" s="65">
        <v>36443</v>
      </c>
      <c r="C2721" t="s">
        <v>7465</v>
      </c>
    </row>
    <row r="2722" spans="2:3" hidden="1" x14ac:dyDescent="0.25">
      <c r="B2722" s="65">
        <v>36442</v>
      </c>
      <c r="C2722" t="s">
        <v>9232</v>
      </c>
    </row>
    <row r="2723" spans="2:3" hidden="1" x14ac:dyDescent="0.25">
      <c r="B2723" s="65">
        <v>36442</v>
      </c>
      <c r="C2723" t="s">
        <v>9250</v>
      </c>
    </row>
    <row r="2724" spans="2:3" hidden="1" x14ac:dyDescent="0.25">
      <c r="B2724" s="65">
        <v>36442</v>
      </c>
      <c r="C2724" t="s">
        <v>9445</v>
      </c>
    </row>
    <row r="2725" spans="2:3" hidden="1" x14ac:dyDescent="0.25">
      <c r="B2725" s="65">
        <v>36440</v>
      </c>
      <c r="C2725" t="s">
        <v>9367</v>
      </c>
    </row>
    <row r="2726" spans="2:3" hidden="1" x14ac:dyDescent="0.25">
      <c r="B2726" s="65">
        <v>36438</v>
      </c>
      <c r="C2726" t="s">
        <v>1435</v>
      </c>
    </row>
    <row r="2727" spans="2:3" hidden="1" x14ac:dyDescent="0.25">
      <c r="B2727" s="65">
        <v>36438</v>
      </c>
      <c r="C2727" t="s">
        <v>5791</v>
      </c>
    </row>
    <row r="2728" spans="2:3" hidden="1" x14ac:dyDescent="0.25">
      <c r="B2728" s="65">
        <v>36438</v>
      </c>
      <c r="C2728" t="s">
        <v>9157</v>
      </c>
    </row>
    <row r="2729" spans="2:3" hidden="1" x14ac:dyDescent="0.25">
      <c r="B2729" s="65">
        <v>36437</v>
      </c>
      <c r="C2729" t="s">
        <v>9262</v>
      </c>
    </row>
    <row r="2730" spans="2:3" hidden="1" x14ac:dyDescent="0.25">
      <c r="B2730" s="65">
        <v>36437</v>
      </c>
      <c r="C2730" t="s">
        <v>9346</v>
      </c>
    </row>
    <row r="2731" spans="2:3" hidden="1" x14ac:dyDescent="0.25">
      <c r="B2731" s="65">
        <v>36437</v>
      </c>
      <c r="C2731" t="s">
        <v>9460</v>
      </c>
    </row>
    <row r="2732" spans="2:3" hidden="1" x14ac:dyDescent="0.25">
      <c r="B2732" s="65">
        <v>36436</v>
      </c>
      <c r="C2732" t="s">
        <v>4065</v>
      </c>
    </row>
    <row r="2733" spans="2:3" hidden="1" x14ac:dyDescent="0.25">
      <c r="B2733" s="65">
        <v>36436</v>
      </c>
      <c r="C2733" t="s">
        <v>9354</v>
      </c>
    </row>
    <row r="2734" spans="2:3" hidden="1" x14ac:dyDescent="0.25">
      <c r="B2734" s="65">
        <v>36436</v>
      </c>
      <c r="C2734" t="s">
        <v>9399</v>
      </c>
    </row>
    <row r="2735" spans="2:3" hidden="1" x14ac:dyDescent="0.25">
      <c r="B2735" s="65">
        <v>36436</v>
      </c>
      <c r="C2735" t="s">
        <v>9485</v>
      </c>
    </row>
    <row r="2736" spans="2:3" hidden="1" x14ac:dyDescent="0.25">
      <c r="B2736" s="65">
        <v>36435</v>
      </c>
      <c r="C2736" t="s">
        <v>177</v>
      </c>
    </row>
    <row r="2737" spans="2:3" hidden="1" x14ac:dyDescent="0.25">
      <c r="B2737" s="65">
        <v>36435</v>
      </c>
      <c r="C2737" t="s">
        <v>9394</v>
      </c>
    </row>
    <row r="2738" spans="2:3" hidden="1" x14ac:dyDescent="0.25">
      <c r="B2738" s="65">
        <v>36434</v>
      </c>
      <c r="C2738" t="s">
        <v>5109</v>
      </c>
    </row>
    <row r="2739" spans="2:3" hidden="1" x14ac:dyDescent="0.25">
      <c r="B2739" s="65">
        <v>36433</v>
      </c>
      <c r="C2739" t="s">
        <v>9324</v>
      </c>
    </row>
    <row r="2740" spans="2:3" hidden="1" x14ac:dyDescent="0.25">
      <c r="B2740" s="65">
        <v>36433</v>
      </c>
      <c r="C2740" t="s">
        <v>9489</v>
      </c>
    </row>
    <row r="2741" spans="2:3" hidden="1" x14ac:dyDescent="0.25">
      <c r="B2741" s="65">
        <v>36432</v>
      </c>
      <c r="C2741" t="s">
        <v>3699</v>
      </c>
    </row>
    <row r="2742" spans="2:3" hidden="1" x14ac:dyDescent="0.25">
      <c r="B2742" s="65">
        <v>36432</v>
      </c>
      <c r="C2742" t="s">
        <v>9336</v>
      </c>
    </row>
    <row r="2743" spans="2:3" hidden="1" x14ac:dyDescent="0.25">
      <c r="B2743" s="65">
        <v>36431</v>
      </c>
      <c r="C2743" t="s">
        <v>8867</v>
      </c>
    </row>
    <row r="2744" spans="2:3" hidden="1" x14ac:dyDescent="0.25">
      <c r="B2744" s="65">
        <v>36431</v>
      </c>
      <c r="C2744" t="s">
        <v>9294</v>
      </c>
    </row>
    <row r="2745" spans="2:3" hidden="1" x14ac:dyDescent="0.25">
      <c r="B2745" s="65">
        <v>36429</v>
      </c>
      <c r="C2745" t="s">
        <v>8872</v>
      </c>
    </row>
    <row r="2746" spans="2:3" hidden="1" x14ac:dyDescent="0.25">
      <c r="B2746" s="65">
        <v>36429</v>
      </c>
      <c r="C2746" t="s">
        <v>2846</v>
      </c>
    </row>
    <row r="2747" spans="2:3" hidden="1" x14ac:dyDescent="0.25">
      <c r="B2747" s="65">
        <v>36428</v>
      </c>
      <c r="C2747" t="s">
        <v>8751</v>
      </c>
    </row>
    <row r="2748" spans="2:3" hidden="1" x14ac:dyDescent="0.25">
      <c r="B2748" s="65">
        <v>36428</v>
      </c>
      <c r="C2748" t="s">
        <v>8992</v>
      </c>
    </row>
    <row r="2749" spans="2:3" hidden="1" x14ac:dyDescent="0.25">
      <c r="B2749" s="65">
        <v>36428</v>
      </c>
      <c r="C2749" t="s">
        <v>9089</v>
      </c>
    </row>
    <row r="2750" spans="2:3" hidden="1" x14ac:dyDescent="0.25">
      <c r="B2750" s="65">
        <v>36426</v>
      </c>
      <c r="C2750" t="s">
        <v>8979</v>
      </c>
    </row>
    <row r="2751" spans="2:3" hidden="1" x14ac:dyDescent="0.25">
      <c r="B2751" s="65">
        <v>36425</v>
      </c>
      <c r="C2751" t="s">
        <v>8288</v>
      </c>
    </row>
    <row r="2752" spans="2:3" hidden="1" x14ac:dyDescent="0.25">
      <c r="B2752" s="65">
        <v>36423</v>
      </c>
      <c r="C2752" t="s">
        <v>8926</v>
      </c>
    </row>
    <row r="2753" spans="2:3" hidden="1" x14ac:dyDescent="0.25">
      <c r="B2753" s="65">
        <v>36423</v>
      </c>
      <c r="C2753" t="s">
        <v>9079</v>
      </c>
    </row>
    <row r="2754" spans="2:3" hidden="1" x14ac:dyDescent="0.25">
      <c r="B2754" s="65">
        <v>36422</v>
      </c>
      <c r="C2754" t="s">
        <v>2856</v>
      </c>
    </row>
    <row r="2755" spans="2:3" hidden="1" x14ac:dyDescent="0.25">
      <c r="B2755" s="65">
        <v>36422</v>
      </c>
      <c r="C2755" t="s">
        <v>2360</v>
      </c>
    </row>
    <row r="2756" spans="2:3" hidden="1" x14ac:dyDescent="0.25">
      <c r="B2756" s="65">
        <v>36421</v>
      </c>
      <c r="C2756" t="s">
        <v>8792</v>
      </c>
    </row>
    <row r="2757" spans="2:3" hidden="1" x14ac:dyDescent="0.25">
      <c r="B2757" s="65">
        <v>36420</v>
      </c>
      <c r="C2757" t="s">
        <v>4637</v>
      </c>
    </row>
    <row r="2758" spans="2:3" hidden="1" x14ac:dyDescent="0.25">
      <c r="B2758" s="65">
        <v>36419</v>
      </c>
      <c r="C2758" t="s">
        <v>8770</v>
      </c>
    </row>
    <row r="2759" spans="2:3" hidden="1" x14ac:dyDescent="0.25">
      <c r="B2759" s="65">
        <v>36419</v>
      </c>
      <c r="C2759" t="s">
        <v>8815</v>
      </c>
    </row>
    <row r="2760" spans="2:3" hidden="1" x14ac:dyDescent="0.25">
      <c r="B2760" s="65">
        <v>36419</v>
      </c>
      <c r="C2760" t="s">
        <v>8892</v>
      </c>
    </row>
    <row r="2761" spans="2:3" hidden="1" x14ac:dyDescent="0.25">
      <c r="B2761" s="65">
        <v>36419</v>
      </c>
      <c r="C2761" t="s">
        <v>8975</v>
      </c>
    </row>
    <row r="2762" spans="2:3" hidden="1" x14ac:dyDescent="0.25">
      <c r="B2762" s="65">
        <v>36419</v>
      </c>
      <c r="C2762" t="s">
        <v>9072</v>
      </c>
    </row>
    <row r="2763" spans="2:3" hidden="1" x14ac:dyDescent="0.25">
      <c r="B2763" s="65">
        <v>36418</v>
      </c>
      <c r="C2763" t="s">
        <v>7545</v>
      </c>
    </row>
    <row r="2764" spans="2:3" hidden="1" x14ac:dyDescent="0.25">
      <c r="B2764" s="65">
        <v>36418</v>
      </c>
      <c r="C2764" t="s">
        <v>6607</v>
      </c>
    </row>
    <row r="2765" spans="2:3" hidden="1" x14ac:dyDescent="0.25">
      <c r="B2765" s="65">
        <v>36417</v>
      </c>
      <c r="C2765" t="s">
        <v>2542</v>
      </c>
    </row>
    <row r="2766" spans="2:3" hidden="1" x14ac:dyDescent="0.25">
      <c r="B2766" s="65">
        <v>36416</v>
      </c>
      <c r="C2766" t="s">
        <v>8876</v>
      </c>
    </row>
    <row r="2767" spans="2:3" hidden="1" x14ac:dyDescent="0.25">
      <c r="B2767" s="65">
        <v>36414</v>
      </c>
      <c r="C2767" t="s">
        <v>8760</v>
      </c>
    </row>
    <row r="2768" spans="2:3" hidden="1" x14ac:dyDescent="0.25">
      <c r="B2768" s="65">
        <v>36414</v>
      </c>
      <c r="C2768" t="s">
        <v>8955</v>
      </c>
    </row>
    <row r="2769" spans="2:3" hidden="1" x14ac:dyDescent="0.25">
      <c r="B2769" s="65">
        <v>36412</v>
      </c>
      <c r="C2769" t="s">
        <v>9097</v>
      </c>
    </row>
    <row r="2770" spans="2:3" hidden="1" x14ac:dyDescent="0.25">
      <c r="B2770" s="65">
        <v>36411</v>
      </c>
      <c r="C2770" t="s">
        <v>8837</v>
      </c>
    </row>
    <row r="2771" spans="2:3" hidden="1" x14ac:dyDescent="0.25">
      <c r="B2771" s="65">
        <v>36411</v>
      </c>
      <c r="C2771" t="s">
        <v>8910</v>
      </c>
    </row>
    <row r="2772" spans="2:3" hidden="1" x14ac:dyDescent="0.25">
      <c r="B2772" s="65">
        <v>36411</v>
      </c>
      <c r="C2772" t="s">
        <v>8960</v>
      </c>
    </row>
    <row r="2773" spans="2:3" hidden="1" x14ac:dyDescent="0.25">
      <c r="B2773" s="65">
        <v>36411</v>
      </c>
      <c r="C2773" t="s">
        <v>8970</v>
      </c>
    </row>
    <row r="2774" spans="2:3" hidden="1" x14ac:dyDescent="0.25">
      <c r="B2774" s="65">
        <v>36410</v>
      </c>
      <c r="C2774" t="s">
        <v>8818</v>
      </c>
    </row>
    <row r="2775" spans="2:3" hidden="1" x14ac:dyDescent="0.25">
      <c r="B2775" s="65">
        <v>36405</v>
      </c>
      <c r="C2775" t="s">
        <v>9145</v>
      </c>
    </row>
    <row r="2776" spans="2:3" hidden="1" x14ac:dyDescent="0.25">
      <c r="B2776" s="65">
        <v>36404</v>
      </c>
      <c r="C2776" t="s">
        <v>8780</v>
      </c>
    </row>
    <row r="2777" spans="2:3" hidden="1" x14ac:dyDescent="0.25">
      <c r="B2777" s="65">
        <v>36402</v>
      </c>
      <c r="C2777" t="s">
        <v>8774</v>
      </c>
    </row>
    <row r="2778" spans="2:3" hidden="1" x14ac:dyDescent="0.25">
      <c r="B2778" s="65">
        <v>36402</v>
      </c>
      <c r="C2778" t="s">
        <v>8883</v>
      </c>
    </row>
    <row r="2779" spans="2:3" hidden="1" x14ac:dyDescent="0.25">
      <c r="B2779" s="65">
        <v>36401</v>
      </c>
      <c r="C2779" t="s">
        <v>8863</v>
      </c>
    </row>
    <row r="2780" spans="2:3" hidden="1" x14ac:dyDescent="0.25">
      <c r="B2780" s="65">
        <v>36399</v>
      </c>
      <c r="C2780" t="s">
        <v>8903</v>
      </c>
    </row>
    <row r="2781" spans="2:3" hidden="1" x14ac:dyDescent="0.25">
      <c r="B2781" s="65">
        <v>36399</v>
      </c>
      <c r="C2781" t="s">
        <v>3830</v>
      </c>
    </row>
    <row r="2782" spans="2:3" hidden="1" x14ac:dyDescent="0.25">
      <c r="B2782" s="65">
        <v>36398</v>
      </c>
      <c r="C2782" t="s">
        <v>9013</v>
      </c>
    </row>
    <row r="2783" spans="2:3" hidden="1" x14ac:dyDescent="0.25">
      <c r="B2783" s="65">
        <v>36396</v>
      </c>
      <c r="C2783" t="s">
        <v>9169</v>
      </c>
    </row>
    <row r="2784" spans="2:3" hidden="1" x14ac:dyDescent="0.25">
      <c r="B2784" s="65">
        <v>36395</v>
      </c>
      <c r="C2784" t="s">
        <v>8982</v>
      </c>
    </row>
    <row r="2785" spans="2:3" hidden="1" x14ac:dyDescent="0.25">
      <c r="B2785" s="65">
        <v>36392</v>
      </c>
      <c r="C2785" t="s">
        <v>8897</v>
      </c>
    </row>
    <row r="2786" spans="2:3" hidden="1" x14ac:dyDescent="0.25">
      <c r="B2786" s="65">
        <v>36392</v>
      </c>
      <c r="C2786" t="s">
        <v>4637</v>
      </c>
    </row>
    <row r="2787" spans="2:3" hidden="1" x14ac:dyDescent="0.25">
      <c r="B2787" s="65">
        <v>36392</v>
      </c>
      <c r="C2787" t="s">
        <v>4171</v>
      </c>
    </row>
    <row r="2788" spans="2:3" hidden="1" x14ac:dyDescent="0.25">
      <c r="B2788" s="65">
        <v>36391</v>
      </c>
      <c r="C2788" t="s">
        <v>6327</v>
      </c>
    </row>
    <row r="2789" spans="2:3" hidden="1" x14ac:dyDescent="0.25">
      <c r="B2789" s="65">
        <v>36391</v>
      </c>
      <c r="C2789" t="s">
        <v>9134</v>
      </c>
    </row>
    <row r="2790" spans="2:3" hidden="1" x14ac:dyDescent="0.25">
      <c r="B2790" s="65">
        <v>36390</v>
      </c>
      <c r="C2790" t="s">
        <v>3624</v>
      </c>
    </row>
    <row r="2791" spans="2:3" hidden="1" x14ac:dyDescent="0.25">
      <c r="B2791" s="65">
        <v>36390</v>
      </c>
      <c r="C2791" t="s">
        <v>8933</v>
      </c>
    </row>
    <row r="2792" spans="2:3" hidden="1" x14ac:dyDescent="0.25">
      <c r="B2792" s="65">
        <v>36389</v>
      </c>
      <c r="C2792" t="s">
        <v>9038</v>
      </c>
    </row>
    <row r="2793" spans="2:3" hidden="1" x14ac:dyDescent="0.25">
      <c r="B2793" s="65">
        <v>36389</v>
      </c>
      <c r="C2793" t="s">
        <v>9042</v>
      </c>
    </row>
    <row r="2794" spans="2:3" hidden="1" x14ac:dyDescent="0.25">
      <c r="B2794" s="65">
        <v>36388</v>
      </c>
      <c r="C2794" t="s">
        <v>8809</v>
      </c>
    </row>
    <row r="2795" spans="2:3" hidden="1" x14ac:dyDescent="0.25">
      <c r="B2795" s="65">
        <v>36388</v>
      </c>
      <c r="C2795" t="s">
        <v>9007</v>
      </c>
    </row>
    <row r="2796" spans="2:3" hidden="1" x14ac:dyDescent="0.25">
      <c r="B2796" s="65">
        <v>36387</v>
      </c>
      <c r="C2796" t="s">
        <v>8945</v>
      </c>
    </row>
    <row r="2797" spans="2:3" hidden="1" x14ac:dyDescent="0.25">
      <c r="B2797" s="65">
        <v>36386</v>
      </c>
      <c r="C2797" t="s">
        <v>4230</v>
      </c>
    </row>
    <row r="2798" spans="2:3" hidden="1" x14ac:dyDescent="0.25">
      <c r="B2798" s="65">
        <v>36386</v>
      </c>
      <c r="C2798" t="s">
        <v>8784</v>
      </c>
    </row>
    <row r="2799" spans="2:3" hidden="1" x14ac:dyDescent="0.25">
      <c r="B2799" s="65">
        <v>36384</v>
      </c>
      <c r="C2799" t="s">
        <v>8986</v>
      </c>
    </row>
    <row r="2800" spans="2:3" hidden="1" x14ac:dyDescent="0.25">
      <c r="B2800" s="65">
        <v>36384</v>
      </c>
      <c r="C2800" t="s">
        <v>9173</v>
      </c>
    </row>
    <row r="2801" spans="2:3" hidden="1" x14ac:dyDescent="0.25">
      <c r="B2801" s="65">
        <v>36383</v>
      </c>
      <c r="C2801" t="s">
        <v>6272</v>
      </c>
    </row>
    <row r="2802" spans="2:3" hidden="1" x14ac:dyDescent="0.25">
      <c r="B2802" s="65">
        <v>36383</v>
      </c>
      <c r="C2802" t="s">
        <v>8922</v>
      </c>
    </row>
    <row r="2803" spans="2:3" hidden="1" x14ac:dyDescent="0.25">
      <c r="B2803" s="65">
        <v>36383</v>
      </c>
      <c r="C2803" t="s">
        <v>8250</v>
      </c>
    </row>
    <row r="2804" spans="2:3" hidden="1" x14ac:dyDescent="0.25">
      <c r="B2804" s="65">
        <v>36383</v>
      </c>
      <c r="C2804" t="s">
        <v>9154</v>
      </c>
    </row>
    <row r="2805" spans="2:3" hidden="1" x14ac:dyDescent="0.25">
      <c r="B2805" s="65">
        <v>36382</v>
      </c>
      <c r="C2805" t="s">
        <v>8746</v>
      </c>
    </row>
    <row r="2806" spans="2:3" hidden="1" x14ac:dyDescent="0.25">
      <c r="B2806" s="65">
        <v>36382</v>
      </c>
      <c r="C2806" t="s">
        <v>8757</v>
      </c>
    </row>
    <row r="2807" spans="2:3" hidden="1" x14ac:dyDescent="0.25">
      <c r="B2807" s="65">
        <v>36380</v>
      </c>
      <c r="C2807" t="s">
        <v>8855</v>
      </c>
    </row>
    <row r="2808" spans="2:3" hidden="1" x14ac:dyDescent="0.25">
      <c r="B2808" s="65">
        <v>36380</v>
      </c>
      <c r="C2808" t="s">
        <v>2485</v>
      </c>
    </row>
    <row r="2809" spans="2:3" hidden="1" x14ac:dyDescent="0.25">
      <c r="B2809" s="65">
        <v>36379</v>
      </c>
      <c r="C2809" t="s">
        <v>2914</v>
      </c>
    </row>
    <row r="2810" spans="2:3" hidden="1" x14ac:dyDescent="0.25">
      <c r="B2810" s="65">
        <v>36379</v>
      </c>
      <c r="C2810" t="s">
        <v>9000</v>
      </c>
    </row>
    <row r="2811" spans="2:3" hidden="1" x14ac:dyDescent="0.25">
      <c r="B2811" s="65">
        <v>36378</v>
      </c>
      <c r="C2811" t="s">
        <v>8831</v>
      </c>
    </row>
    <row r="2812" spans="2:3" hidden="1" x14ac:dyDescent="0.25">
      <c r="B2812" s="65">
        <v>36378</v>
      </c>
      <c r="C2812" t="s">
        <v>8840</v>
      </c>
    </row>
    <row r="2813" spans="2:3" hidden="1" x14ac:dyDescent="0.25">
      <c r="B2813" s="65">
        <v>36378</v>
      </c>
      <c r="C2813" t="s">
        <v>9029</v>
      </c>
    </row>
    <row r="2814" spans="2:3" hidden="1" x14ac:dyDescent="0.25">
      <c r="B2814" s="65">
        <v>36378</v>
      </c>
      <c r="C2814" t="s">
        <v>9113</v>
      </c>
    </row>
    <row r="2815" spans="2:3" hidden="1" x14ac:dyDescent="0.25">
      <c r="B2815" s="65">
        <v>36376</v>
      </c>
      <c r="C2815" t="s">
        <v>1035</v>
      </c>
    </row>
    <row r="2816" spans="2:3" hidden="1" x14ac:dyDescent="0.25">
      <c r="B2816" s="65">
        <v>36376</v>
      </c>
      <c r="C2816" t="s">
        <v>9123</v>
      </c>
    </row>
    <row r="2817" spans="2:3" hidden="1" x14ac:dyDescent="0.25">
      <c r="B2817" s="65">
        <v>36375</v>
      </c>
      <c r="C2817" t="s">
        <v>4593</v>
      </c>
    </row>
    <row r="2818" spans="2:3" hidden="1" x14ac:dyDescent="0.25">
      <c r="B2818" s="65">
        <v>36375</v>
      </c>
      <c r="C2818" t="s">
        <v>9003</v>
      </c>
    </row>
    <row r="2819" spans="2:3" hidden="1" x14ac:dyDescent="0.25">
      <c r="B2819" s="65">
        <v>36375</v>
      </c>
      <c r="C2819" t="s">
        <v>9139</v>
      </c>
    </row>
    <row r="2820" spans="2:3" hidden="1" x14ac:dyDescent="0.25">
      <c r="B2820" s="65">
        <v>36374</v>
      </c>
      <c r="C2820" t="s">
        <v>8727</v>
      </c>
    </row>
    <row r="2821" spans="2:3" hidden="1" x14ac:dyDescent="0.25">
      <c r="B2821" s="65">
        <v>36374</v>
      </c>
      <c r="C2821" t="s">
        <v>6852</v>
      </c>
    </row>
    <row r="2822" spans="2:3" hidden="1" x14ac:dyDescent="0.25">
      <c r="B2822" s="65">
        <v>36374</v>
      </c>
      <c r="C2822" t="s">
        <v>9059</v>
      </c>
    </row>
    <row r="2823" spans="2:3" hidden="1" x14ac:dyDescent="0.25">
      <c r="B2823" s="65">
        <v>36374</v>
      </c>
      <c r="C2823" t="s">
        <v>9108</v>
      </c>
    </row>
    <row r="2824" spans="2:3" hidden="1" x14ac:dyDescent="0.25">
      <c r="B2824" s="65">
        <v>36373</v>
      </c>
      <c r="C2824" t="s">
        <v>8796</v>
      </c>
    </row>
    <row r="2825" spans="2:3" hidden="1" x14ac:dyDescent="0.25">
      <c r="B2825" s="65">
        <v>36371</v>
      </c>
      <c r="C2825" t="s">
        <v>5690</v>
      </c>
    </row>
    <row r="2826" spans="2:3" hidden="1" x14ac:dyDescent="0.25">
      <c r="B2826" s="65">
        <v>36370</v>
      </c>
      <c r="C2826" t="s">
        <v>9019</v>
      </c>
    </row>
    <row r="2827" spans="2:3" hidden="1" x14ac:dyDescent="0.25">
      <c r="B2827" s="65">
        <v>36368</v>
      </c>
      <c r="C2827" t="s">
        <v>8951</v>
      </c>
    </row>
    <row r="2828" spans="2:3" hidden="1" x14ac:dyDescent="0.25">
      <c r="B2828" s="65">
        <v>36368</v>
      </c>
      <c r="C2828" t="s">
        <v>9117</v>
      </c>
    </row>
    <row r="2829" spans="2:3" hidden="1" x14ac:dyDescent="0.25">
      <c r="B2829" s="65">
        <v>36368</v>
      </c>
      <c r="C2829" t="s">
        <v>9161</v>
      </c>
    </row>
    <row r="2830" spans="2:3" hidden="1" x14ac:dyDescent="0.25">
      <c r="B2830" s="65">
        <v>36367</v>
      </c>
      <c r="C2830" t="s">
        <v>8940</v>
      </c>
    </row>
    <row r="2831" spans="2:3" hidden="1" x14ac:dyDescent="0.25">
      <c r="B2831" s="65">
        <v>36367</v>
      </c>
      <c r="C2831" t="s">
        <v>9050</v>
      </c>
    </row>
    <row r="2832" spans="2:3" hidden="1" x14ac:dyDescent="0.25">
      <c r="B2832" s="65">
        <v>36366</v>
      </c>
      <c r="C2832" t="s">
        <v>8915</v>
      </c>
    </row>
    <row r="2833" spans="2:3" hidden="1" x14ac:dyDescent="0.25">
      <c r="B2833" s="65">
        <v>36366</v>
      </c>
      <c r="C2833" t="s">
        <v>2009</v>
      </c>
    </row>
    <row r="2834" spans="2:3" hidden="1" x14ac:dyDescent="0.25">
      <c r="B2834" s="65">
        <v>36365</v>
      </c>
      <c r="C2834" t="s">
        <v>8822</v>
      </c>
    </row>
    <row r="2835" spans="2:3" hidden="1" x14ac:dyDescent="0.25">
      <c r="B2835" s="65">
        <v>36365</v>
      </c>
      <c r="C2835" t="s">
        <v>9178</v>
      </c>
    </row>
    <row r="2836" spans="2:3" hidden="1" x14ac:dyDescent="0.25">
      <c r="B2836" s="65">
        <v>36364</v>
      </c>
      <c r="C2836" t="s">
        <v>8788</v>
      </c>
    </row>
    <row r="2837" spans="2:3" hidden="1" x14ac:dyDescent="0.25">
      <c r="B2837" s="65">
        <v>36364</v>
      </c>
      <c r="C2837" t="s">
        <v>8937</v>
      </c>
    </row>
    <row r="2838" spans="2:3" hidden="1" x14ac:dyDescent="0.25">
      <c r="B2838" s="65">
        <v>36363</v>
      </c>
      <c r="C2838" t="s">
        <v>46</v>
      </c>
    </row>
    <row r="2839" spans="2:3" hidden="1" x14ac:dyDescent="0.25">
      <c r="B2839" s="65">
        <v>36363</v>
      </c>
      <c r="C2839" t="s">
        <v>9046</v>
      </c>
    </row>
    <row r="2840" spans="2:3" hidden="1" x14ac:dyDescent="0.25">
      <c r="B2840" s="65">
        <v>36362</v>
      </c>
      <c r="C2840" t="s">
        <v>8805</v>
      </c>
    </row>
    <row r="2841" spans="2:3" hidden="1" x14ac:dyDescent="0.25">
      <c r="B2841" s="65">
        <v>36360</v>
      </c>
      <c r="C2841" t="s">
        <v>8845</v>
      </c>
    </row>
    <row r="2842" spans="2:3" hidden="1" x14ac:dyDescent="0.25">
      <c r="B2842" s="65">
        <v>36360</v>
      </c>
      <c r="C2842" t="s">
        <v>8964</v>
      </c>
    </row>
    <row r="2843" spans="2:3" hidden="1" x14ac:dyDescent="0.25">
      <c r="B2843" s="65">
        <v>36359</v>
      </c>
      <c r="C2843" t="s">
        <v>8827</v>
      </c>
    </row>
    <row r="2844" spans="2:3" hidden="1" x14ac:dyDescent="0.25">
      <c r="B2844" s="65">
        <v>36359</v>
      </c>
      <c r="C2844" t="s">
        <v>9067</v>
      </c>
    </row>
    <row r="2845" spans="2:3" hidden="1" x14ac:dyDescent="0.25">
      <c r="B2845" s="65">
        <v>36359</v>
      </c>
      <c r="C2845" t="s">
        <v>9157</v>
      </c>
    </row>
    <row r="2846" spans="2:3" hidden="1" x14ac:dyDescent="0.25">
      <c r="B2846" s="65">
        <v>36358</v>
      </c>
      <c r="C2846" t="s">
        <v>8719</v>
      </c>
    </row>
    <row r="2847" spans="2:3" hidden="1" x14ac:dyDescent="0.25">
      <c r="B2847" s="65">
        <v>36358</v>
      </c>
      <c r="C2847" t="s">
        <v>561</v>
      </c>
    </row>
    <row r="2848" spans="2:3" hidden="1" x14ac:dyDescent="0.25">
      <c r="B2848" s="65">
        <v>36357</v>
      </c>
      <c r="C2848" t="s">
        <v>9103</v>
      </c>
    </row>
    <row r="2849" spans="2:3" hidden="1" x14ac:dyDescent="0.25">
      <c r="B2849" s="65">
        <v>36355</v>
      </c>
      <c r="C2849" t="s">
        <v>8850</v>
      </c>
    </row>
    <row r="2850" spans="2:3" hidden="1" x14ac:dyDescent="0.25">
      <c r="B2850" s="65">
        <v>36355</v>
      </c>
      <c r="C2850" t="s">
        <v>8860</v>
      </c>
    </row>
    <row r="2851" spans="2:3" hidden="1" x14ac:dyDescent="0.25">
      <c r="B2851" s="65">
        <v>36355</v>
      </c>
      <c r="C2851" t="s">
        <v>1288</v>
      </c>
    </row>
    <row r="2852" spans="2:3" hidden="1" x14ac:dyDescent="0.25">
      <c r="B2852" s="65">
        <v>36354</v>
      </c>
      <c r="C2852" t="s">
        <v>323</v>
      </c>
    </row>
    <row r="2853" spans="2:3" hidden="1" x14ac:dyDescent="0.25">
      <c r="B2853" s="65">
        <v>36354</v>
      </c>
      <c r="C2853" t="s">
        <v>786</v>
      </c>
    </row>
    <row r="2854" spans="2:3" hidden="1" x14ac:dyDescent="0.25">
      <c r="B2854" s="65">
        <v>36353</v>
      </c>
      <c r="C2854" t="s">
        <v>170</v>
      </c>
    </row>
    <row r="2855" spans="2:3" hidden="1" x14ac:dyDescent="0.25">
      <c r="B2855" s="65">
        <v>36353</v>
      </c>
      <c r="C2855" t="s">
        <v>670</v>
      </c>
    </row>
    <row r="2856" spans="2:3" hidden="1" x14ac:dyDescent="0.25">
      <c r="B2856" s="65">
        <v>36353</v>
      </c>
      <c r="C2856" t="s">
        <v>1483</v>
      </c>
    </row>
    <row r="2857" spans="2:3" hidden="1" x14ac:dyDescent="0.25">
      <c r="B2857" s="65">
        <v>36352</v>
      </c>
      <c r="C2857" t="s">
        <v>711</v>
      </c>
    </row>
    <row r="2858" spans="2:3" hidden="1" x14ac:dyDescent="0.25">
      <c r="B2858" s="65">
        <v>36351</v>
      </c>
      <c r="C2858" t="s">
        <v>730</v>
      </c>
    </row>
    <row r="2859" spans="2:3" hidden="1" x14ac:dyDescent="0.25">
      <c r="B2859" s="65">
        <v>36350</v>
      </c>
      <c r="C2859" t="s">
        <v>118</v>
      </c>
    </row>
    <row r="2860" spans="2:3" hidden="1" x14ac:dyDescent="0.25">
      <c r="B2860" s="65">
        <v>36350</v>
      </c>
      <c r="C2860" t="s">
        <v>889</v>
      </c>
    </row>
    <row r="2861" spans="2:3" hidden="1" x14ac:dyDescent="0.25">
      <c r="B2861" s="65">
        <v>36350</v>
      </c>
      <c r="C2861" t="s">
        <v>1546</v>
      </c>
    </row>
    <row r="2862" spans="2:3" hidden="1" x14ac:dyDescent="0.25">
      <c r="B2862" s="65">
        <v>36348</v>
      </c>
      <c r="C2862" t="s">
        <v>5321</v>
      </c>
    </row>
    <row r="2863" spans="2:3" hidden="1" x14ac:dyDescent="0.25">
      <c r="B2863" s="65">
        <v>36348</v>
      </c>
      <c r="C2863" t="s">
        <v>8703</v>
      </c>
    </row>
    <row r="2864" spans="2:3" hidden="1" x14ac:dyDescent="0.25">
      <c r="B2864" s="65">
        <v>36348</v>
      </c>
      <c r="C2864" t="s">
        <v>8712</v>
      </c>
    </row>
    <row r="2865" spans="2:3" hidden="1" x14ac:dyDescent="0.25">
      <c r="B2865" s="65">
        <v>36347</v>
      </c>
      <c r="C2865" t="s">
        <v>8317</v>
      </c>
    </row>
    <row r="2866" spans="2:3" hidden="1" x14ac:dyDescent="0.25">
      <c r="B2866" s="65">
        <v>36347</v>
      </c>
      <c r="C2866" t="s">
        <v>8030</v>
      </c>
    </row>
    <row r="2867" spans="2:3" hidden="1" x14ac:dyDescent="0.25">
      <c r="B2867" s="65">
        <v>36347</v>
      </c>
      <c r="C2867" t="s">
        <v>4936</v>
      </c>
    </row>
    <row r="2868" spans="2:3" hidden="1" x14ac:dyDescent="0.25">
      <c r="B2868" s="65">
        <v>36346</v>
      </c>
      <c r="C2868" t="s">
        <v>8481</v>
      </c>
    </row>
    <row r="2869" spans="2:3" hidden="1" x14ac:dyDescent="0.25">
      <c r="B2869" s="65">
        <v>36346</v>
      </c>
      <c r="C2869" t="s">
        <v>8576</v>
      </c>
    </row>
    <row r="2870" spans="2:3" hidden="1" x14ac:dyDescent="0.25">
      <c r="B2870" s="65">
        <v>36346</v>
      </c>
      <c r="C2870" t="s">
        <v>1408</v>
      </c>
    </row>
    <row r="2871" spans="2:3" hidden="1" x14ac:dyDescent="0.25">
      <c r="B2871" s="65">
        <v>36341</v>
      </c>
      <c r="C2871" t="s">
        <v>8432</v>
      </c>
    </row>
    <row r="2872" spans="2:3" hidden="1" x14ac:dyDescent="0.25">
      <c r="B2872" s="65">
        <v>36340</v>
      </c>
      <c r="C2872" t="s">
        <v>8379</v>
      </c>
    </row>
    <row r="2873" spans="2:3" hidden="1" x14ac:dyDescent="0.25">
      <c r="B2873" s="65">
        <v>36339</v>
      </c>
      <c r="C2873" t="s">
        <v>177</v>
      </c>
    </row>
    <row r="2874" spans="2:3" hidden="1" x14ac:dyDescent="0.25">
      <c r="B2874" s="65">
        <v>36339</v>
      </c>
      <c r="C2874" t="s">
        <v>8518</v>
      </c>
    </row>
    <row r="2875" spans="2:3" hidden="1" x14ac:dyDescent="0.25">
      <c r="B2875" s="65">
        <v>36338</v>
      </c>
      <c r="C2875" t="s">
        <v>8406</v>
      </c>
    </row>
    <row r="2876" spans="2:3" hidden="1" x14ac:dyDescent="0.25">
      <c r="B2876" s="65">
        <v>36337</v>
      </c>
      <c r="C2876" t="s">
        <v>8498</v>
      </c>
    </row>
    <row r="2877" spans="2:3" hidden="1" x14ac:dyDescent="0.25">
      <c r="B2877" s="65">
        <v>36337</v>
      </c>
      <c r="C2877" t="s">
        <v>8665</v>
      </c>
    </row>
    <row r="2878" spans="2:3" hidden="1" x14ac:dyDescent="0.25">
      <c r="B2878" s="65">
        <v>36336</v>
      </c>
      <c r="C2878" t="s">
        <v>8602</v>
      </c>
    </row>
    <row r="2879" spans="2:3" hidden="1" x14ac:dyDescent="0.25">
      <c r="B2879" s="65">
        <v>36336</v>
      </c>
      <c r="C2879" t="s">
        <v>8682</v>
      </c>
    </row>
    <row r="2880" spans="2:3" hidden="1" x14ac:dyDescent="0.25">
      <c r="B2880" s="65">
        <v>36334</v>
      </c>
      <c r="C2880" t="s">
        <v>4203</v>
      </c>
    </row>
    <row r="2881" spans="2:3" hidden="1" x14ac:dyDescent="0.25">
      <c r="B2881" s="65">
        <v>36334</v>
      </c>
      <c r="C2881" t="s">
        <v>8300</v>
      </c>
    </row>
    <row r="2882" spans="2:3" hidden="1" x14ac:dyDescent="0.25">
      <c r="B2882" s="65">
        <v>36334</v>
      </c>
      <c r="C2882" t="s">
        <v>8644</v>
      </c>
    </row>
    <row r="2883" spans="2:3" hidden="1" x14ac:dyDescent="0.25">
      <c r="B2883" s="65">
        <v>36334</v>
      </c>
      <c r="C2883" t="s">
        <v>8659</v>
      </c>
    </row>
    <row r="2884" spans="2:3" hidden="1" x14ac:dyDescent="0.25">
      <c r="B2884" s="65">
        <v>36333</v>
      </c>
      <c r="C2884" t="s">
        <v>5572</v>
      </c>
    </row>
    <row r="2885" spans="2:3" hidden="1" x14ac:dyDescent="0.25">
      <c r="B2885" s="65">
        <v>36329</v>
      </c>
      <c r="C2885" t="s">
        <v>1292</v>
      </c>
    </row>
    <row r="2886" spans="2:3" hidden="1" x14ac:dyDescent="0.25">
      <c r="B2886" s="65">
        <v>36327</v>
      </c>
      <c r="C2886" t="s">
        <v>6681</v>
      </c>
    </row>
    <row r="2887" spans="2:3" hidden="1" x14ac:dyDescent="0.25">
      <c r="B2887" s="65">
        <v>36327</v>
      </c>
      <c r="C2887" t="s">
        <v>8611</v>
      </c>
    </row>
    <row r="2888" spans="2:3" hidden="1" x14ac:dyDescent="0.25">
      <c r="B2888" s="65">
        <v>36326</v>
      </c>
      <c r="C2888" t="s">
        <v>8288</v>
      </c>
    </row>
    <row r="2889" spans="2:3" hidden="1" x14ac:dyDescent="0.25">
      <c r="B2889" s="65">
        <v>36326</v>
      </c>
      <c r="C2889" t="s">
        <v>8551</v>
      </c>
    </row>
    <row r="2890" spans="2:3" hidden="1" x14ac:dyDescent="0.25">
      <c r="B2890" s="65">
        <v>36326</v>
      </c>
      <c r="C2890" t="s">
        <v>8593</v>
      </c>
    </row>
    <row r="2891" spans="2:3" hidden="1" x14ac:dyDescent="0.25">
      <c r="B2891" s="65">
        <v>36326</v>
      </c>
      <c r="C2891" t="s">
        <v>8635</v>
      </c>
    </row>
    <row r="2892" spans="2:3" hidden="1" x14ac:dyDescent="0.25">
      <c r="B2892" s="65">
        <v>36321</v>
      </c>
      <c r="C2892" t="s">
        <v>2273</v>
      </c>
    </row>
    <row r="2893" spans="2:3" hidden="1" x14ac:dyDescent="0.25">
      <c r="B2893" s="65">
        <v>36321</v>
      </c>
      <c r="C2893" t="s">
        <v>8353</v>
      </c>
    </row>
    <row r="2894" spans="2:3" hidden="1" x14ac:dyDescent="0.25">
      <c r="B2894" s="65">
        <v>36321</v>
      </c>
      <c r="C2894" t="s">
        <v>8630</v>
      </c>
    </row>
    <row r="2895" spans="2:3" hidden="1" x14ac:dyDescent="0.25">
      <c r="B2895" s="65">
        <v>36319</v>
      </c>
      <c r="C2895" t="s">
        <v>2360</v>
      </c>
    </row>
    <row r="2896" spans="2:3" hidden="1" x14ac:dyDescent="0.25">
      <c r="B2896" s="65">
        <v>36319</v>
      </c>
      <c r="C2896" t="s">
        <v>8442</v>
      </c>
    </row>
    <row r="2897" spans="2:3" hidden="1" x14ac:dyDescent="0.25">
      <c r="B2897" s="65">
        <v>36318</v>
      </c>
      <c r="C2897" t="s">
        <v>8523</v>
      </c>
    </row>
    <row r="2898" spans="2:3" hidden="1" x14ac:dyDescent="0.25">
      <c r="B2898" s="65">
        <v>36318</v>
      </c>
      <c r="C2898" t="s">
        <v>8561</v>
      </c>
    </row>
    <row r="2899" spans="2:3" hidden="1" x14ac:dyDescent="0.25">
      <c r="B2899" s="65">
        <v>36315</v>
      </c>
      <c r="C2899" t="s">
        <v>1733</v>
      </c>
    </row>
    <row r="2900" spans="2:3" hidden="1" x14ac:dyDescent="0.25">
      <c r="B2900" s="65">
        <v>36315</v>
      </c>
      <c r="C2900" t="s">
        <v>8397</v>
      </c>
    </row>
    <row r="2901" spans="2:3" hidden="1" x14ac:dyDescent="0.25">
      <c r="B2901" s="65">
        <v>36315</v>
      </c>
      <c r="C2901" t="s">
        <v>8535</v>
      </c>
    </row>
    <row r="2902" spans="2:3" hidden="1" x14ac:dyDescent="0.25">
      <c r="B2902" s="65">
        <v>36314</v>
      </c>
      <c r="C2902" t="s">
        <v>8294</v>
      </c>
    </row>
    <row r="2903" spans="2:3" hidden="1" x14ac:dyDescent="0.25">
      <c r="B2903" s="65">
        <v>36314</v>
      </c>
      <c r="C2903" t="s">
        <v>2795</v>
      </c>
    </row>
    <row r="2904" spans="2:3" hidden="1" x14ac:dyDescent="0.25">
      <c r="B2904" s="65">
        <v>36313</v>
      </c>
      <c r="C2904" t="s">
        <v>387</v>
      </c>
    </row>
    <row r="2905" spans="2:3" hidden="1" x14ac:dyDescent="0.25">
      <c r="B2905" s="65">
        <v>36313</v>
      </c>
      <c r="C2905" t="s">
        <v>8669</v>
      </c>
    </row>
    <row r="2906" spans="2:3" hidden="1" x14ac:dyDescent="0.25">
      <c r="B2906" s="65">
        <v>36312</v>
      </c>
      <c r="C2906" t="s">
        <v>8467</v>
      </c>
    </row>
    <row r="2907" spans="2:3" hidden="1" x14ac:dyDescent="0.25">
      <c r="B2907" s="65">
        <v>36311</v>
      </c>
      <c r="C2907" t="s">
        <v>8585</v>
      </c>
    </row>
    <row r="2908" spans="2:3" hidden="1" x14ac:dyDescent="0.25">
      <c r="B2908" s="65">
        <v>36309</v>
      </c>
      <c r="C2908" t="s">
        <v>8418</v>
      </c>
    </row>
    <row r="2909" spans="2:3" hidden="1" x14ac:dyDescent="0.25">
      <c r="B2909" s="65">
        <v>36309</v>
      </c>
      <c r="C2909" t="s">
        <v>8485</v>
      </c>
    </row>
    <row r="2910" spans="2:3" hidden="1" x14ac:dyDescent="0.25">
      <c r="B2910" s="65">
        <v>36309</v>
      </c>
      <c r="C2910" t="s">
        <v>8491</v>
      </c>
    </row>
    <row r="2911" spans="2:3" hidden="1" x14ac:dyDescent="0.25">
      <c r="B2911" s="65">
        <v>36309</v>
      </c>
      <c r="C2911" t="s">
        <v>8686</v>
      </c>
    </row>
    <row r="2912" spans="2:3" hidden="1" x14ac:dyDescent="0.25">
      <c r="B2912" s="65">
        <v>36308</v>
      </c>
      <c r="C2912" t="s">
        <v>4302</v>
      </c>
    </row>
    <row r="2913" spans="2:3" hidden="1" x14ac:dyDescent="0.25">
      <c r="B2913" s="65">
        <v>36307</v>
      </c>
      <c r="C2913" t="s">
        <v>8389</v>
      </c>
    </row>
    <row r="2914" spans="2:3" hidden="1" x14ac:dyDescent="0.25">
      <c r="B2914" s="65">
        <v>36307</v>
      </c>
      <c r="C2914" t="s">
        <v>8502</v>
      </c>
    </row>
    <row r="2915" spans="2:3" hidden="1" x14ac:dyDescent="0.25">
      <c r="B2915" s="65">
        <v>36307</v>
      </c>
      <c r="C2915" t="s">
        <v>8508</v>
      </c>
    </row>
    <row r="2916" spans="2:3" hidden="1" x14ac:dyDescent="0.25">
      <c r="B2916" s="65">
        <v>36307</v>
      </c>
      <c r="C2916" t="s">
        <v>8693</v>
      </c>
    </row>
    <row r="2917" spans="2:3" hidden="1" x14ac:dyDescent="0.25">
      <c r="B2917" s="65">
        <v>36306</v>
      </c>
      <c r="C2917" t="s">
        <v>8449</v>
      </c>
    </row>
    <row r="2918" spans="2:3" hidden="1" x14ac:dyDescent="0.25">
      <c r="B2918" s="65">
        <v>36306</v>
      </c>
      <c r="C2918" t="s">
        <v>8638</v>
      </c>
    </row>
    <row r="2919" spans="2:3" hidden="1" x14ac:dyDescent="0.25">
      <c r="B2919" s="65">
        <v>36305</v>
      </c>
      <c r="C2919" t="s">
        <v>8274</v>
      </c>
    </row>
    <row r="2920" spans="2:3" hidden="1" x14ac:dyDescent="0.25">
      <c r="B2920" s="65">
        <v>36305</v>
      </c>
      <c r="C2920" t="s">
        <v>3917</v>
      </c>
    </row>
    <row r="2921" spans="2:3" hidden="1" x14ac:dyDescent="0.25">
      <c r="B2921" s="65">
        <v>36305</v>
      </c>
      <c r="C2921" t="s">
        <v>8655</v>
      </c>
    </row>
    <row r="2922" spans="2:3" hidden="1" x14ac:dyDescent="0.25">
      <c r="B2922" s="65">
        <v>36305</v>
      </c>
      <c r="C2922" t="s">
        <v>5766</v>
      </c>
    </row>
    <row r="2923" spans="2:3" hidden="1" x14ac:dyDescent="0.25">
      <c r="B2923" s="65">
        <v>36304</v>
      </c>
      <c r="C2923" t="s">
        <v>8597</v>
      </c>
    </row>
    <row r="2924" spans="2:3" hidden="1" x14ac:dyDescent="0.25">
      <c r="B2924" s="65">
        <v>36301</v>
      </c>
      <c r="C2924" t="s">
        <v>8321</v>
      </c>
    </row>
    <row r="2925" spans="2:3" hidden="1" x14ac:dyDescent="0.25">
      <c r="B2925" s="65">
        <v>36301</v>
      </c>
      <c r="C2925" t="s">
        <v>6633</v>
      </c>
    </row>
    <row r="2926" spans="2:3" hidden="1" x14ac:dyDescent="0.25">
      <c r="B2926" s="65">
        <v>36301</v>
      </c>
      <c r="C2926" t="s">
        <v>8567</v>
      </c>
    </row>
    <row r="2927" spans="2:3" hidden="1" x14ac:dyDescent="0.25">
      <c r="B2927" s="65">
        <v>36299</v>
      </c>
      <c r="C2927" t="s">
        <v>8446</v>
      </c>
    </row>
    <row r="2928" spans="2:3" hidden="1" x14ac:dyDescent="0.25">
      <c r="B2928" s="65">
        <v>36298</v>
      </c>
      <c r="C2928" t="s">
        <v>8265</v>
      </c>
    </row>
    <row r="2929" spans="2:3" hidden="1" x14ac:dyDescent="0.25">
      <c r="B2929" s="65">
        <v>36298</v>
      </c>
      <c r="C2929" t="s">
        <v>8375</v>
      </c>
    </row>
    <row r="2930" spans="2:3" hidden="1" x14ac:dyDescent="0.25">
      <c r="B2930" s="65">
        <v>36298</v>
      </c>
      <c r="C2930" t="s">
        <v>8547</v>
      </c>
    </row>
    <row r="2931" spans="2:3" hidden="1" x14ac:dyDescent="0.25">
      <c r="B2931" s="65">
        <v>36298</v>
      </c>
      <c r="C2931" t="s">
        <v>8625</v>
      </c>
    </row>
    <row r="2932" spans="2:3" hidden="1" x14ac:dyDescent="0.25">
      <c r="B2932" s="65">
        <v>36297</v>
      </c>
      <c r="C2932" t="s">
        <v>8607</v>
      </c>
    </row>
    <row r="2933" spans="2:3" hidden="1" x14ac:dyDescent="0.25">
      <c r="B2933" s="65">
        <v>36296</v>
      </c>
      <c r="C2933" t="s">
        <v>8339</v>
      </c>
    </row>
    <row r="2934" spans="2:3" hidden="1" x14ac:dyDescent="0.25">
      <c r="B2934" s="65">
        <v>36296</v>
      </c>
      <c r="C2934" t="s">
        <v>8348</v>
      </c>
    </row>
    <row r="2935" spans="2:3" hidden="1" x14ac:dyDescent="0.25">
      <c r="B2935" s="65">
        <v>36294</v>
      </c>
      <c r="C2935" t="s">
        <v>8361</v>
      </c>
    </row>
    <row r="2936" spans="2:3" hidden="1" x14ac:dyDescent="0.25">
      <c r="B2936" s="65">
        <v>36294</v>
      </c>
      <c r="C2936" t="s">
        <v>5346</v>
      </c>
    </row>
    <row r="2937" spans="2:3" hidden="1" x14ac:dyDescent="0.25">
      <c r="B2937" s="65">
        <v>36292</v>
      </c>
      <c r="C2937" t="s">
        <v>8385</v>
      </c>
    </row>
    <row r="2938" spans="2:3" hidden="1" x14ac:dyDescent="0.25">
      <c r="B2938" s="65">
        <v>36292</v>
      </c>
      <c r="C2938" t="s">
        <v>8453</v>
      </c>
    </row>
    <row r="2939" spans="2:3" hidden="1" x14ac:dyDescent="0.25">
      <c r="B2939" s="65">
        <v>36292</v>
      </c>
      <c r="C2939" t="s">
        <v>954</v>
      </c>
    </row>
    <row r="2940" spans="2:3" hidden="1" x14ac:dyDescent="0.25">
      <c r="B2940" s="65">
        <v>36292</v>
      </c>
      <c r="C2940" t="s">
        <v>1103</v>
      </c>
    </row>
    <row r="2941" spans="2:3" hidden="1" x14ac:dyDescent="0.25">
      <c r="B2941" s="65">
        <v>36291</v>
      </c>
      <c r="C2941" t="s">
        <v>8459</v>
      </c>
    </row>
    <row r="2942" spans="2:3" hidden="1" x14ac:dyDescent="0.25">
      <c r="B2942" s="65">
        <v>36291</v>
      </c>
      <c r="C2942" t="s">
        <v>8581</v>
      </c>
    </row>
    <row r="2943" spans="2:3" hidden="1" x14ac:dyDescent="0.25">
      <c r="B2943" s="65">
        <v>36290</v>
      </c>
      <c r="C2943" t="s">
        <v>8334</v>
      </c>
    </row>
    <row r="2944" spans="2:3" hidden="1" x14ac:dyDescent="0.25">
      <c r="B2944" s="65">
        <v>36290</v>
      </c>
      <c r="C2944" t="s">
        <v>8477</v>
      </c>
    </row>
    <row r="2945" spans="2:3" hidden="1" x14ac:dyDescent="0.25">
      <c r="B2945" s="65">
        <v>36286</v>
      </c>
      <c r="C2945" t="s">
        <v>1370</v>
      </c>
    </row>
    <row r="2946" spans="2:3" hidden="1" x14ac:dyDescent="0.25">
      <c r="B2946" s="65">
        <v>36285</v>
      </c>
      <c r="C2946" t="s">
        <v>8369</v>
      </c>
    </row>
    <row r="2947" spans="2:3" hidden="1" x14ac:dyDescent="0.25">
      <c r="B2947" s="65">
        <v>36284</v>
      </c>
      <c r="C2947" t="s">
        <v>3933</v>
      </c>
    </row>
    <row r="2948" spans="2:3" hidden="1" x14ac:dyDescent="0.25">
      <c r="B2948" s="65">
        <v>36284</v>
      </c>
      <c r="C2948" t="s">
        <v>5115</v>
      </c>
    </row>
    <row r="2949" spans="2:3" hidden="1" x14ac:dyDescent="0.25">
      <c r="B2949" s="65">
        <v>36283</v>
      </c>
      <c r="C2949" t="s">
        <v>2485</v>
      </c>
    </row>
    <row r="2950" spans="2:3" hidden="1" x14ac:dyDescent="0.25">
      <c r="B2950" s="65">
        <v>36282</v>
      </c>
      <c r="C2950" t="s">
        <v>8313</v>
      </c>
    </row>
    <row r="2951" spans="2:3" hidden="1" x14ac:dyDescent="0.25">
      <c r="B2951" s="65">
        <v>36282</v>
      </c>
      <c r="C2951" t="s">
        <v>8462</v>
      </c>
    </row>
    <row r="2952" spans="2:3" hidden="1" x14ac:dyDescent="0.25">
      <c r="B2952" s="65">
        <v>36281</v>
      </c>
      <c r="C2952" t="s">
        <v>8648</v>
      </c>
    </row>
    <row r="2953" spans="2:3" hidden="1" x14ac:dyDescent="0.25">
      <c r="B2953" s="65">
        <v>36280</v>
      </c>
      <c r="C2953" t="s">
        <v>1793</v>
      </c>
    </row>
    <row r="2954" spans="2:3" hidden="1" x14ac:dyDescent="0.25">
      <c r="B2954" s="65">
        <v>36280</v>
      </c>
      <c r="C2954" t="s">
        <v>8589</v>
      </c>
    </row>
    <row r="2955" spans="2:3" hidden="1" x14ac:dyDescent="0.25">
      <c r="B2955" s="65">
        <v>36279</v>
      </c>
      <c r="C2955" t="s">
        <v>8278</v>
      </c>
    </row>
    <row r="2956" spans="2:3" hidden="1" x14ac:dyDescent="0.25">
      <c r="B2956" s="65">
        <v>36279</v>
      </c>
      <c r="C2956" t="s">
        <v>6815</v>
      </c>
    </row>
    <row r="2957" spans="2:3" hidden="1" x14ac:dyDescent="0.25">
      <c r="B2957" s="65">
        <v>36279</v>
      </c>
      <c r="C2957" t="s">
        <v>8555</v>
      </c>
    </row>
    <row r="2958" spans="2:3" hidden="1" x14ac:dyDescent="0.25">
      <c r="B2958" s="65">
        <v>36279</v>
      </c>
      <c r="C2958" t="s">
        <v>8676</v>
      </c>
    </row>
    <row r="2959" spans="2:3" hidden="1" x14ac:dyDescent="0.25">
      <c r="B2959" s="65">
        <v>36278</v>
      </c>
      <c r="C2959" t="s">
        <v>3787</v>
      </c>
    </row>
    <row r="2960" spans="2:3" hidden="1" x14ac:dyDescent="0.25">
      <c r="B2960" s="65">
        <v>36277</v>
      </c>
      <c r="C2960" t="s">
        <v>8358</v>
      </c>
    </row>
    <row r="2961" spans="2:3" hidden="1" x14ac:dyDescent="0.25">
      <c r="B2961" s="65">
        <v>36277</v>
      </c>
      <c r="C2961" t="s">
        <v>8540</v>
      </c>
    </row>
    <row r="2962" spans="2:3" hidden="1" x14ac:dyDescent="0.25">
      <c r="B2962" s="65">
        <v>36276</v>
      </c>
      <c r="C2962" t="s">
        <v>2511</v>
      </c>
    </row>
    <row r="2963" spans="2:3" hidden="1" x14ac:dyDescent="0.25">
      <c r="B2963" s="65">
        <v>36276</v>
      </c>
      <c r="C2963" t="s">
        <v>8515</v>
      </c>
    </row>
    <row r="2964" spans="2:3" hidden="1" x14ac:dyDescent="0.25">
      <c r="B2964" s="65">
        <v>36274</v>
      </c>
      <c r="C2964" t="s">
        <v>8422</v>
      </c>
    </row>
    <row r="2965" spans="2:3" hidden="1" x14ac:dyDescent="0.25">
      <c r="B2965" s="65">
        <v>36274</v>
      </c>
      <c r="C2965" t="s">
        <v>8571</v>
      </c>
    </row>
    <row r="2966" spans="2:3" hidden="1" x14ac:dyDescent="0.25">
      <c r="B2966" s="65">
        <v>36273</v>
      </c>
      <c r="C2966" t="s">
        <v>8529</v>
      </c>
    </row>
    <row r="2967" spans="2:3" hidden="1" x14ac:dyDescent="0.25">
      <c r="B2967" s="65">
        <v>36273</v>
      </c>
      <c r="C2967" t="s">
        <v>3601</v>
      </c>
    </row>
    <row r="2968" spans="2:3" hidden="1" x14ac:dyDescent="0.25">
      <c r="B2968" s="65">
        <v>36273</v>
      </c>
      <c r="C2968" t="s">
        <v>4368</v>
      </c>
    </row>
    <row r="2969" spans="2:3" hidden="1" x14ac:dyDescent="0.25">
      <c r="B2969" s="65">
        <v>36271</v>
      </c>
      <c r="C2969" t="s">
        <v>8412</v>
      </c>
    </row>
    <row r="2970" spans="2:3" hidden="1" x14ac:dyDescent="0.25">
      <c r="B2970" s="65">
        <v>36271</v>
      </c>
      <c r="C2970" t="s">
        <v>1714</v>
      </c>
    </row>
    <row r="2971" spans="2:3" hidden="1" x14ac:dyDescent="0.25">
      <c r="B2971" s="65">
        <v>36271</v>
      </c>
      <c r="C2971" t="s">
        <v>3483</v>
      </c>
    </row>
    <row r="2972" spans="2:3" hidden="1" x14ac:dyDescent="0.25">
      <c r="B2972" s="65">
        <v>36268</v>
      </c>
      <c r="C2972" t="s">
        <v>3624</v>
      </c>
    </row>
    <row r="2973" spans="2:3" hidden="1" x14ac:dyDescent="0.25">
      <c r="B2973" s="65">
        <v>36267</v>
      </c>
      <c r="C2973" t="s">
        <v>8330</v>
      </c>
    </row>
    <row r="2974" spans="2:3" hidden="1" x14ac:dyDescent="0.25">
      <c r="B2974" s="65">
        <v>36267</v>
      </c>
      <c r="C2974" t="s">
        <v>1370</v>
      </c>
    </row>
    <row r="2975" spans="2:3" hidden="1" x14ac:dyDescent="0.25">
      <c r="B2975" s="65">
        <v>36266</v>
      </c>
      <c r="C2975" t="s">
        <v>1387</v>
      </c>
    </row>
    <row r="2976" spans="2:3" hidden="1" x14ac:dyDescent="0.25">
      <c r="B2976" s="65">
        <v>36266</v>
      </c>
      <c r="C2976" t="s">
        <v>3320</v>
      </c>
    </row>
    <row r="2977" spans="2:3" hidden="1" x14ac:dyDescent="0.25">
      <c r="B2977" s="65">
        <v>36265</v>
      </c>
      <c r="C2977" t="s">
        <v>8250</v>
      </c>
    </row>
    <row r="2978" spans="2:3" hidden="1" x14ac:dyDescent="0.25">
      <c r="B2978" s="65">
        <v>36264</v>
      </c>
      <c r="C2978" t="s">
        <v>981</v>
      </c>
    </row>
    <row r="2979" spans="2:3" hidden="1" x14ac:dyDescent="0.25">
      <c r="B2979" s="65">
        <v>36264</v>
      </c>
      <c r="C2979" t="s">
        <v>1348</v>
      </c>
    </row>
    <row r="2980" spans="2:3" hidden="1" x14ac:dyDescent="0.25">
      <c r="B2980" s="65">
        <v>36263</v>
      </c>
      <c r="C2980" t="s">
        <v>1218</v>
      </c>
    </row>
    <row r="2981" spans="2:3" hidden="1" x14ac:dyDescent="0.25">
      <c r="B2981" s="65">
        <v>36262</v>
      </c>
      <c r="C2981" t="s">
        <v>1047</v>
      </c>
    </row>
    <row r="2982" spans="2:3" hidden="1" x14ac:dyDescent="0.25">
      <c r="B2982" s="65">
        <v>36262</v>
      </c>
      <c r="C2982" t="s">
        <v>1535</v>
      </c>
    </row>
    <row r="2983" spans="2:3" hidden="1" x14ac:dyDescent="0.25">
      <c r="B2983" s="65">
        <v>36261</v>
      </c>
      <c r="C2983" t="s">
        <v>824</v>
      </c>
    </row>
    <row r="2984" spans="2:3" hidden="1" x14ac:dyDescent="0.25">
      <c r="B2984" s="65">
        <v>36260</v>
      </c>
      <c r="C2984" t="s">
        <v>966</v>
      </c>
    </row>
    <row r="2985" spans="2:3" hidden="1" x14ac:dyDescent="0.25">
      <c r="B2985" s="65">
        <v>36260</v>
      </c>
      <c r="C2985" t="s">
        <v>1408</v>
      </c>
    </row>
    <row r="2986" spans="2:3" hidden="1" x14ac:dyDescent="0.25">
      <c r="B2986" s="65">
        <v>36258</v>
      </c>
      <c r="C2986" t="s">
        <v>1370</v>
      </c>
    </row>
    <row r="2987" spans="2:3" hidden="1" x14ac:dyDescent="0.25">
      <c r="B2987" s="65">
        <v>36258</v>
      </c>
      <c r="C2987" t="s">
        <v>1501</v>
      </c>
    </row>
    <row r="2988" spans="2:3" hidden="1" x14ac:dyDescent="0.25">
      <c r="B2988" s="65">
        <v>36257</v>
      </c>
      <c r="C2988" t="s">
        <v>1321</v>
      </c>
    </row>
    <row r="2989" spans="2:3" hidden="1" x14ac:dyDescent="0.25">
      <c r="B2989" s="65">
        <v>36256</v>
      </c>
      <c r="C2989" t="s">
        <v>1234</v>
      </c>
    </row>
    <row r="2990" spans="2:3" hidden="1" x14ac:dyDescent="0.25">
      <c r="B2990" s="65">
        <v>36256</v>
      </c>
      <c r="C2990" t="s">
        <v>5217</v>
      </c>
    </row>
    <row r="2991" spans="2:3" hidden="1" x14ac:dyDescent="0.25">
      <c r="B2991" s="65">
        <v>36255</v>
      </c>
      <c r="C2991" t="s">
        <v>4532</v>
      </c>
    </row>
    <row r="2992" spans="2:3" hidden="1" x14ac:dyDescent="0.25">
      <c r="B2992" s="65">
        <v>36254</v>
      </c>
      <c r="C2992" t="s">
        <v>7444</v>
      </c>
    </row>
    <row r="2993" spans="2:3" hidden="1" x14ac:dyDescent="0.25">
      <c r="B2993" s="65">
        <v>36252</v>
      </c>
      <c r="C2993" t="s">
        <v>517</v>
      </c>
    </row>
    <row r="2994" spans="2:3" hidden="1" x14ac:dyDescent="0.25">
      <c r="B2994" s="65">
        <v>36251</v>
      </c>
      <c r="C2994" t="s">
        <v>8222</v>
      </c>
    </row>
    <row r="2995" spans="2:3" hidden="1" x14ac:dyDescent="0.25">
      <c r="B2995" s="65">
        <v>36250</v>
      </c>
      <c r="C2995" t="s">
        <v>8082</v>
      </c>
    </row>
    <row r="2996" spans="2:3" hidden="1" x14ac:dyDescent="0.25">
      <c r="B2996" s="65">
        <v>36249</v>
      </c>
      <c r="C2996" t="s">
        <v>4000</v>
      </c>
    </row>
    <row r="2997" spans="2:3" hidden="1" x14ac:dyDescent="0.25">
      <c r="B2997" s="65">
        <v>36249</v>
      </c>
      <c r="C2997" t="s">
        <v>2836</v>
      </c>
    </row>
    <row r="2998" spans="2:3" hidden="1" x14ac:dyDescent="0.25">
      <c r="B2998" s="65">
        <v>36249</v>
      </c>
      <c r="C2998" t="s">
        <v>6013</v>
      </c>
    </row>
    <row r="2999" spans="2:3" hidden="1" x14ac:dyDescent="0.25">
      <c r="B2999" s="65">
        <v>36249</v>
      </c>
      <c r="C2999" t="s">
        <v>7792</v>
      </c>
    </row>
    <row r="3000" spans="2:3" hidden="1" x14ac:dyDescent="0.25">
      <c r="B3000" s="65">
        <v>36248</v>
      </c>
      <c r="C3000" t="s">
        <v>5693</v>
      </c>
    </row>
    <row r="3001" spans="2:3" hidden="1" x14ac:dyDescent="0.25">
      <c r="B3001" s="65">
        <v>36247</v>
      </c>
      <c r="C3001" t="s">
        <v>3304</v>
      </c>
    </row>
    <row r="3002" spans="2:3" hidden="1" x14ac:dyDescent="0.25">
      <c r="B3002" s="65">
        <v>36247</v>
      </c>
      <c r="C3002" t="s">
        <v>1288</v>
      </c>
    </row>
    <row r="3003" spans="2:3" hidden="1" x14ac:dyDescent="0.25">
      <c r="B3003" s="65">
        <v>36247</v>
      </c>
      <c r="C3003" t="s">
        <v>7400</v>
      </c>
    </row>
    <row r="3004" spans="2:3" hidden="1" x14ac:dyDescent="0.25">
      <c r="B3004" s="65">
        <v>36245</v>
      </c>
      <c r="C3004" t="s">
        <v>3962</v>
      </c>
    </row>
    <row r="3005" spans="2:3" hidden="1" x14ac:dyDescent="0.25">
      <c r="B3005" s="65">
        <v>36245</v>
      </c>
      <c r="C3005" t="s">
        <v>4583</v>
      </c>
    </row>
    <row r="3006" spans="2:3" hidden="1" x14ac:dyDescent="0.25">
      <c r="B3006" s="65">
        <v>36244</v>
      </c>
      <c r="C3006" t="s">
        <v>5633</v>
      </c>
    </row>
    <row r="3007" spans="2:3" hidden="1" x14ac:dyDescent="0.25">
      <c r="B3007" s="65">
        <v>36244</v>
      </c>
      <c r="C3007" t="s">
        <v>6576</v>
      </c>
    </row>
    <row r="3008" spans="2:3" hidden="1" x14ac:dyDescent="0.25">
      <c r="B3008" s="65">
        <v>36243</v>
      </c>
      <c r="C3008" t="s">
        <v>3988</v>
      </c>
    </row>
    <row r="3009" spans="2:3" hidden="1" x14ac:dyDescent="0.25">
      <c r="B3009" s="65">
        <v>36243</v>
      </c>
      <c r="C3009" t="s">
        <v>4131</v>
      </c>
    </row>
    <row r="3010" spans="2:3" hidden="1" x14ac:dyDescent="0.25">
      <c r="B3010" s="65">
        <v>36242</v>
      </c>
      <c r="C3010" t="s">
        <v>177</v>
      </c>
    </row>
    <row r="3011" spans="2:3" hidden="1" x14ac:dyDescent="0.25">
      <c r="B3011" s="65">
        <v>36240</v>
      </c>
      <c r="C3011" t="s">
        <v>3927</v>
      </c>
    </row>
    <row r="3012" spans="2:3" hidden="1" x14ac:dyDescent="0.25">
      <c r="B3012" s="65">
        <v>36238</v>
      </c>
      <c r="C3012" t="s">
        <v>4025</v>
      </c>
    </row>
    <row r="3013" spans="2:3" hidden="1" x14ac:dyDescent="0.25">
      <c r="B3013" s="65">
        <v>36238</v>
      </c>
      <c r="C3013" t="s">
        <v>7136</v>
      </c>
    </row>
    <row r="3014" spans="2:3" hidden="1" x14ac:dyDescent="0.25">
      <c r="B3014" s="65">
        <v>36237</v>
      </c>
      <c r="C3014" t="s">
        <v>3593</v>
      </c>
    </row>
    <row r="3015" spans="2:3" hidden="1" x14ac:dyDescent="0.25">
      <c r="B3015" s="65">
        <v>36237</v>
      </c>
      <c r="C3015" t="s">
        <v>4939</v>
      </c>
    </row>
    <row r="3016" spans="2:3" hidden="1" x14ac:dyDescent="0.25">
      <c r="B3016" s="65">
        <v>36237</v>
      </c>
      <c r="C3016" t="s">
        <v>5455</v>
      </c>
    </row>
    <row r="3017" spans="2:3" hidden="1" x14ac:dyDescent="0.25">
      <c r="B3017" s="65">
        <v>36237</v>
      </c>
      <c r="C3017" t="s">
        <v>5909</v>
      </c>
    </row>
    <row r="3018" spans="2:3" hidden="1" x14ac:dyDescent="0.25">
      <c r="B3018" s="65">
        <v>36237</v>
      </c>
      <c r="C3018" t="s">
        <v>7705</v>
      </c>
    </row>
    <row r="3019" spans="2:3" hidden="1" x14ac:dyDescent="0.25">
      <c r="B3019" s="65">
        <v>36236</v>
      </c>
      <c r="C3019" t="s">
        <v>4065</v>
      </c>
    </row>
    <row r="3020" spans="2:3" hidden="1" x14ac:dyDescent="0.25">
      <c r="B3020" s="65">
        <v>36236</v>
      </c>
      <c r="C3020" t="s">
        <v>4368</v>
      </c>
    </row>
    <row r="3021" spans="2:3" hidden="1" x14ac:dyDescent="0.25">
      <c r="B3021" s="65">
        <v>36235</v>
      </c>
      <c r="C3021" t="s">
        <v>3704</v>
      </c>
    </row>
    <row r="3022" spans="2:3" hidden="1" x14ac:dyDescent="0.25">
      <c r="B3022" s="65">
        <v>36235</v>
      </c>
      <c r="C3022" t="s">
        <v>6537</v>
      </c>
    </row>
    <row r="3023" spans="2:3" hidden="1" x14ac:dyDescent="0.25">
      <c r="B3023" s="65">
        <v>36233</v>
      </c>
      <c r="C3023" t="s">
        <v>177</v>
      </c>
    </row>
    <row r="3024" spans="2:3" hidden="1" x14ac:dyDescent="0.25">
      <c r="B3024" s="65">
        <v>36233</v>
      </c>
      <c r="C3024" t="s">
        <v>4624</v>
      </c>
    </row>
    <row r="3025" spans="2:3" hidden="1" x14ac:dyDescent="0.25">
      <c r="B3025" s="65">
        <v>36232</v>
      </c>
      <c r="C3025" t="s">
        <v>6043</v>
      </c>
    </row>
    <row r="3026" spans="2:3" hidden="1" x14ac:dyDescent="0.25">
      <c r="B3026" s="65">
        <v>36232</v>
      </c>
      <c r="C3026" t="s">
        <v>8218</v>
      </c>
    </row>
    <row r="3027" spans="2:3" hidden="1" x14ac:dyDescent="0.25">
      <c r="B3027" s="65">
        <v>36231</v>
      </c>
      <c r="C3027" t="s">
        <v>177</v>
      </c>
    </row>
    <row r="3028" spans="2:3" hidden="1" x14ac:dyDescent="0.25">
      <c r="B3028" s="65">
        <v>36230</v>
      </c>
      <c r="C3028" t="s">
        <v>4230</v>
      </c>
    </row>
    <row r="3029" spans="2:3" hidden="1" x14ac:dyDescent="0.25">
      <c r="B3029" s="65">
        <v>36228</v>
      </c>
      <c r="C3029" t="s">
        <v>4254</v>
      </c>
    </row>
    <row r="3030" spans="2:3" hidden="1" x14ac:dyDescent="0.25">
      <c r="B3030" s="65">
        <v>36228</v>
      </c>
      <c r="C3030" t="s">
        <v>2727</v>
      </c>
    </row>
    <row r="3031" spans="2:3" hidden="1" x14ac:dyDescent="0.25">
      <c r="B3031" s="65">
        <v>36226</v>
      </c>
      <c r="C3031" t="s">
        <v>5265</v>
      </c>
    </row>
    <row r="3032" spans="2:3" hidden="1" x14ac:dyDescent="0.25">
      <c r="B3032" s="65">
        <v>36226</v>
      </c>
      <c r="C3032" t="s">
        <v>8010</v>
      </c>
    </row>
    <row r="3033" spans="2:3" hidden="1" x14ac:dyDescent="0.25">
      <c r="B3033" s="65">
        <v>36224</v>
      </c>
      <c r="C3033" t="s">
        <v>5725</v>
      </c>
    </row>
    <row r="3034" spans="2:3" hidden="1" x14ac:dyDescent="0.25">
      <c r="B3034" s="65">
        <v>36224</v>
      </c>
      <c r="C3034" t="s">
        <v>5615</v>
      </c>
    </row>
    <row r="3035" spans="2:3" hidden="1" x14ac:dyDescent="0.25">
      <c r="B3035" s="65">
        <v>36224</v>
      </c>
      <c r="C3035" t="s">
        <v>6581</v>
      </c>
    </row>
    <row r="3036" spans="2:3" hidden="1" x14ac:dyDescent="0.25">
      <c r="B3036" s="65">
        <v>36224</v>
      </c>
      <c r="C3036" t="s">
        <v>7365</v>
      </c>
    </row>
    <row r="3037" spans="2:3" hidden="1" x14ac:dyDescent="0.25">
      <c r="B3037" s="65">
        <v>36223</v>
      </c>
      <c r="C3037" t="s">
        <v>7269</v>
      </c>
    </row>
    <row r="3038" spans="2:3" hidden="1" x14ac:dyDescent="0.25">
      <c r="B3038" s="65">
        <v>36223</v>
      </c>
      <c r="C3038" t="s">
        <v>8044</v>
      </c>
    </row>
    <row r="3039" spans="2:3" hidden="1" x14ac:dyDescent="0.25">
      <c r="B3039" s="65">
        <v>36222</v>
      </c>
      <c r="C3039" t="s">
        <v>2000</v>
      </c>
    </row>
    <row r="3040" spans="2:3" hidden="1" x14ac:dyDescent="0.25">
      <c r="B3040" s="65">
        <v>36222</v>
      </c>
      <c r="C3040" t="s">
        <v>4791</v>
      </c>
    </row>
    <row r="3041" spans="2:3" hidden="1" x14ac:dyDescent="0.25">
      <c r="B3041" s="65">
        <v>36221</v>
      </c>
      <c r="C3041" t="s">
        <v>3065</v>
      </c>
    </row>
    <row r="3042" spans="2:3" hidden="1" x14ac:dyDescent="0.25">
      <c r="B3042" s="65">
        <v>36220</v>
      </c>
      <c r="C3042" t="s">
        <v>6109</v>
      </c>
    </row>
    <row r="3043" spans="2:3" hidden="1" x14ac:dyDescent="0.25">
      <c r="B3043" s="65">
        <v>36218</v>
      </c>
      <c r="C3043" t="s">
        <v>7910</v>
      </c>
    </row>
    <row r="3044" spans="2:3" hidden="1" x14ac:dyDescent="0.25">
      <c r="B3044" s="65">
        <v>36217</v>
      </c>
      <c r="C3044" t="s">
        <v>3372</v>
      </c>
    </row>
    <row r="3045" spans="2:3" hidden="1" x14ac:dyDescent="0.25">
      <c r="B3045" s="65">
        <v>36216</v>
      </c>
      <c r="C3045" t="s">
        <v>4399</v>
      </c>
    </row>
    <row r="3046" spans="2:3" hidden="1" x14ac:dyDescent="0.25">
      <c r="B3046" s="65">
        <v>36216</v>
      </c>
      <c r="C3046" t="s">
        <v>4526</v>
      </c>
    </row>
    <row r="3047" spans="2:3" hidden="1" x14ac:dyDescent="0.25">
      <c r="B3047" s="65">
        <v>36216</v>
      </c>
      <c r="C3047" t="s">
        <v>7350</v>
      </c>
    </row>
    <row r="3048" spans="2:3" hidden="1" x14ac:dyDescent="0.25">
      <c r="B3048" s="65">
        <v>36215</v>
      </c>
      <c r="C3048" t="s">
        <v>4510</v>
      </c>
    </row>
    <row r="3049" spans="2:3" hidden="1" x14ac:dyDescent="0.25">
      <c r="B3049" s="65">
        <v>36215</v>
      </c>
      <c r="C3049" t="s">
        <v>4710</v>
      </c>
    </row>
    <row r="3050" spans="2:3" hidden="1" x14ac:dyDescent="0.25">
      <c r="B3050" s="65">
        <v>36215</v>
      </c>
      <c r="C3050" t="s">
        <v>786</v>
      </c>
    </row>
    <row r="3051" spans="2:3" hidden="1" x14ac:dyDescent="0.25">
      <c r="B3051" s="65">
        <v>36215</v>
      </c>
      <c r="C3051" t="s">
        <v>6878</v>
      </c>
    </row>
    <row r="3052" spans="2:3" hidden="1" x14ac:dyDescent="0.25">
      <c r="B3052" s="65">
        <v>36214</v>
      </c>
      <c r="C3052" t="s">
        <v>4268</v>
      </c>
    </row>
    <row r="3053" spans="2:3" hidden="1" x14ac:dyDescent="0.25">
      <c r="B3053" s="65">
        <v>36214</v>
      </c>
      <c r="C3053" t="s">
        <v>8030</v>
      </c>
    </row>
    <row r="3054" spans="2:3" hidden="1" x14ac:dyDescent="0.25">
      <c r="B3054" s="65">
        <v>36213</v>
      </c>
      <c r="C3054" t="s">
        <v>3320</v>
      </c>
    </row>
    <row r="3055" spans="2:3" hidden="1" x14ac:dyDescent="0.25">
      <c r="B3055" s="65">
        <v>36212</v>
      </c>
      <c r="C3055" t="s">
        <v>194</v>
      </c>
    </row>
    <row r="3056" spans="2:3" hidden="1" x14ac:dyDescent="0.25">
      <c r="B3056" s="65">
        <v>36211</v>
      </c>
      <c r="C3056" t="s">
        <v>5887</v>
      </c>
    </row>
    <row r="3057" spans="2:3" hidden="1" x14ac:dyDescent="0.25">
      <c r="B3057" s="65">
        <v>36210</v>
      </c>
      <c r="C3057" t="s">
        <v>3088</v>
      </c>
    </row>
    <row r="3058" spans="2:3" hidden="1" x14ac:dyDescent="0.25">
      <c r="B3058" s="65">
        <v>36210</v>
      </c>
      <c r="C3058" t="s">
        <v>6600</v>
      </c>
    </row>
    <row r="3059" spans="2:3" hidden="1" x14ac:dyDescent="0.25">
      <c r="B3059" s="65">
        <v>36209</v>
      </c>
      <c r="C3059" t="s">
        <v>3558</v>
      </c>
    </row>
    <row r="3060" spans="2:3" hidden="1" x14ac:dyDescent="0.25">
      <c r="B3060" s="65">
        <v>36209</v>
      </c>
      <c r="C3060" t="s">
        <v>4593</v>
      </c>
    </row>
    <row r="3061" spans="2:3" hidden="1" x14ac:dyDescent="0.25">
      <c r="B3061" s="65">
        <v>36208</v>
      </c>
      <c r="C3061" t="s">
        <v>6492</v>
      </c>
    </row>
    <row r="3062" spans="2:3" hidden="1" x14ac:dyDescent="0.25">
      <c r="B3062" s="65">
        <v>36207</v>
      </c>
      <c r="C3062" t="s">
        <v>3282</v>
      </c>
    </row>
    <row r="3063" spans="2:3" hidden="1" x14ac:dyDescent="0.25">
      <c r="B3063" s="65">
        <v>36207</v>
      </c>
      <c r="C3063" t="s">
        <v>8035</v>
      </c>
    </row>
    <row r="3064" spans="2:3" hidden="1" x14ac:dyDescent="0.25">
      <c r="B3064" s="65">
        <v>36206</v>
      </c>
      <c r="C3064" t="s">
        <v>5848</v>
      </c>
    </row>
    <row r="3065" spans="2:3" hidden="1" x14ac:dyDescent="0.25">
      <c r="B3065" s="65">
        <v>36206</v>
      </c>
      <c r="C3065" t="s">
        <v>6390</v>
      </c>
    </row>
    <row r="3066" spans="2:3" hidden="1" x14ac:dyDescent="0.25">
      <c r="B3066" s="65">
        <v>36204</v>
      </c>
      <c r="C3066" t="s">
        <v>2856</v>
      </c>
    </row>
    <row r="3067" spans="2:3" hidden="1" x14ac:dyDescent="0.25">
      <c r="B3067" s="65">
        <v>36203</v>
      </c>
      <c r="C3067" t="s">
        <v>3910</v>
      </c>
    </row>
    <row r="3068" spans="2:3" hidden="1" x14ac:dyDescent="0.25">
      <c r="B3068" s="65">
        <v>36203</v>
      </c>
      <c r="C3068" t="s">
        <v>8088</v>
      </c>
    </row>
    <row r="3069" spans="2:3" hidden="1" x14ac:dyDescent="0.25">
      <c r="B3069" s="65">
        <v>36202</v>
      </c>
      <c r="C3069" t="s">
        <v>2209</v>
      </c>
    </row>
    <row r="3070" spans="2:3" hidden="1" x14ac:dyDescent="0.25">
      <c r="B3070" s="65">
        <v>36201</v>
      </c>
      <c r="C3070" t="s">
        <v>3483</v>
      </c>
    </row>
    <row r="3071" spans="2:3" hidden="1" x14ac:dyDescent="0.25">
      <c r="B3071" s="65">
        <v>36201</v>
      </c>
      <c r="C3071" t="s">
        <v>5556</v>
      </c>
    </row>
    <row r="3072" spans="2:3" hidden="1" x14ac:dyDescent="0.25">
      <c r="B3072" s="65">
        <v>36200</v>
      </c>
      <c r="C3072" t="s">
        <v>3461</v>
      </c>
    </row>
    <row r="3073" spans="2:3" hidden="1" x14ac:dyDescent="0.25">
      <c r="B3073" s="65">
        <v>36200</v>
      </c>
      <c r="C3073" t="s">
        <v>4203</v>
      </c>
    </row>
    <row r="3074" spans="2:3" hidden="1" x14ac:dyDescent="0.25">
      <c r="B3074" s="65">
        <v>36200</v>
      </c>
      <c r="C3074" t="s">
        <v>310</v>
      </c>
    </row>
    <row r="3075" spans="2:3" hidden="1" x14ac:dyDescent="0.25">
      <c r="B3075" s="65">
        <v>36199</v>
      </c>
      <c r="C3075" t="s">
        <v>3615</v>
      </c>
    </row>
    <row r="3076" spans="2:3" hidden="1" x14ac:dyDescent="0.25">
      <c r="B3076" s="65">
        <v>36196</v>
      </c>
      <c r="C3076" t="s">
        <v>4593</v>
      </c>
    </row>
    <row r="3077" spans="2:3" hidden="1" x14ac:dyDescent="0.25">
      <c r="B3077" s="65">
        <v>36196</v>
      </c>
      <c r="C3077" t="s">
        <v>105</v>
      </c>
    </row>
    <row r="3078" spans="2:3" hidden="1" x14ac:dyDescent="0.25">
      <c r="B3078" s="65">
        <v>36195</v>
      </c>
      <c r="C3078" t="s">
        <v>5460</v>
      </c>
    </row>
    <row r="3079" spans="2:3" hidden="1" x14ac:dyDescent="0.25">
      <c r="B3079" s="65">
        <v>36195</v>
      </c>
      <c r="C3079" t="s">
        <v>7396</v>
      </c>
    </row>
    <row r="3080" spans="2:3" hidden="1" x14ac:dyDescent="0.25">
      <c r="B3080" s="65">
        <v>36193</v>
      </c>
      <c r="C3080" t="s">
        <v>6754</v>
      </c>
    </row>
    <row r="3081" spans="2:3" hidden="1" x14ac:dyDescent="0.25">
      <c r="B3081" s="65">
        <v>36193</v>
      </c>
      <c r="C3081" t="s">
        <v>3962</v>
      </c>
    </row>
    <row r="3082" spans="2:3" hidden="1" x14ac:dyDescent="0.25">
      <c r="B3082" s="65">
        <v>36193</v>
      </c>
      <c r="C3082" t="s">
        <v>8188</v>
      </c>
    </row>
    <row r="3083" spans="2:3" hidden="1" x14ac:dyDescent="0.25">
      <c r="B3083" s="65">
        <v>36192</v>
      </c>
      <c r="C3083" t="s">
        <v>8074</v>
      </c>
    </row>
    <row r="3084" spans="2:3" hidden="1" x14ac:dyDescent="0.25">
      <c r="B3084" s="65">
        <v>36189</v>
      </c>
      <c r="C3084" t="s">
        <v>3995</v>
      </c>
    </row>
    <row r="3085" spans="2:3" hidden="1" x14ac:dyDescent="0.25">
      <c r="B3085" s="65">
        <v>36188</v>
      </c>
      <c r="C3085" t="s">
        <v>4618</v>
      </c>
    </row>
    <row r="3086" spans="2:3" hidden="1" x14ac:dyDescent="0.25">
      <c r="B3086" s="65">
        <v>36188</v>
      </c>
      <c r="C3086" t="s">
        <v>2060</v>
      </c>
    </row>
    <row r="3087" spans="2:3" hidden="1" x14ac:dyDescent="0.25">
      <c r="B3087" s="65">
        <v>36187</v>
      </c>
      <c r="C3087" t="s">
        <v>7953</v>
      </c>
    </row>
    <row r="3088" spans="2:3" hidden="1" x14ac:dyDescent="0.25">
      <c r="B3088" s="65">
        <v>36185</v>
      </c>
      <c r="C3088" t="s">
        <v>6264</v>
      </c>
    </row>
    <row r="3089" spans="2:3" hidden="1" x14ac:dyDescent="0.25">
      <c r="B3089" s="65">
        <v>36184</v>
      </c>
      <c r="C3089" t="s">
        <v>105</v>
      </c>
    </row>
    <row r="3090" spans="2:3" hidden="1" x14ac:dyDescent="0.25">
      <c r="B3090" s="65">
        <v>36184</v>
      </c>
      <c r="C3090" t="s">
        <v>5670</v>
      </c>
    </row>
    <row r="3091" spans="2:3" hidden="1" x14ac:dyDescent="0.25">
      <c r="B3091" s="65">
        <v>36183</v>
      </c>
      <c r="C3091" t="s">
        <v>4690</v>
      </c>
    </row>
    <row r="3092" spans="2:3" hidden="1" x14ac:dyDescent="0.25">
      <c r="B3092" s="65">
        <v>36183</v>
      </c>
      <c r="C3092" t="s">
        <v>6557</v>
      </c>
    </row>
    <row r="3093" spans="2:3" hidden="1" x14ac:dyDescent="0.25">
      <c r="B3093" s="65">
        <v>36182</v>
      </c>
      <c r="C3093" t="s">
        <v>7873</v>
      </c>
    </row>
    <row r="3094" spans="2:3" hidden="1" x14ac:dyDescent="0.25">
      <c r="B3094" s="65">
        <v>36180</v>
      </c>
      <c r="C3094" t="s">
        <v>4122</v>
      </c>
    </row>
    <row r="3095" spans="2:3" hidden="1" x14ac:dyDescent="0.25">
      <c r="B3095" s="65">
        <v>36178</v>
      </c>
      <c r="C3095" t="s">
        <v>3856</v>
      </c>
    </row>
    <row r="3096" spans="2:3" hidden="1" x14ac:dyDescent="0.25">
      <c r="B3096" s="65">
        <v>36177</v>
      </c>
      <c r="C3096" t="s">
        <v>7883</v>
      </c>
    </row>
    <row r="3097" spans="2:3" hidden="1" x14ac:dyDescent="0.25">
      <c r="B3097" s="65">
        <v>36175</v>
      </c>
      <c r="C3097" t="s">
        <v>4521</v>
      </c>
    </row>
    <row r="3098" spans="2:3" hidden="1" x14ac:dyDescent="0.25">
      <c r="B3098" s="65">
        <v>36175</v>
      </c>
      <c r="C3098" t="s">
        <v>6466</v>
      </c>
    </row>
    <row r="3099" spans="2:3" hidden="1" x14ac:dyDescent="0.25">
      <c r="B3099" s="65">
        <v>36174</v>
      </c>
      <c r="C3099" t="s">
        <v>6651</v>
      </c>
    </row>
    <row r="3100" spans="2:3" hidden="1" x14ac:dyDescent="0.25">
      <c r="B3100" s="65">
        <v>36173</v>
      </c>
      <c r="C3100" t="s">
        <v>2451</v>
      </c>
    </row>
    <row r="3101" spans="2:3" hidden="1" x14ac:dyDescent="0.25">
      <c r="B3101" s="65">
        <v>36171</v>
      </c>
      <c r="C3101" t="s">
        <v>8195</v>
      </c>
    </row>
    <row r="3102" spans="2:3" hidden="1" x14ac:dyDescent="0.25">
      <c r="B3102" s="65">
        <v>36170</v>
      </c>
      <c r="C3102" t="s">
        <v>4674</v>
      </c>
    </row>
    <row r="3103" spans="2:3" hidden="1" x14ac:dyDescent="0.25">
      <c r="B3103" s="65">
        <v>36170</v>
      </c>
      <c r="C3103" t="s">
        <v>7512</v>
      </c>
    </row>
    <row r="3104" spans="2:3" hidden="1" x14ac:dyDescent="0.25">
      <c r="B3104" s="65">
        <v>36169</v>
      </c>
      <c r="C3104" t="s">
        <v>4556</v>
      </c>
    </row>
    <row r="3105" spans="2:3" hidden="1" x14ac:dyDescent="0.25">
      <c r="B3105" s="65">
        <v>36169</v>
      </c>
      <c r="C3105" t="s">
        <v>6798</v>
      </c>
    </row>
    <row r="3106" spans="2:3" hidden="1" x14ac:dyDescent="0.25">
      <c r="B3106" s="65">
        <v>36169</v>
      </c>
      <c r="C3106" t="s">
        <v>6537</v>
      </c>
    </row>
    <row r="3107" spans="2:3" hidden="1" x14ac:dyDescent="0.25">
      <c r="B3107" s="65">
        <v>36168</v>
      </c>
      <c r="C3107" t="s">
        <v>4506</v>
      </c>
    </row>
    <row r="3108" spans="2:3" hidden="1" x14ac:dyDescent="0.25">
      <c r="B3108" s="65">
        <v>36167</v>
      </c>
      <c r="C3108" t="s">
        <v>6344</v>
      </c>
    </row>
    <row r="3109" spans="2:3" hidden="1" x14ac:dyDescent="0.25">
      <c r="B3109" s="65">
        <v>36167</v>
      </c>
      <c r="C3109" t="s">
        <v>7747</v>
      </c>
    </row>
    <row r="3110" spans="2:3" hidden="1" x14ac:dyDescent="0.25">
      <c r="B3110" s="65">
        <v>36165</v>
      </c>
      <c r="C3110" t="s">
        <v>5340</v>
      </c>
    </row>
    <row r="3111" spans="2:3" hidden="1" x14ac:dyDescent="0.25">
      <c r="B3111" s="65">
        <v>36165</v>
      </c>
      <c r="C3111" t="s">
        <v>6349</v>
      </c>
    </row>
    <row r="3112" spans="2:3" hidden="1" x14ac:dyDescent="0.25">
      <c r="B3112" s="65">
        <v>36165</v>
      </c>
      <c r="C3112" t="s">
        <v>6811</v>
      </c>
    </row>
    <row r="3113" spans="2:3" hidden="1" x14ac:dyDescent="0.25">
      <c r="B3113" s="65">
        <v>36164</v>
      </c>
      <c r="C3113" t="s">
        <v>410</v>
      </c>
    </row>
    <row r="3114" spans="2:3" hidden="1" x14ac:dyDescent="0.25">
      <c r="B3114" s="65">
        <v>36163</v>
      </c>
      <c r="C3114" t="s">
        <v>6219</v>
      </c>
    </row>
    <row r="3115" spans="2:3" hidden="1" x14ac:dyDescent="0.25">
      <c r="B3115" s="65">
        <v>36162</v>
      </c>
      <c r="C3115" t="s">
        <v>1029</v>
      </c>
    </row>
    <row r="3116" spans="2:3" hidden="1" x14ac:dyDescent="0.25">
      <c r="B3116" s="65">
        <v>36161</v>
      </c>
      <c r="C3116" t="s">
        <v>1155</v>
      </c>
    </row>
    <row r="3117" spans="2:3" hidden="1" x14ac:dyDescent="0.25">
      <c r="B3117" s="65">
        <v>36160</v>
      </c>
      <c r="C3117" t="s">
        <v>2542</v>
      </c>
    </row>
    <row r="3118" spans="2:3" hidden="1" x14ac:dyDescent="0.25">
      <c r="B3118" s="65">
        <v>36159</v>
      </c>
      <c r="C3118" t="s">
        <v>3311</v>
      </c>
    </row>
    <row r="3119" spans="2:3" hidden="1" x14ac:dyDescent="0.25">
      <c r="B3119" s="65">
        <v>36159</v>
      </c>
      <c r="C3119" t="s">
        <v>4624</v>
      </c>
    </row>
    <row r="3120" spans="2:3" hidden="1" x14ac:dyDescent="0.25">
      <c r="B3120" s="65">
        <v>36158</v>
      </c>
      <c r="C3120" t="s">
        <v>3873</v>
      </c>
    </row>
    <row r="3121" spans="2:3" hidden="1" x14ac:dyDescent="0.25">
      <c r="B3121" s="65">
        <v>36158</v>
      </c>
      <c r="C3121" t="s">
        <v>2511</v>
      </c>
    </row>
    <row r="3122" spans="2:3" hidden="1" x14ac:dyDescent="0.25">
      <c r="B3122" s="65">
        <v>36155</v>
      </c>
      <c r="C3122" t="s">
        <v>4897</v>
      </c>
    </row>
    <row r="3123" spans="2:3" hidden="1" x14ac:dyDescent="0.25">
      <c r="B3123" s="65">
        <v>36154</v>
      </c>
      <c r="C3123" t="s">
        <v>2009</v>
      </c>
    </row>
    <row r="3124" spans="2:3" hidden="1" x14ac:dyDescent="0.25">
      <c r="B3124" s="65">
        <v>36153</v>
      </c>
      <c r="C3124" t="s">
        <v>1551</v>
      </c>
    </row>
    <row r="3125" spans="2:3" hidden="1" x14ac:dyDescent="0.25">
      <c r="B3125" s="65">
        <v>36153</v>
      </c>
      <c r="C3125" t="s">
        <v>6607</v>
      </c>
    </row>
    <row r="3126" spans="2:3" hidden="1" x14ac:dyDescent="0.25">
      <c r="B3126" s="65">
        <v>36152</v>
      </c>
      <c r="C3126" t="s">
        <v>5665</v>
      </c>
    </row>
    <row r="3127" spans="2:3" hidden="1" x14ac:dyDescent="0.25">
      <c r="B3127" s="65">
        <v>36152</v>
      </c>
      <c r="C3127" t="s">
        <v>5708</v>
      </c>
    </row>
    <row r="3128" spans="2:3" hidden="1" x14ac:dyDescent="0.25">
      <c r="B3128" s="65">
        <v>36150</v>
      </c>
      <c r="C3128" t="s">
        <v>4728</v>
      </c>
    </row>
    <row r="3129" spans="2:3" hidden="1" x14ac:dyDescent="0.25">
      <c r="B3129" s="65">
        <v>36150</v>
      </c>
      <c r="C3129" t="s">
        <v>7465</v>
      </c>
    </row>
    <row r="3130" spans="2:3" hidden="1" x14ac:dyDescent="0.25">
      <c r="B3130" s="65">
        <v>36149</v>
      </c>
      <c r="C3130" t="s">
        <v>3957</v>
      </c>
    </row>
    <row r="3131" spans="2:3" hidden="1" x14ac:dyDescent="0.25">
      <c r="B3131" s="65">
        <v>36149</v>
      </c>
      <c r="C3131" t="s">
        <v>5195</v>
      </c>
    </row>
    <row r="3132" spans="2:3" hidden="1" x14ac:dyDescent="0.25">
      <c r="B3132" s="65">
        <v>36149</v>
      </c>
      <c r="C3132" t="s">
        <v>7535</v>
      </c>
    </row>
    <row r="3133" spans="2:3" hidden="1" x14ac:dyDescent="0.25">
      <c r="B3133" s="65">
        <v>36147</v>
      </c>
      <c r="C3133" t="s">
        <v>4214</v>
      </c>
    </row>
    <row r="3134" spans="2:3" hidden="1" x14ac:dyDescent="0.25">
      <c r="B3134" s="65">
        <v>36147</v>
      </c>
      <c r="C3134" t="s">
        <v>6744</v>
      </c>
    </row>
    <row r="3135" spans="2:3" hidden="1" x14ac:dyDescent="0.25">
      <c r="B3135" s="65">
        <v>36146</v>
      </c>
      <c r="C3135" t="s">
        <v>4183</v>
      </c>
    </row>
    <row r="3136" spans="2:3" hidden="1" x14ac:dyDescent="0.25">
      <c r="B3136" s="65">
        <v>36146</v>
      </c>
      <c r="C3136" t="s">
        <v>7867</v>
      </c>
    </row>
    <row r="3137" spans="2:3" hidden="1" x14ac:dyDescent="0.25">
      <c r="B3137" s="65">
        <v>36145</v>
      </c>
      <c r="C3137" t="s">
        <v>6331</v>
      </c>
    </row>
    <row r="3138" spans="2:3" hidden="1" x14ac:dyDescent="0.25">
      <c r="B3138" s="65">
        <v>36143</v>
      </c>
      <c r="C3138" t="s">
        <v>4865</v>
      </c>
    </row>
    <row r="3139" spans="2:3" hidden="1" x14ac:dyDescent="0.25">
      <c r="B3139" s="65">
        <v>36141</v>
      </c>
      <c r="C3139" t="s">
        <v>3344</v>
      </c>
    </row>
    <row r="3140" spans="2:3" hidden="1" x14ac:dyDescent="0.25">
      <c r="B3140" s="65">
        <v>36141</v>
      </c>
      <c r="C3140" t="s">
        <v>4574</v>
      </c>
    </row>
    <row r="3141" spans="2:3" hidden="1" x14ac:dyDescent="0.25">
      <c r="B3141" s="65">
        <v>36139</v>
      </c>
      <c r="C3141" t="s">
        <v>5552</v>
      </c>
    </row>
    <row r="3142" spans="2:3" hidden="1" x14ac:dyDescent="0.25">
      <c r="B3142" s="65">
        <v>36137</v>
      </c>
      <c r="C3142" t="s">
        <v>4753</v>
      </c>
    </row>
    <row r="3143" spans="2:3" hidden="1" x14ac:dyDescent="0.25">
      <c r="B3143" s="65">
        <v>36137</v>
      </c>
      <c r="C3143" t="s">
        <v>5490</v>
      </c>
    </row>
    <row r="3144" spans="2:3" hidden="1" x14ac:dyDescent="0.25">
      <c r="B3144" s="65">
        <v>36136</v>
      </c>
      <c r="C3144" t="s">
        <v>5150</v>
      </c>
    </row>
    <row r="3145" spans="2:3" hidden="1" x14ac:dyDescent="0.25">
      <c r="B3145" s="65">
        <v>36134</v>
      </c>
      <c r="C3145" t="s">
        <v>4230</v>
      </c>
    </row>
    <row r="3146" spans="2:3" hidden="1" x14ac:dyDescent="0.25">
      <c r="B3146" s="65">
        <v>36133</v>
      </c>
      <c r="C3146" t="s">
        <v>7772</v>
      </c>
    </row>
    <row r="3147" spans="2:3" hidden="1" x14ac:dyDescent="0.25">
      <c r="B3147" s="65">
        <v>36132</v>
      </c>
      <c r="C3147" t="s">
        <v>6956</v>
      </c>
    </row>
    <row r="3148" spans="2:3" hidden="1" x14ac:dyDescent="0.25">
      <c r="B3148" s="65">
        <v>36129</v>
      </c>
      <c r="C3148" t="s">
        <v>3535</v>
      </c>
    </row>
    <row r="3149" spans="2:3" hidden="1" x14ac:dyDescent="0.25">
      <c r="B3149" s="65">
        <v>36129</v>
      </c>
      <c r="C3149" t="s">
        <v>4394</v>
      </c>
    </row>
    <row r="3150" spans="2:3" hidden="1" x14ac:dyDescent="0.25">
      <c r="B3150" s="65">
        <v>36129</v>
      </c>
      <c r="C3150" t="s">
        <v>6155</v>
      </c>
    </row>
    <row r="3151" spans="2:3" hidden="1" x14ac:dyDescent="0.25">
      <c r="B3151" s="65">
        <v>36127</v>
      </c>
      <c r="C3151" t="s">
        <v>5485</v>
      </c>
    </row>
    <row r="3152" spans="2:3" hidden="1" x14ac:dyDescent="0.25">
      <c r="B3152" s="65">
        <v>36127</v>
      </c>
      <c r="C3152" t="s">
        <v>5493</v>
      </c>
    </row>
    <row r="3153" spans="2:3" hidden="1" x14ac:dyDescent="0.25">
      <c r="B3153" s="65">
        <v>36127</v>
      </c>
      <c r="C3153" t="s">
        <v>3401</v>
      </c>
    </row>
    <row r="3154" spans="2:3" hidden="1" x14ac:dyDescent="0.25">
      <c r="B3154" s="65">
        <v>36126</v>
      </c>
      <c r="C3154" t="s">
        <v>5414</v>
      </c>
    </row>
    <row r="3155" spans="2:3" hidden="1" x14ac:dyDescent="0.25">
      <c r="B3155" s="65">
        <v>36125</v>
      </c>
      <c r="C3155" t="s">
        <v>6707</v>
      </c>
    </row>
    <row r="3156" spans="2:3" hidden="1" x14ac:dyDescent="0.25">
      <c r="B3156" s="65">
        <v>36125</v>
      </c>
      <c r="C3156" t="s">
        <v>576</v>
      </c>
    </row>
    <row r="3157" spans="2:3" hidden="1" x14ac:dyDescent="0.25">
      <c r="B3157" s="65">
        <v>36124</v>
      </c>
      <c r="C3157" t="s">
        <v>7787</v>
      </c>
    </row>
    <row r="3158" spans="2:3" hidden="1" x14ac:dyDescent="0.25">
      <c r="B3158" s="65">
        <v>36122</v>
      </c>
      <c r="C3158" t="s">
        <v>5329</v>
      </c>
    </row>
    <row r="3159" spans="2:3" hidden="1" x14ac:dyDescent="0.25">
      <c r="B3159" s="65">
        <v>36121</v>
      </c>
      <c r="C3159" t="s">
        <v>4497</v>
      </c>
    </row>
    <row r="3160" spans="2:3" hidden="1" x14ac:dyDescent="0.25">
      <c r="B3160" s="65">
        <v>36120</v>
      </c>
      <c r="C3160" t="s">
        <v>5997</v>
      </c>
    </row>
    <row r="3161" spans="2:3" hidden="1" x14ac:dyDescent="0.25">
      <c r="B3161" s="65">
        <v>36118</v>
      </c>
      <c r="C3161" t="s">
        <v>4971</v>
      </c>
    </row>
    <row r="3162" spans="2:3" hidden="1" x14ac:dyDescent="0.25">
      <c r="B3162" s="65">
        <v>36118</v>
      </c>
      <c r="C3162" t="s">
        <v>724</v>
      </c>
    </row>
    <row r="3163" spans="2:3" hidden="1" x14ac:dyDescent="0.25">
      <c r="B3163" s="65">
        <v>36117</v>
      </c>
      <c r="C3163" t="s">
        <v>6089</v>
      </c>
    </row>
    <row r="3164" spans="2:3" hidden="1" x14ac:dyDescent="0.25">
      <c r="B3164" s="65">
        <v>36116</v>
      </c>
      <c r="C3164" t="s">
        <v>7063</v>
      </c>
    </row>
    <row r="3165" spans="2:3" hidden="1" x14ac:dyDescent="0.25">
      <c r="B3165" s="65">
        <v>36116</v>
      </c>
      <c r="C3165" t="s">
        <v>7630</v>
      </c>
    </row>
    <row r="3166" spans="2:3" hidden="1" x14ac:dyDescent="0.25">
      <c r="B3166" s="65">
        <v>36115</v>
      </c>
      <c r="C3166" t="s">
        <v>6272</v>
      </c>
    </row>
    <row r="3167" spans="2:3" hidden="1" x14ac:dyDescent="0.25">
      <c r="B3167" s="65">
        <v>36114</v>
      </c>
      <c r="C3167" t="s">
        <v>4287</v>
      </c>
    </row>
    <row r="3168" spans="2:3" hidden="1" x14ac:dyDescent="0.25">
      <c r="B3168" s="65">
        <v>36111</v>
      </c>
      <c r="C3168" t="s">
        <v>2273</v>
      </c>
    </row>
    <row r="3169" spans="2:3" hidden="1" x14ac:dyDescent="0.25">
      <c r="B3169" s="65">
        <v>36109</v>
      </c>
      <c r="C3169" t="s">
        <v>576</v>
      </c>
    </row>
    <row r="3170" spans="2:3" hidden="1" x14ac:dyDescent="0.25">
      <c r="B3170" s="65">
        <v>36108</v>
      </c>
      <c r="C3170" t="s">
        <v>3601</v>
      </c>
    </row>
    <row r="3171" spans="2:3" hidden="1" x14ac:dyDescent="0.25">
      <c r="B3171" s="65">
        <v>36107</v>
      </c>
      <c r="C3171" t="s">
        <v>6474</v>
      </c>
    </row>
    <row r="3172" spans="2:3" hidden="1" x14ac:dyDescent="0.25">
      <c r="B3172" s="65">
        <v>36106</v>
      </c>
      <c r="C3172" t="s">
        <v>2578</v>
      </c>
    </row>
    <row r="3173" spans="2:3" hidden="1" x14ac:dyDescent="0.25">
      <c r="B3173" s="65">
        <v>36106</v>
      </c>
      <c r="C3173" t="s">
        <v>4787</v>
      </c>
    </row>
    <row r="3174" spans="2:3" hidden="1" x14ac:dyDescent="0.25">
      <c r="B3174" s="65">
        <v>36106</v>
      </c>
      <c r="C3174" t="s">
        <v>5952</v>
      </c>
    </row>
    <row r="3175" spans="2:3" hidden="1" x14ac:dyDescent="0.25">
      <c r="B3175" s="65">
        <v>36104</v>
      </c>
      <c r="C3175" t="s">
        <v>4466</v>
      </c>
    </row>
    <row r="3176" spans="2:3" hidden="1" x14ac:dyDescent="0.25">
      <c r="B3176" s="65">
        <v>36104</v>
      </c>
      <c r="C3176" t="s">
        <v>4420</v>
      </c>
    </row>
    <row r="3177" spans="2:3" hidden="1" x14ac:dyDescent="0.25">
      <c r="B3177" s="65">
        <v>36103</v>
      </c>
      <c r="C3177" t="s">
        <v>4360</v>
      </c>
    </row>
    <row r="3178" spans="2:3" hidden="1" x14ac:dyDescent="0.25">
      <c r="B3178" s="65">
        <v>36103</v>
      </c>
      <c r="C3178" t="s">
        <v>7564</v>
      </c>
    </row>
    <row r="3179" spans="2:3" hidden="1" x14ac:dyDescent="0.25">
      <c r="B3179" s="65">
        <v>36102</v>
      </c>
      <c r="C3179" t="s">
        <v>7379</v>
      </c>
    </row>
    <row r="3180" spans="2:3" hidden="1" x14ac:dyDescent="0.25">
      <c r="B3180" s="65">
        <v>36101</v>
      </c>
      <c r="C3180" t="s">
        <v>1806</v>
      </c>
    </row>
    <row r="3181" spans="2:3" hidden="1" x14ac:dyDescent="0.25">
      <c r="B3181" s="65">
        <v>36099</v>
      </c>
      <c r="C3181" t="s">
        <v>1370</v>
      </c>
    </row>
    <row r="3182" spans="2:3" hidden="1" x14ac:dyDescent="0.25">
      <c r="B3182" s="65">
        <v>36098</v>
      </c>
      <c r="C3182" t="s">
        <v>2215</v>
      </c>
    </row>
    <row r="3183" spans="2:3" hidden="1" x14ac:dyDescent="0.25">
      <c r="B3183" s="65">
        <v>36097</v>
      </c>
      <c r="C3183" t="s">
        <v>5010</v>
      </c>
    </row>
    <row r="3184" spans="2:3" hidden="1" x14ac:dyDescent="0.25">
      <c r="B3184" s="65">
        <v>36097</v>
      </c>
      <c r="C3184" t="s">
        <v>3681</v>
      </c>
    </row>
    <row r="3185" spans="2:3" hidden="1" x14ac:dyDescent="0.25">
      <c r="B3185" s="65">
        <v>36096</v>
      </c>
      <c r="C3185" t="s">
        <v>6296</v>
      </c>
    </row>
    <row r="3186" spans="2:3" hidden="1" x14ac:dyDescent="0.25">
      <c r="B3186" s="65">
        <v>36095</v>
      </c>
      <c r="C3186" t="s">
        <v>1507</v>
      </c>
    </row>
    <row r="3187" spans="2:3" hidden="1" x14ac:dyDescent="0.25">
      <c r="B3187" s="65">
        <v>36095</v>
      </c>
      <c r="C3187" t="s">
        <v>6383</v>
      </c>
    </row>
    <row r="3188" spans="2:3" hidden="1" x14ac:dyDescent="0.25">
      <c r="B3188" s="65">
        <v>36094</v>
      </c>
      <c r="C3188" t="s">
        <v>7574</v>
      </c>
    </row>
    <row r="3189" spans="2:3" hidden="1" x14ac:dyDescent="0.25">
      <c r="B3189" s="65">
        <v>36093</v>
      </c>
      <c r="C3189" t="s">
        <v>2290</v>
      </c>
    </row>
    <row r="3190" spans="2:3" hidden="1" x14ac:dyDescent="0.25">
      <c r="B3190" s="65">
        <v>36093</v>
      </c>
      <c r="C3190" t="s">
        <v>8030</v>
      </c>
    </row>
    <row r="3191" spans="2:3" hidden="1" x14ac:dyDescent="0.25">
      <c r="B3191" s="65">
        <v>36090</v>
      </c>
      <c r="C3191" t="s">
        <v>4368</v>
      </c>
    </row>
    <row r="3192" spans="2:3" hidden="1" x14ac:dyDescent="0.25">
      <c r="B3192" s="65">
        <v>36089</v>
      </c>
      <c r="C3192" t="s">
        <v>7981</v>
      </c>
    </row>
    <row r="3193" spans="2:3" hidden="1" x14ac:dyDescent="0.25">
      <c r="B3193" s="65">
        <v>36087</v>
      </c>
      <c r="C3193" t="s">
        <v>5251</v>
      </c>
    </row>
    <row r="3194" spans="2:3" hidden="1" x14ac:dyDescent="0.25">
      <c r="B3194" s="65">
        <v>36086</v>
      </c>
      <c r="C3194" t="s">
        <v>4997</v>
      </c>
    </row>
    <row r="3195" spans="2:3" hidden="1" x14ac:dyDescent="0.25">
      <c r="B3195" s="65">
        <v>36086</v>
      </c>
      <c r="C3195" t="s">
        <v>6633</v>
      </c>
    </row>
    <row r="3196" spans="2:3" hidden="1" x14ac:dyDescent="0.25">
      <c r="B3196" s="65">
        <v>36085</v>
      </c>
      <c r="C3196" t="s">
        <v>5813</v>
      </c>
    </row>
    <row r="3197" spans="2:3" hidden="1" x14ac:dyDescent="0.25">
      <c r="B3197" s="65">
        <v>36085</v>
      </c>
      <c r="C3197" t="s">
        <v>6569</v>
      </c>
    </row>
    <row r="3198" spans="2:3" hidden="1" x14ac:dyDescent="0.25">
      <c r="B3198" s="65">
        <v>36084</v>
      </c>
      <c r="C3198" t="s">
        <v>5905</v>
      </c>
    </row>
    <row r="3199" spans="2:3" hidden="1" x14ac:dyDescent="0.25">
      <c r="B3199" s="65">
        <v>36084</v>
      </c>
      <c r="C3199" t="s">
        <v>1029</v>
      </c>
    </row>
    <row r="3200" spans="2:3" hidden="1" x14ac:dyDescent="0.25">
      <c r="B3200" s="65">
        <v>36082</v>
      </c>
      <c r="C3200" t="s">
        <v>5746</v>
      </c>
    </row>
    <row r="3201" spans="2:3" hidden="1" x14ac:dyDescent="0.25">
      <c r="B3201" s="65">
        <v>36082</v>
      </c>
      <c r="C3201" t="s">
        <v>316</v>
      </c>
    </row>
    <row r="3202" spans="2:3" hidden="1" x14ac:dyDescent="0.25">
      <c r="B3202" s="65">
        <v>36082</v>
      </c>
      <c r="C3202" t="s">
        <v>7112</v>
      </c>
    </row>
    <row r="3203" spans="2:3" hidden="1" x14ac:dyDescent="0.25">
      <c r="B3203" s="65">
        <v>36082</v>
      </c>
      <c r="C3203" t="s">
        <v>7227</v>
      </c>
    </row>
    <row r="3204" spans="2:3" hidden="1" x14ac:dyDescent="0.25">
      <c r="B3204" s="65">
        <v>36081</v>
      </c>
      <c r="C3204" t="s">
        <v>633</v>
      </c>
    </row>
    <row r="3205" spans="2:3" hidden="1" x14ac:dyDescent="0.25">
      <c r="B3205" s="65">
        <v>36081</v>
      </c>
      <c r="C3205" t="s">
        <v>5403</v>
      </c>
    </row>
    <row r="3206" spans="2:3" hidden="1" x14ac:dyDescent="0.25">
      <c r="B3206" s="65">
        <v>36081</v>
      </c>
      <c r="C3206" t="s">
        <v>5981</v>
      </c>
    </row>
    <row r="3207" spans="2:3" hidden="1" x14ac:dyDescent="0.25">
      <c r="B3207" s="65">
        <v>36081</v>
      </c>
      <c r="C3207" t="s">
        <v>6852</v>
      </c>
    </row>
    <row r="3208" spans="2:3" hidden="1" x14ac:dyDescent="0.25">
      <c r="B3208" s="65">
        <v>36080</v>
      </c>
      <c r="C3208" t="s">
        <v>1103</v>
      </c>
    </row>
    <row r="3209" spans="2:3" hidden="1" x14ac:dyDescent="0.25">
      <c r="B3209" s="65">
        <v>36076</v>
      </c>
      <c r="C3209" t="s">
        <v>4097</v>
      </c>
    </row>
    <row r="3210" spans="2:3" hidden="1" x14ac:dyDescent="0.25">
      <c r="B3210" s="65">
        <v>36076</v>
      </c>
      <c r="C3210" t="s">
        <v>670</v>
      </c>
    </row>
    <row r="3211" spans="2:3" hidden="1" x14ac:dyDescent="0.25">
      <c r="B3211" s="65">
        <v>36074</v>
      </c>
      <c r="C3211" t="s">
        <v>3216</v>
      </c>
    </row>
    <row r="3212" spans="2:3" hidden="1" x14ac:dyDescent="0.25">
      <c r="B3212" s="65">
        <v>36073</v>
      </c>
      <c r="C3212" t="s">
        <v>5643</v>
      </c>
    </row>
    <row r="3213" spans="2:3" hidden="1" x14ac:dyDescent="0.25">
      <c r="B3213" s="65">
        <v>36072</v>
      </c>
      <c r="C3213" t="s">
        <v>3476</v>
      </c>
    </row>
    <row r="3214" spans="2:3" hidden="1" x14ac:dyDescent="0.25">
      <c r="B3214" s="65">
        <v>36072</v>
      </c>
      <c r="C3214" t="s">
        <v>1575</v>
      </c>
    </row>
    <row r="3215" spans="2:3" hidden="1" x14ac:dyDescent="0.25">
      <c r="B3215" s="65">
        <v>36070</v>
      </c>
      <c r="C3215" t="s">
        <v>7433</v>
      </c>
    </row>
    <row r="3216" spans="2:3" hidden="1" x14ac:dyDescent="0.25">
      <c r="B3216" s="65">
        <v>36069</v>
      </c>
      <c r="C3216" t="s">
        <v>2982</v>
      </c>
    </row>
    <row r="3217" spans="2:3" hidden="1" x14ac:dyDescent="0.25">
      <c r="B3217" s="65">
        <v>36068</v>
      </c>
      <c r="C3217" t="s">
        <v>3514</v>
      </c>
    </row>
    <row r="3218" spans="2:3" hidden="1" x14ac:dyDescent="0.25">
      <c r="B3218" s="65">
        <v>36067</v>
      </c>
      <c r="C3218" t="s">
        <v>4487</v>
      </c>
    </row>
    <row r="3219" spans="2:3" hidden="1" x14ac:dyDescent="0.25">
      <c r="B3219" s="65">
        <v>36067</v>
      </c>
      <c r="C3219" t="s">
        <v>5025</v>
      </c>
    </row>
    <row r="3220" spans="2:3" hidden="1" x14ac:dyDescent="0.25">
      <c r="B3220" s="65">
        <v>36067</v>
      </c>
      <c r="C3220" t="s">
        <v>6815</v>
      </c>
    </row>
    <row r="3221" spans="2:3" hidden="1" x14ac:dyDescent="0.25">
      <c r="B3221" s="65">
        <v>36066</v>
      </c>
      <c r="C3221" t="s">
        <v>3501</v>
      </c>
    </row>
    <row r="3222" spans="2:3" hidden="1" x14ac:dyDescent="0.25">
      <c r="B3222" s="65">
        <v>36066</v>
      </c>
      <c r="C3222" t="s">
        <v>5527</v>
      </c>
    </row>
    <row r="3223" spans="2:3" hidden="1" x14ac:dyDescent="0.25">
      <c r="B3223" s="65">
        <v>36066</v>
      </c>
      <c r="C3223" t="s">
        <v>8180</v>
      </c>
    </row>
    <row r="3224" spans="2:3" hidden="1" x14ac:dyDescent="0.25">
      <c r="B3224" s="65">
        <v>36065</v>
      </c>
      <c r="C3224" t="s">
        <v>3922</v>
      </c>
    </row>
    <row r="3225" spans="2:3" hidden="1" x14ac:dyDescent="0.25">
      <c r="B3225" s="65">
        <v>36065</v>
      </c>
      <c r="C3225" t="s">
        <v>4659</v>
      </c>
    </row>
    <row r="3226" spans="2:3" hidden="1" x14ac:dyDescent="0.25">
      <c r="B3226" s="65">
        <v>36064</v>
      </c>
      <c r="C3226" t="s">
        <v>6925</v>
      </c>
    </row>
    <row r="3227" spans="2:3" hidden="1" x14ac:dyDescent="0.25">
      <c r="B3227" s="65">
        <v>36064</v>
      </c>
      <c r="C3227" t="s">
        <v>7803</v>
      </c>
    </row>
    <row r="3228" spans="2:3" hidden="1" x14ac:dyDescent="0.25">
      <c r="B3228" s="65">
        <v>36063</v>
      </c>
      <c r="C3228" t="s">
        <v>4446</v>
      </c>
    </row>
    <row r="3229" spans="2:3" hidden="1" x14ac:dyDescent="0.25">
      <c r="B3229" s="65">
        <v>36062</v>
      </c>
      <c r="C3229" t="s">
        <v>2174</v>
      </c>
    </row>
    <row r="3230" spans="2:3" hidden="1" x14ac:dyDescent="0.25">
      <c r="B3230" s="65">
        <v>36062</v>
      </c>
      <c r="C3230" t="s">
        <v>7845</v>
      </c>
    </row>
    <row r="3231" spans="2:3" hidden="1" x14ac:dyDescent="0.25">
      <c r="B3231" s="65">
        <v>36056</v>
      </c>
      <c r="C3231" t="s">
        <v>3272</v>
      </c>
    </row>
    <row r="3232" spans="2:3" hidden="1" x14ac:dyDescent="0.25">
      <c r="B3232" s="65">
        <v>36054</v>
      </c>
      <c r="C3232" t="s">
        <v>3922</v>
      </c>
    </row>
    <row r="3233" spans="2:3" hidden="1" x14ac:dyDescent="0.25">
      <c r="B3233" s="65">
        <v>36054</v>
      </c>
      <c r="C3233" t="s">
        <v>7480</v>
      </c>
    </row>
    <row r="3234" spans="2:3" hidden="1" x14ac:dyDescent="0.25">
      <c r="B3234" s="65">
        <v>36053</v>
      </c>
      <c r="C3234" t="s">
        <v>4853</v>
      </c>
    </row>
    <row r="3235" spans="2:3" hidden="1" x14ac:dyDescent="0.25">
      <c r="B3235" s="65">
        <v>36053</v>
      </c>
      <c r="C3235" t="s">
        <v>1395</v>
      </c>
    </row>
    <row r="3236" spans="2:3" hidden="1" x14ac:dyDescent="0.25">
      <c r="B3236" s="65">
        <v>36052</v>
      </c>
      <c r="C3236" t="s">
        <v>1174</v>
      </c>
    </row>
    <row r="3237" spans="2:3" hidden="1" x14ac:dyDescent="0.25">
      <c r="B3237" s="65">
        <v>36051</v>
      </c>
      <c r="C3237" t="s">
        <v>4598</v>
      </c>
    </row>
    <row r="3238" spans="2:3" hidden="1" x14ac:dyDescent="0.25">
      <c r="B3238" s="65">
        <v>36049</v>
      </c>
      <c r="C3238" t="s">
        <v>4981</v>
      </c>
    </row>
    <row r="3239" spans="2:3" hidden="1" x14ac:dyDescent="0.25">
      <c r="B3239" s="65">
        <v>36048</v>
      </c>
      <c r="C3239" t="s">
        <v>3325</v>
      </c>
    </row>
    <row r="3240" spans="2:3" hidden="1" x14ac:dyDescent="0.25">
      <c r="B3240" s="65">
        <v>36048</v>
      </c>
      <c r="C3240" t="s">
        <v>6443</v>
      </c>
    </row>
    <row r="3241" spans="2:3" hidden="1" x14ac:dyDescent="0.25">
      <c r="B3241" s="65">
        <v>36047</v>
      </c>
      <c r="C3241" t="s">
        <v>8150</v>
      </c>
    </row>
    <row r="3242" spans="2:3" hidden="1" x14ac:dyDescent="0.25">
      <c r="B3242" s="65">
        <v>36046</v>
      </c>
      <c r="C3242" t="s">
        <v>7601</v>
      </c>
    </row>
    <row r="3243" spans="2:3" hidden="1" x14ac:dyDescent="0.25">
      <c r="B3243" s="65">
        <v>36046</v>
      </c>
      <c r="C3243" t="s">
        <v>7862</v>
      </c>
    </row>
    <row r="3244" spans="2:3" hidden="1" x14ac:dyDescent="0.25">
      <c r="B3244" s="65">
        <v>36045</v>
      </c>
      <c r="C3244" t="s">
        <v>4307</v>
      </c>
    </row>
    <row r="3245" spans="2:3" hidden="1" x14ac:dyDescent="0.25">
      <c r="B3245" s="65">
        <v>36045</v>
      </c>
      <c r="C3245" t="s">
        <v>3320</v>
      </c>
    </row>
    <row r="3246" spans="2:3" hidden="1" x14ac:dyDescent="0.25">
      <c r="B3246" s="65">
        <v>36043</v>
      </c>
      <c r="C3246" t="s">
        <v>4278</v>
      </c>
    </row>
    <row r="3247" spans="2:3" hidden="1" x14ac:dyDescent="0.25">
      <c r="B3247" s="65">
        <v>36041</v>
      </c>
      <c r="C3247" t="s">
        <v>4203</v>
      </c>
    </row>
    <row r="3248" spans="2:3" hidden="1" x14ac:dyDescent="0.25">
      <c r="B3248" s="65">
        <v>36039</v>
      </c>
      <c r="C3248" t="s">
        <v>170</v>
      </c>
    </row>
    <row r="3249" spans="2:3" hidden="1" x14ac:dyDescent="0.25">
      <c r="B3249" s="65">
        <v>36038</v>
      </c>
      <c r="C3249" t="s">
        <v>3362</v>
      </c>
    </row>
    <row r="3250" spans="2:3" hidden="1" x14ac:dyDescent="0.25">
      <c r="B3250" s="65">
        <v>36036</v>
      </c>
      <c r="C3250" t="s">
        <v>7769</v>
      </c>
    </row>
    <row r="3251" spans="2:3" hidden="1" x14ac:dyDescent="0.25">
      <c r="B3251" s="65">
        <v>36034</v>
      </c>
      <c r="C3251" t="s">
        <v>4103</v>
      </c>
    </row>
    <row r="3252" spans="2:3" hidden="1" x14ac:dyDescent="0.25">
      <c r="B3252" s="65">
        <v>36032</v>
      </c>
      <c r="C3252" t="s">
        <v>7265</v>
      </c>
    </row>
    <row r="3253" spans="2:3" hidden="1" x14ac:dyDescent="0.25">
      <c r="B3253" s="65">
        <v>36031</v>
      </c>
      <c r="C3253" t="s">
        <v>4624</v>
      </c>
    </row>
    <row r="3254" spans="2:3" hidden="1" x14ac:dyDescent="0.25">
      <c r="B3254" s="65">
        <v>36030</v>
      </c>
      <c r="C3254" t="s">
        <v>5985</v>
      </c>
    </row>
    <row r="3255" spans="2:3" hidden="1" x14ac:dyDescent="0.25">
      <c r="B3255" s="65">
        <v>36028</v>
      </c>
      <c r="C3255" t="s">
        <v>5015</v>
      </c>
    </row>
    <row r="3256" spans="2:3" hidden="1" x14ac:dyDescent="0.25">
      <c r="B3256" s="65">
        <v>36026</v>
      </c>
      <c r="C3256" t="s">
        <v>5020</v>
      </c>
    </row>
    <row r="3257" spans="2:3" hidden="1" x14ac:dyDescent="0.25">
      <c r="B3257" s="65">
        <v>36025</v>
      </c>
      <c r="C3257" t="s">
        <v>8013</v>
      </c>
    </row>
    <row r="3258" spans="2:3" hidden="1" x14ac:dyDescent="0.25">
      <c r="B3258" s="65">
        <v>36024</v>
      </c>
      <c r="C3258" t="s">
        <v>5234</v>
      </c>
    </row>
    <row r="3259" spans="2:3" hidden="1" x14ac:dyDescent="0.25">
      <c r="B3259" s="65">
        <v>36023</v>
      </c>
      <c r="C3259" t="s">
        <v>4208</v>
      </c>
    </row>
    <row r="3260" spans="2:3" hidden="1" x14ac:dyDescent="0.25">
      <c r="B3260" s="65">
        <v>36023</v>
      </c>
      <c r="C3260" t="s">
        <v>6754</v>
      </c>
    </row>
    <row r="3261" spans="2:3" hidden="1" x14ac:dyDescent="0.25">
      <c r="B3261" s="65">
        <v>36022</v>
      </c>
      <c r="C3261" t="s">
        <v>4976</v>
      </c>
    </row>
    <row r="3262" spans="2:3" hidden="1" x14ac:dyDescent="0.25">
      <c r="B3262" s="65">
        <v>36020</v>
      </c>
      <c r="C3262" t="s">
        <v>4166</v>
      </c>
    </row>
    <row r="3263" spans="2:3" hidden="1" x14ac:dyDescent="0.25">
      <c r="B3263" s="65">
        <v>36018</v>
      </c>
      <c r="C3263" t="s">
        <v>5346</v>
      </c>
    </row>
    <row r="3264" spans="2:3" hidden="1" x14ac:dyDescent="0.25">
      <c r="B3264" s="65">
        <v>36018</v>
      </c>
      <c r="C3264" t="s">
        <v>844</v>
      </c>
    </row>
    <row r="3265" spans="2:3" hidden="1" x14ac:dyDescent="0.25">
      <c r="B3265" s="65">
        <v>36017</v>
      </c>
      <c r="C3265" t="s">
        <v>7252</v>
      </c>
    </row>
    <row r="3266" spans="2:3" hidden="1" x14ac:dyDescent="0.25">
      <c r="B3266" s="65">
        <v>36015</v>
      </c>
      <c r="C3266" t="s">
        <v>4583</v>
      </c>
    </row>
    <row r="3267" spans="2:3" hidden="1" x14ac:dyDescent="0.25">
      <c r="B3267" s="65">
        <v>36014</v>
      </c>
      <c r="C3267" t="s">
        <v>3278</v>
      </c>
    </row>
    <row r="3268" spans="2:3" hidden="1" x14ac:dyDescent="0.25">
      <c r="B3268" s="65">
        <v>36014</v>
      </c>
      <c r="C3268" t="s">
        <v>4420</v>
      </c>
    </row>
    <row r="3269" spans="2:3" hidden="1" x14ac:dyDescent="0.25">
      <c r="B3269" s="65">
        <v>36010</v>
      </c>
      <c r="C3269" t="s">
        <v>4744</v>
      </c>
    </row>
    <row r="3270" spans="2:3" hidden="1" x14ac:dyDescent="0.25">
      <c r="B3270" s="65">
        <v>36008</v>
      </c>
      <c r="C3270" t="s">
        <v>4334</v>
      </c>
    </row>
    <row r="3271" spans="2:3" hidden="1" x14ac:dyDescent="0.25">
      <c r="B3271" s="65">
        <v>36008</v>
      </c>
      <c r="C3271" t="s">
        <v>6082</v>
      </c>
    </row>
    <row r="3272" spans="2:3" hidden="1" x14ac:dyDescent="0.25">
      <c r="B3272" s="65">
        <v>36008</v>
      </c>
      <c r="C3272" t="s">
        <v>6290</v>
      </c>
    </row>
    <row r="3273" spans="2:3" hidden="1" x14ac:dyDescent="0.25">
      <c r="B3273" s="65">
        <v>36006</v>
      </c>
      <c r="C3273" t="s">
        <v>3917</v>
      </c>
    </row>
    <row r="3274" spans="2:3" hidden="1" x14ac:dyDescent="0.25">
      <c r="B3274" s="65">
        <v>36006</v>
      </c>
      <c r="C3274" t="s">
        <v>5497</v>
      </c>
    </row>
    <row r="3275" spans="2:3" hidden="1" x14ac:dyDescent="0.25">
      <c r="B3275" s="65">
        <v>36005</v>
      </c>
      <c r="C3275" t="s">
        <v>2354</v>
      </c>
    </row>
    <row r="3276" spans="2:3" hidden="1" x14ac:dyDescent="0.25">
      <c r="B3276" s="65">
        <v>36005</v>
      </c>
      <c r="C3276" t="s">
        <v>6367</v>
      </c>
    </row>
    <row r="3277" spans="2:3" hidden="1" x14ac:dyDescent="0.25">
      <c r="B3277" s="65">
        <v>36004</v>
      </c>
      <c r="C3277" t="s">
        <v>2209</v>
      </c>
    </row>
    <row r="3278" spans="2:3" hidden="1" x14ac:dyDescent="0.25">
      <c r="B3278" s="65">
        <v>36004</v>
      </c>
      <c r="C3278" t="s">
        <v>7755</v>
      </c>
    </row>
    <row r="3279" spans="2:3" hidden="1" x14ac:dyDescent="0.25">
      <c r="B3279" s="65">
        <v>36002</v>
      </c>
      <c r="C3279" t="s">
        <v>4140</v>
      </c>
    </row>
    <row r="3280" spans="2:3" hidden="1" x14ac:dyDescent="0.25">
      <c r="B3280" s="65">
        <v>36002</v>
      </c>
      <c r="C3280" t="s">
        <v>897</v>
      </c>
    </row>
    <row r="3281" spans="2:3" hidden="1" x14ac:dyDescent="0.25">
      <c r="B3281" s="65">
        <v>36000</v>
      </c>
      <c r="C3281" t="s">
        <v>7606</v>
      </c>
    </row>
    <row r="3282" spans="2:3" hidden="1" x14ac:dyDescent="0.25">
      <c r="B3282" s="65">
        <v>35999</v>
      </c>
      <c r="C3282" t="s">
        <v>7765</v>
      </c>
    </row>
    <row r="3283" spans="2:3" hidden="1" x14ac:dyDescent="0.25">
      <c r="B3283" s="65">
        <v>35998</v>
      </c>
      <c r="C3283" t="s">
        <v>3455</v>
      </c>
    </row>
    <row r="3284" spans="2:3" hidden="1" x14ac:dyDescent="0.25">
      <c r="B3284" s="65">
        <v>35998</v>
      </c>
      <c r="C3284" t="s">
        <v>4843</v>
      </c>
    </row>
    <row r="3285" spans="2:3" hidden="1" x14ac:dyDescent="0.25">
      <c r="B3285" s="65">
        <v>35998</v>
      </c>
      <c r="C3285" t="s">
        <v>5429</v>
      </c>
    </row>
    <row r="3286" spans="2:3" hidden="1" x14ac:dyDescent="0.25">
      <c r="B3286" s="65">
        <v>35996</v>
      </c>
      <c r="C3286" t="s">
        <v>4613</v>
      </c>
    </row>
    <row r="3287" spans="2:3" hidden="1" x14ac:dyDescent="0.25">
      <c r="B3287" s="65">
        <v>35996</v>
      </c>
      <c r="C3287" t="s">
        <v>5753</v>
      </c>
    </row>
    <row r="3288" spans="2:3" hidden="1" x14ac:dyDescent="0.25">
      <c r="B3288" s="65">
        <v>35995</v>
      </c>
      <c r="C3288" t="s">
        <v>7934</v>
      </c>
    </row>
    <row r="3289" spans="2:3" hidden="1" x14ac:dyDescent="0.25">
      <c r="B3289" s="65">
        <v>35994</v>
      </c>
      <c r="C3289" t="s">
        <v>5761</v>
      </c>
    </row>
    <row r="3290" spans="2:3" hidden="1" x14ac:dyDescent="0.25">
      <c r="B3290" s="65">
        <v>35994</v>
      </c>
      <c r="C3290" t="s">
        <v>2904</v>
      </c>
    </row>
    <row r="3291" spans="2:3" hidden="1" x14ac:dyDescent="0.25">
      <c r="B3291" s="65">
        <v>35991</v>
      </c>
      <c r="C3291" t="s">
        <v>598</v>
      </c>
    </row>
    <row r="3292" spans="2:3" hidden="1" x14ac:dyDescent="0.25">
      <c r="B3292" s="65">
        <v>35990</v>
      </c>
      <c r="C3292" t="s">
        <v>4815</v>
      </c>
    </row>
    <row r="3293" spans="2:3" hidden="1" x14ac:dyDescent="0.25">
      <c r="B3293" s="65">
        <v>35988</v>
      </c>
      <c r="C3293" t="s">
        <v>2795</v>
      </c>
    </row>
    <row r="3294" spans="2:3" hidden="1" x14ac:dyDescent="0.25">
      <c r="B3294" s="65">
        <v>35986</v>
      </c>
      <c r="C3294" t="s">
        <v>5716</v>
      </c>
    </row>
    <row r="3295" spans="2:3" hidden="1" x14ac:dyDescent="0.25">
      <c r="B3295" s="65">
        <v>35986</v>
      </c>
      <c r="C3295" t="s">
        <v>7140</v>
      </c>
    </row>
    <row r="3296" spans="2:3" hidden="1" x14ac:dyDescent="0.25">
      <c r="B3296" s="65">
        <v>35986</v>
      </c>
      <c r="C3296" t="s">
        <v>2060</v>
      </c>
    </row>
    <row r="3297" spans="2:3" hidden="1" x14ac:dyDescent="0.25">
      <c r="B3297" s="65">
        <v>35986</v>
      </c>
      <c r="C3297" t="s">
        <v>7923</v>
      </c>
    </row>
    <row r="3298" spans="2:3" hidden="1" x14ac:dyDescent="0.25">
      <c r="B3298" s="65">
        <v>35982</v>
      </c>
      <c r="C3298" t="s">
        <v>105</v>
      </c>
    </row>
    <row r="3299" spans="2:3" hidden="1" x14ac:dyDescent="0.25">
      <c r="B3299" s="65">
        <v>35981</v>
      </c>
      <c r="C3299" t="s">
        <v>5397</v>
      </c>
    </row>
    <row r="3300" spans="2:3" hidden="1" x14ac:dyDescent="0.25">
      <c r="B3300" s="65">
        <v>35980</v>
      </c>
      <c r="C3300" t="s">
        <v>3430</v>
      </c>
    </row>
    <row r="3301" spans="2:3" hidden="1" x14ac:dyDescent="0.25">
      <c r="B3301" s="65">
        <v>35980</v>
      </c>
      <c r="C3301" t="s">
        <v>4906</v>
      </c>
    </row>
    <row r="3302" spans="2:3" hidden="1" x14ac:dyDescent="0.25">
      <c r="B3302" s="65">
        <v>35976</v>
      </c>
      <c r="C3302" t="s">
        <v>3566</v>
      </c>
    </row>
    <row r="3303" spans="2:3" hidden="1" x14ac:dyDescent="0.25">
      <c r="B3303" s="65">
        <v>35976</v>
      </c>
      <c r="C3303" t="s">
        <v>6219</v>
      </c>
    </row>
    <row r="3304" spans="2:3" hidden="1" x14ac:dyDescent="0.25">
      <c r="B3304" s="65">
        <v>35975</v>
      </c>
      <c r="C3304" t="s">
        <v>7410</v>
      </c>
    </row>
    <row r="3305" spans="2:3" hidden="1" x14ac:dyDescent="0.25">
      <c r="B3305" s="65">
        <v>35973</v>
      </c>
      <c r="C3305" t="s">
        <v>4958</v>
      </c>
    </row>
    <row r="3306" spans="2:3" hidden="1" x14ac:dyDescent="0.25">
      <c r="B3306" s="65">
        <v>35970</v>
      </c>
      <c r="C3306" t="s">
        <v>5659</v>
      </c>
    </row>
    <row r="3307" spans="2:3" hidden="1" x14ac:dyDescent="0.25">
      <c r="B3307" s="65">
        <v>35969</v>
      </c>
      <c r="C3307" t="s">
        <v>4241</v>
      </c>
    </row>
    <row r="3308" spans="2:3" hidden="1" x14ac:dyDescent="0.25">
      <c r="B3308" s="65">
        <v>35969</v>
      </c>
      <c r="C3308" t="s">
        <v>7780</v>
      </c>
    </row>
    <row r="3309" spans="2:3" hidden="1" x14ac:dyDescent="0.25">
      <c r="B3309" s="65">
        <v>35967</v>
      </c>
      <c r="C3309" t="s">
        <v>3699</v>
      </c>
    </row>
    <row r="3310" spans="2:3" hidden="1" x14ac:dyDescent="0.25">
      <c r="B3310" s="65">
        <v>35964</v>
      </c>
      <c r="C3310" t="s">
        <v>5078</v>
      </c>
    </row>
    <row r="3311" spans="2:3" hidden="1" x14ac:dyDescent="0.25">
      <c r="B3311" s="65">
        <v>35962</v>
      </c>
      <c r="C3311" t="s">
        <v>3653</v>
      </c>
    </row>
    <row r="3312" spans="2:3" hidden="1" x14ac:dyDescent="0.25">
      <c r="B3312" s="65">
        <v>35961</v>
      </c>
      <c r="C3312" t="s">
        <v>5408</v>
      </c>
    </row>
    <row r="3313" spans="2:3" hidden="1" x14ac:dyDescent="0.25">
      <c r="B3313" s="65">
        <v>35959</v>
      </c>
      <c r="C3313" t="s">
        <v>2851</v>
      </c>
    </row>
    <row r="3314" spans="2:3" hidden="1" x14ac:dyDescent="0.25">
      <c r="B3314" s="65">
        <v>35958</v>
      </c>
      <c r="C3314" t="s">
        <v>3545</v>
      </c>
    </row>
    <row r="3315" spans="2:3" hidden="1" x14ac:dyDescent="0.25">
      <c r="B3315" s="65">
        <v>35958</v>
      </c>
      <c r="C3315" t="s">
        <v>3798</v>
      </c>
    </row>
    <row r="3316" spans="2:3" hidden="1" x14ac:dyDescent="0.25">
      <c r="B3316" s="65">
        <v>35957</v>
      </c>
      <c r="C3316" t="s">
        <v>5346</v>
      </c>
    </row>
    <row r="3317" spans="2:3" hidden="1" x14ac:dyDescent="0.25">
      <c r="B3317" s="65">
        <v>35957</v>
      </c>
      <c r="C3317" t="s">
        <v>6946</v>
      </c>
    </row>
    <row r="3318" spans="2:3" hidden="1" x14ac:dyDescent="0.25">
      <c r="B3318" s="65">
        <v>35956</v>
      </c>
      <c r="C3318" t="s">
        <v>7336</v>
      </c>
    </row>
    <row r="3319" spans="2:3" hidden="1" x14ac:dyDescent="0.25">
      <c r="B3319" s="65">
        <v>35956</v>
      </c>
      <c r="C3319" t="s">
        <v>4583</v>
      </c>
    </row>
    <row r="3320" spans="2:3" hidden="1" x14ac:dyDescent="0.25">
      <c r="B3320" s="65">
        <v>35955</v>
      </c>
      <c r="C3320" t="s">
        <v>1842</v>
      </c>
    </row>
    <row r="3321" spans="2:3" hidden="1" x14ac:dyDescent="0.25">
      <c r="B3321" s="65">
        <v>35954</v>
      </c>
      <c r="C3321" t="s">
        <v>4720</v>
      </c>
    </row>
    <row r="3322" spans="2:3" hidden="1" x14ac:dyDescent="0.25">
      <c r="B3322" s="65">
        <v>35954</v>
      </c>
      <c r="C3322" t="s">
        <v>7810</v>
      </c>
    </row>
    <row r="3323" spans="2:3" hidden="1" x14ac:dyDescent="0.25">
      <c r="B3323" s="65">
        <v>35953</v>
      </c>
      <c r="C3323" t="s">
        <v>1292</v>
      </c>
    </row>
    <row r="3324" spans="2:3" hidden="1" x14ac:dyDescent="0.25">
      <c r="B3324" s="65">
        <v>35950</v>
      </c>
      <c r="C3324" t="s">
        <v>7308</v>
      </c>
    </row>
    <row r="3325" spans="2:3" hidden="1" x14ac:dyDescent="0.25">
      <c r="B3325" s="65">
        <v>35948</v>
      </c>
      <c r="C3325" t="s">
        <v>5791</v>
      </c>
    </row>
    <row r="3326" spans="2:3" hidden="1" x14ac:dyDescent="0.25">
      <c r="B3326" s="65">
        <v>35947</v>
      </c>
      <c r="C3326" t="s">
        <v>5069</v>
      </c>
    </row>
    <row r="3327" spans="2:3" hidden="1" x14ac:dyDescent="0.25">
      <c r="B3327" s="65">
        <v>35947</v>
      </c>
      <c r="C3327" t="s">
        <v>6534</v>
      </c>
    </row>
    <row r="3328" spans="2:3" hidden="1" x14ac:dyDescent="0.25">
      <c r="B3328" s="65">
        <v>35944</v>
      </c>
      <c r="C3328" t="s">
        <v>3249</v>
      </c>
    </row>
    <row r="3329" spans="2:3" hidden="1" x14ac:dyDescent="0.25">
      <c r="B3329" s="65">
        <v>35944</v>
      </c>
      <c r="C3329" t="s">
        <v>7058</v>
      </c>
    </row>
    <row r="3330" spans="2:3" hidden="1" x14ac:dyDescent="0.25">
      <c r="B3330" s="65">
        <v>35944</v>
      </c>
      <c r="C3330" t="s">
        <v>2954</v>
      </c>
    </row>
    <row r="3331" spans="2:3" hidden="1" x14ac:dyDescent="0.25">
      <c r="B3331" s="65">
        <v>35942</v>
      </c>
      <c r="C3331" t="s">
        <v>6211</v>
      </c>
    </row>
    <row r="3332" spans="2:3" hidden="1" x14ac:dyDescent="0.25">
      <c r="B3332" s="65">
        <v>35941</v>
      </c>
      <c r="C3332" t="s">
        <v>4203</v>
      </c>
    </row>
    <row r="3333" spans="2:3" hidden="1" x14ac:dyDescent="0.25">
      <c r="B3333" s="65">
        <v>35941</v>
      </c>
      <c r="C3333" t="s">
        <v>6968</v>
      </c>
    </row>
    <row r="3334" spans="2:3" hidden="1" x14ac:dyDescent="0.25">
      <c r="B3334" s="65">
        <v>35941</v>
      </c>
      <c r="C3334" t="s">
        <v>7894</v>
      </c>
    </row>
    <row r="3335" spans="2:3" hidden="1" x14ac:dyDescent="0.25">
      <c r="B3335" s="65">
        <v>35940</v>
      </c>
      <c r="C3335" t="s">
        <v>4230</v>
      </c>
    </row>
    <row r="3336" spans="2:3" hidden="1" x14ac:dyDescent="0.25">
      <c r="B3336" s="65">
        <v>35939</v>
      </c>
      <c r="C3336" t="s">
        <v>4858</v>
      </c>
    </row>
    <row r="3337" spans="2:3" hidden="1" x14ac:dyDescent="0.25">
      <c r="B3337" s="65">
        <v>35938</v>
      </c>
      <c r="C3337" t="s">
        <v>4583</v>
      </c>
    </row>
    <row r="3338" spans="2:3" hidden="1" x14ac:dyDescent="0.25">
      <c r="B3338" s="65">
        <v>35937</v>
      </c>
      <c r="C3338" t="s">
        <v>3630</v>
      </c>
    </row>
    <row r="3339" spans="2:3" hidden="1" x14ac:dyDescent="0.25">
      <c r="B3339" s="65">
        <v>35937</v>
      </c>
      <c r="C3339" t="s">
        <v>6910</v>
      </c>
    </row>
    <row r="3340" spans="2:3" hidden="1" x14ac:dyDescent="0.25">
      <c r="B3340" s="65">
        <v>35936</v>
      </c>
      <c r="C3340" t="s">
        <v>2209</v>
      </c>
    </row>
    <row r="3341" spans="2:3" hidden="1" x14ac:dyDescent="0.25">
      <c r="B3341" s="65">
        <v>35935</v>
      </c>
      <c r="C3341" t="s">
        <v>493</v>
      </c>
    </row>
    <row r="3342" spans="2:3" hidden="1" x14ac:dyDescent="0.25">
      <c r="B3342" s="65">
        <v>35933</v>
      </c>
      <c r="C3342" t="s">
        <v>3835</v>
      </c>
    </row>
    <row r="3343" spans="2:3" hidden="1" x14ac:dyDescent="0.25">
      <c r="B3343" s="65">
        <v>35930</v>
      </c>
      <c r="C3343" t="s">
        <v>5206</v>
      </c>
    </row>
    <row r="3344" spans="2:3" hidden="1" x14ac:dyDescent="0.25">
      <c r="B3344" s="65">
        <v>35930</v>
      </c>
      <c r="C3344" t="s">
        <v>2578</v>
      </c>
    </row>
    <row r="3345" spans="2:3" hidden="1" x14ac:dyDescent="0.25">
      <c r="B3345" s="65">
        <v>35929</v>
      </c>
      <c r="C3345" t="s">
        <v>5350</v>
      </c>
    </row>
    <row r="3346" spans="2:3" hidden="1" x14ac:dyDescent="0.25">
      <c r="B3346" s="65">
        <v>35927</v>
      </c>
      <c r="C3346" t="s">
        <v>4705</v>
      </c>
    </row>
    <row r="3347" spans="2:3" hidden="1" x14ac:dyDescent="0.25">
      <c r="B3347" s="65">
        <v>35927</v>
      </c>
      <c r="C3347" t="s">
        <v>7854</v>
      </c>
    </row>
    <row r="3348" spans="2:3" hidden="1" x14ac:dyDescent="0.25">
      <c r="B3348" s="65">
        <v>35926</v>
      </c>
      <c r="C3348" t="s">
        <v>3724</v>
      </c>
    </row>
    <row r="3349" spans="2:3" hidden="1" x14ac:dyDescent="0.25">
      <c r="B3349" s="65">
        <v>35925</v>
      </c>
      <c r="C3349" t="s">
        <v>4260</v>
      </c>
    </row>
    <row r="3350" spans="2:3" hidden="1" x14ac:dyDescent="0.25">
      <c r="B3350" s="65">
        <v>35924</v>
      </c>
      <c r="C3350" t="s">
        <v>3261</v>
      </c>
    </row>
    <row r="3351" spans="2:3" hidden="1" x14ac:dyDescent="0.25">
      <c r="B3351" s="65">
        <v>35923</v>
      </c>
      <c r="C3351" t="s">
        <v>4641</v>
      </c>
    </row>
    <row r="3352" spans="2:3" hidden="1" x14ac:dyDescent="0.25">
      <c r="B3352" s="65">
        <v>35922</v>
      </c>
      <c r="C3352" t="s">
        <v>7460</v>
      </c>
    </row>
    <row r="3353" spans="2:3" hidden="1" x14ac:dyDescent="0.25">
      <c r="B3353" s="65">
        <v>35921</v>
      </c>
      <c r="C3353" t="s">
        <v>5670</v>
      </c>
    </row>
    <row r="3354" spans="2:3" hidden="1" x14ac:dyDescent="0.25">
      <c r="B3354" s="65">
        <v>35921</v>
      </c>
      <c r="C3354" t="s">
        <v>4939</v>
      </c>
    </row>
    <row r="3355" spans="2:3" hidden="1" x14ac:dyDescent="0.25">
      <c r="B3355" s="65">
        <v>35919</v>
      </c>
      <c r="C3355" t="s">
        <v>6336</v>
      </c>
    </row>
    <row r="3356" spans="2:3" hidden="1" x14ac:dyDescent="0.25">
      <c r="B3356" s="65">
        <v>35915</v>
      </c>
      <c r="C3356" t="s">
        <v>3585</v>
      </c>
    </row>
    <row r="3357" spans="2:3" hidden="1" x14ac:dyDescent="0.25">
      <c r="B3357" s="65">
        <v>35915</v>
      </c>
      <c r="C3357" t="s">
        <v>6547</v>
      </c>
    </row>
    <row r="3358" spans="2:3" hidden="1" x14ac:dyDescent="0.25">
      <c r="B3358" s="65">
        <v>35914</v>
      </c>
      <c r="C3358" t="s">
        <v>4579</v>
      </c>
    </row>
    <row r="3359" spans="2:3" hidden="1" x14ac:dyDescent="0.25">
      <c r="B3359" s="65">
        <v>35913</v>
      </c>
      <c r="C3359" t="s">
        <v>4734</v>
      </c>
    </row>
    <row r="3360" spans="2:3" hidden="1" x14ac:dyDescent="0.25">
      <c r="B3360" s="65">
        <v>35912</v>
      </c>
      <c r="C3360" t="s">
        <v>7905</v>
      </c>
    </row>
    <row r="3361" spans="2:3" hidden="1" x14ac:dyDescent="0.25">
      <c r="B3361" s="65">
        <v>35911</v>
      </c>
      <c r="C3361" t="s">
        <v>7222</v>
      </c>
    </row>
    <row r="3362" spans="2:3" hidden="1" x14ac:dyDescent="0.25">
      <c r="B3362" s="65">
        <v>35910</v>
      </c>
      <c r="C3362" t="s">
        <v>8156</v>
      </c>
    </row>
    <row r="3363" spans="2:3" hidden="1" x14ac:dyDescent="0.25">
      <c r="B3363" s="65">
        <v>35909</v>
      </c>
      <c r="C3363" t="s">
        <v>4483</v>
      </c>
    </row>
    <row r="3364" spans="2:3" hidden="1" x14ac:dyDescent="0.25">
      <c r="B3364" s="65">
        <v>35909</v>
      </c>
      <c r="C3364" t="s">
        <v>1949</v>
      </c>
    </row>
    <row r="3365" spans="2:3" hidden="1" x14ac:dyDescent="0.25">
      <c r="B3365" s="65">
        <v>35909</v>
      </c>
      <c r="C3365" t="s">
        <v>7733</v>
      </c>
    </row>
    <row r="3366" spans="2:3" hidden="1" x14ac:dyDescent="0.25">
      <c r="B3366" s="65">
        <v>35908</v>
      </c>
      <c r="C3366" t="s">
        <v>1144</v>
      </c>
    </row>
    <row r="3367" spans="2:3" hidden="1" x14ac:dyDescent="0.25">
      <c r="B3367" s="65">
        <v>35907</v>
      </c>
      <c r="C3367" t="s">
        <v>7848</v>
      </c>
    </row>
    <row r="3368" spans="2:3" hidden="1" x14ac:dyDescent="0.25">
      <c r="B3368" s="65">
        <v>35902</v>
      </c>
      <c r="C3368" t="s">
        <v>3818</v>
      </c>
    </row>
    <row r="3369" spans="2:3" hidden="1" x14ac:dyDescent="0.25">
      <c r="B3369" s="65">
        <v>35900</v>
      </c>
      <c r="C3369" t="s">
        <v>3408</v>
      </c>
    </row>
    <row r="3370" spans="2:3" hidden="1" x14ac:dyDescent="0.25">
      <c r="B3370" s="65">
        <v>35900</v>
      </c>
      <c r="C3370" t="s">
        <v>2060</v>
      </c>
    </row>
    <row r="3371" spans="2:3" hidden="1" x14ac:dyDescent="0.25">
      <c r="B3371" s="65">
        <v>35898</v>
      </c>
      <c r="C3371" t="s">
        <v>5514</v>
      </c>
    </row>
    <row r="3372" spans="2:3" hidden="1" x14ac:dyDescent="0.25">
      <c r="B3372" s="65">
        <v>35894</v>
      </c>
      <c r="C3372" t="s">
        <v>3900</v>
      </c>
    </row>
    <row r="3373" spans="2:3" hidden="1" x14ac:dyDescent="0.25">
      <c r="B3373" s="65">
        <v>35894</v>
      </c>
      <c r="C3373" t="s">
        <v>5314</v>
      </c>
    </row>
    <row r="3374" spans="2:3" hidden="1" x14ac:dyDescent="0.25">
      <c r="B3374" s="65">
        <v>35893</v>
      </c>
      <c r="C3374" t="s">
        <v>3728</v>
      </c>
    </row>
    <row r="3375" spans="2:3" hidden="1" x14ac:dyDescent="0.25">
      <c r="B3375" s="65">
        <v>35890</v>
      </c>
      <c r="C3375" t="s">
        <v>3764</v>
      </c>
    </row>
    <row r="3376" spans="2:3" hidden="1" x14ac:dyDescent="0.25">
      <c r="B3376" s="65">
        <v>35889</v>
      </c>
      <c r="C3376" t="s">
        <v>6667</v>
      </c>
    </row>
    <row r="3377" spans="2:3" hidden="1" x14ac:dyDescent="0.25">
      <c r="B3377" s="65">
        <v>35888</v>
      </c>
      <c r="C3377" t="s">
        <v>4230</v>
      </c>
    </row>
    <row r="3378" spans="2:3" hidden="1" x14ac:dyDescent="0.25">
      <c r="B3378" s="65">
        <v>35886</v>
      </c>
      <c r="C3378" t="s">
        <v>5860</v>
      </c>
    </row>
    <row r="3379" spans="2:3" hidden="1" x14ac:dyDescent="0.25">
      <c r="B3379" s="65">
        <v>35885</v>
      </c>
      <c r="C3379" t="s">
        <v>7741</v>
      </c>
    </row>
    <row r="3380" spans="2:3" hidden="1" x14ac:dyDescent="0.25">
      <c r="B3380" s="65">
        <v>35883</v>
      </c>
      <c r="C3380" t="s">
        <v>5956</v>
      </c>
    </row>
    <row r="3381" spans="2:3" hidden="1" x14ac:dyDescent="0.25">
      <c r="B3381" s="65">
        <v>35881</v>
      </c>
      <c r="C3381" t="s">
        <v>2663</v>
      </c>
    </row>
    <row r="3382" spans="2:3" hidden="1" x14ac:dyDescent="0.25">
      <c r="B3382" s="65">
        <v>35880</v>
      </c>
      <c r="C3382" t="s">
        <v>6898</v>
      </c>
    </row>
    <row r="3383" spans="2:3" hidden="1" x14ac:dyDescent="0.25">
      <c r="B3383" s="65">
        <v>35879</v>
      </c>
      <c r="C3383" t="s">
        <v>2000</v>
      </c>
    </row>
    <row r="3384" spans="2:3" hidden="1" x14ac:dyDescent="0.25">
      <c r="B3384" s="65">
        <v>35878</v>
      </c>
      <c r="C3384" t="s">
        <v>3782</v>
      </c>
    </row>
    <row r="3385" spans="2:3" hidden="1" x14ac:dyDescent="0.25">
      <c r="B3385" s="65">
        <v>35877</v>
      </c>
      <c r="C3385" t="s">
        <v>5393</v>
      </c>
    </row>
    <row r="3386" spans="2:3" hidden="1" x14ac:dyDescent="0.25">
      <c r="B3386" s="65">
        <v>35874</v>
      </c>
      <c r="C3386" t="s">
        <v>3842</v>
      </c>
    </row>
    <row r="3387" spans="2:3" hidden="1" x14ac:dyDescent="0.25">
      <c r="B3387" s="65">
        <v>35873</v>
      </c>
      <c r="C3387" t="s">
        <v>6164</v>
      </c>
    </row>
    <row r="3388" spans="2:3" hidden="1" x14ac:dyDescent="0.25">
      <c r="B3388" s="65">
        <v>35871</v>
      </c>
      <c r="C3388" t="s">
        <v>4492</v>
      </c>
    </row>
    <row r="3389" spans="2:3" hidden="1" x14ac:dyDescent="0.25">
      <c r="B3389" s="65">
        <v>35871</v>
      </c>
      <c r="C3389" t="s">
        <v>530</v>
      </c>
    </row>
    <row r="3390" spans="2:3" hidden="1" x14ac:dyDescent="0.25">
      <c r="B3390" s="65">
        <v>35871</v>
      </c>
      <c r="C3390" t="s">
        <v>177</v>
      </c>
    </row>
    <row r="3391" spans="2:3" hidden="1" x14ac:dyDescent="0.25">
      <c r="B3391" s="65">
        <v>35871</v>
      </c>
      <c r="C3391" t="s">
        <v>6775</v>
      </c>
    </row>
    <row r="3392" spans="2:3" hidden="1" x14ac:dyDescent="0.25">
      <c r="B3392" s="65">
        <v>35870</v>
      </c>
      <c r="C3392" t="s">
        <v>4931</v>
      </c>
    </row>
    <row r="3393" spans="2:3" hidden="1" x14ac:dyDescent="0.25">
      <c r="B3393" s="65">
        <v>35867</v>
      </c>
      <c r="C3393" t="s">
        <v>4451</v>
      </c>
    </row>
    <row r="3394" spans="2:3" hidden="1" x14ac:dyDescent="0.25">
      <c r="B3394" s="65">
        <v>35866</v>
      </c>
      <c r="C3394" t="s">
        <v>681</v>
      </c>
    </row>
    <row r="3395" spans="2:3" hidden="1" x14ac:dyDescent="0.25">
      <c r="B3395" s="65">
        <v>35866</v>
      </c>
      <c r="C3395" t="s">
        <v>3771</v>
      </c>
    </row>
    <row r="3396" spans="2:3" hidden="1" x14ac:dyDescent="0.25">
      <c r="B3396" s="65">
        <v>35866</v>
      </c>
      <c r="C3396" t="s">
        <v>749</v>
      </c>
    </row>
    <row r="3397" spans="2:3" hidden="1" x14ac:dyDescent="0.25">
      <c r="B3397" s="65">
        <v>35864</v>
      </c>
      <c r="C3397" t="s">
        <v>6104</v>
      </c>
    </row>
    <row r="3398" spans="2:3" hidden="1" x14ac:dyDescent="0.25">
      <c r="B3398" s="65">
        <v>35863</v>
      </c>
      <c r="C3398" t="s">
        <v>5378</v>
      </c>
    </row>
    <row r="3399" spans="2:3" hidden="1" x14ac:dyDescent="0.25">
      <c r="B3399" s="65">
        <v>35863</v>
      </c>
      <c r="C3399" t="s">
        <v>5947</v>
      </c>
    </row>
    <row r="3400" spans="2:3" hidden="1" x14ac:dyDescent="0.25">
      <c r="B3400" s="65">
        <v>35863</v>
      </c>
      <c r="C3400" t="s">
        <v>3848</v>
      </c>
    </row>
    <row r="3401" spans="2:3" hidden="1" x14ac:dyDescent="0.25">
      <c r="B3401" s="65">
        <v>35863</v>
      </c>
      <c r="C3401" t="s">
        <v>7278</v>
      </c>
    </row>
    <row r="3402" spans="2:3" hidden="1" x14ac:dyDescent="0.25">
      <c r="B3402" s="65">
        <v>35856</v>
      </c>
      <c r="C3402" t="s">
        <v>6127</v>
      </c>
    </row>
    <row r="3403" spans="2:3" hidden="1" x14ac:dyDescent="0.25">
      <c r="B3403" s="65">
        <v>35855</v>
      </c>
      <c r="C3403" t="s">
        <v>1869</v>
      </c>
    </row>
    <row r="3404" spans="2:3" hidden="1" x14ac:dyDescent="0.25">
      <c r="B3404" s="65">
        <v>35855</v>
      </c>
      <c r="C3404" t="s">
        <v>3777</v>
      </c>
    </row>
    <row r="3405" spans="2:3" hidden="1" x14ac:dyDescent="0.25">
      <c r="B3405" s="65">
        <v>35855</v>
      </c>
      <c r="C3405" t="s">
        <v>1029</v>
      </c>
    </row>
    <row r="3406" spans="2:3" hidden="1" x14ac:dyDescent="0.25">
      <c r="B3406" s="65">
        <v>35854</v>
      </c>
      <c r="C3406" t="s">
        <v>5201</v>
      </c>
    </row>
    <row r="3407" spans="2:3" hidden="1" x14ac:dyDescent="0.25">
      <c r="B3407" s="65">
        <v>35854</v>
      </c>
      <c r="C3407" t="s">
        <v>5222</v>
      </c>
    </row>
    <row r="3408" spans="2:3" hidden="1" x14ac:dyDescent="0.25">
      <c r="B3408" s="65">
        <v>35851</v>
      </c>
      <c r="C3408" t="s">
        <v>5053</v>
      </c>
    </row>
    <row r="3409" spans="2:3" hidden="1" x14ac:dyDescent="0.25">
      <c r="B3409" s="65">
        <v>35851</v>
      </c>
      <c r="C3409" t="s">
        <v>5537</v>
      </c>
    </row>
    <row r="3410" spans="2:3" hidden="1" x14ac:dyDescent="0.25">
      <c r="B3410" s="65">
        <v>35851</v>
      </c>
      <c r="C3410" t="s">
        <v>696</v>
      </c>
    </row>
    <row r="3411" spans="2:3" hidden="1" x14ac:dyDescent="0.25">
      <c r="B3411" s="65">
        <v>35849</v>
      </c>
      <c r="C3411" t="s">
        <v>163</v>
      </c>
    </row>
    <row r="3412" spans="2:3" hidden="1" x14ac:dyDescent="0.25">
      <c r="B3412" s="65">
        <v>35849</v>
      </c>
      <c r="C3412" t="s">
        <v>4435</v>
      </c>
    </row>
    <row r="3413" spans="2:3" hidden="1" x14ac:dyDescent="0.25">
      <c r="B3413" s="65">
        <v>35848</v>
      </c>
      <c r="C3413" t="s">
        <v>3606</v>
      </c>
    </row>
    <row r="3414" spans="2:3" hidden="1" x14ac:dyDescent="0.25">
      <c r="B3414" s="65">
        <v>35847</v>
      </c>
      <c r="C3414" t="s">
        <v>7709</v>
      </c>
    </row>
    <row r="3415" spans="2:3" hidden="1" x14ac:dyDescent="0.25">
      <c r="B3415" s="65">
        <v>35846</v>
      </c>
      <c r="C3415" t="s">
        <v>1842</v>
      </c>
    </row>
    <row r="3416" spans="2:3" hidden="1" x14ac:dyDescent="0.25">
      <c r="B3416" s="65">
        <v>35846</v>
      </c>
      <c r="C3416" t="s">
        <v>8130</v>
      </c>
    </row>
    <row r="3417" spans="2:3" hidden="1" x14ac:dyDescent="0.25">
      <c r="B3417" s="65">
        <v>35844</v>
      </c>
      <c r="C3417" t="s">
        <v>6451</v>
      </c>
    </row>
    <row r="3418" spans="2:3" hidden="1" x14ac:dyDescent="0.25">
      <c r="B3418" s="65">
        <v>35843</v>
      </c>
      <c r="C3418" t="s">
        <v>4409</v>
      </c>
    </row>
    <row r="3419" spans="2:3" hidden="1" x14ac:dyDescent="0.25">
      <c r="B3419" s="65">
        <v>35843</v>
      </c>
      <c r="C3419" t="s">
        <v>5414</v>
      </c>
    </row>
    <row r="3420" spans="2:3" hidden="1" x14ac:dyDescent="0.25">
      <c r="B3420" s="65">
        <v>35842</v>
      </c>
      <c r="C3420" t="s">
        <v>4820</v>
      </c>
    </row>
    <row r="3421" spans="2:3" hidden="1" x14ac:dyDescent="0.25">
      <c r="B3421" s="65">
        <v>35842</v>
      </c>
      <c r="C3421" t="s">
        <v>7957</v>
      </c>
    </row>
    <row r="3422" spans="2:3" hidden="1" x14ac:dyDescent="0.25">
      <c r="B3422" s="65">
        <v>35840</v>
      </c>
      <c r="C3422" t="s">
        <v>6619</v>
      </c>
    </row>
    <row r="3423" spans="2:3" hidden="1" x14ac:dyDescent="0.25">
      <c r="B3423" s="65">
        <v>35840</v>
      </c>
      <c r="C3423" t="s">
        <v>3320</v>
      </c>
    </row>
    <row r="3424" spans="2:3" hidden="1" x14ac:dyDescent="0.25">
      <c r="B3424" s="65">
        <v>35839</v>
      </c>
      <c r="C3424" t="s">
        <v>4218</v>
      </c>
    </row>
    <row r="3425" spans="2:3" hidden="1" x14ac:dyDescent="0.25">
      <c r="B3425" s="65">
        <v>35839</v>
      </c>
      <c r="C3425" t="s">
        <v>4915</v>
      </c>
    </row>
    <row r="3426" spans="2:3" hidden="1" x14ac:dyDescent="0.25">
      <c r="B3426" s="65">
        <v>35832</v>
      </c>
      <c r="C3426" t="s">
        <v>3540</v>
      </c>
    </row>
    <row r="3427" spans="2:3" hidden="1" x14ac:dyDescent="0.25">
      <c r="B3427" s="65">
        <v>35832</v>
      </c>
      <c r="C3427" t="s">
        <v>5286</v>
      </c>
    </row>
    <row r="3428" spans="2:3" hidden="1" x14ac:dyDescent="0.25">
      <c r="B3428" s="65">
        <v>35831</v>
      </c>
      <c r="C3428" t="s">
        <v>6302</v>
      </c>
    </row>
    <row r="3429" spans="2:3" hidden="1" x14ac:dyDescent="0.25">
      <c r="B3429" s="65">
        <v>35831</v>
      </c>
      <c r="C3429" t="s">
        <v>7123</v>
      </c>
    </row>
    <row r="3430" spans="2:3" hidden="1" x14ac:dyDescent="0.25">
      <c r="B3430" s="65">
        <v>35830</v>
      </c>
      <c r="C3430" t="s">
        <v>3808</v>
      </c>
    </row>
    <row r="3431" spans="2:3" hidden="1" x14ac:dyDescent="0.25">
      <c r="B3431" s="65">
        <v>35830</v>
      </c>
      <c r="C3431" t="s">
        <v>2009</v>
      </c>
    </row>
    <row r="3432" spans="2:3" hidden="1" x14ac:dyDescent="0.25">
      <c r="B3432" s="65">
        <v>35829</v>
      </c>
      <c r="C3432" t="s">
        <v>6735</v>
      </c>
    </row>
    <row r="3433" spans="2:3" hidden="1" x14ac:dyDescent="0.25">
      <c r="B3433" s="65">
        <v>35828</v>
      </c>
      <c r="C3433" t="s">
        <v>7995</v>
      </c>
    </row>
    <row r="3434" spans="2:3" hidden="1" x14ac:dyDescent="0.25">
      <c r="B3434" s="65">
        <v>35827</v>
      </c>
      <c r="C3434" t="s">
        <v>7166</v>
      </c>
    </row>
    <row r="3435" spans="2:3" hidden="1" x14ac:dyDescent="0.25">
      <c r="B3435" s="65">
        <v>35822</v>
      </c>
      <c r="C3435" t="s">
        <v>1922</v>
      </c>
    </row>
    <row r="3436" spans="2:3" hidden="1" x14ac:dyDescent="0.25">
      <c r="B3436" s="65">
        <v>35818</v>
      </c>
      <c r="C3436" t="s">
        <v>576</v>
      </c>
    </row>
    <row r="3437" spans="2:3" hidden="1" x14ac:dyDescent="0.25">
      <c r="B3437" s="65">
        <v>35817</v>
      </c>
      <c r="C3437" t="s">
        <v>1733</v>
      </c>
    </row>
    <row r="3438" spans="2:3" hidden="1" x14ac:dyDescent="0.25">
      <c r="B3438" s="65">
        <v>35817</v>
      </c>
      <c r="C3438" t="s">
        <v>7723</v>
      </c>
    </row>
    <row r="3439" spans="2:3" hidden="1" x14ac:dyDescent="0.25">
      <c r="B3439" s="65">
        <v>35812</v>
      </c>
      <c r="C3439" t="s">
        <v>3748</v>
      </c>
    </row>
    <row r="3440" spans="2:3" hidden="1" x14ac:dyDescent="0.25">
      <c r="B3440" s="65">
        <v>35811</v>
      </c>
      <c r="C3440" t="s">
        <v>1831</v>
      </c>
    </row>
    <row r="3441" spans="2:3" hidden="1" x14ac:dyDescent="0.25">
      <c r="B3441" s="65">
        <v>35811</v>
      </c>
      <c r="C3441" t="s">
        <v>6409</v>
      </c>
    </row>
    <row r="3442" spans="2:3" hidden="1" x14ac:dyDescent="0.25">
      <c r="B3442" s="65">
        <v>35811</v>
      </c>
      <c r="C3442" t="s">
        <v>1752</v>
      </c>
    </row>
    <row r="3443" spans="2:3" hidden="1" x14ac:dyDescent="0.25">
      <c r="B3443" s="65">
        <v>35809</v>
      </c>
      <c r="C3443" t="s">
        <v>6144</v>
      </c>
    </row>
    <row r="3444" spans="2:3" hidden="1" x14ac:dyDescent="0.25">
      <c r="B3444" s="65">
        <v>35798</v>
      </c>
      <c r="C3444" t="s">
        <v>6858</v>
      </c>
    </row>
    <row r="3445" spans="2:3" hidden="1" x14ac:dyDescent="0.25">
      <c r="B3445" s="65">
        <v>35797</v>
      </c>
      <c r="C3445" t="s">
        <v>6021</v>
      </c>
    </row>
    <row r="3446" spans="2:3" hidden="1" x14ac:dyDescent="0.25">
      <c r="B3446" s="65">
        <v>35794</v>
      </c>
      <c r="C3446" t="s">
        <v>5091</v>
      </c>
    </row>
    <row r="3447" spans="2:3" hidden="1" x14ac:dyDescent="0.25">
      <c r="B3447" s="65">
        <v>35794</v>
      </c>
      <c r="C3447" t="s">
        <v>7390</v>
      </c>
    </row>
    <row r="3448" spans="2:3" hidden="1" x14ac:dyDescent="0.25">
      <c r="B3448" s="65">
        <v>35792</v>
      </c>
      <c r="C3448" t="s">
        <v>3494</v>
      </c>
    </row>
    <row r="3449" spans="2:3" hidden="1" x14ac:dyDescent="0.25">
      <c r="B3449" s="65">
        <v>35789</v>
      </c>
      <c r="C3449" t="s">
        <v>7495</v>
      </c>
    </row>
    <row r="3450" spans="2:3" hidden="1" x14ac:dyDescent="0.25">
      <c r="B3450" s="65">
        <v>35787</v>
      </c>
      <c r="C3450" t="s">
        <v>3645</v>
      </c>
    </row>
    <row r="3451" spans="2:3" hidden="1" x14ac:dyDescent="0.25">
      <c r="B3451" s="65">
        <v>35787</v>
      </c>
      <c r="C3451" t="s">
        <v>5393</v>
      </c>
    </row>
    <row r="3452" spans="2:3" hidden="1" x14ac:dyDescent="0.25">
      <c r="B3452" s="65">
        <v>35783</v>
      </c>
      <c r="C3452" t="s">
        <v>1733</v>
      </c>
    </row>
    <row r="3453" spans="2:3" hidden="1" x14ac:dyDescent="0.25">
      <c r="B3453" s="65">
        <v>35783</v>
      </c>
      <c r="C3453" t="s">
        <v>4295</v>
      </c>
    </row>
    <row r="3454" spans="2:3" hidden="1" x14ac:dyDescent="0.25">
      <c r="B3454" s="65">
        <v>35783</v>
      </c>
      <c r="C3454" t="s">
        <v>6701</v>
      </c>
    </row>
    <row r="3455" spans="2:3" hidden="1" x14ac:dyDescent="0.25">
      <c r="B3455" s="65">
        <v>35780</v>
      </c>
      <c r="C3455" t="s">
        <v>3483</v>
      </c>
    </row>
    <row r="3456" spans="2:3" hidden="1" x14ac:dyDescent="0.25">
      <c r="B3456" s="65">
        <v>35779</v>
      </c>
      <c r="C3456" t="s">
        <v>3666</v>
      </c>
    </row>
    <row r="3457" spans="2:3" hidden="1" x14ac:dyDescent="0.25">
      <c r="B3457" s="65">
        <v>35779</v>
      </c>
      <c r="C3457" t="s">
        <v>6497</v>
      </c>
    </row>
    <row r="3458" spans="2:3" hidden="1" x14ac:dyDescent="0.25">
      <c r="B3458" s="65">
        <v>35779</v>
      </c>
      <c r="C3458" t="s">
        <v>7596</v>
      </c>
    </row>
    <row r="3459" spans="2:3" hidden="1" x14ac:dyDescent="0.25">
      <c r="B3459" s="65">
        <v>35775</v>
      </c>
      <c r="C3459" t="s">
        <v>4171</v>
      </c>
    </row>
    <row r="3460" spans="2:3" hidden="1" x14ac:dyDescent="0.25">
      <c r="B3460" s="65">
        <v>35774</v>
      </c>
      <c r="C3460" t="s">
        <v>4061</v>
      </c>
    </row>
    <row r="3461" spans="2:3" hidden="1" x14ac:dyDescent="0.25">
      <c r="B3461" s="65">
        <v>35769</v>
      </c>
      <c r="C3461" t="s">
        <v>4781</v>
      </c>
    </row>
    <row r="3462" spans="2:3" hidden="1" x14ac:dyDescent="0.25">
      <c r="B3462" s="65">
        <v>35768</v>
      </c>
      <c r="C3462" t="s">
        <v>5497</v>
      </c>
    </row>
    <row r="3463" spans="2:3" hidden="1" x14ac:dyDescent="0.25">
      <c r="B3463" s="65">
        <v>35767</v>
      </c>
      <c r="C3463" t="s">
        <v>2836</v>
      </c>
    </row>
    <row r="3464" spans="2:3" hidden="1" x14ac:dyDescent="0.25">
      <c r="B3464" s="65">
        <v>35767</v>
      </c>
      <c r="C3464" t="s">
        <v>3413</v>
      </c>
    </row>
    <row r="3465" spans="2:3" hidden="1" x14ac:dyDescent="0.25">
      <c r="B3465" s="65">
        <v>35767</v>
      </c>
      <c r="C3465" t="s">
        <v>7752</v>
      </c>
    </row>
    <row r="3466" spans="2:3" hidden="1" x14ac:dyDescent="0.25">
      <c r="B3466" s="65">
        <v>35766</v>
      </c>
      <c r="C3466" t="s">
        <v>3249</v>
      </c>
    </row>
    <row r="3467" spans="2:3" hidden="1" x14ac:dyDescent="0.25">
      <c r="B3467" s="65">
        <v>35766</v>
      </c>
      <c r="C3467" t="s">
        <v>4278</v>
      </c>
    </row>
    <row r="3468" spans="2:3" hidden="1" x14ac:dyDescent="0.25">
      <c r="B3468" s="65">
        <v>35763</v>
      </c>
      <c r="C3468" t="s">
        <v>5989</v>
      </c>
    </row>
    <row r="3469" spans="2:3" hidden="1" x14ac:dyDescent="0.25">
      <c r="B3469" s="65">
        <v>35760</v>
      </c>
      <c r="C3469" t="s">
        <v>5084</v>
      </c>
    </row>
    <row r="3470" spans="2:3" hidden="1" x14ac:dyDescent="0.25">
      <c r="B3470" s="65">
        <v>35760</v>
      </c>
      <c r="C3470" t="s">
        <v>5260</v>
      </c>
    </row>
    <row r="3471" spans="2:3" hidden="1" x14ac:dyDescent="0.25">
      <c r="B3471" s="65">
        <v>35759</v>
      </c>
      <c r="C3471" t="s">
        <v>4987</v>
      </c>
    </row>
    <row r="3472" spans="2:3" hidden="1" x14ac:dyDescent="0.25">
      <c r="B3472" s="65">
        <v>35758</v>
      </c>
      <c r="C3472" t="s">
        <v>2542</v>
      </c>
    </row>
    <row r="3473" spans="2:3" hidden="1" x14ac:dyDescent="0.25">
      <c r="B3473" s="65">
        <v>35756</v>
      </c>
      <c r="C3473" t="s">
        <v>3579</v>
      </c>
    </row>
    <row r="3474" spans="2:3" hidden="1" x14ac:dyDescent="0.25">
      <c r="B3474" s="65">
        <v>35752</v>
      </c>
      <c r="C3474" t="s">
        <v>5537</v>
      </c>
    </row>
    <row r="3475" spans="2:3" hidden="1" x14ac:dyDescent="0.25">
      <c r="B3475" s="65">
        <v>35750</v>
      </c>
      <c r="C3475" t="s">
        <v>5679</v>
      </c>
    </row>
    <row r="3476" spans="2:3" hidden="1" x14ac:dyDescent="0.25">
      <c r="B3476" s="65">
        <v>35749</v>
      </c>
      <c r="C3476" t="s">
        <v>6247</v>
      </c>
    </row>
    <row r="3477" spans="2:3" hidden="1" x14ac:dyDescent="0.25">
      <c r="B3477" s="65">
        <v>35748</v>
      </c>
      <c r="C3477" t="s">
        <v>3535</v>
      </c>
    </row>
    <row r="3478" spans="2:3" hidden="1" x14ac:dyDescent="0.25">
      <c r="B3478" s="65">
        <v>35746</v>
      </c>
      <c r="C3478" t="s">
        <v>4071</v>
      </c>
    </row>
    <row r="3479" spans="2:3" hidden="1" x14ac:dyDescent="0.25">
      <c r="B3479" s="65">
        <v>35744</v>
      </c>
      <c r="C3479" t="s">
        <v>2320</v>
      </c>
    </row>
    <row r="3480" spans="2:3" hidden="1" x14ac:dyDescent="0.25">
      <c r="B3480" s="65">
        <v>35740</v>
      </c>
      <c r="C3480" t="s">
        <v>4587</v>
      </c>
    </row>
    <row r="3481" spans="2:3" hidden="1" x14ac:dyDescent="0.25">
      <c r="B3481" s="65">
        <v>35740</v>
      </c>
      <c r="C3481" t="s">
        <v>5355</v>
      </c>
    </row>
    <row r="3482" spans="2:3" hidden="1" x14ac:dyDescent="0.25">
      <c r="B3482" s="65">
        <v>35739</v>
      </c>
      <c r="C3482" t="s">
        <v>6447</v>
      </c>
    </row>
    <row r="3483" spans="2:3" hidden="1" x14ac:dyDescent="0.25">
      <c r="B3483" s="65">
        <v>35739</v>
      </c>
      <c r="C3483" t="s">
        <v>2606</v>
      </c>
    </row>
    <row r="3484" spans="2:3" hidden="1" x14ac:dyDescent="0.25">
      <c r="B3484" s="65">
        <v>35733</v>
      </c>
      <c r="C3484" t="s">
        <v>105</v>
      </c>
    </row>
    <row r="3485" spans="2:3" hidden="1" x14ac:dyDescent="0.25">
      <c r="B3485" s="65">
        <v>35732</v>
      </c>
      <c r="C3485" t="s">
        <v>4457</v>
      </c>
    </row>
    <row r="3486" spans="2:3" hidden="1" x14ac:dyDescent="0.25">
      <c r="B3486" s="65">
        <v>35732</v>
      </c>
      <c r="C3486" t="s">
        <v>3455</v>
      </c>
    </row>
    <row r="3487" spans="2:3" hidden="1" x14ac:dyDescent="0.25">
      <c r="B3487" s="65">
        <v>35731</v>
      </c>
      <c r="C3487" t="s">
        <v>5297</v>
      </c>
    </row>
    <row r="3488" spans="2:3" hidden="1" x14ac:dyDescent="0.25">
      <c r="B3488" s="65">
        <v>35728</v>
      </c>
      <c r="C3488" t="s">
        <v>3693</v>
      </c>
    </row>
    <row r="3489" spans="2:3" hidden="1" x14ac:dyDescent="0.25">
      <c r="B3489" s="65">
        <v>35723</v>
      </c>
      <c r="C3489" t="s">
        <v>7990</v>
      </c>
    </row>
    <row r="3490" spans="2:3" hidden="1" x14ac:dyDescent="0.25">
      <c r="B3490" s="65">
        <v>35721</v>
      </c>
      <c r="C3490" t="s">
        <v>6763</v>
      </c>
    </row>
    <row r="3491" spans="2:3" hidden="1" x14ac:dyDescent="0.25">
      <c r="B3491" s="65">
        <v>35719</v>
      </c>
      <c r="C3491" t="s">
        <v>410</v>
      </c>
    </row>
    <row r="3492" spans="2:3" hidden="1" x14ac:dyDescent="0.25">
      <c r="B3492" s="65">
        <v>35719</v>
      </c>
      <c r="C3492" t="s">
        <v>6136</v>
      </c>
    </row>
    <row r="3493" spans="2:3" hidden="1" x14ac:dyDescent="0.25">
      <c r="B3493" s="65">
        <v>35718</v>
      </c>
      <c r="C3493" t="s">
        <v>4891</v>
      </c>
    </row>
    <row r="3494" spans="2:3" hidden="1" x14ac:dyDescent="0.25">
      <c r="B3494" s="65">
        <v>35716</v>
      </c>
      <c r="C3494" t="s">
        <v>3718</v>
      </c>
    </row>
    <row r="3495" spans="2:3" hidden="1" x14ac:dyDescent="0.25">
      <c r="B3495" s="65">
        <v>35713</v>
      </c>
      <c r="C3495" t="s">
        <v>2209</v>
      </c>
    </row>
    <row r="3496" spans="2:3" hidden="1" x14ac:dyDescent="0.25">
      <c r="B3496" s="65">
        <v>35713</v>
      </c>
      <c r="C3496" t="s">
        <v>6522</v>
      </c>
    </row>
    <row r="3497" spans="2:3" hidden="1" x14ac:dyDescent="0.25">
      <c r="B3497" s="65">
        <v>35712</v>
      </c>
      <c r="C3497" t="s">
        <v>5894</v>
      </c>
    </row>
    <row r="3498" spans="2:3" hidden="1" x14ac:dyDescent="0.25">
      <c r="B3498" s="65">
        <v>35706</v>
      </c>
      <c r="C3498" t="s">
        <v>7127</v>
      </c>
    </row>
    <row r="3499" spans="2:3" hidden="1" x14ac:dyDescent="0.25">
      <c r="B3499" s="65">
        <v>35704</v>
      </c>
      <c r="C3499" t="s">
        <v>7015</v>
      </c>
    </row>
    <row r="3500" spans="2:3" hidden="1" x14ac:dyDescent="0.25">
      <c r="B3500" s="65">
        <v>35703</v>
      </c>
      <c r="C3500" t="s">
        <v>2451</v>
      </c>
    </row>
    <row r="3501" spans="2:3" hidden="1" x14ac:dyDescent="0.25">
      <c r="B3501" s="65">
        <v>35702</v>
      </c>
      <c r="C3501" t="s">
        <v>3743</v>
      </c>
    </row>
    <row r="3502" spans="2:3" hidden="1" x14ac:dyDescent="0.25">
      <c r="B3502" s="65">
        <v>35701</v>
      </c>
      <c r="C3502" t="s">
        <v>5919</v>
      </c>
    </row>
    <row r="3503" spans="2:3" hidden="1" x14ac:dyDescent="0.25">
      <c r="B3503" s="65">
        <v>35701</v>
      </c>
      <c r="C3503" t="s">
        <v>8170</v>
      </c>
    </row>
    <row r="3504" spans="2:3" hidden="1" x14ac:dyDescent="0.25">
      <c r="B3504" s="65">
        <v>35700</v>
      </c>
      <c r="C3504" t="s">
        <v>4091</v>
      </c>
    </row>
    <row r="3505" spans="2:3" hidden="1" x14ac:dyDescent="0.25">
      <c r="B3505" s="65">
        <v>35699</v>
      </c>
      <c r="C3505" t="s">
        <v>3842</v>
      </c>
    </row>
    <row r="3506" spans="2:3" hidden="1" x14ac:dyDescent="0.25">
      <c r="B3506" s="65">
        <v>35698</v>
      </c>
      <c r="C3506" t="s">
        <v>7026</v>
      </c>
    </row>
    <row r="3507" spans="2:3" hidden="1" x14ac:dyDescent="0.25">
      <c r="B3507" s="65">
        <v>35697</v>
      </c>
      <c r="C3507" t="s">
        <v>7373</v>
      </c>
    </row>
    <row r="3508" spans="2:3" hidden="1" x14ac:dyDescent="0.25">
      <c r="B3508" s="65">
        <v>35692</v>
      </c>
      <c r="C3508" t="s">
        <v>1288</v>
      </c>
    </row>
    <row r="3509" spans="2:3" hidden="1" x14ac:dyDescent="0.25">
      <c r="B3509" s="65">
        <v>35687</v>
      </c>
      <c r="C3509" t="s">
        <v>3401</v>
      </c>
    </row>
    <row r="3510" spans="2:3" hidden="1" x14ac:dyDescent="0.25">
      <c r="B3510" s="65">
        <v>35686</v>
      </c>
      <c r="C3510" t="s">
        <v>5615</v>
      </c>
    </row>
    <row r="3511" spans="2:3" hidden="1" x14ac:dyDescent="0.25">
      <c r="B3511" s="65">
        <v>35686</v>
      </c>
      <c r="C3511" t="s">
        <v>6318</v>
      </c>
    </row>
    <row r="3512" spans="2:3" hidden="1" x14ac:dyDescent="0.25">
      <c r="B3512" s="65">
        <v>35683</v>
      </c>
      <c r="C3512" t="s">
        <v>7590</v>
      </c>
    </row>
    <row r="3513" spans="2:3" hidden="1" x14ac:dyDescent="0.25">
      <c r="B3513" s="65">
        <v>35682</v>
      </c>
      <c r="C3513" t="s">
        <v>5915</v>
      </c>
    </row>
    <row r="3514" spans="2:3" hidden="1" x14ac:dyDescent="0.25">
      <c r="B3514" s="65">
        <v>35682</v>
      </c>
      <c r="C3514" t="s">
        <v>7118</v>
      </c>
    </row>
    <row r="3515" spans="2:3" hidden="1" x14ac:dyDescent="0.25">
      <c r="B3515" s="65">
        <v>35681</v>
      </c>
      <c r="C3515" t="s">
        <v>5576</v>
      </c>
    </row>
    <row r="3516" spans="2:3" hidden="1" x14ac:dyDescent="0.25">
      <c r="B3516" s="65">
        <v>35681</v>
      </c>
      <c r="C3516" t="s">
        <v>1451</v>
      </c>
    </row>
    <row r="3517" spans="2:3" hidden="1" x14ac:dyDescent="0.25">
      <c r="B3517" s="65">
        <v>35680</v>
      </c>
      <c r="C3517" t="s">
        <v>5325</v>
      </c>
    </row>
    <row r="3518" spans="2:3" hidden="1" x14ac:dyDescent="0.25">
      <c r="B3518" s="65">
        <v>35678</v>
      </c>
      <c r="C3518" t="s">
        <v>7644</v>
      </c>
    </row>
    <row r="3519" spans="2:3" hidden="1" x14ac:dyDescent="0.25">
      <c r="B3519" s="65">
        <v>35675</v>
      </c>
      <c r="C3519" t="s">
        <v>3239</v>
      </c>
    </row>
    <row r="3520" spans="2:3" hidden="1" x14ac:dyDescent="0.25">
      <c r="B3520" s="65">
        <v>35675</v>
      </c>
      <c r="C3520" t="s">
        <v>3449</v>
      </c>
    </row>
    <row r="3521" spans="2:3" hidden="1" x14ac:dyDescent="0.25">
      <c r="B3521" s="65">
        <v>35675</v>
      </c>
      <c r="C3521" t="s">
        <v>8160</v>
      </c>
    </row>
    <row r="3522" spans="2:3" hidden="1" x14ac:dyDescent="0.25">
      <c r="B3522" s="65">
        <v>35672</v>
      </c>
      <c r="C3522" t="s">
        <v>1408</v>
      </c>
    </row>
    <row r="3523" spans="2:3" hidden="1" x14ac:dyDescent="0.25">
      <c r="B3523" s="65">
        <v>35672</v>
      </c>
      <c r="C3523" t="s">
        <v>5275</v>
      </c>
    </row>
    <row r="3524" spans="2:3" hidden="1" x14ac:dyDescent="0.25">
      <c r="B3524" s="65">
        <v>35670</v>
      </c>
      <c r="C3524" t="s">
        <v>4199</v>
      </c>
    </row>
    <row r="3525" spans="2:3" hidden="1" x14ac:dyDescent="0.25">
      <c r="B3525" s="65">
        <v>35669</v>
      </c>
      <c r="C3525" t="s">
        <v>7419</v>
      </c>
    </row>
    <row r="3526" spans="2:3" hidden="1" x14ac:dyDescent="0.25">
      <c r="B3526" s="65">
        <v>35665</v>
      </c>
      <c r="C3526" t="s">
        <v>3771</v>
      </c>
    </row>
    <row r="3527" spans="2:3" hidden="1" x14ac:dyDescent="0.25">
      <c r="B3527" s="65">
        <v>35664</v>
      </c>
      <c r="C3527" t="s">
        <v>5552</v>
      </c>
    </row>
    <row r="3528" spans="2:3" hidden="1" x14ac:dyDescent="0.25">
      <c r="B3528" s="65">
        <v>35663</v>
      </c>
      <c r="C3528" t="s">
        <v>3379</v>
      </c>
    </row>
    <row r="3529" spans="2:3" hidden="1" x14ac:dyDescent="0.25">
      <c r="B3529" s="65">
        <v>35663</v>
      </c>
      <c r="C3529" t="s">
        <v>4009</v>
      </c>
    </row>
    <row r="3530" spans="2:3" hidden="1" x14ac:dyDescent="0.25">
      <c r="B3530" s="65">
        <v>35663</v>
      </c>
      <c r="C3530" t="s">
        <v>5843</v>
      </c>
    </row>
    <row r="3531" spans="2:3" hidden="1" x14ac:dyDescent="0.25">
      <c r="B3531" s="65">
        <v>35661</v>
      </c>
      <c r="C3531" t="s">
        <v>5256</v>
      </c>
    </row>
    <row r="3532" spans="2:3" hidden="1" x14ac:dyDescent="0.25">
      <c r="B3532" s="65">
        <v>35657</v>
      </c>
      <c r="C3532" t="s">
        <v>5509</v>
      </c>
    </row>
    <row r="3533" spans="2:3" hidden="1" x14ac:dyDescent="0.25">
      <c r="B3533" s="65">
        <v>35649</v>
      </c>
      <c r="C3533" t="s">
        <v>4624</v>
      </c>
    </row>
    <row r="3534" spans="2:3" hidden="1" x14ac:dyDescent="0.25">
      <c r="B3534" s="65">
        <v>35646</v>
      </c>
      <c r="C3534" t="s">
        <v>3758</v>
      </c>
    </row>
    <row r="3535" spans="2:3" hidden="1" x14ac:dyDescent="0.25">
      <c r="B3535" s="65">
        <v>35646</v>
      </c>
      <c r="C3535" t="s">
        <v>8137</v>
      </c>
    </row>
    <row r="3536" spans="2:3" hidden="1" x14ac:dyDescent="0.25">
      <c r="B3536" s="65">
        <v>35645</v>
      </c>
      <c r="C3536" t="s">
        <v>6685</v>
      </c>
    </row>
    <row r="3537" spans="2:3" hidden="1" x14ac:dyDescent="0.25">
      <c r="B3537" s="65">
        <v>35642</v>
      </c>
      <c r="C3537" t="s">
        <v>3455</v>
      </c>
    </row>
    <row r="3538" spans="2:3" hidden="1" x14ac:dyDescent="0.25">
      <c r="B3538" s="65">
        <v>35641</v>
      </c>
      <c r="C3538" t="s">
        <v>7218</v>
      </c>
    </row>
    <row r="3539" spans="2:3" hidden="1" x14ac:dyDescent="0.25">
      <c r="B3539" s="65">
        <v>35641</v>
      </c>
      <c r="C3539" t="s">
        <v>105</v>
      </c>
    </row>
    <row r="3540" spans="2:3" hidden="1" x14ac:dyDescent="0.25">
      <c r="B3540" s="65">
        <v>35635</v>
      </c>
      <c r="C3540" t="s">
        <v>7937</v>
      </c>
    </row>
    <row r="3541" spans="2:3" hidden="1" x14ac:dyDescent="0.25">
      <c r="B3541" s="65">
        <v>35634</v>
      </c>
      <c r="C3541" t="s">
        <v>7148</v>
      </c>
    </row>
    <row r="3542" spans="2:3" hidden="1" x14ac:dyDescent="0.25">
      <c r="B3542" s="65">
        <v>35633</v>
      </c>
      <c r="C3542" t="s">
        <v>5615</v>
      </c>
    </row>
    <row r="3543" spans="2:3" hidden="1" x14ac:dyDescent="0.25">
      <c r="B3543" s="65">
        <v>35631</v>
      </c>
      <c r="C3543" t="s">
        <v>838</v>
      </c>
    </row>
    <row r="3544" spans="2:3" hidden="1" x14ac:dyDescent="0.25">
      <c r="B3544" s="65">
        <v>35628</v>
      </c>
      <c r="C3544" t="s">
        <v>786</v>
      </c>
    </row>
    <row r="3545" spans="2:3" hidden="1" x14ac:dyDescent="0.25">
      <c r="B3545" s="65">
        <v>35628</v>
      </c>
      <c r="C3545" t="s">
        <v>5947</v>
      </c>
    </row>
    <row r="3546" spans="2:3" hidden="1" x14ac:dyDescent="0.25">
      <c r="B3546" s="65">
        <v>35627</v>
      </c>
      <c r="C3546" t="s">
        <v>4225</v>
      </c>
    </row>
    <row r="3547" spans="2:3" hidden="1" x14ac:dyDescent="0.25">
      <c r="B3547" s="65">
        <v>35626</v>
      </c>
      <c r="C3547" t="s">
        <v>5321</v>
      </c>
    </row>
    <row r="3548" spans="2:3" hidden="1" x14ac:dyDescent="0.25">
      <c r="B3548" s="65">
        <v>35625</v>
      </c>
      <c r="C3548" t="s">
        <v>5245</v>
      </c>
    </row>
    <row r="3549" spans="2:3" hidden="1" x14ac:dyDescent="0.25">
      <c r="B3549" s="65">
        <v>35623</v>
      </c>
      <c r="C3549" t="s">
        <v>7728</v>
      </c>
    </row>
    <row r="3550" spans="2:3" hidden="1" x14ac:dyDescent="0.25">
      <c r="B3550" s="65">
        <v>35622</v>
      </c>
      <c r="C3550" t="s">
        <v>5606</v>
      </c>
    </row>
    <row r="3551" spans="2:3" hidden="1" x14ac:dyDescent="0.25">
      <c r="B3551" s="65">
        <v>35621</v>
      </c>
      <c r="C3551" t="s">
        <v>3102</v>
      </c>
    </row>
    <row r="3552" spans="2:3" hidden="1" x14ac:dyDescent="0.25">
      <c r="B3552" s="65">
        <v>35618</v>
      </c>
      <c r="C3552" t="s">
        <v>4715</v>
      </c>
    </row>
    <row r="3553" spans="2:3" hidden="1" x14ac:dyDescent="0.25">
      <c r="B3553" s="65">
        <v>35615</v>
      </c>
      <c r="C3553" t="s">
        <v>3290</v>
      </c>
    </row>
    <row r="3554" spans="2:3" hidden="1" x14ac:dyDescent="0.25">
      <c r="B3554" s="65">
        <v>35614</v>
      </c>
      <c r="C3554" t="s">
        <v>6256</v>
      </c>
    </row>
    <row r="3555" spans="2:3" hidden="1" x14ac:dyDescent="0.25">
      <c r="B3555" s="65">
        <v>35613</v>
      </c>
      <c r="C3555" t="s">
        <v>6981</v>
      </c>
    </row>
    <row r="3556" spans="2:3" hidden="1" x14ac:dyDescent="0.25">
      <c r="B3556" s="65">
        <v>35612</v>
      </c>
      <c r="C3556" t="s">
        <v>960</v>
      </c>
    </row>
    <row r="3557" spans="2:3" hidden="1" x14ac:dyDescent="0.25">
      <c r="B3557" s="65">
        <v>35611</v>
      </c>
      <c r="C3557" t="s">
        <v>4415</v>
      </c>
    </row>
    <row r="3558" spans="2:3" hidden="1" x14ac:dyDescent="0.25">
      <c r="B3558" s="65">
        <v>35608</v>
      </c>
      <c r="C3558" t="s">
        <v>46</v>
      </c>
    </row>
    <row r="3559" spans="2:3" hidden="1" x14ac:dyDescent="0.25">
      <c r="B3559" s="65">
        <v>35608</v>
      </c>
      <c r="C3559" t="s">
        <v>5937</v>
      </c>
    </row>
    <row r="3560" spans="2:3" hidden="1" x14ac:dyDescent="0.25">
      <c r="B3560" s="65">
        <v>35606</v>
      </c>
      <c r="C3560" t="s">
        <v>5115</v>
      </c>
    </row>
    <row r="3561" spans="2:3" hidden="1" x14ac:dyDescent="0.25">
      <c r="B3561" s="65">
        <v>35606</v>
      </c>
      <c r="C3561" t="s">
        <v>6401</v>
      </c>
    </row>
    <row r="3562" spans="2:3" hidden="1" x14ac:dyDescent="0.25">
      <c r="B3562" s="65">
        <v>35605</v>
      </c>
      <c r="C3562" t="s">
        <v>2209</v>
      </c>
    </row>
    <row r="3563" spans="2:3" hidden="1" x14ac:dyDescent="0.25">
      <c r="B3563" s="65">
        <v>35603</v>
      </c>
      <c r="C3563" t="s">
        <v>2982</v>
      </c>
    </row>
    <row r="3564" spans="2:3" hidden="1" x14ac:dyDescent="0.25">
      <c r="B3564" s="65">
        <v>35603</v>
      </c>
      <c r="C3564" t="s">
        <v>7032</v>
      </c>
    </row>
    <row r="3565" spans="2:3" hidden="1" x14ac:dyDescent="0.25">
      <c r="B3565" s="65">
        <v>35602</v>
      </c>
      <c r="C3565" t="s">
        <v>6185</v>
      </c>
    </row>
    <row r="3566" spans="2:3" hidden="1" x14ac:dyDescent="0.25">
      <c r="B3566" s="65">
        <v>35596</v>
      </c>
      <c r="C3566" t="s">
        <v>2606</v>
      </c>
    </row>
    <row r="3567" spans="2:3" hidden="1" x14ac:dyDescent="0.25">
      <c r="B3567" s="65">
        <v>35595</v>
      </c>
      <c r="C3567" t="s">
        <v>6542</v>
      </c>
    </row>
    <row r="3568" spans="2:3" hidden="1" x14ac:dyDescent="0.25">
      <c r="B3568" s="65">
        <v>35594</v>
      </c>
      <c r="C3568" t="s">
        <v>2759</v>
      </c>
    </row>
    <row r="3569" spans="2:3" hidden="1" x14ac:dyDescent="0.25">
      <c r="B3569" s="65">
        <v>35593</v>
      </c>
      <c r="C3569" t="s">
        <v>1359</v>
      </c>
    </row>
    <row r="3570" spans="2:3" hidden="1" x14ac:dyDescent="0.25">
      <c r="B3570" s="65">
        <v>35588</v>
      </c>
      <c r="C3570" t="s">
        <v>3712</v>
      </c>
    </row>
    <row r="3571" spans="2:3" hidden="1" x14ac:dyDescent="0.25">
      <c r="B3571" s="65">
        <v>35588</v>
      </c>
      <c r="C3571" t="s">
        <v>5423</v>
      </c>
    </row>
    <row r="3572" spans="2:3" hidden="1" x14ac:dyDescent="0.25">
      <c r="B3572" s="65">
        <v>35588</v>
      </c>
      <c r="C3572" t="s">
        <v>7551</v>
      </c>
    </row>
    <row r="3573" spans="2:3" hidden="1" x14ac:dyDescent="0.25">
      <c r="B3573" s="65">
        <v>35587</v>
      </c>
      <c r="C3573" t="s">
        <v>5374</v>
      </c>
    </row>
    <row r="3574" spans="2:3" hidden="1" x14ac:dyDescent="0.25">
      <c r="B3574" s="65">
        <v>35586</v>
      </c>
      <c r="C3574" t="s">
        <v>5475</v>
      </c>
    </row>
    <row r="3575" spans="2:3" hidden="1" x14ac:dyDescent="0.25">
      <c r="B3575" s="65">
        <v>35585</v>
      </c>
      <c r="C3575" t="s">
        <v>3573</v>
      </c>
    </row>
    <row r="3576" spans="2:3" hidden="1" x14ac:dyDescent="0.25">
      <c r="B3576" s="65">
        <v>35585</v>
      </c>
      <c r="C3576" t="s">
        <v>7331</v>
      </c>
    </row>
    <row r="3577" spans="2:3" hidden="1" x14ac:dyDescent="0.25">
      <c r="B3577" s="65">
        <v>35583</v>
      </c>
      <c r="C3577" t="s">
        <v>4457</v>
      </c>
    </row>
    <row r="3578" spans="2:3" hidden="1" x14ac:dyDescent="0.25">
      <c r="B3578" s="65">
        <v>35580</v>
      </c>
      <c r="C3578" t="s">
        <v>6526</v>
      </c>
    </row>
    <row r="3579" spans="2:3" hidden="1" x14ac:dyDescent="0.25">
      <c r="B3579" s="65">
        <v>35580</v>
      </c>
      <c r="C3579" t="s">
        <v>6872</v>
      </c>
    </row>
    <row r="3580" spans="2:3" hidden="1" x14ac:dyDescent="0.25">
      <c r="B3580" s="65">
        <v>35578</v>
      </c>
      <c r="C3580" t="s">
        <v>5696</v>
      </c>
    </row>
    <row r="3581" spans="2:3" hidden="1" x14ac:dyDescent="0.25">
      <c r="B3581" s="65">
        <v>35577</v>
      </c>
      <c r="C3581" t="s">
        <v>2084</v>
      </c>
    </row>
    <row r="3582" spans="2:3" hidden="1" x14ac:dyDescent="0.25">
      <c r="B3582" s="65">
        <v>35576</v>
      </c>
      <c r="C3582" t="s">
        <v>7424</v>
      </c>
    </row>
    <row r="3583" spans="2:3" hidden="1" x14ac:dyDescent="0.25">
      <c r="B3583" s="65">
        <v>35575</v>
      </c>
      <c r="C3583" t="s">
        <v>6839</v>
      </c>
    </row>
    <row r="3584" spans="2:3" hidden="1" x14ac:dyDescent="0.25">
      <c r="B3584" s="65">
        <v>35573</v>
      </c>
      <c r="C3584" t="s">
        <v>7963</v>
      </c>
    </row>
    <row r="3585" spans="2:3" hidden="1" x14ac:dyDescent="0.25">
      <c r="B3585" s="65">
        <v>35572</v>
      </c>
      <c r="C3585" t="s">
        <v>5443</v>
      </c>
    </row>
    <row r="3586" spans="2:3" hidden="1" x14ac:dyDescent="0.25">
      <c r="B3586" s="65">
        <v>35572</v>
      </c>
      <c r="C3586" t="s">
        <v>6394</v>
      </c>
    </row>
    <row r="3587" spans="2:3" hidden="1" x14ac:dyDescent="0.25">
      <c r="B3587" s="65">
        <v>35572</v>
      </c>
      <c r="C3587" t="s">
        <v>7441</v>
      </c>
    </row>
    <row r="3588" spans="2:3" hidden="1" x14ac:dyDescent="0.25">
      <c r="B3588" s="65">
        <v>35570</v>
      </c>
      <c r="C3588" t="s">
        <v>7814</v>
      </c>
    </row>
    <row r="3589" spans="2:3" hidden="1" x14ac:dyDescent="0.25">
      <c r="B3589" s="65">
        <v>35564</v>
      </c>
      <c r="C3589" t="s">
        <v>3848</v>
      </c>
    </row>
    <row r="3590" spans="2:3" hidden="1" x14ac:dyDescent="0.25">
      <c r="B3590" s="65">
        <v>35561</v>
      </c>
      <c r="C3590" t="s">
        <v>5863</v>
      </c>
    </row>
    <row r="3591" spans="2:3" hidden="1" x14ac:dyDescent="0.25">
      <c r="B3591" s="65">
        <v>35560</v>
      </c>
      <c r="C3591" t="s">
        <v>8146</v>
      </c>
    </row>
    <row r="3592" spans="2:3" hidden="1" x14ac:dyDescent="0.25">
      <c r="B3592" s="65">
        <v>35560</v>
      </c>
      <c r="C3592" t="s">
        <v>8229</v>
      </c>
    </row>
    <row r="3593" spans="2:3" hidden="1" x14ac:dyDescent="0.25">
      <c r="B3593" s="65">
        <v>35552</v>
      </c>
      <c r="C3593" t="s">
        <v>4056</v>
      </c>
    </row>
    <row r="3594" spans="2:3" hidden="1" x14ac:dyDescent="0.25">
      <c r="B3594" s="65">
        <v>35552</v>
      </c>
      <c r="C3594" t="s">
        <v>5622</v>
      </c>
    </row>
    <row r="3595" spans="2:3" hidden="1" x14ac:dyDescent="0.25">
      <c r="B3595" s="65">
        <v>35552</v>
      </c>
      <c r="C3595" t="s">
        <v>6823</v>
      </c>
    </row>
    <row r="3596" spans="2:3" hidden="1" x14ac:dyDescent="0.25">
      <c r="B3596" s="65">
        <v>35550</v>
      </c>
      <c r="C3596" t="s">
        <v>598</v>
      </c>
    </row>
    <row r="3597" spans="2:3" hidden="1" x14ac:dyDescent="0.25">
      <c r="B3597" s="65">
        <v>35550</v>
      </c>
      <c r="C3597" t="s">
        <v>7501</v>
      </c>
    </row>
    <row r="3598" spans="2:3" hidden="1" x14ac:dyDescent="0.25">
      <c r="B3598" s="65">
        <v>35549</v>
      </c>
      <c r="C3598" t="s">
        <v>4025</v>
      </c>
    </row>
    <row r="3599" spans="2:3" hidden="1" x14ac:dyDescent="0.25">
      <c r="B3599" s="65">
        <v>35548</v>
      </c>
      <c r="C3599" t="s">
        <v>6200</v>
      </c>
    </row>
    <row r="3600" spans="2:3" hidden="1" x14ac:dyDescent="0.25">
      <c r="B3600" s="65">
        <v>35547</v>
      </c>
      <c r="C3600" t="s">
        <v>8204</v>
      </c>
    </row>
    <row r="3601" spans="2:3" hidden="1" x14ac:dyDescent="0.25">
      <c r="B3601" s="65">
        <v>35545</v>
      </c>
      <c r="C3601" t="s">
        <v>6470</v>
      </c>
    </row>
    <row r="3602" spans="2:3" hidden="1" x14ac:dyDescent="0.25">
      <c r="B3602" s="65">
        <v>35544</v>
      </c>
      <c r="C3602" t="s">
        <v>3449</v>
      </c>
    </row>
    <row r="3603" spans="2:3" hidden="1" x14ac:dyDescent="0.25">
      <c r="B3603" s="65">
        <v>35543</v>
      </c>
      <c r="C3603" t="s">
        <v>3738</v>
      </c>
    </row>
    <row r="3604" spans="2:3" hidden="1" x14ac:dyDescent="0.25">
      <c r="B3604" s="65">
        <v>35542</v>
      </c>
      <c r="C3604" t="s">
        <v>4802</v>
      </c>
    </row>
    <row r="3605" spans="2:3" hidden="1" x14ac:dyDescent="0.25">
      <c r="B3605" s="65">
        <v>35541</v>
      </c>
      <c r="C3605" t="s">
        <v>7571</v>
      </c>
    </row>
    <row r="3606" spans="2:3" hidden="1" x14ac:dyDescent="0.25">
      <c r="B3606" s="65">
        <v>35540</v>
      </c>
      <c r="C3606" t="s">
        <v>6438</v>
      </c>
    </row>
    <row r="3607" spans="2:3" hidden="1" x14ac:dyDescent="0.25">
      <c r="B3607" s="65">
        <v>35538</v>
      </c>
      <c r="C3607" t="s">
        <v>4647</v>
      </c>
    </row>
    <row r="3608" spans="2:3" hidden="1" x14ac:dyDescent="0.25">
      <c r="B3608" s="65">
        <v>35537</v>
      </c>
      <c r="C3608" t="s">
        <v>3635</v>
      </c>
    </row>
    <row r="3609" spans="2:3" hidden="1" x14ac:dyDescent="0.25">
      <c r="B3609" s="65">
        <v>35537</v>
      </c>
      <c r="C3609" t="s">
        <v>7930</v>
      </c>
    </row>
    <row r="3610" spans="2:3" hidden="1" x14ac:dyDescent="0.25">
      <c r="B3610" s="65">
        <v>35532</v>
      </c>
      <c r="C3610" t="s">
        <v>7157</v>
      </c>
    </row>
    <row r="3611" spans="2:3" hidden="1" x14ac:dyDescent="0.25">
      <c r="B3611" s="65">
        <v>35531</v>
      </c>
      <c r="C3611" t="s">
        <v>4767</v>
      </c>
    </row>
    <row r="3612" spans="2:3" hidden="1" x14ac:dyDescent="0.25">
      <c r="B3612" s="65">
        <v>35530</v>
      </c>
      <c r="C3612" t="s">
        <v>5588</v>
      </c>
    </row>
    <row r="3613" spans="2:3" hidden="1" x14ac:dyDescent="0.25">
      <c r="B3613" s="65">
        <v>35525</v>
      </c>
      <c r="C3613" t="s">
        <v>5952</v>
      </c>
    </row>
    <row r="3614" spans="2:3" hidden="1" x14ac:dyDescent="0.25">
      <c r="B3614" s="65">
        <v>35524</v>
      </c>
      <c r="C3614" t="s">
        <v>7545</v>
      </c>
    </row>
    <row r="3615" spans="2:3" hidden="1" x14ac:dyDescent="0.25">
      <c r="B3615" s="65">
        <v>35522</v>
      </c>
      <c r="C3615" t="s">
        <v>4237</v>
      </c>
    </row>
    <row r="3616" spans="2:3" hidden="1" x14ac:dyDescent="0.25">
      <c r="B3616" s="65">
        <v>35522</v>
      </c>
      <c r="C3616" t="s">
        <v>7455</v>
      </c>
    </row>
    <row r="3617" spans="2:3" hidden="1" x14ac:dyDescent="0.25">
      <c r="B3617" s="65">
        <v>35522</v>
      </c>
      <c r="C3617" t="s">
        <v>7529</v>
      </c>
    </row>
    <row r="3618" spans="2:3" hidden="1" x14ac:dyDescent="0.25">
      <c r="B3618" s="65">
        <v>35521</v>
      </c>
      <c r="C3618" t="s">
        <v>3527</v>
      </c>
    </row>
    <row r="3619" spans="2:3" hidden="1" x14ac:dyDescent="0.25">
      <c r="B3619" s="65">
        <v>35520</v>
      </c>
      <c r="C3619" t="s">
        <v>7470</v>
      </c>
    </row>
    <row r="3620" spans="2:3" hidden="1" x14ac:dyDescent="0.25">
      <c r="B3620" s="65">
        <v>35516</v>
      </c>
      <c r="C3620" t="s">
        <v>7919</v>
      </c>
    </row>
    <row r="3621" spans="2:3" hidden="1" x14ac:dyDescent="0.25">
      <c r="B3621" s="65">
        <v>35513</v>
      </c>
      <c r="C3621" t="s">
        <v>5470</v>
      </c>
    </row>
    <row r="3622" spans="2:3" hidden="1" x14ac:dyDescent="0.25">
      <c r="B3622" s="65">
        <v>35512</v>
      </c>
      <c r="C3622" t="s">
        <v>8234</v>
      </c>
    </row>
    <row r="3623" spans="2:3" hidden="1" x14ac:dyDescent="0.25">
      <c r="B3623" s="65">
        <v>35508</v>
      </c>
      <c r="C3623" t="s">
        <v>4603</v>
      </c>
    </row>
    <row r="3624" spans="2:3" hidden="1" x14ac:dyDescent="0.25">
      <c r="B3624" s="65">
        <v>35503</v>
      </c>
      <c r="C3624" t="s">
        <v>8174</v>
      </c>
    </row>
    <row r="3625" spans="2:3" hidden="1" x14ac:dyDescent="0.25">
      <c r="B3625" s="65">
        <v>35501</v>
      </c>
      <c r="C3625" t="s">
        <v>3601</v>
      </c>
    </row>
    <row r="3626" spans="2:3" hidden="1" x14ac:dyDescent="0.25">
      <c r="B3626" s="65">
        <v>35500</v>
      </c>
      <c r="C3626" t="s">
        <v>7987</v>
      </c>
    </row>
    <row r="3627" spans="2:3" hidden="1" x14ac:dyDescent="0.25">
      <c r="B3627" s="65">
        <v>35499</v>
      </c>
      <c r="C3627" t="s">
        <v>6321</v>
      </c>
    </row>
    <row r="3628" spans="2:3" hidden="1" x14ac:dyDescent="0.25">
      <c r="B3628" s="65">
        <v>35498</v>
      </c>
      <c r="C3628" t="s">
        <v>4237</v>
      </c>
    </row>
    <row r="3629" spans="2:3" hidden="1" x14ac:dyDescent="0.25">
      <c r="B3629" s="65">
        <v>35497</v>
      </c>
      <c r="C3629" t="s">
        <v>7696</v>
      </c>
    </row>
    <row r="3630" spans="2:3" hidden="1" x14ac:dyDescent="0.25">
      <c r="B3630" s="65">
        <v>35494</v>
      </c>
      <c r="C3630" t="s">
        <v>5600</v>
      </c>
    </row>
    <row r="3631" spans="2:3" hidden="1" x14ac:dyDescent="0.25">
      <c r="B3631" s="65">
        <v>35494</v>
      </c>
      <c r="C3631" t="s">
        <v>105</v>
      </c>
    </row>
    <row r="3632" spans="2:3" hidden="1" x14ac:dyDescent="0.25">
      <c r="B3632" s="65">
        <v>35492</v>
      </c>
      <c r="C3632" t="s">
        <v>5161</v>
      </c>
    </row>
    <row r="3633" spans="2:3" hidden="1" x14ac:dyDescent="0.25">
      <c r="B3633" s="65">
        <v>35489</v>
      </c>
      <c r="C3633" t="s">
        <v>46</v>
      </c>
    </row>
    <row r="3634" spans="2:3" hidden="1" x14ac:dyDescent="0.25">
      <c r="B3634" s="65">
        <v>35489</v>
      </c>
      <c r="C3634" t="s">
        <v>6340</v>
      </c>
    </row>
    <row r="3635" spans="2:3" hidden="1" x14ac:dyDescent="0.25">
      <c r="B3635" s="65">
        <v>35487</v>
      </c>
      <c r="C3635" t="s">
        <v>4569</v>
      </c>
    </row>
    <row r="3636" spans="2:3" hidden="1" x14ac:dyDescent="0.25">
      <c r="B3636" s="65">
        <v>35486</v>
      </c>
      <c r="C3636" t="s">
        <v>4537</v>
      </c>
    </row>
    <row r="3637" spans="2:3" hidden="1" x14ac:dyDescent="0.25">
      <c r="B3637" s="65">
        <v>35483</v>
      </c>
      <c r="C3637" t="s">
        <v>7072</v>
      </c>
    </row>
    <row r="3638" spans="2:3" hidden="1" x14ac:dyDescent="0.25">
      <c r="B3638" s="65">
        <v>35482</v>
      </c>
      <c r="C3638" t="s">
        <v>177</v>
      </c>
    </row>
    <row r="3639" spans="2:3" hidden="1" x14ac:dyDescent="0.25">
      <c r="B3639" s="65">
        <v>35482</v>
      </c>
      <c r="C3639" t="s">
        <v>6421</v>
      </c>
    </row>
    <row r="3640" spans="2:3" hidden="1" x14ac:dyDescent="0.25">
      <c r="B3640" s="65">
        <v>35481</v>
      </c>
      <c r="C3640" t="s">
        <v>6378</v>
      </c>
    </row>
    <row r="3641" spans="2:3" hidden="1" x14ac:dyDescent="0.25">
      <c r="B3641" s="65">
        <v>35478</v>
      </c>
      <c r="C3641" t="s">
        <v>7022</v>
      </c>
    </row>
    <row r="3642" spans="2:3" hidden="1" x14ac:dyDescent="0.25">
      <c r="B3642" s="65">
        <v>35477</v>
      </c>
      <c r="C3642" t="s">
        <v>2485</v>
      </c>
    </row>
    <row r="3643" spans="2:3" hidden="1" x14ac:dyDescent="0.25">
      <c r="B3643" s="65">
        <v>35476</v>
      </c>
      <c r="C3643" t="s">
        <v>6930</v>
      </c>
    </row>
    <row r="3644" spans="2:3" hidden="1" x14ac:dyDescent="0.25">
      <c r="B3644" s="65">
        <v>35475</v>
      </c>
      <c r="C3644" t="s">
        <v>7944</v>
      </c>
    </row>
    <row r="3645" spans="2:3" hidden="1" x14ac:dyDescent="0.25">
      <c r="B3645" s="65">
        <v>35475</v>
      </c>
      <c r="C3645" t="s">
        <v>8002</v>
      </c>
    </row>
    <row r="3646" spans="2:3" hidden="1" x14ac:dyDescent="0.25">
      <c r="B3646" s="65">
        <v>35473</v>
      </c>
      <c r="C3646" t="s">
        <v>4848</v>
      </c>
    </row>
    <row r="3647" spans="2:3" hidden="1" x14ac:dyDescent="0.25">
      <c r="B3647" s="65">
        <v>35472</v>
      </c>
      <c r="C3647" t="s">
        <v>3192</v>
      </c>
    </row>
    <row r="3648" spans="2:3" hidden="1" x14ac:dyDescent="0.25">
      <c r="B3648" s="65">
        <v>35467</v>
      </c>
      <c r="C3648" t="s">
        <v>5307</v>
      </c>
    </row>
    <row r="3649" spans="2:3" hidden="1" x14ac:dyDescent="0.25">
      <c r="B3649" s="65">
        <v>35467</v>
      </c>
      <c r="C3649" t="s">
        <v>6176</v>
      </c>
    </row>
    <row r="3650" spans="2:3" hidden="1" x14ac:dyDescent="0.25">
      <c r="B3650" s="65">
        <v>35467</v>
      </c>
      <c r="C3650" t="s">
        <v>6327</v>
      </c>
    </row>
    <row r="3651" spans="2:3" hidden="1" x14ac:dyDescent="0.25">
      <c r="B3651" s="65">
        <v>35464</v>
      </c>
      <c r="C3651" t="s">
        <v>3233</v>
      </c>
    </row>
    <row r="3652" spans="2:3" hidden="1" x14ac:dyDescent="0.25">
      <c r="B3652" s="65">
        <v>35462</v>
      </c>
      <c r="C3652" t="s">
        <v>5685</v>
      </c>
    </row>
    <row r="3653" spans="2:3" hidden="1" x14ac:dyDescent="0.25">
      <c r="B3653" s="65">
        <v>35461</v>
      </c>
      <c r="C3653" t="s">
        <v>598</v>
      </c>
    </row>
    <row r="3654" spans="2:3" hidden="1" x14ac:dyDescent="0.25">
      <c r="B3654" s="65">
        <v>35459</v>
      </c>
      <c r="C3654" t="s">
        <v>5835</v>
      </c>
    </row>
    <row r="3655" spans="2:3" hidden="1" x14ac:dyDescent="0.25">
      <c r="B3655" s="65">
        <v>35458</v>
      </c>
      <c r="C3655" t="s">
        <v>3738</v>
      </c>
    </row>
    <row r="3656" spans="2:3" hidden="1" x14ac:dyDescent="0.25">
      <c r="B3656" s="65">
        <v>35457</v>
      </c>
      <c r="C3656" t="s">
        <v>7322</v>
      </c>
    </row>
    <row r="3657" spans="2:3" hidden="1" x14ac:dyDescent="0.25">
      <c r="B3657" s="65">
        <v>35451</v>
      </c>
      <c r="C3657" t="s">
        <v>3976</v>
      </c>
    </row>
    <row r="3658" spans="2:3" hidden="1" x14ac:dyDescent="0.25">
      <c r="B3658" s="65">
        <v>35448</v>
      </c>
      <c r="C3658" t="s">
        <v>7776</v>
      </c>
    </row>
    <row r="3659" spans="2:3" hidden="1" x14ac:dyDescent="0.25">
      <c r="B3659" s="65">
        <v>35445</v>
      </c>
      <c r="C3659" t="s">
        <v>6148</v>
      </c>
    </row>
    <row r="3660" spans="2:3" hidden="1" x14ac:dyDescent="0.25">
      <c r="B3660" s="65">
        <v>35445</v>
      </c>
      <c r="C3660" t="s">
        <v>7005</v>
      </c>
    </row>
    <row r="3661" spans="2:3" hidden="1" x14ac:dyDescent="0.25">
      <c r="B3661" s="65">
        <v>35439</v>
      </c>
      <c r="C3661" t="s">
        <v>4394</v>
      </c>
    </row>
    <row r="3662" spans="2:3" hidden="1" x14ac:dyDescent="0.25">
      <c r="B3662" s="65">
        <v>35439</v>
      </c>
      <c r="C3662" t="s">
        <v>1288</v>
      </c>
    </row>
    <row r="3663" spans="2:3" hidden="1" x14ac:dyDescent="0.25">
      <c r="B3663" s="65">
        <v>35438</v>
      </c>
      <c r="C3663" t="s">
        <v>844</v>
      </c>
    </row>
    <row r="3664" spans="2:3" hidden="1" x14ac:dyDescent="0.25">
      <c r="B3664" s="65">
        <v>35437</v>
      </c>
      <c r="C3664" t="s">
        <v>46</v>
      </c>
    </row>
    <row r="3665" spans="2:3" hidden="1" x14ac:dyDescent="0.25">
      <c r="B3665" s="65">
        <v>35436</v>
      </c>
      <c r="C3665" t="s">
        <v>6691</v>
      </c>
    </row>
    <row r="3666" spans="2:3" hidden="1" x14ac:dyDescent="0.25">
      <c r="B3666" s="65">
        <v>35434</v>
      </c>
      <c r="C3666" t="s">
        <v>3368</v>
      </c>
    </row>
    <row r="3667" spans="2:3" hidden="1" x14ac:dyDescent="0.25">
      <c r="B3667" s="65">
        <v>35434</v>
      </c>
      <c r="C3667" t="s">
        <v>7326</v>
      </c>
    </row>
    <row r="3668" spans="2:3" hidden="1" x14ac:dyDescent="0.25">
      <c r="B3668" s="65">
        <v>35431</v>
      </c>
      <c r="C3668" t="s">
        <v>1793</v>
      </c>
    </row>
    <row r="3669" spans="2:3" hidden="1" x14ac:dyDescent="0.25">
      <c r="B3669" s="65">
        <v>35429</v>
      </c>
      <c r="C3669" t="s">
        <v>5374</v>
      </c>
    </row>
    <row r="3670" spans="2:3" hidden="1" x14ac:dyDescent="0.25">
      <c r="B3670" s="65">
        <v>35429</v>
      </c>
      <c r="C3670" t="s">
        <v>8016</v>
      </c>
    </row>
    <row r="3671" spans="2:3" hidden="1" x14ac:dyDescent="0.25">
      <c r="B3671" s="65">
        <v>35426</v>
      </c>
      <c r="C3671" t="s">
        <v>7614</v>
      </c>
    </row>
    <row r="3672" spans="2:3" hidden="1" x14ac:dyDescent="0.25">
      <c r="B3672" s="65">
        <v>35425</v>
      </c>
      <c r="C3672" t="s">
        <v>7354</v>
      </c>
    </row>
    <row r="3673" spans="2:3" hidden="1" x14ac:dyDescent="0.25">
      <c r="B3673" s="65">
        <v>35424</v>
      </c>
      <c r="C3673" t="s">
        <v>4394</v>
      </c>
    </row>
    <row r="3674" spans="2:3" hidden="1" x14ac:dyDescent="0.25">
      <c r="B3674" s="65">
        <v>35423</v>
      </c>
      <c r="C3674" t="s">
        <v>4966</v>
      </c>
    </row>
    <row r="3675" spans="2:3" hidden="1" x14ac:dyDescent="0.25">
      <c r="B3675" s="65">
        <v>35421</v>
      </c>
      <c r="C3675" t="s">
        <v>2914</v>
      </c>
    </row>
    <row r="3676" spans="2:3" hidden="1" x14ac:dyDescent="0.25">
      <c r="B3676" s="65">
        <v>35420</v>
      </c>
      <c r="C3676" t="s">
        <v>46</v>
      </c>
    </row>
    <row r="3677" spans="2:3" hidden="1" x14ac:dyDescent="0.25">
      <c r="B3677" s="65">
        <v>35417</v>
      </c>
      <c r="C3677" t="s">
        <v>6261</v>
      </c>
    </row>
    <row r="3678" spans="2:3" hidden="1" x14ac:dyDescent="0.25">
      <c r="B3678" s="65">
        <v>35416</v>
      </c>
      <c r="C3678" t="s">
        <v>4516</v>
      </c>
    </row>
    <row r="3679" spans="2:3" hidden="1" x14ac:dyDescent="0.25">
      <c r="B3679" s="65">
        <v>35412</v>
      </c>
      <c r="C3679" t="s">
        <v>7654</v>
      </c>
    </row>
    <row r="3680" spans="2:3" hidden="1" x14ac:dyDescent="0.25">
      <c r="B3680" s="65">
        <v>35402</v>
      </c>
      <c r="C3680" t="s">
        <v>4030</v>
      </c>
    </row>
    <row r="3681" spans="2:3" hidden="1" x14ac:dyDescent="0.25">
      <c r="B3681" s="65">
        <v>35401</v>
      </c>
      <c r="C3681" t="s">
        <v>6638</v>
      </c>
    </row>
    <row r="3682" spans="2:3" hidden="1" x14ac:dyDescent="0.25">
      <c r="B3682" s="65">
        <v>35395</v>
      </c>
      <c r="C3682" t="s">
        <v>5731</v>
      </c>
    </row>
    <row r="3683" spans="2:3" hidden="1" x14ac:dyDescent="0.25">
      <c r="B3683" s="65">
        <v>35393</v>
      </c>
      <c r="C3683" t="s">
        <v>5878</v>
      </c>
    </row>
    <row r="3684" spans="2:3" hidden="1" x14ac:dyDescent="0.25">
      <c r="B3684" s="65">
        <v>35391</v>
      </c>
      <c r="C3684" t="s">
        <v>5827</v>
      </c>
    </row>
    <row r="3685" spans="2:3" hidden="1" x14ac:dyDescent="0.25">
      <c r="B3685" s="65">
        <v>35390</v>
      </c>
      <c r="C3685" t="s">
        <v>2390</v>
      </c>
    </row>
    <row r="3686" spans="2:3" hidden="1" x14ac:dyDescent="0.25">
      <c r="B3686" s="65">
        <v>35388</v>
      </c>
      <c r="C3686" t="s">
        <v>2891</v>
      </c>
    </row>
    <row r="3687" spans="2:3" hidden="1" x14ac:dyDescent="0.25">
      <c r="B3687" s="65">
        <v>35387</v>
      </c>
      <c r="C3687" t="s">
        <v>6151</v>
      </c>
    </row>
    <row r="3688" spans="2:3" hidden="1" x14ac:dyDescent="0.25">
      <c r="B3688" s="65">
        <v>35387</v>
      </c>
      <c r="C3688" t="s">
        <v>7360</v>
      </c>
    </row>
    <row r="3689" spans="2:3" hidden="1" x14ac:dyDescent="0.25">
      <c r="B3689" s="65">
        <v>35384</v>
      </c>
      <c r="C3689" t="s">
        <v>5059</v>
      </c>
    </row>
    <row r="3690" spans="2:3" hidden="1" x14ac:dyDescent="0.25">
      <c r="B3690" s="65">
        <v>35384</v>
      </c>
      <c r="C3690" t="s">
        <v>8166</v>
      </c>
    </row>
    <row r="3691" spans="2:3" hidden="1" x14ac:dyDescent="0.25">
      <c r="B3691" s="65">
        <v>35381</v>
      </c>
      <c r="C3691" t="s">
        <v>3826</v>
      </c>
    </row>
    <row r="3692" spans="2:3" hidden="1" x14ac:dyDescent="0.25">
      <c r="B3692" s="65">
        <v>35381</v>
      </c>
      <c r="C3692" t="s">
        <v>6275</v>
      </c>
    </row>
    <row r="3693" spans="2:3" hidden="1" x14ac:dyDescent="0.25">
      <c r="B3693" s="65">
        <v>35379</v>
      </c>
      <c r="C3693" t="s">
        <v>3320</v>
      </c>
    </row>
    <row r="3694" spans="2:3" hidden="1" x14ac:dyDescent="0.25">
      <c r="B3694" s="65">
        <v>35377</v>
      </c>
      <c r="C3694" t="s">
        <v>5297</v>
      </c>
    </row>
    <row r="3695" spans="2:3" hidden="1" x14ac:dyDescent="0.25">
      <c r="B3695" s="65">
        <v>35373</v>
      </c>
      <c r="C3695" t="s">
        <v>5321</v>
      </c>
    </row>
    <row r="3696" spans="2:3" hidden="1" x14ac:dyDescent="0.25">
      <c r="B3696" s="65">
        <v>35367</v>
      </c>
      <c r="C3696" t="s">
        <v>5883</v>
      </c>
    </row>
    <row r="3697" spans="2:3" hidden="1" x14ac:dyDescent="0.25">
      <c r="B3697" s="65">
        <v>35363</v>
      </c>
      <c r="C3697" t="s">
        <v>2945</v>
      </c>
    </row>
    <row r="3698" spans="2:3" hidden="1" x14ac:dyDescent="0.25">
      <c r="B3698" s="65">
        <v>35363</v>
      </c>
      <c r="C3698" t="s">
        <v>7097</v>
      </c>
    </row>
    <row r="3699" spans="2:3" hidden="1" x14ac:dyDescent="0.25">
      <c r="B3699" s="65">
        <v>35361</v>
      </c>
      <c r="C3699" t="s">
        <v>1292</v>
      </c>
    </row>
    <row r="3700" spans="2:3" hidden="1" x14ac:dyDescent="0.25">
      <c r="B3700" s="65">
        <v>35361</v>
      </c>
      <c r="C3700" t="s">
        <v>5796</v>
      </c>
    </row>
    <row r="3701" spans="2:3" hidden="1" x14ac:dyDescent="0.25">
      <c r="B3701" s="65">
        <v>35361</v>
      </c>
      <c r="C3701" t="s">
        <v>7396</v>
      </c>
    </row>
    <row r="3702" spans="2:3" hidden="1" x14ac:dyDescent="0.25">
      <c r="B3702" s="65">
        <v>35354</v>
      </c>
      <c r="C3702" t="s">
        <v>1370</v>
      </c>
    </row>
    <row r="3703" spans="2:3" hidden="1" x14ac:dyDescent="0.25">
      <c r="B3703" s="65">
        <v>35353</v>
      </c>
      <c r="C3703" t="s">
        <v>4315</v>
      </c>
    </row>
    <row r="3704" spans="2:3" hidden="1" x14ac:dyDescent="0.25">
      <c r="B3704" s="65">
        <v>35353</v>
      </c>
      <c r="C3704" t="s">
        <v>5647</v>
      </c>
    </row>
    <row r="3705" spans="2:3" hidden="1" x14ac:dyDescent="0.25">
      <c r="B3705" s="65">
        <v>35352</v>
      </c>
      <c r="C3705" t="s">
        <v>2119</v>
      </c>
    </row>
    <row r="3706" spans="2:3" hidden="1" x14ac:dyDescent="0.25">
      <c r="B3706" s="65">
        <v>35350</v>
      </c>
      <c r="C3706" t="s">
        <v>2009</v>
      </c>
    </row>
    <row r="3707" spans="2:3" hidden="1" x14ac:dyDescent="0.25">
      <c r="B3707" s="65">
        <v>35349</v>
      </c>
      <c r="C3707" t="s">
        <v>6887</v>
      </c>
    </row>
    <row r="3708" spans="2:3" hidden="1" x14ac:dyDescent="0.25">
      <c r="B3708" s="65">
        <v>35346</v>
      </c>
      <c r="C3708" t="s">
        <v>5158</v>
      </c>
    </row>
    <row r="3709" spans="2:3" hidden="1" x14ac:dyDescent="0.25">
      <c r="B3709" s="65">
        <v>35341</v>
      </c>
      <c r="C3709" t="s">
        <v>4834</v>
      </c>
    </row>
    <row r="3710" spans="2:3" hidden="1" x14ac:dyDescent="0.25">
      <c r="B3710" s="65">
        <v>35341</v>
      </c>
      <c r="C3710" t="s">
        <v>1648</v>
      </c>
    </row>
    <row r="3711" spans="2:3" hidden="1" x14ac:dyDescent="0.25">
      <c r="B3711" s="65">
        <v>35335</v>
      </c>
      <c r="C3711" t="s">
        <v>5186</v>
      </c>
    </row>
    <row r="3712" spans="2:3" hidden="1" x14ac:dyDescent="0.25">
      <c r="B3712" s="65">
        <v>35332</v>
      </c>
      <c r="C3712" t="s">
        <v>4043</v>
      </c>
    </row>
    <row r="3713" spans="2:3" hidden="1" x14ac:dyDescent="0.25">
      <c r="B3713" s="65">
        <v>35332</v>
      </c>
      <c r="C3713" t="s">
        <v>8038</v>
      </c>
    </row>
    <row r="3714" spans="2:3" hidden="1" x14ac:dyDescent="0.25">
      <c r="B3714" s="65">
        <v>35328</v>
      </c>
      <c r="C3714" t="s">
        <v>8115</v>
      </c>
    </row>
    <row r="3715" spans="2:3" hidden="1" x14ac:dyDescent="0.25">
      <c r="B3715" s="65">
        <v>35327</v>
      </c>
      <c r="C3715" t="s">
        <v>4375</v>
      </c>
    </row>
    <row r="3716" spans="2:3" hidden="1" x14ac:dyDescent="0.25">
      <c r="B3716" s="65">
        <v>35326</v>
      </c>
      <c r="C3716" t="s">
        <v>1348</v>
      </c>
    </row>
    <row r="3717" spans="2:3" hidden="1" x14ac:dyDescent="0.25">
      <c r="B3717" s="65">
        <v>35323</v>
      </c>
      <c r="C3717" t="s">
        <v>6792</v>
      </c>
    </row>
    <row r="3718" spans="2:3" hidden="1" x14ac:dyDescent="0.25">
      <c r="B3718" s="65">
        <v>35320</v>
      </c>
      <c r="C3718" t="s">
        <v>7183</v>
      </c>
    </row>
    <row r="3719" spans="2:3" hidden="1" x14ac:dyDescent="0.25">
      <c r="B3719" s="65">
        <v>35315</v>
      </c>
      <c r="C3719" t="s">
        <v>5627</v>
      </c>
    </row>
    <row r="3720" spans="2:3" hidden="1" x14ac:dyDescent="0.25">
      <c r="B3720" s="65">
        <v>35314</v>
      </c>
      <c r="C3720" t="s">
        <v>4319</v>
      </c>
    </row>
    <row r="3721" spans="2:3" hidden="1" x14ac:dyDescent="0.25">
      <c r="B3721" s="65">
        <v>35314</v>
      </c>
      <c r="C3721" t="s">
        <v>3483</v>
      </c>
    </row>
    <row r="3722" spans="2:3" hidden="1" x14ac:dyDescent="0.25">
      <c r="B3722" s="65">
        <v>35313</v>
      </c>
      <c r="C3722" t="s">
        <v>6818</v>
      </c>
    </row>
    <row r="3723" spans="2:3" hidden="1" x14ac:dyDescent="0.25">
      <c r="B3723" s="65">
        <v>35313</v>
      </c>
      <c r="C3723" t="s">
        <v>2354</v>
      </c>
    </row>
    <row r="3724" spans="2:3" hidden="1" x14ac:dyDescent="0.25">
      <c r="B3724" s="65">
        <v>35312</v>
      </c>
      <c r="C3724" t="s">
        <v>6893</v>
      </c>
    </row>
    <row r="3725" spans="2:3" hidden="1" x14ac:dyDescent="0.25">
      <c r="B3725" s="65">
        <v>35312</v>
      </c>
      <c r="C3725" t="s">
        <v>3699</v>
      </c>
    </row>
    <row r="3726" spans="2:3" hidden="1" x14ac:dyDescent="0.25">
      <c r="B3726" s="65">
        <v>35311</v>
      </c>
      <c r="C3726" t="s">
        <v>4179</v>
      </c>
    </row>
    <row r="3727" spans="2:3" hidden="1" x14ac:dyDescent="0.25">
      <c r="B3727" s="65">
        <v>35311</v>
      </c>
      <c r="C3727" t="s">
        <v>1904</v>
      </c>
    </row>
    <row r="3728" spans="2:3" hidden="1" x14ac:dyDescent="0.25">
      <c r="B3728" s="65">
        <v>35308</v>
      </c>
      <c r="C3728" t="s">
        <v>5506</v>
      </c>
    </row>
    <row r="3729" spans="2:3" hidden="1" x14ac:dyDescent="0.25">
      <c r="B3729" s="65">
        <v>35306</v>
      </c>
      <c r="C3729" t="s">
        <v>5500</v>
      </c>
    </row>
    <row r="3730" spans="2:3" hidden="1" x14ac:dyDescent="0.25">
      <c r="B3730" s="65">
        <v>35304</v>
      </c>
      <c r="C3730" t="s">
        <v>3394</v>
      </c>
    </row>
    <row r="3731" spans="2:3" hidden="1" x14ac:dyDescent="0.25">
      <c r="B3731" s="65">
        <v>35299</v>
      </c>
      <c r="C3731" t="s">
        <v>6426</v>
      </c>
    </row>
    <row r="3732" spans="2:3" hidden="1" x14ac:dyDescent="0.25">
      <c r="B3732" s="65">
        <v>35298</v>
      </c>
      <c r="C3732" t="s">
        <v>2009</v>
      </c>
    </row>
    <row r="3733" spans="2:3" hidden="1" x14ac:dyDescent="0.25">
      <c r="B3733" s="65">
        <v>35297</v>
      </c>
      <c r="C3733" t="s">
        <v>3681</v>
      </c>
    </row>
    <row r="3734" spans="2:3" hidden="1" x14ac:dyDescent="0.25">
      <c r="B3734" s="65">
        <v>35297</v>
      </c>
      <c r="C3734" t="s">
        <v>3949</v>
      </c>
    </row>
    <row r="3735" spans="2:3" hidden="1" x14ac:dyDescent="0.25">
      <c r="B3735" s="65">
        <v>35293</v>
      </c>
      <c r="C3735" t="s">
        <v>4135</v>
      </c>
    </row>
    <row r="3736" spans="2:3" hidden="1" x14ac:dyDescent="0.25">
      <c r="B3736" s="65">
        <v>35293</v>
      </c>
      <c r="C3736" t="s">
        <v>5783</v>
      </c>
    </row>
    <row r="3737" spans="2:3" hidden="1" x14ac:dyDescent="0.25">
      <c r="B3737" s="65">
        <v>35292</v>
      </c>
      <c r="C3737" t="s">
        <v>3867</v>
      </c>
    </row>
    <row r="3738" spans="2:3" hidden="1" x14ac:dyDescent="0.25">
      <c r="B3738" s="65">
        <v>35286</v>
      </c>
      <c r="C3738" t="s">
        <v>7437</v>
      </c>
    </row>
    <row r="3739" spans="2:3" hidden="1" x14ac:dyDescent="0.25">
      <c r="B3739" s="65">
        <v>35286</v>
      </c>
      <c r="C3739" t="s">
        <v>3071</v>
      </c>
    </row>
    <row r="3740" spans="2:3" hidden="1" x14ac:dyDescent="0.25">
      <c r="B3740" s="65">
        <v>35285</v>
      </c>
      <c r="C3740" t="s">
        <v>7509</v>
      </c>
    </row>
    <row r="3741" spans="2:3" hidden="1" x14ac:dyDescent="0.25">
      <c r="B3741" s="65">
        <v>35283</v>
      </c>
      <c r="C3741" t="s">
        <v>7284</v>
      </c>
    </row>
    <row r="3742" spans="2:3" hidden="1" x14ac:dyDescent="0.25">
      <c r="B3742" s="65">
        <v>35279</v>
      </c>
      <c r="C3742" t="s">
        <v>5103</v>
      </c>
    </row>
    <row r="3743" spans="2:3" hidden="1" x14ac:dyDescent="0.25">
      <c r="B3743" s="65">
        <v>35278</v>
      </c>
      <c r="C3743" t="s">
        <v>3209</v>
      </c>
    </row>
    <row r="3744" spans="2:3" hidden="1" x14ac:dyDescent="0.25">
      <c r="B3744" s="65">
        <v>35278</v>
      </c>
      <c r="C3744" t="s">
        <v>5280</v>
      </c>
    </row>
    <row r="3745" spans="2:3" hidden="1" x14ac:dyDescent="0.25">
      <c r="B3745" s="65">
        <v>35277</v>
      </c>
      <c r="C3745" t="s">
        <v>4506</v>
      </c>
    </row>
    <row r="3746" spans="2:3" hidden="1" x14ac:dyDescent="0.25">
      <c r="B3746" s="65">
        <v>35277</v>
      </c>
      <c r="C3746" t="s">
        <v>844</v>
      </c>
    </row>
    <row r="3747" spans="2:3" hidden="1" x14ac:dyDescent="0.25">
      <c r="B3747" s="65">
        <v>35276</v>
      </c>
      <c r="C3747" t="s">
        <v>6429</v>
      </c>
    </row>
    <row r="3748" spans="2:3" hidden="1" x14ac:dyDescent="0.25">
      <c r="B3748" s="65">
        <v>35276</v>
      </c>
      <c r="C3748" t="s">
        <v>7915</v>
      </c>
    </row>
    <row r="3749" spans="2:3" hidden="1" x14ac:dyDescent="0.25">
      <c r="B3749" s="65">
        <v>35275</v>
      </c>
      <c r="C3749" t="s">
        <v>960</v>
      </c>
    </row>
    <row r="3750" spans="2:3" hidden="1" x14ac:dyDescent="0.25">
      <c r="B3750" s="65">
        <v>35272</v>
      </c>
      <c r="C3750" t="s">
        <v>5969</v>
      </c>
    </row>
    <row r="3751" spans="2:3" hidden="1" x14ac:dyDescent="0.25">
      <c r="B3751" s="65">
        <v>35271</v>
      </c>
      <c r="C3751" t="s">
        <v>3699</v>
      </c>
    </row>
    <row r="3752" spans="2:3" hidden="1" x14ac:dyDescent="0.25">
      <c r="B3752" s="65">
        <v>35271</v>
      </c>
      <c r="C3752" t="s">
        <v>5766</v>
      </c>
    </row>
    <row r="3753" spans="2:3" hidden="1" x14ac:dyDescent="0.25">
      <c r="B3753" s="65">
        <v>35270</v>
      </c>
      <c r="C3753" t="s">
        <v>4674</v>
      </c>
    </row>
    <row r="3754" spans="2:3" hidden="1" x14ac:dyDescent="0.25">
      <c r="B3754" s="65">
        <v>35270</v>
      </c>
      <c r="C3754" t="s">
        <v>947</v>
      </c>
    </row>
    <row r="3755" spans="2:3" hidden="1" x14ac:dyDescent="0.25">
      <c r="B3755" s="65">
        <v>35269</v>
      </c>
      <c r="C3755" t="s">
        <v>6434</v>
      </c>
    </row>
    <row r="3756" spans="2:3" hidden="1" x14ac:dyDescent="0.25">
      <c r="B3756" s="65">
        <v>35268</v>
      </c>
      <c r="C3756" t="s">
        <v>6284</v>
      </c>
    </row>
    <row r="3757" spans="2:3" hidden="1" x14ac:dyDescent="0.25">
      <c r="B3757" s="65">
        <v>35267</v>
      </c>
      <c r="C3757" t="s">
        <v>7621</v>
      </c>
    </row>
    <row r="3758" spans="2:3" hidden="1" x14ac:dyDescent="0.25">
      <c r="B3758" s="65">
        <v>35259</v>
      </c>
      <c r="C3758" t="s">
        <v>4140</v>
      </c>
    </row>
    <row r="3759" spans="2:3" hidden="1" x14ac:dyDescent="0.25">
      <c r="B3759" s="65">
        <v>35257</v>
      </c>
      <c r="C3759" t="s">
        <v>3065</v>
      </c>
    </row>
    <row r="3760" spans="2:3" hidden="1" x14ac:dyDescent="0.25">
      <c r="B3760" s="65">
        <v>35256</v>
      </c>
      <c r="C3760" t="s">
        <v>6590</v>
      </c>
    </row>
    <row r="3761" spans="2:3" hidden="1" x14ac:dyDescent="0.25">
      <c r="B3761" s="65">
        <v>35255</v>
      </c>
      <c r="C3761" t="s">
        <v>960</v>
      </c>
    </row>
    <row r="3762" spans="2:3" hidden="1" x14ac:dyDescent="0.25">
      <c r="B3762" s="65">
        <v>35253</v>
      </c>
      <c r="C3762" t="s">
        <v>7240</v>
      </c>
    </row>
    <row r="3763" spans="2:3" hidden="1" x14ac:dyDescent="0.25">
      <c r="B3763" s="65">
        <v>35251</v>
      </c>
      <c r="C3763" t="s">
        <v>5572</v>
      </c>
    </row>
    <row r="3764" spans="2:3" hidden="1" x14ac:dyDescent="0.25">
      <c r="B3764" s="65">
        <v>35247</v>
      </c>
      <c r="C3764" t="s">
        <v>4561</v>
      </c>
    </row>
    <row r="3765" spans="2:3" hidden="1" x14ac:dyDescent="0.25">
      <c r="B3765" s="65">
        <v>35238</v>
      </c>
      <c r="C3765" t="s">
        <v>7609</v>
      </c>
    </row>
    <row r="3766" spans="2:3" hidden="1" x14ac:dyDescent="0.25">
      <c r="B3766" s="65">
        <v>35237</v>
      </c>
      <c r="C3766" t="s">
        <v>3821</v>
      </c>
    </row>
    <row r="3767" spans="2:3" hidden="1" x14ac:dyDescent="0.25">
      <c r="B3767" s="65">
        <v>35232</v>
      </c>
      <c r="C3767" t="s">
        <v>7585</v>
      </c>
    </row>
    <row r="3768" spans="2:3" hidden="1" x14ac:dyDescent="0.25">
      <c r="B3768" s="65">
        <v>35230</v>
      </c>
      <c r="C3768" t="s">
        <v>1733</v>
      </c>
    </row>
    <row r="3769" spans="2:3" hidden="1" x14ac:dyDescent="0.25">
      <c r="B3769" s="65">
        <v>35229</v>
      </c>
      <c r="C3769" t="s">
        <v>4380</v>
      </c>
    </row>
    <row r="3770" spans="2:3" hidden="1" x14ac:dyDescent="0.25">
      <c r="B3770" s="65">
        <v>35229</v>
      </c>
      <c r="C3770" t="s">
        <v>3136</v>
      </c>
    </row>
    <row r="3771" spans="2:3" hidden="1" x14ac:dyDescent="0.25">
      <c r="B3771" s="65">
        <v>35228</v>
      </c>
      <c r="C3771" t="s">
        <v>3610</v>
      </c>
    </row>
    <row r="3772" spans="2:3" hidden="1" x14ac:dyDescent="0.25">
      <c r="B3772" s="65">
        <v>35227</v>
      </c>
      <c r="C3772" t="s">
        <v>2009</v>
      </c>
    </row>
    <row r="3773" spans="2:3" hidden="1" x14ac:dyDescent="0.25">
      <c r="B3773" s="65">
        <v>35226</v>
      </c>
      <c r="C3773" t="s">
        <v>3182</v>
      </c>
    </row>
    <row r="3774" spans="2:3" hidden="1" x14ac:dyDescent="0.25">
      <c r="B3774" s="65">
        <v>35226</v>
      </c>
      <c r="C3774" t="s">
        <v>8109</v>
      </c>
    </row>
    <row r="3775" spans="2:3" hidden="1" x14ac:dyDescent="0.25">
      <c r="B3775" s="65">
        <v>35224</v>
      </c>
      <c r="C3775" t="s">
        <v>4749</v>
      </c>
    </row>
    <row r="3776" spans="2:3" hidden="1" x14ac:dyDescent="0.25">
      <c r="B3776" s="65">
        <v>35223</v>
      </c>
      <c r="C3776" t="s">
        <v>1836</v>
      </c>
    </row>
    <row r="3777" spans="2:3" hidden="1" x14ac:dyDescent="0.25">
      <c r="B3777" s="65">
        <v>35223</v>
      </c>
      <c r="C3777" t="s">
        <v>7890</v>
      </c>
    </row>
    <row r="3778" spans="2:3" hidden="1" x14ac:dyDescent="0.25">
      <c r="B3778" s="65">
        <v>35222</v>
      </c>
      <c r="C3778" t="s">
        <v>6487</v>
      </c>
    </row>
    <row r="3779" spans="2:3" hidden="1" x14ac:dyDescent="0.25">
      <c r="B3779" s="65">
        <v>35218</v>
      </c>
      <c r="C3779" t="s">
        <v>5519</v>
      </c>
    </row>
    <row r="3780" spans="2:3" hidden="1" x14ac:dyDescent="0.25">
      <c r="B3780" s="65">
        <v>35214</v>
      </c>
      <c r="C3780" t="s">
        <v>1435</v>
      </c>
    </row>
    <row r="3781" spans="2:3" hidden="1" x14ac:dyDescent="0.25">
      <c r="B3781" s="65">
        <v>35212</v>
      </c>
      <c r="C3781" t="s">
        <v>6641</v>
      </c>
    </row>
    <row r="3782" spans="2:3" hidden="1" x14ac:dyDescent="0.25">
      <c r="B3782" s="65">
        <v>35209</v>
      </c>
      <c r="C3782" t="s">
        <v>6516</v>
      </c>
    </row>
    <row r="3783" spans="2:3" hidden="1" x14ac:dyDescent="0.25">
      <c r="B3783" s="65">
        <v>35208</v>
      </c>
      <c r="C3783" t="s">
        <v>3945</v>
      </c>
    </row>
    <row r="3784" spans="2:3" hidden="1" x14ac:dyDescent="0.25">
      <c r="B3784" s="65">
        <v>35207</v>
      </c>
      <c r="C3784" t="s">
        <v>3132</v>
      </c>
    </row>
    <row r="3785" spans="2:3" hidden="1" x14ac:dyDescent="0.25">
      <c r="B3785" s="65">
        <v>35207</v>
      </c>
      <c r="C3785" t="s">
        <v>5823</v>
      </c>
    </row>
    <row r="3786" spans="2:3" hidden="1" x14ac:dyDescent="0.25">
      <c r="B3786" s="65">
        <v>35202</v>
      </c>
      <c r="C3786" t="s">
        <v>7661</v>
      </c>
    </row>
    <row r="3787" spans="2:3" hidden="1" x14ac:dyDescent="0.25">
      <c r="B3787" s="65">
        <v>35200</v>
      </c>
      <c r="C3787" t="s">
        <v>2901</v>
      </c>
    </row>
    <row r="3788" spans="2:3" hidden="1" x14ac:dyDescent="0.25">
      <c r="B3788" s="65">
        <v>35198</v>
      </c>
      <c r="C3788" t="s">
        <v>7798</v>
      </c>
    </row>
    <row r="3789" spans="2:3" hidden="1" x14ac:dyDescent="0.25">
      <c r="B3789" s="65">
        <v>35186</v>
      </c>
      <c r="C3789" t="s">
        <v>4665</v>
      </c>
    </row>
    <row r="3790" spans="2:3" hidden="1" x14ac:dyDescent="0.25">
      <c r="B3790" s="65">
        <v>35183</v>
      </c>
      <c r="C3790" t="s">
        <v>5802</v>
      </c>
    </row>
    <row r="3791" spans="2:3" hidden="1" x14ac:dyDescent="0.25">
      <c r="B3791" s="65">
        <v>35179</v>
      </c>
      <c r="C3791" t="s">
        <v>410</v>
      </c>
    </row>
    <row r="3792" spans="2:3" hidden="1" x14ac:dyDescent="0.25">
      <c r="B3792" s="65">
        <v>35179</v>
      </c>
      <c r="C3792" t="s">
        <v>2000</v>
      </c>
    </row>
    <row r="3793" spans="2:3" hidden="1" x14ac:dyDescent="0.25">
      <c r="B3793" s="65">
        <v>35177</v>
      </c>
      <c r="C3793" t="s">
        <v>4247</v>
      </c>
    </row>
    <row r="3794" spans="2:3" hidden="1" x14ac:dyDescent="0.25">
      <c r="B3794" s="65">
        <v>35177</v>
      </c>
      <c r="C3794" t="s">
        <v>5120</v>
      </c>
    </row>
    <row r="3795" spans="2:3" hidden="1" x14ac:dyDescent="0.25">
      <c r="B3795" s="65">
        <v>35177</v>
      </c>
      <c r="C3795" t="s">
        <v>779</v>
      </c>
    </row>
    <row r="3796" spans="2:3" hidden="1" x14ac:dyDescent="0.25">
      <c r="B3796" s="65">
        <v>35170</v>
      </c>
      <c r="C3796" t="s">
        <v>2769</v>
      </c>
    </row>
    <row r="3797" spans="2:3" hidden="1" x14ac:dyDescent="0.25">
      <c r="B3797" s="65">
        <v>35167</v>
      </c>
      <c r="C3797" t="s">
        <v>6171</v>
      </c>
    </row>
    <row r="3798" spans="2:3" hidden="1" x14ac:dyDescent="0.25">
      <c r="B3798" s="65">
        <v>35161</v>
      </c>
      <c r="C3798" t="s">
        <v>4777</v>
      </c>
    </row>
    <row r="3799" spans="2:3" hidden="1" x14ac:dyDescent="0.25">
      <c r="B3799" s="65">
        <v>35160</v>
      </c>
      <c r="C3799" t="s">
        <v>4607</v>
      </c>
    </row>
    <row r="3800" spans="2:3" hidden="1" x14ac:dyDescent="0.25">
      <c r="B3800" s="65">
        <v>35158</v>
      </c>
      <c r="C3800" t="s">
        <v>5750</v>
      </c>
    </row>
    <row r="3801" spans="2:3" hidden="1" x14ac:dyDescent="0.25">
      <c r="B3801" s="65">
        <v>35157</v>
      </c>
      <c r="C3801" t="s">
        <v>4470</v>
      </c>
    </row>
    <row r="3802" spans="2:3" hidden="1" x14ac:dyDescent="0.25">
      <c r="B3802" s="65">
        <v>35156</v>
      </c>
      <c r="C3802" t="s">
        <v>7175</v>
      </c>
    </row>
    <row r="3803" spans="2:3" hidden="1" x14ac:dyDescent="0.25">
      <c r="B3803" s="65">
        <v>35155</v>
      </c>
      <c r="C3803" t="s">
        <v>7162</v>
      </c>
    </row>
    <row r="3804" spans="2:3" hidden="1" x14ac:dyDescent="0.25">
      <c r="B3804" s="65">
        <v>35153</v>
      </c>
      <c r="C3804" t="s">
        <v>5048</v>
      </c>
    </row>
    <row r="3805" spans="2:3" hidden="1" x14ac:dyDescent="0.25">
      <c r="B3805" s="65">
        <v>35148</v>
      </c>
      <c r="C3805" t="s">
        <v>2945</v>
      </c>
    </row>
    <row r="3806" spans="2:3" hidden="1" x14ac:dyDescent="0.25">
      <c r="B3806" s="65">
        <v>35147</v>
      </c>
      <c r="C3806" t="s">
        <v>5832</v>
      </c>
    </row>
    <row r="3807" spans="2:3" hidden="1" x14ac:dyDescent="0.25">
      <c r="B3807" s="65">
        <v>35147</v>
      </c>
      <c r="C3807" t="s">
        <v>5985</v>
      </c>
    </row>
    <row r="3808" spans="2:3" hidden="1" x14ac:dyDescent="0.25">
      <c r="B3808" s="65">
        <v>35145</v>
      </c>
      <c r="C3808" t="s">
        <v>4230</v>
      </c>
    </row>
    <row r="3809" spans="2:3" hidden="1" x14ac:dyDescent="0.25">
      <c r="B3809" s="65">
        <v>35138</v>
      </c>
      <c r="C3809" t="s">
        <v>3881</v>
      </c>
    </row>
    <row r="3810" spans="2:3" hidden="1" x14ac:dyDescent="0.25">
      <c r="B3810" s="65">
        <v>35136</v>
      </c>
      <c r="C3810" t="s">
        <v>7451</v>
      </c>
    </row>
    <row r="3811" spans="2:3" hidden="1" x14ac:dyDescent="0.25">
      <c r="B3811" s="65">
        <v>35132</v>
      </c>
      <c r="C3811" t="s">
        <v>4290</v>
      </c>
    </row>
    <row r="3812" spans="2:3" hidden="1" x14ac:dyDescent="0.25">
      <c r="B3812" s="65">
        <v>35131</v>
      </c>
      <c r="C3812" t="s">
        <v>5777</v>
      </c>
    </row>
    <row r="3813" spans="2:3" hidden="1" x14ac:dyDescent="0.25">
      <c r="B3813" s="65">
        <v>35130</v>
      </c>
      <c r="C3813" t="s">
        <v>3610</v>
      </c>
    </row>
    <row r="3814" spans="2:3" hidden="1" x14ac:dyDescent="0.25">
      <c r="B3814" s="65">
        <v>35128</v>
      </c>
      <c r="C3814" t="s">
        <v>5030</v>
      </c>
    </row>
    <row r="3815" spans="2:3" hidden="1" x14ac:dyDescent="0.25">
      <c r="B3815" s="65">
        <v>35118</v>
      </c>
      <c r="C3815" t="s">
        <v>4084</v>
      </c>
    </row>
    <row r="3816" spans="2:3" hidden="1" x14ac:dyDescent="0.25">
      <c r="B3816" s="65">
        <v>35118</v>
      </c>
      <c r="C3816" t="s">
        <v>6633</v>
      </c>
    </row>
    <row r="3817" spans="2:3" hidden="1" x14ac:dyDescent="0.25">
      <c r="B3817" s="65">
        <v>35110</v>
      </c>
      <c r="C3817" t="s">
        <v>6988</v>
      </c>
    </row>
    <row r="3818" spans="2:3" hidden="1" x14ac:dyDescent="0.25">
      <c r="B3818" s="65">
        <v>35107</v>
      </c>
      <c r="C3818" t="s">
        <v>5388</v>
      </c>
    </row>
    <row r="3819" spans="2:3" hidden="1" x14ac:dyDescent="0.25">
      <c r="B3819" s="65">
        <v>35107</v>
      </c>
      <c r="C3819" t="s">
        <v>6628</v>
      </c>
    </row>
    <row r="3820" spans="2:3" hidden="1" x14ac:dyDescent="0.25">
      <c r="B3820" s="65">
        <v>35105</v>
      </c>
      <c r="C3820" t="s">
        <v>3334</v>
      </c>
    </row>
    <row r="3821" spans="2:3" hidden="1" x14ac:dyDescent="0.25">
      <c r="B3821" s="65">
        <v>35104</v>
      </c>
      <c r="C3821" t="s">
        <v>5593</v>
      </c>
    </row>
    <row r="3822" spans="2:3" hidden="1" x14ac:dyDescent="0.25">
      <c r="B3822" s="65">
        <v>35103</v>
      </c>
      <c r="C3822" t="s">
        <v>2186</v>
      </c>
    </row>
    <row r="3823" spans="2:3" hidden="1" x14ac:dyDescent="0.25">
      <c r="B3823" s="65">
        <v>35102</v>
      </c>
      <c r="C3823" t="s">
        <v>5212</v>
      </c>
    </row>
    <row r="3824" spans="2:3" hidden="1" x14ac:dyDescent="0.25">
      <c r="B3824" s="65">
        <v>35099</v>
      </c>
      <c r="C3824" t="s">
        <v>6530</v>
      </c>
    </row>
    <row r="3825" spans="2:3" hidden="1" x14ac:dyDescent="0.25">
      <c r="B3825" s="65">
        <v>35097</v>
      </c>
      <c r="C3825" t="s">
        <v>2954</v>
      </c>
    </row>
    <row r="3826" spans="2:3" hidden="1" x14ac:dyDescent="0.25">
      <c r="B3826" s="65">
        <v>35096</v>
      </c>
      <c r="C3826" t="s">
        <v>3245</v>
      </c>
    </row>
    <row r="3827" spans="2:3" hidden="1" x14ac:dyDescent="0.25">
      <c r="B3827" s="65">
        <v>35096</v>
      </c>
      <c r="C3827" t="s">
        <v>7189</v>
      </c>
    </row>
    <row r="3828" spans="2:3" hidden="1" x14ac:dyDescent="0.25">
      <c r="B3828" s="65">
        <v>35093</v>
      </c>
      <c r="C3828" t="s">
        <v>5120</v>
      </c>
    </row>
    <row r="3829" spans="2:3" hidden="1" x14ac:dyDescent="0.25">
      <c r="B3829" s="65">
        <v>35093</v>
      </c>
      <c r="C3829" t="s">
        <v>670</v>
      </c>
    </row>
    <row r="3830" spans="2:3" hidden="1" x14ac:dyDescent="0.25">
      <c r="B3830" s="65">
        <v>35091</v>
      </c>
      <c r="C3830" t="s">
        <v>6373</v>
      </c>
    </row>
    <row r="3831" spans="2:3" hidden="1" x14ac:dyDescent="0.25">
      <c r="B3831" s="65">
        <v>35075</v>
      </c>
      <c r="C3831" t="s">
        <v>4019</v>
      </c>
    </row>
    <row r="3832" spans="2:3" hidden="1" x14ac:dyDescent="0.25">
      <c r="B3832" s="65">
        <v>35074</v>
      </c>
      <c r="C3832" t="s">
        <v>4003</v>
      </c>
    </row>
    <row r="3833" spans="2:3" hidden="1" x14ac:dyDescent="0.25">
      <c r="B3833" s="65">
        <v>35074</v>
      </c>
      <c r="C3833" t="s">
        <v>838</v>
      </c>
    </row>
    <row r="3834" spans="2:3" hidden="1" x14ac:dyDescent="0.25">
      <c r="B3834" s="65">
        <v>35073</v>
      </c>
      <c r="C3834" t="s">
        <v>844</v>
      </c>
    </row>
    <row r="3835" spans="2:3" hidden="1" x14ac:dyDescent="0.25">
      <c r="B3835" s="65">
        <v>35068</v>
      </c>
      <c r="C3835" t="s">
        <v>3852</v>
      </c>
    </row>
    <row r="3836" spans="2:3" hidden="1" x14ac:dyDescent="0.25">
      <c r="B3836" s="65">
        <v>35068</v>
      </c>
      <c r="C3836" t="s">
        <v>954</v>
      </c>
    </row>
    <row r="3837" spans="2:3" hidden="1" x14ac:dyDescent="0.25">
      <c r="B3837" s="65">
        <v>35062</v>
      </c>
      <c r="C3837" t="s">
        <v>5772</v>
      </c>
    </row>
    <row r="3838" spans="2:3" hidden="1" x14ac:dyDescent="0.25">
      <c r="B3838" s="65">
        <v>35062</v>
      </c>
      <c r="C3838" t="s">
        <v>6730</v>
      </c>
    </row>
    <row r="3839" spans="2:3" hidden="1" x14ac:dyDescent="0.25">
      <c r="B3839" s="65">
        <v>35061</v>
      </c>
      <c r="C3839" t="s">
        <v>5572</v>
      </c>
    </row>
    <row r="3840" spans="2:3" hidden="1" x14ac:dyDescent="0.25">
      <c r="B3840" s="65">
        <v>35060</v>
      </c>
      <c r="C3840" t="s">
        <v>4843</v>
      </c>
    </row>
    <row r="3841" spans="2:3" hidden="1" x14ac:dyDescent="0.25">
      <c r="B3841" s="65">
        <v>35057</v>
      </c>
      <c r="C3841" t="s">
        <v>5610</v>
      </c>
    </row>
    <row r="3842" spans="2:3" hidden="1" x14ac:dyDescent="0.25">
      <c r="B3842" s="65">
        <v>35054</v>
      </c>
      <c r="C3842" t="s">
        <v>4078</v>
      </c>
    </row>
    <row r="3843" spans="2:3" hidden="1" x14ac:dyDescent="0.25">
      <c r="B3843" s="65">
        <v>35053</v>
      </c>
      <c r="C3843" t="s">
        <v>4426</v>
      </c>
    </row>
    <row r="3844" spans="2:3" hidden="1" x14ac:dyDescent="0.25">
      <c r="B3844" s="65">
        <v>35053</v>
      </c>
      <c r="C3844" t="s">
        <v>6233</v>
      </c>
    </row>
    <row r="3845" spans="2:3" hidden="1" x14ac:dyDescent="0.25">
      <c r="B3845" s="65">
        <v>35051</v>
      </c>
      <c r="C3845" t="s">
        <v>5180</v>
      </c>
    </row>
    <row r="3846" spans="2:3" hidden="1" x14ac:dyDescent="0.25">
      <c r="B3846" s="65">
        <v>35040</v>
      </c>
      <c r="C3846" t="s">
        <v>3439</v>
      </c>
    </row>
    <row r="3847" spans="2:3" hidden="1" x14ac:dyDescent="0.25">
      <c r="B3847" s="65">
        <v>35038</v>
      </c>
      <c r="C3847" t="s">
        <v>4274</v>
      </c>
    </row>
    <row r="3848" spans="2:3" hidden="1" x14ac:dyDescent="0.25">
      <c r="B3848" s="65">
        <v>35038</v>
      </c>
      <c r="C3848" t="s">
        <v>2777</v>
      </c>
    </row>
    <row r="3849" spans="2:3" hidden="1" x14ac:dyDescent="0.25">
      <c r="B3849" s="65">
        <v>35037</v>
      </c>
      <c r="C3849" t="s">
        <v>3690</v>
      </c>
    </row>
    <row r="3850" spans="2:3" hidden="1" x14ac:dyDescent="0.25">
      <c r="B3850" s="65">
        <v>35035</v>
      </c>
      <c r="C3850" t="s">
        <v>6027</v>
      </c>
    </row>
    <row r="3851" spans="2:3" hidden="1" x14ac:dyDescent="0.25">
      <c r="B3851" s="65">
        <v>35035</v>
      </c>
      <c r="C3851" t="s">
        <v>4140</v>
      </c>
    </row>
    <row r="3852" spans="2:3" hidden="1" x14ac:dyDescent="0.25">
      <c r="B3852" s="65">
        <v>35032</v>
      </c>
      <c r="C3852" t="s">
        <v>988</v>
      </c>
    </row>
    <row r="3853" spans="2:3" hidden="1" x14ac:dyDescent="0.25">
      <c r="B3853" s="65">
        <v>35032</v>
      </c>
      <c r="C3853" t="s">
        <v>6230</v>
      </c>
    </row>
    <row r="3854" spans="2:3" hidden="1" x14ac:dyDescent="0.25">
      <c r="B3854" s="65">
        <v>35031</v>
      </c>
      <c r="C3854" t="s">
        <v>4627</v>
      </c>
    </row>
    <row r="3855" spans="2:3" hidden="1" x14ac:dyDescent="0.25">
      <c r="B3855" s="65">
        <v>35031</v>
      </c>
      <c r="C3855" t="s">
        <v>7054</v>
      </c>
    </row>
    <row r="3856" spans="2:3" hidden="1" x14ac:dyDescent="0.25">
      <c r="B3856" s="65">
        <v>35030</v>
      </c>
      <c r="C3856" t="s">
        <v>5690</v>
      </c>
    </row>
    <row r="3857" spans="2:3" hidden="1" x14ac:dyDescent="0.25">
      <c r="B3857" s="65">
        <v>35027</v>
      </c>
      <c r="C3857" t="s">
        <v>7817</v>
      </c>
    </row>
    <row r="3858" spans="2:3" hidden="1" x14ac:dyDescent="0.25">
      <c r="B3858" s="65">
        <v>35026</v>
      </c>
      <c r="C3858" t="s">
        <v>5045</v>
      </c>
    </row>
    <row r="3859" spans="2:3" hidden="1" x14ac:dyDescent="0.25">
      <c r="B3859" s="65">
        <v>35026</v>
      </c>
      <c r="C3859" t="s">
        <v>5433</v>
      </c>
    </row>
    <row r="3860" spans="2:3" hidden="1" x14ac:dyDescent="0.25">
      <c r="B3860" s="65">
        <v>35022</v>
      </c>
      <c r="C3860" t="s">
        <v>1813</v>
      </c>
    </row>
    <row r="3861" spans="2:3" hidden="1" x14ac:dyDescent="0.25">
      <c r="B3861" s="65">
        <v>35018</v>
      </c>
      <c r="C3861" t="s">
        <v>4237</v>
      </c>
    </row>
    <row r="3862" spans="2:3" hidden="1" x14ac:dyDescent="0.25">
      <c r="B3862" s="65">
        <v>35015</v>
      </c>
      <c r="C3862" t="s">
        <v>5927</v>
      </c>
    </row>
    <row r="3863" spans="2:3" hidden="1" x14ac:dyDescent="0.25">
      <c r="B3863" s="65">
        <v>35011</v>
      </c>
      <c r="C3863" t="s">
        <v>6844</v>
      </c>
    </row>
    <row r="3864" spans="2:3" hidden="1" x14ac:dyDescent="0.25">
      <c r="B3864" s="65">
        <v>35009</v>
      </c>
      <c r="C3864" t="s">
        <v>4678</v>
      </c>
    </row>
    <row r="3865" spans="2:3" hidden="1" x14ac:dyDescent="0.25">
      <c r="B3865" s="65">
        <v>35006</v>
      </c>
      <c r="C3865" t="s">
        <v>5292</v>
      </c>
    </row>
    <row r="3866" spans="2:3" hidden="1" x14ac:dyDescent="0.25">
      <c r="B3866" s="65">
        <v>35006</v>
      </c>
      <c r="C3866" t="s">
        <v>6502</v>
      </c>
    </row>
    <row r="3867" spans="2:3" hidden="1" x14ac:dyDescent="0.25">
      <c r="B3867" s="65">
        <v>35004</v>
      </c>
      <c r="C3867" t="s">
        <v>4811</v>
      </c>
    </row>
    <row r="3868" spans="2:3" hidden="1" x14ac:dyDescent="0.25">
      <c r="B3868" s="65">
        <v>34998</v>
      </c>
      <c r="C3868" t="s">
        <v>6006</v>
      </c>
    </row>
    <row r="3869" spans="2:3" hidden="1" x14ac:dyDescent="0.25">
      <c r="B3869" s="65">
        <v>34995</v>
      </c>
      <c r="C3869" t="s">
        <v>5137</v>
      </c>
    </row>
    <row r="3870" spans="2:3" hidden="1" x14ac:dyDescent="0.25">
      <c r="B3870" s="65">
        <v>34993</v>
      </c>
      <c r="C3870" t="s">
        <v>4460</v>
      </c>
    </row>
    <row r="3871" spans="2:3" hidden="1" x14ac:dyDescent="0.25">
      <c r="B3871" s="65">
        <v>34990</v>
      </c>
      <c r="C3871" t="s">
        <v>7627</v>
      </c>
    </row>
    <row r="3872" spans="2:3" hidden="1" x14ac:dyDescent="0.25">
      <c r="B3872" s="65">
        <v>34986</v>
      </c>
      <c r="C3872" t="s">
        <v>7107</v>
      </c>
    </row>
    <row r="3873" spans="2:3" hidden="1" x14ac:dyDescent="0.25">
      <c r="B3873" s="65">
        <v>34985</v>
      </c>
      <c r="C3873" t="s">
        <v>4214</v>
      </c>
    </row>
    <row r="3874" spans="2:3" hidden="1" x14ac:dyDescent="0.25">
      <c r="B3874" s="65">
        <v>34984</v>
      </c>
      <c r="C3874" t="s">
        <v>5703</v>
      </c>
    </row>
    <row r="3875" spans="2:3" hidden="1" x14ac:dyDescent="0.25">
      <c r="B3875" s="65">
        <v>34979</v>
      </c>
      <c r="C3875" t="s">
        <v>8062</v>
      </c>
    </row>
    <row r="3876" spans="2:3" hidden="1" x14ac:dyDescent="0.25">
      <c r="B3876" s="65">
        <v>34978</v>
      </c>
      <c r="C3876" t="s">
        <v>4327</v>
      </c>
    </row>
    <row r="3877" spans="2:3" hidden="1" x14ac:dyDescent="0.25">
      <c r="B3877" s="65">
        <v>34973</v>
      </c>
      <c r="C3877" t="s">
        <v>4420</v>
      </c>
    </row>
    <row r="3878" spans="2:3" hidden="1" x14ac:dyDescent="0.25">
      <c r="B3878" s="65">
        <v>34967</v>
      </c>
      <c r="C3878" t="s">
        <v>7316</v>
      </c>
    </row>
    <row r="3879" spans="2:3" hidden="1" x14ac:dyDescent="0.25">
      <c r="B3879" s="65">
        <v>34962</v>
      </c>
      <c r="C3879" t="s">
        <v>5020</v>
      </c>
    </row>
    <row r="3880" spans="2:3" hidden="1" x14ac:dyDescent="0.25">
      <c r="B3880" s="65">
        <v>34960</v>
      </c>
      <c r="C3880" t="s">
        <v>4307</v>
      </c>
    </row>
    <row r="3881" spans="2:3" hidden="1" x14ac:dyDescent="0.25">
      <c r="B3881" s="65">
        <v>34958</v>
      </c>
      <c r="C3881" t="s">
        <v>696</v>
      </c>
    </row>
    <row r="3882" spans="2:3" hidden="1" x14ac:dyDescent="0.25">
      <c r="B3882" s="65">
        <v>34953</v>
      </c>
      <c r="C3882" t="s">
        <v>3339</v>
      </c>
    </row>
    <row r="3883" spans="2:3" hidden="1" x14ac:dyDescent="0.25">
      <c r="B3883" s="65">
        <v>34949</v>
      </c>
      <c r="C3883" t="s">
        <v>3962</v>
      </c>
    </row>
    <row r="3884" spans="2:3" hidden="1" x14ac:dyDescent="0.25">
      <c r="B3884" s="65">
        <v>34944</v>
      </c>
      <c r="C3884" t="s">
        <v>1869</v>
      </c>
    </row>
    <row r="3885" spans="2:3" hidden="1" x14ac:dyDescent="0.25">
      <c r="B3885" s="65">
        <v>34942</v>
      </c>
      <c r="C3885" t="s">
        <v>7209</v>
      </c>
    </row>
    <row r="3886" spans="2:3" hidden="1" x14ac:dyDescent="0.25">
      <c r="B3886" s="65">
        <v>34938</v>
      </c>
      <c r="C3886" t="s">
        <v>6681</v>
      </c>
    </row>
    <row r="3887" spans="2:3" hidden="1" x14ac:dyDescent="0.25">
      <c r="B3887" s="65">
        <v>34935</v>
      </c>
      <c r="C3887" t="s">
        <v>3933</v>
      </c>
    </row>
    <row r="3888" spans="2:3" hidden="1" x14ac:dyDescent="0.25">
      <c r="B3888" s="65">
        <v>34935</v>
      </c>
      <c r="C3888" t="s">
        <v>5972</v>
      </c>
    </row>
    <row r="3889" spans="2:3" hidden="1" x14ac:dyDescent="0.25">
      <c r="B3889" s="65">
        <v>34935</v>
      </c>
      <c r="C3889" t="s">
        <v>954</v>
      </c>
    </row>
    <row r="3890" spans="2:3" hidden="1" x14ac:dyDescent="0.25">
      <c r="B3890" s="65">
        <v>34934</v>
      </c>
      <c r="C3890" t="s">
        <v>5333</v>
      </c>
    </row>
    <row r="3891" spans="2:3" hidden="1" x14ac:dyDescent="0.25">
      <c r="B3891" s="65">
        <v>34928</v>
      </c>
      <c r="C3891" t="s">
        <v>2009</v>
      </c>
    </row>
    <row r="3892" spans="2:3" hidden="1" x14ac:dyDescent="0.25">
      <c r="B3892" s="65">
        <v>34923</v>
      </c>
      <c r="C3892" t="s">
        <v>4797</v>
      </c>
    </row>
    <row r="3893" spans="2:3" hidden="1" x14ac:dyDescent="0.25">
      <c r="B3893" s="65">
        <v>34920</v>
      </c>
      <c r="C3893" t="s">
        <v>152</v>
      </c>
    </row>
    <row r="3894" spans="2:3" hidden="1" x14ac:dyDescent="0.25">
      <c r="B3894" s="65">
        <v>34920</v>
      </c>
      <c r="C3894" t="s">
        <v>1648</v>
      </c>
    </row>
    <row r="3895" spans="2:3" hidden="1" x14ac:dyDescent="0.25">
      <c r="B3895" s="65">
        <v>34919</v>
      </c>
      <c r="C3895" t="s">
        <v>2542</v>
      </c>
    </row>
    <row r="3896" spans="2:3" hidden="1" x14ac:dyDescent="0.25">
      <c r="B3896" s="65">
        <v>34918</v>
      </c>
      <c r="C3896" t="s">
        <v>7050</v>
      </c>
    </row>
    <row r="3897" spans="2:3" hidden="1" x14ac:dyDescent="0.25">
      <c r="B3897" s="65">
        <v>34916</v>
      </c>
      <c r="C3897" t="s">
        <v>3422</v>
      </c>
    </row>
    <row r="3898" spans="2:3" hidden="1" x14ac:dyDescent="0.25">
      <c r="B3898" s="65">
        <v>34911</v>
      </c>
      <c r="C3898" t="s">
        <v>7486</v>
      </c>
    </row>
    <row r="3899" spans="2:3" hidden="1" x14ac:dyDescent="0.25">
      <c r="B3899" s="65">
        <v>34908</v>
      </c>
      <c r="C3899" t="s">
        <v>410</v>
      </c>
    </row>
    <row r="3900" spans="2:3" hidden="1" x14ac:dyDescent="0.25">
      <c r="B3900" s="65">
        <v>34896</v>
      </c>
      <c r="C3900" t="s">
        <v>7102</v>
      </c>
    </row>
    <row r="3901" spans="2:3" hidden="1" x14ac:dyDescent="0.25">
      <c r="B3901" s="65">
        <v>34893</v>
      </c>
      <c r="C3901" t="s">
        <v>4091</v>
      </c>
    </row>
    <row r="3902" spans="2:3" hidden="1" x14ac:dyDescent="0.25">
      <c r="B3902" s="65">
        <v>34893</v>
      </c>
      <c r="C3902" t="s">
        <v>6919</v>
      </c>
    </row>
    <row r="3903" spans="2:3" hidden="1" x14ac:dyDescent="0.25">
      <c r="B3903" s="65">
        <v>34884</v>
      </c>
      <c r="C3903" t="s">
        <v>3227</v>
      </c>
    </row>
    <row r="3904" spans="2:3" hidden="1" x14ac:dyDescent="0.25">
      <c r="B3904" s="65">
        <v>34884</v>
      </c>
      <c r="C3904" t="s">
        <v>8049</v>
      </c>
    </row>
    <row r="3905" spans="2:3" hidden="1" x14ac:dyDescent="0.25">
      <c r="B3905" s="65">
        <v>34879</v>
      </c>
      <c r="C3905" t="s">
        <v>4146</v>
      </c>
    </row>
    <row r="3906" spans="2:3" hidden="1" x14ac:dyDescent="0.25">
      <c r="B3906" s="65">
        <v>34875</v>
      </c>
      <c r="C3906" t="s">
        <v>3640</v>
      </c>
    </row>
    <row r="3907" spans="2:3" hidden="1" x14ac:dyDescent="0.25">
      <c r="B3907" s="65">
        <v>34873</v>
      </c>
      <c r="C3907" t="s">
        <v>6099</v>
      </c>
    </row>
    <row r="3908" spans="2:3" hidden="1" x14ac:dyDescent="0.25">
      <c r="B3908" s="65">
        <v>34871</v>
      </c>
      <c r="C3908" t="s">
        <v>4521</v>
      </c>
    </row>
    <row r="3909" spans="2:3" hidden="1" x14ac:dyDescent="0.25">
      <c r="B3909" s="65">
        <v>34865</v>
      </c>
      <c r="C3909" t="s">
        <v>3413</v>
      </c>
    </row>
    <row r="3910" spans="2:3" hidden="1" x14ac:dyDescent="0.25">
      <c r="B3910" s="65">
        <v>34858</v>
      </c>
      <c r="C3910" t="s">
        <v>8066</v>
      </c>
    </row>
    <row r="3911" spans="2:3" hidden="1" x14ac:dyDescent="0.25">
      <c r="B3911" s="65">
        <v>34856</v>
      </c>
      <c r="C3911" t="s">
        <v>3890</v>
      </c>
    </row>
    <row r="3912" spans="2:3" hidden="1" x14ac:dyDescent="0.25">
      <c r="B3912" s="65">
        <v>34853</v>
      </c>
      <c r="C3912" t="s">
        <v>3753</v>
      </c>
    </row>
    <row r="3913" spans="2:3" hidden="1" x14ac:dyDescent="0.25">
      <c r="B3913" s="65">
        <v>34853</v>
      </c>
      <c r="C3913" t="s">
        <v>7010</v>
      </c>
    </row>
    <row r="3914" spans="2:3" hidden="1" x14ac:dyDescent="0.25">
      <c r="B3914" s="65">
        <v>34852</v>
      </c>
      <c r="C3914" t="s">
        <v>4797</v>
      </c>
    </row>
    <row r="3915" spans="2:3" hidden="1" x14ac:dyDescent="0.25">
      <c r="B3915" s="65">
        <v>34852</v>
      </c>
      <c r="C3915" t="s">
        <v>416</v>
      </c>
    </row>
    <row r="3916" spans="2:3" hidden="1" x14ac:dyDescent="0.25">
      <c r="B3916" s="65">
        <v>34851</v>
      </c>
      <c r="C3916" t="s">
        <v>5466</v>
      </c>
    </row>
    <row r="3917" spans="2:3" hidden="1" x14ac:dyDescent="0.25">
      <c r="B3917" s="65">
        <v>34848</v>
      </c>
      <c r="C3917" t="s">
        <v>2360</v>
      </c>
    </row>
    <row r="3918" spans="2:3" hidden="1" x14ac:dyDescent="0.25">
      <c r="B3918" s="65">
        <v>34846</v>
      </c>
      <c r="C3918" t="s">
        <v>3933</v>
      </c>
    </row>
    <row r="3919" spans="2:3" hidden="1" x14ac:dyDescent="0.25">
      <c r="B3919" s="65">
        <v>34845</v>
      </c>
      <c r="C3919" t="s">
        <v>6646</v>
      </c>
    </row>
    <row r="3920" spans="2:3" hidden="1" x14ac:dyDescent="0.25">
      <c r="B3920" s="65">
        <v>34833</v>
      </c>
      <c r="C3920" t="s">
        <v>6356</v>
      </c>
    </row>
    <row r="3921" spans="2:3" hidden="1" x14ac:dyDescent="0.25">
      <c r="B3921" s="65">
        <v>34825</v>
      </c>
      <c r="C3921" t="s">
        <v>5165</v>
      </c>
    </row>
    <row r="3922" spans="2:3" hidden="1" x14ac:dyDescent="0.25">
      <c r="B3922" s="65">
        <v>34824</v>
      </c>
      <c r="C3922" t="s">
        <v>4838</v>
      </c>
    </row>
    <row r="3923" spans="2:3" hidden="1" x14ac:dyDescent="0.25">
      <c r="B3923" s="65">
        <v>34822</v>
      </c>
      <c r="C3923" t="s">
        <v>6787</v>
      </c>
    </row>
    <row r="3924" spans="2:3" hidden="1" x14ac:dyDescent="0.25">
      <c r="B3924" s="65">
        <v>34822</v>
      </c>
      <c r="C3924" t="s">
        <v>834</v>
      </c>
    </row>
    <row r="3925" spans="2:3" hidden="1" x14ac:dyDescent="0.25">
      <c r="B3925" s="65">
        <v>34814</v>
      </c>
      <c r="C3925" t="s">
        <v>2286</v>
      </c>
    </row>
    <row r="3926" spans="2:3" hidden="1" x14ac:dyDescent="0.25">
      <c r="B3926" s="65">
        <v>34812</v>
      </c>
      <c r="C3926" t="s">
        <v>3860</v>
      </c>
    </row>
    <row r="3927" spans="2:3" hidden="1" x14ac:dyDescent="0.25">
      <c r="B3927" s="65">
        <v>34811</v>
      </c>
      <c r="C3927" t="s">
        <v>5318</v>
      </c>
    </row>
    <row r="3928" spans="2:3" hidden="1" x14ac:dyDescent="0.25">
      <c r="B3928" s="65">
        <v>34804</v>
      </c>
      <c r="C3928" t="s">
        <v>8239</v>
      </c>
    </row>
    <row r="3929" spans="2:3" hidden="1" x14ac:dyDescent="0.25">
      <c r="B3929" s="65">
        <v>34799</v>
      </c>
      <c r="C3929" t="s">
        <v>7836</v>
      </c>
    </row>
    <row r="3930" spans="2:3" hidden="1" x14ac:dyDescent="0.25">
      <c r="B3930" s="65">
        <v>34797</v>
      </c>
      <c r="C3930" t="s">
        <v>3830</v>
      </c>
    </row>
    <row r="3931" spans="2:3" hidden="1" x14ac:dyDescent="0.25">
      <c r="B3931" s="65">
        <v>34794</v>
      </c>
      <c r="C3931" t="s">
        <v>5438</v>
      </c>
    </row>
    <row r="3932" spans="2:3" hidden="1" x14ac:dyDescent="0.25">
      <c r="B3932" s="65">
        <v>34790</v>
      </c>
      <c r="C3932" t="s">
        <v>3936</v>
      </c>
    </row>
    <row r="3933" spans="2:3" hidden="1" x14ac:dyDescent="0.25">
      <c r="B3933" s="65">
        <v>34787</v>
      </c>
      <c r="C3933" t="s">
        <v>7385</v>
      </c>
    </row>
    <row r="3934" spans="2:3" hidden="1" x14ac:dyDescent="0.25">
      <c r="B3934" s="65">
        <v>34785</v>
      </c>
      <c r="C3934" t="s">
        <v>7429</v>
      </c>
    </row>
    <row r="3935" spans="2:3" hidden="1" x14ac:dyDescent="0.25">
      <c r="B3935" s="65">
        <v>34785</v>
      </c>
      <c r="C3935" t="s">
        <v>1733</v>
      </c>
    </row>
    <row r="3936" spans="2:3" hidden="1" x14ac:dyDescent="0.25">
      <c r="B3936" s="65">
        <v>34776</v>
      </c>
      <c r="C3936" t="s">
        <v>3895</v>
      </c>
    </row>
    <row r="3937" spans="2:3" hidden="1" x14ac:dyDescent="0.25">
      <c r="B3937" s="65">
        <v>34774</v>
      </c>
      <c r="C3937" t="s">
        <v>3787</v>
      </c>
    </row>
    <row r="3938" spans="2:3" hidden="1" x14ac:dyDescent="0.25">
      <c r="B3938" s="65">
        <v>34773</v>
      </c>
      <c r="C3938" t="s">
        <v>3120</v>
      </c>
    </row>
    <row r="3939" spans="2:3" hidden="1" x14ac:dyDescent="0.25">
      <c r="B3939" s="65">
        <v>34768</v>
      </c>
      <c r="C3939" t="s">
        <v>7152</v>
      </c>
    </row>
    <row r="3940" spans="2:3" hidden="1" x14ac:dyDescent="0.25">
      <c r="B3940" s="65">
        <v>34766</v>
      </c>
      <c r="C3940" t="s">
        <v>6072</v>
      </c>
    </row>
    <row r="3941" spans="2:3" hidden="1" x14ac:dyDescent="0.25">
      <c r="B3941" s="65">
        <v>34766</v>
      </c>
      <c r="C3941" t="s">
        <v>7831</v>
      </c>
    </row>
    <row r="3942" spans="2:3" hidden="1" x14ac:dyDescent="0.25">
      <c r="B3942" s="65">
        <v>34764</v>
      </c>
      <c r="C3942" t="s">
        <v>3971</v>
      </c>
    </row>
    <row r="3943" spans="2:3" hidden="1" x14ac:dyDescent="0.25">
      <c r="B3943" s="65">
        <v>34755</v>
      </c>
      <c r="C3943" t="s">
        <v>7556</v>
      </c>
    </row>
    <row r="3944" spans="2:3" hidden="1" x14ac:dyDescent="0.25">
      <c r="B3944" s="65">
        <v>34754</v>
      </c>
      <c r="C3944" t="s">
        <v>960</v>
      </c>
    </row>
    <row r="3945" spans="2:3" hidden="1" x14ac:dyDescent="0.25">
      <c r="B3945" s="65">
        <v>34749</v>
      </c>
      <c r="C3945" t="s">
        <v>6726</v>
      </c>
    </row>
    <row r="3946" spans="2:3" hidden="1" x14ac:dyDescent="0.25">
      <c r="B3946" s="65">
        <v>34746</v>
      </c>
      <c r="C3946" t="s">
        <v>5418</v>
      </c>
    </row>
    <row r="3947" spans="2:3" hidden="1" x14ac:dyDescent="0.25">
      <c r="B3947" s="65">
        <v>34734</v>
      </c>
      <c r="C3947" t="s">
        <v>6867</v>
      </c>
    </row>
    <row r="3948" spans="2:3" hidden="1" x14ac:dyDescent="0.25">
      <c r="B3948" s="65">
        <v>34733</v>
      </c>
      <c r="C3948" t="s">
        <v>3550</v>
      </c>
    </row>
    <row r="3949" spans="2:3" hidden="1" x14ac:dyDescent="0.25">
      <c r="B3949" s="65">
        <v>34732</v>
      </c>
      <c r="C3949" t="s">
        <v>4583</v>
      </c>
    </row>
    <row r="3950" spans="2:3" hidden="1" x14ac:dyDescent="0.25">
      <c r="B3950" s="65">
        <v>34731</v>
      </c>
      <c r="C3950" t="s">
        <v>3298</v>
      </c>
    </row>
    <row r="3951" spans="2:3" hidden="1" x14ac:dyDescent="0.25">
      <c r="B3951" s="65">
        <v>34731</v>
      </c>
      <c r="C3951" t="s">
        <v>2722</v>
      </c>
    </row>
    <row r="3952" spans="2:3" hidden="1" x14ac:dyDescent="0.25">
      <c r="B3952" s="65">
        <v>34725</v>
      </c>
      <c r="C3952" t="s">
        <v>5231</v>
      </c>
    </row>
    <row r="3953" spans="2:3" hidden="1" x14ac:dyDescent="0.25">
      <c r="B3953" s="65">
        <v>34718</v>
      </c>
      <c r="C3953" t="s">
        <v>7233</v>
      </c>
    </row>
    <row r="3954" spans="2:3" hidden="1" x14ac:dyDescent="0.25">
      <c r="B3954" s="65">
        <v>34716</v>
      </c>
      <c r="C3954" t="s">
        <v>7088</v>
      </c>
    </row>
    <row r="3955" spans="2:3" hidden="1" x14ac:dyDescent="0.25">
      <c r="B3955" s="65">
        <v>34712</v>
      </c>
      <c r="C3955" t="s">
        <v>2836</v>
      </c>
    </row>
    <row r="3956" spans="2:3" hidden="1" x14ac:dyDescent="0.25">
      <c r="B3956" s="65">
        <v>34711</v>
      </c>
      <c r="C3956" t="s">
        <v>7839</v>
      </c>
    </row>
    <row r="3957" spans="2:3" hidden="1" x14ac:dyDescent="0.25">
      <c r="B3957" s="65">
        <v>34710</v>
      </c>
      <c r="C3957" t="s">
        <v>8200</v>
      </c>
    </row>
    <row r="3958" spans="2:3" hidden="1" x14ac:dyDescent="0.25">
      <c r="B3958" s="65">
        <v>34707</v>
      </c>
      <c r="C3958" t="s">
        <v>4274</v>
      </c>
    </row>
    <row r="3959" spans="2:3" hidden="1" x14ac:dyDescent="0.25">
      <c r="B3959" s="65">
        <v>34704</v>
      </c>
      <c r="C3959" t="s">
        <v>2222</v>
      </c>
    </row>
    <row r="3960" spans="2:3" hidden="1" x14ac:dyDescent="0.25">
      <c r="B3960" s="65">
        <v>34702</v>
      </c>
      <c r="C3960" t="s">
        <v>5583</v>
      </c>
    </row>
    <row r="3961" spans="2:3" hidden="1" x14ac:dyDescent="0.25">
      <c r="B3961" s="65">
        <v>34695</v>
      </c>
      <c r="C3961" t="s">
        <v>4483</v>
      </c>
    </row>
    <row r="3962" spans="2:3" hidden="1" x14ac:dyDescent="0.25">
      <c r="B3962" s="65">
        <v>34692</v>
      </c>
      <c r="C3962" t="s">
        <v>3065</v>
      </c>
    </row>
    <row r="3963" spans="2:3" hidden="1" x14ac:dyDescent="0.25">
      <c r="B3963" s="65">
        <v>34679</v>
      </c>
      <c r="C3963" t="s">
        <v>4911</v>
      </c>
    </row>
    <row r="3964" spans="2:3" hidden="1" x14ac:dyDescent="0.25">
      <c r="B3964" s="65">
        <v>34676</v>
      </c>
      <c r="C3964" t="s">
        <v>3102</v>
      </c>
    </row>
    <row r="3965" spans="2:3" hidden="1" x14ac:dyDescent="0.25">
      <c r="B3965" s="65">
        <v>34669</v>
      </c>
      <c r="C3965" t="s">
        <v>2009</v>
      </c>
    </row>
    <row r="3966" spans="2:3" hidden="1" x14ac:dyDescent="0.25">
      <c r="B3966" s="65">
        <v>34667</v>
      </c>
      <c r="C3966" t="s">
        <v>3467</v>
      </c>
    </row>
    <row r="3967" spans="2:3" hidden="1" x14ac:dyDescent="0.25">
      <c r="B3967" s="65">
        <v>34665</v>
      </c>
      <c r="C3967" t="s">
        <v>46</v>
      </c>
    </row>
    <row r="3968" spans="2:3" hidden="1" x14ac:dyDescent="0.25">
      <c r="B3968" s="65">
        <v>34663</v>
      </c>
      <c r="C3968" t="s">
        <v>5300</v>
      </c>
    </row>
    <row r="3969" spans="2:3" hidden="1" x14ac:dyDescent="0.25">
      <c r="B3969" s="65">
        <v>34662</v>
      </c>
      <c r="C3969" t="s">
        <v>4315</v>
      </c>
    </row>
    <row r="3970" spans="2:3" hidden="1" x14ac:dyDescent="0.25">
      <c r="B3970" s="65">
        <v>34661</v>
      </c>
      <c r="C3970" t="s">
        <v>5769</v>
      </c>
    </row>
    <row r="3971" spans="2:3" hidden="1" x14ac:dyDescent="0.25">
      <c r="B3971" s="65">
        <v>34660</v>
      </c>
      <c r="C3971" t="s">
        <v>4873</v>
      </c>
    </row>
    <row r="3972" spans="2:3" hidden="1" x14ac:dyDescent="0.25">
      <c r="B3972" s="65">
        <v>34660</v>
      </c>
      <c r="C3972" t="s">
        <v>7828</v>
      </c>
    </row>
    <row r="3973" spans="2:3" hidden="1" x14ac:dyDescent="0.25">
      <c r="B3973" s="65">
        <v>34657</v>
      </c>
      <c r="C3973" t="s">
        <v>5878</v>
      </c>
    </row>
    <row r="3974" spans="2:3" hidden="1" x14ac:dyDescent="0.25">
      <c r="B3974" s="65">
        <v>34656</v>
      </c>
      <c r="C3974" t="s">
        <v>7244</v>
      </c>
    </row>
    <row r="3975" spans="2:3" hidden="1" x14ac:dyDescent="0.25">
      <c r="B3975" s="65">
        <v>34654</v>
      </c>
      <c r="C3975" t="s">
        <v>5393</v>
      </c>
    </row>
    <row r="3976" spans="2:3" hidden="1" x14ac:dyDescent="0.25">
      <c r="B3976" s="65">
        <v>34648</v>
      </c>
      <c r="C3976" t="s">
        <v>2009</v>
      </c>
    </row>
    <row r="3977" spans="2:3" hidden="1" x14ac:dyDescent="0.25">
      <c r="B3977" s="65">
        <v>34647</v>
      </c>
      <c r="C3977" t="s">
        <v>1103</v>
      </c>
    </row>
    <row r="3978" spans="2:3" hidden="1" x14ac:dyDescent="0.25">
      <c r="B3978" s="65">
        <v>34623</v>
      </c>
      <c r="C3978" t="s">
        <v>7037</v>
      </c>
    </row>
    <row r="3979" spans="2:3" hidden="1" x14ac:dyDescent="0.25">
      <c r="B3979" s="65">
        <v>34614</v>
      </c>
      <c r="C3979" t="s">
        <v>5840</v>
      </c>
    </row>
    <row r="3980" spans="2:3" hidden="1" x14ac:dyDescent="0.25">
      <c r="B3980" s="65">
        <v>34613</v>
      </c>
      <c r="C3980" t="s">
        <v>4542</v>
      </c>
    </row>
    <row r="3981" spans="2:3" hidden="1" x14ac:dyDescent="0.25">
      <c r="B3981" s="65">
        <v>34609</v>
      </c>
      <c r="C3981" t="s">
        <v>7260</v>
      </c>
    </row>
    <row r="3982" spans="2:3" hidden="1" x14ac:dyDescent="0.25">
      <c r="B3982" s="65">
        <v>34598</v>
      </c>
      <c r="C3982" t="s">
        <v>1949</v>
      </c>
    </row>
    <row r="3983" spans="2:3" hidden="1" x14ac:dyDescent="0.25">
      <c r="B3983" s="65">
        <v>34580</v>
      </c>
      <c r="C3983" t="s">
        <v>2565</v>
      </c>
    </row>
    <row r="3984" spans="2:3" hidden="1" x14ac:dyDescent="0.25">
      <c r="B3984" s="65">
        <v>34577</v>
      </c>
      <c r="C3984" t="s">
        <v>5109</v>
      </c>
    </row>
    <row r="3985" spans="2:3" hidden="1" x14ac:dyDescent="0.25">
      <c r="B3985" s="65">
        <v>34572</v>
      </c>
      <c r="C3985" t="s">
        <v>5562</v>
      </c>
    </row>
    <row r="3986" spans="2:3" hidden="1" x14ac:dyDescent="0.25">
      <c r="B3986" s="65">
        <v>34569</v>
      </c>
      <c r="C3986" t="s">
        <v>7651</v>
      </c>
    </row>
    <row r="3987" spans="2:3" hidden="1" x14ac:dyDescent="0.25">
      <c r="B3987" s="65">
        <v>34561</v>
      </c>
      <c r="C3987" t="s">
        <v>2009</v>
      </c>
    </row>
    <row r="3988" spans="2:3" hidden="1" x14ac:dyDescent="0.25">
      <c r="B3988" s="65">
        <v>34560</v>
      </c>
      <c r="C3988" t="s">
        <v>8121</v>
      </c>
    </row>
    <row r="3989" spans="2:3" hidden="1" x14ac:dyDescent="0.25">
      <c r="B3989" s="65">
        <v>34558</v>
      </c>
      <c r="C3989" t="s">
        <v>3952</v>
      </c>
    </row>
    <row r="3990" spans="2:3" hidden="1" x14ac:dyDescent="0.25">
      <c r="B3990" s="65">
        <v>34553</v>
      </c>
      <c r="C3990" t="s">
        <v>6141</v>
      </c>
    </row>
    <row r="3991" spans="2:3" hidden="1" x14ac:dyDescent="0.25">
      <c r="B3991" s="65">
        <v>34548</v>
      </c>
      <c r="C3991" t="s">
        <v>5002</v>
      </c>
    </row>
    <row r="3992" spans="2:3" hidden="1" x14ac:dyDescent="0.25">
      <c r="B3992" s="65">
        <v>34546</v>
      </c>
      <c r="C3992" t="s">
        <v>7525</v>
      </c>
    </row>
    <row r="3993" spans="2:3" hidden="1" x14ac:dyDescent="0.25">
      <c r="B3993" s="65">
        <v>34540</v>
      </c>
      <c r="C3993" t="s">
        <v>5952</v>
      </c>
    </row>
    <row r="3994" spans="2:3" hidden="1" x14ac:dyDescent="0.25">
      <c r="B3994" s="65">
        <v>34532</v>
      </c>
      <c r="C3994" t="s">
        <v>3900</v>
      </c>
    </row>
    <row r="3995" spans="2:3" hidden="1" x14ac:dyDescent="0.25">
      <c r="B3995" s="65">
        <v>34530</v>
      </c>
      <c r="C3995" t="s">
        <v>5482</v>
      </c>
    </row>
    <row r="3996" spans="2:3" hidden="1" x14ac:dyDescent="0.25">
      <c r="B3996" s="65">
        <v>34529</v>
      </c>
      <c r="C3996" t="s">
        <v>3510</v>
      </c>
    </row>
    <row r="3997" spans="2:3" hidden="1" x14ac:dyDescent="0.25">
      <c r="B3997" s="65">
        <v>34527</v>
      </c>
      <c r="C3997" t="s">
        <v>6914</v>
      </c>
    </row>
    <row r="3998" spans="2:3" hidden="1" x14ac:dyDescent="0.25">
      <c r="B3998" s="65">
        <v>34526</v>
      </c>
      <c r="C3998" t="s">
        <v>7505</v>
      </c>
    </row>
    <row r="3999" spans="2:3" hidden="1" x14ac:dyDescent="0.25">
      <c r="B3999" s="65">
        <v>34522</v>
      </c>
      <c r="C3999" t="s">
        <v>7298</v>
      </c>
    </row>
    <row r="4000" spans="2:3" hidden="1" x14ac:dyDescent="0.25">
      <c r="B4000" s="65">
        <v>34521</v>
      </c>
      <c r="C4000" t="s">
        <v>4631</v>
      </c>
    </row>
    <row r="4001" spans="2:3" hidden="1" x14ac:dyDescent="0.25">
      <c r="B4001" s="65">
        <v>34520</v>
      </c>
      <c r="C4001" t="s">
        <v>5238</v>
      </c>
    </row>
    <row r="4002" spans="2:3" hidden="1" x14ac:dyDescent="0.25">
      <c r="B4002" s="65">
        <v>34517</v>
      </c>
      <c r="C4002" t="s">
        <v>4478</v>
      </c>
    </row>
    <row r="4003" spans="2:3" hidden="1" x14ac:dyDescent="0.25">
      <c r="B4003" s="65">
        <v>34513</v>
      </c>
      <c r="C4003" t="s">
        <v>4115</v>
      </c>
    </row>
    <row r="4004" spans="2:3" hidden="1" x14ac:dyDescent="0.25">
      <c r="B4004" s="65">
        <v>34511</v>
      </c>
      <c r="C4004" t="s">
        <v>6462</v>
      </c>
    </row>
    <row r="4005" spans="2:3" hidden="1" x14ac:dyDescent="0.25">
      <c r="B4005" s="65">
        <v>34509</v>
      </c>
      <c r="C4005" t="s">
        <v>3390</v>
      </c>
    </row>
    <row r="4006" spans="2:3" hidden="1" x14ac:dyDescent="0.25">
      <c r="B4006" s="65">
        <v>34508</v>
      </c>
      <c r="C4006" t="s">
        <v>988</v>
      </c>
    </row>
    <row r="4007" spans="2:3" hidden="1" x14ac:dyDescent="0.25">
      <c r="B4007" s="65">
        <v>34507</v>
      </c>
      <c r="C4007" t="s">
        <v>8207</v>
      </c>
    </row>
    <row r="4008" spans="2:3" hidden="1" x14ac:dyDescent="0.25">
      <c r="B4008" s="65">
        <v>34497</v>
      </c>
      <c r="C4008" t="s">
        <v>6993</v>
      </c>
    </row>
    <row r="4009" spans="2:3" hidden="1" x14ac:dyDescent="0.25">
      <c r="B4009" s="65">
        <v>34495</v>
      </c>
      <c r="C4009" t="s">
        <v>2669</v>
      </c>
    </row>
    <row r="4010" spans="2:3" hidden="1" x14ac:dyDescent="0.25">
      <c r="B4010" s="65">
        <v>34484</v>
      </c>
      <c r="C4010" t="s">
        <v>3202</v>
      </c>
    </row>
    <row r="4011" spans="2:3" hidden="1" x14ac:dyDescent="0.25">
      <c r="B4011" s="65">
        <v>34484</v>
      </c>
      <c r="C4011" t="s">
        <v>8023</v>
      </c>
    </row>
    <row r="4012" spans="2:3" hidden="1" x14ac:dyDescent="0.25">
      <c r="B4012" s="65">
        <v>34481</v>
      </c>
      <c r="C4012" t="s">
        <v>6238</v>
      </c>
    </row>
    <row r="4013" spans="2:3" hidden="1" x14ac:dyDescent="0.25">
      <c r="B4013" s="65">
        <v>34474</v>
      </c>
      <c r="C4013" t="s">
        <v>3510</v>
      </c>
    </row>
    <row r="4014" spans="2:3" hidden="1" x14ac:dyDescent="0.25">
      <c r="B4014" s="65">
        <v>34468</v>
      </c>
      <c r="C4014" t="s">
        <v>4157</v>
      </c>
    </row>
    <row r="4015" spans="2:3" hidden="1" x14ac:dyDescent="0.25">
      <c r="B4015" s="65">
        <v>34468</v>
      </c>
      <c r="C4015" t="s">
        <v>4947</v>
      </c>
    </row>
    <row r="4016" spans="2:3" hidden="1" x14ac:dyDescent="0.25">
      <c r="B4016" s="65">
        <v>34465</v>
      </c>
      <c r="C4016" t="s">
        <v>8058</v>
      </c>
    </row>
    <row r="4017" spans="2:3" hidden="1" x14ac:dyDescent="0.25">
      <c r="B4017" s="65">
        <v>34464</v>
      </c>
      <c r="C4017" t="s">
        <v>6038</v>
      </c>
    </row>
    <row r="4018" spans="2:3" hidden="1" x14ac:dyDescent="0.25">
      <c r="B4018" s="65">
        <v>34464</v>
      </c>
      <c r="C4018" t="s">
        <v>5552</v>
      </c>
    </row>
    <row r="4019" spans="2:3" hidden="1" x14ac:dyDescent="0.25">
      <c r="B4019" s="65">
        <v>34459</v>
      </c>
      <c r="C4019" t="s">
        <v>5041</v>
      </c>
    </row>
    <row r="4020" spans="2:3" hidden="1" x14ac:dyDescent="0.25">
      <c r="B4020" s="65">
        <v>34457</v>
      </c>
      <c r="C4020" t="s">
        <v>4110</v>
      </c>
    </row>
    <row r="4021" spans="2:3" hidden="1" x14ac:dyDescent="0.25">
      <c r="B4021" s="65">
        <v>34457</v>
      </c>
      <c r="C4021" t="s">
        <v>4161</v>
      </c>
    </row>
    <row r="4022" spans="2:3" hidden="1" x14ac:dyDescent="0.25">
      <c r="B4022" s="65">
        <v>34453</v>
      </c>
      <c r="C4022" t="s">
        <v>598</v>
      </c>
    </row>
    <row r="4023" spans="2:3" hidden="1" x14ac:dyDescent="0.25">
      <c r="B4023" s="65">
        <v>34445</v>
      </c>
      <c r="C4023" t="s">
        <v>6658</v>
      </c>
    </row>
    <row r="4024" spans="2:3" hidden="1" x14ac:dyDescent="0.25">
      <c r="B4024" s="65">
        <v>34440</v>
      </c>
      <c r="C4024" t="s">
        <v>2047</v>
      </c>
    </row>
    <row r="4025" spans="2:3" hidden="1" x14ac:dyDescent="0.25">
      <c r="B4025" s="65">
        <v>34434</v>
      </c>
      <c r="C4025" t="s">
        <v>1435</v>
      </c>
    </row>
    <row r="4026" spans="2:3" hidden="1" x14ac:dyDescent="0.25">
      <c r="B4026" s="65">
        <v>34424</v>
      </c>
      <c r="C4026" t="s">
        <v>8093</v>
      </c>
    </row>
    <row r="4027" spans="2:3" hidden="1" x14ac:dyDescent="0.25">
      <c r="B4027" s="65">
        <v>34423</v>
      </c>
      <c r="C4027" t="s">
        <v>5900</v>
      </c>
    </row>
    <row r="4028" spans="2:3" hidden="1" x14ac:dyDescent="0.25">
      <c r="B4028" s="65">
        <v>34417</v>
      </c>
      <c r="C4028" t="s">
        <v>5651</v>
      </c>
    </row>
    <row r="4029" spans="2:3" hidden="1" x14ac:dyDescent="0.25">
      <c r="B4029" s="65">
        <v>34416</v>
      </c>
      <c r="C4029" t="s">
        <v>6426</v>
      </c>
    </row>
    <row r="4030" spans="2:3" hidden="1" x14ac:dyDescent="0.25">
      <c r="B4030" s="65">
        <v>34416</v>
      </c>
      <c r="C4030" t="s">
        <v>7084</v>
      </c>
    </row>
    <row r="4031" spans="2:3" hidden="1" x14ac:dyDescent="0.25">
      <c r="B4031" s="65">
        <v>34414</v>
      </c>
      <c r="C4031" t="s">
        <v>2009</v>
      </c>
    </row>
    <row r="4032" spans="2:3" hidden="1" x14ac:dyDescent="0.25">
      <c r="B4032" s="65">
        <v>34401</v>
      </c>
      <c r="C4032" t="s">
        <v>3102</v>
      </c>
    </row>
    <row r="4033" spans="2:3" hidden="1" x14ac:dyDescent="0.25">
      <c r="B4033" s="65">
        <v>34395</v>
      </c>
      <c r="C4033" t="s">
        <v>5169</v>
      </c>
    </row>
    <row r="4034" spans="2:3" hidden="1" x14ac:dyDescent="0.25">
      <c r="B4034" s="65">
        <v>34395</v>
      </c>
      <c r="C4034" t="s">
        <v>7079</v>
      </c>
    </row>
    <row r="4035" spans="2:3" hidden="1" x14ac:dyDescent="0.25">
      <c r="B4035" s="65">
        <v>34393</v>
      </c>
      <c r="C4035" t="s">
        <v>6313</v>
      </c>
    </row>
    <row r="4036" spans="2:3" hidden="1" x14ac:dyDescent="0.25">
      <c r="B4036" s="65">
        <v>34389</v>
      </c>
      <c r="C4036" t="s">
        <v>5176</v>
      </c>
    </row>
    <row r="4037" spans="2:3" hidden="1" x14ac:dyDescent="0.25">
      <c r="B4037" s="65">
        <v>34384</v>
      </c>
      <c r="C4037" t="s">
        <v>3417</v>
      </c>
    </row>
    <row r="4038" spans="2:3" hidden="1" x14ac:dyDescent="0.25">
      <c r="B4038" s="65">
        <v>34384</v>
      </c>
      <c r="C4038" t="s">
        <v>4921</v>
      </c>
    </row>
    <row r="4039" spans="2:3" hidden="1" x14ac:dyDescent="0.25">
      <c r="B4039" s="65">
        <v>34380</v>
      </c>
      <c r="C4039" t="s">
        <v>3981</v>
      </c>
    </row>
    <row r="4040" spans="2:3" hidden="1" x14ac:dyDescent="0.25">
      <c r="B4040" s="65">
        <v>34380</v>
      </c>
      <c r="C4040" t="s">
        <v>7213</v>
      </c>
    </row>
    <row r="4041" spans="2:3" hidden="1" x14ac:dyDescent="0.25">
      <c r="B4041" s="65">
        <v>34376</v>
      </c>
      <c r="C4041" t="s">
        <v>6828</v>
      </c>
    </row>
    <row r="4042" spans="2:3" hidden="1" x14ac:dyDescent="0.25">
      <c r="B4042" s="65">
        <v>34375</v>
      </c>
      <c r="C4042" t="s">
        <v>6123</v>
      </c>
    </row>
    <row r="4043" spans="2:3" hidden="1" x14ac:dyDescent="0.25">
      <c r="B4043" s="65">
        <v>34375</v>
      </c>
      <c r="C4043" t="s">
        <v>6587</v>
      </c>
    </row>
    <row r="4044" spans="2:3" hidden="1" x14ac:dyDescent="0.25">
      <c r="B4044" s="65">
        <v>34374</v>
      </c>
      <c r="C4044" t="s">
        <v>3290</v>
      </c>
    </row>
    <row r="4045" spans="2:3" hidden="1" x14ac:dyDescent="0.25">
      <c r="B4045" s="65">
        <v>34371</v>
      </c>
      <c r="C4045" t="s">
        <v>2584</v>
      </c>
    </row>
    <row r="4046" spans="2:3" hidden="1" x14ac:dyDescent="0.25">
      <c r="B4046" s="65">
        <v>34370</v>
      </c>
      <c r="C4046" t="s">
        <v>3782</v>
      </c>
    </row>
    <row r="4047" spans="2:3" hidden="1" x14ac:dyDescent="0.25">
      <c r="B4047" s="65">
        <v>34367</v>
      </c>
      <c r="C4047" t="s">
        <v>7680</v>
      </c>
    </row>
    <row r="4048" spans="2:3" hidden="1" x14ac:dyDescent="0.25">
      <c r="B4048" s="65">
        <v>34361</v>
      </c>
      <c r="C4048" t="s">
        <v>6935</v>
      </c>
    </row>
    <row r="4049" spans="2:3" hidden="1" x14ac:dyDescent="0.25">
      <c r="B4049" s="65">
        <v>34360</v>
      </c>
      <c r="C4049" t="s">
        <v>8097</v>
      </c>
    </row>
    <row r="4050" spans="2:3" hidden="1" x14ac:dyDescent="0.25">
      <c r="B4050" s="65">
        <v>34351</v>
      </c>
      <c r="C4050" t="s">
        <v>6159</v>
      </c>
    </row>
    <row r="4051" spans="2:3" hidden="1" x14ac:dyDescent="0.25">
      <c r="B4051" s="65">
        <v>34348</v>
      </c>
      <c r="C4051" t="s">
        <v>2354</v>
      </c>
    </row>
    <row r="4052" spans="2:3" hidden="1" x14ac:dyDescent="0.25">
      <c r="B4052" s="65">
        <v>34343</v>
      </c>
      <c r="C4052" t="s">
        <v>4637</v>
      </c>
    </row>
    <row r="4053" spans="2:3" hidden="1" x14ac:dyDescent="0.25">
      <c r="B4053" s="65">
        <v>34342</v>
      </c>
      <c r="C4053" t="s">
        <v>4772</v>
      </c>
    </row>
    <row r="4054" spans="2:3" hidden="1" x14ac:dyDescent="0.25">
      <c r="B4054" s="65">
        <v>34342</v>
      </c>
      <c r="C4054" t="s">
        <v>5020</v>
      </c>
    </row>
    <row r="4055" spans="2:3" hidden="1" x14ac:dyDescent="0.25">
      <c r="B4055" s="65">
        <v>34336</v>
      </c>
      <c r="C4055" t="s">
        <v>6951</v>
      </c>
    </row>
    <row r="4056" spans="2:3" hidden="1" x14ac:dyDescent="0.25">
      <c r="B4056" s="65">
        <v>34335</v>
      </c>
      <c r="C4056" t="s">
        <v>3320</v>
      </c>
    </row>
    <row r="4057" spans="2:3" hidden="1" x14ac:dyDescent="0.25">
      <c r="B4057" s="65">
        <v>34333</v>
      </c>
      <c r="C4057" t="s">
        <v>6115</v>
      </c>
    </row>
    <row r="4058" spans="2:3" hidden="1" x14ac:dyDescent="0.25">
      <c r="B4058" s="65">
        <v>34331</v>
      </c>
      <c r="C4058" t="s">
        <v>8104</v>
      </c>
    </row>
    <row r="4059" spans="2:3" hidden="1" x14ac:dyDescent="0.25">
      <c r="B4059" s="65">
        <v>34326</v>
      </c>
      <c r="C4059" t="s">
        <v>7199</v>
      </c>
    </row>
    <row r="4060" spans="2:3" hidden="1" x14ac:dyDescent="0.25">
      <c r="B4060" s="65">
        <v>34323</v>
      </c>
      <c r="C4060" t="s">
        <v>2119</v>
      </c>
    </row>
    <row r="4061" spans="2:3" hidden="1" x14ac:dyDescent="0.25">
      <c r="B4061" s="65">
        <v>34321</v>
      </c>
      <c r="C4061" t="s">
        <v>4993</v>
      </c>
    </row>
    <row r="4062" spans="2:3" hidden="1" x14ac:dyDescent="0.25">
      <c r="B4062" s="65">
        <v>34319</v>
      </c>
      <c r="C4062" t="s">
        <v>7701</v>
      </c>
    </row>
    <row r="4063" spans="2:3" hidden="1" x14ac:dyDescent="0.25">
      <c r="B4063" s="65">
        <v>34318</v>
      </c>
      <c r="C4063" t="s">
        <v>1408</v>
      </c>
    </row>
    <row r="4064" spans="2:3" hidden="1" x14ac:dyDescent="0.25">
      <c r="B4064" s="65">
        <v>34313</v>
      </c>
      <c r="C4064" t="s">
        <v>4342</v>
      </c>
    </row>
    <row r="4065" spans="2:3" hidden="1" x14ac:dyDescent="0.25">
      <c r="B4065" s="65">
        <v>34308</v>
      </c>
      <c r="C4065" t="s">
        <v>3579</v>
      </c>
    </row>
    <row r="4066" spans="2:3" hidden="1" x14ac:dyDescent="0.25">
      <c r="B4066" s="65">
        <v>34306</v>
      </c>
      <c r="C4066" t="s">
        <v>5964</v>
      </c>
    </row>
    <row r="4067" spans="2:3" hidden="1" x14ac:dyDescent="0.25">
      <c r="B4067" s="65">
        <v>34304</v>
      </c>
      <c r="C4067" t="s">
        <v>3835</v>
      </c>
    </row>
    <row r="4068" spans="2:3" hidden="1" x14ac:dyDescent="0.25">
      <c r="B4068" s="65">
        <v>34296</v>
      </c>
      <c r="C4068" t="s">
        <v>6456</v>
      </c>
    </row>
    <row r="4069" spans="2:3" hidden="1" x14ac:dyDescent="0.25">
      <c r="B4069" s="65">
        <v>34284</v>
      </c>
      <c r="C4069" t="s">
        <v>5756</v>
      </c>
    </row>
    <row r="4070" spans="2:3" hidden="1" x14ac:dyDescent="0.25">
      <c r="B4070" s="65">
        <v>34281</v>
      </c>
      <c r="C4070" t="s">
        <v>4829</v>
      </c>
    </row>
    <row r="4071" spans="2:3" hidden="1" x14ac:dyDescent="0.25">
      <c r="B4071" s="65">
        <v>34278</v>
      </c>
      <c r="C4071" t="s">
        <v>4695</v>
      </c>
    </row>
    <row r="4072" spans="2:3" hidden="1" x14ac:dyDescent="0.25">
      <c r="B4072" s="65">
        <v>34276</v>
      </c>
      <c r="C4072" t="s">
        <v>5736</v>
      </c>
    </row>
    <row r="4073" spans="2:3" hidden="1" x14ac:dyDescent="0.25">
      <c r="B4073" s="65">
        <v>34265</v>
      </c>
      <c r="C4073" t="s">
        <v>6718</v>
      </c>
    </row>
    <row r="4074" spans="2:3" hidden="1" x14ac:dyDescent="0.25">
      <c r="B4074" s="65">
        <v>34256</v>
      </c>
      <c r="C4074" t="s">
        <v>3510</v>
      </c>
    </row>
    <row r="4075" spans="2:3" hidden="1" x14ac:dyDescent="0.25">
      <c r="B4075" s="65">
        <v>34249</v>
      </c>
      <c r="C4075" t="s">
        <v>4440</v>
      </c>
    </row>
    <row r="4076" spans="2:3" hidden="1" x14ac:dyDescent="0.25">
      <c r="B4076" s="65">
        <v>34242</v>
      </c>
      <c r="C4076" t="s">
        <v>7093</v>
      </c>
    </row>
    <row r="4077" spans="2:3" hidden="1" x14ac:dyDescent="0.25">
      <c r="B4077" s="65">
        <v>34241</v>
      </c>
      <c r="C4077" t="s">
        <v>5725</v>
      </c>
    </row>
    <row r="4078" spans="2:3" hidden="1" x14ac:dyDescent="0.25">
      <c r="B4078" s="65">
        <v>34240</v>
      </c>
      <c r="C4078" t="s">
        <v>3936</v>
      </c>
    </row>
    <row r="4079" spans="2:3" hidden="1" x14ac:dyDescent="0.25">
      <c r="B4079" s="65">
        <v>34240</v>
      </c>
      <c r="C4079" t="s">
        <v>5741</v>
      </c>
    </row>
    <row r="4080" spans="2:3" hidden="1" x14ac:dyDescent="0.25">
      <c r="B4080" s="65">
        <v>34237</v>
      </c>
      <c r="C4080" t="s">
        <v>5098</v>
      </c>
    </row>
    <row r="4081" spans="2:3" hidden="1" x14ac:dyDescent="0.25">
      <c r="B4081" s="65">
        <v>34226</v>
      </c>
      <c r="C4081" t="s">
        <v>4701</v>
      </c>
    </row>
    <row r="4082" spans="2:3" hidden="1" x14ac:dyDescent="0.25">
      <c r="B4082" s="65">
        <v>34222</v>
      </c>
      <c r="C4082" t="s">
        <v>6552</v>
      </c>
    </row>
    <row r="4083" spans="2:3" hidden="1" x14ac:dyDescent="0.25">
      <c r="B4083" s="65">
        <v>34220</v>
      </c>
      <c r="C4083" t="s">
        <v>4502</v>
      </c>
    </row>
    <row r="4084" spans="2:3" hidden="1" x14ac:dyDescent="0.25">
      <c r="B4084" s="65">
        <v>34220</v>
      </c>
      <c r="C4084" t="s">
        <v>3988</v>
      </c>
    </row>
    <row r="4085" spans="2:3" hidden="1" x14ac:dyDescent="0.25">
      <c r="B4085" s="65">
        <v>34220</v>
      </c>
      <c r="C4085" t="s">
        <v>7686</v>
      </c>
    </row>
    <row r="4086" spans="2:3" hidden="1" x14ac:dyDescent="0.25">
      <c r="B4086" s="65">
        <v>34214</v>
      </c>
      <c r="C4086" t="s">
        <v>7691</v>
      </c>
    </row>
    <row r="4087" spans="2:3" hidden="1" x14ac:dyDescent="0.25">
      <c r="B4087" s="65">
        <v>34207</v>
      </c>
      <c r="C4087" t="s">
        <v>6308</v>
      </c>
    </row>
    <row r="4088" spans="2:3" hidden="1" x14ac:dyDescent="0.25">
      <c r="B4088" s="65">
        <v>34201</v>
      </c>
      <c r="C4088" t="s">
        <v>3368</v>
      </c>
    </row>
    <row r="4089" spans="2:3" hidden="1" x14ac:dyDescent="0.25">
      <c r="B4089" s="65">
        <v>34199</v>
      </c>
      <c r="C4089" t="s">
        <v>3940</v>
      </c>
    </row>
    <row r="4090" spans="2:3" hidden="1" x14ac:dyDescent="0.25">
      <c r="B4090" s="65">
        <v>34189</v>
      </c>
      <c r="C4090" t="s">
        <v>7760</v>
      </c>
    </row>
    <row r="4091" spans="2:3" hidden="1" x14ac:dyDescent="0.25">
      <c r="B4091" s="65">
        <v>34185</v>
      </c>
      <c r="C4091" t="s">
        <v>4901</v>
      </c>
    </row>
    <row r="4092" spans="2:3" hidden="1" x14ac:dyDescent="0.25">
      <c r="B4092" s="65">
        <v>34181</v>
      </c>
      <c r="C4092" t="s">
        <v>8141</v>
      </c>
    </row>
    <row r="4093" spans="2:3" hidden="1" x14ac:dyDescent="0.25">
      <c r="B4093" s="65">
        <v>34179</v>
      </c>
      <c r="C4093" t="s">
        <v>5241</v>
      </c>
    </row>
    <row r="4094" spans="2:3" hidden="1" x14ac:dyDescent="0.25">
      <c r="B4094" s="65">
        <v>34170</v>
      </c>
      <c r="C4094" t="s">
        <v>5065</v>
      </c>
    </row>
    <row r="4095" spans="2:3" hidden="1" x14ac:dyDescent="0.25">
      <c r="B4095" s="65">
        <v>34168</v>
      </c>
      <c r="C4095" t="s">
        <v>6047</v>
      </c>
    </row>
    <row r="4096" spans="2:3" hidden="1" x14ac:dyDescent="0.25">
      <c r="B4096" s="65">
        <v>34160</v>
      </c>
      <c r="C4096" t="s">
        <v>5036</v>
      </c>
    </row>
    <row r="4097" spans="2:3" hidden="1" x14ac:dyDescent="0.25">
      <c r="B4097" s="65">
        <v>34153</v>
      </c>
      <c r="C4097" t="s">
        <v>6031</v>
      </c>
    </row>
    <row r="4098" spans="2:3" hidden="1" x14ac:dyDescent="0.25">
      <c r="B4098" s="65">
        <v>34151</v>
      </c>
      <c r="C4098" t="s">
        <v>5853</v>
      </c>
    </row>
    <row r="4099" spans="2:3" hidden="1" x14ac:dyDescent="0.25">
      <c r="B4099" s="65">
        <v>34145</v>
      </c>
      <c r="C4099" t="s">
        <v>3355</v>
      </c>
    </row>
    <row r="4100" spans="2:3" hidden="1" x14ac:dyDescent="0.25">
      <c r="B4100" s="65">
        <v>34142</v>
      </c>
      <c r="C4100" t="s">
        <v>4936</v>
      </c>
    </row>
    <row r="4101" spans="2:3" hidden="1" x14ac:dyDescent="0.25">
      <c r="B4101" s="65">
        <v>34138</v>
      </c>
      <c r="C4101" t="s">
        <v>2451</v>
      </c>
    </row>
    <row r="4102" spans="2:3" hidden="1" x14ac:dyDescent="0.25">
      <c r="B4102" s="65">
        <v>34132</v>
      </c>
      <c r="C4102" t="s">
        <v>4516</v>
      </c>
    </row>
    <row r="4103" spans="2:3" hidden="1" x14ac:dyDescent="0.25">
      <c r="B4103" s="65">
        <v>34120</v>
      </c>
      <c r="C4103" t="s">
        <v>3905</v>
      </c>
    </row>
    <row r="4104" spans="2:3" hidden="1" x14ac:dyDescent="0.25">
      <c r="B4104" s="65">
        <v>34119</v>
      </c>
      <c r="C4104" t="s">
        <v>1144</v>
      </c>
    </row>
    <row r="4105" spans="2:3" hidden="1" x14ac:dyDescent="0.25">
      <c r="B4105" s="65">
        <v>34109</v>
      </c>
      <c r="C4105" t="s">
        <v>7066</v>
      </c>
    </row>
    <row r="4106" spans="2:3" hidden="1" x14ac:dyDescent="0.25">
      <c r="B4106" s="65">
        <v>34108</v>
      </c>
      <c r="C4106" t="s">
        <v>4457</v>
      </c>
    </row>
    <row r="4107" spans="2:3" hidden="1" x14ac:dyDescent="0.25">
      <c r="B4107" s="65">
        <v>34107</v>
      </c>
      <c r="C4107" t="s">
        <v>4302</v>
      </c>
    </row>
    <row r="4108" spans="2:3" hidden="1" x14ac:dyDescent="0.25">
      <c r="B4108" s="65">
        <v>34106</v>
      </c>
      <c r="C4108" t="s">
        <v>3422</v>
      </c>
    </row>
    <row r="4109" spans="2:3" hidden="1" x14ac:dyDescent="0.25">
      <c r="B4109" s="65">
        <v>34093</v>
      </c>
      <c r="C4109" t="s">
        <v>4758</v>
      </c>
    </row>
    <row r="4110" spans="2:3" hidden="1" x14ac:dyDescent="0.25">
      <c r="B4110" s="65">
        <v>34088</v>
      </c>
      <c r="C4110" t="s">
        <v>5361</v>
      </c>
    </row>
    <row r="4111" spans="2:3" hidden="1" x14ac:dyDescent="0.25">
      <c r="B4111" s="65">
        <v>34087</v>
      </c>
      <c r="C4111" t="s">
        <v>3490</v>
      </c>
    </row>
    <row r="4112" spans="2:3" hidden="1" x14ac:dyDescent="0.25">
      <c r="B4112" s="65">
        <v>34081</v>
      </c>
      <c r="C4112" t="s">
        <v>2800</v>
      </c>
    </row>
    <row r="4113" spans="2:3" hidden="1" x14ac:dyDescent="0.25">
      <c r="B4113" s="65">
        <v>34075</v>
      </c>
      <c r="C4113" t="s">
        <v>6203</v>
      </c>
    </row>
    <row r="4114" spans="2:3" hidden="1" x14ac:dyDescent="0.25">
      <c r="B4114" s="65">
        <v>34066</v>
      </c>
      <c r="C4114" t="s">
        <v>4350</v>
      </c>
    </row>
    <row r="4115" spans="2:3" hidden="1" x14ac:dyDescent="0.25">
      <c r="B4115" s="65">
        <v>34065</v>
      </c>
      <c r="C4115" t="s">
        <v>6243</v>
      </c>
    </row>
    <row r="4116" spans="2:3" hidden="1" x14ac:dyDescent="0.25">
      <c r="B4116" s="65">
        <v>34064</v>
      </c>
      <c r="C4116" t="s">
        <v>105</v>
      </c>
    </row>
    <row r="4117" spans="2:3" hidden="1" x14ac:dyDescent="0.25">
      <c r="B4117" s="65">
        <v>34064</v>
      </c>
      <c r="C4117" t="s">
        <v>8212</v>
      </c>
    </row>
    <row r="4118" spans="2:3" hidden="1" x14ac:dyDescent="0.25">
      <c r="B4118" s="65">
        <v>34060</v>
      </c>
      <c r="C4118" t="s">
        <v>3791</v>
      </c>
    </row>
    <row r="4119" spans="2:3" hidden="1" x14ac:dyDescent="0.25">
      <c r="B4119" s="65">
        <v>34059</v>
      </c>
      <c r="C4119" t="s">
        <v>4526</v>
      </c>
    </row>
    <row r="4120" spans="2:3" hidden="1" x14ac:dyDescent="0.25">
      <c r="B4120" s="65">
        <v>34057</v>
      </c>
      <c r="C4120" t="s">
        <v>1387</v>
      </c>
    </row>
    <row r="4121" spans="2:3" hidden="1" x14ac:dyDescent="0.25">
      <c r="B4121" s="65">
        <v>34052</v>
      </c>
      <c r="C4121" t="s">
        <v>5383</v>
      </c>
    </row>
    <row r="4122" spans="2:3" hidden="1" x14ac:dyDescent="0.25">
      <c r="B4122" s="65">
        <v>34051</v>
      </c>
      <c r="C4122" t="s">
        <v>3624</v>
      </c>
    </row>
    <row r="4123" spans="2:3" hidden="1" x14ac:dyDescent="0.25">
      <c r="B4123" s="65">
        <v>34051</v>
      </c>
      <c r="C4123" t="s">
        <v>7405</v>
      </c>
    </row>
    <row r="4124" spans="2:3" hidden="1" x14ac:dyDescent="0.25">
      <c r="B4124" s="65">
        <v>34046</v>
      </c>
      <c r="C4124" t="s">
        <v>4952</v>
      </c>
    </row>
    <row r="4125" spans="2:3" hidden="1" x14ac:dyDescent="0.25">
      <c r="B4125" s="65">
        <v>34045</v>
      </c>
      <c r="C4125" t="s">
        <v>3065</v>
      </c>
    </row>
    <row r="4126" spans="2:3" hidden="1" x14ac:dyDescent="0.25">
      <c r="B4126" s="65">
        <v>34044</v>
      </c>
      <c r="C4126" t="s">
        <v>2209</v>
      </c>
    </row>
    <row r="4127" spans="2:3" hidden="1" x14ac:dyDescent="0.25">
      <c r="B4127" s="65">
        <v>34043</v>
      </c>
      <c r="C4127" t="s">
        <v>5141</v>
      </c>
    </row>
    <row r="4128" spans="2:3" hidden="1" x14ac:dyDescent="0.25">
      <c r="B4128" s="65">
        <v>34033</v>
      </c>
      <c r="C4128" t="s">
        <v>5314</v>
      </c>
    </row>
    <row r="4129" spans="2:3" hidden="1" x14ac:dyDescent="0.25">
      <c r="B4129" s="65">
        <v>34023</v>
      </c>
      <c r="C4129" t="s">
        <v>8053</v>
      </c>
    </row>
    <row r="4130" spans="2:3" hidden="1" x14ac:dyDescent="0.25">
      <c r="B4130" s="65">
        <v>34018</v>
      </c>
      <c r="C4130" t="s">
        <v>3202</v>
      </c>
    </row>
    <row r="4131" spans="2:3" hidden="1" x14ac:dyDescent="0.25">
      <c r="B4131" s="65">
        <v>34016</v>
      </c>
      <c r="C4131" t="s">
        <v>6593</v>
      </c>
    </row>
    <row r="4132" spans="2:3" hidden="1" x14ac:dyDescent="0.25">
      <c r="B4132" s="65">
        <v>34014</v>
      </c>
      <c r="C4132" t="s">
        <v>5270</v>
      </c>
    </row>
    <row r="4133" spans="2:3" hidden="1" x14ac:dyDescent="0.25">
      <c r="B4133" s="65">
        <v>34009</v>
      </c>
      <c r="C4133" t="s">
        <v>4049</v>
      </c>
    </row>
    <row r="4134" spans="2:3" hidden="1" x14ac:dyDescent="0.25">
      <c r="B4134" s="65">
        <v>34004</v>
      </c>
      <c r="C4134" t="s">
        <v>4035</v>
      </c>
    </row>
    <row r="4135" spans="2:3" hidden="1" x14ac:dyDescent="0.25">
      <c r="B4135" s="65">
        <v>33996</v>
      </c>
      <c r="C4135" t="s">
        <v>5638</v>
      </c>
    </row>
    <row r="4136" spans="2:3" hidden="1" x14ac:dyDescent="0.25">
      <c r="B4136" s="65">
        <v>33987</v>
      </c>
      <c r="C4136" t="s">
        <v>6056</v>
      </c>
    </row>
    <row r="4137" spans="2:3" hidden="1" x14ac:dyDescent="0.25">
      <c r="B4137" s="65">
        <v>33981</v>
      </c>
      <c r="C4137" t="s">
        <v>2511</v>
      </c>
    </row>
    <row r="4138" spans="2:3" hidden="1" x14ac:dyDescent="0.25">
      <c r="B4138" s="65">
        <v>33976</v>
      </c>
      <c r="C4138" t="s">
        <v>4189</v>
      </c>
    </row>
    <row r="4139" spans="2:3" hidden="1" x14ac:dyDescent="0.25">
      <c r="B4139" s="65">
        <v>33976</v>
      </c>
      <c r="C4139" t="s">
        <v>5787</v>
      </c>
    </row>
    <row r="4140" spans="2:3" hidden="1" x14ac:dyDescent="0.25">
      <c r="B4140" s="65">
        <v>33959</v>
      </c>
      <c r="C4140" t="s">
        <v>4151</v>
      </c>
    </row>
    <row r="4141" spans="2:3" hidden="1" x14ac:dyDescent="0.25">
      <c r="B4141" s="65">
        <v>33954</v>
      </c>
      <c r="C4141" t="s">
        <v>2009</v>
      </c>
    </row>
    <row r="4142" spans="2:3" hidden="1" x14ac:dyDescent="0.25">
      <c r="B4142" s="65">
        <v>33948</v>
      </c>
      <c r="C4142" t="s">
        <v>5369</v>
      </c>
    </row>
    <row r="4143" spans="2:3" hidden="1" x14ac:dyDescent="0.25">
      <c r="B4143" s="65">
        <v>33948</v>
      </c>
      <c r="C4143" t="s">
        <v>2891</v>
      </c>
    </row>
    <row r="4144" spans="2:3" hidden="1" x14ac:dyDescent="0.25">
      <c r="B4144" s="65">
        <v>33948</v>
      </c>
      <c r="C4144" t="s">
        <v>6413</v>
      </c>
    </row>
    <row r="4145" spans="2:3" hidden="1" x14ac:dyDescent="0.25">
      <c r="B4145" s="65">
        <v>33947</v>
      </c>
      <c r="C4145" t="s">
        <v>7178</v>
      </c>
    </row>
    <row r="4146" spans="2:3" hidden="1" x14ac:dyDescent="0.25">
      <c r="B4146" s="65">
        <v>33944</v>
      </c>
      <c r="C4146" t="s">
        <v>2451</v>
      </c>
    </row>
    <row r="4147" spans="2:3" hidden="1" x14ac:dyDescent="0.25">
      <c r="B4147" s="65">
        <v>33941</v>
      </c>
      <c r="C4147" t="s">
        <v>724</v>
      </c>
    </row>
    <row r="4148" spans="2:3" hidden="1" x14ac:dyDescent="0.25">
      <c r="B4148" s="65">
        <v>33941</v>
      </c>
      <c r="C4148" t="s">
        <v>6196</v>
      </c>
    </row>
    <row r="4149" spans="2:3" hidden="1" x14ac:dyDescent="0.25">
      <c r="B4149" s="65">
        <v>33941</v>
      </c>
      <c r="C4149" t="s">
        <v>7559</v>
      </c>
    </row>
    <row r="4150" spans="2:3" hidden="1" x14ac:dyDescent="0.25">
      <c r="B4150" s="65">
        <v>33940</v>
      </c>
      <c r="C4150" t="s">
        <v>7974</v>
      </c>
    </row>
    <row r="4151" spans="2:3" hidden="1" x14ac:dyDescent="0.25">
      <c r="B4151" s="65">
        <v>33918</v>
      </c>
      <c r="C4151" t="s">
        <v>7346</v>
      </c>
    </row>
    <row r="4152" spans="2:3" hidden="1" x14ac:dyDescent="0.25">
      <c r="B4152" s="65">
        <v>33917</v>
      </c>
      <c r="C4152" t="s">
        <v>6615</v>
      </c>
    </row>
    <row r="4153" spans="2:3" hidden="1" x14ac:dyDescent="0.25">
      <c r="B4153" s="65">
        <v>33915</v>
      </c>
      <c r="C4153" t="s">
        <v>3673</v>
      </c>
    </row>
    <row r="4154" spans="2:3" hidden="1" x14ac:dyDescent="0.25">
      <c r="B4154" s="65">
        <v>33915</v>
      </c>
      <c r="C4154" t="s">
        <v>6808</v>
      </c>
    </row>
    <row r="4155" spans="2:3" hidden="1" x14ac:dyDescent="0.25">
      <c r="B4155" s="65">
        <v>33911</v>
      </c>
      <c r="C4155" t="s">
        <v>105</v>
      </c>
    </row>
    <row r="4156" spans="2:3" hidden="1" x14ac:dyDescent="0.25">
      <c r="B4156" s="65">
        <v>33904</v>
      </c>
      <c r="C4156" t="s">
        <v>3782</v>
      </c>
    </row>
    <row r="4157" spans="2:3" hidden="1" x14ac:dyDescent="0.25">
      <c r="B4157" s="65">
        <v>33903</v>
      </c>
      <c r="C4157" t="s">
        <v>5532</v>
      </c>
    </row>
    <row r="4158" spans="2:3" hidden="1" x14ac:dyDescent="0.25">
      <c r="B4158" s="65">
        <v>33895</v>
      </c>
      <c r="C4158" t="s">
        <v>4431</v>
      </c>
    </row>
    <row r="4159" spans="2:3" hidden="1" x14ac:dyDescent="0.25">
      <c r="B4159" s="65">
        <v>33885</v>
      </c>
      <c r="C4159" t="s">
        <v>7580</v>
      </c>
    </row>
    <row r="4160" spans="2:3" hidden="1" x14ac:dyDescent="0.25">
      <c r="B4160" s="65">
        <v>33879</v>
      </c>
      <c r="C4160" t="s">
        <v>3430</v>
      </c>
    </row>
    <row r="4161" spans="2:3" hidden="1" x14ac:dyDescent="0.25">
      <c r="B4161" s="65">
        <v>33876</v>
      </c>
      <c r="C4161" t="s">
        <v>6675</v>
      </c>
    </row>
    <row r="4162" spans="2:3" hidden="1" x14ac:dyDescent="0.25">
      <c r="B4162" s="65">
        <v>33875</v>
      </c>
      <c r="C4162" t="s">
        <v>6506</v>
      </c>
    </row>
    <row r="4163" spans="2:3" hidden="1" x14ac:dyDescent="0.25">
      <c r="B4163" s="65">
        <v>33873</v>
      </c>
      <c r="C4163" t="s">
        <v>7312</v>
      </c>
    </row>
    <row r="4164" spans="2:3" hidden="1" x14ac:dyDescent="0.25">
      <c r="B4164" s="65">
        <v>33871</v>
      </c>
      <c r="C4164" t="s">
        <v>1733</v>
      </c>
    </row>
    <row r="4165" spans="2:3" hidden="1" x14ac:dyDescent="0.25">
      <c r="B4165" s="65">
        <v>33869</v>
      </c>
      <c r="C4165" t="s">
        <v>5497</v>
      </c>
    </row>
    <row r="4166" spans="2:3" hidden="1" x14ac:dyDescent="0.25">
      <c r="B4166" s="65">
        <v>33857</v>
      </c>
      <c r="C4166" t="s">
        <v>3455</v>
      </c>
    </row>
    <row r="4167" spans="2:3" hidden="1" x14ac:dyDescent="0.25">
      <c r="B4167" s="65">
        <v>33848</v>
      </c>
      <c r="C4167" t="s">
        <v>6062</v>
      </c>
    </row>
    <row r="4168" spans="2:3" hidden="1" x14ac:dyDescent="0.25">
      <c r="B4168" s="65">
        <v>33843</v>
      </c>
      <c r="C4168" t="s">
        <v>2209</v>
      </c>
    </row>
    <row r="4169" spans="2:3" hidden="1" x14ac:dyDescent="0.25">
      <c r="B4169" s="65">
        <v>33837</v>
      </c>
      <c r="C4169" t="s">
        <v>7186</v>
      </c>
    </row>
    <row r="4170" spans="2:3" hidden="1" x14ac:dyDescent="0.25">
      <c r="B4170" s="65">
        <v>33832</v>
      </c>
      <c r="C4170" t="s">
        <v>7977</v>
      </c>
    </row>
    <row r="4171" spans="2:3" hidden="1" x14ac:dyDescent="0.25">
      <c r="B4171" s="65">
        <v>33820</v>
      </c>
      <c r="C4171" t="s">
        <v>7842</v>
      </c>
    </row>
    <row r="4172" spans="2:3" hidden="1" x14ac:dyDescent="0.25">
      <c r="B4172" s="65">
        <v>33818</v>
      </c>
      <c r="C4172" t="s">
        <v>7596</v>
      </c>
    </row>
    <row r="4173" spans="2:3" hidden="1" x14ac:dyDescent="0.25">
      <c r="B4173" s="65">
        <v>33817</v>
      </c>
      <c r="C4173" t="s">
        <v>5137</v>
      </c>
    </row>
    <row r="4174" spans="2:3" hidden="1" x14ac:dyDescent="0.25">
      <c r="B4174" s="65">
        <v>33809</v>
      </c>
      <c r="C4174" t="s">
        <v>4283</v>
      </c>
    </row>
    <row r="4175" spans="2:3" hidden="1" x14ac:dyDescent="0.25">
      <c r="B4175" s="65">
        <v>33809</v>
      </c>
      <c r="C4175" t="s">
        <v>4701</v>
      </c>
    </row>
    <row r="4176" spans="2:3" hidden="1" x14ac:dyDescent="0.25">
      <c r="B4176" s="65">
        <v>33808</v>
      </c>
      <c r="C4176" t="s">
        <v>4546</v>
      </c>
    </row>
    <row r="4177" spans="2:3" hidden="1" x14ac:dyDescent="0.25">
      <c r="B4177" s="65">
        <v>33797</v>
      </c>
      <c r="C4177" t="s">
        <v>6651</v>
      </c>
    </row>
    <row r="4178" spans="2:3" hidden="1" x14ac:dyDescent="0.25">
      <c r="B4178" s="65">
        <v>33774</v>
      </c>
      <c r="C4178" t="s">
        <v>3175</v>
      </c>
    </row>
    <row r="4179" spans="2:3" hidden="1" x14ac:dyDescent="0.25">
      <c r="B4179" s="65">
        <v>33756</v>
      </c>
      <c r="C4179" t="s">
        <v>3140</v>
      </c>
    </row>
    <row r="4180" spans="2:3" hidden="1" x14ac:dyDescent="0.25">
      <c r="B4180" s="65">
        <v>33756</v>
      </c>
      <c r="C4180" t="s">
        <v>3152</v>
      </c>
    </row>
    <row r="4181" spans="2:3" hidden="1" x14ac:dyDescent="0.25">
      <c r="B4181" s="65">
        <v>33744</v>
      </c>
      <c r="C4181" t="s">
        <v>3160</v>
      </c>
    </row>
    <row r="4182" spans="2:3" hidden="1" x14ac:dyDescent="0.25">
      <c r="B4182" s="65">
        <v>33728</v>
      </c>
      <c r="C4182" t="s">
        <v>3125</v>
      </c>
    </row>
    <row r="4183" spans="2:3" hidden="1" x14ac:dyDescent="0.25">
      <c r="B4183" s="65">
        <v>33727</v>
      </c>
      <c r="C4183" t="s">
        <v>988</v>
      </c>
    </row>
    <row r="4184" spans="2:3" hidden="1" x14ac:dyDescent="0.25">
      <c r="B4184" s="65">
        <v>33725</v>
      </c>
      <c r="C4184" t="s">
        <v>3102</v>
      </c>
    </row>
    <row r="4185" spans="2:3" hidden="1" x14ac:dyDescent="0.25">
      <c r="B4185" s="65">
        <v>33725</v>
      </c>
      <c r="C4185" t="s">
        <v>3120</v>
      </c>
    </row>
    <row r="4186" spans="2:3" hidden="1" x14ac:dyDescent="0.25">
      <c r="B4186" s="65">
        <v>33717</v>
      </c>
      <c r="C4186" t="s">
        <v>1793</v>
      </c>
    </row>
    <row r="4187" spans="2:3" hidden="1" x14ac:dyDescent="0.25">
      <c r="B4187" s="65">
        <v>33704</v>
      </c>
      <c r="C4187" t="s">
        <v>3071</v>
      </c>
    </row>
    <row r="4188" spans="2:3" hidden="1" x14ac:dyDescent="0.25">
      <c r="B4188" s="65">
        <v>33703</v>
      </c>
      <c r="C4188" t="s">
        <v>3146</v>
      </c>
    </row>
    <row r="4189" spans="2:3" hidden="1" x14ac:dyDescent="0.25">
      <c r="B4189" s="65">
        <v>33701</v>
      </c>
      <c r="C4189" t="s">
        <v>3155</v>
      </c>
    </row>
    <row r="4190" spans="2:3" hidden="1" x14ac:dyDescent="0.25">
      <c r="B4190" s="65">
        <v>33694</v>
      </c>
      <c r="C4190" t="s">
        <v>3083</v>
      </c>
    </row>
    <row r="4191" spans="2:3" hidden="1" x14ac:dyDescent="0.25">
      <c r="B4191" s="65">
        <v>33671</v>
      </c>
      <c r="C4191" t="s">
        <v>3136</v>
      </c>
    </row>
    <row r="4192" spans="2:3" hidden="1" x14ac:dyDescent="0.25">
      <c r="B4192" s="65">
        <v>33658</v>
      </c>
      <c r="C4192" t="s">
        <v>3077</v>
      </c>
    </row>
    <row r="4193" spans="2:3" hidden="1" x14ac:dyDescent="0.25">
      <c r="B4193" s="65">
        <v>33644</v>
      </c>
      <c r="C4193" t="s">
        <v>3117</v>
      </c>
    </row>
    <row r="4194" spans="2:3" hidden="1" x14ac:dyDescent="0.25">
      <c r="B4194" s="65">
        <v>33643</v>
      </c>
      <c r="C4194" t="s">
        <v>3065</v>
      </c>
    </row>
    <row r="4195" spans="2:3" hidden="1" x14ac:dyDescent="0.25">
      <c r="B4195" s="65">
        <v>33629</v>
      </c>
      <c r="C4195" t="s">
        <v>3169</v>
      </c>
    </row>
    <row r="4196" spans="2:3" hidden="1" x14ac:dyDescent="0.25">
      <c r="B4196" s="65">
        <v>33611</v>
      </c>
      <c r="C4196" t="s">
        <v>3088</v>
      </c>
    </row>
    <row r="4197" spans="2:3" hidden="1" x14ac:dyDescent="0.25">
      <c r="B4197" s="65">
        <v>33610</v>
      </c>
      <c r="C4197" t="s">
        <v>3165</v>
      </c>
    </row>
    <row r="4198" spans="2:3" hidden="1" x14ac:dyDescent="0.25">
      <c r="B4198" s="65">
        <v>33601</v>
      </c>
      <c r="C4198" t="s">
        <v>3132</v>
      </c>
    </row>
    <row r="4199" spans="2:3" hidden="1" x14ac:dyDescent="0.25">
      <c r="B4199" s="65">
        <v>33597</v>
      </c>
      <c r="C4199" t="s">
        <v>3107</v>
      </c>
    </row>
    <row r="4200" spans="2:3" hidden="1" x14ac:dyDescent="0.25">
      <c r="B4200" s="65">
        <v>33583</v>
      </c>
      <c r="C4200" t="s">
        <v>3096</v>
      </c>
    </row>
    <row r="4201" spans="2:3" hidden="1" x14ac:dyDescent="0.25">
      <c r="B4201" s="65">
        <v>33582</v>
      </c>
      <c r="C4201" t="s">
        <v>3111</v>
      </c>
    </row>
    <row r="4202" spans="2:3" hidden="1" x14ac:dyDescent="0.25">
      <c r="B4202" s="65">
        <v>33580</v>
      </c>
      <c r="C4202" t="s">
        <v>1494</v>
      </c>
    </row>
    <row r="4203" spans="2:3" hidden="1" x14ac:dyDescent="0.25">
      <c r="B4203" s="65">
        <v>33572</v>
      </c>
      <c r="C4203" t="s">
        <v>1229</v>
      </c>
    </row>
    <row r="4204" spans="2:3" hidden="1" x14ac:dyDescent="0.25">
      <c r="B4204" s="65">
        <v>33562</v>
      </c>
      <c r="C4204" t="s">
        <v>330</v>
      </c>
    </row>
    <row r="4205" spans="2:3" hidden="1" x14ac:dyDescent="0.25">
      <c r="B4205" s="65">
        <v>33526</v>
      </c>
      <c r="C4205" t="s">
        <v>749</v>
      </c>
    </row>
    <row r="4206" spans="2:3" hidden="1" x14ac:dyDescent="0.25">
      <c r="B4206" s="65">
        <v>33525</v>
      </c>
      <c r="C4206" t="s">
        <v>1002</v>
      </c>
    </row>
    <row r="4207" spans="2:3" hidden="1" x14ac:dyDescent="0.25">
      <c r="B4207" s="65">
        <v>33519</v>
      </c>
      <c r="C4207" t="s">
        <v>598</v>
      </c>
    </row>
    <row r="4208" spans="2:3" hidden="1" x14ac:dyDescent="0.25">
      <c r="B4208" s="65">
        <v>33519</v>
      </c>
      <c r="C4208" t="s">
        <v>844</v>
      </c>
    </row>
    <row r="4209" spans="2:3" hidden="1" x14ac:dyDescent="0.25">
      <c r="B4209" s="65">
        <v>33509</v>
      </c>
      <c r="C4209" t="s">
        <v>207</v>
      </c>
    </row>
    <row r="4210" spans="2:3" hidden="1" x14ac:dyDescent="0.25">
      <c r="B4210" s="65">
        <v>33508</v>
      </c>
      <c r="C4210" t="s">
        <v>724</v>
      </c>
    </row>
    <row r="4211" spans="2:3" hidden="1" x14ac:dyDescent="0.25">
      <c r="B4211" s="65">
        <v>33501</v>
      </c>
      <c r="C4211" t="s">
        <v>1103</v>
      </c>
    </row>
    <row r="4212" spans="2:3" hidden="1" x14ac:dyDescent="0.25">
      <c r="B4212" s="65">
        <v>33500</v>
      </c>
      <c r="C4212" t="s">
        <v>1403</v>
      </c>
    </row>
    <row r="4213" spans="2:3" hidden="1" x14ac:dyDescent="0.25">
      <c r="B4213" s="65">
        <v>33497</v>
      </c>
      <c r="C4213" t="s">
        <v>339</v>
      </c>
    </row>
    <row r="4214" spans="2:3" hidden="1" x14ac:dyDescent="0.25">
      <c r="B4214" s="65">
        <v>33486</v>
      </c>
      <c r="C4214" t="s">
        <v>1029</v>
      </c>
    </row>
    <row r="4215" spans="2:3" hidden="1" x14ac:dyDescent="0.25">
      <c r="B4215" s="65">
        <v>33485</v>
      </c>
      <c r="C4215" t="s">
        <v>1244</v>
      </c>
    </row>
    <row r="4216" spans="2:3" hidden="1" x14ac:dyDescent="0.25">
      <c r="B4216" s="65">
        <v>33482</v>
      </c>
      <c r="C4216" t="s">
        <v>55</v>
      </c>
    </row>
    <row r="4217" spans="2:3" hidden="1" x14ac:dyDescent="0.25">
      <c r="B4217" s="65">
        <v>33482</v>
      </c>
      <c r="C4217" t="s">
        <v>239</v>
      </c>
    </row>
    <row r="4218" spans="2:3" hidden="1" x14ac:dyDescent="0.25">
      <c r="B4218" s="65">
        <v>33481</v>
      </c>
      <c r="C4218" t="s">
        <v>245</v>
      </c>
    </row>
    <row r="4219" spans="2:3" hidden="1" x14ac:dyDescent="0.25">
      <c r="B4219" s="65">
        <v>33480</v>
      </c>
      <c r="C4219" t="s">
        <v>473</v>
      </c>
    </row>
    <row r="4220" spans="2:3" hidden="1" x14ac:dyDescent="0.25">
      <c r="B4220" s="65">
        <v>33476</v>
      </c>
      <c r="C4220" t="s">
        <v>838</v>
      </c>
    </row>
    <row r="4221" spans="2:3" hidden="1" x14ac:dyDescent="0.25">
      <c r="B4221" s="65">
        <v>33475</v>
      </c>
      <c r="C4221" t="s">
        <v>177</v>
      </c>
    </row>
    <row r="4222" spans="2:3" hidden="1" x14ac:dyDescent="0.25">
      <c r="B4222" s="65">
        <v>33475</v>
      </c>
      <c r="C4222" t="s">
        <v>1571</v>
      </c>
    </row>
    <row r="4223" spans="2:3" hidden="1" x14ac:dyDescent="0.25">
      <c r="B4223" s="65">
        <v>33448</v>
      </c>
      <c r="C4223" t="s">
        <v>954</v>
      </c>
    </row>
    <row r="4224" spans="2:3" hidden="1" x14ac:dyDescent="0.25">
      <c r="B4224" s="65">
        <v>33447</v>
      </c>
      <c r="C4224" t="s">
        <v>129</v>
      </c>
    </row>
    <row r="4225" spans="2:3" hidden="1" x14ac:dyDescent="0.25">
      <c r="B4225" s="65">
        <v>33434</v>
      </c>
      <c r="C4225" t="s">
        <v>501</v>
      </c>
    </row>
    <row r="4226" spans="2:3" hidden="1" x14ac:dyDescent="0.25">
      <c r="B4226" s="65">
        <v>33425</v>
      </c>
      <c r="C4226" t="s">
        <v>1155</v>
      </c>
    </row>
    <row r="4227" spans="2:3" hidden="1" x14ac:dyDescent="0.25">
      <c r="B4227" s="65">
        <v>33423</v>
      </c>
      <c r="C4227" t="s">
        <v>310</v>
      </c>
    </row>
    <row r="4228" spans="2:3" hidden="1" x14ac:dyDescent="0.25">
      <c r="B4228" s="65">
        <v>33419</v>
      </c>
      <c r="C4228" t="s">
        <v>1445</v>
      </c>
    </row>
    <row r="4229" spans="2:3" hidden="1" x14ac:dyDescent="0.25">
      <c r="B4229" s="65">
        <v>33415</v>
      </c>
      <c r="C4229" t="s">
        <v>269</v>
      </c>
    </row>
    <row r="4230" spans="2:3" hidden="1" x14ac:dyDescent="0.25">
      <c r="B4230" s="65">
        <v>33409</v>
      </c>
      <c r="C4230" t="s">
        <v>1255</v>
      </c>
    </row>
    <row r="4231" spans="2:3" hidden="1" x14ac:dyDescent="0.25">
      <c r="B4231" s="65">
        <v>33403</v>
      </c>
      <c r="C4231" t="s">
        <v>46</v>
      </c>
    </row>
    <row r="4232" spans="2:3" hidden="1" x14ac:dyDescent="0.25">
      <c r="B4232" s="65">
        <v>33393</v>
      </c>
      <c r="C4232" t="s">
        <v>795</v>
      </c>
    </row>
    <row r="4233" spans="2:3" hidden="1" x14ac:dyDescent="0.25">
      <c r="B4233" s="65">
        <v>33392</v>
      </c>
      <c r="C4233" t="s">
        <v>200</v>
      </c>
    </row>
    <row r="4234" spans="2:3" hidden="1" x14ac:dyDescent="0.25">
      <c r="B4234" s="65">
        <v>33381</v>
      </c>
      <c r="C4234" t="s">
        <v>1558</v>
      </c>
    </row>
    <row r="4235" spans="2:3" hidden="1" x14ac:dyDescent="0.25">
      <c r="B4235" s="65">
        <v>33369</v>
      </c>
      <c r="C4235" t="s">
        <v>760</v>
      </c>
    </row>
    <row r="4236" spans="2:3" hidden="1" x14ac:dyDescent="0.25">
      <c r="B4236" s="65">
        <v>33358</v>
      </c>
      <c r="C4236" t="s">
        <v>466</v>
      </c>
    </row>
    <row r="4237" spans="2:3" hidden="1" x14ac:dyDescent="0.25">
      <c r="B4237" s="65">
        <v>33356</v>
      </c>
      <c r="C4237" t="s">
        <v>1575</v>
      </c>
    </row>
    <row r="4238" spans="2:3" hidden="1" x14ac:dyDescent="0.25">
      <c r="B4238" s="65">
        <v>33346</v>
      </c>
      <c r="C4238" t="s">
        <v>779</v>
      </c>
    </row>
    <row r="4239" spans="2:3" hidden="1" x14ac:dyDescent="0.25">
      <c r="B4239" s="65">
        <v>33336</v>
      </c>
      <c r="C4239" t="s">
        <v>1522</v>
      </c>
    </row>
    <row r="4240" spans="2:3" hidden="1" x14ac:dyDescent="0.25">
      <c r="B4240" s="65">
        <v>33326</v>
      </c>
      <c r="C4240" t="s">
        <v>1551</v>
      </c>
    </row>
    <row r="4241" spans="2:3" hidden="1" x14ac:dyDescent="0.25">
      <c r="B4241" s="65">
        <v>33323</v>
      </c>
      <c r="C4241" t="s">
        <v>83</v>
      </c>
    </row>
    <row r="4242" spans="2:3" hidden="1" x14ac:dyDescent="0.25">
      <c r="B4242" s="65">
        <v>33304</v>
      </c>
      <c r="C4242" t="s">
        <v>1359</v>
      </c>
    </row>
    <row r="4243" spans="2:3" hidden="1" x14ac:dyDescent="0.25">
      <c r="B4243" s="65">
        <v>33299</v>
      </c>
      <c r="C4243" t="s">
        <v>1149</v>
      </c>
    </row>
    <row r="4244" spans="2:3" hidden="1" x14ac:dyDescent="0.25">
      <c r="B4244" s="65">
        <v>33295</v>
      </c>
      <c r="C4244" t="s">
        <v>939</v>
      </c>
    </row>
    <row r="4245" spans="2:3" hidden="1" x14ac:dyDescent="0.25">
      <c r="B4245" s="65">
        <v>33292</v>
      </c>
      <c r="C4245" t="s">
        <v>224</v>
      </c>
    </row>
    <row r="4246" spans="2:3" hidden="1" x14ac:dyDescent="0.25">
      <c r="B4246" s="65">
        <v>33284</v>
      </c>
      <c r="C4246" t="s">
        <v>105</v>
      </c>
    </row>
    <row r="4247" spans="2:3" hidden="1" x14ac:dyDescent="0.25">
      <c r="B4247" s="65">
        <v>33283</v>
      </c>
      <c r="C4247" t="s">
        <v>75</v>
      </c>
    </row>
    <row r="4248" spans="2:3" hidden="1" x14ac:dyDescent="0.25">
      <c r="B4248" s="65">
        <v>33280</v>
      </c>
      <c r="C4248" t="s">
        <v>674</v>
      </c>
    </row>
    <row r="4249" spans="2:3" hidden="1" x14ac:dyDescent="0.25">
      <c r="B4249" s="65">
        <v>33280</v>
      </c>
      <c r="C4249" t="s">
        <v>1336</v>
      </c>
    </row>
    <row r="4250" spans="2:3" hidden="1" x14ac:dyDescent="0.25">
      <c r="B4250" s="65">
        <v>33278</v>
      </c>
      <c r="C4250" t="s">
        <v>1288</v>
      </c>
    </row>
    <row r="4251" spans="2:3" hidden="1" x14ac:dyDescent="0.25">
      <c r="B4251" s="65">
        <v>33273</v>
      </c>
      <c r="C4251" t="s">
        <v>177</v>
      </c>
    </row>
    <row r="4252" spans="2:3" hidden="1" x14ac:dyDescent="0.25">
      <c r="B4252" s="65">
        <v>33263</v>
      </c>
      <c r="C4252" t="s">
        <v>1382</v>
      </c>
    </row>
    <row r="4253" spans="2:3" hidden="1" x14ac:dyDescent="0.25">
      <c r="B4253" s="65">
        <v>33258</v>
      </c>
      <c r="C4253" t="s">
        <v>608</v>
      </c>
    </row>
    <row r="4254" spans="2:3" hidden="1" x14ac:dyDescent="0.25">
      <c r="B4254" s="65">
        <v>33252</v>
      </c>
      <c r="C4254" t="s">
        <v>90</v>
      </c>
    </row>
    <row r="4255" spans="2:3" hidden="1" x14ac:dyDescent="0.25">
      <c r="B4255" s="65">
        <v>33252</v>
      </c>
      <c r="C4255" t="s">
        <v>933</v>
      </c>
    </row>
    <row r="4256" spans="2:3" hidden="1" x14ac:dyDescent="0.25">
      <c r="B4256" s="65">
        <v>33249</v>
      </c>
      <c r="C4256" t="s">
        <v>556</v>
      </c>
    </row>
    <row r="4257" spans="2:3" hidden="1" x14ac:dyDescent="0.25">
      <c r="B4257" s="65">
        <v>33236</v>
      </c>
      <c r="C4257" t="s">
        <v>806</v>
      </c>
    </row>
    <row r="4258" spans="2:3" hidden="1" x14ac:dyDescent="0.25">
      <c r="B4258" s="65">
        <v>33235</v>
      </c>
      <c r="C4258" t="s">
        <v>194</v>
      </c>
    </row>
    <row r="4259" spans="2:3" hidden="1" x14ac:dyDescent="0.25">
      <c r="B4259" s="65">
        <v>33228</v>
      </c>
      <c r="C4259" t="s">
        <v>346</v>
      </c>
    </row>
    <row r="4260" spans="2:3" hidden="1" x14ac:dyDescent="0.25">
      <c r="B4260" s="65">
        <v>33219</v>
      </c>
      <c r="C4260" t="s">
        <v>801</v>
      </c>
    </row>
    <row r="4261" spans="2:3" hidden="1" x14ac:dyDescent="0.25">
      <c r="B4261" s="65">
        <v>33213</v>
      </c>
      <c r="C4261" t="s">
        <v>1353</v>
      </c>
    </row>
    <row r="4262" spans="2:3" hidden="1" x14ac:dyDescent="0.25">
      <c r="B4262" s="65">
        <v>33195</v>
      </c>
      <c r="C4262" t="s">
        <v>251</v>
      </c>
    </row>
    <row r="4263" spans="2:3" hidden="1" x14ac:dyDescent="0.25">
      <c r="B4263" s="65">
        <v>33182</v>
      </c>
      <c r="C4263" t="s">
        <v>1470</v>
      </c>
    </row>
    <row r="4264" spans="2:3" hidden="1" x14ac:dyDescent="0.25">
      <c r="B4264" s="65">
        <v>33181</v>
      </c>
      <c r="C4264" t="s">
        <v>416</v>
      </c>
    </row>
    <row r="4265" spans="2:3" hidden="1" x14ac:dyDescent="0.25">
      <c r="B4265" s="65">
        <v>33178</v>
      </c>
      <c r="C4265" t="s">
        <v>960</v>
      </c>
    </row>
    <row r="4266" spans="2:3" hidden="1" x14ac:dyDescent="0.25">
      <c r="B4266" s="65">
        <v>33162</v>
      </c>
      <c r="C4266" t="s">
        <v>874</v>
      </c>
    </row>
    <row r="4267" spans="2:3" hidden="1" x14ac:dyDescent="0.25">
      <c r="B4267" s="65">
        <v>33147</v>
      </c>
      <c r="C4267" t="s">
        <v>650</v>
      </c>
    </row>
    <row r="4268" spans="2:3" hidden="1" x14ac:dyDescent="0.25">
      <c r="B4268" s="65">
        <v>33146</v>
      </c>
      <c r="C4268" t="s">
        <v>163</v>
      </c>
    </row>
    <row r="4269" spans="2:3" hidden="1" x14ac:dyDescent="0.25">
      <c r="B4269" s="65">
        <v>33142</v>
      </c>
      <c r="C4269" t="s">
        <v>1089</v>
      </c>
    </row>
    <row r="4270" spans="2:3" hidden="1" x14ac:dyDescent="0.25">
      <c r="B4270" s="65">
        <v>33137</v>
      </c>
      <c r="C4270" t="s">
        <v>30</v>
      </c>
    </row>
    <row r="4271" spans="2:3" hidden="1" x14ac:dyDescent="0.25">
      <c r="B4271" s="65">
        <v>33137</v>
      </c>
      <c r="C4271" t="s">
        <v>1518</v>
      </c>
    </row>
    <row r="4272" spans="2:3" hidden="1" x14ac:dyDescent="0.25">
      <c r="B4272" s="65">
        <v>33128</v>
      </c>
      <c r="C4272" t="s">
        <v>1203</v>
      </c>
    </row>
    <row r="4273" spans="2:3" hidden="1" x14ac:dyDescent="0.25">
      <c r="B4273" s="65">
        <v>33111</v>
      </c>
      <c r="C4273" t="s">
        <v>696</v>
      </c>
    </row>
    <row r="4274" spans="2:3" hidden="1" x14ac:dyDescent="0.25">
      <c r="B4274" s="65">
        <v>33100</v>
      </c>
      <c r="C4274" t="s">
        <v>525</v>
      </c>
    </row>
    <row r="4275" spans="2:3" hidden="1" x14ac:dyDescent="0.25">
      <c r="B4275" s="65">
        <v>33087</v>
      </c>
      <c r="C4275" t="s">
        <v>1112</v>
      </c>
    </row>
    <row r="4276" spans="2:3" hidden="1" x14ac:dyDescent="0.25">
      <c r="B4276" s="65">
        <v>33061</v>
      </c>
      <c r="C4276" t="s">
        <v>614</v>
      </c>
    </row>
    <row r="4277" spans="2:3" hidden="1" x14ac:dyDescent="0.25">
      <c r="B4277" s="65">
        <v>33060</v>
      </c>
      <c r="C4277" t="s">
        <v>755</v>
      </c>
    </row>
    <row r="4278" spans="2:3" hidden="1" x14ac:dyDescent="0.25">
      <c r="B4278" s="65">
        <v>33044</v>
      </c>
      <c r="C4278" t="s">
        <v>811</v>
      </c>
    </row>
    <row r="4279" spans="2:3" hidden="1" x14ac:dyDescent="0.25">
      <c r="B4279" s="65">
        <v>33033</v>
      </c>
      <c r="C4279" t="s">
        <v>690</v>
      </c>
    </row>
    <row r="4280" spans="2:3" hidden="1" x14ac:dyDescent="0.25">
      <c r="B4280" s="65">
        <v>33026</v>
      </c>
      <c r="C4280" t="s">
        <v>135</v>
      </c>
    </row>
    <row r="4281" spans="2:3" hidden="1" x14ac:dyDescent="0.25">
      <c r="B4281" s="65">
        <v>33014</v>
      </c>
      <c r="C4281" t="s">
        <v>943</v>
      </c>
    </row>
    <row r="4282" spans="2:3" hidden="1" x14ac:dyDescent="0.25">
      <c r="B4282" s="65">
        <v>32992</v>
      </c>
      <c r="C4282" t="s">
        <v>576</v>
      </c>
    </row>
    <row r="4283" spans="2:3" hidden="1" x14ac:dyDescent="0.25">
      <c r="B4283" s="65">
        <v>32983</v>
      </c>
      <c r="C4283" t="s">
        <v>773</v>
      </c>
    </row>
    <row r="4284" spans="2:3" hidden="1" x14ac:dyDescent="0.25">
      <c r="B4284" s="65">
        <v>32981</v>
      </c>
      <c r="C4284" t="s">
        <v>815</v>
      </c>
    </row>
    <row r="4285" spans="2:3" hidden="1" x14ac:dyDescent="0.25">
      <c r="B4285" s="65">
        <v>32978</v>
      </c>
      <c r="C4285" t="s">
        <v>1160</v>
      </c>
    </row>
    <row r="4286" spans="2:3" hidden="1" x14ac:dyDescent="0.25">
      <c r="B4286" s="65">
        <v>32966</v>
      </c>
      <c r="C4286" t="s">
        <v>588</v>
      </c>
    </row>
    <row r="4287" spans="2:3" hidden="1" x14ac:dyDescent="0.25">
      <c r="B4287" s="65">
        <v>32961</v>
      </c>
      <c r="C4287" t="s">
        <v>1054</v>
      </c>
    </row>
    <row r="4288" spans="2:3" hidden="1" x14ac:dyDescent="0.25">
      <c r="B4288" s="65">
        <v>32956</v>
      </c>
      <c r="C4288" t="s">
        <v>1251</v>
      </c>
    </row>
    <row r="4289" spans="2:3" hidden="1" x14ac:dyDescent="0.25">
      <c r="B4289" s="65">
        <v>32952</v>
      </c>
      <c r="C4289" t="s">
        <v>1144</v>
      </c>
    </row>
    <row r="4290" spans="2:3" hidden="1" x14ac:dyDescent="0.25">
      <c r="B4290" s="65">
        <v>32946</v>
      </c>
      <c r="C4290" t="s">
        <v>920</v>
      </c>
    </row>
    <row r="4291" spans="2:3" hidden="1" x14ac:dyDescent="0.25">
      <c r="B4291" s="65">
        <v>32944</v>
      </c>
      <c r="C4291" t="s">
        <v>97</v>
      </c>
    </row>
    <row r="4292" spans="2:3" hidden="1" x14ac:dyDescent="0.25">
      <c r="B4292" s="65">
        <v>32938</v>
      </c>
      <c r="C4292" t="s">
        <v>112</v>
      </c>
    </row>
    <row r="4293" spans="2:3" hidden="1" x14ac:dyDescent="0.25">
      <c r="B4293" s="65">
        <v>32934</v>
      </c>
      <c r="C4293" t="s">
        <v>459</v>
      </c>
    </row>
    <row r="4294" spans="2:3" hidden="1" x14ac:dyDescent="0.25">
      <c r="B4294" s="65">
        <v>32925</v>
      </c>
      <c r="C4294" t="s">
        <v>275</v>
      </c>
    </row>
    <row r="4295" spans="2:3" hidden="1" x14ac:dyDescent="0.25">
      <c r="B4295" s="65">
        <v>32925</v>
      </c>
      <c r="C4295" t="s">
        <v>1464</v>
      </c>
    </row>
    <row r="4296" spans="2:3" hidden="1" x14ac:dyDescent="0.25">
      <c r="B4296" s="65">
        <v>32924</v>
      </c>
      <c r="C4296" t="s">
        <v>387</v>
      </c>
    </row>
    <row r="4297" spans="2:3" hidden="1" x14ac:dyDescent="0.25">
      <c r="B4297" s="65">
        <v>32919</v>
      </c>
      <c r="C4297" t="s">
        <v>1476</v>
      </c>
    </row>
    <row r="4298" spans="2:3" hidden="1" x14ac:dyDescent="0.25">
      <c r="B4298" s="65">
        <v>32897</v>
      </c>
      <c r="C4298" t="s">
        <v>1095</v>
      </c>
    </row>
    <row r="4299" spans="2:3" hidden="1" x14ac:dyDescent="0.25">
      <c r="B4299" s="65">
        <v>32888</v>
      </c>
      <c r="C4299" t="s">
        <v>1241</v>
      </c>
    </row>
    <row r="4300" spans="2:3" hidden="1" x14ac:dyDescent="0.25">
      <c r="B4300" s="65">
        <v>32869</v>
      </c>
      <c r="C4300" t="s">
        <v>3060</v>
      </c>
    </row>
    <row r="4301" spans="2:3" hidden="1" x14ac:dyDescent="0.25">
      <c r="B4301" s="65">
        <v>32862</v>
      </c>
      <c r="C4301" t="s">
        <v>3053</v>
      </c>
    </row>
    <row r="4302" spans="2:3" hidden="1" x14ac:dyDescent="0.25">
      <c r="B4302" s="65">
        <v>32857</v>
      </c>
      <c r="C4302" t="s">
        <v>3034</v>
      </c>
    </row>
    <row r="4303" spans="2:3" hidden="1" x14ac:dyDescent="0.25">
      <c r="B4303" s="65">
        <v>32849</v>
      </c>
      <c r="C4303" t="s">
        <v>3048</v>
      </c>
    </row>
    <row r="4304" spans="2:3" hidden="1" x14ac:dyDescent="0.25">
      <c r="B4304" s="65">
        <v>32845</v>
      </c>
      <c r="C4304" t="s">
        <v>3040</v>
      </c>
    </row>
    <row r="4305" spans="2:3" hidden="1" x14ac:dyDescent="0.25">
      <c r="B4305" s="65">
        <v>32804</v>
      </c>
      <c r="C4305" t="s">
        <v>30</v>
      </c>
    </row>
    <row r="4306" spans="2:3" hidden="1" x14ac:dyDescent="0.25">
      <c r="B4306" s="65">
        <v>32794</v>
      </c>
      <c r="C4306" t="s">
        <v>378</v>
      </c>
    </row>
    <row r="4307" spans="2:3" hidden="1" x14ac:dyDescent="0.25">
      <c r="B4307" s="65">
        <v>32789</v>
      </c>
      <c r="C4307" t="s">
        <v>3012</v>
      </c>
    </row>
    <row r="4308" spans="2:3" hidden="1" x14ac:dyDescent="0.25">
      <c r="B4308" s="65">
        <v>32764</v>
      </c>
      <c r="C4308" t="s">
        <v>1842</v>
      </c>
    </row>
    <row r="4309" spans="2:3" hidden="1" x14ac:dyDescent="0.25">
      <c r="B4309" s="65">
        <v>32749</v>
      </c>
      <c r="C4309" t="s">
        <v>2496</v>
      </c>
    </row>
    <row r="4310" spans="2:3" hidden="1" x14ac:dyDescent="0.25">
      <c r="B4310" s="65">
        <v>32744</v>
      </c>
      <c r="C4310" t="s">
        <v>3001</v>
      </c>
    </row>
    <row r="4311" spans="2:3" hidden="1" x14ac:dyDescent="0.25">
      <c r="B4311" s="65">
        <v>32730</v>
      </c>
      <c r="C4311" t="s">
        <v>3007</v>
      </c>
    </row>
    <row r="4312" spans="2:3" hidden="1" x14ac:dyDescent="0.25">
      <c r="B4312" s="65">
        <v>32721</v>
      </c>
      <c r="C4312" t="s">
        <v>3017</v>
      </c>
    </row>
    <row r="4313" spans="2:3" hidden="1" x14ac:dyDescent="0.25">
      <c r="B4313" s="65">
        <v>32721</v>
      </c>
      <c r="C4313" t="s">
        <v>3024</v>
      </c>
    </row>
    <row r="4314" spans="2:3" hidden="1" x14ac:dyDescent="0.25">
      <c r="B4314" s="65">
        <v>32714</v>
      </c>
      <c r="C4314" t="s">
        <v>2009</v>
      </c>
    </row>
    <row r="4315" spans="2:3" hidden="1" x14ac:dyDescent="0.25">
      <c r="B4315" s="65">
        <v>32703</v>
      </c>
      <c r="C4315" t="s">
        <v>2992</v>
      </c>
    </row>
    <row r="4316" spans="2:3" hidden="1" x14ac:dyDescent="0.25">
      <c r="B4316" s="65">
        <v>32697</v>
      </c>
      <c r="C4316" t="s">
        <v>2856</v>
      </c>
    </row>
    <row r="4317" spans="2:3" hidden="1" x14ac:dyDescent="0.25">
      <c r="B4317" s="65">
        <v>32690</v>
      </c>
      <c r="C4317" t="s">
        <v>2810</v>
      </c>
    </row>
    <row r="4318" spans="2:3" hidden="1" x14ac:dyDescent="0.25">
      <c r="B4318" s="65">
        <v>32682</v>
      </c>
      <c r="C4318" t="s">
        <v>2895</v>
      </c>
    </row>
    <row r="4319" spans="2:3" hidden="1" x14ac:dyDescent="0.25">
      <c r="B4319" s="65">
        <v>32673</v>
      </c>
      <c r="C4319" t="s">
        <v>2769</v>
      </c>
    </row>
    <row r="4320" spans="2:3" hidden="1" x14ac:dyDescent="0.25">
      <c r="B4320" s="65">
        <v>32668</v>
      </c>
      <c r="C4320" t="s">
        <v>2815</v>
      </c>
    </row>
    <row r="4321" spans="2:3" hidden="1" x14ac:dyDescent="0.25">
      <c r="B4321" s="65">
        <v>32628</v>
      </c>
      <c r="C4321" t="s">
        <v>2697</v>
      </c>
    </row>
    <row r="4322" spans="2:3" hidden="1" x14ac:dyDescent="0.25">
      <c r="B4322" s="65">
        <v>32624</v>
      </c>
      <c r="C4322" t="s">
        <v>2805</v>
      </c>
    </row>
    <row r="4323" spans="2:3" hidden="1" x14ac:dyDescent="0.25">
      <c r="B4323" s="65">
        <v>32620</v>
      </c>
      <c r="C4323" t="s">
        <v>2800</v>
      </c>
    </row>
    <row r="4324" spans="2:3" hidden="1" x14ac:dyDescent="0.25">
      <c r="B4324" s="65">
        <v>32588</v>
      </c>
      <c r="C4324" t="s">
        <v>2826</v>
      </c>
    </row>
    <row r="4325" spans="2:3" hidden="1" x14ac:dyDescent="0.25">
      <c r="B4325" s="65">
        <v>32552</v>
      </c>
      <c r="C4325" t="s">
        <v>2982</v>
      </c>
    </row>
    <row r="4326" spans="2:3" hidden="1" x14ac:dyDescent="0.25">
      <c r="B4326" s="65">
        <v>32535</v>
      </c>
      <c r="C4326" t="s">
        <v>2840</v>
      </c>
    </row>
    <row r="4327" spans="2:3" hidden="1" x14ac:dyDescent="0.25">
      <c r="B4327" s="65">
        <v>32515</v>
      </c>
      <c r="C4327" t="s">
        <v>1733</v>
      </c>
    </row>
    <row r="4328" spans="2:3" hidden="1" x14ac:dyDescent="0.25">
      <c r="B4328" s="65">
        <v>32515</v>
      </c>
      <c r="C4328" t="s">
        <v>2759</v>
      </c>
    </row>
    <row r="4329" spans="2:3" hidden="1" x14ac:dyDescent="0.25">
      <c r="B4329" s="65">
        <v>32498</v>
      </c>
      <c r="C4329" t="s">
        <v>2646</v>
      </c>
    </row>
    <row r="4330" spans="2:3" hidden="1" x14ac:dyDescent="0.25">
      <c r="B4330" s="65">
        <v>32491</v>
      </c>
      <c r="C4330" t="s">
        <v>2904</v>
      </c>
    </row>
    <row r="4331" spans="2:3" hidden="1" x14ac:dyDescent="0.25">
      <c r="B4331" s="65">
        <v>32490</v>
      </c>
      <c r="C4331" t="s">
        <v>2971</v>
      </c>
    </row>
    <row r="4332" spans="2:3" hidden="1" x14ac:dyDescent="0.25">
      <c r="B4332" s="65">
        <v>32481</v>
      </c>
      <c r="C4332" t="s">
        <v>2209</v>
      </c>
    </row>
    <row r="4333" spans="2:3" hidden="1" x14ac:dyDescent="0.25">
      <c r="B4333" s="65">
        <v>32475</v>
      </c>
      <c r="C4333" t="s">
        <v>2704</v>
      </c>
    </row>
    <row r="4334" spans="2:3" hidden="1" x14ac:dyDescent="0.25">
      <c r="B4334" s="65">
        <v>32470</v>
      </c>
      <c r="C4334" t="s">
        <v>2652</v>
      </c>
    </row>
    <row r="4335" spans="2:3" hidden="1" x14ac:dyDescent="0.25">
      <c r="B4335" s="65">
        <v>32438</v>
      </c>
      <c r="C4335" t="s">
        <v>2762</v>
      </c>
    </row>
    <row r="4336" spans="2:3" hidden="1" x14ac:dyDescent="0.25">
      <c r="B4336" s="65">
        <v>32437</v>
      </c>
      <c r="C4336" t="s">
        <v>2891</v>
      </c>
    </row>
    <row r="4337" spans="2:3" hidden="1" x14ac:dyDescent="0.25">
      <c r="B4337" s="65">
        <v>32432</v>
      </c>
      <c r="C4337" t="s">
        <v>2866</v>
      </c>
    </row>
    <row r="4338" spans="2:3" hidden="1" x14ac:dyDescent="0.25">
      <c r="B4338" s="65">
        <v>32431</v>
      </c>
      <c r="C4338" t="s">
        <v>2733</v>
      </c>
    </row>
    <row r="4339" spans="2:3" hidden="1" x14ac:dyDescent="0.25">
      <c r="B4339" s="65">
        <v>32426</v>
      </c>
      <c r="C4339" t="s">
        <v>2639</v>
      </c>
    </row>
    <row r="4340" spans="2:3" hidden="1" x14ac:dyDescent="0.25">
      <c r="B4340" s="65">
        <v>32408</v>
      </c>
      <c r="C4340" t="s">
        <v>2820</v>
      </c>
    </row>
    <row r="4341" spans="2:3" hidden="1" x14ac:dyDescent="0.25">
      <c r="B4341" s="65">
        <v>32405</v>
      </c>
      <c r="C4341" t="s">
        <v>2777</v>
      </c>
    </row>
    <row r="4342" spans="2:3" hidden="1" x14ac:dyDescent="0.25">
      <c r="B4342" s="65">
        <v>32402</v>
      </c>
      <c r="C4342" t="s">
        <v>2918</v>
      </c>
    </row>
    <row r="4343" spans="2:3" hidden="1" x14ac:dyDescent="0.25">
      <c r="B4343" s="65">
        <v>32375</v>
      </c>
      <c r="C4343" t="s">
        <v>2710</v>
      </c>
    </row>
    <row r="4344" spans="2:3" hidden="1" x14ac:dyDescent="0.25">
      <c r="B4344" s="65">
        <v>32374</v>
      </c>
      <c r="C4344" t="s">
        <v>2931</v>
      </c>
    </row>
    <row r="4345" spans="2:3" hidden="1" x14ac:dyDescent="0.25">
      <c r="B4345" s="65">
        <v>32367</v>
      </c>
      <c r="C4345" t="s">
        <v>2622</v>
      </c>
    </row>
    <row r="4346" spans="2:3" hidden="1" x14ac:dyDescent="0.25">
      <c r="B4346" s="65">
        <v>32346</v>
      </c>
      <c r="C4346" t="s">
        <v>2663</v>
      </c>
    </row>
    <row r="4347" spans="2:3" hidden="1" x14ac:dyDescent="0.25">
      <c r="B4347" s="65">
        <v>32310</v>
      </c>
      <c r="C4347" t="s">
        <v>2612</v>
      </c>
    </row>
    <row r="4348" spans="2:3" hidden="1" x14ac:dyDescent="0.25">
      <c r="B4348" s="65">
        <v>32308</v>
      </c>
      <c r="C4348" t="s">
        <v>2860</v>
      </c>
    </row>
    <row r="4349" spans="2:3" hidden="1" x14ac:dyDescent="0.25">
      <c r="B4349" s="65">
        <v>32283</v>
      </c>
      <c r="C4349" t="s">
        <v>2976</v>
      </c>
    </row>
    <row r="4350" spans="2:3" hidden="1" x14ac:dyDescent="0.25">
      <c r="B4350" s="65">
        <v>32279</v>
      </c>
      <c r="C4350" t="s">
        <v>2627</v>
      </c>
    </row>
    <row r="4351" spans="2:3" hidden="1" x14ac:dyDescent="0.25">
      <c r="B4351" s="65">
        <v>32274</v>
      </c>
      <c r="C4351" t="s">
        <v>2870</v>
      </c>
    </row>
    <row r="4352" spans="2:3" hidden="1" x14ac:dyDescent="0.25">
      <c r="B4352" s="65">
        <v>32273</v>
      </c>
      <c r="C4352" t="s">
        <v>2958</v>
      </c>
    </row>
    <row r="4353" spans="2:3" hidden="1" x14ac:dyDescent="0.25">
      <c r="B4353" s="65">
        <v>32259</v>
      </c>
      <c r="C4353" t="s">
        <v>2716</v>
      </c>
    </row>
    <row r="4354" spans="2:3" hidden="1" x14ac:dyDescent="0.25">
      <c r="B4354" s="65">
        <v>32250</v>
      </c>
      <c r="C4354" t="s">
        <v>2940</v>
      </c>
    </row>
    <row r="4355" spans="2:3" hidden="1" x14ac:dyDescent="0.25">
      <c r="B4355" s="65">
        <v>32240</v>
      </c>
      <c r="C4355" t="s">
        <v>2945</v>
      </c>
    </row>
    <row r="4356" spans="2:3" hidden="1" x14ac:dyDescent="0.25">
      <c r="B4356" s="65">
        <v>32239</v>
      </c>
      <c r="C4356" t="s">
        <v>2884</v>
      </c>
    </row>
    <row r="4357" spans="2:3" hidden="1" x14ac:dyDescent="0.25">
      <c r="B4357" s="65">
        <v>32208</v>
      </c>
      <c r="C4357" t="s">
        <v>2689</v>
      </c>
    </row>
    <row r="4358" spans="2:3" hidden="1" x14ac:dyDescent="0.25">
      <c r="B4358" s="65">
        <v>32208</v>
      </c>
      <c r="C4358" t="s">
        <v>2565</v>
      </c>
    </row>
    <row r="4359" spans="2:3" hidden="1" x14ac:dyDescent="0.25">
      <c r="B4359" s="65">
        <v>32206</v>
      </c>
      <c r="C4359" t="s">
        <v>2949</v>
      </c>
    </row>
    <row r="4360" spans="2:3" hidden="1" x14ac:dyDescent="0.25">
      <c r="B4360" s="65">
        <v>32183</v>
      </c>
      <c r="C4360" t="s">
        <v>2901</v>
      </c>
    </row>
    <row r="4361" spans="2:3" hidden="1" x14ac:dyDescent="0.25">
      <c r="B4361" s="65">
        <v>32177</v>
      </c>
      <c r="C4361" t="s">
        <v>2722</v>
      </c>
    </row>
    <row r="4362" spans="2:3" hidden="1" x14ac:dyDescent="0.25">
      <c r="B4362" s="65">
        <v>32173</v>
      </c>
      <c r="C4362" t="s">
        <v>2790</v>
      </c>
    </row>
    <row r="4363" spans="2:3" hidden="1" x14ac:dyDescent="0.25">
      <c r="B4363" s="65">
        <v>32169</v>
      </c>
      <c r="C4363" t="s">
        <v>2875</v>
      </c>
    </row>
    <row r="4364" spans="2:3" hidden="1" x14ac:dyDescent="0.25">
      <c r="B4364" s="65">
        <v>32165</v>
      </c>
      <c r="C4364" t="s">
        <v>2753</v>
      </c>
    </row>
    <row r="4365" spans="2:3" hidden="1" x14ac:dyDescent="0.25">
      <c r="B4365" s="65">
        <v>32165</v>
      </c>
      <c r="C4365" t="s">
        <v>2836</v>
      </c>
    </row>
    <row r="4366" spans="2:3" hidden="1" x14ac:dyDescent="0.25">
      <c r="B4366" s="65">
        <v>32163</v>
      </c>
      <c r="C4366" t="s">
        <v>2846</v>
      </c>
    </row>
    <row r="4367" spans="2:3" hidden="1" x14ac:dyDescent="0.25">
      <c r="B4367" s="65">
        <v>32135</v>
      </c>
      <c r="C4367" t="s">
        <v>2925</v>
      </c>
    </row>
    <row r="4368" spans="2:3" hidden="1" x14ac:dyDescent="0.25">
      <c r="B4368" s="65">
        <v>32133</v>
      </c>
      <c r="C4368" t="s">
        <v>2851</v>
      </c>
    </row>
    <row r="4369" spans="2:3" hidden="1" x14ac:dyDescent="0.25">
      <c r="B4369" s="65">
        <v>32128</v>
      </c>
      <c r="C4369" t="s">
        <v>2748</v>
      </c>
    </row>
    <row r="4370" spans="2:3" hidden="1" x14ac:dyDescent="0.25">
      <c r="B4370" s="65">
        <v>32126</v>
      </c>
      <c r="C4370" t="s">
        <v>2795</v>
      </c>
    </row>
    <row r="4371" spans="2:3" hidden="1" x14ac:dyDescent="0.25">
      <c r="B4371" s="65">
        <v>32062</v>
      </c>
      <c r="C4371" t="s">
        <v>2684</v>
      </c>
    </row>
    <row r="4372" spans="2:3" hidden="1" x14ac:dyDescent="0.25">
      <c r="B4372" s="65">
        <v>32047</v>
      </c>
      <c r="C4372" t="s">
        <v>2674</v>
      </c>
    </row>
    <row r="4373" spans="2:3" hidden="1" x14ac:dyDescent="0.25">
      <c r="B4373" s="65">
        <v>32045</v>
      </c>
      <c r="C4373" t="s">
        <v>2360</v>
      </c>
    </row>
    <row r="4374" spans="2:3" hidden="1" x14ac:dyDescent="0.25">
      <c r="B4374" s="65">
        <v>31982</v>
      </c>
      <c r="C4374" t="s">
        <v>2914</v>
      </c>
    </row>
    <row r="4375" spans="2:3" hidden="1" x14ac:dyDescent="0.25">
      <c r="B4375" s="65">
        <v>31974</v>
      </c>
      <c r="C4375" t="s">
        <v>2680</v>
      </c>
    </row>
    <row r="4376" spans="2:3" hidden="1" x14ac:dyDescent="0.25">
      <c r="B4376" s="65">
        <v>31958</v>
      </c>
      <c r="C4376" t="s">
        <v>2908</v>
      </c>
    </row>
    <row r="4377" spans="2:3" hidden="1" x14ac:dyDescent="0.25">
      <c r="B4377" s="65">
        <v>31926</v>
      </c>
      <c r="C4377" t="s">
        <v>2736</v>
      </c>
    </row>
    <row r="4378" spans="2:3" hidden="1" x14ac:dyDescent="0.25">
      <c r="B4378" s="65">
        <v>31924</v>
      </c>
      <c r="C4378" t="s">
        <v>2669</v>
      </c>
    </row>
    <row r="4379" spans="2:3" hidden="1" x14ac:dyDescent="0.25">
      <c r="B4379" s="65">
        <v>31921</v>
      </c>
      <c r="C4379" t="s">
        <v>2935</v>
      </c>
    </row>
    <row r="4380" spans="2:3" hidden="1" x14ac:dyDescent="0.25">
      <c r="B4380" s="65">
        <v>31916</v>
      </c>
      <c r="C4380" t="s">
        <v>2633</v>
      </c>
    </row>
    <row r="4381" spans="2:3" hidden="1" x14ac:dyDescent="0.25">
      <c r="B4381" s="65">
        <v>31891</v>
      </c>
      <c r="C4381" t="s">
        <v>1806</v>
      </c>
    </row>
    <row r="4382" spans="2:3" hidden="1" x14ac:dyDescent="0.25">
      <c r="B4382" s="65">
        <v>31891</v>
      </c>
      <c r="C4382" t="s">
        <v>118</v>
      </c>
    </row>
    <row r="4383" spans="2:3" hidden="1" x14ac:dyDescent="0.25">
      <c r="B4383" s="65">
        <v>31848</v>
      </c>
      <c r="C4383" t="s">
        <v>2727</v>
      </c>
    </row>
    <row r="4384" spans="2:3" hidden="1" x14ac:dyDescent="0.25">
      <c r="B4384" s="65">
        <v>31847</v>
      </c>
      <c r="C4384" t="s">
        <v>2784</v>
      </c>
    </row>
    <row r="4385" spans="2:3" hidden="1" x14ac:dyDescent="0.25">
      <c r="B4385" s="65">
        <v>31845</v>
      </c>
      <c r="C4385" t="s">
        <v>2954</v>
      </c>
    </row>
    <row r="4386" spans="2:3" hidden="1" x14ac:dyDescent="0.25">
      <c r="B4386" s="65">
        <v>31801</v>
      </c>
      <c r="C4386" t="s">
        <v>310</v>
      </c>
    </row>
    <row r="4387" spans="2:3" hidden="1" x14ac:dyDescent="0.25">
      <c r="B4387" s="65">
        <v>31800</v>
      </c>
      <c r="C4387" t="s">
        <v>2987</v>
      </c>
    </row>
    <row r="4388" spans="2:3" hidden="1" x14ac:dyDescent="0.25">
      <c r="B4388" s="65">
        <v>31794</v>
      </c>
      <c r="C4388" t="s">
        <v>2856</v>
      </c>
    </row>
    <row r="4389" spans="2:3" hidden="1" x14ac:dyDescent="0.25">
      <c r="B4389" s="65">
        <v>31787</v>
      </c>
      <c r="C4389" t="s">
        <v>2830</v>
      </c>
    </row>
    <row r="4390" spans="2:3" hidden="1" x14ac:dyDescent="0.25">
      <c r="B4390" s="65">
        <v>31783</v>
      </c>
      <c r="C4390" t="s">
        <v>2964</v>
      </c>
    </row>
    <row r="4391" spans="2:3" hidden="1" x14ac:dyDescent="0.25">
      <c r="B4391" s="65">
        <v>31765</v>
      </c>
      <c r="C4391" t="s">
        <v>2000</v>
      </c>
    </row>
    <row r="4392" spans="2:3" hidden="1" x14ac:dyDescent="0.25">
      <c r="B4392" s="65">
        <v>31762</v>
      </c>
      <c r="C4392" t="s">
        <v>2606</v>
      </c>
    </row>
    <row r="4393" spans="2:3" hidden="1" x14ac:dyDescent="0.25">
      <c r="B4393" s="65">
        <v>31754</v>
      </c>
      <c r="C4393" t="s">
        <v>2599</v>
      </c>
    </row>
    <row r="4394" spans="2:3" hidden="1" x14ac:dyDescent="0.25">
      <c r="B4394" s="65">
        <v>31731</v>
      </c>
      <c r="C4394" t="s">
        <v>1313</v>
      </c>
    </row>
    <row r="4395" spans="2:3" hidden="1" x14ac:dyDescent="0.25">
      <c r="B4395" s="65">
        <v>31728</v>
      </c>
      <c r="C4395" t="s">
        <v>301</v>
      </c>
    </row>
    <row r="4396" spans="2:3" hidden="1" x14ac:dyDescent="0.25">
      <c r="B4396" s="65">
        <v>31663</v>
      </c>
      <c r="C4396" t="s">
        <v>1067</v>
      </c>
    </row>
    <row r="4397" spans="2:3" hidden="1" x14ac:dyDescent="0.25">
      <c r="B4397" s="65">
        <v>31661</v>
      </c>
      <c r="C4397" t="s">
        <v>141</v>
      </c>
    </row>
    <row r="4398" spans="2:3" hidden="1" x14ac:dyDescent="0.25">
      <c r="B4398" s="65">
        <v>31642</v>
      </c>
      <c r="C4398" t="s">
        <v>352</v>
      </c>
    </row>
    <row r="4399" spans="2:3" hidden="1" x14ac:dyDescent="0.25">
      <c r="B4399" s="65">
        <v>31642</v>
      </c>
      <c r="C4399" t="s">
        <v>1541</v>
      </c>
    </row>
    <row r="4400" spans="2:3" hidden="1" x14ac:dyDescent="0.25">
      <c r="B4400" s="65">
        <v>31631</v>
      </c>
      <c r="C4400" t="s">
        <v>994</v>
      </c>
    </row>
    <row r="4401" spans="2:3" hidden="1" x14ac:dyDescent="0.25">
      <c r="B4401" s="65">
        <v>31628</v>
      </c>
      <c r="C4401" t="s">
        <v>1375</v>
      </c>
    </row>
    <row r="4402" spans="2:3" hidden="1" x14ac:dyDescent="0.25">
      <c r="B4402" s="65">
        <v>31615</v>
      </c>
      <c r="C4402" t="s">
        <v>988</v>
      </c>
    </row>
    <row r="4403" spans="2:3" hidden="1" x14ac:dyDescent="0.25">
      <c r="B4403" s="65">
        <v>31612</v>
      </c>
      <c r="C4403" t="s">
        <v>1166</v>
      </c>
    </row>
    <row r="4404" spans="2:3" hidden="1" x14ac:dyDescent="0.25">
      <c r="B4404" s="65">
        <v>31599</v>
      </c>
      <c r="C4404" t="s">
        <v>403</v>
      </c>
    </row>
    <row r="4405" spans="2:3" hidden="1" x14ac:dyDescent="0.25">
      <c r="B4405" s="65">
        <v>31563</v>
      </c>
      <c r="C4405" t="s">
        <v>581</v>
      </c>
    </row>
    <row r="4406" spans="2:3" hidden="1" x14ac:dyDescent="0.25">
      <c r="B4406" s="65">
        <v>31559</v>
      </c>
      <c r="C4406" t="s">
        <v>1365</v>
      </c>
    </row>
    <row r="4407" spans="2:3" hidden="1" x14ac:dyDescent="0.25">
      <c r="B4407" s="65">
        <v>31540</v>
      </c>
      <c r="C4407" t="s">
        <v>1261</v>
      </c>
    </row>
    <row r="4408" spans="2:3" hidden="1" x14ac:dyDescent="0.25">
      <c r="B4408" s="65">
        <v>31532</v>
      </c>
      <c r="C4408" t="s">
        <v>493</v>
      </c>
    </row>
    <row r="4409" spans="2:3" hidden="1" x14ac:dyDescent="0.25">
      <c r="B4409" s="65">
        <v>31504</v>
      </c>
      <c r="C4409" t="s">
        <v>741</v>
      </c>
    </row>
    <row r="4410" spans="2:3" hidden="1" x14ac:dyDescent="0.25">
      <c r="B4410" s="65">
        <v>31484</v>
      </c>
      <c r="C4410" t="s">
        <v>1124</v>
      </c>
    </row>
    <row r="4411" spans="2:3" hidden="1" x14ac:dyDescent="0.25">
      <c r="B4411" s="65">
        <v>31476</v>
      </c>
      <c r="C4411" t="s">
        <v>620</v>
      </c>
    </row>
    <row r="4412" spans="2:3" hidden="1" x14ac:dyDescent="0.25">
      <c r="B4412" s="65">
        <v>31467</v>
      </c>
      <c r="C4412" t="s">
        <v>1414</v>
      </c>
    </row>
    <row r="4413" spans="2:3" hidden="1" x14ac:dyDescent="0.25">
      <c r="B4413" s="65">
        <v>31397</v>
      </c>
      <c r="C4413" t="s">
        <v>1224</v>
      </c>
    </row>
    <row r="4414" spans="2:3" hidden="1" x14ac:dyDescent="0.25">
      <c r="B4414" s="65">
        <v>31388</v>
      </c>
      <c r="C4414" t="s">
        <v>316</v>
      </c>
    </row>
    <row r="4415" spans="2:3" hidden="1" x14ac:dyDescent="0.25">
      <c r="B4415" s="65">
        <v>31385</v>
      </c>
      <c r="C4415" t="s">
        <v>765</v>
      </c>
    </row>
    <row r="4416" spans="2:3" hidden="1" x14ac:dyDescent="0.25">
      <c r="B4416" s="65">
        <v>31381</v>
      </c>
      <c r="C4416" t="s">
        <v>1035</v>
      </c>
    </row>
    <row r="4417" spans="2:3" hidden="1" x14ac:dyDescent="0.25">
      <c r="B4417" s="65">
        <v>31369</v>
      </c>
      <c r="C4417" t="s">
        <v>866</v>
      </c>
    </row>
    <row r="4418" spans="2:3" hidden="1" x14ac:dyDescent="0.25">
      <c r="B4418" s="65">
        <v>31333</v>
      </c>
      <c r="C4418" t="s">
        <v>1513</v>
      </c>
    </row>
    <row r="4419" spans="2:3" hidden="1" x14ac:dyDescent="0.25">
      <c r="B4419" s="65">
        <v>31326</v>
      </c>
      <c r="C4419" t="s">
        <v>1458</v>
      </c>
    </row>
    <row r="4420" spans="2:3" hidden="1" x14ac:dyDescent="0.25">
      <c r="B4420" s="65">
        <v>31325</v>
      </c>
      <c r="C4420" t="s">
        <v>215</v>
      </c>
    </row>
    <row r="4421" spans="2:3" hidden="1" x14ac:dyDescent="0.25">
      <c r="B4421" s="65">
        <v>31306</v>
      </c>
      <c r="C4421" t="s">
        <v>1060</v>
      </c>
    </row>
    <row r="4422" spans="2:3" hidden="1" x14ac:dyDescent="0.25">
      <c r="B4422" s="65">
        <v>31289</v>
      </c>
      <c r="C4422" t="s">
        <v>1022</v>
      </c>
    </row>
    <row r="4423" spans="2:3" hidden="1" x14ac:dyDescent="0.25">
      <c r="B4423" s="65">
        <v>31288</v>
      </c>
      <c r="C4423" t="s">
        <v>430</v>
      </c>
    </row>
    <row r="4424" spans="2:3" hidden="1" x14ac:dyDescent="0.25">
      <c r="B4424" s="65">
        <v>31285</v>
      </c>
      <c r="C4424" t="s">
        <v>1528</v>
      </c>
    </row>
    <row r="4425" spans="2:3" hidden="1" x14ac:dyDescent="0.25">
      <c r="B4425" s="65">
        <v>31205</v>
      </c>
      <c r="C4425" t="s">
        <v>1435</v>
      </c>
    </row>
    <row r="4426" spans="2:3" hidden="1" x14ac:dyDescent="0.25">
      <c r="B4426" s="65">
        <v>31195</v>
      </c>
      <c r="C4426" t="s">
        <v>1174</v>
      </c>
    </row>
    <row r="4427" spans="2:3" hidden="1" x14ac:dyDescent="0.25">
      <c r="B4427" s="65">
        <v>31109</v>
      </c>
      <c r="C4427" t="s">
        <v>1041</v>
      </c>
    </row>
    <row r="4428" spans="2:3" hidden="1" x14ac:dyDescent="0.25">
      <c r="B4428" s="65">
        <v>31106</v>
      </c>
      <c r="C4428" t="s">
        <v>628</v>
      </c>
    </row>
    <row r="4429" spans="2:3" hidden="1" x14ac:dyDescent="0.25">
      <c r="B4429" s="65">
        <v>31078</v>
      </c>
      <c r="C4429" t="s">
        <v>423</v>
      </c>
    </row>
    <row r="4430" spans="2:3" hidden="1" x14ac:dyDescent="0.25">
      <c r="B4430" s="65">
        <v>31068</v>
      </c>
      <c r="C4430" t="s">
        <v>1429</v>
      </c>
    </row>
    <row r="4431" spans="2:3" hidden="1" x14ac:dyDescent="0.25">
      <c r="B4431" s="65">
        <v>31043</v>
      </c>
      <c r="C4431" t="s">
        <v>530</v>
      </c>
    </row>
    <row r="4432" spans="2:3" hidden="1" x14ac:dyDescent="0.25">
      <c r="B4432" s="65">
        <v>31035</v>
      </c>
      <c r="C4432" t="s">
        <v>1084</v>
      </c>
    </row>
    <row r="4433" spans="2:3" hidden="1" x14ac:dyDescent="0.25">
      <c r="B4433" s="65">
        <v>31024</v>
      </c>
      <c r="C4433" t="s">
        <v>284</v>
      </c>
    </row>
    <row r="4434" spans="2:3" hidden="1" x14ac:dyDescent="0.25">
      <c r="B4434" s="65">
        <v>31014</v>
      </c>
      <c r="C4434" t="s">
        <v>231</v>
      </c>
    </row>
    <row r="4435" spans="2:3" hidden="1" x14ac:dyDescent="0.25">
      <c r="B4435" s="65">
        <v>31007</v>
      </c>
      <c r="C4435" t="s">
        <v>1267</v>
      </c>
    </row>
    <row r="4436" spans="2:3" hidden="1" x14ac:dyDescent="0.25">
      <c r="B4436" s="65">
        <v>30945</v>
      </c>
      <c r="C4436" t="s">
        <v>974</v>
      </c>
    </row>
    <row r="4437" spans="2:3" hidden="1" x14ac:dyDescent="0.25">
      <c r="B4437" s="65">
        <v>30943</v>
      </c>
      <c r="C4437" t="s">
        <v>897</v>
      </c>
    </row>
    <row r="4438" spans="2:3" hidden="1" x14ac:dyDescent="0.25">
      <c r="B4438" s="65">
        <v>30939</v>
      </c>
      <c r="C4438" t="s">
        <v>881</v>
      </c>
    </row>
    <row r="4439" spans="2:3" hidden="1" x14ac:dyDescent="0.25">
      <c r="B4439" s="65">
        <v>30934</v>
      </c>
      <c r="C4439" t="s">
        <v>394</v>
      </c>
    </row>
    <row r="4440" spans="2:3" hidden="1" x14ac:dyDescent="0.25">
      <c r="B4440" s="65">
        <v>30924</v>
      </c>
      <c r="C4440" t="s">
        <v>717</v>
      </c>
    </row>
    <row r="4441" spans="2:3" hidden="1" x14ac:dyDescent="0.25">
      <c r="B4441" s="65">
        <v>30892</v>
      </c>
      <c r="C4441" t="s">
        <v>1181</v>
      </c>
    </row>
    <row r="4442" spans="2:3" hidden="1" x14ac:dyDescent="0.25">
      <c r="B4442" s="65">
        <v>30863</v>
      </c>
      <c r="C4442" t="s">
        <v>477</v>
      </c>
    </row>
    <row r="4443" spans="2:3" hidden="1" x14ac:dyDescent="0.25">
      <c r="B4443" s="65">
        <v>30852</v>
      </c>
      <c r="C4443" t="s">
        <v>1589</v>
      </c>
    </row>
    <row r="4444" spans="2:3" hidden="1" x14ac:dyDescent="0.25">
      <c r="B4444" s="65">
        <v>30828</v>
      </c>
      <c r="C4444" t="s">
        <v>360</v>
      </c>
    </row>
    <row r="4445" spans="2:3" hidden="1" x14ac:dyDescent="0.25">
      <c r="B4445" s="65">
        <v>30827</v>
      </c>
      <c r="C4445" t="s">
        <v>2132</v>
      </c>
    </row>
    <row r="4446" spans="2:3" hidden="1" x14ac:dyDescent="0.25">
      <c r="B4446" s="65">
        <v>30823</v>
      </c>
      <c r="C4446" t="s">
        <v>2473</v>
      </c>
    </row>
    <row r="4447" spans="2:3" hidden="1" x14ac:dyDescent="0.25">
      <c r="B4447" s="65">
        <v>30801</v>
      </c>
      <c r="C4447" t="s">
        <v>2290</v>
      </c>
    </row>
    <row r="4448" spans="2:3" hidden="1" x14ac:dyDescent="0.25">
      <c r="B4448" s="65">
        <v>30770</v>
      </c>
      <c r="C4448" t="s">
        <v>2384</v>
      </c>
    </row>
    <row r="4449" spans="2:3" hidden="1" x14ac:dyDescent="0.25">
      <c r="B4449" s="65">
        <v>30736</v>
      </c>
      <c r="C4449" t="s">
        <v>2146</v>
      </c>
    </row>
    <row r="4450" spans="2:3" hidden="1" x14ac:dyDescent="0.25">
      <c r="B4450" s="65">
        <v>30719</v>
      </c>
      <c r="C4450" t="s">
        <v>2414</v>
      </c>
    </row>
    <row r="4451" spans="2:3" hidden="1" x14ac:dyDescent="0.25">
      <c r="B4451" s="65">
        <v>30709</v>
      </c>
      <c r="C4451" t="s">
        <v>2431</v>
      </c>
    </row>
    <row r="4452" spans="2:3" hidden="1" x14ac:dyDescent="0.25">
      <c r="B4452" s="65">
        <v>30705</v>
      </c>
      <c r="C4452" t="s">
        <v>2279</v>
      </c>
    </row>
    <row r="4453" spans="2:3" hidden="1" x14ac:dyDescent="0.25">
      <c r="B4453" s="65">
        <v>30682</v>
      </c>
      <c r="C4453" t="s">
        <v>2092</v>
      </c>
    </row>
    <row r="4454" spans="2:3" hidden="1" x14ac:dyDescent="0.25">
      <c r="B4454" s="65">
        <v>30646</v>
      </c>
      <c r="C4454" t="s">
        <v>2402</v>
      </c>
    </row>
    <row r="4455" spans="2:3" hidden="1" x14ac:dyDescent="0.25">
      <c r="B4455" s="65">
        <v>30631</v>
      </c>
      <c r="C4455" t="s">
        <v>2074</v>
      </c>
    </row>
    <row r="4456" spans="2:3" hidden="1" x14ac:dyDescent="0.25">
      <c r="B4456" s="65">
        <v>30582</v>
      </c>
      <c r="C4456" t="s">
        <v>2379</v>
      </c>
    </row>
    <row r="4457" spans="2:3" hidden="1" x14ac:dyDescent="0.25">
      <c r="B4457" s="65">
        <v>30581</v>
      </c>
      <c r="C4457" t="s">
        <v>2256</v>
      </c>
    </row>
    <row r="4458" spans="2:3" hidden="1" x14ac:dyDescent="0.25">
      <c r="B4458" s="65">
        <v>30573</v>
      </c>
      <c r="C4458" t="s">
        <v>2542</v>
      </c>
    </row>
    <row r="4459" spans="2:3" hidden="1" x14ac:dyDescent="0.25">
      <c r="B4459" s="65">
        <v>30560</v>
      </c>
      <c r="C4459" t="s">
        <v>2231</v>
      </c>
    </row>
    <row r="4460" spans="2:3" hidden="1" x14ac:dyDescent="0.25">
      <c r="B4460" s="65">
        <v>30555</v>
      </c>
      <c r="C4460" t="s">
        <v>403</v>
      </c>
    </row>
    <row r="4461" spans="2:3" hidden="1" x14ac:dyDescent="0.25">
      <c r="B4461" s="65">
        <v>30536</v>
      </c>
      <c r="C4461" t="s">
        <v>2296</v>
      </c>
    </row>
    <row r="4462" spans="2:3" hidden="1" x14ac:dyDescent="0.25">
      <c r="B4462" s="65">
        <v>30523</v>
      </c>
      <c r="C4462" t="s">
        <v>2222</v>
      </c>
    </row>
    <row r="4463" spans="2:3" hidden="1" x14ac:dyDescent="0.25">
      <c r="B4463" s="65">
        <v>30500</v>
      </c>
      <c r="C4463" t="s">
        <v>2360</v>
      </c>
    </row>
    <row r="4464" spans="2:3" hidden="1" x14ac:dyDescent="0.25">
      <c r="B4464" s="65">
        <v>30495</v>
      </c>
      <c r="C4464" t="s">
        <v>2533</v>
      </c>
    </row>
    <row r="4465" spans="2:3" hidden="1" x14ac:dyDescent="0.25">
      <c r="B4465" s="65">
        <v>30495</v>
      </c>
      <c r="C4465" t="s">
        <v>2584</v>
      </c>
    </row>
    <row r="4466" spans="2:3" hidden="1" x14ac:dyDescent="0.25">
      <c r="B4466" s="65">
        <v>30489</v>
      </c>
      <c r="C4466" t="s">
        <v>2354</v>
      </c>
    </row>
    <row r="4467" spans="2:3" hidden="1" x14ac:dyDescent="0.25">
      <c r="B4467" s="65">
        <v>30486</v>
      </c>
      <c r="C4467" t="s">
        <v>2396</v>
      </c>
    </row>
    <row r="4468" spans="2:3" hidden="1" x14ac:dyDescent="0.25">
      <c r="B4468" s="65">
        <v>30429</v>
      </c>
      <c r="C4468" t="s">
        <v>2390</v>
      </c>
    </row>
    <row r="4469" spans="2:3" hidden="1" x14ac:dyDescent="0.25">
      <c r="B4469" s="65">
        <v>30422</v>
      </c>
      <c r="C4469" t="s">
        <v>2084</v>
      </c>
    </row>
    <row r="4470" spans="2:3" hidden="1" x14ac:dyDescent="0.25">
      <c r="B4470" s="65">
        <v>30400</v>
      </c>
      <c r="C4470" t="s">
        <v>2138</v>
      </c>
    </row>
    <row r="4471" spans="2:3" hidden="1" x14ac:dyDescent="0.25">
      <c r="B4471" s="65">
        <v>30396</v>
      </c>
      <c r="C4471" t="s">
        <v>2119</v>
      </c>
    </row>
    <row r="4472" spans="2:3" hidden="1" x14ac:dyDescent="0.25">
      <c r="B4472" s="65">
        <v>30396</v>
      </c>
      <c r="C4472" t="s">
        <v>2215</v>
      </c>
    </row>
    <row r="4473" spans="2:3" hidden="1" x14ac:dyDescent="0.25">
      <c r="B4473" s="65">
        <v>30388</v>
      </c>
      <c r="C4473" t="s">
        <v>2441</v>
      </c>
    </row>
    <row r="4474" spans="2:3" hidden="1" x14ac:dyDescent="0.25">
      <c r="B4474" s="65">
        <v>30352</v>
      </c>
      <c r="C4474" t="s">
        <v>2338</v>
      </c>
    </row>
    <row r="4475" spans="2:3" hidden="1" x14ac:dyDescent="0.25">
      <c r="B4475" s="65">
        <v>30340</v>
      </c>
      <c r="C4475" t="s">
        <v>2517</v>
      </c>
    </row>
    <row r="4476" spans="2:3" hidden="1" x14ac:dyDescent="0.25">
      <c r="B4476" s="65">
        <v>30333</v>
      </c>
      <c r="C4476" t="s">
        <v>2209</v>
      </c>
    </row>
    <row r="4477" spans="2:3" hidden="1" x14ac:dyDescent="0.25">
      <c r="B4477" s="65">
        <v>30325</v>
      </c>
      <c r="C4477" t="s">
        <v>2250</v>
      </c>
    </row>
    <row r="4478" spans="2:3" hidden="1" x14ac:dyDescent="0.25">
      <c r="B4478" s="65">
        <v>30295</v>
      </c>
      <c r="C4478" t="s">
        <v>2445</v>
      </c>
    </row>
    <row r="4479" spans="2:3" hidden="1" x14ac:dyDescent="0.25">
      <c r="B4479" s="65">
        <v>30282</v>
      </c>
      <c r="C4479" t="s">
        <v>2286</v>
      </c>
    </row>
    <row r="4480" spans="2:3" hidden="1" x14ac:dyDescent="0.25">
      <c r="B4480" s="65">
        <v>30275</v>
      </c>
      <c r="C4480" t="s">
        <v>2304</v>
      </c>
    </row>
    <row r="4481" spans="2:3" hidden="1" x14ac:dyDescent="0.25">
      <c r="B4481" s="65">
        <v>30272</v>
      </c>
      <c r="C4481" t="s">
        <v>1103</v>
      </c>
    </row>
    <row r="4482" spans="2:3" hidden="1" x14ac:dyDescent="0.25">
      <c r="B4482" s="65">
        <v>30231</v>
      </c>
      <c r="C4482" t="s">
        <v>2420</v>
      </c>
    </row>
    <row r="4483" spans="2:3" hidden="1" x14ac:dyDescent="0.25">
      <c r="B4483" s="65">
        <v>30215</v>
      </c>
      <c r="C4483" t="s">
        <v>2491</v>
      </c>
    </row>
    <row r="4484" spans="2:3" hidden="1" x14ac:dyDescent="0.25">
      <c r="B4484" s="65">
        <v>30180</v>
      </c>
      <c r="C4484" t="s">
        <v>2466</v>
      </c>
    </row>
    <row r="4485" spans="2:3" hidden="1" x14ac:dyDescent="0.25">
      <c r="B4485" s="65">
        <v>30146</v>
      </c>
      <c r="C4485" t="s">
        <v>2267</v>
      </c>
    </row>
    <row r="4486" spans="2:3" hidden="1" x14ac:dyDescent="0.25">
      <c r="B4486" s="65">
        <v>30114</v>
      </c>
      <c r="C4486" t="s">
        <v>2105</v>
      </c>
    </row>
    <row r="4487" spans="2:3" hidden="1" x14ac:dyDescent="0.25">
      <c r="B4487" s="65">
        <v>30108</v>
      </c>
      <c r="C4487" t="s">
        <v>2485</v>
      </c>
    </row>
    <row r="4488" spans="2:3" hidden="1" x14ac:dyDescent="0.25">
      <c r="B4488" s="65">
        <v>30102</v>
      </c>
      <c r="C4488" t="s">
        <v>1155</v>
      </c>
    </row>
    <row r="4489" spans="2:3" hidden="1" x14ac:dyDescent="0.25">
      <c r="B4489" s="65">
        <v>30088</v>
      </c>
      <c r="C4489" t="s">
        <v>2043</v>
      </c>
    </row>
    <row r="4490" spans="2:3" hidden="1" x14ac:dyDescent="0.25">
      <c r="B4490" s="65">
        <v>30075</v>
      </c>
      <c r="C4490" t="s">
        <v>2060</v>
      </c>
    </row>
    <row r="4491" spans="2:3" hidden="1" x14ac:dyDescent="0.25">
      <c r="B4491" s="65">
        <v>30050</v>
      </c>
      <c r="C4491" t="s">
        <v>1103</v>
      </c>
    </row>
    <row r="4492" spans="2:3" hidden="1" x14ac:dyDescent="0.25">
      <c r="B4492" s="65">
        <v>29987</v>
      </c>
      <c r="C4492" t="s">
        <v>2196</v>
      </c>
    </row>
    <row r="4493" spans="2:3" hidden="1" x14ac:dyDescent="0.25">
      <c r="B4493" s="65">
        <v>29963</v>
      </c>
      <c r="C4493" t="s">
        <v>2368</v>
      </c>
    </row>
    <row r="4494" spans="2:3" hidden="1" x14ac:dyDescent="0.25">
      <c r="B4494" s="65">
        <v>29918</v>
      </c>
      <c r="C4494" t="s">
        <v>2408</v>
      </c>
    </row>
    <row r="4495" spans="2:3" hidden="1" x14ac:dyDescent="0.25">
      <c r="B4495" s="65">
        <v>29917</v>
      </c>
      <c r="C4495" t="s">
        <v>2165</v>
      </c>
    </row>
    <row r="4496" spans="2:3" hidden="1" x14ac:dyDescent="0.25">
      <c r="B4496" s="65">
        <v>29915</v>
      </c>
      <c r="C4496" t="s">
        <v>2511</v>
      </c>
    </row>
    <row r="4497" spans="2:3" hidden="1" x14ac:dyDescent="0.25">
      <c r="B4497" s="65">
        <v>29873</v>
      </c>
      <c r="C4497" t="s">
        <v>2203</v>
      </c>
    </row>
    <row r="4498" spans="2:3" hidden="1" x14ac:dyDescent="0.25">
      <c r="B4498" s="65">
        <v>29808</v>
      </c>
      <c r="C4498" t="s">
        <v>2126</v>
      </c>
    </row>
    <row r="4499" spans="2:3" hidden="1" x14ac:dyDescent="0.25">
      <c r="B4499" s="65">
        <v>29800</v>
      </c>
      <c r="C4499" t="s">
        <v>2528</v>
      </c>
    </row>
    <row r="4500" spans="2:3" hidden="1" x14ac:dyDescent="0.25">
      <c r="B4500" s="65">
        <v>29790</v>
      </c>
      <c r="C4500" t="s">
        <v>2569</v>
      </c>
    </row>
    <row r="4501" spans="2:3" hidden="1" x14ac:dyDescent="0.25">
      <c r="B4501" s="65">
        <v>29786</v>
      </c>
      <c r="C4501" t="s">
        <v>598</v>
      </c>
    </row>
    <row r="4502" spans="2:3" hidden="1" x14ac:dyDescent="0.25">
      <c r="B4502" s="65">
        <v>29785</v>
      </c>
      <c r="C4502" t="s">
        <v>2578</v>
      </c>
    </row>
    <row r="4503" spans="2:3" hidden="1" x14ac:dyDescent="0.25">
      <c r="B4503" s="65">
        <v>29750</v>
      </c>
      <c r="C4503" t="s">
        <v>2451</v>
      </c>
    </row>
    <row r="4504" spans="2:3" hidden="1" x14ac:dyDescent="0.25">
      <c r="B4504" s="65">
        <v>29735</v>
      </c>
      <c r="C4504" t="s">
        <v>2538</v>
      </c>
    </row>
    <row r="4505" spans="2:3" hidden="1" x14ac:dyDescent="0.25">
      <c r="B4505" s="65">
        <v>29714</v>
      </c>
      <c r="C4505" t="s">
        <v>2079</v>
      </c>
    </row>
    <row r="4506" spans="2:3" hidden="1" x14ac:dyDescent="0.25">
      <c r="B4506" s="65">
        <v>29714</v>
      </c>
      <c r="C4506" t="s">
        <v>598</v>
      </c>
    </row>
    <row r="4507" spans="2:3" hidden="1" x14ac:dyDescent="0.25">
      <c r="B4507" s="65">
        <v>29683</v>
      </c>
      <c r="C4507" t="s">
        <v>2332</v>
      </c>
    </row>
    <row r="4508" spans="2:3" hidden="1" x14ac:dyDescent="0.25">
      <c r="B4508" s="65">
        <v>29677</v>
      </c>
      <c r="C4508" t="s">
        <v>2192</v>
      </c>
    </row>
    <row r="4509" spans="2:3" hidden="1" x14ac:dyDescent="0.25">
      <c r="B4509" s="65">
        <v>29641</v>
      </c>
      <c r="C4509" t="s">
        <v>2343</v>
      </c>
    </row>
    <row r="4510" spans="2:3" hidden="1" x14ac:dyDescent="0.25">
      <c r="B4510" s="65">
        <v>29557</v>
      </c>
      <c r="C4510" t="s">
        <v>2502</v>
      </c>
    </row>
    <row r="4511" spans="2:3" hidden="1" x14ac:dyDescent="0.25">
      <c r="B4511" s="65">
        <v>29549</v>
      </c>
      <c r="C4511" t="s">
        <v>2261</v>
      </c>
    </row>
    <row r="4512" spans="2:3" hidden="1" x14ac:dyDescent="0.25">
      <c r="B4512" s="65">
        <v>29524</v>
      </c>
      <c r="C4512" t="s">
        <v>2546</v>
      </c>
    </row>
    <row r="4513" spans="2:3" hidden="1" x14ac:dyDescent="0.25">
      <c r="B4513" s="65">
        <v>29393</v>
      </c>
      <c r="C4513" t="s">
        <v>2559</v>
      </c>
    </row>
    <row r="4514" spans="2:3" hidden="1" x14ac:dyDescent="0.25">
      <c r="B4514" s="65">
        <v>29383</v>
      </c>
      <c r="C4514" t="s">
        <v>2320</v>
      </c>
    </row>
    <row r="4515" spans="2:3" hidden="1" x14ac:dyDescent="0.25">
      <c r="B4515" s="65">
        <v>29362</v>
      </c>
      <c r="C4515" t="s">
        <v>2550</v>
      </c>
    </row>
    <row r="4516" spans="2:3" hidden="1" x14ac:dyDescent="0.25">
      <c r="B4516" s="65">
        <v>29333</v>
      </c>
      <c r="C4516" t="s">
        <v>2326</v>
      </c>
    </row>
    <row r="4517" spans="2:3" hidden="1" x14ac:dyDescent="0.25">
      <c r="B4517" s="65">
        <v>29326</v>
      </c>
      <c r="C4517" t="s">
        <v>1348</v>
      </c>
    </row>
    <row r="4518" spans="2:3" hidden="1" x14ac:dyDescent="0.25">
      <c r="B4518" s="65">
        <v>29321</v>
      </c>
      <c r="C4518" t="s">
        <v>2180</v>
      </c>
    </row>
    <row r="4519" spans="2:3" hidden="1" x14ac:dyDescent="0.25">
      <c r="B4519" s="65">
        <v>29269</v>
      </c>
      <c r="C4519" t="s">
        <v>2459</v>
      </c>
    </row>
    <row r="4520" spans="2:3" hidden="1" x14ac:dyDescent="0.25">
      <c r="B4520" s="65">
        <v>29264</v>
      </c>
      <c r="C4520" t="s">
        <v>2047</v>
      </c>
    </row>
    <row r="4521" spans="2:3" hidden="1" x14ac:dyDescent="0.25">
      <c r="B4521" s="65">
        <v>29246</v>
      </c>
      <c r="C4521" t="s">
        <v>2522</v>
      </c>
    </row>
    <row r="4522" spans="2:3" hidden="1" x14ac:dyDescent="0.25">
      <c r="B4522" s="65">
        <v>29224</v>
      </c>
      <c r="C4522" t="s">
        <v>112</v>
      </c>
    </row>
    <row r="4523" spans="2:3" hidden="1" x14ac:dyDescent="0.25">
      <c r="B4523" s="65">
        <v>29187</v>
      </c>
      <c r="C4523" t="s">
        <v>681</v>
      </c>
    </row>
    <row r="4524" spans="2:3" hidden="1" x14ac:dyDescent="0.25">
      <c r="B4524" s="65">
        <v>29175</v>
      </c>
      <c r="C4524" t="s">
        <v>2299</v>
      </c>
    </row>
    <row r="4525" spans="2:3" hidden="1" x14ac:dyDescent="0.25">
      <c r="B4525" s="65">
        <v>29161</v>
      </c>
      <c r="C4525" t="s">
        <v>2158</v>
      </c>
    </row>
    <row r="4526" spans="2:3" hidden="1" x14ac:dyDescent="0.25">
      <c r="B4526" s="65">
        <v>29150</v>
      </c>
      <c r="C4526" t="s">
        <v>2479</v>
      </c>
    </row>
    <row r="4527" spans="2:3" hidden="1" x14ac:dyDescent="0.25">
      <c r="B4527" s="65">
        <v>29139</v>
      </c>
      <c r="C4527" t="s">
        <v>2348</v>
      </c>
    </row>
    <row r="4528" spans="2:3" hidden="1" x14ac:dyDescent="0.25">
      <c r="B4528" s="65">
        <v>29081</v>
      </c>
      <c r="C4528" t="s">
        <v>2112</v>
      </c>
    </row>
    <row r="4529" spans="2:3" hidden="1" x14ac:dyDescent="0.25">
      <c r="B4529" s="65">
        <v>29044</v>
      </c>
      <c r="C4529" t="s">
        <v>416</v>
      </c>
    </row>
    <row r="4530" spans="2:3" hidden="1" x14ac:dyDescent="0.25">
      <c r="B4530" s="65">
        <v>28992</v>
      </c>
      <c r="C4530" t="s">
        <v>2374</v>
      </c>
    </row>
    <row r="4531" spans="2:3" hidden="1" x14ac:dyDescent="0.25">
      <c r="B4531" s="65">
        <v>28988</v>
      </c>
      <c r="C4531" t="s">
        <v>2237</v>
      </c>
    </row>
    <row r="4532" spans="2:3" hidden="1" x14ac:dyDescent="0.25">
      <c r="B4532" s="65">
        <v>28955</v>
      </c>
      <c r="C4532" t="s">
        <v>2035</v>
      </c>
    </row>
    <row r="4533" spans="2:3" hidden="1" x14ac:dyDescent="0.25">
      <c r="B4533" s="65">
        <v>28950</v>
      </c>
      <c r="C4533" t="s">
        <v>2565</v>
      </c>
    </row>
    <row r="4534" spans="2:3" hidden="1" x14ac:dyDescent="0.25">
      <c r="B4534" s="65">
        <v>28897</v>
      </c>
      <c r="C4534" t="s">
        <v>2152</v>
      </c>
    </row>
    <row r="4535" spans="2:3" hidden="1" x14ac:dyDescent="0.25">
      <c r="B4535" s="65">
        <v>28843</v>
      </c>
      <c r="C4535" t="s">
        <v>1359</v>
      </c>
    </row>
    <row r="4536" spans="2:3" hidden="1" x14ac:dyDescent="0.25">
      <c r="B4536" s="65">
        <v>28814</v>
      </c>
      <c r="C4536" t="s">
        <v>2098</v>
      </c>
    </row>
    <row r="4537" spans="2:3" hidden="1" x14ac:dyDescent="0.25">
      <c r="B4537" s="65">
        <v>28803</v>
      </c>
      <c r="C4537" t="s">
        <v>2573</v>
      </c>
    </row>
    <row r="4538" spans="2:3" hidden="1" x14ac:dyDescent="0.25">
      <c r="B4538" s="65">
        <v>28798</v>
      </c>
      <c r="C4538" t="s">
        <v>2067</v>
      </c>
    </row>
    <row r="4539" spans="2:3" hidden="1" x14ac:dyDescent="0.25">
      <c r="B4539" s="65">
        <v>28781</v>
      </c>
      <c r="C4539" t="s">
        <v>2174</v>
      </c>
    </row>
    <row r="4540" spans="2:3" hidden="1" x14ac:dyDescent="0.25">
      <c r="B4540" s="65">
        <v>28762</v>
      </c>
      <c r="C4540" t="s">
        <v>1103</v>
      </c>
    </row>
    <row r="4541" spans="2:3" hidden="1" x14ac:dyDescent="0.25">
      <c r="B4541" s="65">
        <v>28730</v>
      </c>
      <c r="C4541" t="s">
        <v>2186</v>
      </c>
    </row>
    <row r="4542" spans="2:3" hidden="1" x14ac:dyDescent="0.25">
      <c r="B4542" s="65">
        <v>28695</v>
      </c>
      <c r="C4542" t="s">
        <v>2314</v>
      </c>
    </row>
    <row r="4543" spans="2:3" hidden="1" x14ac:dyDescent="0.25">
      <c r="B4543" s="65">
        <v>28629</v>
      </c>
      <c r="C4543" t="s">
        <v>2273</v>
      </c>
    </row>
    <row r="4544" spans="2:3" hidden="1" x14ac:dyDescent="0.25">
      <c r="B4544" s="65">
        <v>28589</v>
      </c>
      <c r="C4544" t="s">
        <v>2589</v>
      </c>
    </row>
    <row r="4545" spans="2:3" hidden="1" x14ac:dyDescent="0.25">
      <c r="B4545" s="65">
        <v>28560</v>
      </c>
      <c r="C4545" t="s">
        <v>2309</v>
      </c>
    </row>
    <row r="4546" spans="2:3" hidden="1" x14ac:dyDescent="0.25">
      <c r="B4546" s="65">
        <v>28549</v>
      </c>
      <c r="C4546" t="s">
        <v>2496</v>
      </c>
    </row>
    <row r="4547" spans="2:3" hidden="1" x14ac:dyDescent="0.25">
      <c r="B4547" s="65">
        <v>28522</v>
      </c>
      <c r="C4547" t="s">
        <v>2055</v>
      </c>
    </row>
    <row r="4548" spans="2:3" hidden="1" x14ac:dyDescent="0.25">
      <c r="B4548" s="65">
        <v>28518</v>
      </c>
      <c r="C4548" t="s">
        <v>2028</v>
      </c>
    </row>
    <row r="4549" spans="2:3" hidden="1" x14ac:dyDescent="0.25">
      <c r="B4549" s="65">
        <v>28498</v>
      </c>
      <c r="C4549" t="s">
        <v>2016</v>
      </c>
    </row>
    <row r="4550" spans="2:3" hidden="1" x14ac:dyDescent="0.25">
      <c r="B4550" s="65">
        <v>28498</v>
      </c>
      <c r="C4550" t="s">
        <v>2022</v>
      </c>
    </row>
    <row r="4551" spans="2:3" hidden="1" x14ac:dyDescent="0.25">
      <c r="B4551" s="65">
        <v>28434</v>
      </c>
      <c r="C4551" t="s">
        <v>2009</v>
      </c>
    </row>
    <row r="4552" spans="2:3" hidden="1" x14ac:dyDescent="0.25">
      <c r="B4552" s="65">
        <v>28376</v>
      </c>
      <c r="C4552" t="s">
        <v>1963</v>
      </c>
    </row>
    <row r="4553" spans="2:3" hidden="1" x14ac:dyDescent="0.25">
      <c r="B4553" s="65">
        <v>28337</v>
      </c>
      <c r="C4553" t="s">
        <v>1943</v>
      </c>
    </row>
    <row r="4554" spans="2:3" hidden="1" x14ac:dyDescent="0.25">
      <c r="B4554" s="65">
        <v>28312</v>
      </c>
      <c r="C4554" t="s">
        <v>1857</v>
      </c>
    </row>
    <row r="4555" spans="2:3" hidden="1" x14ac:dyDescent="0.25">
      <c r="B4555" s="65">
        <v>28284</v>
      </c>
      <c r="C4555" t="s">
        <v>1836</v>
      </c>
    </row>
    <row r="4556" spans="2:3" hidden="1" x14ac:dyDescent="0.25">
      <c r="B4556" s="65">
        <v>28283</v>
      </c>
      <c r="C4556" t="s">
        <v>1904</v>
      </c>
    </row>
    <row r="4557" spans="2:3" hidden="1" x14ac:dyDescent="0.25">
      <c r="B4557" s="65">
        <v>28266</v>
      </c>
      <c r="C4557" t="s">
        <v>1771</v>
      </c>
    </row>
    <row r="4558" spans="2:3" hidden="1" x14ac:dyDescent="0.25">
      <c r="B4558" s="65">
        <v>28200</v>
      </c>
      <c r="C4558" t="s">
        <v>1826</v>
      </c>
    </row>
    <row r="4559" spans="2:3" hidden="1" x14ac:dyDescent="0.25">
      <c r="B4559" s="65">
        <v>28192</v>
      </c>
      <c r="C4559" t="s">
        <v>1890</v>
      </c>
    </row>
    <row r="4560" spans="2:3" hidden="1" x14ac:dyDescent="0.25">
      <c r="B4560" s="65">
        <v>28151</v>
      </c>
      <c r="C4560" t="s">
        <v>1976</v>
      </c>
    </row>
    <row r="4561" spans="2:3" hidden="1" x14ac:dyDescent="0.25">
      <c r="B4561" s="65">
        <v>28145</v>
      </c>
      <c r="C4561" t="s">
        <v>1842</v>
      </c>
    </row>
    <row r="4562" spans="2:3" hidden="1" x14ac:dyDescent="0.25">
      <c r="B4562" s="65">
        <v>28138</v>
      </c>
      <c r="C4562" t="s">
        <v>1806</v>
      </c>
    </row>
    <row r="4563" spans="2:3" hidden="1" x14ac:dyDescent="0.25">
      <c r="B4563" s="65">
        <v>28085</v>
      </c>
      <c r="C4563" t="s">
        <v>1793</v>
      </c>
    </row>
    <row r="4564" spans="2:3" hidden="1" x14ac:dyDescent="0.25">
      <c r="B4564" s="65">
        <v>28074</v>
      </c>
      <c r="C4564" t="s">
        <v>2000</v>
      </c>
    </row>
    <row r="4565" spans="2:3" hidden="1" x14ac:dyDescent="0.25">
      <c r="B4565" s="65">
        <v>28065</v>
      </c>
      <c r="C4565" t="s">
        <v>1813</v>
      </c>
    </row>
    <row r="4566" spans="2:3" hidden="1" x14ac:dyDescent="0.25">
      <c r="B4566" s="65">
        <v>28052</v>
      </c>
      <c r="C4566" t="s">
        <v>1930</v>
      </c>
    </row>
    <row r="4567" spans="2:3" hidden="1" x14ac:dyDescent="0.25">
      <c r="B4567" s="65">
        <v>28034</v>
      </c>
      <c r="C4567" t="s">
        <v>1949</v>
      </c>
    </row>
    <row r="4568" spans="2:3" hidden="1" x14ac:dyDescent="0.25">
      <c r="B4568" s="65">
        <v>28023</v>
      </c>
      <c r="C4568" t="s">
        <v>1956</v>
      </c>
    </row>
    <row r="4569" spans="2:3" hidden="1" x14ac:dyDescent="0.25">
      <c r="B4569" s="65">
        <v>27963</v>
      </c>
      <c r="C4569" t="s">
        <v>1876</v>
      </c>
    </row>
    <row r="4570" spans="2:3" hidden="1" x14ac:dyDescent="0.25">
      <c r="B4570" s="65">
        <v>27944</v>
      </c>
      <c r="C4570" t="s">
        <v>1850</v>
      </c>
    </row>
    <row r="4571" spans="2:3" hidden="1" x14ac:dyDescent="0.25">
      <c r="B4571" s="65">
        <v>27920</v>
      </c>
      <c r="C4571" t="s">
        <v>1869</v>
      </c>
    </row>
    <row r="4572" spans="2:3" hidden="1" x14ac:dyDescent="0.25">
      <c r="B4572" s="65">
        <v>27874</v>
      </c>
      <c r="C4572" t="s">
        <v>1982</v>
      </c>
    </row>
    <row r="4573" spans="2:3" hidden="1" x14ac:dyDescent="0.25">
      <c r="B4573" s="65">
        <v>27860</v>
      </c>
      <c r="C4573" t="s">
        <v>1780</v>
      </c>
    </row>
    <row r="4574" spans="2:3" hidden="1" x14ac:dyDescent="0.25">
      <c r="B4574" s="65">
        <v>27770</v>
      </c>
      <c r="C4574" t="s">
        <v>1922</v>
      </c>
    </row>
    <row r="4575" spans="2:3" hidden="1" x14ac:dyDescent="0.25">
      <c r="B4575" s="65">
        <v>27752</v>
      </c>
      <c r="C4575" t="s">
        <v>1820</v>
      </c>
    </row>
    <row r="4576" spans="2:3" hidden="1" x14ac:dyDescent="0.25">
      <c r="B4576" s="65">
        <v>27747</v>
      </c>
      <c r="C4576" t="s">
        <v>1896</v>
      </c>
    </row>
    <row r="4577" spans="2:3" hidden="1" x14ac:dyDescent="0.25">
      <c r="B4577" s="65">
        <v>27693</v>
      </c>
      <c r="C4577" t="s">
        <v>1883</v>
      </c>
    </row>
    <row r="4578" spans="2:3" hidden="1" x14ac:dyDescent="0.25">
      <c r="B4578" s="65">
        <v>27673</v>
      </c>
      <c r="C4578" t="s">
        <v>1917</v>
      </c>
    </row>
    <row r="4579" spans="2:3" hidden="1" x14ac:dyDescent="0.25">
      <c r="B4579" s="65">
        <v>27569</v>
      </c>
      <c r="C4579" t="s">
        <v>1994</v>
      </c>
    </row>
    <row r="4580" spans="2:3" hidden="1" x14ac:dyDescent="0.25">
      <c r="B4580" s="65">
        <v>27562</v>
      </c>
      <c r="C4580" t="s">
        <v>1799</v>
      </c>
    </row>
    <row r="4581" spans="2:3" hidden="1" x14ac:dyDescent="0.25">
      <c r="B4581" s="65">
        <v>27388</v>
      </c>
      <c r="C4581" t="s">
        <v>163</v>
      </c>
    </row>
    <row r="4582" spans="2:3" hidden="1" x14ac:dyDescent="0.25">
      <c r="B4582" s="65">
        <v>27364</v>
      </c>
      <c r="C4582" t="s">
        <v>1937</v>
      </c>
    </row>
    <row r="4583" spans="2:3" hidden="1" x14ac:dyDescent="0.25">
      <c r="B4583" s="65">
        <v>27342</v>
      </c>
      <c r="C4583" t="s">
        <v>1971</v>
      </c>
    </row>
    <row r="4584" spans="2:3" hidden="1" x14ac:dyDescent="0.25">
      <c r="B4584" s="65">
        <v>27278</v>
      </c>
      <c r="C4584" t="s">
        <v>1786</v>
      </c>
    </row>
    <row r="4585" spans="2:3" hidden="1" x14ac:dyDescent="0.25">
      <c r="B4585" s="65">
        <v>27228</v>
      </c>
      <c r="C4585" t="s">
        <v>1831</v>
      </c>
    </row>
    <row r="4586" spans="2:3" hidden="1" x14ac:dyDescent="0.25">
      <c r="B4586" s="65">
        <v>27177</v>
      </c>
      <c r="C4586" t="s">
        <v>1976</v>
      </c>
    </row>
    <row r="4587" spans="2:3" hidden="1" x14ac:dyDescent="0.25">
      <c r="B4587" s="65">
        <v>27146</v>
      </c>
      <c r="C4587" t="s">
        <v>1911</v>
      </c>
    </row>
    <row r="4588" spans="2:3" hidden="1" x14ac:dyDescent="0.25">
      <c r="B4588" s="65">
        <v>27096</v>
      </c>
      <c r="C4588" t="s">
        <v>1864</v>
      </c>
    </row>
    <row r="4589" spans="2:3" hidden="1" x14ac:dyDescent="0.25">
      <c r="B4589" s="65">
        <v>27052</v>
      </c>
      <c r="C4589" t="s">
        <v>1765</v>
      </c>
    </row>
    <row r="4590" spans="2:3" hidden="1" x14ac:dyDescent="0.25">
      <c r="B4590" s="65">
        <v>27036</v>
      </c>
      <c r="C4590" t="s">
        <v>1759</v>
      </c>
    </row>
    <row r="4591" spans="2:3" hidden="1" x14ac:dyDescent="0.25">
      <c r="B4591" s="65">
        <v>27025</v>
      </c>
      <c r="C4591" t="s">
        <v>1743</v>
      </c>
    </row>
    <row r="4592" spans="2:3" hidden="1" x14ac:dyDescent="0.25">
      <c r="B4592" s="65">
        <v>27002</v>
      </c>
      <c r="C4592" t="s">
        <v>1752</v>
      </c>
    </row>
    <row r="4593" spans="2:3" hidden="1" x14ac:dyDescent="0.25">
      <c r="B4593" s="65">
        <v>26939</v>
      </c>
      <c r="C4593" t="s">
        <v>1724</v>
      </c>
    </row>
    <row r="4594" spans="2:3" hidden="1" x14ac:dyDescent="0.25">
      <c r="B4594" s="65">
        <v>26854</v>
      </c>
      <c r="C4594" t="s">
        <v>1694</v>
      </c>
    </row>
    <row r="4595" spans="2:3" hidden="1" x14ac:dyDescent="0.25">
      <c r="B4595" s="65">
        <v>26800</v>
      </c>
      <c r="C4595" t="s">
        <v>1687</v>
      </c>
    </row>
    <row r="4596" spans="2:3" hidden="1" x14ac:dyDescent="0.25">
      <c r="B4596" s="65">
        <v>26716</v>
      </c>
      <c r="C4596" t="s">
        <v>1681</v>
      </c>
    </row>
    <row r="4597" spans="2:3" hidden="1" x14ac:dyDescent="0.25">
      <c r="B4597" s="65">
        <v>26587</v>
      </c>
      <c r="C4597" t="s">
        <v>1670</v>
      </c>
    </row>
    <row r="4598" spans="2:3" hidden="1" x14ac:dyDescent="0.25">
      <c r="B4598" s="65">
        <v>26339</v>
      </c>
      <c r="C4598" t="s">
        <v>576</v>
      </c>
    </row>
    <row r="4599" spans="2:3" hidden="1" x14ac:dyDescent="0.25">
      <c r="B4599" s="65">
        <v>26229</v>
      </c>
      <c r="C4599" t="s">
        <v>1707</v>
      </c>
    </row>
    <row r="4600" spans="2:3" hidden="1" x14ac:dyDescent="0.25">
      <c r="B4600" s="65">
        <v>26170</v>
      </c>
      <c r="C4600" t="s">
        <v>1648</v>
      </c>
    </row>
    <row r="4601" spans="2:3" hidden="1" x14ac:dyDescent="0.25">
      <c r="B4601" s="65">
        <v>25957</v>
      </c>
      <c r="C4601" t="s">
        <v>1639</v>
      </c>
    </row>
    <row r="4602" spans="2:3" hidden="1" x14ac:dyDescent="0.25">
      <c r="B4602" s="65">
        <v>25907</v>
      </c>
      <c r="C4602" t="s">
        <v>163</v>
      </c>
    </row>
    <row r="4603" spans="2:3" hidden="1" x14ac:dyDescent="0.25">
      <c r="B4603" s="65">
        <v>25569</v>
      </c>
      <c r="C4603" t="s">
        <v>1700</v>
      </c>
    </row>
    <row r="4604" spans="2:3" hidden="1" x14ac:dyDescent="0.25">
      <c r="B4604" s="65">
        <v>25537</v>
      </c>
      <c r="C4604" t="s">
        <v>1664</v>
      </c>
    </row>
    <row r="4605" spans="2:3" hidden="1" x14ac:dyDescent="0.25">
      <c r="B4605" s="65">
        <v>25455</v>
      </c>
      <c r="C4605" t="s">
        <v>1733</v>
      </c>
    </row>
    <row r="4606" spans="2:3" hidden="1" x14ac:dyDescent="0.25">
      <c r="B4606" s="65">
        <v>25115</v>
      </c>
      <c r="C4606" t="s">
        <v>1728</v>
      </c>
    </row>
    <row r="4607" spans="2:3" hidden="1" x14ac:dyDescent="0.25">
      <c r="B4607" s="65">
        <v>24726</v>
      </c>
      <c r="C4607" t="s">
        <v>1714</v>
      </c>
    </row>
    <row r="4608" spans="2:3" hidden="1" x14ac:dyDescent="0.25">
      <c r="B4608" s="65">
        <v>24702</v>
      </c>
      <c r="C4608" t="s">
        <v>346</v>
      </c>
    </row>
    <row r="4609" spans="2:3" hidden="1" x14ac:dyDescent="0.25">
      <c r="B4609" s="65">
        <v>24687</v>
      </c>
      <c r="C4609" t="s">
        <v>1656</v>
      </c>
    </row>
    <row r="4610" spans="2:3" hidden="1" x14ac:dyDescent="0.25">
      <c r="B4610" s="65">
        <v>24646</v>
      </c>
      <c r="C4610" t="s">
        <v>1630</v>
      </c>
    </row>
    <row r="4611" spans="2:3" hidden="1" x14ac:dyDescent="0.25">
      <c r="B4611" s="65">
        <v>24499</v>
      </c>
      <c r="C4611" t="s">
        <v>1009</v>
      </c>
    </row>
    <row r="4612" spans="2:3" hidden="1" x14ac:dyDescent="0.25">
      <c r="B4612" s="65">
        <v>24464</v>
      </c>
      <c r="C4612" t="s">
        <v>1623</v>
      </c>
    </row>
    <row r="4613" spans="2:3" hidden="1" x14ac:dyDescent="0.25">
      <c r="B4613" s="65">
        <v>24120</v>
      </c>
      <c r="C4613" t="s">
        <v>1614</v>
      </c>
    </row>
    <row r="4614" spans="2:3" hidden="1" x14ac:dyDescent="0.25">
      <c r="B4614" s="65">
        <v>23922</v>
      </c>
      <c r="C4614" t="s">
        <v>530</v>
      </c>
    </row>
    <row r="4615" spans="2:3" hidden="1" x14ac:dyDescent="0.25">
      <c r="B4615" s="65">
        <v>23120</v>
      </c>
      <c r="C4615" t="s">
        <v>437</v>
      </c>
    </row>
    <row r="4616" spans="2:3" hidden="1" x14ac:dyDescent="0.25">
      <c r="B4616" s="65">
        <v>22622</v>
      </c>
      <c r="C4616" t="s">
        <v>1604</v>
      </c>
    </row>
    <row r="4617" spans="2:3" hidden="1" x14ac:dyDescent="0.25">
      <c r="B4617" s="65">
        <v>21233</v>
      </c>
      <c r="C4617" t="s">
        <v>1597</v>
      </c>
    </row>
    <row r="4618" spans="2:3" hidden="1" x14ac:dyDescent="0.25">
      <c r="B4618" s="65">
        <v>21002</v>
      </c>
      <c r="C4618" t="s">
        <v>633</v>
      </c>
    </row>
  </sheetData>
  <autoFilter ref="B1:B4618" xr:uid="{FA6D59BB-AA03-4D23-816D-04A600F6B371}">
    <filterColumn colId="0">
      <colorFilter dxfId="6"/>
    </filterColumn>
  </autoFilter>
  <sortState xmlns:xlrd2="http://schemas.microsoft.com/office/spreadsheetml/2017/richdata2" ref="B2:C4619">
    <sortCondition descending="1" ref="B2:B4619"/>
  </sortState>
  <conditionalFormatting sqref="B1:C1048576">
    <cfRule type="top10" dxfId="4" priority="2" rank="5"/>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63B5F-CF20-48CF-87ED-AD0B85479959}">
  <dimension ref="B4:D8"/>
  <sheetViews>
    <sheetView zoomScaleNormal="100" workbookViewId="0">
      <selection activeCell="A21" sqref="A21"/>
    </sheetView>
  </sheetViews>
  <sheetFormatPr baseColWidth="10" defaultColWidth="11.42578125" defaultRowHeight="15" x14ac:dyDescent="0.25"/>
  <cols>
    <col min="1" max="1" width="17.140625" customWidth="1"/>
    <col min="2" max="2" width="20.85546875" bestFit="1" customWidth="1"/>
    <col min="3" max="3" width="14.42578125" bestFit="1" customWidth="1"/>
    <col min="8" max="8" width="21" bestFit="1" customWidth="1"/>
    <col min="9" max="9" width="15.7109375" bestFit="1" customWidth="1"/>
  </cols>
  <sheetData>
    <row r="4" spans="2:4" ht="31.5" x14ac:dyDescent="0.25">
      <c r="B4" s="59" t="s">
        <v>20244</v>
      </c>
      <c r="C4" s="62"/>
      <c r="D4" s="63"/>
    </row>
    <row r="5" spans="2:4" ht="15.75" x14ac:dyDescent="0.25">
      <c r="B5" s="60" t="s">
        <v>7</v>
      </c>
      <c r="C5" s="60" t="s">
        <v>20245</v>
      </c>
      <c r="D5" s="60" t="s">
        <v>20246</v>
      </c>
    </row>
    <row r="6" spans="2:4" ht="15.75" x14ac:dyDescent="0.25">
      <c r="B6" s="61" t="s">
        <v>60</v>
      </c>
      <c r="C6" s="61">
        <v>2986</v>
      </c>
      <c r="D6" s="64">
        <f>$C6/$C$8</f>
        <v>0.64674030755902101</v>
      </c>
    </row>
    <row r="7" spans="2:4" ht="15.75" x14ac:dyDescent="0.25">
      <c r="B7" s="61" t="s">
        <v>35</v>
      </c>
      <c r="C7" s="61">
        <v>1631</v>
      </c>
      <c r="D7" s="64">
        <f>$C7/$C$8</f>
        <v>0.35325969244097899</v>
      </c>
    </row>
    <row r="8" spans="2:4" ht="15.75" x14ac:dyDescent="0.25">
      <c r="B8" s="60" t="s">
        <v>20247</v>
      </c>
      <c r="C8" s="61">
        <v>4617</v>
      </c>
      <c r="D8" s="64">
        <f>SUM($D$6:$D$7)</f>
        <v>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4E782-FD89-45B9-9C51-B59939FECD50}">
  <dimension ref="A1:B18"/>
  <sheetViews>
    <sheetView zoomScaleNormal="100" workbookViewId="0"/>
  </sheetViews>
  <sheetFormatPr baseColWidth="10" defaultColWidth="11.42578125" defaultRowHeight="15" x14ac:dyDescent="0.25"/>
  <cols>
    <col min="1" max="1" width="29.140625" bestFit="1" customWidth="1"/>
    <col min="2" max="2" width="17.42578125" customWidth="1"/>
  </cols>
  <sheetData>
    <row r="1" spans="1:2" ht="42" x14ac:dyDescent="0.25">
      <c r="A1" s="55" t="s">
        <v>20248</v>
      </c>
      <c r="B1" s="55" t="s">
        <v>20245</v>
      </c>
    </row>
    <row r="2" spans="1:2" x14ac:dyDescent="0.25">
      <c r="A2" s="54" t="s">
        <v>19243</v>
      </c>
      <c r="B2" s="54">
        <f>COUNTIF('Liste des étudiants'!$S$2:$S$4618,$A2)</f>
        <v>13</v>
      </c>
    </row>
    <row r="3" spans="1:2" x14ac:dyDescent="0.25">
      <c r="A3" s="54" t="s">
        <v>19232</v>
      </c>
      <c r="B3" s="54">
        <f>COUNTIF('Liste des étudiants'!$S$2:$S$4618,$A3)</f>
        <v>0</v>
      </c>
    </row>
    <row r="4" spans="1:2" x14ac:dyDescent="0.25">
      <c r="A4" s="54" t="s">
        <v>19276</v>
      </c>
      <c r="B4" s="54">
        <f>COUNTIF('Liste des étudiants'!$S$2:$S$4618,$A4)</f>
        <v>9</v>
      </c>
    </row>
    <row r="5" spans="1:2" x14ac:dyDescent="0.25">
      <c r="A5" s="54" t="s">
        <v>19255</v>
      </c>
      <c r="B5" s="54">
        <f>COUNTIF('Liste des étudiants'!$S$2:$S$4618,$A5)</f>
        <v>4</v>
      </c>
    </row>
    <row r="6" spans="1:2" x14ac:dyDescent="0.25">
      <c r="A6" s="54" t="s">
        <v>19223</v>
      </c>
      <c r="B6" s="54">
        <f>COUNTIF('Liste des étudiants'!$S$2:$S$4618,$A6)</f>
        <v>8</v>
      </c>
    </row>
    <row r="7" spans="1:2" x14ac:dyDescent="0.25">
      <c r="A7" s="54" t="s">
        <v>19226</v>
      </c>
      <c r="B7" s="54">
        <f>COUNTIF('Liste des étudiants'!$S$2:$S$4618,$A7)</f>
        <v>1</v>
      </c>
    </row>
    <row r="8" spans="1:2" x14ac:dyDescent="0.25">
      <c r="A8" s="54" t="s">
        <v>19252</v>
      </c>
      <c r="B8" s="54">
        <f>COUNTIF('Liste des étudiants'!$S$2:$S$4618,$A8)</f>
        <v>0</v>
      </c>
    </row>
    <row r="9" spans="1:2" x14ac:dyDescent="0.25">
      <c r="A9" s="54" t="s">
        <v>19321</v>
      </c>
      <c r="B9" s="54">
        <f>COUNTIF('Liste des étudiants'!$S$2:$S$4618,$A9)</f>
        <v>0</v>
      </c>
    </row>
    <row r="10" spans="1:2" x14ac:dyDescent="0.25">
      <c r="A10" s="54" t="s">
        <v>19310</v>
      </c>
      <c r="B10" s="54">
        <f>COUNTIF('Liste des étudiants'!$S$2:$S$4618,$A10)</f>
        <v>349</v>
      </c>
    </row>
    <row r="11" spans="1:2" x14ac:dyDescent="0.25">
      <c r="A11" s="54" t="s">
        <v>19240</v>
      </c>
      <c r="B11" s="54">
        <f>COUNTIF('Liste des étudiants'!$S$2:$S$4618,$A11)</f>
        <v>3990</v>
      </c>
    </row>
    <row r="12" spans="1:2" x14ac:dyDescent="0.25">
      <c r="A12" s="54" t="s">
        <v>16566</v>
      </c>
      <c r="B12" s="54">
        <f>COUNTIF('Liste des étudiants'!$S$2:$S$4618,$A12)</f>
        <v>166</v>
      </c>
    </row>
    <row r="13" spans="1:2" x14ac:dyDescent="0.25">
      <c r="A13" s="54" t="s">
        <v>19286</v>
      </c>
      <c r="B13" s="54">
        <f>COUNTIF('Liste des étudiants'!$S$2:$S$4618,$A13)</f>
        <v>5</v>
      </c>
    </row>
    <row r="14" spans="1:2" x14ac:dyDescent="0.25">
      <c r="A14" s="54" t="s">
        <v>19217</v>
      </c>
      <c r="B14" s="54">
        <f>COUNTIF('Liste des étudiants'!$S$2:$S$4618,$A14)</f>
        <v>14</v>
      </c>
    </row>
    <row r="15" spans="1:2" x14ac:dyDescent="0.25">
      <c r="A15" s="54" t="s">
        <v>14481</v>
      </c>
      <c r="B15" s="54">
        <f>COUNTIF('Liste des étudiants'!$S$2:$S$4618,$A15)</f>
        <v>39</v>
      </c>
    </row>
    <row r="16" spans="1:2" x14ac:dyDescent="0.25">
      <c r="A16" s="54" t="s">
        <v>19361</v>
      </c>
      <c r="B16" s="54">
        <f>COUNTIF('Liste des étudiants'!$S$2:$S$4618,$A16)</f>
        <v>1</v>
      </c>
    </row>
    <row r="17" spans="1:2" x14ac:dyDescent="0.25">
      <c r="A17" s="54" t="s">
        <v>19235</v>
      </c>
      <c r="B17" s="54">
        <f>COUNTIF('Liste des étudiants'!$S$2:$S$4618,$A17)</f>
        <v>17</v>
      </c>
    </row>
    <row r="18" spans="1:2" x14ac:dyDescent="0.25">
      <c r="A18" s="54" t="s">
        <v>19229</v>
      </c>
      <c r="B18" s="54">
        <f>COUNTIF('Liste des étudiants'!$S$2:$S$4618,$A18)</f>
        <v>1</v>
      </c>
    </row>
  </sheetData>
  <conditionalFormatting sqref="A2:B18">
    <cfRule type="expression" dxfId="3" priority="1">
      <formula>$B2=LARGE($B$2:$B$18,3)</formula>
    </cfRule>
    <cfRule type="expression" dxfId="2" priority="2">
      <formula>$B2=LARGE($B$2:$B$18,2)</formula>
    </cfRule>
    <cfRule type="expression" dxfId="1" priority="3">
      <formula>$B2=MAX($B$2:$B$18)</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4DF3A-6085-4AD1-B96E-DC1322885171}">
  <dimension ref="A1:B30"/>
  <sheetViews>
    <sheetView zoomScaleNormal="100" workbookViewId="0"/>
  </sheetViews>
  <sheetFormatPr baseColWidth="10" defaultColWidth="11.42578125" defaultRowHeight="15" x14ac:dyDescent="0.25"/>
  <cols>
    <col min="1" max="1" width="52.28515625" bestFit="1" customWidth="1"/>
    <col min="2" max="2" width="34.140625" customWidth="1"/>
  </cols>
  <sheetData>
    <row r="1" spans="1:2" ht="21" x14ac:dyDescent="0.25">
      <c r="A1" s="55" t="s">
        <v>20249</v>
      </c>
      <c r="B1" s="55" t="s">
        <v>20245</v>
      </c>
    </row>
    <row r="2" spans="1:2" x14ac:dyDescent="0.25">
      <c r="A2" s="54" t="str" cm="1">
        <f t="array" ref="A2:A30">_xlfn.UNIQUE('Liste des étudiants'!$AB$2:$AB$4618)</f>
        <v>Gestion d'un établissement de restauration</v>
      </c>
      <c r="B2" s="54">
        <f>COUNTIF('Liste des étudiants'!$AB$2:$AB$4618,$A2)</f>
        <v>45</v>
      </c>
    </row>
    <row r="3" spans="1:2" x14ac:dyDescent="0.25">
      <c r="A3" s="54" t="str">
        <v>Sciences de la nature</v>
      </c>
      <c r="B3" s="54">
        <f>COUNTIF('Liste des étudiants'!$AB$2:$AB$4618,$A3)</f>
        <v>400</v>
      </c>
    </row>
    <row r="4" spans="1:2" x14ac:dyDescent="0.25">
      <c r="A4" s="54" t="str">
        <v>Soins infirmiers</v>
      </c>
      <c r="B4" s="54">
        <f>COUNTIF('Liste des étudiants'!$AB$2:$AB$4618,$A4)</f>
        <v>599</v>
      </c>
    </row>
    <row r="5" spans="1:2" x14ac:dyDescent="0.25">
      <c r="A5" s="54" t="str">
        <v>Préalables universitaires</v>
      </c>
      <c r="B5" s="54">
        <f>COUNTIF('Liste des étudiants'!$AB$2:$AB$4618,$A5)</f>
        <v>1</v>
      </c>
    </row>
    <row r="6" spans="1:2" x14ac:dyDescent="0.25">
      <c r="A6" s="54" t="str">
        <v>Arts, lettres et com. - Option langues</v>
      </c>
      <c r="B6" s="54">
        <f>COUNTIF('Liste des étudiants'!$AB$2:$AB$4618,$A6)</f>
        <v>91</v>
      </c>
    </row>
    <row r="7" spans="1:2" x14ac:dyDescent="0.25">
      <c r="A7" s="54" t="str">
        <v>Techniques de travail social</v>
      </c>
      <c r="B7" s="54">
        <f>COUNTIF('Liste des étudiants'!$AB$2:$AB$4618,$A7)</f>
        <v>226</v>
      </c>
    </row>
    <row r="8" spans="1:2" x14ac:dyDescent="0.25">
      <c r="A8" s="54" t="str">
        <v>Techniques de génie mécanique</v>
      </c>
      <c r="B8" s="54">
        <f>COUNTIF('Liste des étudiants'!$AB$2:$AB$4618,$A8)</f>
        <v>150</v>
      </c>
    </row>
    <row r="9" spans="1:2" x14ac:dyDescent="0.25">
      <c r="A9" s="54" t="str">
        <v>Technologie d'analyses biomédicales</v>
      </c>
      <c r="B9" s="54">
        <f>COUNTIF('Liste des étudiants'!$AB$2:$AB$4618,$A9)</f>
        <v>131</v>
      </c>
    </row>
    <row r="10" spans="1:2" x14ac:dyDescent="0.25">
      <c r="A10" s="54" t="str">
        <v>Arts, lettres et com. - Option théâtre</v>
      </c>
      <c r="B10" s="54">
        <f>COUNTIF('Liste des étudiants'!$AB$2:$AB$4618,$A10)</f>
        <v>39</v>
      </c>
    </row>
    <row r="11" spans="1:2" x14ac:dyDescent="0.25">
      <c r="A11" s="54" t="str">
        <v>Techniques d'éducation spécialisée</v>
      </c>
      <c r="B11" s="54">
        <f>COUNTIF('Liste des étudiants'!$AB$2:$AB$4618,$A11)</f>
        <v>463</v>
      </c>
    </row>
    <row r="12" spans="1:2" x14ac:dyDescent="0.25">
      <c r="A12" s="54" t="str">
        <v>Spécialisation en informatique de gestion</v>
      </c>
      <c r="B12" s="54">
        <f>COUNTIF('Liste des étudiants'!$AB$2:$AB$4618,$A12)</f>
        <v>42</v>
      </c>
    </row>
    <row r="13" spans="1:2" x14ac:dyDescent="0.25">
      <c r="A13" s="54" t="str">
        <v>Arts visuels</v>
      </c>
      <c r="B13" s="54">
        <f>COUNTIF('Liste des étudiants'!$AB$2:$AB$4618,$A13)</f>
        <v>66</v>
      </c>
    </row>
    <row r="14" spans="1:2" x14ac:dyDescent="0.25">
      <c r="A14" s="54" t="str">
        <v>Tremplin DEC</v>
      </c>
      <c r="B14" s="54">
        <f>COUNTIF('Liste des étudiants'!$AB$2:$AB$4618,$A14)</f>
        <v>422</v>
      </c>
    </row>
    <row r="15" spans="1:2" x14ac:dyDescent="0.25">
      <c r="A15" s="54" t="str">
        <v>Formation générale</v>
      </c>
      <c r="B15" s="54">
        <f>COUNTIF('Liste des étudiants'!$AB$2:$AB$4618,$A15)</f>
        <v>2</v>
      </c>
    </row>
    <row r="16" spans="1:2" x14ac:dyDescent="0.25">
      <c r="A16" s="54" t="str">
        <v>Techniques de comptabilité et de gestion</v>
      </c>
      <c r="B16" s="54">
        <f>COUNTIF('Liste des étudiants'!$AB$2:$AB$4618,$A16)</f>
        <v>192</v>
      </c>
    </row>
    <row r="17" spans="1:2" x14ac:dyDescent="0.25">
      <c r="A17" s="54" t="str">
        <v>Techniques d'intervention en loisir</v>
      </c>
      <c r="B17" s="54">
        <f>COUNTIF('Liste des étudiants'!$AB$2:$AB$4618,$A17)</f>
        <v>110</v>
      </c>
    </row>
    <row r="18" spans="1:2" x14ac:dyDescent="0.25">
      <c r="A18" s="54" t="str">
        <v>Arts, lettres et com. - Option cinéma</v>
      </c>
      <c r="B18" s="54">
        <f>COUNTIF('Liste des étudiants'!$AB$2:$AB$4618,$A18)</f>
        <v>72</v>
      </c>
    </row>
    <row r="19" spans="1:2" x14ac:dyDescent="0.25">
      <c r="A19" s="54" t="str">
        <v>Arts, lettres et com. - Option médias</v>
      </c>
      <c r="B19" s="54">
        <f>COUNTIF('Liste des étudiants'!$AB$2:$AB$4618,$A19)</f>
        <v>56</v>
      </c>
    </row>
    <row r="20" spans="1:2" x14ac:dyDescent="0.25">
      <c r="A20" s="54" t="str">
        <v>Sciences humaines - monde &amp; rel. internationales</v>
      </c>
      <c r="B20" s="54">
        <f>COUNTIF('Liste des étudiants'!$AB$2:$AB$4618,$A20)</f>
        <v>109</v>
      </c>
    </row>
    <row r="21" spans="1:2" x14ac:dyDescent="0.25">
      <c r="A21" s="54" t="str">
        <v>Sciences humaines - profil administration</v>
      </c>
      <c r="B21" s="54">
        <f>COUNTIF('Liste des étudiants'!$AB$2:$AB$4618,$A21)</f>
        <v>127</v>
      </c>
    </row>
    <row r="22" spans="1:2" x14ac:dyDescent="0.25">
      <c r="A22" s="54" t="str">
        <v>Sciences humaines - profil Individu &amp; société</v>
      </c>
      <c r="B22" s="54">
        <f>COUNTIF('Liste des étudiants'!$AB$2:$AB$4618,$A22)</f>
        <v>515</v>
      </c>
    </row>
    <row r="23" spans="1:2" x14ac:dyDescent="0.25">
      <c r="A23" s="54" t="str">
        <v>Sciences informatiques et mathématiques</v>
      </c>
      <c r="B23" s="54">
        <f>COUNTIF('Liste des étudiants'!$AB$2:$AB$4618,$A23)</f>
        <v>60</v>
      </c>
    </row>
    <row r="24" spans="1:2" x14ac:dyDescent="0.25">
      <c r="A24" s="54" t="str">
        <v>Sciences de la nature et Arts visuels</v>
      </c>
      <c r="B24" s="54">
        <f>COUNTIF('Liste des étudiants'!$AB$2:$AB$4618,$A24)</f>
        <v>3</v>
      </c>
    </row>
    <row r="25" spans="1:2" x14ac:dyDescent="0.25">
      <c r="A25" s="54" t="str">
        <v>Sciences humaines et Arts visuels</v>
      </c>
      <c r="B25" s="54">
        <f>COUNTIF('Liste des étudiants'!$AB$2:$AB$4618,$A25)</f>
        <v>6</v>
      </c>
    </row>
    <row r="26" spans="1:2" x14ac:dyDescent="0.25">
      <c r="A26" s="54" t="str">
        <v>Techniques de l'informatique</v>
      </c>
      <c r="B26" s="54">
        <f>COUNTIF('Liste des étudiants'!$AB$2:$AB$4618,$A26)</f>
        <v>81</v>
      </c>
    </row>
    <row r="27" spans="1:2" x14ac:dyDescent="0.25">
      <c r="A27" s="54" t="str">
        <v>Techniques de transformation des matériaux composites</v>
      </c>
      <c r="B27" s="54">
        <f>COUNTIF('Liste des étudiants'!$AB$2:$AB$4618,$A27)</f>
        <v>46</v>
      </c>
    </row>
    <row r="28" spans="1:2" x14ac:dyDescent="0.25">
      <c r="A28" s="54" t="str">
        <v>Techniques d'éducation à l'enfance</v>
      </c>
      <c r="B28" s="54">
        <f>COUNTIF('Liste des étudiants'!$AB$2:$AB$4618,$A28)</f>
        <v>174</v>
      </c>
    </row>
    <row r="29" spans="1:2" x14ac:dyDescent="0.25">
      <c r="A29" s="54" t="str">
        <v>Techniques d'intégration multimédia</v>
      </c>
      <c r="B29" s="54">
        <f>COUNTIF('Liste des étudiants'!$AB$2:$AB$4618,$A29)</f>
        <v>246</v>
      </c>
    </row>
    <row r="30" spans="1:2" x14ac:dyDescent="0.25">
      <c r="A30" s="54" t="str">
        <v>Techniques juridiques</v>
      </c>
      <c r="B30" s="54">
        <f>COUNTIF('Liste des étudiants'!$AB$2:$AB$4618,$A30)</f>
        <v>143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3F26-55A7-4583-9024-4E75D22210CD}">
  <dimension ref="B3:C6"/>
  <sheetViews>
    <sheetView zoomScaleNormal="100" workbookViewId="0">
      <selection activeCell="A18" sqref="A18"/>
    </sheetView>
  </sheetViews>
  <sheetFormatPr baseColWidth="10" defaultColWidth="11.42578125" defaultRowHeight="15" x14ac:dyDescent="0.25"/>
  <cols>
    <col min="1" max="1" width="19.85546875" customWidth="1"/>
    <col min="2" max="2" width="18.85546875" customWidth="1"/>
    <col min="3" max="3" width="17" customWidth="1"/>
  </cols>
  <sheetData>
    <row r="3" spans="2:3" ht="30" x14ac:dyDescent="0.25">
      <c r="B3" s="58" t="s">
        <v>20250</v>
      </c>
      <c r="C3" s="57"/>
    </row>
    <row r="4" spans="2:3" ht="42" x14ac:dyDescent="0.25">
      <c r="B4" s="55" t="s">
        <v>20251</v>
      </c>
      <c r="C4" s="55" t="s">
        <v>20245</v>
      </c>
    </row>
    <row r="5" spans="2:3" x14ac:dyDescent="0.25">
      <c r="B5" s="54" t="str" cm="1">
        <f t="array" ref="B5:B6">_xlfn.UNIQUE('Liste des étudiants'!$AC$2:$AC$4618)</f>
        <v>Non</v>
      </c>
      <c r="C5" s="54">
        <f>COUNTIF('Liste des étudiants'!$AC$2:$AC$4618,$B5)</f>
        <v>4456</v>
      </c>
    </row>
    <row r="6" spans="2:3" x14ac:dyDescent="0.25">
      <c r="B6" s="54" t="str">
        <v>Oui</v>
      </c>
      <c r="C6" s="54">
        <f>COUNTIF('Liste des étudiants'!$AC$2:$AC$4618,$B6)</f>
        <v>161</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452EE-8A7E-4218-8697-A5D1F02DFF37}">
  <dimension ref="A1:E4618"/>
  <sheetViews>
    <sheetView zoomScaleNormal="100" workbookViewId="0"/>
  </sheetViews>
  <sheetFormatPr baseColWidth="10" defaultColWidth="11.42578125" defaultRowHeight="15" x14ac:dyDescent="0.25"/>
  <cols>
    <col min="1" max="1" width="28" customWidth="1"/>
    <col min="2" max="2" width="23.28515625" customWidth="1"/>
    <col min="3" max="3" width="28.7109375" customWidth="1"/>
  </cols>
  <sheetData>
    <row r="1" spans="1:5" ht="54" x14ac:dyDescent="0.25">
      <c r="A1" s="67" t="s">
        <v>20252</v>
      </c>
      <c r="B1" s="68" t="s">
        <v>20253</v>
      </c>
      <c r="C1" s="69" t="s">
        <v>20254</v>
      </c>
    </row>
    <row r="2" spans="1:5" x14ac:dyDescent="0.25">
      <c r="A2" s="54" t="str">
        <f>LEFT('Liste des étudiants'!$W2,3)</f>
        <v>780</v>
      </c>
      <c r="B2" s="54" t="s">
        <v>20255</v>
      </c>
      <c r="C2" s="54">
        <f>COUNTIF($A$2:$A$4618,$B2)</f>
        <v>1</v>
      </c>
    </row>
    <row r="3" spans="1:5" x14ac:dyDescent="0.25">
      <c r="A3" s="54" t="str">
        <f>LEFT('Liste des étudiants'!$W3,3)</f>
        <v>579</v>
      </c>
      <c r="B3" s="54" t="s">
        <v>20256</v>
      </c>
      <c r="C3" s="54">
        <f t="shared" ref="C3:C17" si="0">COUNTIF($A$2:$A$4618,$B3)</f>
        <v>85</v>
      </c>
    </row>
    <row r="4" spans="1:5" x14ac:dyDescent="0.25">
      <c r="A4" s="54" t="str">
        <f>LEFT('Liste des étudiants'!$W4,3)</f>
        <v>579</v>
      </c>
      <c r="B4" s="54" t="s">
        <v>20257</v>
      </c>
      <c r="C4" s="54">
        <f t="shared" si="0"/>
        <v>2539</v>
      </c>
    </row>
    <row r="5" spans="1:5" x14ac:dyDescent="0.25">
      <c r="A5" s="54" t="str">
        <f>LEFT('Liste des étudiants'!$W5,3)</f>
        <v>450</v>
      </c>
      <c r="B5" s="54" t="s">
        <v>20258</v>
      </c>
      <c r="C5" s="54">
        <f t="shared" si="0"/>
        <v>13</v>
      </c>
    </row>
    <row r="6" spans="1:5" x14ac:dyDescent="0.25">
      <c r="A6" s="54" t="str">
        <f>LEFT('Liste des étudiants'!$W6,3)</f>
        <v>579</v>
      </c>
      <c r="B6" s="54" t="s">
        <v>20259</v>
      </c>
      <c r="C6" s="54">
        <f t="shared" si="0"/>
        <v>342</v>
      </c>
    </row>
    <row r="7" spans="1:5" x14ac:dyDescent="0.25">
      <c r="A7" s="54" t="str">
        <f>LEFT('Liste des étudiants'!$W7,3)</f>
        <v>579</v>
      </c>
      <c r="B7" s="54" t="s">
        <v>20260</v>
      </c>
      <c r="C7" s="54">
        <f t="shared" si="0"/>
        <v>1</v>
      </c>
    </row>
    <row r="8" spans="1:5" x14ac:dyDescent="0.25">
      <c r="A8" s="54" t="str">
        <f>LEFT('Liste des étudiants'!$W8,3)</f>
        <v>581</v>
      </c>
      <c r="B8" s="54" t="s">
        <v>20261</v>
      </c>
      <c r="C8" s="54">
        <f t="shared" si="0"/>
        <v>518</v>
      </c>
    </row>
    <row r="9" spans="1:5" x14ac:dyDescent="0.25">
      <c r="A9" s="54" t="str">
        <f>LEFT('Liste des étudiants'!$W9,3)</f>
        <v>819</v>
      </c>
      <c r="B9" s="54" t="s">
        <v>20262</v>
      </c>
      <c r="C9" s="54">
        <f t="shared" si="0"/>
        <v>16</v>
      </c>
    </row>
    <row r="10" spans="1:5" x14ac:dyDescent="0.25">
      <c r="A10" s="54" t="str">
        <f>LEFT('Liste des étudiants'!$W10,3)</f>
        <v>579</v>
      </c>
      <c r="B10" s="54" t="s">
        <v>20263</v>
      </c>
      <c r="C10" s="54">
        <f t="shared" si="0"/>
        <v>1</v>
      </c>
    </row>
    <row r="11" spans="1:5" x14ac:dyDescent="0.25">
      <c r="A11" s="54" t="str">
        <f>LEFT('Liste des étudiants'!$W11,3)</f>
        <v>819</v>
      </c>
      <c r="B11" s="54" t="s">
        <v>20264</v>
      </c>
      <c r="C11" s="54">
        <f t="shared" si="0"/>
        <v>1</v>
      </c>
    </row>
    <row r="12" spans="1:5" x14ac:dyDescent="0.25">
      <c r="A12" s="54" t="str">
        <f>LEFT('Liste des étudiants'!$W12,3)</f>
        <v>450</v>
      </c>
      <c r="B12" s="54" t="s">
        <v>20265</v>
      </c>
      <c r="C12" s="54">
        <f t="shared" si="0"/>
        <v>1</v>
      </c>
      <c r="E12" s="54"/>
    </row>
    <row r="13" spans="1:5" x14ac:dyDescent="0.25">
      <c r="A13" s="54" t="str">
        <f>LEFT('Liste des étudiants'!$W13,3)</f>
        <v>579</v>
      </c>
      <c r="B13" s="54" t="s">
        <v>20266</v>
      </c>
      <c r="C13" s="54">
        <f t="shared" si="0"/>
        <v>1092</v>
      </c>
    </row>
    <row r="14" spans="1:5" x14ac:dyDescent="0.25">
      <c r="A14" s="54" t="str">
        <f>LEFT('Liste des étudiants'!$W14,3)</f>
        <v>819</v>
      </c>
      <c r="B14" s="54" t="s">
        <v>20267</v>
      </c>
      <c r="C14" s="54">
        <f t="shared" si="0"/>
        <v>1</v>
      </c>
    </row>
    <row r="15" spans="1:5" x14ac:dyDescent="0.25">
      <c r="A15" s="54" t="str">
        <f>LEFT('Liste des étudiants'!$W15,3)</f>
        <v>819</v>
      </c>
      <c r="B15" s="54" t="s">
        <v>20268</v>
      </c>
      <c r="C15" s="54">
        <f t="shared" si="0"/>
        <v>1</v>
      </c>
    </row>
    <row r="16" spans="1:5" x14ac:dyDescent="0.25">
      <c r="A16" s="54" t="str">
        <f>LEFT('Liste des étudiants'!$W16,3)</f>
        <v>450</v>
      </c>
      <c r="B16" s="54" t="s">
        <v>20269</v>
      </c>
      <c r="C16" s="54">
        <f t="shared" si="0"/>
        <v>1</v>
      </c>
    </row>
    <row r="17" spans="1:3" x14ac:dyDescent="0.25">
      <c r="A17" s="54" t="str">
        <f>LEFT('Liste des étudiants'!$W17,3)</f>
        <v>597</v>
      </c>
      <c r="B17" s="54" t="s">
        <v>444</v>
      </c>
      <c r="C17" s="54">
        <f t="shared" si="0"/>
        <v>4</v>
      </c>
    </row>
    <row r="18" spans="1:3" x14ac:dyDescent="0.25">
      <c r="A18" s="54" t="str">
        <f>LEFT('Liste des étudiants'!$W18,3)</f>
        <v>450</v>
      </c>
    </row>
    <row r="19" spans="1:3" x14ac:dyDescent="0.25">
      <c r="A19" s="54" t="str">
        <f>LEFT('Liste des étudiants'!$W19,3)</f>
        <v>579</v>
      </c>
    </row>
    <row r="20" spans="1:3" x14ac:dyDescent="0.25">
      <c r="A20" s="54" t="str">
        <f>LEFT('Liste des étudiants'!$W20,3)</f>
        <v>450</v>
      </c>
    </row>
    <row r="21" spans="1:3" x14ac:dyDescent="0.25">
      <c r="A21" s="54" t="str">
        <f>LEFT('Liste des étudiants'!$W21,3)</f>
        <v>581</v>
      </c>
    </row>
    <row r="22" spans="1:3" x14ac:dyDescent="0.25">
      <c r="A22" s="54" t="str">
        <f>LEFT('Liste des étudiants'!$W22,3)</f>
        <v>579</v>
      </c>
    </row>
    <row r="23" spans="1:3" x14ac:dyDescent="0.25">
      <c r="A23" s="54" t="str">
        <f>LEFT('Liste des étudiants'!$W23,3)</f>
        <v>579</v>
      </c>
    </row>
    <row r="24" spans="1:3" x14ac:dyDescent="0.25">
      <c r="A24" s="54" t="str">
        <f>LEFT('Liste des étudiants'!$W24,3)</f>
        <v>819</v>
      </c>
    </row>
    <row r="25" spans="1:3" x14ac:dyDescent="0.25">
      <c r="A25" s="54" t="str">
        <f>LEFT('Liste des étudiants'!$W25,3)</f>
        <v>579</v>
      </c>
    </row>
    <row r="26" spans="1:3" x14ac:dyDescent="0.25">
      <c r="A26" s="54" t="str">
        <f>LEFT('Liste des étudiants'!$W26,3)</f>
        <v>819</v>
      </c>
    </row>
    <row r="27" spans="1:3" x14ac:dyDescent="0.25">
      <c r="A27" s="54" t="str">
        <f>LEFT('Liste des étudiants'!$W27,3)</f>
        <v>579</v>
      </c>
    </row>
    <row r="28" spans="1:3" x14ac:dyDescent="0.25">
      <c r="A28" s="54" t="str">
        <f>LEFT('Liste des étudiants'!$W28,3)</f>
        <v>579</v>
      </c>
    </row>
    <row r="29" spans="1:3" x14ac:dyDescent="0.25">
      <c r="A29" s="54" t="str">
        <f>LEFT('Liste des étudiants'!$W29,3)</f>
        <v>581</v>
      </c>
    </row>
    <row r="30" spans="1:3" x14ac:dyDescent="0.25">
      <c r="A30" s="54" t="str">
        <f>LEFT('Liste des étudiants'!$W30,3)</f>
        <v>438</v>
      </c>
    </row>
    <row r="31" spans="1:3" x14ac:dyDescent="0.25">
      <c r="A31" s="54" t="str">
        <f>LEFT('Liste des étudiants'!$W31,3)</f>
        <v>579</v>
      </c>
    </row>
    <row r="32" spans="1:3" x14ac:dyDescent="0.25">
      <c r="A32" s="54" t="str">
        <f>LEFT('Liste des étudiants'!$W32,3)</f>
        <v>819</v>
      </c>
    </row>
    <row r="33" spans="1:1" x14ac:dyDescent="0.25">
      <c r="A33" s="54" t="str">
        <f>LEFT('Liste des étudiants'!$W33,3)</f>
        <v>819</v>
      </c>
    </row>
    <row r="34" spans="1:1" x14ac:dyDescent="0.25">
      <c r="A34" s="54" t="str">
        <f>LEFT('Liste des étudiants'!$W34,3)</f>
        <v>450</v>
      </c>
    </row>
    <row r="35" spans="1:1" x14ac:dyDescent="0.25">
      <c r="A35" s="54" t="str">
        <f>LEFT('Liste des étudiants'!$W35,3)</f>
        <v>819</v>
      </c>
    </row>
    <row r="36" spans="1:1" x14ac:dyDescent="0.25">
      <c r="A36" s="54" t="str">
        <f>LEFT('Liste des étudiants'!$W36,3)</f>
        <v>579</v>
      </c>
    </row>
    <row r="37" spans="1:1" x14ac:dyDescent="0.25">
      <c r="A37" s="54" t="str">
        <f>LEFT('Liste des étudiants'!$W37,3)</f>
        <v>819</v>
      </c>
    </row>
    <row r="38" spans="1:1" x14ac:dyDescent="0.25">
      <c r="A38" s="54" t="str">
        <f>LEFT('Liste des étudiants'!$W38,3)</f>
        <v>450</v>
      </c>
    </row>
    <row r="39" spans="1:1" x14ac:dyDescent="0.25">
      <c r="A39" s="54" t="str">
        <f>LEFT('Liste des étudiants'!$W39,3)</f>
        <v>579</v>
      </c>
    </row>
    <row r="40" spans="1:1" x14ac:dyDescent="0.25">
      <c r="A40" s="54" t="str">
        <f>LEFT('Liste des étudiants'!$W40,3)</f>
        <v>579</v>
      </c>
    </row>
    <row r="41" spans="1:1" x14ac:dyDescent="0.25">
      <c r="A41" s="54" t="str">
        <f>LEFT('Liste des étudiants'!$W41,3)</f>
        <v>581</v>
      </c>
    </row>
    <row r="42" spans="1:1" x14ac:dyDescent="0.25">
      <c r="A42" s="54" t="str">
        <f>LEFT('Liste des étudiants'!$W42,3)</f>
        <v>819</v>
      </c>
    </row>
    <row r="43" spans="1:1" x14ac:dyDescent="0.25">
      <c r="A43" s="54" t="str">
        <f>LEFT('Liste des étudiants'!$W43,3)</f>
        <v>819</v>
      </c>
    </row>
    <row r="44" spans="1:1" x14ac:dyDescent="0.25">
      <c r="A44" s="54" t="str">
        <f>LEFT('Liste des étudiants'!$W44,3)</f>
        <v>450</v>
      </c>
    </row>
    <row r="45" spans="1:1" x14ac:dyDescent="0.25">
      <c r="A45" s="54" t="str">
        <f>LEFT('Liste des étudiants'!$W45,3)</f>
        <v>819</v>
      </c>
    </row>
    <row r="46" spans="1:1" x14ac:dyDescent="0.25">
      <c r="A46" s="54" t="str">
        <f>LEFT('Liste des étudiants'!$W46,3)</f>
        <v>819</v>
      </c>
    </row>
    <row r="47" spans="1:1" x14ac:dyDescent="0.25">
      <c r="A47" s="54" t="str">
        <f>LEFT('Liste des étudiants'!$W47,3)</f>
        <v>450</v>
      </c>
    </row>
    <row r="48" spans="1:1" x14ac:dyDescent="0.25">
      <c r="A48" s="54" t="str">
        <f>LEFT('Liste des étudiants'!$W48,3)</f>
        <v>819</v>
      </c>
    </row>
    <row r="49" spans="1:1" x14ac:dyDescent="0.25">
      <c r="A49" s="54" t="str">
        <f>LEFT('Liste des étudiants'!$W49,3)</f>
        <v>450</v>
      </c>
    </row>
    <row r="50" spans="1:1" x14ac:dyDescent="0.25">
      <c r="A50" s="54" t="str">
        <f>LEFT('Liste des étudiants'!$W50,3)</f>
        <v>581</v>
      </c>
    </row>
    <row r="51" spans="1:1" x14ac:dyDescent="0.25">
      <c r="A51" s="54" t="str">
        <f>LEFT('Liste des étudiants'!$W51,3)</f>
        <v>819</v>
      </c>
    </row>
    <row r="52" spans="1:1" x14ac:dyDescent="0.25">
      <c r="A52" s="54" t="str">
        <f>LEFT('Liste des étudiants'!$W52,3)</f>
        <v>819</v>
      </c>
    </row>
    <row r="53" spans="1:1" x14ac:dyDescent="0.25">
      <c r="A53" s="54" t="str">
        <f>LEFT('Liste des étudiants'!$W53,3)</f>
        <v xml:space="preserve"> -</v>
      </c>
    </row>
    <row r="54" spans="1:1" x14ac:dyDescent="0.25">
      <c r="A54" s="54" t="str">
        <f>LEFT('Liste des étudiants'!$W54,3)</f>
        <v>438</v>
      </c>
    </row>
    <row r="55" spans="1:1" x14ac:dyDescent="0.25">
      <c r="A55" s="54" t="str">
        <f>LEFT('Liste des étudiants'!$W55,3)</f>
        <v>819</v>
      </c>
    </row>
    <row r="56" spans="1:1" x14ac:dyDescent="0.25">
      <c r="A56" s="54" t="str">
        <f>LEFT('Liste des étudiants'!$W56,3)</f>
        <v>579</v>
      </c>
    </row>
    <row r="57" spans="1:1" x14ac:dyDescent="0.25">
      <c r="A57" s="54" t="str">
        <f>LEFT('Liste des étudiants'!$W57,3)</f>
        <v>579</v>
      </c>
    </row>
    <row r="58" spans="1:1" x14ac:dyDescent="0.25">
      <c r="A58" s="54" t="str">
        <f>LEFT('Liste des étudiants'!$W58,3)</f>
        <v>819</v>
      </c>
    </row>
    <row r="59" spans="1:1" x14ac:dyDescent="0.25">
      <c r="A59" s="54" t="str">
        <f>LEFT('Liste des étudiants'!$W59,3)</f>
        <v>438</v>
      </c>
    </row>
    <row r="60" spans="1:1" x14ac:dyDescent="0.25">
      <c r="A60" s="54" t="str">
        <f>LEFT('Liste des étudiants'!$W60,3)</f>
        <v>819</v>
      </c>
    </row>
    <row r="61" spans="1:1" x14ac:dyDescent="0.25">
      <c r="A61" s="54" t="str">
        <f>LEFT('Liste des étudiants'!$W61,3)</f>
        <v>579</v>
      </c>
    </row>
    <row r="62" spans="1:1" x14ac:dyDescent="0.25">
      <c r="A62" s="54" t="str">
        <f>LEFT('Liste des étudiants'!$W62,3)</f>
        <v>450</v>
      </c>
    </row>
    <row r="63" spans="1:1" x14ac:dyDescent="0.25">
      <c r="A63" s="54" t="str">
        <f>LEFT('Liste des étudiants'!$W63,3)</f>
        <v>450</v>
      </c>
    </row>
    <row r="64" spans="1:1" x14ac:dyDescent="0.25">
      <c r="A64" s="54" t="str">
        <f>LEFT('Liste des étudiants'!$W64,3)</f>
        <v>819</v>
      </c>
    </row>
    <row r="65" spans="1:1" x14ac:dyDescent="0.25">
      <c r="A65" s="54" t="str">
        <f>LEFT('Liste des étudiants'!$W65,3)</f>
        <v>819</v>
      </c>
    </row>
    <row r="66" spans="1:1" x14ac:dyDescent="0.25">
      <c r="A66" s="54" t="str">
        <f>LEFT('Liste des étudiants'!$W66,3)</f>
        <v>450</v>
      </c>
    </row>
    <row r="67" spans="1:1" x14ac:dyDescent="0.25">
      <c r="A67" s="54" t="str">
        <f>LEFT('Liste des étudiants'!$W67,3)</f>
        <v>438</v>
      </c>
    </row>
    <row r="68" spans="1:1" x14ac:dyDescent="0.25">
      <c r="A68" s="54" t="str">
        <f>LEFT('Liste des étudiants'!$W68,3)</f>
        <v>581</v>
      </c>
    </row>
    <row r="69" spans="1:1" x14ac:dyDescent="0.25">
      <c r="A69" s="54" t="str">
        <f>LEFT('Liste des étudiants'!$W69,3)</f>
        <v>438</v>
      </c>
    </row>
    <row r="70" spans="1:1" x14ac:dyDescent="0.25">
      <c r="A70" s="54" t="str">
        <f>LEFT('Liste des étudiants'!$W70,3)</f>
        <v>438</v>
      </c>
    </row>
    <row r="71" spans="1:1" x14ac:dyDescent="0.25">
      <c r="A71" s="54" t="str">
        <f>LEFT('Liste des étudiants'!$W71,3)</f>
        <v>819</v>
      </c>
    </row>
    <row r="72" spans="1:1" x14ac:dyDescent="0.25">
      <c r="A72" s="54" t="str">
        <f>LEFT('Liste des étudiants'!$W72,3)</f>
        <v>819</v>
      </c>
    </row>
    <row r="73" spans="1:1" x14ac:dyDescent="0.25">
      <c r="A73" s="54" t="str">
        <f>LEFT('Liste des étudiants'!$W73,3)</f>
        <v>819</v>
      </c>
    </row>
    <row r="74" spans="1:1" x14ac:dyDescent="0.25">
      <c r="A74" s="54" t="str">
        <f>LEFT('Liste des étudiants'!$W74,3)</f>
        <v>819</v>
      </c>
    </row>
    <row r="75" spans="1:1" x14ac:dyDescent="0.25">
      <c r="A75" s="54" t="str">
        <f>LEFT('Liste des étudiants'!$W75,3)</f>
        <v>450</v>
      </c>
    </row>
    <row r="76" spans="1:1" x14ac:dyDescent="0.25">
      <c r="A76" s="54" t="str">
        <f>LEFT('Liste des étudiants'!$W76,3)</f>
        <v>579</v>
      </c>
    </row>
    <row r="77" spans="1:1" x14ac:dyDescent="0.25">
      <c r="A77" s="54" t="str">
        <f>LEFT('Liste des étudiants'!$W77,3)</f>
        <v>819</v>
      </c>
    </row>
    <row r="78" spans="1:1" x14ac:dyDescent="0.25">
      <c r="A78" s="54" t="str">
        <f>LEFT('Liste des étudiants'!$W78,3)</f>
        <v>819</v>
      </c>
    </row>
    <row r="79" spans="1:1" x14ac:dyDescent="0.25">
      <c r="A79" s="54" t="str">
        <f>LEFT('Liste des étudiants'!$W79,3)</f>
        <v>819</v>
      </c>
    </row>
    <row r="80" spans="1:1" x14ac:dyDescent="0.25">
      <c r="A80" s="54" t="str">
        <f>LEFT('Liste des étudiants'!$W80,3)</f>
        <v xml:space="preserve"> -</v>
      </c>
    </row>
    <row r="81" spans="1:1" x14ac:dyDescent="0.25">
      <c r="A81" s="54" t="str">
        <f>LEFT('Liste des étudiants'!$W81,3)</f>
        <v>450</v>
      </c>
    </row>
    <row r="82" spans="1:1" x14ac:dyDescent="0.25">
      <c r="A82" s="54" t="str">
        <f>LEFT('Liste des étudiants'!$W82,3)</f>
        <v>581</v>
      </c>
    </row>
    <row r="83" spans="1:1" x14ac:dyDescent="0.25">
      <c r="A83" s="54" t="str">
        <f>LEFT('Liste des étudiants'!$W83,3)</f>
        <v>450</v>
      </c>
    </row>
    <row r="84" spans="1:1" x14ac:dyDescent="0.25">
      <c r="A84" s="54" t="str">
        <f>LEFT('Liste des étudiants'!$W84,3)</f>
        <v>450</v>
      </c>
    </row>
    <row r="85" spans="1:1" x14ac:dyDescent="0.25">
      <c r="A85" s="54" t="str">
        <f>LEFT('Liste des étudiants'!$W85,3)</f>
        <v>450</v>
      </c>
    </row>
    <row r="86" spans="1:1" x14ac:dyDescent="0.25">
      <c r="A86" s="54" t="str">
        <f>LEFT('Liste des étudiants'!$W86,3)</f>
        <v>579</v>
      </c>
    </row>
    <row r="87" spans="1:1" x14ac:dyDescent="0.25">
      <c r="A87" s="54" t="str">
        <f>LEFT('Liste des étudiants'!$W87,3)</f>
        <v>450</v>
      </c>
    </row>
    <row r="88" spans="1:1" x14ac:dyDescent="0.25">
      <c r="A88" s="54" t="str">
        <f>LEFT('Liste des étudiants'!$W88,3)</f>
        <v>819</v>
      </c>
    </row>
    <row r="89" spans="1:1" x14ac:dyDescent="0.25">
      <c r="A89" s="54" t="str">
        <f>LEFT('Liste des étudiants'!$W89,3)</f>
        <v>819</v>
      </c>
    </row>
    <row r="90" spans="1:1" x14ac:dyDescent="0.25">
      <c r="A90" s="54" t="str">
        <f>LEFT('Liste des étudiants'!$W90,3)</f>
        <v>450</v>
      </c>
    </row>
    <row r="91" spans="1:1" x14ac:dyDescent="0.25">
      <c r="A91" s="54" t="str">
        <f>LEFT('Liste des étudiants'!$W91,3)</f>
        <v>450</v>
      </c>
    </row>
    <row r="92" spans="1:1" x14ac:dyDescent="0.25">
      <c r="A92" s="54" t="str">
        <f>LEFT('Liste des étudiants'!$W92,3)</f>
        <v>819</v>
      </c>
    </row>
    <row r="93" spans="1:1" x14ac:dyDescent="0.25">
      <c r="A93" s="54" t="str">
        <f>LEFT('Liste des étudiants'!$W93,3)</f>
        <v>579</v>
      </c>
    </row>
    <row r="94" spans="1:1" x14ac:dyDescent="0.25">
      <c r="A94" s="54" t="str">
        <f>LEFT('Liste des étudiants'!$W94,3)</f>
        <v>450</v>
      </c>
    </row>
    <row r="95" spans="1:1" x14ac:dyDescent="0.25">
      <c r="A95" s="54" t="str">
        <f>LEFT('Liste des étudiants'!$W95,3)</f>
        <v>450</v>
      </c>
    </row>
    <row r="96" spans="1:1" x14ac:dyDescent="0.25">
      <c r="A96" s="54" t="str">
        <f>LEFT('Liste des étudiants'!$W96,3)</f>
        <v>819</v>
      </c>
    </row>
    <row r="97" spans="1:1" x14ac:dyDescent="0.25">
      <c r="A97" s="54" t="str">
        <f>LEFT('Liste des étudiants'!$W97,3)</f>
        <v>579</v>
      </c>
    </row>
    <row r="98" spans="1:1" x14ac:dyDescent="0.25">
      <c r="A98" s="54" t="str">
        <f>LEFT('Liste des étudiants'!$W98,3)</f>
        <v>819</v>
      </c>
    </row>
    <row r="99" spans="1:1" x14ac:dyDescent="0.25">
      <c r="A99" s="54" t="str">
        <f>LEFT('Liste des étudiants'!$W99,3)</f>
        <v>579</v>
      </c>
    </row>
    <row r="100" spans="1:1" x14ac:dyDescent="0.25">
      <c r="A100" s="54" t="str">
        <f>LEFT('Liste des étudiants'!$W100,3)</f>
        <v>819</v>
      </c>
    </row>
    <row r="101" spans="1:1" x14ac:dyDescent="0.25">
      <c r="A101" s="54" t="str">
        <f>LEFT('Liste des étudiants'!$W101,3)</f>
        <v>819</v>
      </c>
    </row>
    <row r="102" spans="1:1" x14ac:dyDescent="0.25">
      <c r="A102" s="54" t="str">
        <f>LEFT('Liste des étudiants'!$W102,3)</f>
        <v>579</v>
      </c>
    </row>
    <row r="103" spans="1:1" x14ac:dyDescent="0.25">
      <c r="A103" s="54" t="str">
        <f>LEFT('Liste des étudiants'!$W103,3)</f>
        <v>438</v>
      </c>
    </row>
    <row r="104" spans="1:1" x14ac:dyDescent="0.25">
      <c r="A104" s="54" t="str">
        <f>LEFT('Liste des étudiants'!$W104,3)</f>
        <v>579</v>
      </c>
    </row>
    <row r="105" spans="1:1" x14ac:dyDescent="0.25">
      <c r="A105" s="54" t="str">
        <f>LEFT('Liste des étudiants'!$W105,3)</f>
        <v>581</v>
      </c>
    </row>
    <row r="106" spans="1:1" x14ac:dyDescent="0.25">
      <c r="A106" s="54" t="str">
        <f>LEFT('Liste des étudiants'!$W106,3)</f>
        <v>581</v>
      </c>
    </row>
    <row r="107" spans="1:1" x14ac:dyDescent="0.25">
      <c r="A107" s="54" t="str">
        <f>LEFT('Liste des étudiants'!$W107,3)</f>
        <v>819</v>
      </c>
    </row>
    <row r="108" spans="1:1" x14ac:dyDescent="0.25">
      <c r="A108" s="54" t="str">
        <f>LEFT('Liste des étudiants'!$W108,3)</f>
        <v>819</v>
      </c>
    </row>
    <row r="109" spans="1:1" x14ac:dyDescent="0.25">
      <c r="A109" s="54" t="str">
        <f>LEFT('Liste des étudiants'!$W109,3)</f>
        <v>579</v>
      </c>
    </row>
    <row r="110" spans="1:1" x14ac:dyDescent="0.25">
      <c r="A110" s="54" t="str">
        <f>LEFT('Liste des étudiants'!$W110,3)</f>
        <v>450</v>
      </c>
    </row>
    <row r="111" spans="1:1" x14ac:dyDescent="0.25">
      <c r="A111" s="54" t="str">
        <f>LEFT('Liste des étudiants'!$W111,3)</f>
        <v>450</v>
      </c>
    </row>
    <row r="112" spans="1:1" x14ac:dyDescent="0.25">
      <c r="A112" s="54" t="str">
        <f>LEFT('Liste des étudiants'!$W112,3)</f>
        <v>579</v>
      </c>
    </row>
    <row r="113" spans="1:1" x14ac:dyDescent="0.25">
      <c r="A113" s="54" t="str">
        <f>LEFT('Liste des étudiants'!$W113,3)</f>
        <v>579</v>
      </c>
    </row>
    <row r="114" spans="1:1" x14ac:dyDescent="0.25">
      <c r="A114" s="54" t="str">
        <f>LEFT('Liste des étudiants'!$W114,3)</f>
        <v>438</v>
      </c>
    </row>
    <row r="115" spans="1:1" x14ac:dyDescent="0.25">
      <c r="A115" s="54" t="str">
        <f>LEFT('Liste des étudiants'!$W115,3)</f>
        <v>450</v>
      </c>
    </row>
    <row r="116" spans="1:1" x14ac:dyDescent="0.25">
      <c r="A116" s="54" t="str">
        <f>LEFT('Liste des étudiants'!$W116,3)</f>
        <v>819</v>
      </c>
    </row>
    <row r="117" spans="1:1" x14ac:dyDescent="0.25">
      <c r="A117" s="54" t="str">
        <f>LEFT('Liste des étudiants'!$W117,3)</f>
        <v>581</v>
      </c>
    </row>
    <row r="118" spans="1:1" x14ac:dyDescent="0.25">
      <c r="A118" s="54" t="str">
        <f>LEFT('Liste des étudiants'!$W118,3)</f>
        <v>819</v>
      </c>
    </row>
    <row r="119" spans="1:1" x14ac:dyDescent="0.25">
      <c r="A119" s="54" t="str">
        <f>LEFT('Liste des étudiants'!$W119,3)</f>
        <v>450</v>
      </c>
    </row>
    <row r="120" spans="1:1" x14ac:dyDescent="0.25">
      <c r="A120" s="54" t="str">
        <f>LEFT('Liste des étudiants'!$W120,3)</f>
        <v>819</v>
      </c>
    </row>
    <row r="121" spans="1:1" x14ac:dyDescent="0.25">
      <c r="A121" s="54" t="str">
        <f>LEFT('Liste des étudiants'!$W121,3)</f>
        <v>450</v>
      </c>
    </row>
    <row r="122" spans="1:1" x14ac:dyDescent="0.25">
      <c r="A122" s="54" t="str">
        <f>LEFT('Liste des étudiants'!$W122,3)</f>
        <v>438</v>
      </c>
    </row>
    <row r="123" spans="1:1" x14ac:dyDescent="0.25">
      <c r="A123" s="54" t="str">
        <f>LEFT('Liste des étudiants'!$W123,3)</f>
        <v>819</v>
      </c>
    </row>
    <row r="124" spans="1:1" x14ac:dyDescent="0.25">
      <c r="A124" s="54" t="str">
        <f>LEFT('Liste des étudiants'!$W124,3)</f>
        <v>450</v>
      </c>
    </row>
    <row r="125" spans="1:1" x14ac:dyDescent="0.25">
      <c r="A125" s="54" t="str">
        <f>LEFT('Liste des étudiants'!$W125,3)</f>
        <v>579</v>
      </c>
    </row>
    <row r="126" spans="1:1" x14ac:dyDescent="0.25">
      <c r="A126" s="54" t="str">
        <f>LEFT('Liste des étudiants'!$W126,3)</f>
        <v>579</v>
      </c>
    </row>
    <row r="127" spans="1:1" x14ac:dyDescent="0.25">
      <c r="A127" s="54" t="str">
        <f>LEFT('Liste des étudiants'!$W127,3)</f>
        <v>819</v>
      </c>
    </row>
    <row r="128" spans="1:1" x14ac:dyDescent="0.25">
      <c r="A128" s="54" t="str">
        <f>LEFT('Liste des étudiants'!$W128,3)</f>
        <v>450</v>
      </c>
    </row>
    <row r="129" spans="1:1" x14ac:dyDescent="0.25">
      <c r="A129" s="54" t="str">
        <f>LEFT('Liste des étudiants'!$W129,3)</f>
        <v>579</v>
      </c>
    </row>
    <row r="130" spans="1:1" x14ac:dyDescent="0.25">
      <c r="A130" s="54" t="str">
        <f>LEFT('Liste des étudiants'!$W130,3)</f>
        <v>581</v>
      </c>
    </row>
    <row r="131" spans="1:1" x14ac:dyDescent="0.25">
      <c r="A131" s="54" t="str">
        <f>LEFT('Liste des étudiants'!$W131,3)</f>
        <v>450</v>
      </c>
    </row>
    <row r="132" spans="1:1" x14ac:dyDescent="0.25">
      <c r="A132" s="54" t="str">
        <f>LEFT('Liste des étudiants'!$W132,3)</f>
        <v>819</v>
      </c>
    </row>
    <row r="133" spans="1:1" x14ac:dyDescent="0.25">
      <c r="A133" s="54" t="str">
        <f>LEFT('Liste des étudiants'!$W133,3)</f>
        <v>450</v>
      </c>
    </row>
    <row r="134" spans="1:1" x14ac:dyDescent="0.25">
      <c r="A134" s="54" t="str">
        <f>LEFT('Liste des étudiants'!$W134,3)</f>
        <v>819</v>
      </c>
    </row>
    <row r="135" spans="1:1" x14ac:dyDescent="0.25">
      <c r="A135" s="54" t="str">
        <f>LEFT('Liste des étudiants'!$W135,3)</f>
        <v>819</v>
      </c>
    </row>
    <row r="136" spans="1:1" x14ac:dyDescent="0.25">
      <c r="A136" s="54" t="str">
        <f>LEFT('Liste des étudiants'!$W136,3)</f>
        <v>579</v>
      </c>
    </row>
    <row r="137" spans="1:1" x14ac:dyDescent="0.25">
      <c r="A137" s="54" t="str">
        <f>LEFT('Liste des étudiants'!$W137,3)</f>
        <v>450</v>
      </c>
    </row>
    <row r="138" spans="1:1" x14ac:dyDescent="0.25">
      <c r="A138" s="54" t="str">
        <f>LEFT('Liste des étudiants'!$W138,3)</f>
        <v>418</v>
      </c>
    </row>
    <row r="139" spans="1:1" x14ac:dyDescent="0.25">
      <c r="A139" s="54" t="str">
        <f>LEFT('Liste des étudiants'!$W139,3)</f>
        <v>819</v>
      </c>
    </row>
    <row r="140" spans="1:1" x14ac:dyDescent="0.25">
      <c r="A140" s="54" t="str">
        <f>LEFT('Liste des étudiants'!$W140,3)</f>
        <v>579</v>
      </c>
    </row>
    <row r="141" spans="1:1" x14ac:dyDescent="0.25">
      <c r="A141" s="54" t="str">
        <f>LEFT('Liste des étudiants'!$W141,3)</f>
        <v>819</v>
      </c>
    </row>
    <row r="142" spans="1:1" x14ac:dyDescent="0.25">
      <c r="A142" s="54" t="str">
        <f>LEFT('Liste des étudiants'!$W142,3)</f>
        <v>819</v>
      </c>
    </row>
    <row r="143" spans="1:1" x14ac:dyDescent="0.25">
      <c r="A143" s="54" t="str">
        <f>LEFT('Liste des étudiants'!$W143,3)</f>
        <v>450</v>
      </c>
    </row>
    <row r="144" spans="1:1" x14ac:dyDescent="0.25">
      <c r="A144" s="54" t="str">
        <f>LEFT('Liste des étudiants'!$W144,3)</f>
        <v>819</v>
      </c>
    </row>
    <row r="145" spans="1:1" x14ac:dyDescent="0.25">
      <c r="A145" s="54" t="str">
        <f>LEFT('Liste des étudiants'!$W145,3)</f>
        <v>819</v>
      </c>
    </row>
    <row r="146" spans="1:1" x14ac:dyDescent="0.25">
      <c r="A146" s="54" t="str">
        <f>LEFT('Liste des étudiants'!$W146,3)</f>
        <v>819</v>
      </c>
    </row>
    <row r="147" spans="1:1" x14ac:dyDescent="0.25">
      <c r="A147" s="54" t="str">
        <f>LEFT('Liste des étudiants'!$W147,3)</f>
        <v>450</v>
      </c>
    </row>
    <row r="148" spans="1:1" x14ac:dyDescent="0.25">
      <c r="A148" s="54" t="str">
        <f>LEFT('Liste des étudiants'!$W148,3)</f>
        <v>450</v>
      </c>
    </row>
    <row r="149" spans="1:1" x14ac:dyDescent="0.25">
      <c r="A149" s="54" t="str">
        <f>LEFT('Liste des étudiants'!$W149,3)</f>
        <v>819</v>
      </c>
    </row>
    <row r="150" spans="1:1" x14ac:dyDescent="0.25">
      <c r="A150" s="54" t="str">
        <f>LEFT('Liste des étudiants'!$W150,3)</f>
        <v>613</v>
      </c>
    </row>
    <row r="151" spans="1:1" x14ac:dyDescent="0.25">
      <c r="A151" s="54" t="str">
        <f>LEFT('Liste des étudiants'!$W151,3)</f>
        <v>819</v>
      </c>
    </row>
    <row r="152" spans="1:1" x14ac:dyDescent="0.25">
      <c r="A152" s="54" t="str">
        <f>LEFT('Liste des étudiants'!$W152,3)</f>
        <v>579</v>
      </c>
    </row>
    <row r="153" spans="1:1" x14ac:dyDescent="0.25">
      <c r="A153" s="54" t="str">
        <f>LEFT('Liste des étudiants'!$W153,3)</f>
        <v>579</v>
      </c>
    </row>
    <row r="154" spans="1:1" x14ac:dyDescent="0.25">
      <c r="A154" s="54" t="str">
        <f>LEFT('Liste des étudiants'!$W154,3)</f>
        <v>819</v>
      </c>
    </row>
    <row r="155" spans="1:1" x14ac:dyDescent="0.25">
      <c r="A155" s="54" t="str">
        <f>LEFT('Liste des étudiants'!$W155,3)</f>
        <v>450</v>
      </c>
    </row>
    <row r="156" spans="1:1" x14ac:dyDescent="0.25">
      <c r="A156" s="54" t="str">
        <f>LEFT('Liste des étudiants'!$W156,3)</f>
        <v>819</v>
      </c>
    </row>
    <row r="157" spans="1:1" x14ac:dyDescent="0.25">
      <c r="A157" s="54" t="str">
        <f>LEFT('Liste des étudiants'!$W157,3)</f>
        <v>450</v>
      </c>
    </row>
    <row r="158" spans="1:1" x14ac:dyDescent="0.25">
      <c r="A158" s="54" t="str">
        <f>LEFT('Liste des étudiants'!$W158,3)</f>
        <v>450</v>
      </c>
    </row>
    <row r="159" spans="1:1" x14ac:dyDescent="0.25">
      <c r="A159" s="54" t="str">
        <f>LEFT('Liste des étudiants'!$W159,3)</f>
        <v>819</v>
      </c>
    </row>
    <row r="160" spans="1:1" x14ac:dyDescent="0.25">
      <c r="A160" s="54" t="str">
        <f>LEFT('Liste des étudiants'!$W160,3)</f>
        <v>579</v>
      </c>
    </row>
    <row r="161" spans="1:1" x14ac:dyDescent="0.25">
      <c r="A161" s="54" t="str">
        <f>LEFT('Liste des étudiants'!$W161,3)</f>
        <v>579</v>
      </c>
    </row>
    <row r="162" spans="1:1" x14ac:dyDescent="0.25">
      <c r="A162" s="54" t="str">
        <f>LEFT('Liste des étudiants'!$W162,3)</f>
        <v>819</v>
      </c>
    </row>
    <row r="163" spans="1:1" x14ac:dyDescent="0.25">
      <c r="A163" s="54" t="str">
        <f>LEFT('Liste des étudiants'!$W163,3)</f>
        <v>819</v>
      </c>
    </row>
    <row r="164" spans="1:1" x14ac:dyDescent="0.25">
      <c r="A164" s="54" t="str">
        <f>LEFT('Liste des étudiants'!$W164,3)</f>
        <v>819</v>
      </c>
    </row>
    <row r="165" spans="1:1" x14ac:dyDescent="0.25">
      <c r="A165" s="54" t="str">
        <f>LEFT('Liste des étudiants'!$W165,3)</f>
        <v>819</v>
      </c>
    </row>
    <row r="166" spans="1:1" x14ac:dyDescent="0.25">
      <c r="A166" s="54" t="str">
        <f>LEFT('Liste des étudiants'!$W166,3)</f>
        <v>450</v>
      </c>
    </row>
    <row r="167" spans="1:1" x14ac:dyDescent="0.25">
      <c r="A167" s="54" t="str">
        <f>LEFT('Liste des étudiants'!$W167,3)</f>
        <v>450</v>
      </c>
    </row>
    <row r="168" spans="1:1" x14ac:dyDescent="0.25">
      <c r="A168" s="54" t="str">
        <f>LEFT('Liste des étudiants'!$W168,3)</f>
        <v>819</v>
      </c>
    </row>
    <row r="169" spans="1:1" x14ac:dyDescent="0.25">
      <c r="A169" s="54" t="str">
        <f>LEFT('Liste des étudiants'!$W169,3)</f>
        <v>450</v>
      </c>
    </row>
    <row r="170" spans="1:1" x14ac:dyDescent="0.25">
      <c r="A170" s="54" t="str">
        <f>LEFT('Liste des étudiants'!$W170,3)</f>
        <v>450</v>
      </c>
    </row>
    <row r="171" spans="1:1" x14ac:dyDescent="0.25">
      <c r="A171" s="54" t="str">
        <f>LEFT('Liste des étudiants'!$W171,3)</f>
        <v>819</v>
      </c>
    </row>
    <row r="172" spans="1:1" x14ac:dyDescent="0.25">
      <c r="A172" s="54" t="str">
        <f>LEFT('Liste des étudiants'!$W172,3)</f>
        <v>579</v>
      </c>
    </row>
    <row r="173" spans="1:1" x14ac:dyDescent="0.25">
      <c r="A173" s="54" t="str">
        <f>LEFT('Liste des étudiants'!$W173,3)</f>
        <v>450</v>
      </c>
    </row>
    <row r="174" spans="1:1" x14ac:dyDescent="0.25">
      <c r="A174" s="54" t="str">
        <f>LEFT('Liste des étudiants'!$W174,3)</f>
        <v>819</v>
      </c>
    </row>
    <row r="175" spans="1:1" x14ac:dyDescent="0.25">
      <c r="A175" s="54" t="str">
        <f>LEFT('Liste des étudiants'!$W175,3)</f>
        <v>579</v>
      </c>
    </row>
    <row r="176" spans="1:1" x14ac:dyDescent="0.25">
      <c r="A176" s="54" t="str">
        <f>LEFT('Liste des étudiants'!$W176,3)</f>
        <v>819</v>
      </c>
    </row>
    <row r="177" spans="1:1" x14ac:dyDescent="0.25">
      <c r="A177" s="54" t="str">
        <f>LEFT('Liste des étudiants'!$W177,3)</f>
        <v>579</v>
      </c>
    </row>
    <row r="178" spans="1:1" x14ac:dyDescent="0.25">
      <c r="A178" s="54" t="str">
        <f>LEFT('Liste des étudiants'!$W178,3)</f>
        <v>819</v>
      </c>
    </row>
    <row r="179" spans="1:1" x14ac:dyDescent="0.25">
      <c r="A179" s="54" t="str">
        <f>LEFT('Liste des étudiants'!$W179,3)</f>
        <v>819</v>
      </c>
    </row>
    <row r="180" spans="1:1" x14ac:dyDescent="0.25">
      <c r="A180" s="54" t="str">
        <f>LEFT('Liste des étudiants'!$W180,3)</f>
        <v>438</v>
      </c>
    </row>
    <row r="181" spans="1:1" x14ac:dyDescent="0.25">
      <c r="A181" s="54" t="str">
        <f>LEFT('Liste des étudiants'!$W181,3)</f>
        <v>450</v>
      </c>
    </row>
    <row r="182" spans="1:1" x14ac:dyDescent="0.25">
      <c r="A182" s="54" t="str">
        <f>LEFT('Liste des étudiants'!$W182,3)</f>
        <v>579</v>
      </c>
    </row>
    <row r="183" spans="1:1" x14ac:dyDescent="0.25">
      <c r="A183" s="54" t="str">
        <f>LEFT('Liste des étudiants'!$W183,3)</f>
        <v>450</v>
      </c>
    </row>
    <row r="184" spans="1:1" x14ac:dyDescent="0.25">
      <c r="A184" s="54" t="str">
        <f>LEFT('Liste des étudiants'!$W184,3)</f>
        <v>450</v>
      </c>
    </row>
    <row r="185" spans="1:1" x14ac:dyDescent="0.25">
      <c r="A185" s="54" t="str">
        <f>LEFT('Liste des étudiants'!$W185,3)</f>
        <v>819</v>
      </c>
    </row>
    <row r="186" spans="1:1" x14ac:dyDescent="0.25">
      <c r="A186" s="54" t="str">
        <f>LEFT('Liste des étudiants'!$W186,3)</f>
        <v>819</v>
      </c>
    </row>
    <row r="187" spans="1:1" x14ac:dyDescent="0.25">
      <c r="A187" s="54" t="str">
        <f>LEFT('Liste des étudiants'!$W187,3)</f>
        <v>450</v>
      </c>
    </row>
    <row r="188" spans="1:1" x14ac:dyDescent="0.25">
      <c r="A188" s="54" t="str">
        <f>LEFT('Liste des étudiants'!$W188,3)</f>
        <v>450</v>
      </c>
    </row>
    <row r="189" spans="1:1" x14ac:dyDescent="0.25">
      <c r="A189" s="54" t="str">
        <f>LEFT('Liste des étudiants'!$W189,3)</f>
        <v>579</v>
      </c>
    </row>
    <row r="190" spans="1:1" x14ac:dyDescent="0.25">
      <c r="A190" s="54" t="str">
        <f>LEFT('Liste des étudiants'!$W190,3)</f>
        <v>438</v>
      </c>
    </row>
    <row r="191" spans="1:1" x14ac:dyDescent="0.25">
      <c r="A191" s="54" t="str">
        <f>LEFT('Liste des étudiants'!$W191,3)</f>
        <v>450</v>
      </c>
    </row>
    <row r="192" spans="1:1" x14ac:dyDescent="0.25">
      <c r="A192" s="54" t="str">
        <f>LEFT('Liste des étudiants'!$W192,3)</f>
        <v>581</v>
      </c>
    </row>
    <row r="193" spans="1:1" x14ac:dyDescent="0.25">
      <c r="A193" s="54" t="str">
        <f>LEFT('Liste des étudiants'!$W193,3)</f>
        <v>579</v>
      </c>
    </row>
    <row r="194" spans="1:1" x14ac:dyDescent="0.25">
      <c r="A194" s="54" t="str">
        <f>LEFT('Liste des étudiants'!$W194,3)</f>
        <v>819</v>
      </c>
    </row>
    <row r="195" spans="1:1" x14ac:dyDescent="0.25">
      <c r="A195" s="54" t="str">
        <f>LEFT('Liste des étudiants'!$W195,3)</f>
        <v>450</v>
      </c>
    </row>
    <row r="196" spans="1:1" x14ac:dyDescent="0.25">
      <c r="A196" s="54" t="str">
        <f>LEFT('Liste des étudiants'!$W196,3)</f>
        <v>819</v>
      </c>
    </row>
    <row r="197" spans="1:1" x14ac:dyDescent="0.25">
      <c r="A197" s="54" t="str">
        <f>LEFT('Liste des étudiants'!$W197,3)</f>
        <v>579</v>
      </c>
    </row>
    <row r="198" spans="1:1" x14ac:dyDescent="0.25">
      <c r="A198" s="54" t="str">
        <f>LEFT('Liste des étudiants'!$W198,3)</f>
        <v>450</v>
      </c>
    </row>
    <row r="199" spans="1:1" x14ac:dyDescent="0.25">
      <c r="A199" s="54" t="str">
        <f>LEFT('Liste des étudiants'!$W199,3)</f>
        <v>418</v>
      </c>
    </row>
    <row r="200" spans="1:1" x14ac:dyDescent="0.25">
      <c r="A200" s="54" t="str">
        <f>LEFT('Liste des étudiants'!$W200,3)</f>
        <v>579</v>
      </c>
    </row>
    <row r="201" spans="1:1" x14ac:dyDescent="0.25">
      <c r="A201" s="54" t="str">
        <f>LEFT('Liste des étudiants'!$W201,3)</f>
        <v>450</v>
      </c>
    </row>
    <row r="202" spans="1:1" x14ac:dyDescent="0.25">
      <c r="A202" s="54" t="str">
        <f>LEFT('Liste des étudiants'!$W202,3)</f>
        <v>819</v>
      </c>
    </row>
    <row r="203" spans="1:1" x14ac:dyDescent="0.25">
      <c r="A203" s="54" t="str">
        <f>LEFT('Liste des étudiants'!$W203,3)</f>
        <v>450</v>
      </c>
    </row>
    <row r="204" spans="1:1" x14ac:dyDescent="0.25">
      <c r="A204" s="54" t="str">
        <f>LEFT('Liste des étudiants'!$W204,3)</f>
        <v>819</v>
      </c>
    </row>
    <row r="205" spans="1:1" x14ac:dyDescent="0.25">
      <c r="A205" s="54" t="str">
        <f>LEFT('Liste des étudiants'!$W205,3)</f>
        <v>819</v>
      </c>
    </row>
    <row r="206" spans="1:1" x14ac:dyDescent="0.25">
      <c r="A206" s="54" t="str">
        <f>LEFT('Liste des étudiants'!$W206,3)</f>
        <v>450</v>
      </c>
    </row>
    <row r="207" spans="1:1" x14ac:dyDescent="0.25">
      <c r="A207" s="54" t="str">
        <f>LEFT('Liste des étudiants'!$W207,3)</f>
        <v>579</v>
      </c>
    </row>
    <row r="208" spans="1:1" x14ac:dyDescent="0.25">
      <c r="A208" s="54" t="str">
        <f>LEFT('Liste des étudiants'!$W208,3)</f>
        <v>450</v>
      </c>
    </row>
    <row r="209" spans="1:1" x14ac:dyDescent="0.25">
      <c r="A209" s="54" t="str">
        <f>LEFT('Liste des étudiants'!$W209,3)</f>
        <v>819</v>
      </c>
    </row>
    <row r="210" spans="1:1" x14ac:dyDescent="0.25">
      <c r="A210" s="54" t="str">
        <f>LEFT('Liste des étudiants'!$W210,3)</f>
        <v>819</v>
      </c>
    </row>
    <row r="211" spans="1:1" x14ac:dyDescent="0.25">
      <c r="A211" s="54" t="str">
        <f>LEFT('Liste des étudiants'!$W211,3)</f>
        <v>581</v>
      </c>
    </row>
    <row r="212" spans="1:1" x14ac:dyDescent="0.25">
      <c r="A212" s="54" t="str">
        <f>LEFT('Liste des étudiants'!$W212,3)</f>
        <v>819</v>
      </c>
    </row>
    <row r="213" spans="1:1" x14ac:dyDescent="0.25">
      <c r="A213" s="54" t="str">
        <f>LEFT('Liste des étudiants'!$W213,3)</f>
        <v>450</v>
      </c>
    </row>
    <row r="214" spans="1:1" x14ac:dyDescent="0.25">
      <c r="A214" s="54" t="str">
        <f>LEFT('Liste des étudiants'!$W214,3)</f>
        <v>450</v>
      </c>
    </row>
    <row r="215" spans="1:1" x14ac:dyDescent="0.25">
      <c r="A215" s="54" t="str">
        <f>LEFT('Liste des étudiants'!$W215,3)</f>
        <v>579</v>
      </c>
    </row>
    <row r="216" spans="1:1" x14ac:dyDescent="0.25">
      <c r="A216" s="54" t="str">
        <f>LEFT('Liste des étudiants'!$W216,3)</f>
        <v>450</v>
      </c>
    </row>
    <row r="217" spans="1:1" x14ac:dyDescent="0.25">
      <c r="A217" s="54" t="str">
        <f>LEFT('Liste des étudiants'!$W217,3)</f>
        <v>450</v>
      </c>
    </row>
    <row r="218" spans="1:1" x14ac:dyDescent="0.25">
      <c r="A218" s="54" t="str">
        <f>LEFT('Liste des étudiants'!$W218,3)</f>
        <v>819</v>
      </c>
    </row>
    <row r="219" spans="1:1" x14ac:dyDescent="0.25">
      <c r="A219" s="54" t="str">
        <f>LEFT('Liste des étudiants'!$W219,3)</f>
        <v>819</v>
      </c>
    </row>
    <row r="220" spans="1:1" x14ac:dyDescent="0.25">
      <c r="A220" s="54" t="str">
        <f>LEFT('Liste des étudiants'!$W220,3)</f>
        <v>579</v>
      </c>
    </row>
    <row r="221" spans="1:1" x14ac:dyDescent="0.25">
      <c r="A221" s="54" t="str">
        <f>LEFT('Liste des étudiants'!$W221,3)</f>
        <v>819</v>
      </c>
    </row>
    <row r="222" spans="1:1" x14ac:dyDescent="0.25">
      <c r="A222" s="54" t="str">
        <f>LEFT('Liste des étudiants'!$W222,3)</f>
        <v>450</v>
      </c>
    </row>
    <row r="223" spans="1:1" x14ac:dyDescent="0.25">
      <c r="A223" s="54" t="str">
        <f>LEFT('Liste des étudiants'!$W223,3)</f>
        <v>819</v>
      </c>
    </row>
    <row r="224" spans="1:1" x14ac:dyDescent="0.25">
      <c r="A224" s="54" t="str">
        <f>LEFT('Liste des étudiants'!$W224,3)</f>
        <v>450</v>
      </c>
    </row>
    <row r="225" spans="1:1" x14ac:dyDescent="0.25">
      <c r="A225" s="54" t="str">
        <f>LEFT('Liste des étudiants'!$W225,3)</f>
        <v>579</v>
      </c>
    </row>
    <row r="226" spans="1:1" x14ac:dyDescent="0.25">
      <c r="A226" s="54" t="str">
        <f>LEFT('Liste des étudiants'!$W226,3)</f>
        <v>579</v>
      </c>
    </row>
    <row r="227" spans="1:1" x14ac:dyDescent="0.25">
      <c r="A227" s="54" t="str">
        <f>LEFT('Liste des étudiants'!$W227,3)</f>
        <v>418</v>
      </c>
    </row>
    <row r="228" spans="1:1" x14ac:dyDescent="0.25">
      <c r="A228" s="54" t="str">
        <f>LEFT('Liste des étudiants'!$W228,3)</f>
        <v>579</v>
      </c>
    </row>
    <row r="229" spans="1:1" x14ac:dyDescent="0.25">
      <c r="A229" s="54" t="str">
        <f>LEFT('Liste des étudiants'!$W229,3)</f>
        <v>579</v>
      </c>
    </row>
    <row r="230" spans="1:1" x14ac:dyDescent="0.25">
      <c r="A230" s="54" t="str">
        <f>LEFT('Liste des étudiants'!$W230,3)</f>
        <v>450</v>
      </c>
    </row>
    <row r="231" spans="1:1" x14ac:dyDescent="0.25">
      <c r="A231" s="54" t="str">
        <f>LEFT('Liste des étudiants'!$W231,3)</f>
        <v>819</v>
      </c>
    </row>
    <row r="232" spans="1:1" x14ac:dyDescent="0.25">
      <c r="A232" s="54" t="str">
        <f>LEFT('Liste des étudiants'!$W232,3)</f>
        <v xml:space="preserve"> -</v>
      </c>
    </row>
    <row r="233" spans="1:1" x14ac:dyDescent="0.25">
      <c r="A233" s="54" t="str">
        <f>LEFT('Liste des étudiants'!$W233,3)</f>
        <v xml:space="preserve"> -</v>
      </c>
    </row>
    <row r="234" spans="1:1" x14ac:dyDescent="0.25">
      <c r="A234" s="54" t="str">
        <f>LEFT('Liste des étudiants'!$W234,3)</f>
        <v>+22</v>
      </c>
    </row>
    <row r="235" spans="1:1" x14ac:dyDescent="0.25">
      <c r="A235" s="54" t="str">
        <f>LEFT('Liste des étudiants'!$W235,3)</f>
        <v>873</v>
      </c>
    </row>
    <row r="236" spans="1:1" x14ac:dyDescent="0.25">
      <c r="A236" s="54" t="str">
        <f>LEFT('Liste des étudiants'!$W236,3)</f>
        <v>819</v>
      </c>
    </row>
    <row r="237" spans="1:1" x14ac:dyDescent="0.25">
      <c r="A237" s="54" t="str">
        <f>LEFT('Liste des étudiants'!$W237,3)</f>
        <v>819</v>
      </c>
    </row>
    <row r="238" spans="1:1" x14ac:dyDescent="0.25">
      <c r="A238" s="54" t="str">
        <f>LEFT('Liste des étudiants'!$W238,3)</f>
        <v>819</v>
      </c>
    </row>
    <row r="239" spans="1:1" x14ac:dyDescent="0.25">
      <c r="A239" s="54" t="str">
        <f>LEFT('Liste des étudiants'!$W239,3)</f>
        <v>819</v>
      </c>
    </row>
    <row r="240" spans="1:1" x14ac:dyDescent="0.25">
      <c r="A240" s="54" t="str">
        <f>LEFT('Liste des étudiants'!$W240,3)</f>
        <v>819</v>
      </c>
    </row>
    <row r="241" spans="1:1" x14ac:dyDescent="0.25">
      <c r="A241" s="54" t="str">
        <f>LEFT('Liste des étudiants'!$W241,3)</f>
        <v>819</v>
      </c>
    </row>
    <row r="242" spans="1:1" x14ac:dyDescent="0.25">
      <c r="A242" s="54" t="str">
        <f>LEFT('Liste des étudiants'!$W242,3)</f>
        <v>819</v>
      </c>
    </row>
    <row r="243" spans="1:1" x14ac:dyDescent="0.25">
      <c r="A243" s="54" t="str">
        <f>LEFT('Liste des étudiants'!$W243,3)</f>
        <v>819</v>
      </c>
    </row>
    <row r="244" spans="1:1" x14ac:dyDescent="0.25">
      <c r="A244" s="54" t="str">
        <f>LEFT('Liste des étudiants'!$W244,3)</f>
        <v>819</v>
      </c>
    </row>
    <row r="245" spans="1:1" x14ac:dyDescent="0.25">
      <c r="A245" s="54" t="str">
        <f>LEFT('Liste des étudiants'!$W245,3)</f>
        <v>819</v>
      </c>
    </row>
    <row r="246" spans="1:1" x14ac:dyDescent="0.25">
      <c r="A246" s="54" t="str">
        <f>LEFT('Liste des étudiants'!$W246,3)</f>
        <v>819</v>
      </c>
    </row>
    <row r="247" spans="1:1" x14ac:dyDescent="0.25">
      <c r="A247" s="54" t="str">
        <f>LEFT('Liste des étudiants'!$W247,3)</f>
        <v>819</v>
      </c>
    </row>
    <row r="248" spans="1:1" x14ac:dyDescent="0.25">
      <c r="A248" s="54" t="str">
        <f>LEFT('Liste des étudiants'!$W248,3)</f>
        <v>819</v>
      </c>
    </row>
    <row r="249" spans="1:1" x14ac:dyDescent="0.25">
      <c r="A249" s="54" t="str">
        <f>LEFT('Liste des étudiants'!$W249,3)</f>
        <v>819</v>
      </c>
    </row>
    <row r="250" spans="1:1" x14ac:dyDescent="0.25">
      <c r="A250" s="54" t="str">
        <f>LEFT('Liste des étudiants'!$W250,3)</f>
        <v>819</v>
      </c>
    </row>
    <row r="251" spans="1:1" x14ac:dyDescent="0.25">
      <c r="A251" s="54" t="str">
        <f>LEFT('Liste des étudiants'!$W251,3)</f>
        <v>819</v>
      </c>
    </row>
    <row r="252" spans="1:1" x14ac:dyDescent="0.25">
      <c r="A252" s="54" t="str">
        <f>LEFT('Liste des étudiants'!$W252,3)</f>
        <v>819</v>
      </c>
    </row>
    <row r="253" spans="1:1" x14ac:dyDescent="0.25">
      <c r="A253" s="54" t="str">
        <f>LEFT('Liste des étudiants'!$W253,3)</f>
        <v>819</v>
      </c>
    </row>
    <row r="254" spans="1:1" x14ac:dyDescent="0.25">
      <c r="A254" s="54" t="str">
        <f>LEFT('Liste des étudiants'!$W254,3)</f>
        <v>819</v>
      </c>
    </row>
    <row r="255" spans="1:1" x14ac:dyDescent="0.25">
      <c r="A255" s="54" t="str">
        <f>LEFT('Liste des étudiants'!$W255,3)</f>
        <v>819</v>
      </c>
    </row>
    <row r="256" spans="1:1" x14ac:dyDescent="0.25">
      <c r="A256" s="54" t="str">
        <f>LEFT('Liste des étudiants'!$W256,3)</f>
        <v>819</v>
      </c>
    </row>
    <row r="257" spans="1:1" x14ac:dyDescent="0.25">
      <c r="A257" s="54" t="str">
        <f>LEFT('Liste des étudiants'!$W257,3)</f>
        <v>819</v>
      </c>
    </row>
    <row r="258" spans="1:1" x14ac:dyDescent="0.25">
      <c r="A258" s="54" t="str">
        <f>LEFT('Liste des étudiants'!$W258,3)</f>
        <v>819</v>
      </c>
    </row>
    <row r="259" spans="1:1" x14ac:dyDescent="0.25">
      <c r="A259" s="54" t="str">
        <f>LEFT('Liste des étudiants'!$W259,3)</f>
        <v>819</v>
      </c>
    </row>
    <row r="260" spans="1:1" x14ac:dyDescent="0.25">
      <c r="A260" s="54" t="str">
        <f>LEFT('Liste des étudiants'!$W260,3)</f>
        <v>819</v>
      </c>
    </row>
    <row r="261" spans="1:1" x14ac:dyDescent="0.25">
      <c r="A261" s="54" t="str">
        <f>LEFT('Liste des étudiants'!$W261,3)</f>
        <v>819</v>
      </c>
    </row>
    <row r="262" spans="1:1" x14ac:dyDescent="0.25">
      <c r="A262" s="54" t="str">
        <f>LEFT('Liste des étudiants'!$W262,3)</f>
        <v>819</v>
      </c>
    </row>
    <row r="263" spans="1:1" x14ac:dyDescent="0.25">
      <c r="A263" s="54" t="str">
        <f>LEFT('Liste des étudiants'!$W263,3)</f>
        <v>819</v>
      </c>
    </row>
    <row r="264" spans="1:1" x14ac:dyDescent="0.25">
      <c r="A264" s="54" t="str">
        <f>LEFT('Liste des étudiants'!$W264,3)</f>
        <v>819</v>
      </c>
    </row>
    <row r="265" spans="1:1" x14ac:dyDescent="0.25">
      <c r="A265" s="54" t="str">
        <f>LEFT('Liste des étudiants'!$W265,3)</f>
        <v>819</v>
      </c>
    </row>
    <row r="266" spans="1:1" x14ac:dyDescent="0.25">
      <c r="A266" s="54" t="str">
        <f>LEFT('Liste des étudiants'!$W266,3)</f>
        <v>819</v>
      </c>
    </row>
    <row r="267" spans="1:1" x14ac:dyDescent="0.25">
      <c r="A267" s="54" t="str">
        <f>LEFT('Liste des étudiants'!$W267,3)</f>
        <v>819</v>
      </c>
    </row>
    <row r="268" spans="1:1" x14ac:dyDescent="0.25">
      <c r="A268" s="54" t="str">
        <f>LEFT('Liste des étudiants'!$W268,3)</f>
        <v>819</v>
      </c>
    </row>
    <row r="269" spans="1:1" x14ac:dyDescent="0.25">
      <c r="A269" s="54" t="str">
        <f>LEFT('Liste des étudiants'!$W269,3)</f>
        <v>819</v>
      </c>
    </row>
    <row r="270" spans="1:1" x14ac:dyDescent="0.25">
      <c r="A270" s="54" t="str">
        <f>LEFT('Liste des étudiants'!$W270,3)</f>
        <v>819</v>
      </c>
    </row>
    <row r="271" spans="1:1" x14ac:dyDescent="0.25">
      <c r="A271" s="54" t="str">
        <f>LEFT('Liste des étudiants'!$W271,3)</f>
        <v>819</v>
      </c>
    </row>
    <row r="272" spans="1:1" x14ac:dyDescent="0.25">
      <c r="A272" s="54" t="str">
        <f>LEFT('Liste des étudiants'!$W272,3)</f>
        <v>819</v>
      </c>
    </row>
    <row r="273" spans="1:1" x14ac:dyDescent="0.25">
      <c r="A273" s="54" t="str">
        <f>LEFT('Liste des étudiants'!$W273,3)</f>
        <v>819</v>
      </c>
    </row>
    <row r="274" spans="1:1" x14ac:dyDescent="0.25">
      <c r="A274" s="54" t="str">
        <f>LEFT('Liste des étudiants'!$W274,3)</f>
        <v>819</v>
      </c>
    </row>
    <row r="275" spans="1:1" x14ac:dyDescent="0.25">
      <c r="A275" s="54" t="str">
        <f>LEFT('Liste des étudiants'!$W275,3)</f>
        <v>819</v>
      </c>
    </row>
    <row r="276" spans="1:1" x14ac:dyDescent="0.25">
      <c r="A276" s="54" t="str">
        <f>LEFT('Liste des étudiants'!$W276,3)</f>
        <v>819</v>
      </c>
    </row>
    <row r="277" spans="1:1" x14ac:dyDescent="0.25">
      <c r="A277" s="54" t="str">
        <f>LEFT('Liste des étudiants'!$W277,3)</f>
        <v>819</v>
      </c>
    </row>
    <row r="278" spans="1:1" x14ac:dyDescent="0.25">
      <c r="A278" s="54" t="str">
        <f>LEFT('Liste des étudiants'!$W278,3)</f>
        <v>819</v>
      </c>
    </row>
    <row r="279" spans="1:1" x14ac:dyDescent="0.25">
      <c r="A279" s="54" t="str">
        <f>LEFT('Liste des étudiants'!$W279,3)</f>
        <v>819</v>
      </c>
    </row>
    <row r="280" spans="1:1" x14ac:dyDescent="0.25">
      <c r="A280" s="54" t="str">
        <f>LEFT('Liste des étudiants'!$W280,3)</f>
        <v>819</v>
      </c>
    </row>
    <row r="281" spans="1:1" x14ac:dyDescent="0.25">
      <c r="A281" s="54" t="str">
        <f>LEFT('Liste des étudiants'!$W281,3)</f>
        <v>819</v>
      </c>
    </row>
    <row r="282" spans="1:1" x14ac:dyDescent="0.25">
      <c r="A282" s="54" t="str">
        <f>LEFT('Liste des étudiants'!$W282,3)</f>
        <v>819</v>
      </c>
    </row>
    <row r="283" spans="1:1" x14ac:dyDescent="0.25">
      <c r="A283" s="54" t="str">
        <f>LEFT('Liste des étudiants'!$W283,3)</f>
        <v>819</v>
      </c>
    </row>
    <row r="284" spans="1:1" x14ac:dyDescent="0.25">
      <c r="A284" s="54" t="str">
        <f>LEFT('Liste des étudiants'!$W284,3)</f>
        <v>819</v>
      </c>
    </row>
    <row r="285" spans="1:1" x14ac:dyDescent="0.25">
      <c r="A285" s="54" t="str">
        <f>LEFT('Liste des étudiants'!$W285,3)</f>
        <v>819</v>
      </c>
    </row>
    <row r="286" spans="1:1" x14ac:dyDescent="0.25">
      <c r="A286" s="54" t="str">
        <f>LEFT('Liste des étudiants'!$W286,3)</f>
        <v>819</v>
      </c>
    </row>
    <row r="287" spans="1:1" x14ac:dyDescent="0.25">
      <c r="A287" s="54" t="str">
        <f>LEFT('Liste des étudiants'!$W287,3)</f>
        <v>819</v>
      </c>
    </row>
    <row r="288" spans="1:1" x14ac:dyDescent="0.25">
      <c r="A288" s="54" t="str">
        <f>LEFT('Liste des étudiants'!$W288,3)</f>
        <v>819</v>
      </c>
    </row>
    <row r="289" spans="1:1" x14ac:dyDescent="0.25">
      <c r="A289" s="54" t="str">
        <f>LEFT('Liste des étudiants'!$W289,3)</f>
        <v>819</v>
      </c>
    </row>
    <row r="290" spans="1:1" x14ac:dyDescent="0.25">
      <c r="A290" s="54" t="str">
        <f>LEFT('Liste des étudiants'!$W290,3)</f>
        <v>819</v>
      </c>
    </row>
    <row r="291" spans="1:1" x14ac:dyDescent="0.25">
      <c r="A291" s="54" t="str">
        <f>LEFT('Liste des étudiants'!$W291,3)</f>
        <v>819</v>
      </c>
    </row>
    <row r="292" spans="1:1" x14ac:dyDescent="0.25">
      <c r="A292" s="54" t="str">
        <f>LEFT('Liste des étudiants'!$W292,3)</f>
        <v>819</v>
      </c>
    </row>
    <row r="293" spans="1:1" x14ac:dyDescent="0.25">
      <c r="A293" s="54" t="str">
        <f>LEFT('Liste des étudiants'!$W293,3)</f>
        <v>819</v>
      </c>
    </row>
    <row r="294" spans="1:1" x14ac:dyDescent="0.25">
      <c r="A294" s="54" t="str">
        <f>LEFT('Liste des étudiants'!$W294,3)</f>
        <v>819</v>
      </c>
    </row>
    <row r="295" spans="1:1" x14ac:dyDescent="0.25">
      <c r="A295" s="54" t="str">
        <f>LEFT('Liste des étudiants'!$W295,3)</f>
        <v>819</v>
      </c>
    </row>
    <row r="296" spans="1:1" x14ac:dyDescent="0.25">
      <c r="A296" s="54" t="str">
        <f>LEFT('Liste des étudiants'!$W296,3)</f>
        <v>819</v>
      </c>
    </row>
    <row r="297" spans="1:1" x14ac:dyDescent="0.25">
      <c r="A297" s="54" t="str">
        <f>LEFT('Liste des étudiants'!$W297,3)</f>
        <v>819</v>
      </c>
    </row>
    <row r="298" spans="1:1" x14ac:dyDescent="0.25">
      <c r="A298" s="54" t="str">
        <f>LEFT('Liste des étudiants'!$W298,3)</f>
        <v>819</v>
      </c>
    </row>
    <row r="299" spans="1:1" x14ac:dyDescent="0.25">
      <c r="A299" s="54" t="str">
        <f>LEFT('Liste des étudiants'!$W299,3)</f>
        <v>819</v>
      </c>
    </row>
    <row r="300" spans="1:1" x14ac:dyDescent="0.25">
      <c r="A300" s="54" t="str">
        <f>LEFT('Liste des étudiants'!$W300,3)</f>
        <v>819</v>
      </c>
    </row>
    <row r="301" spans="1:1" x14ac:dyDescent="0.25">
      <c r="A301" s="54" t="str">
        <f>LEFT('Liste des étudiants'!$W301,3)</f>
        <v>819</v>
      </c>
    </row>
    <row r="302" spans="1:1" x14ac:dyDescent="0.25">
      <c r="A302" s="54" t="str">
        <f>LEFT('Liste des étudiants'!$W302,3)</f>
        <v>819</v>
      </c>
    </row>
    <row r="303" spans="1:1" x14ac:dyDescent="0.25">
      <c r="A303" s="54" t="str">
        <f>LEFT('Liste des étudiants'!$W303,3)</f>
        <v>819</v>
      </c>
    </row>
    <row r="304" spans="1:1" x14ac:dyDescent="0.25">
      <c r="A304" s="54" t="str">
        <f>LEFT('Liste des étudiants'!$W304,3)</f>
        <v>819</v>
      </c>
    </row>
    <row r="305" spans="1:1" x14ac:dyDescent="0.25">
      <c r="A305" s="54" t="str">
        <f>LEFT('Liste des étudiants'!$W305,3)</f>
        <v>819</v>
      </c>
    </row>
    <row r="306" spans="1:1" x14ac:dyDescent="0.25">
      <c r="A306" s="54" t="str">
        <f>LEFT('Liste des étudiants'!$W306,3)</f>
        <v>819</v>
      </c>
    </row>
    <row r="307" spans="1:1" x14ac:dyDescent="0.25">
      <c r="A307" s="54" t="str">
        <f>LEFT('Liste des étudiants'!$W307,3)</f>
        <v>819</v>
      </c>
    </row>
    <row r="308" spans="1:1" x14ac:dyDescent="0.25">
      <c r="A308" s="54" t="str">
        <f>LEFT('Liste des étudiants'!$W308,3)</f>
        <v>819</v>
      </c>
    </row>
    <row r="309" spans="1:1" x14ac:dyDescent="0.25">
      <c r="A309" s="54" t="str">
        <f>LEFT('Liste des étudiants'!$W309,3)</f>
        <v>819</v>
      </c>
    </row>
    <row r="310" spans="1:1" x14ac:dyDescent="0.25">
      <c r="A310" s="54" t="str">
        <f>LEFT('Liste des étudiants'!$W310,3)</f>
        <v>819</v>
      </c>
    </row>
    <row r="311" spans="1:1" x14ac:dyDescent="0.25">
      <c r="A311" s="54" t="str">
        <f>LEFT('Liste des étudiants'!$W311,3)</f>
        <v>819</v>
      </c>
    </row>
    <row r="312" spans="1:1" x14ac:dyDescent="0.25">
      <c r="A312" s="54" t="str">
        <f>LEFT('Liste des étudiants'!$W312,3)</f>
        <v>819</v>
      </c>
    </row>
    <row r="313" spans="1:1" x14ac:dyDescent="0.25">
      <c r="A313" s="54" t="str">
        <f>LEFT('Liste des étudiants'!$W313,3)</f>
        <v>819</v>
      </c>
    </row>
    <row r="314" spans="1:1" x14ac:dyDescent="0.25">
      <c r="A314" s="54" t="str">
        <f>LEFT('Liste des étudiants'!$W314,3)</f>
        <v>819</v>
      </c>
    </row>
    <row r="315" spans="1:1" x14ac:dyDescent="0.25">
      <c r="A315" s="54" t="str">
        <f>LEFT('Liste des étudiants'!$W315,3)</f>
        <v>819</v>
      </c>
    </row>
    <row r="316" spans="1:1" x14ac:dyDescent="0.25">
      <c r="A316" s="54" t="str">
        <f>LEFT('Liste des étudiants'!$W316,3)</f>
        <v>819</v>
      </c>
    </row>
    <row r="317" spans="1:1" x14ac:dyDescent="0.25">
      <c r="A317" s="54" t="str">
        <f>LEFT('Liste des étudiants'!$W317,3)</f>
        <v>819</v>
      </c>
    </row>
    <row r="318" spans="1:1" x14ac:dyDescent="0.25">
      <c r="A318" s="54" t="str">
        <f>LEFT('Liste des étudiants'!$W318,3)</f>
        <v>819</v>
      </c>
    </row>
    <row r="319" spans="1:1" x14ac:dyDescent="0.25">
      <c r="A319" s="54" t="str">
        <f>LEFT('Liste des étudiants'!$W319,3)</f>
        <v>819</v>
      </c>
    </row>
    <row r="320" spans="1:1" x14ac:dyDescent="0.25">
      <c r="A320" s="54" t="str">
        <f>LEFT('Liste des étudiants'!$W320,3)</f>
        <v>819</v>
      </c>
    </row>
    <row r="321" spans="1:1" x14ac:dyDescent="0.25">
      <c r="A321" s="54" t="str">
        <f>LEFT('Liste des étudiants'!$W321,3)</f>
        <v>819</v>
      </c>
    </row>
    <row r="322" spans="1:1" x14ac:dyDescent="0.25">
      <c r="A322" s="54" t="str">
        <f>LEFT('Liste des étudiants'!$W322,3)</f>
        <v>819</v>
      </c>
    </row>
    <row r="323" spans="1:1" x14ac:dyDescent="0.25">
      <c r="A323" s="54" t="str">
        <f>LEFT('Liste des étudiants'!$W323,3)</f>
        <v>819</v>
      </c>
    </row>
    <row r="324" spans="1:1" x14ac:dyDescent="0.25">
      <c r="A324" s="54" t="str">
        <f>LEFT('Liste des étudiants'!$W324,3)</f>
        <v>819</v>
      </c>
    </row>
    <row r="325" spans="1:1" x14ac:dyDescent="0.25">
      <c r="A325" s="54" t="str">
        <f>LEFT('Liste des étudiants'!$W325,3)</f>
        <v>819</v>
      </c>
    </row>
    <row r="326" spans="1:1" x14ac:dyDescent="0.25">
      <c r="A326" s="54" t="str">
        <f>LEFT('Liste des étudiants'!$W326,3)</f>
        <v>819</v>
      </c>
    </row>
    <row r="327" spans="1:1" x14ac:dyDescent="0.25">
      <c r="A327" s="54" t="str">
        <f>LEFT('Liste des étudiants'!$W327,3)</f>
        <v>819</v>
      </c>
    </row>
    <row r="328" spans="1:1" x14ac:dyDescent="0.25">
      <c r="A328" s="54" t="str">
        <f>LEFT('Liste des étudiants'!$W328,3)</f>
        <v>819</v>
      </c>
    </row>
    <row r="329" spans="1:1" x14ac:dyDescent="0.25">
      <c r="A329" s="54" t="str">
        <f>LEFT('Liste des étudiants'!$W329,3)</f>
        <v>819</v>
      </c>
    </row>
    <row r="330" spans="1:1" x14ac:dyDescent="0.25">
      <c r="A330" s="54" t="str">
        <f>LEFT('Liste des étudiants'!$W330,3)</f>
        <v>819</v>
      </c>
    </row>
    <row r="331" spans="1:1" x14ac:dyDescent="0.25">
      <c r="A331" s="54" t="str">
        <f>LEFT('Liste des étudiants'!$W331,3)</f>
        <v>819</v>
      </c>
    </row>
    <row r="332" spans="1:1" x14ac:dyDescent="0.25">
      <c r="A332" s="54" t="str">
        <f>LEFT('Liste des étudiants'!$W332,3)</f>
        <v>819</v>
      </c>
    </row>
    <row r="333" spans="1:1" x14ac:dyDescent="0.25">
      <c r="A333" s="54" t="str">
        <f>LEFT('Liste des étudiants'!$W333,3)</f>
        <v>819</v>
      </c>
    </row>
    <row r="334" spans="1:1" x14ac:dyDescent="0.25">
      <c r="A334" s="54" t="str">
        <f>LEFT('Liste des étudiants'!$W334,3)</f>
        <v>819</v>
      </c>
    </row>
    <row r="335" spans="1:1" x14ac:dyDescent="0.25">
      <c r="A335" s="54" t="str">
        <f>LEFT('Liste des étudiants'!$W335,3)</f>
        <v>819</v>
      </c>
    </row>
    <row r="336" spans="1:1" x14ac:dyDescent="0.25">
      <c r="A336" s="54" t="str">
        <f>LEFT('Liste des étudiants'!$W336,3)</f>
        <v>819</v>
      </c>
    </row>
    <row r="337" spans="1:1" x14ac:dyDescent="0.25">
      <c r="A337" s="54" t="str">
        <f>LEFT('Liste des étudiants'!$W337,3)</f>
        <v>819</v>
      </c>
    </row>
    <row r="338" spans="1:1" x14ac:dyDescent="0.25">
      <c r="A338" s="54" t="str">
        <f>LEFT('Liste des étudiants'!$W338,3)</f>
        <v>819</v>
      </c>
    </row>
    <row r="339" spans="1:1" x14ac:dyDescent="0.25">
      <c r="A339" s="54" t="str">
        <f>LEFT('Liste des étudiants'!$W339,3)</f>
        <v>819</v>
      </c>
    </row>
    <row r="340" spans="1:1" x14ac:dyDescent="0.25">
      <c r="A340" s="54" t="str">
        <f>LEFT('Liste des étudiants'!$W340,3)</f>
        <v>819</v>
      </c>
    </row>
    <row r="341" spans="1:1" x14ac:dyDescent="0.25">
      <c r="A341" s="54" t="str">
        <f>LEFT('Liste des étudiants'!$W341,3)</f>
        <v>819</v>
      </c>
    </row>
    <row r="342" spans="1:1" x14ac:dyDescent="0.25">
      <c r="A342" s="54" t="str">
        <f>LEFT('Liste des étudiants'!$W342,3)</f>
        <v>819</v>
      </c>
    </row>
    <row r="343" spans="1:1" x14ac:dyDescent="0.25">
      <c r="A343" s="54" t="str">
        <f>LEFT('Liste des étudiants'!$W343,3)</f>
        <v>819</v>
      </c>
    </row>
    <row r="344" spans="1:1" x14ac:dyDescent="0.25">
      <c r="A344" s="54" t="str">
        <f>LEFT('Liste des étudiants'!$W344,3)</f>
        <v>819</v>
      </c>
    </row>
    <row r="345" spans="1:1" x14ac:dyDescent="0.25">
      <c r="A345" s="54" t="str">
        <f>LEFT('Liste des étudiants'!$W345,3)</f>
        <v>819</v>
      </c>
    </row>
    <row r="346" spans="1:1" x14ac:dyDescent="0.25">
      <c r="A346" s="54" t="str">
        <f>LEFT('Liste des étudiants'!$W346,3)</f>
        <v>819</v>
      </c>
    </row>
    <row r="347" spans="1:1" x14ac:dyDescent="0.25">
      <c r="A347" s="54" t="str">
        <f>LEFT('Liste des étudiants'!$W347,3)</f>
        <v>819</v>
      </c>
    </row>
    <row r="348" spans="1:1" x14ac:dyDescent="0.25">
      <c r="A348" s="54" t="str">
        <f>LEFT('Liste des étudiants'!$W348,3)</f>
        <v>819</v>
      </c>
    </row>
    <row r="349" spans="1:1" x14ac:dyDescent="0.25">
      <c r="A349" s="54" t="str">
        <f>LEFT('Liste des étudiants'!$W349,3)</f>
        <v>819</v>
      </c>
    </row>
    <row r="350" spans="1:1" x14ac:dyDescent="0.25">
      <c r="A350" s="54" t="str">
        <f>LEFT('Liste des étudiants'!$W350,3)</f>
        <v>819</v>
      </c>
    </row>
    <row r="351" spans="1:1" x14ac:dyDescent="0.25">
      <c r="A351" s="54" t="str">
        <f>LEFT('Liste des étudiants'!$W351,3)</f>
        <v>819</v>
      </c>
    </row>
    <row r="352" spans="1:1" x14ac:dyDescent="0.25">
      <c r="A352" s="54" t="str">
        <f>LEFT('Liste des étudiants'!$W352,3)</f>
        <v>819</v>
      </c>
    </row>
    <row r="353" spans="1:1" x14ac:dyDescent="0.25">
      <c r="A353" s="54" t="str">
        <f>LEFT('Liste des étudiants'!$W353,3)</f>
        <v>819</v>
      </c>
    </row>
    <row r="354" spans="1:1" x14ac:dyDescent="0.25">
      <c r="A354" s="54" t="str">
        <f>LEFT('Liste des étudiants'!$W354,3)</f>
        <v>819</v>
      </c>
    </row>
    <row r="355" spans="1:1" x14ac:dyDescent="0.25">
      <c r="A355" s="54" t="str">
        <f>LEFT('Liste des étudiants'!$W355,3)</f>
        <v>819</v>
      </c>
    </row>
    <row r="356" spans="1:1" x14ac:dyDescent="0.25">
      <c r="A356" s="54" t="str">
        <f>LEFT('Liste des étudiants'!$W356,3)</f>
        <v>819</v>
      </c>
    </row>
    <row r="357" spans="1:1" x14ac:dyDescent="0.25">
      <c r="A357" s="54" t="str">
        <f>LEFT('Liste des étudiants'!$W357,3)</f>
        <v>819</v>
      </c>
    </row>
    <row r="358" spans="1:1" x14ac:dyDescent="0.25">
      <c r="A358" s="54" t="str">
        <f>LEFT('Liste des étudiants'!$W358,3)</f>
        <v>819</v>
      </c>
    </row>
    <row r="359" spans="1:1" x14ac:dyDescent="0.25">
      <c r="A359" s="54" t="str">
        <f>LEFT('Liste des étudiants'!$W359,3)</f>
        <v>819</v>
      </c>
    </row>
    <row r="360" spans="1:1" x14ac:dyDescent="0.25">
      <c r="A360" s="54" t="str">
        <f>LEFT('Liste des étudiants'!$W360,3)</f>
        <v>819</v>
      </c>
    </row>
    <row r="361" spans="1:1" x14ac:dyDescent="0.25">
      <c r="A361" s="54" t="str">
        <f>LEFT('Liste des étudiants'!$W361,3)</f>
        <v>819</v>
      </c>
    </row>
    <row r="362" spans="1:1" x14ac:dyDescent="0.25">
      <c r="A362" s="54" t="str">
        <f>LEFT('Liste des étudiants'!$W362,3)</f>
        <v>819</v>
      </c>
    </row>
    <row r="363" spans="1:1" x14ac:dyDescent="0.25">
      <c r="A363" s="54" t="str">
        <f>LEFT('Liste des étudiants'!$W363,3)</f>
        <v>819</v>
      </c>
    </row>
    <row r="364" spans="1:1" x14ac:dyDescent="0.25">
      <c r="A364" s="54" t="str">
        <f>LEFT('Liste des étudiants'!$W364,3)</f>
        <v>819</v>
      </c>
    </row>
    <row r="365" spans="1:1" x14ac:dyDescent="0.25">
      <c r="A365" s="54" t="str">
        <f>LEFT('Liste des étudiants'!$W365,3)</f>
        <v>819</v>
      </c>
    </row>
    <row r="366" spans="1:1" x14ac:dyDescent="0.25">
      <c r="A366" s="54" t="str">
        <f>LEFT('Liste des étudiants'!$W366,3)</f>
        <v>819</v>
      </c>
    </row>
    <row r="367" spans="1:1" x14ac:dyDescent="0.25">
      <c r="A367" s="54" t="str">
        <f>LEFT('Liste des étudiants'!$W367,3)</f>
        <v>819</v>
      </c>
    </row>
    <row r="368" spans="1:1" x14ac:dyDescent="0.25">
      <c r="A368" s="54" t="str">
        <f>LEFT('Liste des étudiants'!$W368,3)</f>
        <v>819</v>
      </c>
    </row>
    <row r="369" spans="1:1" x14ac:dyDescent="0.25">
      <c r="A369" s="54" t="str">
        <f>LEFT('Liste des étudiants'!$W369,3)</f>
        <v>819</v>
      </c>
    </row>
    <row r="370" spans="1:1" x14ac:dyDescent="0.25">
      <c r="A370" s="54" t="str">
        <f>LEFT('Liste des étudiants'!$W370,3)</f>
        <v>819</v>
      </c>
    </row>
    <row r="371" spans="1:1" x14ac:dyDescent="0.25">
      <c r="A371" s="54" t="str">
        <f>LEFT('Liste des étudiants'!$W371,3)</f>
        <v>819</v>
      </c>
    </row>
    <row r="372" spans="1:1" x14ac:dyDescent="0.25">
      <c r="A372" s="54" t="str">
        <f>LEFT('Liste des étudiants'!$W372,3)</f>
        <v>819</v>
      </c>
    </row>
    <row r="373" spans="1:1" x14ac:dyDescent="0.25">
      <c r="A373" s="54" t="str">
        <f>LEFT('Liste des étudiants'!$W373,3)</f>
        <v>819</v>
      </c>
    </row>
    <row r="374" spans="1:1" x14ac:dyDescent="0.25">
      <c r="A374" s="54" t="str">
        <f>LEFT('Liste des étudiants'!$W374,3)</f>
        <v>819</v>
      </c>
    </row>
    <row r="375" spans="1:1" x14ac:dyDescent="0.25">
      <c r="A375" s="54" t="str">
        <f>LEFT('Liste des étudiants'!$W375,3)</f>
        <v>819</v>
      </c>
    </row>
    <row r="376" spans="1:1" x14ac:dyDescent="0.25">
      <c r="A376" s="54" t="str">
        <f>LEFT('Liste des étudiants'!$W376,3)</f>
        <v>819</v>
      </c>
    </row>
    <row r="377" spans="1:1" x14ac:dyDescent="0.25">
      <c r="A377" s="54" t="str">
        <f>LEFT('Liste des étudiants'!$W377,3)</f>
        <v>819</v>
      </c>
    </row>
    <row r="378" spans="1:1" x14ac:dyDescent="0.25">
      <c r="A378" s="54" t="str">
        <f>LEFT('Liste des étudiants'!$W378,3)</f>
        <v>819</v>
      </c>
    </row>
    <row r="379" spans="1:1" x14ac:dyDescent="0.25">
      <c r="A379" s="54" t="str">
        <f>LEFT('Liste des étudiants'!$W379,3)</f>
        <v>819</v>
      </c>
    </row>
    <row r="380" spans="1:1" x14ac:dyDescent="0.25">
      <c r="A380" s="54" t="str">
        <f>LEFT('Liste des étudiants'!$W380,3)</f>
        <v>819</v>
      </c>
    </row>
    <row r="381" spans="1:1" x14ac:dyDescent="0.25">
      <c r="A381" s="54" t="str">
        <f>LEFT('Liste des étudiants'!$W381,3)</f>
        <v>819</v>
      </c>
    </row>
    <row r="382" spans="1:1" x14ac:dyDescent="0.25">
      <c r="A382" s="54" t="str">
        <f>LEFT('Liste des étudiants'!$W382,3)</f>
        <v>819</v>
      </c>
    </row>
    <row r="383" spans="1:1" x14ac:dyDescent="0.25">
      <c r="A383" s="54" t="str">
        <f>LEFT('Liste des étudiants'!$W383,3)</f>
        <v>819</v>
      </c>
    </row>
    <row r="384" spans="1:1" x14ac:dyDescent="0.25">
      <c r="A384" s="54" t="str">
        <f>LEFT('Liste des étudiants'!$W384,3)</f>
        <v>819</v>
      </c>
    </row>
    <row r="385" spans="1:1" x14ac:dyDescent="0.25">
      <c r="A385" s="54" t="str">
        <f>LEFT('Liste des étudiants'!$W385,3)</f>
        <v>819</v>
      </c>
    </row>
    <row r="386" spans="1:1" x14ac:dyDescent="0.25">
      <c r="A386" s="54" t="str">
        <f>LEFT('Liste des étudiants'!$W386,3)</f>
        <v>819</v>
      </c>
    </row>
    <row r="387" spans="1:1" x14ac:dyDescent="0.25">
      <c r="A387" s="54" t="str">
        <f>LEFT('Liste des étudiants'!$W387,3)</f>
        <v>819</v>
      </c>
    </row>
    <row r="388" spans="1:1" x14ac:dyDescent="0.25">
      <c r="A388" s="54" t="str">
        <f>LEFT('Liste des étudiants'!$W388,3)</f>
        <v>819</v>
      </c>
    </row>
    <row r="389" spans="1:1" x14ac:dyDescent="0.25">
      <c r="A389" s="54" t="str">
        <f>LEFT('Liste des étudiants'!$W389,3)</f>
        <v>819</v>
      </c>
    </row>
    <row r="390" spans="1:1" x14ac:dyDescent="0.25">
      <c r="A390" s="54" t="str">
        <f>LEFT('Liste des étudiants'!$W390,3)</f>
        <v>819</v>
      </c>
    </row>
    <row r="391" spans="1:1" x14ac:dyDescent="0.25">
      <c r="A391" s="54" t="str">
        <f>LEFT('Liste des étudiants'!$W391,3)</f>
        <v>819</v>
      </c>
    </row>
    <row r="392" spans="1:1" x14ac:dyDescent="0.25">
      <c r="A392" s="54" t="str">
        <f>LEFT('Liste des étudiants'!$W392,3)</f>
        <v>819</v>
      </c>
    </row>
    <row r="393" spans="1:1" x14ac:dyDescent="0.25">
      <c r="A393" s="54" t="str">
        <f>LEFT('Liste des étudiants'!$W393,3)</f>
        <v>819</v>
      </c>
    </row>
    <row r="394" spans="1:1" x14ac:dyDescent="0.25">
      <c r="A394" s="54" t="str">
        <f>LEFT('Liste des étudiants'!$W394,3)</f>
        <v>819</v>
      </c>
    </row>
    <row r="395" spans="1:1" x14ac:dyDescent="0.25">
      <c r="A395" s="54" t="str">
        <f>LEFT('Liste des étudiants'!$W395,3)</f>
        <v>819</v>
      </c>
    </row>
    <row r="396" spans="1:1" x14ac:dyDescent="0.25">
      <c r="A396" s="54" t="str">
        <f>LEFT('Liste des étudiants'!$W396,3)</f>
        <v>819</v>
      </c>
    </row>
    <row r="397" spans="1:1" x14ac:dyDescent="0.25">
      <c r="A397" s="54" t="str">
        <f>LEFT('Liste des étudiants'!$W397,3)</f>
        <v>819</v>
      </c>
    </row>
    <row r="398" spans="1:1" x14ac:dyDescent="0.25">
      <c r="A398" s="54" t="str">
        <f>LEFT('Liste des étudiants'!$W398,3)</f>
        <v>819</v>
      </c>
    </row>
    <row r="399" spans="1:1" x14ac:dyDescent="0.25">
      <c r="A399" s="54" t="str">
        <f>LEFT('Liste des étudiants'!$W399,3)</f>
        <v>819</v>
      </c>
    </row>
    <row r="400" spans="1:1" x14ac:dyDescent="0.25">
      <c r="A400" s="54" t="str">
        <f>LEFT('Liste des étudiants'!$W400,3)</f>
        <v>819</v>
      </c>
    </row>
    <row r="401" spans="1:1" x14ac:dyDescent="0.25">
      <c r="A401" s="54" t="str">
        <f>LEFT('Liste des étudiants'!$W401,3)</f>
        <v>819</v>
      </c>
    </row>
    <row r="402" spans="1:1" x14ac:dyDescent="0.25">
      <c r="A402" s="54" t="str">
        <f>LEFT('Liste des étudiants'!$W402,3)</f>
        <v>819</v>
      </c>
    </row>
    <row r="403" spans="1:1" x14ac:dyDescent="0.25">
      <c r="A403" s="54" t="str">
        <f>LEFT('Liste des étudiants'!$W403,3)</f>
        <v>819</v>
      </c>
    </row>
    <row r="404" spans="1:1" x14ac:dyDescent="0.25">
      <c r="A404" s="54" t="str">
        <f>LEFT('Liste des étudiants'!$W404,3)</f>
        <v>819</v>
      </c>
    </row>
    <row r="405" spans="1:1" x14ac:dyDescent="0.25">
      <c r="A405" s="54" t="str">
        <f>LEFT('Liste des étudiants'!$W405,3)</f>
        <v>819</v>
      </c>
    </row>
    <row r="406" spans="1:1" x14ac:dyDescent="0.25">
      <c r="A406" s="54" t="str">
        <f>LEFT('Liste des étudiants'!$W406,3)</f>
        <v>819</v>
      </c>
    </row>
    <row r="407" spans="1:1" x14ac:dyDescent="0.25">
      <c r="A407" s="54" t="str">
        <f>LEFT('Liste des étudiants'!$W407,3)</f>
        <v>819</v>
      </c>
    </row>
    <row r="408" spans="1:1" x14ac:dyDescent="0.25">
      <c r="A408" s="54" t="str">
        <f>LEFT('Liste des étudiants'!$W408,3)</f>
        <v>819</v>
      </c>
    </row>
    <row r="409" spans="1:1" x14ac:dyDescent="0.25">
      <c r="A409" s="54" t="str">
        <f>LEFT('Liste des étudiants'!$W409,3)</f>
        <v>819</v>
      </c>
    </row>
    <row r="410" spans="1:1" x14ac:dyDescent="0.25">
      <c r="A410" s="54" t="str">
        <f>LEFT('Liste des étudiants'!$W410,3)</f>
        <v>819</v>
      </c>
    </row>
    <row r="411" spans="1:1" x14ac:dyDescent="0.25">
      <c r="A411" s="54" t="str">
        <f>LEFT('Liste des étudiants'!$W411,3)</f>
        <v>819</v>
      </c>
    </row>
    <row r="412" spans="1:1" x14ac:dyDescent="0.25">
      <c r="A412" s="54" t="str">
        <f>LEFT('Liste des étudiants'!$W412,3)</f>
        <v>819</v>
      </c>
    </row>
    <row r="413" spans="1:1" x14ac:dyDescent="0.25">
      <c r="A413" s="54" t="str">
        <f>LEFT('Liste des étudiants'!$W413,3)</f>
        <v>819</v>
      </c>
    </row>
    <row r="414" spans="1:1" x14ac:dyDescent="0.25">
      <c r="A414" s="54" t="str">
        <f>LEFT('Liste des étudiants'!$W414,3)</f>
        <v>819</v>
      </c>
    </row>
    <row r="415" spans="1:1" x14ac:dyDescent="0.25">
      <c r="A415" s="54" t="str">
        <f>LEFT('Liste des étudiants'!$W415,3)</f>
        <v>819</v>
      </c>
    </row>
    <row r="416" spans="1:1" x14ac:dyDescent="0.25">
      <c r="A416" s="54" t="str">
        <f>LEFT('Liste des étudiants'!$W416,3)</f>
        <v>819</v>
      </c>
    </row>
    <row r="417" spans="1:1" x14ac:dyDescent="0.25">
      <c r="A417" s="54" t="str">
        <f>LEFT('Liste des étudiants'!$W417,3)</f>
        <v>819</v>
      </c>
    </row>
    <row r="418" spans="1:1" x14ac:dyDescent="0.25">
      <c r="A418" s="54" t="str">
        <f>LEFT('Liste des étudiants'!$W418,3)</f>
        <v>819</v>
      </c>
    </row>
    <row r="419" spans="1:1" x14ac:dyDescent="0.25">
      <c r="A419" s="54" t="str">
        <f>LEFT('Liste des étudiants'!$W419,3)</f>
        <v>819</v>
      </c>
    </row>
    <row r="420" spans="1:1" x14ac:dyDescent="0.25">
      <c r="A420" s="54" t="str">
        <f>LEFT('Liste des étudiants'!$W420,3)</f>
        <v>819</v>
      </c>
    </row>
    <row r="421" spans="1:1" x14ac:dyDescent="0.25">
      <c r="A421" s="54" t="str">
        <f>LEFT('Liste des étudiants'!$W421,3)</f>
        <v>819</v>
      </c>
    </row>
    <row r="422" spans="1:1" x14ac:dyDescent="0.25">
      <c r="A422" s="54" t="str">
        <f>LEFT('Liste des étudiants'!$W422,3)</f>
        <v>819</v>
      </c>
    </row>
    <row r="423" spans="1:1" x14ac:dyDescent="0.25">
      <c r="A423" s="54" t="str">
        <f>LEFT('Liste des étudiants'!$W423,3)</f>
        <v>819</v>
      </c>
    </row>
    <row r="424" spans="1:1" x14ac:dyDescent="0.25">
      <c r="A424" s="54" t="str">
        <f>LEFT('Liste des étudiants'!$W424,3)</f>
        <v>819</v>
      </c>
    </row>
    <row r="425" spans="1:1" x14ac:dyDescent="0.25">
      <c r="A425" s="54" t="str">
        <f>LEFT('Liste des étudiants'!$W425,3)</f>
        <v>819</v>
      </c>
    </row>
    <row r="426" spans="1:1" x14ac:dyDescent="0.25">
      <c r="A426" s="54" t="str">
        <f>LEFT('Liste des étudiants'!$W426,3)</f>
        <v>819</v>
      </c>
    </row>
    <row r="427" spans="1:1" x14ac:dyDescent="0.25">
      <c r="A427" s="54" t="str">
        <f>LEFT('Liste des étudiants'!$W427,3)</f>
        <v>819</v>
      </c>
    </row>
    <row r="428" spans="1:1" x14ac:dyDescent="0.25">
      <c r="A428" s="54" t="str">
        <f>LEFT('Liste des étudiants'!$W428,3)</f>
        <v>819</v>
      </c>
    </row>
    <row r="429" spans="1:1" x14ac:dyDescent="0.25">
      <c r="A429" s="54" t="str">
        <f>LEFT('Liste des étudiants'!$W429,3)</f>
        <v>819</v>
      </c>
    </row>
    <row r="430" spans="1:1" x14ac:dyDescent="0.25">
      <c r="A430" s="54" t="str">
        <f>LEFT('Liste des étudiants'!$W430,3)</f>
        <v>819</v>
      </c>
    </row>
    <row r="431" spans="1:1" x14ac:dyDescent="0.25">
      <c r="A431" s="54" t="str">
        <f>LEFT('Liste des étudiants'!$W431,3)</f>
        <v>819</v>
      </c>
    </row>
    <row r="432" spans="1:1" x14ac:dyDescent="0.25">
      <c r="A432" s="54" t="str">
        <f>LEFT('Liste des étudiants'!$W432,3)</f>
        <v>819</v>
      </c>
    </row>
    <row r="433" spans="1:1" x14ac:dyDescent="0.25">
      <c r="A433" s="54" t="str">
        <f>LEFT('Liste des étudiants'!$W433,3)</f>
        <v>819</v>
      </c>
    </row>
    <row r="434" spans="1:1" x14ac:dyDescent="0.25">
      <c r="A434" s="54" t="str">
        <f>LEFT('Liste des étudiants'!$W434,3)</f>
        <v>819</v>
      </c>
    </row>
    <row r="435" spans="1:1" x14ac:dyDescent="0.25">
      <c r="A435" s="54" t="str">
        <f>LEFT('Liste des étudiants'!$W435,3)</f>
        <v>819</v>
      </c>
    </row>
    <row r="436" spans="1:1" x14ac:dyDescent="0.25">
      <c r="A436" s="54" t="str">
        <f>LEFT('Liste des étudiants'!$W436,3)</f>
        <v>819</v>
      </c>
    </row>
    <row r="437" spans="1:1" x14ac:dyDescent="0.25">
      <c r="A437" s="54" t="str">
        <f>LEFT('Liste des étudiants'!$W437,3)</f>
        <v>819</v>
      </c>
    </row>
    <row r="438" spans="1:1" x14ac:dyDescent="0.25">
      <c r="A438" s="54" t="str">
        <f>LEFT('Liste des étudiants'!$W438,3)</f>
        <v>819</v>
      </c>
    </row>
    <row r="439" spans="1:1" x14ac:dyDescent="0.25">
      <c r="A439" s="54" t="str">
        <f>LEFT('Liste des étudiants'!$W439,3)</f>
        <v>819</v>
      </c>
    </row>
    <row r="440" spans="1:1" x14ac:dyDescent="0.25">
      <c r="A440" s="54" t="str">
        <f>LEFT('Liste des étudiants'!$W440,3)</f>
        <v>819</v>
      </c>
    </row>
    <row r="441" spans="1:1" x14ac:dyDescent="0.25">
      <c r="A441" s="54" t="str">
        <f>LEFT('Liste des étudiants'!$W441,3)</f>
        <v>819</v>
      </c>
    </row>
    <row r="442" spans="1:1" x14ac:dyDescent="0.25">
      <c r="A442" s="54" t="str">
        <f>LEFT('Liste des étudiants'!$W442,3)</f>
        <v>819</v>
      </c>
    </row>
    <row r="443" spans="1:1" x14ac:dyDescent="0.25">
      <c r="A443" s="54" t="str">
        <f>LEFT('Liste des étudiants'!$W443,3)</f>
        <v>819</v>
      </c>
    </row>
    <row r="444" spans="1:1" x14ac:dyDescent="0.25">
      <c r="A444" s="54" t="str">
        <f>LEFT('Liste des étudiants'!$W444,3)</f>
        <v>819</v>
      </c>
    </row>
    <row r="445" spans="1:1" x14ac:dyDescent="0.25">
      <c r="A445" s="54" t="str">
        <f>LEFT('Liste des étudiants'!$W445,3)</f>
        <v>819</v>
      </c>
    </row>
    <row r="446" spans="1:1" x14ac:dyDescent="0.25">
      <c r="A446" s="54" t="str">
        <f>LEFT('Liste des étudiants'!$W446,3)</f>
        <v>819</v>
      </c>
    </row>
    <row r="447" spans="1:1" x14ac:dyDescent="0.25">
      <c r="A447" s="54" t="str">
        <f>LEFT('Liste des étudiants'!$W447,3)</f>
        <v>819</v>
      </c>
    </row>
    <row r="448" spans="1:1" x14ac:dyDescent="0.25">
      <c r="A448" s="54" t="str">
        <f>LEFT('Liste des étudiants'!$W448,3)</f>
        <v>819</v>
      </c>
    </row>
    <row r="449" spans="1:1" x14ac:dyDescent="0.25">
      <c r="A449" s="54" t="str">
        <f>LEFT('Liste des étudiants'!$W449,3)</f>
        <v>819</v>
      </c>
    </row>
    <row r="450" spans="1:1" x14ac:dyDescent="0.25">
      <c r="A450" s="54" t="str">
        <f>LEFT('Liste des étudiants'!$W450,3)</f>
        <v>819</v>
      </c>
    </row>
    <row r="451" spans="1:1" x14ac:dyDescent="0.25">
      <c r="A451" s="54" t="str">
        <f>LEFT('Liste des étudiants'!$W451,3)</f>
        <v>819</v>
      </c>
    </row>
    <row r="452" spans="1:1" x14ac:dyDescent="0.25">
      <c r="A452" s="54" t="str">
        <f>LEFT('Liste des étudiants'!$W452,3)</f>
        <v>819</v>
      </c>
    </row>
    <row r="453" spans="1:1" x14ac:dyDescent="0.25">
      <c r="A453" s="54" t="str">
        <f>LEFT('Liste des étudiants'!$W453,3)</f>
        <v>819</v>
      </c>
    </row>
    <row r="454" spans="1:1" x14ac:dyDescent="0.25">
      <c r="A454" s="54" t="str">
        <f>LEFT('Liste des étudiants'!$W454,3)</f>
        <v>819</v>
      </c>
    </row>
    <row r="455" spans="1:1" x14ac:dyDescent="0.25">
      <c r="A455" s="54" t="str">
        <f>LEFT('Liste des étudiants'!$W455,3)</f>
        <v>819</v>
      </c>
    </row>
    <row r="456" spans="1:1" x14ac:dyDescent="0.25">
      <c r="A456" s="54" t="str">
        <f>LEFT('Liste des étudiants'!$W456,3)</f>
        <v>819</v>
      </c>
    </row>
    <row r="457" spans="1:1" x14ac:dyDescent="0.25">
      <c r="A457" s="54" t="str">
        <f>LEFT('Liste des étudiants'!$W457,3)</f>
        <v>819</v>
      </c>
    </row>
    <row r="458" spans="1:1" x14ac:dyDescent="0.25">
      <c r="A458" s="54" t="str">
        <f>LEFT('Liste des étudiants'!$W458,3)</f>
        <v>819</v>
      </c>
    </row>
    <row r="459" spans="1:1" x14ac:dyDescent="0.25">
      <c r="A459" s="54" t="str">
        <f>LEFT('Liste des étudiants'!$W459,3)</f>
        <v>819</v>
      </c>
    </row>
    <row r="460" spans="1:1" x14ac:dyDescent="0.25">
      <c r="A460" s="54" t="str">
        <f>LEFT('Liste des étudiants'!$W460,3)</f>
        <v>819</v>
      </c>
    </row>
    <row r="461" spans="1:1" x14ac:dyDescent="0.25">
      <c r="A461" s="54" t="str">
        <f>LEFT('Liste des étudiants'!$W461,3)</f>
        <v>819</v>
      </c>
    </row>
    <row r="462" spans="1:1" x14ac:dyDescent="0.25">
      <c r="A462" s="54" t="str">
        <f>LEFT('Liste des étudiants'!$W462,3)</f>
        <v>819</v>
      </c>
    </row>
    <row r="463" spans="1:1" x14ac:dyDescent="0.25">
      <c r="A463" s="54" t="str">
        <f>LEFT('Liste des étudiants'!$W463,3)</f>
        <v>819</v>
      </c>
    </row>
    <row r="464" spans="1:1" x14ac:dyDescent="0.25">
      <c r="A464" s="54" t="str">
        <f>LEFT('Liste des étudiants'!$W464,3)</f>
        <v>819</v>
      </c>
    </row>
    <row r="465" spans="1:1" x14ac:dyDescent="0.25">
      <c r="A465" s="54" t="str">
        <f>LEFT('Liste des étudiants'!$W465,3)</f>
        <v>819</v>
      </c>
    </row>
    <row r="466" spans="1:1" x14ac:dyDescent="0.25">
      <c r="A466" s="54" t="str">
        <f>LEFT('Liste des étudiants'!$W466,3)</f>
        <v>819</v>
      </c>
    </row>
    <row r="467" spans="1:1" x14ac:dyDescent="0.25">
      <c r="A467" s="54" t="str">
        <f>LEFT('Liste des étudiants'!$W467,3)</f>
        <v>819</v>
      </c>
    </row>
    <row r="468" spans="1:1" x14ac:dyDescent="0.25">
      <c r="A468" s="54" t="str">
        <f>LEFT('Liste des étudiants'!$W468,3)</f>
        <v>819</v>
      </c>
    </row>
    <row r="469" spans="1:1" x14ac:dyDescent="0.25">
      <c r="A469" s="54" t="str">
        <f>LEFT('Liste des étudiants'!$W469,3)</f>
        <v>819</v>
      </c>
    </row>
    <row r="470" spans="1:1" x14ac:dyDescent="0.25">
      <c r="A470" s="54" t="str">
        <f>LEFT('Liste des étudiants'!$W470,3)</f>
        <v>819</v>
      </c>
    </row>
    <row r="471" spans="1:1" x14ac:dyDescent="0.25">
      <c r="A471" s="54" t="str">
        <f>LEFT('Liste des étudiants'!$W471,3)</f>
        <v>819</v>
      </c>
    </row>
    <row r="472" spans="1:1" x14ac:dyDescent="0.25">
      <c r="A472" s="54" t="str">
        <f>LEFT('Liste des étudiants'!$W472,3)</f>
        <v>819</v>
      </c>
    </row>
    <row r="473" spans="1:1" x14ac:dyDescent="0.25">
      <c r="A473" s="54" t="str">
        <f>LEFT('Liste des étudiants'!$W473,3)</f>
        <v>819</v>
      </c>
    </row>
    <row r="474" spans="1:1" x14ac:dyDescent="0.25">
      <c r="A474" s="54" t="str">
        <f>LEFT('Liste des étudiants'!$W474,3)</f>
        <v>819</v>
      </c>
    </row>
    <row r="475" spans="1:1" x14ac:dyDescent="0.25">
      <c r="A475" s="54" t="str">
        <f>LEFT('Liste des étudiants'!$W475,3)</f>
        <v>819</v>
      </c>
    </row>
    <row r="476" spans="1:1" x14ac:dyDescent="0.25">
      <c r="A476" s="54" t="str">
        <f>LEFT('Liste des étudiants'!$W476,3)</f>
        <v>819</v>
      </c>
    </row>
    <row r="477" spans="1:1" x14ac:dyDescent="0.25">
      <c r="A477" s="54" t="str">
        <f>LEFT('Liste des étudiants'!$W477,3)</f>
        <v>819</v>
      </c>
    </row>
    <row r="478" spans="1:1" x14ac:dyDescent="0.25">
      <c r="A478" s="54" t="str">
        <f>LEFT('Liste des étudiants'!$W478,3)</f>
        <v>819</v>
      </c>
    </row>
    <row r="479" spans="1:1" x14ac:dyDescent="0.25">
      <c r="A479" s="54" t="str">
        <f>LEFT('Liste des étudiants'!$W479,3)</f>
        <v>819</v>
      </c>
    </row>
    <row r="480" spans="1:1" x14ac:dyDescent="0.25">
      <c r="A480" s="54" t="str">
        <f>LEFT('Liste des étudiants'!$W480,3)</f>
        <v>819</v>
      </c>
    </row>
    <row r="481" spans="1:1" x14ac:dyDescent="0.25">
      <c r="A481" s="54" t="str">
        <f>LEFT('Liste des étudiants'!$W481,3)</f>
        <v>819</v>
      </c>
    </row>
    <row r="482" spans="1:1" x14ac:dyDescent="0.25">
      <c r="A482" s="54" t="str">
        <f>LEFT('Liste des étudiants'!$W482,3)</f>
        <v>819</v>
      </c>
    </row>
    <row r="483" spans="1:1" x14ac:dyDescent="0.25">
      <c r="A483" s="54" t="str">
        <f>LEFT('Liste des étudiants'!$W483,3)</f>
        <v>819</v>
      </c>
    </row>
    <row r="484" spans="1:1" x14ac:dyDescent="0.25">
      <c r="A484" s="54" t="str">
        <f>LEFT('Liste des étudiants'!$W484,3)</f>
        <v>819</v>
      </c>
    </row>
    <row r="485" spans="1:1" x14ac:dyDescent="0.25">
      <c r="A485" s="54" t="str">
        <f>LEFT('Liste des étudiants'!$W485,3)</f>
        <v>819</v>
      </c>
    </row>
    <row r="486" spans="1:1" x14ac:dyDescent="0.25">
      <c r="A486" s="54" t="str">
        <f>LEFT('Liste des étudiants'!$W486,3)</f>
        <v>819</v>
      </c>
    </row>
    <row r="487" spans="1:1" x14ac:dyDescent="0.25">
      <c r="A487" s="54" t="str">
        <f>LEFT('Liste des étudiants'!$W487,3)</f>
        <v>819</v>
      </c>
    </row>
    <row r="488" spans="1:1" x14ac:dyDescent="0.25">
      <c r="A488" s="54" t="str">
        <f>LEFT('Liste des étudiants'!$W488,3)</f>
        <v>819</v>
      </c>
    </row>
    <row r="489" spans="1:1" x14ac:dyDescent="0.25">
      <c r="A489" s="54" t="str">
        <f>LEFT('Liste des étudiants'!$W489,3)</f>
        <v>819</v>
      </c>
    </row>
    <row r="490" spans="1:1" x14ac:dyDescent="0.25">
      <c r="A490" s="54" t="str">
        <f>LEFT('Liste des étudiants'!$W490,3)</f>
        <v>819</v>
      </c>
    </row>
    <row r="491" spans="1:1" x14ac:dyDescent="0.25">
      <c r="A491" s="54" t="str">
        <f>LEFT('Liste des étudiants'!$W491,3)</f>
        <v>819</v>
      </c>
    </row>
    <row r="492" spans="1:1" x14ac:dyDescent="0.25">
      <c r="A492" s="54" t="str">
        <f>LEFT('Liste des étudiants'!$W492,3)</f>
        <v>819</v>
      </c>
    </row>
    <row r="493" spans="1:1" x14ac:dyDescent="0.25">
      <c r="A493" s="54" t="str">
        <f>LEFT('Liste des étudiants'!$W493,3)</f>
        <v>819</v>
      </c>
    </row>
    <row r="494" spans="1:1" x14ac:dyDescent="0.25">
      <c r="A494" s="54" t="str">
        <f>LEFT('Liste des étudiants'!$W494,3)</f>
        <v>819</v>
      </c>
    </row>
    <row r="495" spans="1:1" x14ac:dyDescent="0.25">
      <c r="A495" s="54" t="str">
        <f>LEFT('Liste des étudiants'!$W495,3)</f>
        <v>819</v>
      </c>
    </row>
    <row r="496" spans="1:1" x14ac:dyDescent="0.25">
      <c r="A496" s="54" t="str">
        <f>LEFT('Liste des étudiants'!$W496,3)</f>
        <v>579</v>
      </c>
    </row>
    <row r="497" spans="1:1" x14ac:dyDescent="0.25">
      <c r="A497" s="54" t="str">
        <f>LEFT('Liste des étudiants'!$W497,3)</f>
        <v>579</v>
      </c>
    </row>
    <row r="498" spans="1:1" x14ac:dyDescent="0.25">
      <c r="A498" s="54" t="str">
        <f>LEFT('Liste des étudiants'!$W498,3)</f>
        <v>579</v>
      </c>
    </row>
    <row r="499" spans="1:1" x14ac:dyDescent="0.25">
      <c r="A499" s="54" t="str">
        <f>LEFT('Liste des étudiants'!$W499,3)</f>
        <v>579</v>
      </c>
    </row>
    <row r="500" spans="1:1" x14ac:dyDescent="0.25">
      <c r="A500" s="54" t="str">
        <f>LEFT('Liste des étudiants'!$W500,3)</f>
        <v>579</v>
      </c>
    </row>
    <row r="501" spans="1:1" x14ac:dyDescent="0.25">
      <c r="A501" s="54" t="str">
        <f>LEFT('Liste des étudiants'!$W501,3)</f>
        <v>579</v>
      </c>
    </row>
    <row r="502" spans="1:1" x14ac:dyDescent="0.25">
      <c r="A502" s="54" t="str">
        <f>LEFT('Liste des étudiants'!$W502,3)</f>
        <v>579</v>
      </c>
    </row>
    <row r="503" spans="1:1" x14ac:dyDescent="0.25">
      <c r="A503" s="54" t="str">
        <f>LEFT('Liste des étudiants'!$W503,3)</f>
        <v>579</v>
      </c>
    </row>
    <row r="504" spans="1:1" x14ac:dyDescent="0.25">
      <c r="A504" s="54" t="str">
        <f>LEFT('Liste des étudiants'!$W504,3)</f>
        <v>579</v>
      </c>
    </row>
    <row r="505" spans="1:1" x14ac:dyDescent="0.25">
      <c r="A505" s="54" t="str">
        <f>LEFT('Liste des étudiants'!$W505,3)</f>
        <v>579</v>
      </c>
    </row>
    <row r="506" spans="1:1" x14ac:dyDescent="0.25">
      <c r="A506" s="54" t="str">
        <f>LEFT('Liste des étudiants'!$W506,3)</f>
        <v>579</v>
      </c>
    </row>
    <row r="507" spans="1:1" x14ac:dyDescent="0.25">
      <c r="A507" s="54" t="str">
        <f>LEFT('Liste des étudiants'!$W507,3)</f>
        <v>579</v>
      </c>
    </row>
    <row r="508" spans="1:1" x14ac:dyDescent="0.25">
      <c r="A508" s="54" t="str">
        <f>LEFT('Liste des étudiants'!$W508,3)</f>
        <v>579</v>
      </c>
    </row>
    <row r="509" spans="1:1" x14ac:dyDescent="0.25">
      <c r="A509" s="54" t="str">
        <f>LEFT('Liste des étudiants'!$W509,3)</f>
        <v>579</v>
      </c>
    </row>
    <row r="510" spans="1:1" x14ac:dyDescent="0.25">
      <c r="A510" s="54" t="str">
        <f>LEFT('Liste des étudiants'!$W510,3)</f>
        <v>579</v>
      </c>
    </row>
    <row r="511" spans="1:1" x14ac:dyDescent="0.25">
      <c r="A511" s="54" t="str">
        <f>LEFT('Liste des étudiants'!$W511,3)</f>
        <v>579</v>
      </c>
    </row>
    <row r="512" spans="1:1" x14ac:dyDescent="0.25">
      <c r="A512" s="54" t="str">
        <f>LEFT('Liste des étudiants'!$W512,3)</f>
        <v>579</v>
      </c>
    </row>
    <row r="513" spans="1:1" x14ac:dyDescent="0.25">
      <c r="A513" s="54" t="str">
        <f>LEFT('Liste des étudiants'!$W513,3)</f>
        <v>579</v>
      </c>
    </row>
    <row r="514" spans="1:1" x14ac:dyDescent="0.25">
      <c r="A514" s="54" t="str">
        <f>LEFT('Liste des étudiants'!$W514,3)</f>
        <v>579</v>
      </c>
    </row>
    <row r="515" spans="1:1" x14ac:dyDescent="0.25">
      <c r="A515" s="54" t="str">
        <f>LEFT('Liste des étudiants'!$W515,3)</f>
        <v>579</v>
      </c>
    </row>
    <row r="516" spans="1:1" x14ac:dyDescent="0.25">
      <c r="A516" s="54" t="str">
        <f>LEFT('Liste des étudiants'!$W516,3)</f>
        <v>579</v>
      </c>
    </row>
    <row r="517" spans="1:1" x14ac:dyDescent="0.25">
      <c r="A517" s="54" t="str">
        <f>LEFT('Liste des étudiants'!$W517,3)</f>
        <v>579</v>
      </c>
    </row>
    <row r="518" spans="1:1" x14ac:dyDescent="0.25">
      <c r="A518" s="54" t="str">
        <f>LEFT('Liste des étudiants'!$W518,3)</f>
        <v>579</v>
      </c>
    </row>
    <row r="519" spans="1:1" x14ac:dyDescent="0.25">
      <c r="A519" s="54" t="str">
        <f>LEFT('Liste des étudiants'!$W519,3)</f>
        <v>579</v>
      </c>
    </row>
    <row r="520" spans="1:1" x14ac:dyDescent="0.25">
      <c r="A520" s="54" t="str">
        <f>LEFT('Liste des étudiants'!$W520,3)</f>
        <v>514</v>
      </c>
    </row>
    <row r="521" spans="1:1" x14ac:dyDescent="0.25">
      <c r="A521" s="54" t="str">
        <f>LEFT('Liste des étudiants'!$W521,3)</f>
        <v>514</v>
      </c>
    </row>
    <row r="522" spans="1:1" x14ac:dyDescent="0.25">
      <c r="A522" s="54" t="str">
        <f>LEFT('Liste des étudiants'!$W522,3)</f>
        <v>514</v>
      </c>
    </row>
    <row r="523" spans="1:1" x14ac:dyDescent="0.25">
      <c r="A523" s="54" t="str">
        <f>LEFT('Liste des étudiants'!$W523,3)</f>
        <v>514</v>
      </c>
    </row>
    <row r="524" spans="1:1" x14ac:dyDescent="0.25">
      <c r="A524" s="54" t="str">
        <f>LEFT('Liste des étudiants'!$W524,3)</f>
        <v>514</v>
      </c>
    </row>
    <row r="525" spans="1:1" x14ac:dyDescent="0.25">
      <c r="A525" s="54" t="str">
        <f>LEFT('Liste des étudiants'!$W525,3)</f>
        <v>514</v>
      </c>
    </row>
    <row r="526" spans="1:1" x14ac:dyDescent="0.25">
      <c r="A526" s="54" t="str">
        <f>LEFT('Liste des étudiants'!$W526,3)</f>
        <v>514</v>
      </c>
    </row>
    <row r="527" spans="1:1" x14ac:dyDescent="0.25">
      <c r="A527" s="54" t="str">
        <f>LEFT('Liste des étudiants'!$W527,3)</f>
        <v>514</v>
      </c>
    </row>
    <row r="528" spans="1:1" x14ac:dyDescent="0.25">
      <c r="A528" s="54" t="str">
        <f>LEFT('Liste des étudiants'!$W528,3)</f>
        <v>514</v>
      </c>
    </row>
    <row r="529" spans="1:1" x14ac:dyDescent="0.25">
      <c r="A529" s="54" t="str">
        <f>LEFT('Liste des étudiants'!$W529,3)</f>
        <v>514</v>
      </c>
    </row>
    <row r="530" spans="1:1" x14ac:dyDescent="0.25">
      <c r="A530" s="54" t="str">
        <f>LEFT('Liste des étudiants'!$W530,3)</f>
        <v>514</v>
      </c>
    </row>
    <row r="531" spans="1:1" x14ac:dyDescent="0.25">
      <c r="A531" s="54" t="str">
        <f>LEFT('Liste des étudiants'!$W531,3)</f>
        <v>514</v>
      </c>
    </row>
    <row r="532" spans="1:1" x14ac:dyDescent="0.25">
      <c r="A532" s="54" t="str">
        <f>LEFT('Liste des étudiants'!$W532,3)</f>
        <v>514</v>
      </c>
    </row>
    <row r="533" spans="1:1" x14ac:dyDescent="0.25">
      <c r="A533" s="54" t="str">
        <f>LEFT('Liste des étudiants'!$W533,3)</f>
        <v>514</v>
      </c>
    </row>
    <row r="534" spans="1:1" x14ac:dyDescent="0.25">
      <c r="A534" s="54" t="str">
        <f>LEFT('Liste des étudiants'!$W534,3)</f>
        <v>514</v>
      </c>
    </row>
    <row r="535" spans="1:1" x14ac:dyDescent="0.25">
      <c r="A535" s="54" t="str">
        <f>LEFT('Liste des étudiants'!$W535,3)</f>
        <v>514</v>
      </c>
    </row>
    <row r="536" spans="1:1" x14ac:dyDescent="0.25">
      <c r="A536" s="54" t="str">
        <f>LEFT('Liste des étudiants'!$W536,3)</f>
        <v>450</v>
      </c>
    </row>
    <row r="537" spans="1:1" x14ac:dyDescent="0.25">
      <c r="A537" s="54" t="str">
        <f>LEFT('Liste des étudiants'!$W537,3)</f>
        <v>514</v>
      </c>
    </row>
    <row r="538" spans="1:1" x14ac:dyDescent="0.25">
      <c r="A538" s="54" t="str">
        <f>LEFT('Liste des étudiants'!$W538,3)</f>
        <v>514</v>
      </c>
    </row>
    <row r="539" spans="1:1" x14ac:dyDescent="0.25">
      <c r="A539" s="54" t="str">
        <f>LEFT('Liste des étudiants'!$W539,3)</f>
        <v>514</v>
      </c>
    </row>
    <row r="540" spans="1:1" x14ac:dyDescent="0.25">
      <c r="A540" s="54" t="str">
        <f>LEFT('Liste des étudiants'!$W540,3)</f>
        <v>450</v>
      </c>
    </row>
    <row r="541" spans="1:1" x14ac:dyDescent="0.25">
      <c r="A541" s="54" t="str">
        <f>LEFT('Liste des étudiants'!$W541,3)</f>
        <v>514</v>
      </c>
    </row>
    <row r="542" spans="1:1" x14ac:dyDescent="0.25">
      <c r="A542" s="54" t="str">
        <f>LEFT('Liste des étudiants'!$W542,3)</f>
        <v>514</v>
      </c>
    </row>
    <row r="543" spans="1:1" x14ac:dyDescent="0.25">
      <c r="A543" s="54" t="str">
        <f>LEFT('Liste des étudiants'!$W543,3)</f>
        <v>450</v>
      </c>
    </row>
    <row r="544" spans="1:1" x14ac:dyDescent="0.25">
      <c r="A544" s="54" t="str">
        <f>LEFT('Liste des étudiants'!$W544,3)</f>
        <v>514</v>
      </c>
    </row>
    <row r="545" spans="1:1" x14ac:dyDescent="0.25">
      <c r="A545" s="54" t="str">
        <f>LEFT('Liste des étudiants'!$W545,3)</f>
        <v>514</v>
      </c>
    </row>
    <row r="546" spans="1:1" x14ac:dyDescent="0.25">
      <c r="A546" s="54" t="str">
        <f>LEFT('Liste des étudiants'!$W546,3)</f>
        <v>514</v>
      </c>
    </row>
    <row r="547" spans="1:1" x14ac:dyDescent="0.25">
      <c r="A547" s="54" t="str">
        <f>LEFT('Liste des étudiants'!$W547,3)</f>
        <v>514</v>
      </c>
    </row>
    <row r="548" spans="1:1" x14ac:dyDescent="0.25">
      <c r="A548" s="54" t="str">
        <f>LEFT('Liste des étudiants'!$W548,3)</f>
        <v>514</v>
      </c>
    </row>
    <row r="549" spans="1:1" x14ac:dyDescent="0.25">
      <c r="A549" s="54" t="str">
        <f>LEFT('Liste des étudiants'!$W549,3)</f>
        <v>514</v>
      </c>
    </row>
    <row r="550" spans="1:1" x14ac:dyDescent="0.25">
      <c r="A550" s="54" t="str">
        <f>LEFT('Liste des étudiants'!$W550,3)</f>
        <v>514</v>
      </c>
    </row>
    <row r="551" spans="1:1" x14ac:dyDescent="0.25">
      <c r="A551" s="54" t="str">
        <f>LEFT('Liste des étudiants'!$W551,3)</f>
        <v>514</v>
      </c>
    </row>
    <row r="552" spans="1:1" x14ac:dyDescent="0.25">
      <c r="A552" s="54" t="str">
        <f>LEFT('Liste des étudiants'!$W552,3)</f>
        <v>514</v>
      </c>
    </row>
    <row r="553" spans="1:1" x14ac:dyDescent="0.25">
      <c r="A553" s="54" t="str">
        <f>LEFT('Liste des étudiants'!$W553,3)</f>
        <v>450</v>
      </c>
    </row>
    <row r="554" spans="1:1" x14ac:dyDescent="0.25">
      <c r="A554" s="54" t="str">
        <f>LEFT('Liste des étudiants'!$W554,3)</f>
        <v>514</v>
      </c>
    </row>
    <row r="555" spans="1:1" x14ac:dyDescent="0.25">
      <c r="A555" s="54" t="str">
        <f>LEFT('Liste des étudiants'!$W555,3)</f>
        <v>514</v>
      </c>
    </row>
    <row r="556" spans="1:1" x14ac:dyDescent="0.25">
      <c r="A556" s="54" t="str">
        <f>LEFT('Liste des étudiants'!$W556,3)</f>
        <v>514</v>
      </c>
    </row>
    <row r="557" spans="1:1" x14ac:dyDescent="0.25">
      <c r="A557" s="54" t="str">
        <f>LEFT('Liste des étudiants'!$W557,3)</f>
        <v>514</v>
      </c>
    </row>
    <row r="558" spans="1:1" x14ac:dyDescent="0.25">
      <c r="A558" s="54" t="str">
        <f>LEFT('Liste des étudiants'!$W558,3)</f>
        <v>514</v>
      </c>
    </row>
    <row r="559" spans="1:1" x14ac:dyDescent="0.25">
      <c r="A559" s="54" t="str">
        <f>LEFT('Liste des étudiants'!$W559,3)</f>
        <v>514</v>
      </c>
    </row>
    <row r="560" spans="1:1" x14ac:dyDescent="0.25">
      <c r="A560" s="54" t="str">
        <f>LEFT('Liste des étudiants'!$W560,3)</f>
        <v>514</v>
      </c>
    </row>
    <row r="561" spans="1:1" x14ac:dyDescent="0.25">
      <c r="A561" s="54" t="str">
        <f>LEFT('Liste des étudiants'!$W561,3)</f>
        <v>514</v>
      </c>
    </row>
    <row r="562" spans="1:1" x14ac:dyDescent="0.25">
      <c r="A562" s="54" t="str">
        <f>LEFT('Liste des étudiants'!$W562,3)</f>
        <v>514</v>
      </c>
    </row>
    <row r="563" spans="1:1" x14ac:dyDescent="0.25">
      <c r="A563" s="54" t="str">
        <f>LEFT('Liste des étudiants'!$W563,3)</f>
        <v>514</v>
      </c>
    </row>
    <row r="564" spans="1:1" x14ac:dyDescent="0.25">
      <c r="A564" s="54" t="str">
        <f>LEFT('Liste des étudiants'!$W564,3)</f>
        <v>514</v>
      </c>
    </row>
    <row r="565" spans="1:1" x14ac:dyDescent="0.25">
      <c r="A565" s="54" t="str">
        <f>LEFT('Liste des étudiants'!$W565,3)</f>
        <v>514</v>
      </c>
    </row>
    <row r="566" spans="1:1" x14ac:dyDescent="0.25">
      <c r="A566" s="54" t="str">
        <f>LEFT('Liste des étudiants'!$W566,3)</f>
        <v>514</v>
      </c>
    </row>
    <row r="567" spans="1:1" x14ac:dyDescent="0.25">
      <c r="A567" s="54" t="str">
        <f>LEFT('Liste des étudiants'!$W567,3)</f>
        <v>514</v>
      </c>
    </row>
    <row r="568" spans="1:1" x14ac:dyDescent="0.25">
      <c r="A568" s="54" t="str">
        <f>LEFT('Liste des étudiants'!$W568,3)</f>
        <v>514</v>
      </c>
    </row>
    <row r="569" spans="1:1" x14ac:dyDescent="0.25">
      <c r="A569" s="54" t="str">
        <f>LEFT('Liste des étudiants'!$W569,3)</f>
        <v>514</v>
      </c>
    </row>
    <row r="570" spans="1:1" x14ac:dyDescent="0.25">
      <c r="A570" s="54" t="str">
        <f>LEFT('Liste des étudiants'!$W570,3)</f>
        <v>450</v>
      </c>
    </row>
    <row r="571" spans="1:1" x14ac:dyDescent="0.25">
      <c r="A571" s="54" t="str">
        <f>LEFT('Liste des étudiants'!$W571,3)</f>
        <v>514</v>
      </c>
    </row>
    <row r="572" spans="1:1" x14ac:dyDescent="0.25">
      <c r="A572" s="54" t="str">
        <f>LEFT('Liste des étudiants'!$W572,3)</f>
        <v>514</v>
      </c>
    </row>
    <row r="573" spans="1:1" x14ac:dyDescent="0.25">
      <c r="A573" s="54" t="str">
        <f>LEFT('Liste des étudiants'!$W573,3)</f>
        <v>514</v>
      </c>
    </row>
    <row r="574" spans="1:1" x14ac:dyDescent="0.25">
      <c r="A574" s="54" t="str">
        <f>LEFT('Liste des étudiants'!$W574,3)</f>
        <v>450</v>
      </c>
    </row>
    <row r="575" spans="1:1" x14ac:dyDescent="0.25">
      <c r="A575" s="54" t="str">
        <f>LEFT('Liste des étudiants'!$W575,3)</f>
        <v>514</v>
      </c>
    </row>
    <row r="576" spans="1:1" x14ac:dyDescent="0.25">
      <c r="A576" s="54" t="str">
        <f>LEFT('Liste des étudiants'!$W576,3)</f>
        <v>514</v>
      </c>
    </row>
    <row r="577" spans="1:1" x14ac:dyDescent="0.25">
      <c r="A577" s="54" t="str">
        <f>LEFT('Liste des étudiants'!$W577,3)</f>
        <v>514</v>
      </c>
    </row>
    <row r="578" spans="1:1" x14ac:dyDescent="0.25">
      <c r="A578" s="54" t="str">
        <f>LEFT('Liste des étudiants'!$W578,3)</f>
        <v>514</v>
      </c>
    </row>
    <row r="579" spans="1:1" x14ac:dyDescent="0.25">
      <c r="A579" s="54" t="str">
        <f>LEFT('Liste des étudiants'!$W579,3)</f>
        <v>514</v>
      </c>
    </row>
    <row r="580" spans="1:1" x14ac:dyDescent="0.25">
      <c r="A580" s="54" t="str">
        <f>LEFT('Liste des étudiants'!$W580,3)</f>
        <v>514</v>
      </c>
    </row>
    <row r="581" spans="1:1" x14ac:dyDescent="0.25">
      <c r="A581" s="54" t="str">
        <f>LEFT('Liste des étudiants'!$W581,3)</f>
        <v>514</v>
      </c>
    </row>
    <row r="582" spans="1:1" x14ac:dyDescent="0.25">
      <c r="A582" s="54" t="str">
        <f>LEFT('Liste des étudiants'!$W582,3)</f>
        <v>514</v>
      </c>
    </row>
    <row r="583" spans="1:1" x14ac:dyDescent="0.25">
      <c r="A583" s="54" t="str">
        <f>LEFT('Liste des étudiants'!$W583,3)</f>
        <v>514</v>
      </c>
    </row>
    <row r="584" spans="1:1" x14ac:dyDescent="0.25">
      <c r="A584" s="54" t="str">
        <f>LEFT('Liste des étudiants'!$W584,3)</f>
        <v>514</v>
      </c>
    </row>
    <row r="585" spans="1:1" x14ac:dyDescent="0.25">
      <c r="A585" s="54" t="str">
        <f>LEFT('Liste des étudiants'!$W585,3)</f>
        <v>514</v>
      </c>
    </row>
    <row r="586" spans="1:1" x14ac:dyDescent="0.25">
      <c r="A586" s="54" t="str">
        <f>LEFT('Liste des étudiants'!$W586,3)</f>
        <v>514</v>
      </c>
    </row>
    <row r="587" spans="1:1" x14ac:dyDescent="0.25">
      <c r="A587" s="54" t="str">
        <f>LEFT('Liste des étudiants'!$W587,3)</f>
        <v>514</v>
      </c>
    </row>
    <row r="588" spans="1:1" x14ac:dyDescent="0.25">
      <c r="A588" s="54" t="str">
        <f>LEFT('Liste des étudiants'!$W588,3)</f>
        <v>514</v>
      </c>
    </row>
    <row r="589" spans="1:1" x14ac:dyDescent="0.25">
      <c r="A589" s="54" t="str">
        <f>LEFT('Liste des étudiants'!$W589,3)</f>
        <v>450</v>
      </c>
    </row>
    <row r="590" spans="1:1" x14ac:dyDescent="0.25">
      <c r="A590" s="54" t="str">
        <f>LEFT('Liste des étudiants'!$W590,3)</f>
        <v>514</v>
      </c>
    </row>
    <row r="591" spans="1:1" x14ac:dyDescent="0.25">
      <c r="A591" s="54" t="str">
        <f>LEFT('Liste des étudiants'!$W591,3)</f>
        <v>514</v>
      </c>
    </row>
    <row r="592" spans="1:1" x14ac:dyDescent="0.25">
      <c r="A592" s="54" t="str">
        <f>LEFT('Liste des étudiants'!$W592,3)</f>
        <v>514</v>
      </c>
    </row>
    <row r="593" spans="1:1" x14ac:dyDescent="0.25">
      <c r="A593" s="54" t="str">
        <f>LEFT('Liste des étudiants'!$W593,3)</f>
        <v>514</v>
      </c>
    </row>
    <row r="594" spans="1:1" x14ac:dyDescent="0.25">
      <c r="A594" s="54" t="str">
        <f>LEFT('Liste des étudiants'!$W594,3)</f>
        <v>514</v>
      </c>
    </row>
    <row r="595" spans="1:1" x14ac:dyDescent="0.25">
      <c r="A595" s="54" t="str">
        <f>LEFT('Liste des étudiants'!$W595,3)</f>
        <v>450</v>
      </c>
    </row>
    <row r="596" spans="1:1" x14ac:dyDescent="0.25">
      <c r="A596" s="54" t="str">
        <f>LEFT('Liste des étudiants'!$W596,3)</f>
        <v>514</v>
      </c>
    </row>
    <row r="597" spans="1:1" x14ac:dyDescent="0.25">
      <c r="A597" s="54" t="str">
        <f>LEFT('Liste des étudiants'!$W597,3)</f>
        <v>514</v>
      </c>
    </row>
    <row r="598" spans="1:1" x14ac:dyDescent="0.25">
      <c r="A598" s="54" t="str">
        <f>LEFT('Liste des étudiants'!$W598,3)</f>
        <v>514</v>
      </c>
    </row>
    <row r="599" spans="1:1" x14ac:dyDescent="0.25">
      <c r="A599" s="54" t="str">
        <f>LEFT('Liste des étudiants'!$W599,3)</f>
        <v>450</v>
      </c>
    </row>
    <row r="600" spans="1:1" x14ac:dyDescent="0.25">
      <c r="A600" s="54" t="str">
        <f>LEFT('Liste des étudiants'!$W600,3)</f>
        <v>514</v>
      </c>
    </row>
    <row r="601" spans="1:1" x14ac:dyDescent="0.25">
      <c r="A601" s="54" t="str">
        <f>LEFT('Liste des étudiants'!$W601,3)</f>
        <v>514</v>
      </c>
    </row>
    <row r="602" spans="1:1" x14ac:dyDescent="0.25">
      <c r="A602" s="54" t="str">
        <f>LEFT('Liste des étudiants'!$W602,3)</f>
        <v>514</v>
      </c>
    </row>
    <row r="603" spans="1:1" x14ac:dyDescent="0.25">
      <c r="A603" s="54" t="str">
        <f>LEFT('Liste des étudiants'!$W603,3)</f>
        <v>514</v>
      </c>
    </row>
    <row r="604" spans="1:1" x14ac:dyDescent="0.25">
      <c r="A604" s="54" t="str">
        <f>LEFT('Liste des étudiants'!$W604,3)</f>
        <v>514</v>
      </c>
    </row>
    <row r="605" spans="1:1" x14ac:dyDescent="0.25">
      <c r="A605" s="54" t="str">
        <f>LEFT('Liste des étudiants'!$W605,3)</f>
        <v>514</v>
      </c>
    </row>
    <row r="606" spans="1:1" x14ac:dyDescent="0.25">
      <c r="A606" s="54" t="str">
        <f>LEFT('Liste des étudiants'!$W606,3)</f>
        <v>514</v>
      </c>
    </row>
    <row r="607" spans="1:1" x14ac:dyDescent="0.25">
      <c r="A607" s="54" t="str">
        <f>LEFT('Liste des étudiants'!$W607,3)</f>
        <v>514</v>
      </c>
    </row>
    <row r="608" spans="1:1" x14ac:dyDescent="0.25">
      <c r="A608" s="54" t="str">
        <f>LEFT('Liste des étudiants'!$W608,3)</f>
        <v>514</v>
      </c>
    </row>
    <row r="609" spans="1:1" x14ac:dyDescent="0.25">
      <c r="A609" s="54" t="str">
        <f>LEFT('Liste des étudiants'!$W609,3)</f>
        <v>514</v>
      </c>
    </row>
    <row r="610" spans="1:1" x14ac:dyDescent="0.25">
      <c r="A610" s="54" t="str">
        <f>LEFT('Liste des étudiants'!$W610,3)</f>
        <v>514</v>
      </c>
    </row>
    <row r="611" spans="1:1" x14ac:dyDescent="0.25">
      <c r="A611" s="54" t="str">
        <f>LEFT('Liste des étudiants'!$W611,3)</f>
        <v>514</v>
      </c>
    </row>
    <row r="612" spans="1:1" x14ac:dyDescent="0.25">
      <c r="A612" s="54" t="str">
        <f>LEFT('Liste des étudiants'!$W612,3)</f>
        <v>514</v>
      </c>
    </row>
    <row r="613" spans="1:1" x14ac:dyDescent="0.25">
      <c r="A613" s="54" t="str">
        <f>LEFT('Liste des étudiants'!$W613,3)</f>
        <v>514</v>
      </c>
    </row>
    <row r="614" spans="1:1" x14ac:dyDescent="0.25">
      <c r="A614" s="54" t="str">
        <f>LEFT('Liste des étudiants'!$W614,3)</f>
        <v>514</v>
      </c>
    </row>
    <row r="615" spans="1:1" x14ac:dyDescent="0.25">
      <c r="A615" s="54" t="str">
        <f>LEFT('Liste des étudiants'!$W615,3)</f>
        <v>514</v>
      </c>
    </row>
    <row r="616" spans="1:1" x14ac:dyDescent="0.25">
      <c r="A616" s="54" t="str">
        <f>LEFT('Liste des étudiants'!$W616,3)</f>
        <v>514</v>
      </c>
    </row>
    <row r="617" spans="1:1" x14ac:dyDescent="0.25">
      <c r="A617" s="54" t="str">
        <f>LEFT('Liste des étudiants'!$W617,3)</f>
        <v>450</v>
      </c>
    </row>
    <row r="618" spans="1:1" x14ac:dyDescent="0.25">
      <c r="A618" s="54" t="str">
        <f>LEFT('Liste des étudiants'!$W618,3)</f>
        <v>514</v>
      </c>
    </row>
    <row r="619" spans="1:1" x14ac:dyDescent="0.25">
      <c r="A619" s="54" t="str">
        <f>LEFT('Liste des étudiants'!$W619,3)</f>
        <v>514</v>
      </c>
    </row>
    <row r="620" spans="1:1" x14ac:dyDescent="0.25">
      <c r="A620" s="54" t="str">
        <f>LEFT('Liste des étudiants'!$W620,3)</f>
        <v>514</v>
      </c>
    </row>
    <row r="621" spans="1:1" x14ac:dyDescent="0.25">
      <c r="A621" s="54" t="str">
        <f>LEFT('Liste des étudiants'!$W621,3)</f>
        <v>514</v>
      </c>
    </row>
    <row r="622" spans="1:1" x14ac:dyDescent="0.25">
      <c r="A622" s="54" t="str">
        <f>LEFT('Liste des étudiants'!$W622,3)</f>
        <v>514</v>
      </c>
    </row>
    <row r="623" spans="1:1" x14ac:dyDescent="0.25">
      <c r="A623" s="54" t="str">
        <f>LEFT('Liste des étudiants'!$W623,3)</f>
        <v>514</v>
      </c>
    </row>
    <row r="624" spans="1:1" x14ac:dyDescent="0.25">
      <c r="A624" s="54" t="str">
        <f>LEFT('Liste des étudiants'!$W624,3)</f>
        <v>514</v>
      </c>
    </row>
    <row r="625" spans="1:1" x14ac:dyDescent="0.25">
      <c r="A625" s="54" t="str">
        <f>LEFT('Liste des étudiants'!$W625,3)</f>
        <v>514</v>
      </c>
    </row>
    <row r="626" spans="1:1" x14ac:dyDescent="0.25">
      <c r="A626" s="54" t="str">
        <f>LEFT('Liste des étudiants'!$W626,3)</f>
        <v>514</v>
      </c>
    </row>
    <row r="627" spans="1:1" x14ac:dyDescent="0.25">
      <c r="A627" s="54" t="str">
        <f>LEFT('Liste des étudiants'!$W627,3)</f>
        <v>514</v>
      </c>
    </row>
    <row r="628" spans="1:1" x14ac:dyDescent="0.25">
      <c r="A628" s="54" t="str">
        <f>LEFT('Liste des étudiants'!$W628,3)</f>
        <v>514</v>
      </c>
    </row>
    <row r="629" spans="1:1" x14ac:dyDescent="0.25">
      <c r="A629" s="54" t="str">
        <f>LEFT('Liste des étudiants'!$W629,3)</f>
        <v>514</v>
      </c>
    </row>
    <row r="630" spans="1:1" x14ac:dyDescent="0.25">
      <c r="A630" s="54" t="str">
        <f>LEFT('Liste des étudiants'!$W630,3)</f>
        <v>514</v>
      </c>
    </row>
    <row r="631" spans="1:1" x14ac:dyDescent="0.25">
      <c r="A631" s="54" t="str">
        <f>LEFT('Liste des étudiants'!$W631,3)</f>
        <v>514</v>
      </c>
    </row>
    <row r="632" spans="1:1" x14ac:dyDescent="0.25">
      <c r="A632" s="54" t="str">
        <f>LEFT('Liste des étudiants'!$W632,3)</f>
        <v>514</v>
      </c>
    </row>
    <row r="633" spans="1:1" x14ac:dyDescent="0.25">
      <c r="A633" s="54" t="str">
        <f>LEFT('Liste des étudiants'!$W633,3)</f>
        <v>514</v>
      </c>
    </row>
    <row r="634" spans="1:1" x14ac:dyDescent="0.25">
      <c r="A634" s="54" t="str">
        <f>LEFT('Liste des étudiants'!$W634,3)</f>
        <v>514</v>
      </c>
    </row>
    <row r="635" spans="1:1" x14ac:dyDescent="0.25">
      <c r="A635" s="54" t="str">
        <f>LEFT('Liste des étudiants'!$W635,3)</f>
        <v>514</v>
      </c>
    </row>
    <row r="636" spans="1:1" x14ac:dyDescent="0.25">
      <c r="A636" s="54" t="str">
        <f>LEFT('Liste des étudiants'!$W636,3)</f>
        <v>514</v>
      </c>
    </row>
    <row r="637" spans="1:1" x14ac:dyDescent="0.25">
      <c r="A637" s="54" t="str">
        <f>LEFT('Liste des étudiants'!$W637,3)</f>
        <v>514</v>
      </c>
    </row>
    <row r="638" spans="1:1" x14ac:dyDescent="0.25">
      <c r="A638" s="54" t="str">
        <f>LEFT('Liste des étudiants'!$W638,3)</f>
        <v>514</v>
      </c>
    </row>
    <row r="639" spans="1:1" x14ac:dyDescent="0.25">
      <c r="A639" s="54" t="str">
        <f>LEFT('Liste des étudiants'!$W639,3)</f>
        <v>514</v>
      </c>
    </row>
    <row r="640" spans="1:1" x14ac:dyDescent="0.25">
      <c r="A640" s="54" t="str">
        <f>LEFT('Liste des étudiants'!$W640,3)</f>
        <v>514</v>
      </c>
    </row>
    <row r="641" spans="1:1" x14ac:dyDescent="0.25">
      <c r="A641" s="54" t="str">
        <f>LEFT('Liste des étudiants'!$W641,3)</f>
        <v>514</v>
      </c>
    </row>
    <row r="642" spans="1:1" x14ac:dyDescent="0.25">
      <c r="A642" s="54" t="str">
        <f>LEFT('Liste des étudiants'!$W642,3)</f>
        <v>514</v>
      </c>
    </row>
    <row r="643" spans="1:1" x14ac:dyDescent="0.25">
      <c r="A643" s="54" t="str">
        <f>LEFT('Liste des étudiants'!$W643,3)</f>
        <v>514</v>
      </c>
    </row>
    <row r="644" spans="1:1" x14ac:dyDescent="0.25">
      <c r="A644" s="54" t="str">
        <f>LEFT('Liste des étudiants'!$W644,3)</f>
        <v>514</v>
      </c>
    </row>
    <row r="645" spans="1:1" x14ac:dyDescent="0.25">
      <c r="A645" s="54" t="str">
        <f>LEFT('Liste des étudiants'!$W645,3)</f>
        <v>514</v>
      </c>
    </row>
    <row r="646" spans="1:1" x14ac:dyDescent="0.25">
      <c r="A646" s="54" t="str">
        <f>LEFT('Liste des étudiants'!$W646,3)</f>
        <v>514</v>
      </c>
    </row>
    <row r="647" spans="1:1" x14ac:dyDescent="0.25">
      <c r="A647" s="54" t="str">
        <f>LEFT('Liste des étudiants'!$W647,3)</f>
        <v>514</v>
      </c>
    </row>
    <row r="648" spans="1:1" x14ac:dyDescent="0.25">
      <c r="A648" s="54" t="str">
        <f>LEFT('Liste des étudiants'!$W648,3)</f>
        <v>514</v>
      </c>
    </row>
    <row r="649" spans="1:1" x14ac:dyDescent="0.25">
      <c r="A649" s="54" t="str">
        <f>LEFT('Liste des étudiants'!$W649,3)</f>
        <v>514</v>
      </c>
    </row>
    <row r="650" spans="1:1" x14ac:dyDescent="0.25">
      <c r="A650" s="54" t="str">
        <f>LEFT('Liste des étudiants'!$W650,3)</f>
        <v>514</v>
      </c>
    </row>
    <row r="651" spans="1:1" x14ac:dyDescent="0.25">
      <c r="A651" s="54" t="str">
        <f>LEFT('Liste des étudiants'!$W651,3)</f>
        <v>514</v>
      </c>
    </row>
    <row r="652" spans="1:1" x14ac:dyDescent="0.25">
      <c r="A652" s="54" t="str">
        <f>LEFT('Liste des étudiants'!$W652,3)</f>
        <v>514</v>
      </c>
    </row>
    <row r="653" spans="1:1" x14ac:dyDescent="0.25">
      <c r="A653" s="54" t="str">
        <f>LEFT('Liste des étudiants'!$W653,3)</f>
        <v>514</v>
      </c>
    </row>
    <row r="654" spans="1:1" x14ac:dyDescent="0.25">
      <c r="A654" s="54" t="str">
        <f>LEFT('Liste des étudiants'!$W654,3)</f>
        <v>514</v>
      </c>
    </row>
    <row r="655" spans="1:1" x14ac:dyDescent="0.25">
      <c r="A655" s="54" t="str">
        <f>LEFT('Liste des étudiants'!$W655,3)</f>
        <v>514</v>
      </c>
    </row>
    <row r="656" spans="1:1" x14ac:dyDescent="0.25">
      <c r="A656" s="54" t="str">
        <f>LEFT('Liste des étudiants'!$W656,3)</f>
        <v>514</v>
      </c>
    </row>
    <row r="657" spans="1:1" x14ac:dyDescent="0.25">
      <c r="A657" s="54" t="str">
        <f>LEFT('Liste des étudiants'!$W657,3)</f>
        <v>514</v>
      </c>
    </row>
    <row r="658" spans="1:1" x14ac:dyDescent="0.25">
      <c r="A658" s="54" t="str">
        <f>LEFT('Liste des étudiants'!$W658,3)</f>
        <v>514</v>
      </c>
    </row>
    <row r="659" spans="1:1" x14ac:dyDescent="0.25">
      <c r="A659" s="54" t="str">
        <f>LEFT('Liste des étudiants'!$W659,3)</f>
        <v>514</v>
      </c>
    </row>
    <row r="660" spans="1:1" x14ac:dyDescent="0.25">
      <c r="A660" s="54" t="str">
        <f>LEFT('Liste des étudiants'!$W660,3)</f>
        <v>450</v>
      </c>
    </row>
    <row r="661" spans="1:1" x14ac:dyDescent="0.25">
      <c r="A661" s="54" t="str">
        <f>LEFT('Liste des étudiants'!$W661,3)</f>
        <v>514</v>
      </c>
    </row>
    <row r="662" spans="1:1" x14ac:dyDescent="0.25">
      <c r="A662" s="54" t="str">
        <f>LEFT('Liste des étudiants'!$W662,3)</f>
        <v>514</v>
      </c>
    </row>
    <row r="663" spans="1:1" x14ac:dyDescent="0.25">
      <c r="A663" s="54" t="str">
        <f>LEFT('Liste des étudiants'!$W663,3)</f>
        <v>450</v>
      </c>
    </row>
    <row r="664" spans="1:1" x14ac:dyDescent="0.25">
      <c r="A664" s="54" t="str">
        <f>LEFT('Liste des étudiants'!$W664,3)</f>
        <v>514</v>
      </c>
    </row>
    <row r="665" spans="1:1" x14ac:dyDescent="0.25">
      <c r="A665" s="54" t="str">
        <f>LEFT('Liste des étudiants'!$W665,3)</f>
        <v>514</v>
      </c>
    </row>
    <row r="666" spans="1:1" x14ac:dyDescent="0.25">
      <c r="A666" s="54" t="str">
        <f>LEFT('Liste des étudiants'!$W666,3)</f>
        <v>514</v>
      </c>
    </row>
    <row r="667" spans="1:1" x14ac:dyDescent="0.25">
      <c r="A667" s="54" t="str">
        <f>LEFT('Liste des étudiants'!$W667,3)</f>
        <v>514</v>
      </c>
    </row>
    <row r="668" spans="1:1" x14ac:dyDescent="0.25">
      <c r="A668" s="54" t="str">
        <f>LEFT('Liste des étudiants'!$W668,3)</f>
        <v>514</v>
      </c>
    </row>
    <row r="669" spans="1:1" x14ac:dyDescent="0.25">
      <c r="A669" s="54" t="str">
        <f>LEFT('Liste des étudiants'!$W669,3)</f>
        <v>514</v>
      </c>
    </row>
    <row r="670" spans="1:1" x14ac:dyDescent="0.25">
      <c r="A670" s="54" t="str">
        <f>LEFT('Liste des étudiants'!$W670,3)</f>
        <v>514</v>
      </c>
    </row>
    <row r="671" spans="1:1" x14ac:dyDescent="0.25">
      <c r="A671" s="54" t="str">
        <f>LEFT('Liste des étudiants'!$W671,3)</f>
        <v>450</v>
      </c>
    </row>
    <row r="672" spans="1:1" x14ac:dyDescent="0.25">
      <c r="A672" s="54" t="str">
        <f>LEFT('Liste des étudiants'!$W672,3)</f>
        <v>514</v>
      </c>
    </row>
    <row r="673" spans="1:1" x14ac:dyDescent="0.25">
      <c r="A673" s="54" t="str">
        <f>LEFT('Liste des étudiants'!$W673,3)</f>
        <v>514</v>
      </c>
    </row>
    <row r="674" spans="1:1" x14ac:dyDescent="0.25">
      <c r="A674" s="54" t="str">
        <f>LEFT('Liste des étudiants'!$W674,3)</f>
        <v>514</v>
      </c>
    </row>
    <row r="675" spans="1:1" x14ac:dyDescent="0.25">
      <c r="A675" s="54" t="str">
        <f>LEFT('Liste des étudiants'!$W675,3)</f>
        <v>514</v>
      </c>
    </row>
    <row r="676" spans="1:1" x14ac:dyDescent="0.25">
      <c r="A676" s="54" t="str">
        <f>LEFT('Liste des étudiants'!$W676,3)</f>
        <v>514</v>
      </c>
    </row>
    <row r="677" spans="1:1" x14ac:dyDescent="0.25">
      <c r="A677" s="54" t="str">
        <f>LEFT('Liste des étudiants'!$W677,3)</f>
        <v>450</v>
      </c>
    </row>
    <row r="678" spans="1:1" x14ac:dyDescent="0.25">
      <c r="A678" s="54" t="str">
        <f>LEFT('Liste des étudiants'!$W678,3)</f>
        <v>514</v>
      </c>
    </row>
    <row r="679" spans="1:1" x14ac:dyDescent="0.25">
      <c r="A679" s="54" t="str">
        <f>LEFT('Liste des étudiants'!$W679,3)</f>
        <v>514</v>
      </c>
    </row>
    <row r="680" spans="1:1" x14ac:dyDescent="0.25">
      <c r="A680" s="54" t="str">
        <f>LEFT('Liste des étudiants'!$W680,3)</f>
        <v>450</v>
      </c>
    </row>
    <row r="681" spans="1:1" x14ac:dyDescent="0.25">
      <c r="A681" s="54" t="str">
        <f>LEFT('Liste des étudiants'!$W681,3)</f>
        <v>514</v>
      </c>
    </row>
    <row r="682" spans="1:1" x14ac:dyDescent="0.25">
      <c r="A682" s="54" t="str">
        <f>LEFT('Liste des étudiants'!$W682,3)</f>
        <v>514</v>
      </c>
    </row>
    <row r="683" spans="1:1" x14ac:dyDescent="0.25">
      <c r="A683" s="54" t="str">
        <f>LEFT('Liste des étudiants'!$W683,3)</f>
        <v>514</v>
      </c>
    </row>
    <row r="684" spans="1:1" x14ac:dyDescent="0.25">
      <c r="A684" s="54" t="str">
        <f>LEFT('Liste des étudiants'!$W684,3)</f>
        <v>514</v>
      </c>
    </row>
    <row r="685" spans="1:1" x14ac:dyDescent="0.25">
      <c r="A685" s="54" t="str">
        <f>LEFT('Liste des étudiants'!$W685,3)</f>
        <v>514</v>
      </c>
    </row>
    <row r="686" spans="1:1" x14ac:dyDescent="0.25">
      <c r="A686" s="54" t="str">
        <f>LEFT('Liste des étudiants'!$W686,3)</f>
        <v>450</v>
      </c>
    </row>
    <row r="687" spans="1:1" x14ac:dyDescent="0.25">
      <c r="A687" s="54" t="str">
        <f>LEFT('Liste des étudiants'!$W687,3)</f>
        <v>514</v>
      </c>
    </row>
    <row r="688" spans="1:1" x14ac:dyDescent="0.25">
      <c r="A688" s="54" t="str">
        <f>LEFT('Liste des étudiants'!$W688,3)</f>
        <v>514</v>
      </c>
    </row>
    <row r="689" spans="1:1" x14ac:dyDescent="0.25">
      <c r="A689" s="54" t="str">
        <f>LEFT('Liste des étudiants'!$W689,3)</f>
        <v>514</v>
      </c>
    </row>
    <row r="690" spans="1:1" x14ac:dyDescent="0.25">
      <c r="A690" s="54" t="str">
        <f>LEFT('Liste des étudiants'!$W690,3)</f>
        <v>514</v>
      </c>
    </row>
    <row r="691" spans="1:1" x14ac:dyDescent="0.25">
      <c r="A691" s="54" t="str">
        <f>LEFT('Liste des étudiants'!$W691,3)</f>
        <v>514</v>
      </c>
    </row>
    <row r="692" spans="1:1" x14ac:dyDescent="0.25">
      <c r="A692" s="54" t="str">
        <f>LEFT('Liste des étudiants'!$W692,3)</f>
        <v>514</v>
      </c>
    </row>
    <row r="693" spans="1:1" x14ac:dyDescent="0.25">
      <c r="A693" s="54" t="str">
        <f>LEFT('Liste des étudiants'!$W693,3)</f>
        <v>514</v>
      </c>
    </row>
    <row r="694" spans="1:1" x14ac:dyDescent="0.25">
      <c r="A694" s="54" t="str">
        <f>LEFT('Liste des étudiants'!$W694,3)</f>
        <v>450</v>
      </c>
    </row>
    <row r="695" spans="1:1" x14ac:dyDescent="0.25">
      <c r="A695" s="54" t="str">
        <f>LEFT('Liste des étudiants'!$W695,3)</f>
        <v>514</v>
      </c>
    </row>
    <row r="696" spans="1:1" x14ac:dyDescent="0.25">
      <c r="A696" s="54" t="str">
        <f>LEFT('Liste des étudiants'!$W696,3)</f>
        <v>514</v>
      </c>
    </row>
    <row r="697" spans="1:1" x14ac:dyDescent="0.25">
      <c r="A697" s="54" t="str">
        <f>LEFT('Liste des étudiants'!$W697,3)</f>
        <v>514</v>
      </c>
    </row>
    <row r="698" spans="1:1" x14ac:dyDescent="0.25">
      <c r="A698" s="54" t="str">
        <f>LEFT('Liste des étudiants'!$W698,3)</f>
        <v>514</v>
      </c>
    </row>
    <row r="699" spans="1:1" x14ac:dyDescent="0.25">
      <c r="A699" s="54" t="str">
        <f>LEFT('Liste des étudiants'!$W699,3)</f>
        <v>514</v>
      </c>
    </row>
    <row r="700" spans="1:1" x14ac:dyDescent="0.25">
      <c r="A700" s="54" t="str">
        <f>LEFT('Liste des étudiants'!$W700,3)</f>
        <v>514</v>
      </c>
    </row>
    <row r="701" spans="1:1" x14ac:dyDescent="0.25">
      <c r="A701" s="54" t="str">
        <f>LEFT('Liste des étudiants'!$W701,3)</f>
        <v>514</v>
      </c>
    </row>
    <row r="702" spans="1:1" x14ac:dyDescent="0.25">
      <c r="A702" s="54" t="str">
        <f>LEFT('Liste des étudiants'!$W702,3)</f>
        <v>514</v>
      </c>
    </row>
    <row r="703" spans="1:1" x14ac:dyDescent="0.25">
      <c r="A703" s="54" t="str">
        <f>LEFT('Liste des étudiants'!$W703,3)</f>
        <v>514</v>
      </c>
    </row>
    <row r="704" spans="1:1" x14ac:dyDescent="0.25">
      <c r="A704" s="54" t="str">
        <f>LEFT('Liste des étudiants'!$W704,3)</f>
        <v>514</v>
      </c>
    </row>
    <row r="705" spans="1:1" x14ac:dyDescent="0.25">
      <c r="A705" s="54" t="str">
        <f>LEFT('Liste des étudiants'!$W705,3)</f>
        <v>514</v>
      </c>
    </row>
    <row r="706" spans="1:1" x14ac:dyDescent="0.25">
      <c r="A706" s="54" t="str">
        <f>LEFT('Liste des étudiants'!$W706,3)</f>
        <v>450</v>
      </c>
    </row>
    <row r="707" spans="1:1" x14ac:dyDescent="0.25">
      <c r="A707" s="54" t="str">
        <f>LEFT('Liste des étudiants'!$W707,3)</f>
        <v>514</v>
      </c>
    </row>
    <row r="708" spans="1:1" x14ac:dyDescent="0.25">
      <c r="A708" s="54" t="str">
        <f>LEFT('Liste des étudiants'!$W708,3)</f>
        <v>514</v>
      </c>
    </row>
    <row r="709" spans="1:1" x14ac:dyDescent="0.25">
      <c r="A709" s="54" t="str">
        <f>LEFT('Liste des étudiants'!$W709,3)</f>
        <v>514</v>
      </c>
    </row>
    <row r="710" spans="1:1" x14ac:dyDescent="0.25">
      <c r="A710" s="54" t="str">
        <f>LEFT('Liste des étudiants'!$W710,3)</f>
        <v>514</v>
      </c>
    </row>
    <row r="711" spans="1:1" x14ac:dyDescent="0.25">
      <c r="A711" s="54" t="str">
        <f>LEFT('Liste des étudiants'!$W711,3)</f>
        <v>514</v>
      </c>
    </row>
    <row r="712" spans="1:1" x14ac:dyDescent="0.25">
      <c r="A712" s="54" t="str">
        <f>LEFT('Liste des étudiants'!$W712,3)</f>
        <v>514</v>
      </c>
    </row>
    <row r="713" spans="1:1" x14ac:dyDescent="0.25">
      <c r="A713" s="54" t="str">
        <f>LEFT('Liste des étudiants'!$W713,3)</f>
        <v>514</v>
      </c>
    </row>
    <row r="714" spans="1:1" x14ac:dyDescent="0.25">
      <c r="A714" s="54" t="str">
        <f>LEFT('Liste des étudiants'!$W714,3)</f>
        <v>514</v>
      </c>
    </row>
    <row r="715" spans="1:1" x14ac:dyDescent="0.25">
      <c r="A715" s="54" t="str">
        <f>LEFT('Liste des étudiants'!$W715,3)</f>
        <v>514</v>
      </c>
    </row>
    <row r="716" spans="1:1" x14ac:dyDescent="0.25">
      <c r="A716" s="54" t="str">
        <f>LEFT('Liste des étudiants'!$W716,3)</f>
        <v>514</v>
      </c>
    </row>
    <row r="717" spans="1:1" x14ac:dyDescent="0.25">
      <c r="A717" s="54" t="str">
        <f>LEFT('Liste des étudiants'!$W717,3)</f>
        <v>514</v>
      </c>
    </row>
    <row r="718" spans="1:1" x14ac:dyDescent="0.25">
      <c r="A718" s="54" t="str">
        <f>LEFT('Liste des étudiants'!$W718,3)</f>
        <v>514</v>
      </c>
    </row>
    <row r="719" spans="1:1" x14ac:dyDescent="0.25">
      <c r="A719" s="54" t="str">
        <f>LEFT('Liste des étudiants'!$W719,3)</f>
        <v>514</v>
      </c>
    </row>
    <row r="720" spans="1:1" x14ac:dyDescent="0.25">
      <c r="A720" s="54" t="str">
        <f>LEFT('Liste des étudiants'!$W720,3)</f>
        <v>450</v>
      </c>
    </row>
    <row r="721" spans="1:1" x14ac:dyDescent="0.25">
      <c r="A721" s="54" t="str">
        <f>LEFT('Liste des étudiants'!$W721,3)</f>
        <v>514</v>
      </c>
    </row>
    <row r="722" spans="1:1" x14ac:dyDescent="0.25">
      <c r="A722" s="54" t="str">
        <f>LEFT('Liste des étudiants'!$W722,3)</f>
        <v>514</v>
      </c>
    </row>
    <row r="723" spans="1:1" x14ac:dyDescent="0.25">
      <c r="A723" s="54" t="str">
        <f>LEFT('Liste des étudiants'!$W723,3)</f>
        <v>514</v>
      </c>
    </row>
    <row r="724" spans="1:1" x14ac:dyDescent="0.25">
      <c r="A724" s="54" t="str">
        <f>LEFT('Liste des étudiants'!$W724,3)</f>
        <v>514</v>
      </c>
    </row>
    <row r="725" spans="1:1" x14ac:dyDescent="0.25">
      <c r="A725" s="54" t="str">
        <f>LEFT('Liste des étudiants'!$W725,3)</f>
        <v>514</v>
      </c>
    </row>
    <row r="726" spans="1:1" x14ac:dyDescent="0.25">
      <c r="A726" s="54" t="str">
        <f>LEFT('Liste des étudiants'!$W726,3)</f>
        <v>514</v>
      </c>
    </row>
    <row r="727" spans="1:1" x14ac:dyDescent="0.25">
      <c r="A727" s="54" t="str">
        <f>LEFT('Liste des étudiants'!$W727,3)</f>
        <v>514</v>
      </c>
    </row>
    <row r="728" spans="1:1" x14ac:dyDescent="0.25">
      <c r="A728" s="54" t="str">
        <f>LEFT('Liste des étudiants'!$W728,3)</f>
        <v>514</v>
      </c>
    </row>
    <row r="729" spans="1:1" x14ac:dyDescent="0.25">
      <c r="A729" s="54" t="str">
        <f>LEFT('Liste des étudiants'!$W729,3)</f>
        <v>514</v>
      </c>
    </row>
    <row r="730" spans="1:1" x14ac:dyDescent="0.25">
      <c r="A730" s="54" t="str">
        <f>LEFT('Liste des étudiants'!$W730,3)</f>
        <v>514</v>
      </c>
    </row>
    <row r="731" spans="1:1" x14ac:dyDescent="0.25">
      <c r="A731" s="54" t="str">
        <f>LEFT('Liste des étudiants'!$W731,3)</f>
        <v>450</v>
      </c>
    </row>
    <row r="732" spans="1:1" x14ac:dyDescent="0.25">
      <c r="A732" s="54" t="str">
        <f>LEFT('Liste des étudiants'!$W732,3)</f>
        <v>514</v>
      </c>
    </row>
    <row r="733" spans="1:1" x14ac:dyDescent="0.25">
      <c r="A733" s="54" t="str">
        <f>LEFT('Liste des étudiants'!$W733,3)</f>
        <v>450</v>
      </c>
    </row>
    <row r="734" spans="1:1" x14ac:dyDescent="0.25">
      <c r="A734" s="54" t="str">
        <f>LEFT('Liste des étudiants'!$W734,3)</f>
        <v>450</v>
      </c>
    </row>
    <row r="735" spans="1:1" x14ac:dyDescent="0.25">
      <c r="A735" s="54" t="str">
        <f>LEFT('Liste des étudiants'!$W735,3)</f>
        <v>514</v>
      </c>
    </row>
    <row r="736" spans="1:1" x14ac:dyDescent="0.25">
      <c r="A736" s="54" t="str">
        <f>LEFT('Liste des étudiants'!$W736,3)</f>
        <v>514</v>
      </c>
    </row>
    <row r="737" spans="1:1" x14ac:dyDescent="0.25">
      <c r="A737" s="54" t="str">
        <f>LEFT('Liste des étudiants'!$W737,3)</f>
        <v>579</v>
      </c>
    </row>
    <row r="738" spans="1:1" x14ac:dyDescent="0.25">
      <c r="A738" s="54" t="str">
        <f>LEFT('Liste des étudiants'!$W738,3)</f>
        <v>514</v>
      </c>
    </row>
    <row r="739" spans="1:1" x14ac:dyDescent="0.25">
      <c r="A739" s="54" t="str">
        <f>LEFT('Liste des étudiants'!$W739,3)</f>
        <v>514</v>
      </c>
    </row>
    <row r="740" spans="1:1" x14ac:dyDescent="0.25">
      <c r="A740" s="54" t="str">
        <f>LEFT('Liste des étudiants'!$W740,3)</f>
        <v>514</v>
      </c>
    </row>
    <row r="741" spans="1:1" x14ac:dyDescent="0.25">
      <c r="A741" s="54" t="str">
        <f>LEFT('Liste des étudiants'!$W741,3)</f>
        <v>514</v>
      </c>
    </row>
    <row r="742" spans="1:1" x14ac:dyDescent="0.25">
      <c r="A742" s="54" t="str">
        <f>LEFT('Liste des étudiants'!$W742,3)</f>
        <v>514</v>
      </c>
    </row>
    <row r="743" spans="1:1" x14ac:dyDescent="0.25">
      <c r="A743" s="54" t="str">
        <f>LEFT('Liste des étudiants'!$W743,3)</f>
        <v>514</v>
      </c>
    </row>
    <row r="744" spans="1:1" x14ac:dyDescent="0.25">
      <c r="A744" s="54" t="str">
        <f>LEFT('Liste des étudiants'!$W744,3)</f>
        <v>514</v>
      </c>
    </row>
    <row r="745" spans="1:1" x14ac:dyDescent="0.25">
      <c r="A745" s="54" t="str">
        <f>LEFT('Liste des étudiants'!$W745,3)</f>
        <v>514</v>
      </c>
    </row>
    <row r="746" spans="1:1" x14ac:dyDescent="0.25">
      <c r="A746" s="54" t="str">
        <f>LEFT('Liste des étudiants'!$W746,3)</f>
        <v>514</v>
      </c>
    </row>
    <row r="747" spans="1:1" x14ac:dyDescent="0.25">
      <c r="A747" s="54" t="str">
        <f>LEFT('Liste des étudiants'!$W747,3)</f>
        <v>514</v>
      </c>
    </row>
    <row r="748" spans="1:1" x14ac:dyDescent="0.25">
      <c r="A748" s="54" t="str">
        <f>LEFT('Liste des étudiants'!$W748,3)</f>
        <v>514</v>
      </c>
    </row>
    <row r="749" spans="1:1" x14ac:dyDescent="0.25">
      <c r="A749" s="54" t="str">
        <f>LEFT('Liste des étudiants'!$W749,3)</f>
        <v>514</v>
      </c>
    </row>
    <row r="750" spans="1:1" x14ac:dyDescent="0.25">
      <c r="A750" s="54" t="str">
        <f>LEFT('Liste des étudiants'!$W750,3)</f>
        <v>514</v>
      </c>
    </row>
    <row r="751" spans="1:1" x14ac:dyDescent="0.25">
      <c r="A751" s="54" t="str">
        <f>LEFT('Liste des étudiants'!$W751,3)</f>
        <v>514</v>
      </c>
    </row>
    <row r="752" spans="1:1" x14ac:dyDescent="0.25">
      <c r="A752" s="54" t="str">
        <f>LEFT('Liste des étudiants'!$W752,3)</f>
        <v>514</v>
      </c>
    </row>
    <row r="753" spans="1:1" x14ac:dyDescent="0.25">
      <c r="A753" s="54" t="str">
        <f>LEFT('Liste des étudiants'!$W753,3)</f>
        <v>514</v>
      </c>
    </row>
    <row r="754" spans="1:1" x14ac:dyDescent="0.25">
      <c r="A754" s="54" t="str">
        <f>LEFT('Liste des étudiants'!$W754,3)</f>
        <v>514</v>
      </c>
    </row>
    <row r="755" spans="1:1" x14ac:dyDescent="0.25">
      <c r="A755" s="54" t="str">
        <f>LEFT('Liste des étudiants'!$W755,3)</f>
        <v>514</v>
      </c>
    </row>
    <row r="756" spans="1:1" x14ac:dyDescent="0.25">
      <c r="A756" s="54" t="str">
        <f>LEFT('Liste des étudiants'!$W756,3)</f>
        <v>450</v>
      </c>
    </row>
    <row r="757" spans="1:1" x14ac:dyDescent="0.25">
      <c r="A757" s="54" t="str">
        <f>LEFT('Liste des étudiants'!$W757,3)</f>
        <v>514</v>
      </c>
    </row>
    <row r="758" spans="1:1" x14ac:dyDescent="0.25">
      <c r="A758" s="54" t="str">
        <f>LEFT('Liste des étudiants'!$W758,3)</f>
        <v>514</v>
      </c>
    </row>
    <row r="759" spans="1:1" x14ac:dyDescent="0.25">
      <c r="A759" s="54" t="str">
        <f>LEFT('Liste des étudiants'!$W759,3)</f>
        <v>514</v>
      </c>
    </row>
    <row r="760" spans="1:1" x14ac:dyDescent="0.25">
      <c r="A760" s="54" t="str">
        <f>LEFT('Liste des étudiants'!$W760,3)</f>
        <v>450</v>
      </c>
    </row>
    <row r="761" spans="1:1" x14ac:dyDescent="0.25">
      <c r="A761" s="54" t="str">
        <f>LEFT('Liste des étudiants'!$W761,3)</f>
        <v>514</v>
      </c>
    </row>
    <row r="762" spans="1:1" x14ac:dyDescent="0.25">
      <c r="A762" s="54" t="str">
        <f>LEFT('Liste des étudiants'!$W762,3)</f>
        <v>450</v>
      </c>
    </row>
    <row r="763" spans="1:1" x14ac:dyDescent="0.25">
      <c r="A763" s="54" t="str">
        <f>LEFT('Liste des étudiants'!$W763,3)</f>
        <v>514</v>
      </c>
    </row>
    <row r="764" spans="1:1" x14ac:dyDescent="0.25">
      <c r="A764" s="54" t="str">
        <f>LEFT('Liste des étudiants'!$W764,3)</f>
        <v>450</v>
      </c>
    </row>
    <row r="765" spans="1:1" x14ac:dyDescent="0.25">
      <c r="A765" s="54" t="str">
        <f>LEFT('Liste des étudiants'!$W765,3)</f>
        <v>514</v>
      </c>
    </row>
    <row r="766" spans="1:1" x14ac:dyDescent="0.25">
      <c r="A766" s="54" t="str">
        <f>LEFT('Liste des étudiants'!$W766,3)</f>
        <v>514</v>
      </c>
    </row>
    <row r="767" spans="1:1" x14ac:dyDescent="0.25">
      <c r="A767" s="54" t="str">
        <f>LEFT('Liste des étudiants'!$W767,3)</f>
        <v>514</v>
      </c>
    </row>
    <row r="768" spans="1:1" x14ac:dyDescent="0.25">
      <c r="A768" s="54" t="str">
        <f>LEFT('Liste des étudiants'!$W768,3)</f>
        <v>514</v>
      </c>
    </row>
    <row r="769" spans="1:1" x14ac:dyDescent="0.25">
      <c r="A769" s="54" t="str">
        <f>LEFT('Liste des étudiants'!$W769,3)</f>
        <v>514</v>
      </c>
    </row>
    <row r="770" spans="1:1" x14ac:dyDescent="0.25">
      <c r="A770" s="54" t="str">
        <f>LEFT('Liste des étudiants'!$W770,3)</f>
        <v>514</v>
      </c>
    </row>
    <row r="771" spans="1:1" x14ac:dyDescent="0.25">
      <c r="A771" s="54" t="str">
        <f>LEFT('Liste des étudiants'!$W771,3)</f>
        <v>514</v>
      </c>
    </row>
    <row r="772" spans="1:1" x14ac:dyDescent="0.25">
      <c r="A772" s="54" t="str">
        <f>LEFT('Liste des étudiants'!$W772,3)</f>
        <v>514</v>
      </c>
    </row>
    <row r="773" spans="1:1" x14ac:dyDescent="0.25">
      <c r="A773" s="54" t="str">
        <f>LEFT('Liste des étudiants'!$W773,3)</f>
        <v>514</v>
      </c>
    </row>
    <row r="774" spans="1:1" x14ac:dyDescent="0.25">
      <c r="A774" s="54" t="str">
        <f>LEFT('Liste des étudiants'!$W774,3)</f>
        <v>514</v>
      </c>
    </row>
    <row r="775" spans="1:1" x14ac:dyDescent="0.25">
      <c r="A775" s="54" t="str">
        <f>LEFT('Liste des étudiants'!$W775,3)</f>
        <v>514</v>
      </c>
    </row>
    <row r="776" spans="1:1" x14ac:dyDescent="0.25">
      <c r="A776" s="54" t="str">
        <f>LEFT('Liste des étudiants'!$W776,3)</f>
        <v>514</v>
      </c>
    </row>
    <row r="777" spans="1:1" x14ac:dyDescent="0.25">
      <c r="A777" s="54" t="str">
        <f>LEFT('Liste des étudiants'!$W777,3)</f>
        <v>514</v>
      </c>
    </row>
    <row r="778" spans="1:1" x14ac:dyDescent="0.25">
      <c r="A778" s="54" t="str">
        <f>LEFT('Liste des étudiants'!$W778,3)</f>
        <v>514</v>
      </c>
    </row>
    <row r="779" spans="1:1" x14ac:dyDescent="0.25">
      <c r="A779" s="54" t="str">
        <f>LEFT('Liste des étudiants'!$W779,3)</f>
        <v>514</v>
      </c>
    </row>
    <row r="780" spans="1:1" x14ac:dyDescent="0.25">
      <c r="A780" s="54" t="str">
        <f>LEFT('Liste des étudiants'!$W780,3)</f>
        <v>514</v>
      </c>
    </row>
    <row r="781" spans="1:1" x14ac:dyDescent="0.25">
      <c r="A781" s="54" t="str">
        <f>LEFT('Liste des étudiants'!$W781,3)</f>
        <v>514</v>
      </c>
    </row>
    <row r="782" spans="1:1" x14ac:dyDescent="0.25">
      <c r="A782" s="54" t="str">
        <f>LEFT('Liste des étudiants'!$W782,3)</f>
        <v>514</v>
      </c>
    </row>
    <row r="783" spans="1:1" x14ac:dyDescent="0.25">
      <c r="A783" s="54" t="str">
        <f>LEFT('Liste des étudiants'!$W783,3)</f>
        <v>514</v>
      </c>
    </row>
    <row r="784" spans="1:1" x14ac:dyDescent="0.25">
      <c r="A784" s="54" t="str">
        <f>LEFT('Liste des étudiants'!$W784,3)</f>
        <v>514</v>
      </c>
    </row>
    <row r="785" spans="1:1" x14ac:dyDescent="0.25">
      <c r="A785" s="54" t="str">
        <f>LEFT('Liste des étudiants'!$W785,3)</f>
        <v>514</v>
      </c>
    </row>
    <row r="786" spans="1:1" x14ac:dyDescent="0.25">
      <c r="A786" s="54" t="str">
        <f>LEFT('Liste des étudiants'!$W786,3)</f>
        <v>450</v>
      </c>
    </row>
    <row r="787" spans="1:1" x14ac:dyDescent="0.25">
      <c r="A787" s="54" t="str">
        <f>LEFT('Liste des étudiants'!$W787,3)</f>
        <v>514</v>
      </c>
    </row>
    <row r="788" spans="1:1" x14ac:dyDescent="0.25">
      <c r="A788" s="54" t="str">
        <f>LEFT('Liste des étudiants'!$W788,3)</f>
        <v>514</v>
      </c>
    </row>
    <row r="789" spans="1:1" x14ac:dyDescent="0.25">
      <c r="A789" s="54" t="str">
        <f>LEFT('Liste des étudiants'!$W789,3)</f>
        <v>514</v>
      </c>
    </row>
    <row r="790" spans="1:1" x14ac:dyDescent="0.25">
      <c r="A790" s="54" t="str">
        <f>LEFT('Liste des étudiants'!$W790,3)</f>
        <v>514</v>
      </c>
    </row>
    <row r="791" spans="1:1" x14ac:dyDescent="0.25">
      <c r="A791" s="54" t="str">
        <f>LEFT('Liste des étudiants'!$W791,3)</f>
        <v>450</v>
      </c>
    </row>
    <row r="792" spans="1:1" x14ac:dyDescent="0.25">
      <c r="A792" s="54" t="str">
        <f>LEFT('Liste des étudiants'!$W792,3)</f>
        <v>514</v>
      </c>
    </row>
    <row r="793" spans="1:1" x14ac:dyDescent="0.25">
      <c r="A793" s="54" t="str">
        <f>LEFT('Liste des étudiants'!$W793,3)</f>
        <v>514</v>
      </c>
    </row>
    <row r="794" spans="1:1" x14ac:dyDescent="0.25">
      <c r="A794" s="54" t="str">
        <f>LEFT('Liste des étudiants'!$W794,3)</f>
        <v>579</v>
      </c>
    </row>
    <row r="795" spans="1:1" x14ac:dyDescent="0.25">
      <c r="A795" s="54" t="str">
        <f>LEFT('Liste des étudiants'!$W795,3)</f>
        <v>514</v>
      </c>
    </row>
    <row r="796" spans="1:1" x14ac:dyDescent="0.25">
      <c r="A796" s="54" t="str">
        <f>LEFT('Liste des étudiants'!$W796,3)</f>
        <v>514</v>
      </c>
    </row>
    <row r="797" spans="1:1" x14ac:dyDescent="0.25">
      <c r="A797" s="54" t="str">
        <f>LEFT('Liste des étudiants'!$W797,3)</f>
        <v>514</v>
      </c>
    </row>
    <row r="798" spans="1:1" x14ac:dyDescent="0.25">
      <c r="A798" s="54" t="str">
        <f>LEFT('Liste des étudiants'!$W798,3)</f>
        <v>514</v>
      </c>
    </row>
    <row r="799" spans="1:1" x14ac:dyDescent="0.25">
      <c r="A799" s="54" t="str">
        <f>LEFT('Liste des étudiants'!$W799,3)</f>
        <v>514</v>
      </c>
    </row>
    <row r="800" spans="1:1" x14ac:dyDescent="0.25">
      <c r="A800" s="54" t="str">
        <f>LEFT('Liste des étudiants'!$W800,3)</f>
        <v>514</v>
      </c>
    </row>
    <row r="801" spans="1:1" x14ac:dyDescent="0.25">
      <c r="A801" s="54" t="str">
        <f>LEFT('Liste des étudiants'!$W801,3)</f>
        <v>514</v>
      </c>
    </row>
    <row r="802" spans="1:1" x14ac:dyDescent="0.25">
      <c r="A802" s="54" t="str">
        <f>LEFT('Liste des étudiants'!$W802,3)</f>
        <v>514</v>
      </c>
    </row>
    <row r="803" spans="1:1" x14ac:dyDescent="0.25">
      <c r="A803" s="54" t="str">
        <f>LEFT('Liste des étudiants'!$W803,3)</f>
        <v>514</v>
      </c>
    </row>
    <row r="804" spans="1:1" x14ac:dyDescent="0.25">
      <c r="A804" s="54" t="str">
        <f>LEFT('Liste des étudiants'!$W804,3)</f>
        <v>514</v>
      </c>
    </row>
    <row r="805" spans="1:1" x14ac:dyDescent="0.25">
      <c r="A805" s="54" t="str">
        <f>LEFT('Liste des étudiants'!$W805,3)</f>
        <v>514</v>
      </c>
    </row>
    <row r="806" spans="1:1" x14ac:dyDescent="0.25">
      <c r="A806" s="54" t="str">
        <f>LEFT('Liste des étudiants'!$W806,3)</f>
        <v>450</v>
      </c>
    </row>
    <row r="807" spans="1:1" x14ac:dyDescent="0.25">
      <c r="A807" s="54" t="str">
        <f>LEFT('Liste des étudiants'!$W807,3)</f>
        <v>514</v>
      </c>
    </row>
    <row r="808" spans="1:1" x14ac:dyDescent="0.25">
      <c r="A808" s="54" t="str">
        <f>LEFT('Liste des étudiants'!$W808,3)</f>
        <v>514</v>
      </c>
    </row>
    <row r="809" spans="1:1" x14ac:dyDescent="0.25">
      <c r="A809" s="54" t="str">
        <f>LEFT('Liste des étudiants'!$W809,3)</f>
        <v>514</v>
      </c>
    </row>
    <row r="810" spans="1:1" x14ac:dyDescent="0.25">
      <c r="A810" s="54" t="str">
        <f>LEFT('Liste des étudiants'!$W810,3)</f>
        <v>514</v>
      </c>
    </row>
    <row r="811" spans="1:1" x14ac:dyDescent="0.25">
      <c r="A811" s="54" t="str">
        <f>LEFT('Liste des étudiants'!$W811,3)</f>
        <v>514</v>
      </c>
    </row>
    <row r="812" spans="1:1" x14ac:dyDescent="0.25">
      <c r="A812" s="54" t="str">
        <f>LEFT('Liste des étudiants'!$W812,3)</f>
        <v>514</v>
      </c>
    </row>
    <row r="813" spans="1:1" x14ac:dyDescent="0.25">
      <c r="A813" s="54" t="str">
        <f>LEFT('Liste des étudiants'!$W813,3)</f>
        <v>514</v>
      </c>
    </row>
    <row r="814" spans="1:1" x14ac:dyDescent="0.25">
      <c r="A814" s="54" t="str">
        <f>LEFT('Liste des étudiants'!$W814,3)</f>
        <v>514</v>
      </c>
    </row>
    <row r="815" spans="1:1" x14ac:dyDescent="0.25">
      <c r="A815" s="54" t="str">
        <f>LEFT('Liste des étudiants'!$W815,3)</f>
        <v>514</v>
      </c>
    </row>
    <row r="816" spans="1:1" x14ac:dyDescent="0.25">
      <c r="A816" s="54" t="str">
        <f>LEFT('Liste des étudiants'!$W816,3)</f>
        <v>514</v>
      </c>
    </row>
    <row r="817" spans="1:1" x14ac:dyDescent="0.25">
      <c r="A817" s="54" t="str">
        <f>LEFT('Liste des étudiants'!$W817,3)</f>
        <v>514</v>
      </c>
    </row>
    <row r="818" spans="1:1" x14ac:dyDescent="0.25">
      <c r="A818" s="54" t="str">
        <f>LEFT('Liste des étudiants'!$W818,3)</f>
        <v>514</v>
      </c>
    </row>
    <row r="819" spans="1:1" x14ac:dyDescent="0.25">
      <c r="A819" s="54" t="str">
        <f>LEFT('Liste des étudiants'!$W819,3)</f>
        <v>514</v>
      </c>
    </row>
    <row r="820" spans="1:1" x14ac:dyDescent="0.25">
      <c r="A820" s="54" t="str">
        <f>LEFT('Liste des étudiants'!$W820,3)</f>
        <v>514</v>
      </c>
    </row>
    <row r="821" spans="1:1" x14ac:dyDescent="0.25">
      <c r="A821" s="54" t="str">
        <f>LEFT('Liste des étudiants'!$W821,3)</f>
        <v>514</v>
      </c>
    </row>
    <row r="822" spans="1:1" x14ac:dyDescent="0.25">
      <c r="A822" s="54" t="str">
        <f>LEFT('Liste des étudiants'!$W822,3)</f>
        <v>514</v>
      </c>
    </row>
    <row r="823" spans="1:1" x14ac:dyDescent="0.25">
      <c r="A823" s="54" t="str">
        <f>LEFT('Liste des étudiants'!$W823,3)</f>
        <v>514</v>
      </c>
    </row>
    <row r="824" spans="1:1" x14ac:dyDescent="0.25">
      <c r="A824" s="54" t="str">
        <f>LEFT('Liste des étudiants'!$W824,3)</f>
        <v>514</v>
      </c>
    </row>
    <row r="825" spans="1:1" x14ac:dyDescent="0.25">
      <c r="A825" s="54" t="str">
        <f>LEFT('Liste des étudiants'!$W825,3)</f>
        <v>514</v>
      </c>
    </row>
    <row r="826" spans="1:1" x14ac:dyDescent="0.25">
      <c r="A826" s="54" t="str">
        <f>LEFT('Liste des étudiants'!$W826,3)</f>
        <v>514</v>
      </c>
    </row>
    <row r="827" spans="1:1" x14ac:dyDescent="0.25">
      <c r="A827" s="54" t="str">
        <f>LEFT('Liste des étudiants'!$W827,3)</f>
        <v>514</v>
      </c>
    </row>
    <row r="828" spans="1:1" x14ac:dyDescent="0.25">
      <c r="A828" s="54" t="str">
        <f>LEFT('Liste des étudiants'!$W828,3)</f>
        <v>514</v>
      </c>
    </row>
    <row r="829" spans="1:1" x14ac:dyDescent="0.25">
      <c r="A829" s="54" t="str">
        <f>LEFT('Liste des étudiants'!$W829,3)</f>
        <v>579</v>
      </c>
    </row>
    <row r="830" spans="1:1" x14ac:dyDescent="0.25">
      <c r="A830" s="54" t="str">
        <f>LEFT('Liste des étudiants'!$W830,3)</f>
        <v>514</v>
      </c>
    </row>
    <row r="831" spans="1:1" x14ac:dyDescent="0.25">
      <c r="A831" s="54" t="str">
        <f>LEFT('Liste des étudiants'!$W831,3)</f>
        <v>450</v>
      </c>
    </row>
    <row r="832" spans="1:1" x14ac:dyDescent="0.25">
      <c r="A832" s="54" t="str">
        <f>LEFT('Liste des étudiants'!$W832,3)</f>
        <v>514</v>
      </c>
    </row>
    <row r="833" spans="1:1" x14ac:dyDescent="0.25">
      <c r="A833" s="54" t="str">
        <f>LEFT('Liste des étudiants'!$W833,3)</f>
        <v>514</v>
      </c>
    </row>
    <row r="834" spans="1:1" x14ac:dyDescent="0.25">
      <c r="A834" s="54" t="str">
        <f>LEFT('Liste des étudiants'!$W834,3)</f>
        <v>514</v>
      </c>
    </row>
    <row r="835" spans="1:1" x14ac:dyDescent="0.25">
      <c r="A835" s="54" t="str">
        <f>LEFT('Liste des étudiants'!$W835,3)</f>
        <v>514</v>
      </c>
    </row>
    <row r="836" spans="1:1" x14ac:dyDescent="0.25">
      <c r="A836" s="54" t="str">
        <f>LEFT('Liste des étudiants'!$W836,3)</f>
        <v>514</v>
      </c>
    </row>
    <row r="837" spans="1:1" x14ac:dyDescent="0.25">
      <c r="A837" s="54" t="str">
        <f>LEFT('Liste des étudiants'!$W837,3)</f>
        <v>514</v>
      </c>
    </row>
    <row r="838" spans="1:1" x14ac:dyDescent="0.25">
      <c r="A838" s="54" t="str">
        <f>LEFT('Liste des étudiants'!$W838,3)</f>
        <v>514</v>
      </c>
    </row>
    <row r="839" spans="1:1" x14ac:dyDescent="0.25">
      <c r="A839" s="54" t="str">
        <f>LEFT('Liste des étudiants'!$W839,3)</f>
        <v>514</v>
      </c>
    </row>
    <row r="840" spans="1:1" x14ac:dyDescent="0.25">
      <c r="A840" s="54" t="str">
        <f>LEFT('Liste des étudiants'!$W840,3)</f>
        <v>514</v>
      </c>
    </row>
    <row r="841" spans="1:1" x14ac:dyDescent="0.25">
      <c r="A841" s="54" t="str">
        <f>LEFT('Liste des étudiants'!$W841,3)</f>
        <v>514</v>
      </c>
    </row>
    <row r="842" spans="1:1" x14ac:dyDescent="0.25">
      <c r="A842" s="54" t="str">
        <f>LEFT('Liste des étudiants'!$W842,3)</f>
        <v>514</v>
      </c>
    </row>
    <row r="843" spans="1:1" x14ac:dyDescent="0.25">
      <c r="A843" s="54" t="str">
        <f>LEFT('Liste des étudiants'!$W843,3)</f>
        <v>514</v>
      </c>
    </row>
    <row r="844" spans="1:1" x14ac:dyDescent="0.25">
      <c r="A844" s="54" t="str">
        <f>LEFT('Liste des étudiants'!$W844,3)</f>
        <v>514</v>
      </c>
    </row>
    <row r="845" spans="1:1" x14ac:dyDescent="0.25">
      <c r="A845" s="54" t="str">
        <f>LEFT('Liste des étudiants'!$W845,3)</f>
        <v>514</v>
      </c>
    </row>
    <row r="846" spans="1:1" x14ac:dyDescent="0.25">
      <c r="A846" s="54" t="str">
        <f>LEFT('Liste des étudiants'!$W846,3)</f>
        <v>514</v>
      </c>
    </row>
    <row r="847" spans="1:1" x14ac:dyDescent="0.25">
      <c r="A847" s="54" t="str">
        <f>LEFT('Liste des étudiants'!$W847,3)</f>
        <v>514</v>
      </c>
    </row>
    <row r="848" spans="1:1" x14ac:dyDescent="0.25">
      <c r="A848" s="54" t="str">
        <f>LEFT('Liste des étudiants'!$W848,3)</f>
        <v>450</v>
      </c>
    </row>
    <row r="849" spans="1:1" x14ac:dyDescent="0.25">
      <c r="A849" s="54" t="str">
        <f>LEFT('Liste des étudiants'!$W849,3)</f>
        <v>514</v>
      </c>
    </row>
    <row r="850" spans="1:1" x14ac:dyDescent="0.25">
      <c r="A850" s="54" t="str">
        <f>LEFT('Liste des étudiants'!$W850,3)</f>
        <v>514</v>
      </c>
    </row>
    <row r="851" spans="1:1" x14ac:dyDescent="0.25">
      <c r="A851" s="54" t="str">
        <f>LEFT('Liste des étudiants'!$W851,3)</f>
        <v>514</v>
      </c>
    </row>
    <row r="852" spans="1:1" x14ac:dyDescent="0.25">
      <c r="A852" s="54" t="str">
        <f>LEFT('Liste des étudiants'!$W852,3)</f>
        <v>514</v>
      </c>
    </row>
    <row r="853" spans="1:1" x14ac:dyDescent="0.25">
      <c r="A853" s="54" t="str">
        <f>LEFT('Liste des étudiants'!$W853,3)</f>
        <v>514</v>
      </c>
    </row>
    <row r="854" spans="1:1" x14ac:dyDescent="0.25">
      <c r="A854" s="54" t="str">
        <f>LEFT('Liste des étudiants'!$W854,3)</f>
        <v>514</v>
      </c>
    </row>
    <row r="855" spans="1:1" x14ac:dyDescent="0.25">
      <c r="A855" s="54" t="str">
        <f>LEFT('Liste des étudiants'!$W855,3)</f>
        <v>514</v>
      </c>
    </row>
    <row r="856" spans="1:1" x14ac:dyDescent="0.25">
      <c r="A856" s="54" t="str">
        <f>LEFT('Liste des étudiants'!$W856,3)</f>
        <v>514</v>
      </c>
    </row>
    <row r="857" spans="1:1" x14ac:dyDescent="0.25">
      <c r="A857" s="54" t="str">
        <f>LEFT('Liste des étudiants'!$W857,3)</f>
        <v>514</v>
      </c>
    </row>
    <row r="858" spans="1:1" x14ac:dyDescent="0.25">
      <c r="A858" s="54" t="str">
        <f>LEFT('Liste des étudiants'!$W858,3)</f>
        <v>514</v>
      </c>
    </row>
    <row r="859" spans="1:1" x14ac:dyDescent="0.25">
      <c r="A859" s="54" t="str">
        <f>LEFT('Liste des étudiants'!$W859,3)</f>
        <v>514</v>
      </c>
    </row>
    <row r="860" spans="1:1" x14ac:dyDescent="0.25">
      <c r="A860" s="54" t="str">
        <f>LEFT('Liste des étudiants'!$W860,3)</f>
        <v>514</v>
      </c>
    </row>
    <row r="861" spans="1:1" x14ac:dyDescent="0.25">
      <c r="A861" s="54" t="str">
        <f>LEFT('Liste des étudiants'!$W861,3)</f>
        <v>514</v>
      </c>
    </row>
    <row r="862" spans="1:1" x14ac:dyDescent="0.25">
      <c r="A862" s="54" t="str">
        <f>LEFT('Liste des étudiants'!$W862,3)</f>
        <v>514</v>
      </c>
    </row>
    <row r="863" spans="1:1" x14ac:dyDescent="0.25">
      <c r="A863" s="54" t="str">
        <f>LEFT('Liste des étudiants'!$W863,3)</f>
        <v>450</v>
      </c>
    </row>
    <row r="864" spans="1:1" x14ac:dyDescent="0.25">
      <c r="A864" s="54" t="str">
        <f>LEFT('Liste des étudiants'!$W864,3)</f>
        <v>514</v>
      </c>
    </row>
    <row r="865" spans="1:1" x14ac:dyDescent="0.25">
      <c r="A865" s="54" t="str">
        <f>LEFT('Liste des étudiants'!$W865,3)</f>
        <v>514</v>
      </c>
    </row>
    <row r="866" spans="1:1" x14ac:dyDescent="0.25">
      <c r="A866" s="54" t="str">
        <f>LEFT('Liste des étudiants'!$W866,3)</f>
        <v>514</v>
      </c>
    </row>
    <row r="867" spans="1:1" x14ac:dyDescent="0.25">
      <c r="A867" s="54" t="str">
        <f>LEFT('Liste des étudiants'!$W867,3)</f>
        <v>514</v>
      </c>
    </row>
    <row r="868" spans="1:1" x14ac:dyDescent="0.25">
      <c r="A868" s="54" t="str">
        <f>LEFT('Liste des étudiants'!$W868,3)</f>
        <v>514</v>
      </c>
    </row>
    <row r="869" spans="1:1" x14ac:dyDescent="0.25">
      <c r="A869" s="54" t="str">
        <f>LEFT('Liste des étudiants'!$W869,3)</f>
        <v>514</v>
      </c>
    </row>
    <row r="870" spans="1:1" x14ac:dyDescent="0.25">
      <c r="A870" s="54" t="str">
        <f>LEFT('Liste des étudiants'!$W870,3)</f>
        <v>514</v>
      </c>
    </row>
    <row r="871" spans="1:1" x14ac:dyDescent="0.25">
      <c r="A871" s="54" t="str">
        <f>LEFT('Liste des étudiants'!$W871,3)</f>
        <v>514</v>
      </c>
    </row>
    <row r="872" spans="1:1" x14ac:dyDescent="0.25">
      <c r="A872" s="54" t="str">
        <f>LEFT('Liste des étudiants'!$W872,3)</f>
        <v>514</v>
      </c>
    </row>
    <row r="873" spans="1:1" x14ac:dyDescent="0.25">
      <c r="A873" s="54" t="str">
        <f>LEFT('Liste des étudiants'!$W873,3)</f>
        <v>514</v>
      </c>
    </row>
    <row r="874" spans="1:1" x14ac:dyDescent="0.25">
      <c r="A874" s="54" t="str">
        <f>LEFT('Liste des étudiants'!$W874,3)</f>
        <v>514</v>
      </c>
    </row>
    <row r="875" spans="1:1" x14ac:dyDescent="0.25">
      <c r="A875" s="54" t="str">
        <f>LEFT('Liste des étudiants'!$W875,3)</f>
        <v>514</v>
      </c>
    </row>
    <row r="876" spans="1:1" x14ac:dyDescent="0.25">
      <c r="A876" s="54" t="str">
        <f>LEFT('Liste des étudiants'!$W876,3)</f>
        <v>514</v>
      </c>
    </row>
    <row r="877" spans="1:1" x14ac:dyDescent="0.25">
      <c r="A877" s="54" t="str">
        <f>LEFT('Liste des étudiants'!$W877,3)</f>
        <v>514</v>
      </c>
    </row>
    <row r="878" spans="1:1" x14ac:dyDescent="0.25">
      <c r="A878" s="54" t="str">
        <f>LEFT('Liste des étudiants'!$W878,3)</f>
        <v>514</v>
      </c>
    </row>
    <row r="879" spans="1:1" x14ac:dyDescent="0.25">
      <c r="A879" s="54" t="str">
        <f>LEFT('Liste des étudiants'!$W879,3)</f>
        <v>514</v>
      </c>
    </row>
    <row r="880" spans="1:1" x14ac:dyDescent="0.25">
      <c r="A880" s="54" t="str">
        <f>LEFT('Liste des étudiants'!$W880,3)</f>
        <v>514</v>
      </c>
    </row>
    <row r="881" spans="1:1" x14ac:dyDescent="0.25">
      <c r="A881" s="54" t="str">
        <f>LEFT('Liste des étudiants'!$W881,3)</f>
        <v>514</v>
      </c>
    </row>
    <row r="882" spans="1:1" x14ac:dyDescent="0.25">
      <c r="A882" s="54" t="str">
        <f>LEFT('Liste des étudiants'!$W882,3)</f>
        <v>450</v>
      </c>
    </row>
    <row r="883" spans="1:1" x14ac:dyDescent="0.25">
      <c r="A883" s="54" t="str">
        <f>LEFT('Liste des étudiants'!$W883,3)</f>
        <v>514</v>
      </c>
    </row>
    <row r="884" spans="1:1" x14ac:dyDescent="0.25">
      <c r="A884" s="54" t="str">
        <f>LEFT('Liste des étudiants'!$W884,3)</f>
        <v>514</v>
      </c>
    </row>
    <row r="885" spans="1:1" x14ac:dyDescent="0.25">
      <c r="A885" s="54" t="str">
        <f>LEFT('Liste des étudiants'!$W885,3)</f>
        <v>514</v>
      </c>
    </row>
    <row r="886" spans="1:1" x14ac:dyDescent="0.25">
      <c r="A886" s="54" t="str">
        <f>LEFT('Liste des étudiants'!$W886,3)</f>
        <v>514</v>
      </c>
    </row>
    <row r="887" spans="1:1" x14ac:dyDescent="0.25">
      <c r="A887" s="54" t="str">
        <f>LEFT('Liste des étudiants'!$W887,3)</f>
        <v>514</v>
      </c>
    </row>
    <row r="888" spans="1:1" x14ac:dyDescent="0.25">
      <c r="A888" s="54" t="str">
        <f>LEFT('Liste des étudiants'!$W888,3)</f>
        <v>514</v>
      </c>
    </row>
    <row r="889" spans="1:1" x14ac:dyDescent="0.25">
      <c r="A889" s="54" t="str">
        <f>LEFT('Liste des étudiants'!$W889,3)</f>
        <v>514</v>
      </c>
    </row>
    <row r="890" spans="1:1" x14ac:dyDescent="0.25">
      <c r="A890" s="54" t="str">
        <f>LEFT('Liste des étudiants'!$W890,3)</f>
        <v>514</v>
      </c>
    </row>
    <row r="891" spans="1:1" x14ac:dyDescent="0.25">
      <c r="A891" s="54" t="str">
        <f>LEFT('Liste des étudiants'!$W891,3)</f>
        <v>514</v>
      </c>
    </row>
    <row r="892" spans="1:1" x14ac:dyDescent="0.25">
      <c r="A892" s="54" t="str">
        <f>LEFT('Liste des étudiants'!$W892,3)</f>
        <v>514</v>
      </c>
    </row>
    <row r="893" spans="1:1" x14ac:dyDescent="0.25">
      <c r="A893" s="54" t="str">
        <f>LEFT('Liste des étudiants'!$W893,3)</f>
        <v>514</v>
      </c>
    </row>
    <row r="894" spans="1:1" x14ac:dyDescent="0.25">
      <c r="A894" s="54" t="str">
        <f>LEFT('Liste des étudiants'!$W894,3)</f>
        <v>514</v>
      </c>
    </row>
    <row r="895" spans="1:1" x14ac:dyDescent="0.25">
      <c r="A895" s="54" t="str">
        <f>LEFT('Liste des étudiants'!$W895,3)</f>
        <v>514</v>
      </c>
    </row>
    <row r="896" spans="1:1" x14ac:dyDescent="0.25">
      <c r="A896" s="54" t="str">
        <f>LEFT('Liste des étudiants'!$W896,3)</f>
        <v>514</v>
      </c>
    </row>
    <row r="897" spans="1:1" x14ac:dyDescent="0.25">
      <c r="A897" s="54" t="str">
        <f>LEFT('Liste des étudiants'!$W897,3)</f>
        <v>514</v>
      </c>
    </row>
    <row r="898" spans="1:1" x14ac:dyDescent="0.25">
      <c r="A898" s="54" t="str">
        <f>LEFT('Liste des étudiants'!$W898,3)</f>
        <v>514</v>
      </c>
    </row>
    <row r="899" spans="1:1" x14ac:dyDescent="0.25">
      <c r="A899" s="54" t="str">
        <f>LEFT('Liste des étudiants'!$W899,3)</f>
        <v>514</v>
      </c>
    </row>
    <row r="900" spans="1:1" x14ac:dyDescent="0.25">
      <c r="A900" s="54" t="str">
        <f>LEFT('Liste des étudiants'!$W900,3)</f>
        <v>514</v>
      </c>
    </row>
    <row r="901" spans="1:1" x14ac:dyDescent="0.25">
      <c r="A901" s="54" t="str">
        <f>LEFT('Liste des étudiants'!$W901,3)</f>
        <v>514</v>
      </c>
    </row>
    <row r="902" spans="1:1" x14ac:dyDescent="0.25">
      <c r="A902" s="54" t="str">
        <f>LEFT('Liste des étudiants'!$W902,3)</f>
        <v>514</v>
      </c>
    </row>
    <row r="903" spans="1:1" x14ac:dyDescent="0.25">
      <c r="A903" s="54" t="str">
        <f>LEFT('Liste des étudiants'!$W903,3)</f>
        <v>514</v>
      </c>
    </row>
    <row r="904" spans="1:1" x14ac:dyDescent="0.25">
      <c r="A904" s="54" t="str">
        <f>LEFT('Liste des étudiants'!$W904,3)</f>
        <v>514</v>
      </c>
    </row>
    <row r="905" spans="1:1" x14ac:dyDescent="0.25">
      <c r="A905" s="54" t="str">
        <f>LEFT('Liste des étudiants'!$W905,3)</f>
        <v>514</v>
      </c>
    </row>
    <row r="906" spans="1:1" x14ac:dyDescent="0.25">
      <c r="A906" s="54" t="str">
        <f>LEFT('Liste des étudiants'!$W906,3)</f>
        <v>514</v>
      </c>
    </row>
    <row r="907" spans="1:1" x14ac:dyDescent="0.25">
      <c r="A907" s="54" t="str">
        <f>LEFT('Liste des étudiants'!$W907,3)</f>
        <v>514</v>
      </c>
    </row>
    <row r="908" spans="1:1" x14ac:dyDescent="0.25">
      <c r="A908" s="54" t="str">
        <f>LEFT('Liste des étudiants'!$W908,3)</f>
        <v>514</v>
      </c>
    </row>
    <row r="909" spans="1:1" x14ac:dyDescent="0.25">
      <c r="A909" s="54" t="str">
        <f>LEFT('Liste des étudiants'!$W909,3)</f>
        <v>514</v>
      </c>
    </row>
    <row r="910" spans="1:1" x14ac:dyDescent="0.25">
      <c r="A910" s="54" t="str">
        <f>LEFT('Liste des étudiants'!$W910,3)</f>
        <v>514</v>
      </c>
    </row>
    <row r="911" spans="1:1" x14ac:dyDescent="0.25">
      <c r="A911" s="54" t="str">
        <f>LEFT('Liste des étudiants'!$W911,3)</f>
        <v>514</v>
      </c>
    </row>
    <row r="912" spans="1:1" x14ac:dyDescent="0.25">
      <c r="A912" s="54" t="str">
        <f>LEFT('Liste des étudiants'!$W912,3)</f>
        <v>514</v>
      </c>
    </row>
    <row r="913" spans="1:1" x14ac:dyDescent="0.25">
      <c r="A913" s="54" t="str">
        <f>LEFT('Liste des étudiants'!$W913,3)</f>
        <v>514</v>
      </c>
    </row>
    <row r="914" spans="1:1" x14ac:dyDescent="0.25">
      <c r="A914" s="54" t="str">
        <f>LEFT('Liste des étudiants'!$W914,3)</f>
        <v>514</v>
      </c>
    </row>
    <row r="915" spans="1:1" x14ac:dyDescent="0.25">
      <c r="A915" s="54" t="str">
        <f>LEFT('Liste des étudiants'!$W915,3)</f>
        <v>514</v>
      </c>
    </row>
    <row r="916" spans="1:1" x14ac:dyDescent="0.25">
      <c r="A916" s="54" t="str">
        <f>LEFT('Liste des étudiants'!$W916,3)</f>
        <v>514</v>
      </c>
    </row>
    <row r="917" spans="1:1" x14ac:dyDescent="0.25">
      <c r="A917" s="54" t="str">
        <f>LEFT('Liste des étudiants'!$W917,3)</f>
        <v>514</v>
      </c>
    </row>
    <row r="918" spans="1:1" x14ac:dyDescent="0.25">
      <c r="A918" s="54" t="str">
        <f>LEFT('Liste des étudiants'!$W918,3)</f>
        <v>514</v>
      </c>
    </row>
    <row r="919" spans="1:1" x14ac:dyDescent="0.25">
      <c r="A919" s="54" t="str">
        <f>LEFT('Liste des étudiants'!$W919,3)</f>
        <v>514</v>
      </c>
    </row>
    <row r="920" spans="1:1" x14ac:dyDescent="0.25">
      <c r="A920" s="54" t="str">
        <f>LEFT('Liste des étudiants'!$W920,3)</f>
        <v>514</v>
      </c>
    </row>
    <row r="921" spans="1:1" x14ac:dyDescent="0.25">
      <c r="A921" s="54" t="str">
        <f>LEFT('Liste des étudiants'!$W921,3)</f>
        <v>514</v>
      </c>
    </row>
    <row r="922" spans="1:1" x14ac:dyDescent="0.25">
      <c r="A922" s="54" t="str">
        <f>LEFT('Liste des étudiants'!$W922,3)</f>
        <v>514</v>
      </c>
    </row>
    <row r="923" spans="1:1" x14ac:dyDescent="0.25">
      <c r="A923" s="54" t="str">
        <f>LEFT('Liste des étudiants'!$W923,3)</f>
        <v>514</v>
      </c>
    </row>
    <row r="924" spans="1:1" x14ac:dyDescent="0.25">
      <c r="A924" s="54" t="str">
        <f>LEFT('Liste des étudiants'!$W924,3)</f>
        <v>514</v>
      </c>
    </row>
    <row r="925" spans="1:1" x14ac:dyDescent="0.25">
      <c r="A925" s="54" t="str">
        <f>LEFT('Liste des étudiants'!$W925,3)</f>
        <v>514</v>
      </c>
    </row>
    <row r="926" spans="1:1" x14ac:dyDescent="0.25">
      <c r="A926" s="54" t="str">
        <f>LEFT('Liste des étudiants'!$W926,3)</f>
        <v>514</v>
      </c>
    </row>
    <row r="927" spans="1:1" x14ac:dyDescent="0.25">
      <c r="A927" s="54" t="str">
        <f>LEFT('Liste des étudiants'!$W927,3)</f>
        <v>514</v>
      </c>
    </row>
    <row r="928" spans="1:1" x14ac:dyDescent="0.25">
      <c r="A928" s="54" t="str">
        <f>LEFT('Liste des étudiants'!$W928,3)</f>
        <v>579</v>
      </c>
    </row>
    <row r="929" spans="1:1" x14ac:dyDescent="0.25">
      <c r="A929" s="54" t="str">
        <f>LEFT('Liste des étudiants'!$W929,3)</f>
        <v>514</v>
      </c>
    </row>
    <row r="930" spans="1:1" x14ac:dyDescent="0.25">
      <c r="A930" s="54" t="str">
        <f>LEFT('Liste des étudiants'!$W930,3)</f>
        <v>514</v>
      </c>
    </row>
    <row r="931" spans="1:1" x14ac:dyDescent="0.25">
      <c r="A931" s="54" t="str">
        <f>LEFT('Liste des étudiants'!$W931,3)</f>
        <v>514</v>
      </c>
    </row>
    <row r="932" spans="1:1" x14ac:dyDescent="0.25">
      <c r="A932" s="54" t="str">
        <f>LEFT('Liste des étudiants'!$W932,3)</f>
        <v>514</v>
      </c>
    </row>
    <row r="933" spans="1:1" x14ac:dyDescent="0.25">
      <c r="A933" s="54" t="str">
        <f>LEFT('Liste des étudiants'!$W933,3)</f>
        <v>514</v>
      </c>
    </row>
    <row r="934" spans="1:1" x14ac:dyDescent="0.25">
      <c r="A934" s="54" t="str">
        <f>LEFT('Liste des étudiants'!$W934,3)</f>
        <v>514</v>
      </c>
    </row>
    <row r="935" spans="1:1" x14ac:dyDescent="0.25">
      <c r="A935" s="54" t="str">
        <f>LEFT('Liste des étudiants'!$W935,3)</f>
        <v>514</v>
      </c>
    </row>
    <row r="936" spans="1:1" x14ac:dyDescent="0.25">
      <c r="A936" s="54" t="str">
        <f>LEFT('Liste des étudiants'!$W936,3)</f>
        <v>514</v>
      </c>
    </row>
    <row r="937" spans="1:1" x14ac:dyDescent="0.25">
      <c r="A937" s="54" t="str">
        <f>LEFT('Liste des étudiants'!$W937,3)</f>
        <v>514</v>
      </c>
    </row>
    <row r="938" spans="1:1" x14ac:dyDescent="0.25">
      <c r="A938" s="54" t="str">
        <f>LEFT('Liste des étudiants'!$W938,3)</f>
        <v>514</v>
      </c>
    </row>
    <row r="939" spans="1:1" x14ac:dyDescent="0.25">
      <c r="A939" s="54" t="str">
        <f>LEFT('Liste des étudiants'!$W939,3)</f>
        <v>514</v>
      </c>
    </row>
    <row r="940" spans="1:1" x14ac:dyDescent="0.25">
      <c r="A940" s="54" t="str">
        <f>LEFT('Liste des étudiants'!$W940,3)</f>
        <v>514</v>
      </c>
    </row>
    <row r="941" spans="1:1" x14ac:dyDescent="0.25">
      <c r="A941" s="54" t="str">
        <f>LEFT('Liste des étudiants'!$W941,3)</f>
        <v>514</v>
      </c>
    </row>
    <row r="942" spans="1:1" x14ac:dyDescent="0.25">
      <c r="A942" s="54" t="str">
        <f>LEFT('Liste des étudiants'!$W942,3)</f>
        <v>514</v>
      </c>
    </row>
    <row r="943" spans="1:1" x14ac:dyDescent="0.25">
      <c r="A943" s="54" t="str">
        <f>LEFT('Liste des étudiants'!$W943,3)</f>
        <v>514</v>
      </c>
    </row>
    <row r="944" spans="1:1" x14ac:dyDescent="0.25">
      <c r="A944" s="54" t="str">
        <f>LEFT('Liste des étudiants'!$W944,3)</f>
        <v>514</v>
      </c>
    </row>
    <row r="945" spans="1:1" x14ac:dyDescent="0.25">
      <c r="A945" s="54" t="str">
        <f>LEFT('Liste des étudiants'!$W945,3)</f>
        <v>514</v>
      </c>
    </row>
    <row r="946" spans="1:1" x14ac:dyDescent="0.25">
      <c r="A946" s="54" t="str">
        <f>LEFT('Liste des étudiants'!$W946,3)</f>
        <v>514</v>
      </c>
    </row>
    <row r="947" spans="1:1" x14ac:dyDescent="0.25">
      <c r="A947" s="54" t="str">
        <f>LEFT('Liste des étudiants'!$W947,3)</f>
        <v>514</v>
      </c>
    </row>
    <row r="948" spans="1:1" x14ac:dyDescent="0.25">
      <c r="A948" s="54" t="str">
        <f>LEFT('Liste des étudiants'!$W948,3)</f>
        <v>450</v>
      </c>
    </row>
    <row r="949" spans="1:1" x14ac:dyDescent="0.25">
      <c r="A949" s="54" t="str">
        <f>LEFT('Liste des étudiants'!$W949,3)</f>
        <v>514</v>
      </c>
    </row>
    <row r="950" spans="1:1" x14ac:dyDescent="0.25">
      <c r="A950" s="54" t="str">
        <f>LEFT('Liste des étudiants'!$W950,3)</f>
        <v>514</v>
      </c>
    </row>
    <row r="951" spans="1:1" x14ac:dyDescent="0.25">
      <c r="A951" s="54" t="str">
        <f>LEFT('Liste des étudiants'!$W951,3)</f>
        <v>514</v>
      </c>
    </row>
    <row r="952" spans="1:1" x14ac:dyDescent="0.25">
      <c r="A952" s="54" t="str">
        <f>LEFT('Liste des étudiants'!$W952,3)</f>
        <v>514</v>
      </c>
    </row>
    <row r="953" spans="1:1" x14ac:dyDescent="0.25">
      <c r="A953" s="54" t="str">
        <f>LEFT('Liste des étudiants'!$W953,3)</f>
        <v>514</v>
      </c>
    </row>
    <row r="954" spans="1:1" x14ac:dyDescent="0.25">
      <c r="A954" s="54" t="str">
        <f>LEFT('Liste des étudiants'!$W954,3)</f>
        <v>514</v>
      </c>
    </row>
    <row r="955" spans="1:1" x14ac:dyDescent="0.25">
      <c r="A955" s="54" t="str">
        <f>LEFT('Liste des étudiants'!$W955,3)</f>
        <v>514</v>
      </c>
    </row>
    <row r="956" spans="1:1" x14ac:dyDescent="0.25">
      <c r="A956" s="54" t="str">
        <f>LEFT('Liste des étudiants'!$W956,3)</f>
        <v>514</v>
      </c>
    </row>
    <row r="957" spans="1:1" x14ac:dyDescent="0.25">
      <c r="A957" s="54" t="str">
        <f>LEFT('Liste des étudiants'!$W957,3)</f>
        <v>514</v>
      </c>
    </row>
    <row r="958" spans="1:1" x14ac:dyDescent="0.25">
      <c r="A958" s="54" t="str">
        <f>LEFT('Liste des étudiants'!$W958,3)</f>
        <v>514</v>
      </c>
    </row>
    <row r="959" spans="1:1" x14ac:dyDescent="0.25">
      <c r="A959" s="54" t="str">
        <f>LEFT('Liste des étudiants'!$W959,3)</f>
        <v>514</v>
      </c>
    </row>
    <row r="960" spans="1:1" x14ac:dyDescent="0.25">
      <c r="A960" s="54" t="str">
        <f>LEFT('Liste des étudiants'!$W960,3)</f>
        <v>450</v>
      </c>
    </row>
    <row r="961" spans="1:1" x14ac:dyDescent="0.25">
      <c r="A961" s="54" t="str">
        <f>LEFT('Liste des étudiants'!$W961,3)</f>
        <v>514</v>
      </c>
    </row>
    <row r="962" spans="1:1" x14ac:dyDescent="0.25">
      <c r="A962" s="54" t="str">
        <f>LEFT('Liste des étudiants'!$W962,3)</f>
        <v>514</v>
      </c>
    </row>
    <row r="963" spans="1:1" x14ac:dyDescent="0.25">
      <c r="A963" s="54" t="str">
        <f>LEFT('Liste des étudiants'!$W963,3)</f>
        <v>514</v>
      </c>
    </row>
    <row r="964" spans="1:1" x14ac:dyDescent="0.25">
      <c r="A964" s="54" t="str">
        <f>LEFT('Liste des étudiants'!$W964,3)</f>
        <v>514</v>
      </c>
    </row>
    <row r="965" spans="1:1" x14ac:dyDescent="0.25">
      <c r="A965" s="54" t="str">
        <f>LEFT('Liste des étudiants'!$W965,3)</f>
        <v>514</v>
      </c>
    </row>
    <row r="966" spans="1:1" x14ac:dyDescent="0.25">
      <c r="A966" s="54" t="str">
        <f>LEFT('Liste des étudiants'!$W966,3)</f>
        <v>514</v>
      </c>
    </row>
    <row r="967" spans="1:1" x14ac:dyDescent="0.25">
      <c r="A967" s="54" t="str">
        <f>LEFT('Liste des étudiants'!$W967,3)</f>
        <v>514</v>
      </c>
    </row>
    <row r="968" spans="1:1" x14ac:dyDescent="0.25">
      <c r="A968" s="54" t="str">
        <f>LEFT('Liste des étudiants'!$W968,3)</f>
        <v>514</v>
      </c>
    </row>
    <row r="969" spans="1:1" x14ac:dyDescent="0.25">
      <c r="A969" s="54" t="str">
        <f>LEFT('Liste des étudiants'!$W969,3)</f>
        <v>450</v>
      </c>
    </row>
    <row r="970" spans="1:1" x14ac:dyDescent="0.25">
      <c r="A970" s="54" t="str">
        <f>LEFT('Liste des étudiants'!$W970,3)</f>
        <v>514</v>
      </c>
    </row>
    <row r="971" spans="1:1" x14ac:dyDescent="0.25">
      <c r="A971" s="54" t="str">
        <f>LEFT('Liste des étudiants'!$W971,3)</f>
        <v>514</v>
      </c>
    </row>
    <row r="972" spans="1:1" x14ac:dyDescent="0.25">
      <c r="A972" s="54" t="str">
        <f>LEFT('Liste des étudiants'!$W972,3)</f>
        <v>514</v>
      </c>
    </row>
    <row r="973" spans="1:1" x14ac:dyDescent="0.25">
      <c r="A973" s="54" t="str">
        <f>LEFT('Liste des étudiants'!$W973,3)</f>
        <v>514</v>
      </c>
    </row>
    <row r="974" spans="1:1" x14ac:dyDescent="0.25">
      <c r="A974" s="54" t="str">
        <f>LEFT('Liste des étudiants'!$W974,3)</f>
        <v>514</v>
      </c>
    </row>
    <row r="975" spans="1:1" x14ac:dyDescent="0.25">
      <c r="A975" s="54" t="str">
        <f>LEFT('Liste des étudiants'!$W975,3)</f>
        <v>514</v>
      </c>
    </row>
    <row r="976" spans="1:1" x14ac:dyDescent="0.25">
      <c r="A976" s="54" t="str">
        <f>LEFT('Liste des étudiants'!$W976,3)</f>
        <v>514</v>
      </c>
    </row>
    <row r="977" spans="1:1" x14ac:dyDescent="0.25">
      <c r="A977" s="54" t="str">
        <f>LEFT('Liste des étudiants'!$W977,3)</f>
        <v>514</v>
      </c>
    </row>
    <row r="978" spans="1:1" x14ac:dyDescent="0.25">
      <c r="A978" s="54" t="str">
        <f>LEFT('Liste des étudiants'!$W978,3)</f>
        <v>514</v>
      </c>
    </row>
    <row r="979" spans="1:1" x14ac:dyDescent="0.25">
      <c r="A979" s="54" t="str">
        <f>LEFT('Liste des étudiants'!$W979,3)</f>
        <v>514</v>
      </c>
    </row>
    <row r="980" spans="1:1" x14ac:dyDescent="0.25">
      <c r="A980" s="54" t="str">
        <f>LEFT('Liste des étudiants'!$W980,3)</f>
        <v>514</v>
      </c>
    </row>
    <row r="981" spans="1:1" x14ac:dyDescent="0.25">
      <c r="A981" s="54" t="str">
        <f>LEFT('Liste des étudiants'!$W981,3)</f>
        <v>514</v>
      </c>
    </row>
    <row r="982" spans="1:1" x14ac:dyDescent="0.25">
      <c r="A982" s="54" t="str">
        <f>LEFT('Liste des étudiants'!$W982,3)</f>
        <v>514</v>
      </c>
    </row>
    <row r="983" spans="1:1" x14ac:dyDescent="0.25">
      <c r="A983" s="54" t="str">
        <f>LEFT('Liste des étudiants'!$W983,3)</f>
        <v>514</v>
      </c>
    </row>
    <row r="984" spans="1:1" x14ac:dyDescent="0.25">
      <c r="A984" s="54" t="str">
        <f>LEFT('Liste des étudiants'!$W984,3)</f>
        <v>514</v>
      </c>
    </row>
    <row r="985" spans="1:1" x14ac:dyDescent="0.25">
      <c r="A985" s="54" t="str">
        <f>LEFT('Liste des étudiants'!$W985,3)</f>
        <v>514</v>
      </c>
    </row>
    <row r="986" spans="1:1" x14ac:dyDescent="0.25">
      <c r="A986" s="54" t="str">
        <f>LEFT('Liste des étudiants'!$W986,3)</f>
        <v>514</v>
      </c>
    </row>
    <row r="987" spans="1:1" x14ac:dyDescent="0.25">
      <c r="A987" s="54" t="str">
        <f>LEFT('Liste des étudiants'!$W987,3)</f>
        <v>514</v>
      </c>
    </row>
    <row r="988" spans="1:1" x14ac:dyDescent="0.25">
      <c r="A988" s="54" t="str">
        <f>LEFT('Liste des étudiants'!$W988,3)</f>
        <v>514</v>
      </c>
    </row>
    <row r="989" spans="1:1" x14ac:dyDescent="0.25">
      <c r="A989" s="54" t="str">
        <f>LEFT('Liste des étudiants'!$W989,3)</f>
        <v>514</v>
      </c>
    </row>
    <row r="990" spans="1:1" x14ac:dyDescent="0.25">
      <c r="A990" s="54" t="str">
        <f>LEFT('Liste des étudiants'!$W990,3)</f>
        <v>514</v>
      </c>
    </row>
    <row r="991" spans="1:1" x14ac:dyDescent="0.25">
      <c r="A991" s="54" t="str">
        <f>LEFT('Liste des étudiants'!$W991,3)</f>
        <v>514</v>
      </c>
    </row>
    <row r="992" spans="1:1" x14ac:dyDescent="0.25">
      <c r="A992" s="54" t="str">
        <f>LEFT('Liste des étudiants'!$W992,3)</f>
        <v>514</v>
      </c>
    </row>
    <row r="993" spans="1:1" x14ac:dyDescent="0.25">
      <c r="A993" s="54" t="str">
        <f>LEFT('Liste des étudiants'!$W993,3)</f>
        <v>514</v>
      </c>
    </row>
    <row r="994" spans="1:1" x14ac:dyDescent="0.25">
      <c r="A994" s="54" t="str">
        <f>LEFT('Liste des étudiants'!$W994,3)</f>
        <v>514</v>
      </c>
    </row>
    <row r="995" spans="1:1" x14ac:dyDescent="0.25">
      <c r="A995" s="54" t="str">
        <f>LEFT('Liste des étudiants'!$W995,3)</f>
        <v>514</v>
      </c>
    </row>
    <row r="996" spans="1:1" x14ac:dyDescent="0.25">
      <c r="A996" s="54" t="str">
        <f>LEFT('Liste des étudiants'!$W996,3)</f>
        <v>514</v>
      </c>
    </row>
    <row r="997" spans="1:1" x14ac:dyDescent="0.25">
      <c r="A997" s="54" t="str">
        <f>LEFT('Liste des étudiants'!$W997,3)</f>
        <v>514</v>
      </c>
    </row>
    <row r="998" spans="1:1" x14ac:dyDescent="0.25">
      <c r="A998" s="54" t="str">
        <f>LEFT('Liste des étudiants'!$W998,3)</f>
        <v>514</v>
      </c>
    </row>
    <row r="999" spans="1:1" x14ac:dyDescent="0.25">
      <c r="A999" s="54" t="str">
        <f>LEFT('Liste des étudiants'!$W999,3)</f>
        <v>514</v>
      </c>
    </row>
    <row r="1000" spans="1:1" x14ac:dyDescent="0.25">
      <c r="A1000" s="54" t="str">
        <f>LEFT('Liste des étudiants'!$W1000,3)</f>
        <v>514</v>
      </c>
    </row>
    <row r="1001" spans="1:1" x14ac:dyDescent="0.25">
      <c r="A1001" s="54" t="str">
        <f>LEFT('Liste des étudiants'!$W1001,3)</f>
        <v>450</v>
      </c>
    </row>
    <row r="1002" spans="1:1" x14ac:dyDescent="0.25">
      <c r="A1002" s="54" t="str">
        <f>LEFT('Liste des étudiants'!$W1002,3)</f>
        <v>514</v>
      </c>
    </row>
    <row r="1003" spans="1:1" x14ac:dyDescent="0.25">
      <c r="A1003" s="54" t="str">
        <f>LEFT('Liste des étudiants'!$W1003,3)</f>
        <v>450</v>
      </c>
    </row>
    <row r="1004" spans="1:1" x14ac:dyDescent="0.25">
      <c r="A1004" s="54" t="str">
        <f>LEFT('Liste des étudiants'!$W1004,3)</f>
        <v>514</v>
      </c>
    </row>
    <row r="1005" spans="1:1" x14ac:dyDescent="0.25">
      <c r="A1005" s="54" t="str">
        <f>LEFT('Liste des étudiants'!$W1005,3)</f>
        <v>514</v>
      </c>
    </row>
    <row r="1006" spans="1:1" x14ac:dyDescent="0.25">
      <c r="A1006" s="54" t="str">
        <f>LEFT('Liste des étudiants'!$W1006,3)</f>
        <v>514</v>
      </c>
    </row>
    <row r="1007" spans="1:1" x14ac:dyDescent="0.25">
      <c r="A1007" s="54" t="str">
        <f>LEFT('Liste des étudiants'!$W1007,3)</f>
        <v>514</v>
      </c>
    </row>
    <row r="1008" spans="1:1" x14ac:dyDescent="0.25">
      <c r="A1008" s="54" t="str">
        <f>LEFT('Liste des étudiants'!$W1008,3)</f>
        <v>514</v>
      </c>
    </row>
    <row r="1009" spans="1:1" x14ac:dyDescent="0.25">
      <c r="A1009" s="54" t="str">
        <f>LEFT('Liste des étudiants'!$W1009,3)</f>
        <v>514</v>
      </c>
    </row>
    <row r="1010" spans="1:1" x14ac:dyDescent="0.25">
      <c r="A1010" s="54" t="str">
        <f>LEFT('Liste des étudiants'!$W1010,3)</f>
        <v>514</v>
      </c>
    </row>
    <row r="1011" spans="1:1" x14ac:dyDescent="0.25">
      <c r="A1011" s="54" t="str">
        <f>LEFT('Liste des étudiants'!$W1011,3)</f>
        <v>514</v>
      </c>
    </row>
    <row r="1012" spans="1:1" x14ac:dyDescent="0.25">
      <c r="A1012" s="54" t="str">
        <f>LEFT('Liste des étudiants'!$W1012,3)</f>
        <v>514</v>
      </c>
    </row>
    <row r="1013" spans="1:1" x14ac:dyDescent="0.25">
      <c r="A1013" s="54" t="str">
        <f>LEFT('Liste des étudiants'!$W1013,3)</f>
        <v>514</v>
      </c>
    </row>
    <row r="1014" spans="1:1" x14ac:dyDescent="0.25">
      <c r="A1014" s="54" t="str">
        <f>LEFT('Liste des étudiants'!$W1014,3)</f>
        <v>514</v>
      </c>
    </row>
    <row r="1015" spans="1:1" x14ac:dyDescent="0.25">
      <c r="A1015" s="54" t="str">
        <f>LEFT('Liste des étudiants'!$W1015,3)</f>
        <v>514</v>
      </c>
    </row>
    <row r="1016" spans="1:1" x14ac:dyDescent="0.25">
      <c r="A1016" s="54" t="str">
        <f>LEFT('Liste des étudiants'!$W1016,3)</f>
        <v>514</v>
      </c>
    </row>
    <row r="1017" spans="1:1" x14ac:dyDescent="0.25">
      <c r="A1017" s="54" t="str">
        <f>LEFT('Liste des étudiants'!$W1017,3)</f>
        <v>514</v>
      </c>
    </row>
    <row r="1018" spans="1:1" x14ac:dyDescent="0.25">
      <c r="A1018" s="54" t="str">
        <f>LEFT('Liste des étudiants'!$W1018,3)</f>
        <v>514</v>
      </c>
    </row>
    <row r="1019" spans="1:1" x14ac:dyDescent="0.25">
      <c r="A1019" s="54" t="str">
        <f>LEFT('Liste des étudiants'!$W1019,3)</f>
        <v>514</v>
      </c>
    </row>
    <row r="1020" spans="1:1" x14ac:dyDescent="0.25">
      <c r="A1020" s="54" t="str">
        <f>LEFT('Liste des étudiants'!$W1020,3)</f>
        <v>514</v>
      </c>
    </row>
    <row r="1021" spans="1:1" x14ac:dyDescent="0.25">
      <c r="A1021" s="54" t="str">
        <f>LEFT('Liste des étudiants'!$W1021,3)</f>
        <v>514</v>
      </c>
    </row>
    <row r="1022" spans="1:1" x14ac:dyDescent="0.25">
      <c r="A1022" s="54" t="str">
        <f>LEFT('Liste des étudiants'!$W1022,3)</f>
        <v>514</v>
      </c>
    </row>
    <row r="1023" spans="1:1" x14ac:dyDescent="0.25">
      <c r="A1023" s="54" t="str">
        <f>LEFT('Liste des étudiants'!$W1023,3)</f>
        <v>514</v>
      </c>
    </row>
    <row r="1024" spans="1:1" x14ac:dyDescent="0.25">
      <c r="A1024" s="54" t="str">
        <f>LEFT('Liste des étudiants'!$W1024,3)</f>
        <v>514</v>
      </c>
    </row>
    <row r="1025" spans="1:1" x14ac:dyDescent="0.25">
      <c r="A1025" s="54" t="str">
        <f>LEFT('Liste des étudiants'!$W1025,3)</f>
        <v>514</v>
      </c>
    </row>
    <row r="1026" spans="1:1" x14ac:dyDescent="0.25">
      <c r="A1026" s="54" t="str">
        <f>LEFT('Liste des étudiants'!$W1026,3)</f>
        <v>450</v>
      </c>
    </row>
    <row r="1027" spans="1:1" x14ac:dyDescent="0.25">
      <c r="A1027" s="54" t="str">
        <f>LEFT('Liste des étudiants'!$W1027,3)</f>
        <v>514</v>
      </c>
    </row>
    <row r="1028" spans="1:1" x14ac:dyDescent="0.25">
      <c r="A1028" s="54" t="str">
        <f>LEFT('Liste des étudiants'!$W1028,3)</f>
        <v>450</v>
      </c>
    </row>
    <row r="1029" spans="1:1" x14ac:dyDescent="0.25">
      <c r="A1029" s="54" t="str">
        <f>LEFT('Liste des étudiants'!$W1029,3)</f>
        <v>514</v>
      </c>
    </row>
    <row r="1030" spans="1:1" x14ac:dyDescent="0.25">
      <c r="A1030" s="54" t="str">
        <f>LEFT('Liste des étudiants'!$W1030,3)</f>
        <v>514</v>
      </c>
    </row>
    <row r="1031" spans="1:1" x14ac:dyDescent="0.25">
      <c r="A1031" s="54" t="str">
        <f>LEFT('Liste des étudiants'!$W1031,3)</f>
        <v>450</v>
      </c>
    </row>
    <row r="1032" spans="1:1" x14ac:dyDescent="0.25">
      <c r="A1032" s="54" t="str">
        <f>LEFT('Liste des étudiants'!$W1032,3)</f>
        <v>514</v>
      </c>
    </row>
    <row r="1033" spans="1:1" x14ac:dyDescent="0.25">
      <c r="A1033" s="54" t="str">
        <f>LEFT('Liste des étudiants'!$W1033,3)</f>
        <v>514</v>
      </c>
    </row>
    <row r="1034" spans="1:1" x14ac:dyDescent="0.25">
      <c r="A1034" s="54" t="str">
        <f>LEFT('Liste des étudiants'!$W1034,3)</f>
        <v>514</v>
      </c>
    </row>
    <row r="1035" spans="1:1" x14ac:dyDescent="0.25">
      <c r="A1035" s="54" t="str">
        <f>LEFT('Liste des étudiants'!$W1035,3)</f>
        <v>514</v>
      </c>
    </row>
    <row r="1036" spans="1:1" x14ac:dyDescent="0.25">
      <c r="A1036" s="54" t="str">
        <f>LEFT('Liste des étudiants'!$W1036,3)</f>
        <v>514</v>
      </c>
    </row>
    <row r="1037" spans="1:1" x14ac:dyDescent="0.25">
      <c r="A1037" s="54" t="str">
        <f>LEFT('Liste des étudiants'!$W1037,3)</f>
        <v>514</v>
      </c>
    </row>
    <row r="1038" spans="1:1" x14ac:dyDescent="0.25">
      <c r="A1038" s="54" t="str">
        <f>LEFT('Liste des étudiants'!$W1038,3)</f>
        <v>514</v>
      </c>
    </row>
    <row r="1039" spans="1:1" x14ac:dyDescent="0.25">
      <c r="A1039" s="54" t="str">
        <f>LEFT('Liste des étudiants'!$W1039,3)</f>
        <v>514</v>
      </c>
    </row>
    <row r="1040" spans="1:1" x14ac:dyDescent="0.25">
      <c r="A1040" s="54" t="str">
        <f>LEFT('Liste des étudiants'!$W1040,3)</f>
        <v>514</v>
      </c>
    </row>
    <row r="1041" spans="1:1" x14ac:dyDescent="0.25">
      <c r="A1041" s="54" t="str">
        <f>LEFT('Liste des étudiants'!$W1041,3)</f>
        <v>514</v>
      </c>
    </row>
    <row r="1042" spans="1:1" x14ac:dyDescent="0.25">
      <c r="A1042" s="54" t="str">
        <f>LEFT('Liste des étudiants'!$W1042,3)</f>
        <v>514</v>
      </c>
    </row>
    <row r="1043" spans="1:1" x14ac:dyDescent="0.25">
      <c r="A1043" s="54" t="str">
        <f>LEFT('Liste des étudiants'!$W1043,3)</f>
        <v>514</v>
      </c>
    </row>
    <row r="1044" spans="1:1" x14ac:dyDescent="0.25">
      <c r="A1044" s="54" t="str">
        <f>LEFT('Liste des étudiants'!$W1044,3)</f>
        <v>514</v>
      </c>
    </row>
    <row r="1045" spans="1:1" x14ac:dyDescent="0.25">
      <c r="A1045" s="54" t="str">
        <f>LEFT('Liste des étudiants'!$W1045,3)</f>
        <v>514</v>
      </c>
    </row>
    <row r="1046" spans="1:1" x14ac:dyDescent="0.25">
      <c r="A1046" s="54" t="str">
        <f>LEFT('Liste des étudiants'!$W1046,3)</f>
        <v>514</v>
      </c>
    </row>
    <row r="1047" spans="1:1" x14ac:dyDescent="0.25">
      <c r="A1047" s="54" t="str">
        <f>LEFT('Liste des étudiants'!$W1047,3)</f>
        <v>450</v>
      </c>
    </row>
    <row r="1048" spans="1:1" x14ac:dyDescent="0.25">
      <c r="A1048" s="54" t="str">
        <f>LEFT('Liste des étudiants'!$W1048,3)</f>
        <v>514</v>
      </c>
    </row>
    <row r="1049" spans="1:1" x14ac:dyDescent="0.25">
      <c r="A1049" s="54" t="str">
        <f>LEFT('Liste des étudiants'!$W1049,3)</f>
        <v>514</v>
      </c>
    </row>
    <row r="1050" spans="1:1" x14ac:dyDescent="0.25">
      <c r="A1050" s="54" t="str">
        <f>LEFT('Liste des étudiants'!$W1050,3)</f>
        <v>514</v>
      </c>
    </row>
    <row r="1051" spans="1:1" x14ac:dyDescent="0.25">
      <c r="A1051" s="54" t="str">
        <f>LEFT('Liste des étudiants'!$W1051,3)</f>
        <v>514</v>
      </c>
    </row>
    <row r="1052" spans="1:1" x14ac:dyDescent="0.25">
      <c r="A1052" s="54" t="str">
        <f>LEFT('Liste des étudiants'!$W1052,3)</f>
        <v>514</v>
      </c>
    </row>
    <row r="1053" spans="1:1" x14ac:dyDescent="0.25">
      <c r="A1053" s="54" t="str">
        <f>LEFT('Liste des étudiants'!$W1053,3)</f>
        <v>514</v>
      </c>
    </row>
    <row r="1054" spans="1:1" x14ac:dyDescent="0.25">
      <c r="A1054" s="54" t="str">
        <f>LEFT('Liste des étudiants'!$W1054,3)</f>
        <v>514</v>
      </c>
    </row>
    <row r="1055" spans="1:1" x14ac:dyDescent="0.25">
      <c r="A1055" s="54" t="str">
        <f>LEFT('Liste des étudiants'!$W1055,3)</f>
        <v>514</v>
      </c>
    </row>
    <row r="1056" spans="1:1" x14ac:dyDescent="0.25">
      <c r="A1056" s="54" t="str">
        <f>LEFT('Liste des étudiants'!$W1056,3)</f>
        <v>450</v>
      </c>
    </row>
    <row r="1057" spans="1:1" x14ac:dyDescent="0.25">
      <c r="A1057" s="54" t="str">
        <f>LEFT('Liste des étudiants'!$W1057,3)</f>
        <v>514</v>
      </c>
    </row>
    <row r="1058" spans="1:1" x14ac:dyDescent="0.25">
      <c r="A1058" s="54" t="str">
        <f>LEFT('Liste des étudiants'!$W1058,3)</f>
        <v>514</v>
      </c>
    </row>
    <row r="1059" spans="1:1" x14ac:dyDescent="0.25">
      <c r="A1059" s="54" t="str">
        <f>LEFT('Liste des étudiants'!$W1059,3)</f>
        <v>514</v>
      </c>
    </row>
    <row r="1060" spans="1:1" x14ac:dyDescent="0.25">
      <c r="A1060" s="54" t="str">
        <f>LEFT('Liste des étudiants'!$W1060,3)</f>
        <v>450</v>
      </c>
    </row>
    <row r="1061" spans="1:1" x14ac:dyDescent="0.25">
      <c r="A1061" s="54" t="str">
        <f>LEFT('Liste des étudiants'!$W1061,3)</f>
        <v>514</v>
      </c>
    </row>
    <row r="1062" spans="1:1" x14ac:dyDescent="0.25">
      <c r="A1062" s="54" t="str">
        <f>LEFT('Liste des étudiants'!$W1062,3)</f>
        <v>514</v>
      </c>
    </row>
    <row r="1063" spans="1:1" x14ac:dyDescent="0.25">
      <c r="A1063" s="54" t="str">
        <f>LEFT('Liste des étudiants'!$W1063,3)</f>
        <v>514</v>
      </c>
    </row>
    <row r="1064" spans="1:1" x14ac:dyDescent="0.25">
      <c r="A1064" s="54" t="str">
        <f>LEFT('Liste des étudiants'!$W1064,3)</f>
        <v>514</v>
      </c>
    </row>
    <row r="1065" spans="1:1" x14ac:dyDescent="0.25">
      <c r="A1065" s="54" t="str">
        <f>LEFT('Liste des étudiants'!$W1065,3)</f>
        <v>514</v>
      </c>
    </row>
    <row r="1066" spans="1:1" x14ac:dyDescent="0.25">
      <c r="A1066" s="54" t="str">
        <f>LEFT('Liste des étudiants'!$W1066,3)</f>
        <v>514</v>
      </c>
    </row>
    <row r="1067" spans="1:1" x14ac:dyDescent="0.25">
      <c r="A1067" s="54" t="str">
        <f>LEFT('Liste des étudiants'!$W1067,3)</f>
        <v>514</v>
      </c>
    </row>
    <row r="1068" spans="1:1" x14ac:dyDescent="0.25">
      <c r="A1068" s="54" t="str">
        <f>LEFT('Liste des étudiants'!$W1068,3)</f>
        <v>450</v>
      </c>
    </row>
    <row r="1069" spans="1:1" x14ac:dyDescent="0.25">
      <c r="A1069" s="54" t="str">
        <f>LEFT('Liste des étudiants'!$W1069,3)</f>
        <v>514</v>
      </c>
    </row>
    <row r="1070" spans="1:1" x14ac:dyDescent="0.25">
      <c r="A1070" s="54" t="str">
        <f>LEFT('Liste des étudiants'!$W1070,3)</f>
        <v>514</v>
      </c>
    </row>
    <row r="1071" spans="1:1" x14ac:dyDescent="0.25">
      <c r="A1071" s="54" t="str">
        <f>LEFT('Liste des étudiants'!$W1071,3)</f>
        <v>514</v>
      </c>
    </row>
    <row r="1072" spans="1:1" x14ac:dyDescent="0.25">
      <c r="A1072" s="54" t="str">
        <f>LEFT('Liste des étudiants'!$W1072,3)</f>
        <v>514</v>
      </c>
    </row>
    <row r="1073" spans="1:1" x14ac:dyDescent="0.25">
      <c r="A1073" s="54" t="str">
        <f>LEFT('Liste des étudiants'!$W1073,3)</f>
        <v>514</v>
      </c>
    </row>
    <row r="1074" spans="1:1" x14ac:dyDescent="0.25">
      <c r="A1074" s="54" t="str">
        <f>LEFT('Liste des étudiants'!$W1074,3)</f>
        <v>514</v>
      </c>
    </row>
    <row r="1075" spans="1:1" x14ac:dyDescent="0.25">
      <c r="A1075" s="54" t="str">
        <f>LEFT('Liste des étudiants'!$W1075,3)</f>
        <v>514</v>
      </c>
    </row>
    <row r="1076" spans="1:1" x14ac:dyDescent="0.25">
      <c r="A1076" s="54" t="str">
        <f>LEFT('Liste des étudiants'!$W1076,3)</f>
        <v>514</v>
      </c>
    </row>
    <row r="1077" spans="1:1" x14ac:dyDescent="0.25">
      <c r="A1077" s="54" t="str">
        <f>LEFT('Liste des étudiants'!$W1077,3)</f>
        <v>514</v>
      </c>
    </row>
    <row r="1078" spans="1:1" x14ac:dyDescent="0.25">
      <c r="A1078" s="54" t="str">
        <f>LEFT('Liste des étudiants'!$W1078,3)</f>
        <v>514</v>
      </c>
    </row>
    <row r="1079" spans="1:1" x14ac:dyDescent="0.25">
      <c r="A1079" s="54" t="str">
        <f>LEFT('Liste des étudiants'!$W1079,3)</f>
        <v>514</v>
      </c>
    </row>
    <row r="1080" spans="1:1" x14ac:dyDescent="0.25">
      <c r="A1080" s="54" t="str">
        <f>LEFT('Liste des étudiants'!$W1080,3)</f>
        <v>514</v>
      </c>
    </row>
    <row r="1081" spans="1:1" x14ac:dyDescent="0.25">
      <c r="A1081" s="54" t="str">
        <f>LEFT('Liste des étudiants'!$W1081,3)</f>
        <v>514</v>
      </c>
    </row>
    <row r="1082" spans="1:1" x14ac:dyDescent="0.25">
      <c r="A1082" s="54" t="str">
        <f>LEFT('Liste des étudiants'!$W1082,3)</f>
        <v>514</v>
      </c>
    </row>
    <row r="1083" spans="1:1" x14ac:dyDescent="0.25">
      <c r="A1083" s="54" t="str">
        <f>LEFT('Liste des étudiants'!$W1083,3)</f>
        <v>514</v>
      </c>
    </row>
    <row r="1084" spans="1:1" x14ac:dyDescent="0.25">
      <c r="A1084" s="54" t="str">
        <f>LEFT('Liste des étudiants'!$W1084,3)</f>
        <v>514</v>
      </c>
    </row>
    <row r="1085" spans="1:1" x14ac:dyDescent="0.25">
      <c r="A1085" s="54" t="str">
        <f>LEFT('Liste des étudiants'!$W1085,3)</f>
        <v>514</v>
      </c>
    </row>
    <row r="1086" spans="1:1" x14ac:dyDescent="0.25">
      <c r="A1086" s="54" t="str">
        <f>LEFT('Liste des étudiants'!$W1086,3)</f>
        <v>514</v>
      </c>
    </row>
    <row r="1087" spans="1:1" x14ac:dyDescent="0.25">
      <c r="A1087" s="54" t="str">
        <f>LEFT('Liste des étudiants'!$W1087,3)</f>
        <v>514</v>
      </c>
    </row>
    <row r="1088" spans="1:1" x14ac:dyDescent="0.25">
      <c r="A1088" s="54" t="str">
        <f>LEFT('Liste des étudiants'!$W1088,3)</f>
        <v>514</v>
      </c>
    </row>
    <row r="1089" spans="1:1" x14ac:dyDescent="0.25">
      <c r="A1089" s="54" t="str">
        <f>LEFT('Liste des étudiants'!$W1089,3)</f>
        <v>514</v>
      </c>
    </row>
    <row r="1090" spans="1:1" x14ac:dyDescent="0.25">
      <c r="A1090" s="54" t="str">
        <f>LEFT('Liste des étudiants'!$W1090,3)</f>
        <v>450</v>
      </c>
    </row>
    <row r="1091" spans="1:1" x14ac:dyDescent="0.25">
      <c r="A1091" s="54" t="str">
        <f>LEFT('Liste des étudiants'!$W1091,3)</f>
        <v>514</v>
      </c>
    </row>
    <row r="1092" spans="1:1" x14ac:dyDescent="0.25">
      <c r="A1092" s="54" t="str">
        <f>LEFT('Liste des étudiants'!$W1092,3)</f>
        <v>514</v>
      </c>
    </row>
    <row r="1093" spans="1:1" x14ac:dyDescent="0.25">
      <c r="A1093" s="54" t="str">
        <f>LEFT('Liste des étudiants'!$W1093,3)</f>
        <v>514</v>
      </c>
    </row>
    <row r="1094" spans="1:1" x14ac:dyDescent="0.25">
      <c r="A1094" s="54" t="str">
        <f>LEFT('Liste des étudiants'!$W1094,3)</f>
        <v>514</v>
      </c>
    </row>
    <row r="1095" spans="1:1" x14ac:dyDescent="0.25">
      <c r="A1095" s="54" t="str">
        <f>LEFT('Liste des étudiants'!$W1095,3)</f>
        <v>514</v>
      </c>
    </row>
    <row r="1096" spans="1:1" x14ac:dyDescent="0.25">
      <c r="A1096" s="54" t="str">
        <f>LEFT('Liste des étudiants'!$W1096,3)</f>
        <v>514</v>
      </c>
    </row>
    <row r="1097" spans="1:1" x14ac:dyDescent="0.25">
      <c r="A1097" s="54" t="str">
        <f>LEFT('Liste des étudiants'!$W1097,3)</f>
        <v>514</v>
      </c>
    </row>
    <row r="1098" spans="1:1" x14ac:dyDescent="0.25">
      <c r="A1098" s="54" t="str">
        <f>LEFT('Liste des étudiants'!$W1098,3)</f>
        <v>450</v>
      </c>
    </row>
    <row r="1099" spans="1:1" x14ac:dyDescent="0.25">
      <c r="A1099" s="54" t="str">
        <f>LEFT('Liste des étudiants'!$W1099,3)</f>
        <v>514</v>
      </c>
    </row>
    <row r="1100" spans="1:1" x14ac:dyDescent="0.25">
      <c r="A1100" s="54" t="str">
        <f>LEFT('Liste des étudiants'!$W1100,3)</f>
        <v>514</v>
      </c>
    </row>
    <row r="1101" spans="1:1" x14ac:dyDescent="0.25">
      <c r="A1101" s="54" t="str">
        <f>LEFT('Liste des étudiants'!$W1101,3)</f>
        <v>514</v>
      </c>
    </row>
    <row r="1102" spans="1:1" x14ac:dyDescent="0.25">
      <c r="A1102" s="54" t="str">
        <f>LEFT('Liste des étudiants'!$W1102,3)</f>
        <v>514</v>
      </c>
    </row>
    <row r="1103" spans="1:1" x14ac:dyDescent="0.25">
      <c r="A1103" s="54" t="str">
        <f>LEFT('Liste des étudiants'!$W1103,3)</f>
        <v>514</v>
      </c>
    </row>
    <row r="1104" spans="1:1" x14ac:dyDescent="0.25">
      <c r="A1104" s="54" t="str">
        <f>LEFT('Liste des étudiants'!$W1104,3)</f>
        <v>514</v>
      </c>
    </row>
    <row r="1105" spans="1:1" x14ac:dyDescent="0.25">
      <c r="A1105" s="54" t="str">
        <f>LEFT('Liste des étudiants'!$W1105,3)</f>
        <v>514</v>
      </c>
    </row>
    <row r="1106" spans="1:1" x14ac:dyDescent="0.25">
      <c r="A1106" s="54" t="str">
        <f>LEFT('Liste des étudiants'!$W1106,3)</f>
        <v>514</v>
      </c>
    </row>
    <row r="1107" spans="1:1" x14ac:dyDescent="0.25">
      <c r="A1107" s="54" t="str">
        <f>LEFT('Liste des étudiants'!$W1107,3)</f>
        <v>514</v>
      </c>
    </row>
    <row r="1108" spans="1:1" x14ac:dyDescent="0.25">
      <c r="A1108" s="54" t="str">
        <f>LEFT('Liste des étudiants'!$W1108,3)</f>
        <v>514</v>
      </c>
    </row>
    <row r="1109" spans="1:1" x14ac:dyDescent="0.25">
      <c r="A1109" s="54" t="str">
        <f>LEFT('Liste des étudiants'!$W1109,3)</f>
        <v>450</v>
      </c>
    </row>
    <row r="1110" spans="1:1" x14ac:dyDescent="0.25">
      <c r="A1110" s="54" t="str">
        <f>LEFT('Liste des étudiants'!$W1110,3)</f>
        <v>514</v>
      </c>
    </row>
    <row r="1111" spans="1:1" x14ac:dyDescent="0.25">
      <c r="A1111" s="54" t="str">
        <f>LEFT('Liste des étudiants'!$W1111,3)</f>
        <v>514</v>
      </c>
    </row>
    <row r="1112" spans="1:1" x14ac:dyDescent="0.25">
      <c r="A1112" s="54" t="str">
        <f>LEFT('Liste des étudiants'!$W1112,3)</f>
        <v>514</v>
      </c>
    </row>
    <row r="1113" spans="1:1" x14ac:dyDescent="0.25">
      <c r="A1113" s="54" t="str">
        <f>LEFT('Liste des étudiants'!$W1113,3)</f>
        <v>450</v>
      </c>
    </row>
    <row r="1114" spans="1:1" x14ac:dyDescent="0.25">
      <c r="A1114" s="54" t="str">
        <f>LEFT('Liste des étudiants'!$W1114,3)</f>
        <v>514</v>
      </c>
    </row>
    <row r="1115" spans="1:1" x14ac:dyDescent="0.25">
      <c r="A1115" s="54" t="str">
        <f>LEFT('Liste des étudiants'!$W1115,3)</f>
        <v>514</v>
      </c>
    </row>
    <row r="1116" spans="1:1" x14ac:dyDescent="0.25">
      <c r="A1116" s="54" t="str">
        <f>LEFT('Liste des étudiants'!$W1116,3)</f>
        <v>514</v>
      </c>
    </row>
    <row r="1117" spans="1:1" x14ac:dyDescent="0.25">
      <c r="A1117" s="54" t="str">
        <f>LEFT('Liste des étudiants'!$W1117,3)</f>
        <v>514</v>
      </c>
    </row>
    <row r="1118" spans="1:1" x14ac:dyDescent="0.25">
      <c r="A1118" s="54" t="str">
        <f>LEFT('Liste des étudiants'!$W1118,3)</f>
        <v>514</v>
      </c>
    </row>
    <row r="1119" spans="1:1" x14ac:dyDescent="0.25">
      <c r="A1119" s="54" t="str">
        <f>LEFT('Liste des étudiants'!$W1119,3)</f>
        <v>514</v>
      </c>
    </row>
    <row r="1120" spans="1:1" x14ac:dyDescent="0.25">
      <c r="A1120" s="54" t="str">
        <f>LEFT('Liste des étudiants'!$W1120,3)</f>
        <v>514</v>
      </c>
    </row>
    <row r="1121" spans="1:1" x14ac:dyDescent="0.25">
      <c r="A1121" s="54" t="str">
        <f>LEFT('Liste des étudiants'!$W1121,3)</f>
        <v>514</v>
      </c>
    </row>
    <row r="1122" spans="1:1" x14ac:dyDescent="0.25">
      <c r="A1122" s="54" t="str">
        <f>LEFT('Liste des étudiants'!$W1122,3)</f>
        <v>514</v>
      </c>
    </row>
    <row r="1123" spans="1:1" x14ac:dyDescent="0.25">
      <c r="A1123" s="54" t="str">
        <f>LEFT('Liste des étudiants'!$W1123,3)</f>
        <v>514</v>
      </c>
    </row>
    <row r="1124" spans="1:1" x14ac:dyDescent="0.25">
      <c r="A1124" s="54" t="str">
        <f>LEFT('Liste des étudiants'!$W1124,3)</f>
        <v>514</v>
      </c>
    </row>
    <row r="1125" spans="1:1" x14ac:dyDescent="0.25">
      <c r="A1125" s="54" t="str">
        <f>LEFT('Liste des étudiants'!$W1125,3)</f>
        <v>514</v>
      </c>
    </row>
    <row r="1126" spans="1:1" x14ac:dyDescent="0.25">
      <c r="A1126" s="54" t="str">
        <f>LEFT('Liste des étudiants'!$W1126,3)</f>
        <v>514</v>
      </c>
    </row>
    <row r="1127" spans="1:1" x14ac:dyDescent="0.25">
      <c r="A1127" s="54" t="str">
        <f>LEFT('Liste des étudiants'!$W1127,3)</f>
        <v>514</v>
      </c>
    </row>
    <row r="1128" spans="1:1" x14ac:dyDescent="0.25">
      <c r="A1128" s="54" t="str">
        <f>LEFT('Liste des étudiants'!$W1128,3)</f>
        <v>514</v>
      </c>
    </row>
    <row r="1129" spans="1:1" x14ac:dyDescent="0.25">
      <c r="A1129" s="54" t="str">
        <f>LEFT('Liste des étudiants'!$W1129,3)</f>
        <v>514</v>
      </c>
    </row>
    <row r="1130" spans="1:1" x14ac:dyDescent="0.25">
      <c r="A1130" s="54" t="str">
        <f>LEFT('Liste des étudiants'!$W1130,3)</f>
        <v>514</v>
      </c>
    </row>
    <row r="1131" spans="1:1" x14ac:dyDescent="0.25">
      <c r="A1131" s="54" t="str">
        <f>LEFT('Liste des étudiants'!$W1131,3)</f>
        <v>514</v>
      </c>
    </row>
    <row r="1132" spans="1:1" x14ac:dyDescent="0.25">
      <c r="A1132" s="54" t="str">
        <f>LEFT('Liste des étudiants'!$W1132,3)</f>
        <v>514</v>
      </c>
    </row>
    <row r="1133" spans="1:1" x14ac:dyDescent="0.25">
      <c r="A1133" s="54" t="str">
        <f>LEFT('Liste des étudiants'!$W1133,3)</f>
        <v>514</v>
      </c>
    </row>
    <row r="1134" spans="1:1" x14ac:dyDescent="0.25">
      <c r="A1134" s="54" t="str">
        <f>LEFT('Liste des étudiants'!$W1134,3)</f>
        <v>514</v>
      </c>
    </row>
    <row r="1135" spans="1:1" x14ac:dyDescent="0.25">
      <c r="A1135" s="54" t="str">
        <f>LEFT('Liste des étudiants'!$W1135,3)</f>
        <v>514</v>
      </c>
    </row>
    <row r="1136" spans="1:1" x14ac:dyDescent="0.25">
      <c r="A1136" s="54" t="str">
        <f>LEFT('Liste des étudiants'!$W1136,3)</f>
        <v>514</v>
      </c>
    </row>
    <row r="1137" spans="1:1" x14ac:dyDescent="0.25">
      <c r="A1137" s="54" t="str">
        <f>LEFT('Liste des étudiants'!$W1137,3)</f>
        <v>514</v>
      </c>
    </row>
    <row r="1138" spans="1:1" x14ac:dyDescent="0.25">
      <c r="A1138" s="54" t="str">
        <f>LEFT('Liste des étudiants'!$W1138,3)</f>
        <v>514</v>
      </c>
    </row>
    <row r="1139" spans="1:1" x14ac:dyDescent="0.25">
      <c r="A1139" s="54" t="str">
        <f>LEFT('Liste des étudiants'!$W1139,3)</f>
        <v>450</v>
      </c>
    </row>
    <row r="1140" spans="1:1" x14ac:dyDescent="0.25">
      <c r="A1140" s="54" t="str">
        <f>LEFT('Liste des étudiants'!$W1140,3)</f>
        <v>514</v>
      </c>
    </row>
    <row r="1141" spans="1:1" x14ac:dyDescent="0.25">
      <c r="A1141" s="54" t="str">
        <f>LEFT('Liste des étudiants'!$W1141,3)</f>
        <v>514</v>
      </c>
    </row>
    <row r="1142" spans="1:1" x14ac:dyDescent="0.25">
      <c r="A1142" s="54" t="str">
        <f>LEFT('Liste des étudiants'!$W1142,3)</f>
        <v>514</v>
      </c>
    </row>
    <row r="1143" spans="1:1" x14ac:dyDescent="0.25">
      <c r="A1143" s="54" t="str">
        <f>LEFT('Liste des étudiants'!$W1143,3)</f>
        <v>514</v>
      </c>
    </row>
    <row r="1144" spans="1:1" x14ac:dyDescent="0.25">
      <c r="A1144" s="54" t="str">
        <f>LEFT('Liste des étudiants'!$W1144,3)</f>
        <v>514</v>
      </c>
    </row>
    <row r="1145" spans="1:1" x14ac:dyDescent="0.25">
      <c r="A1145" s="54" t="str">
        <f>LEFT('Liste des étudiants'!$W1145,3)</f>
        <v>514</v>
      </c>
    </row>
    <row r="1146" spans="1:1" x14ac:dyDescent="0.25">
      <c r="A1146" s="54" t="str">
        <f>LEFT('Liste des étudiants'!$W1146,3)</f>
        <v>450</v>
      </c>
    </row>
    <row r="1147" spans="1:1" x14ac:dyDescent="0.25">
      <c r="A1147" s="54" t="str">
        <f>LEFT('Liste des étudiants'!$W1147,3)</f>
        <v>514</v>
      </c>
    </row>
    <row r="1148" spans="1:1" x14ac:dyDescent="0.25">
      <c r="A1148" s="54" t="str">
        <f>LEFT('Liste des étudiants'!$W1148,3)</f>
        <v>450</v>
      </c>
    </row>
    <row r="1149" spans="1:1" x14ac:dyDescent="0.25">
      <c r="A1149" s="54" t="str">
        <f>LEFT('Liste des étudiants'!$W1149,3)</f>
        <v>514</v>
      </c>
    </row>
    <row r="1150" spans="1:1" x14ac:dyDescent="0.25">
      <c r="A1150" s="54" t="str">
        <f>LEFT('Liste des étudiants'!$W1150,3)</f>
        <v>514</v>
      </c>
    </row>
    <row r="1151" spans="1:1" x14ac:dyDescent="0.25">
      <c r="A1151" s="54" t="str">
        <f>LEFT('Liste des étudiants'!$W1151,3)</f>
        <v>514</v>
      </c>
    </row>
    <row r="1152" spans="1:1" x14ac:dyDescent="0.25">
      <c r="A1152" s="54" t="str">
        <f>LEFT('Liste des étudiants'!$W1152,3)</f>
        <v>514</v>
      </c>
    </row>
    <row r="1153" spans="1:1" x14ac:dyDescent="0.25">
      <c r="A1153" s="54" t="str">
        <f>LEFT('Liste des étudiants'!$W1153,3)</f>
        <v>514</v>
      </c>
    </row>
    <row r="1154" spans="1:1" x14ac:dyDescent="0.25">
      <c r="A1154" s="54" t="str">
        <f>LEFT('Liste des étudiants'!$W1154,3)</f>
        <v>514</v>
      </c>
    </row>
    <row r="1155" spans="1:1" x14ac:dyDescent="0.25">
      <c r="A1155" s="54" t="str">
        <f>LEFT('Liste des étudiants'!$W1155,3)</f>
        <v>514</v>
      </c>
    </row>
    <row r="1156" spans="1:1" x14ac:dyDescent="0.25">
      <c r="A1156" s="54" t="str">
        <f>LEFT('Liste des étudiants'!$W1156,3)</f>
        <v>514</v>
      </c>
    </row>
    <row r="1157" spans="1:1" x14ac:dyDescent="0.25">
      <c r="A1157" s="54" t="str">
        <f>LEFT('Liste des étudiants'!$W1157,3)</f>
        <v>514</v>
      </c>
    </row>
    <row r="1158" spans="1:1" x14ac:dyDescent="0.25">
      <c r="A1158" s="54" t="str">
        <f>LEFT('Liste des étudiants'!$W1158,3)</f>
        <v>514</v>
      </c>
    </row>
    <row r="1159" spans="1:1" x14ac:dyDescent="0.25">
      <c r="A1159" s="54" t="str">
        <f>LEFT('Liste des étudiants'!$W1159,3)</f>
        <v>514</v>
      </c>
    </row>
    <row r="1160" spans="1:1" x14ac:dyDescent="0.25">
      <c r="A1160" s="54" t="str">
        <f>LEFT('Liste des étudiants'!$W1160,3)</f>
        <v>514</v>
      </c>
    </row>
    <row r="1161" spans="1:1" x14ac:dyDescent="0.25">
      <c r="A1161" s="54" t="str">
        <f>LEFT('Liste des étudiants'!$W1161,3)</f>
        <v>514</v>
      </c>
    </row>
    <row r="1162" spans="1:1" x14ac:dyDescent="0.25">
      <c r="A1162" s="54" t="str">
        <f>LEFT('Liste des étudiants'!$W1162,3)</f>
        <v>514</v>
      </c>
    </row>
    <row r="1163" spans="1:1" x14ac:dyDescent="0.25">
      <c r="A1163" s="54" t="str">
        <f>LEFT('Liste des étudiants'!$W1163,3)</f>
        <v>450</v>
      </c>
    </row>
    <row r="1164" spans="1:1" x14ac:dyDescent="0.25">
      <c r="A1164" s="54" t="str">
        <f>LEFT('Liste des étudiants'!$W1164,3)</f>
        <v>514</v>
      </c>
    </row>
    <row r="1165" spans="1:1" x14ac:dyDescent="0.25">
      <c r="A1165" s="54" t="str">
        <f>LEFT('Liste des étudiants'!$W1165,3)</f>
        <v>514</v>
      </c>
    </row>
    <row r="1166" spans="1:1" x14ac:dyDescent="0.25">
      <c r="A1166" s="54" t="str">
        <f>LEFT('Liste des étudiants'!$W1166,3)</f>
        <v>514</v>
      </c>
    </row>
    <row r="1167" spans="1:1" x14ac:dyDescent="0.25">
      <c r="A1167" s="54" t="str">
        <f>LEFT('Liste des étudiants'!$W1167,3)</f>
        <v>514</v>
      </c>
    </row>
    <row r="1168" spans="1:1" x14ac:dyDescent="0.25">
      <c r="A1168" s="54" t="str">
        <f>LEFT('Liste des étudiants'!$W1168,3)</f>
        <v>450</v>
      </c>
    </row>
    <row r="1169" spans="1:1" x14ac:dyDescent="0.25">
      <c r="A1169" s="54" t="str">
        <f>LEFT('Liste des étudiants'!$W1169,3)</f>
        <v>514</v>
      </c>
    </row>
    <row r="1170" spans="1:1" x14ac:dyDescent="0.25">
      <c r="A1170" s="54" t="str">
        <f>LEFT('Liste des étudiants'!$W1170,3)</f>
        <v>514</v>
      </c>
    </row>
    <row r="1171" spans="1:1" x14ac:dyDescent="0.25">
      <c r="A1171" s="54" t="str">
        <f>LEFT('Liste des étudiants'!$W1171,3)</f>
        <v>514</v>
      </c>
    </row>
    <row r="1172" spans="1:1" x14ac:dyDescent="0.25">
      <c r="A1172" s="54" t="str">
        <f>LEFT('Liste des étudiants'!$W1172,3)</f>
        <v>514</v>
      </c>
    </row>
    <row r="1173" spans="1:1" x14ac:dyDescent="0.25">
      <c r="A1173" s="54" t="str">
        <f>LEFT('Liste des étudiants'!$W1173,3)</f>
        <v>514</v>
      </c>
    </row>
    <row r="1174" spans="1:1" x14ac:dyDescent="0.25">
      <c r="A1174" s="54" t="str">
        <f>LEFT('Liste des étudiants'!$W1174,3)</f>
        <v>514</v>
      </c>
    </row>
    <row r="1175" spans="1:1" x14ac:dyDescent="0.25">
      <c r="A1175" s="54" t="str">
        <f>LEFT('Liste des étudiants'!$W1175,3)</f>
        <v>514</v>
      </c>
    </row>
    <row r="1176" spans="1:1" x14ac:dyDescent="0.25">
      <c r="A1176" s="54" t="str">
        <f>LEFT('Liste des étudiants'!$W1176,3)</f>
        <v>514</v>
      </c>
    </row>
    <row r="1177" spans="1:1" x14ac:dyDescent="0.25">
      <c r="A1177" s="54" t="str">
        <f>LEFT('Liste des étudiants'!$W1177,3)</f>
        <v>514</v>
      </c>
    </row>
    <row r="1178" spans="1:1" x14ac:dyDescent="0.25">
      <c r="A1178" s="54" t="str">
        <f>LEFT('Liste des étudiants'!$W1178,3)</f>
        <v>514</v>
      </c>
    </row>
    <row r="1179" spans="1:1" x14ac:dyDescent="0.25">
      <c r="A1179" s="54" t="str">
        <f>LEFT('Liste des étudiants'!$W1179,3)</f>
        <v>514</v>
      </c>
    </row>
    <row r="1180" spans="1:1" x14ac:dyDescent="0.25">
      <c r="A1180" s="54" t="str">
        <f>LEFT('Liste des étudiants'!$W1180,3)</f>
        <v>514</v>
      </c>
    </row>
    <row r="1181" spans="1:1" x14ac:dyDescent="0.25">
      <c r="A1181" s="54" t="str">
        <f>LEFT('Liste des étudiants'!$W1181,3)</f>
        <v>514</v>
      </c>
    </row>
    <row r="1182" spans="1:1" x14ac:dyDescent="0.25">
      <c r="A1182" s="54" t="str">
        <f>LEFT('Liste des étudiants'!$W1182,3)</f>
        <v>514</v>
      </c>
    </row>
    <row r="1183" spans="1:1" x14ac:dyDescent="0.25">
      <c r="A1183" s="54" t="str">
        <f>LEFT('Liste des étudiants'!$W1183,3)</f>
        <v>514</v>
      </c>
    </row>
    <row r="1184" spans="1:1" x14ac:dyDescent="0.25">
      <c r="A1184" s="54" t="str">
        <f>LEFT('Liste des étudiants'!$W1184,3)</f>
        <v>514</v>
      </c>
    </row>
    <row r="1185" spans="1:1" x14ac:dyDescent="0.25">
      <c r="A1185" s="54" t="str">
        <f>LEFT('Liste des étudiants'!$W1185,3)</f>
        <v>514</v>
      </c>
    </row>
    <row r="1186" spans="1:1" x14ac:dyDescent="0.25">
      <c r="A1186" s="54" t="str">
        <f>LEFT('Liste des étudiants'!$W1186,3)</f>
        <v>514</v>
      </c>
    </row>
    <row r="1187" spans="1:1" x14ac:dyDescent="0.25">
      <c r="A1187" s="54" t="str">
        <f>LEFT('Liste des étudiants'!$W1187,3)</f>
        <v>514</v>
      </c>
    </row>
    <row r="1188" spans="1:1" x14ac:dyDescent="0.25">
      <c r="A1188" s="54" t="str">
        <f>LEFT('Liste des étudiants'!$W1188,3)</f>
        <v>514</v>
      </c>
    </row>
    <row r="1189" spans="1:1" x14ac:dyDescent="0.25">
      <c r="A1189" s="54" t="str">
        <f>LEFT('Liste des étudiants'!$W1189,3)</f>
        <v>514</v>
      </c>
    </row>
    <row r="1190" spans="1:1" x14ac:dyDescent="0.25">
      <c r="A1190" s="54" t="str">
        <f>LEFT('Liste des étudiants'!$W1190,3)</f>
        <v>514</v>
      </c>
    </row>
    <row r="1191" spans="1:1" x14ac:dyDescent="0.25">
      <c r="A1191" s="54" t="str">
        <f>LEFT('Liste des étudiants'!$W1191,3)</f>
        <v>514</v>
      </c>
    </row>
    <row r="1192" spans="1:1" x14ac:dyDescent="0.25">
      <c r="A1192" s="54" t="str">
        <f>LEFT('Liste des étudiants'!$W1192,3)</f>
        <v>514</v>
      </c>
    </row>
    <row r="1193" spans="1:1" x14ac:dyDescent="0.25">
      <c r="A1193" s="54" t="str">
        <f>LEFT('Liste des étudiants'!$W1193,3)</f>
        <v>514</v>
      </c>
    </row>
    <row r="1194" spans="1:1" x14ac:dyDescent="0.25">
      <c r="A1194" s="54" t="str">
        <f>LEFT('Liste des étudiants'!$W1194,3)</f>
        <v>514</v>
      </c>
    </row>
    <row r="1195" spans="1:1" x14ac:dyDescent="0.25">
      <c r="A1195" s="54" t="str">
        <f>LEFT('Liste des étudiants'!$W1195,3)</f>
        <v>514</v>
      </c>
    </row>
    <row r="1196" spans="1:1" x14ac:dyDescent="0.25">
      <c r="A1196" s="54" t="str">
        <f>LEFT('Liste des étudiants'!$W1196,3)</f>
        <v>514</v>
      </c>
    </row>
    <row r="1197" spans="1:1" x14ac:dyDescent="0.25">
      <c r="A1197" s="54" t="str">
        <f>LEFT('Liste des étudiants'!$W1197,3)</f>
        <v>514</v>
      </c>
    </row>
    <row r="1198" spans="1:1" x14ac:dyDescent="0.25">
      <c r="A1198" s="54" t="str">
        <f>LEFT('Liste des étudiants'!$W1198,3)</f>
        <v>514</v>
      </c>
    </row>
    <row r="1199" spans="1:1" x14ac:dyDescent="0.25">
      <c r="A1199" s="54" t="str">
        <f>LEFT('Liste des étudiants'!$W1199,3)</f>
        <v>514</v>
      </c>
    </row>
    <row r="1200" spans="1:1" x14ac:dyDescent="0.25">
      <c r="A1200" s="54" t="str">
        <f>LEFT('Liste des étudiants'!$W1200,3)</f>
        <v>514</v>
      </c>
    </row>
    <row r="1201" spans="1:1" x14ac:dyDescent="0.25">
      <c r="A1201" s="54" t="str">
        <f>LEFT('Liste des étudiants'!$W1201,3)</f>
        <v>514</v>
      </c>
    </row>
    <row r="1202" spans="1:1" x14ac:dyDescent="0.25">
      <c r="A1202" s="54" t="str">
        <f>LEFT('Liste des étudiants'!$W1202,3)</f>
        <v>514</v>
      </c>
    </row>
    <row r="1203" spans="1:1" x14ac:dyDescent="0.25">
      <c r="A1203" s="54" t="str">
        <f>LEFT('Liste des étudiants'!$W1203,3)</f>
        <v>514</v>
      </c>
    </row>
    <row r="1204" spans="1:1" x14ac:dyDescent="0.25">
      <c r="A1204" s="54" t="str">
        <f>LEFT('Liste des étudiants'!$W1204,3)</f>
        <v>514</v>
      </c>
    </row>
    <row r="1205" spans="1:1" x14ac:dyDescent="0.25">
      <c r="A1205" s="54" t="str">
        <f>LEFT('Liste des étudiants'!$W1205,3)</f>
        <v>514</v>
      </c>
    </row>
    <row r="1206" spans="1:1" x14ac:dyDescent="0.25">
      <c r="A1206" s="54" t="str">
        <f>LEFT('Liste des étudiants'!$W1206,3)</f>
        <v>514</v>
      </c>
    </row>
    <row r="1207" spans="1:1" x14ac:dyDescent="0.25">
      <c r="A1207" s="54" t="str">
        <f>LEFT('Liste des étudiants'!$W1207,3)</f>
        <v>514</v>
      </c>
    </row>
    <row r="1208" spans="1:1" x14ac:dyDescent="0.25">
      <c r="A1208" s="54" t="str">
        <f>LEFT('Liste des étudiants'!$W1208,3)</f>
        <v>514</v>
      </c>
    </row>
    <row r="1209" spans="1:1" x14ac:dyDescent="0.25">
      <c r="A1209" s="54" t="str">
        <f>LEFT('Liste des étudiants'!$W1209,3)</f>
        <v>514</v>
      </c>
    </row>
    <row r="1210" spans="1:1" x14ac:dyDescent="0.25">
      <c r="A1210" s="54" t="str">
        <f>LEFT('Liste des étudiants'!$W1210,3)</f>
        <v>514</v>
      </c>
    </row>
    <row r="1211" spans="1:1" x14ac:dyDescent="0.25">
      <c r="A1211" s="54" t="str">
        <f>LEFT('Liste des étudiants'!$W1211,3)</f>
        <v>514</v>
      </c>
    </row>
    <row r="1212" spans="1:1" x14ac:dyDescent="0.25">
      <c r="A1212" s="54" t="str">
        <f>LEFT('Liste des étudiants'!$W1212,3)</f>
        <v>514</v>
      </c>
    </row>
    <row r="1213" spans="1:1" x14ac:dyDescent="0.25">
      <c r="A1213" s="54" t="str">
        <f>LEFT('Liste des étudiants'!$W1213,3)</f>
        <v>514</v>
      </c>
    </row>
    <row r="1214" spans="1:1" x14ac:dyDescent="0.25">
      <c r="A1214" s="54" t="str">
        <f>LEFT('Liste des étudiants'!$W1214,3)</f>
        <v>514</v>
      </c>
    </row>
    <row r="1215" spans="1:1" x14ac:dyDescent="0.25">
      <c r="A1215" s="54" t="str">
        <f>LEFT('Liste des étudiants'!$W1215,3)</f>
        <v>514</v>
      </c>
    </row>
    <row r="1216" spans="1:1" x14ac:dyDescent="0.25">
      <c r="A1216" s="54" t="str">
        <f>LEFT('Liste des étudiants'!$W1216,3)</f>
        <v>514</v>
      </c>
    </row>
    <row r="1217" spans="1:1" x14ac:dyDescent="0.25">
      <c r="A1217" s="54" t="str">
        <f>LEFT('Liste des étudiants'!$W1217,3)</f>
        <v>514</v>
      </c>
    </row>
    <row r="1218" spans="1:1" x14ac:dyDescent="0.25">
      <c r="A1218" s="54" t="str">
        <f>LEFT('Liste des étudiants'!$W1218,3)</f>
        <v>514</v>
      </c>
    </row>
    <row r="1219" spans="1:1" x14ac:dyDescent="0.25">
      <c r="A1219" s="54" t="str">
        <f>LEFT('Liste des étudiants'!$W1219,3)</f>
        <v>514</v>
      </c>
    </row>
    <row r="1220" spans="1:1" x14ac:dyDescent="0.25">
      <c r="A1220" s="54" t="str">
        <f>LEFT('Liste des étudiants'!$W1220,3)</f>
        <v>514</v>
      </c>
    </row>
    <row r="1221" spans="1:1" x14ac:dyDescent="0.25">
      <c r="A1221" s="54" t="str">
        <f>LEFT('Liste des étudiants'!$W1221,3)</f>
        <v>514</v>
      </c>
    </row>
    <row r="1222" spans="1:1" x14ac:dyDescent="0.25">
      <c r="A1222" s="54" t="str">
        <f>LEFT('Liste des étudiants'!$W1222,3)</f>
        <v>514</v>
      </c>
    </row>
    <row r="1223" spans="1:1" x14ac:dyDescent="0.25">
      <c r="A1223" s="54" t="str">
        <f>LEFT('Liste des étudiants'!$W1223,3)</f>
        <v>514</v>
      </c>
    </row>
    <row r="1224" spans="1:1" x14ac:dyDescent="0.25">
      <c r="A1224" s="54" t="str">
        <f>LEFT('Liste des étudiants'!$W1224,3)</f>
        <v>514</v>
      </c>
    </row>
    <row r="1225" spans="1:1" x14ac:dyDescent="0.25">
      <c r="A1225" s="54" t="str">
        <f>LEFT('Liste des étudiants'!$W1225,3)</f>
        <v>514</v>
      </c>
    </row>
    <row r="1226" spans="1:1" x14ac:dyDescent="0.25">
      <c r="A1226" s="54" t="str">
        <f>LEFT('Liste des étudiants'!$W1226,3)</f>
        <v>514</v>
      </c>
    </row>
    <row r="1227" spans="1:1" x14ac:dyDescent="0.25">
      <c r="A1227" s="54" t="str">
        <f>LEFT('Liste des étudiants'!$W1227,3)</f>
        <v>514</v>
      </c>
    </row>
    <row r="1228" spans="1:1" x14ac:dyDescent="0.25">
      <c r="A1228" s="54" t="str">
        <f>LEFT('Liste des étudiants'!$W1228,3)</f>
        <v>450</v>
      </c>
    </row>
    <row r="1229" spans="1:1" x14ac:dyDescent="0.25">
      <c r="A1229" s="54" t="str">
        <f>LEFT('Liste des étudiants'!$W1229,3)</f>
        <v>514</v>
      </c>
    </row>
    <row r="1230" spans="1:1" x14ac:dyDescent="0.25">
      <c r="A1230" s="54" t="str">
        <f>LEFT('Liste des étudiants'!$W1230,3)</f>
        <v>514</v>
      </c>
    </row>
    <row r="1231" spans="1:1" x14ac:dyDescent="0.25">
      <c r="A1231" s="54" t="str">
        <f>LEFT('Liste des étudiants'!$W1231,3)</f>
        <v>514</v>
      </c>
    </row>
    <row r="1232" spans="1:1" x14ac:dyDescent="0.25">
      <c r="A1232" s="54" t="str">
        <f>LEFT('Liste des étudiants'!$W1232,3)</f>
        <v>514</v>
      </c>
    </row>
    <row r="1233" spans="1:1" x14ac:dyDescent="0.25">
      <c r="A1233" s="54" t="str">
        <f>LEFT('Liste des étudiants'!$W1233,3)</f>
        <v>450</v>
      </c>
    </row>
    <row r="1234" spans="1:1" x14ac:dyDescent="0.25">
      <c r="A1234" s="54" t="str">
        <f>LEFT('Liste des étudiants'!$W1234,3)</f>
        <v>514</v>
      </c>
    </row>
    <row r="1235" spans="1:1" x14ac:dyDescent="0.25">
      <c r="A1235" s="54" t="str">
        <f>LEFT('Liste des étudiants'!$W1235,3)</f>
        <v>514</v>
      </c>
    </row>
    <row r="1236" spans="1:1" x14ac:dyDescent="0.25">
      <c r="A1236" s="54" t="str">
        <f>LEFT('Liste des étudiants'!$W1236,3)</f>
        <v>514</v>
      </c>
    </row>
    <row r="1237" spans="1:1" x14ac:dyDescent="0.25">
      <c r="A1237" s="54" t="str">
        <f>LEFT('Liste des étudiants'!$W1237,3)</f>
        <v>514</v>
      </c>
    </row>
    <row r="1238" spans="1:1" x14ac:dyDescent="0.25">
      <c r="A1238" s="54" t="str">
        <f>LEFT('Liste des étudiants'!$W1238,3)</f>
        <v>514</v>
      </c>
    </row>
    <row r="1239" spans="1:1" x14ac:dyDescent="0.25">
      <c r="A1239" s="54" t="str">
        <f>LEFT('Liste des étudiants'!$W1239,3)</f>
        <v>514</v>
      </c>
    </row>
    <row r="1240" spans="1:1" x14ac:dyDescent="0.25">
      <c r="A1240" s="54" t="str">
        <f>LEFT('Liste des étudiants'!$W1240,3)</f>
        <v>514</v>
      </c>
    </row>
    <row r="1241" spans="1:1" x14ac:dyDescent="0.25">
      <c r="A1241" s="54" t="str">
        <f>LEFT('Liste des étudiants'!$W1241,3)</f>
        <v>514</v>
      </c>
    </row>
    <row r="1242" spans="1:1" x14ac:dyDescent="0.25">
      <c r="A1242" s="54" t="str">
        <f>LEFT('Liste des étudiants'!$W1242,3)</f>
        <v>514</v>
      </c>
    </row>
    <row r="1243" spans="1:1" x14ac:dyDescent="0.25">
      <c r="A1243" s="54" t="str">
        <f>LEFT('Liste des étudiants'!$W1243,3)</f>
        <v>514</v>
      </c>
    </row>
    <row r="1244" spans="1:1" x14ac:dyDescent="0.25">
      <c r="A1244" s="54" t="str">
        <f>LEFT('Liste des étudiants'!$W1244,3)</f>
        <v>514</v>
      </c>
    </row>
    <row r="1245" spans="1:1" x14ac:dyDescent="0.25">
      <c r="A1245" s="54" t="str">
        <f>LEFT('Liste des étudiants'!$W1245,3)</f>
        <v>514</v>
      </c>
    </row>
    <row r="1246" spans="1:1" x14ac:dyDescent="0.25">
      <c r="A1246" s="54" t="str">
        <f>LEFT('Liste des étudiants'!$W1246,3)</f>
        <v>514</v>
      </c>
    </row>
    <row r="1247" spans="1:1" x14ac:dyDescent="0.25">
      <c r="A1247" s="54" t="str">
        <f>LEFT('Liste des étudiants'!$W1247,3)</f>
        <v>514</v>
      </c>
    </row>
    <row r="1248" spans="1:1" x14ac:dyDescent="0.25">
      <c r="A1248" s="54" t="str">
        <f>LEFT('Liste des étudiants'!$W1248,3)</f>
        <v>514</v>
      </c>
    </row>
    <row r="1249" spans="1:1" x14ac:dyDescent="0.25">
      <c r="A1249" s="54" t="str">
        <f>LEFT('Liste des étudiants'!$W1249,3)</f>
        <v>514</v>
      </c>
    </row>
    <row r="1250" spans="1:1" x14ac:dyDescent="0.25">
      <c r="A1250" s="54" t="str">
        <f>LEFT('Liste des étudiants'!$W1250,3)</f>
        <v>514</v>
      </c>
    </row>
    <row r="1251" spans="1:1" x14ac:dyDescent="0.25">
      <c r="A1251" s="54" t="str">
        <f>LEFT('Liste des étudiants'!$W1251,3)</f>
        <v>514</v>
      </c>
    </row>
    <row r="1252" spans="1:1" x14ac:dyDescent="0.25">
      <c r="A1252" s="54" t="str">
        <f>LEFT('Liste des étudiants'!$W1252,3)</f>
        <v>514</v>
      </c>
    </row>
    <row r="1253" spans="1:1" x14ac:dyDescent="0.25">
      <c r="A1253" s="54" t="str">
        <f>LEFT('Liste des étudiants'!$W1253,3)</f>
        <v>514</v>
      </c>
    </row>
    <row r="1254" spans="1:1" x14ac:dyDescent="0.25">
      <c r="A1254" s="54" t="str">
        <f>LEFT('Liste des étudiants'!$W1254,3)</f>
        <v>514</v>
      </c>
    </row>
    <row r="1255" spans="1:1" x14ac:dyDescent="0.25">
      <c r="A1255" s="54" t="str">
        <f>LEFT('Liste des étudiants'!$W1255,3)</f>
        <v>514</v>
      </c>
    </row>
    <row r="1256" spans="1:1" x14ac:dyDescent="0.25">
      <c r="A1256" s="54" t="str">
        <f>LEFT('Liste des étudiants'!$W1256,3)</f>
        <v>514</v>
      </c>
    </row>
    <row r="1257" spans="1:1" x14ac:dyDescent="0.25">
      <c r="A1257" s="54" t="str">
        <f>LEFT('Liste des étudiants'!$W1257,3)</f>
        <v>514</v>
      </c>
    </row>
    <row r="1258" spans="1:1" x14ac:dyDescent="0.25">
      <c r="A1258" s="54" t="str">
        <f>LEFT('Liste des étudiants'!$W1258,3)</f>
        <v>514</v>
      </c>
    </row>
    <row r="1259" spans="1:1" x14ac:dyDescent="0.25">
      <c r="A1259" s="54" t="str">
        <f>LEFT('Liste des étudiants'!$W1259,3)</f>
        <v>514</v>
      </c>
    </row>
    <row r="1260" spans="1:1" x14ac:dyDescent="0.25">
      <c r="A1260" s="54" t="str">
        <f>LEFT('Liste des étudiants'!$W1260,3)</f>
        <v>450</v>
      </c>
    </row>
    <row r="1261" spans="1:1" x14ac:dyDescent="0.25">
      <c r="A1261" s="54" t="str">
        <f>LEFT('Liste des étudiants'!$W1261,3)</f>
        <v>514</v>
      </c>
    </row>
    <row r="1262" spans="1:1" x14ac:dyDescent="0.25">
      <c r="A1262" s="54" t="str">
        <f>LEFT('Liste des étudiants'!$W1262,3)</f>
        <v>514</v>
      </c>
    </row>
    <row r="1263" spans="1:1" x14ac:dyDescent="0.25">
      <c r="A1263" s="54" t="str">
        <f>LEFT('Liste des étudiants'!$W1263,3)</f>
        <v>514</v>
      </c>
    </row>
    <row r="1264" spans="1:1" x14ac:dyDescent="0.25">
      <c r="A1264" s="54" t="str">
        <f>LEFT('Liste des étudiants'!$W1264,3)</f>
        <v>514</v>
      </c>
    </row>
    <row r="1265" spans="1:1" x14ac:dyDescent="0.25">
      <c r="A1265" s="54" t="str">
        <f>LEFT('Liste des étudiants'!$W1265,3)</f>
        <v>514</v>
      </c>
    </row>
    <row r="1266" spans="1:1" x14ac:dyDescent="0.25">
      <c r="A1266" s="54" t="str">
        <f>LEFT('Liste des étudiants'!$W1266,3)</f>
        <v>514</v>
      </c>
    </row>
    <row r="1267" spans="1:1" x14ac:dyDescent="0.25">
      <c r="A1267" s="54" t="str">
        <f>LEFT('Liste des étudiants'!$W1267,3)</f>
        <v>514</v>
      </c>
    </row>
    <row r="1268" spans="1:1" x14ac:dyDescent="0.25">
      <c r="A1268" s="54" t="str">
        <f>LEFT('Liste des étudiants'!$W1268,3)</f>
        <v>514</v>
      </c>
    </row>
    <row r="1269" spans="1:1" x14ac:dyDescent="0.25">
      <c r="A1269" s="54" t="str">
        <f>LEFT('Liste des étudiants'!$W1269,3)</f>
        <v>514</v>
      </c>
    </row>
    <row r="1270" spans="1:1" x14ac:dyDescent="0.25">
      <c r="A1270" s="54" t="str">
        <f>LEFT('Liste des étudiants'!$W1270,3)</f>
        <v>514</v>
      </c>
    </row>
    <row r="1271" spans="1:1" x14ac:dyDescent="0.25">
      <c r="A1271" s="54" t="str">
        <f>LEFT('Liste des étudiants'!$W1271,3)</f>
        <v>514</v>
      </c>
    </row>
    <row r="1272" spans="1:1" x14ac:dyDescent="0.25">
      <c r="A1272" s="54" t="str">
        <f>LEFT('Liste des étudiants'!$W1272,3)</f>
        <v>450</v>
      </c>
    </row>
    <row r="1273" spans="1:1" x14ac:dyDescent="0.25">
      <c r="A1273" s="54" t="str">
        <f>LEFT('Liste des étudiants'!$W1273,3)</f>
        <v>514</v>
      </c>
    </row>
    <row r="1274" spans="1:1" x14ac:dyDescent="0.25">
      <c r="A1274" s="54" t="str">
        <f>LEFT('Liste des étudiants'!$W1274,3)</f>
        <v>514</v>
      </c>
    </row>
    <row r="1275" spans="1:1" x14ac:dyDescent="0.25">
      <c r="A1275" s="54" t="str">
        <f>LEFT('Liste des étudiants'!$W1275,3)</f>
        <v>514</v>
      </c>
    </row>
    <row r="1276" spans="1:1" x14ac:dyDescent="0.25">
      <c r="A1276" s="54" t="str">
        <f>LEFT('Liste des étudiants'!$W1276,3)</f>
        <v>514</v>
      </c>
    </row>
    <row r="1277" spans="1:1" x14ac:dyDescent="0.25">
      <c r="A1277" s="54" t="str">
        <f>LEFT('Liste des étudiants'!$W1277,3)</f>
        <v>514</v>
      </c>
    </row>
    <row r="1278" spans="1:1" x14ac:dyDescent="0.25">
      <c r="A1278" s="54" t="str">
        <f>LEFT('Liste des étudiants'!$W1278,3)</f>
        <v>514</v>
      </c>
    </row>
    <row r="1279" spans="1:1" x14ac:dyDescent="0.25">
      <c r="A1279" s="54" t="str">
        <f>LEFT('Liste des étudiants'!$W1279,3)</f>
        <v>514</v>
      </c>
    </row>
    <row r="1280" spans="1:1" x14ac:dyDescent="0.25">
      <c r="A1280" s="54" t="str">
        <f>LEFT('Liste des étudiants'!$W1280,3)</f>
        <v>514</v>
      </c>
    </row>
    <row r="1281" spans="1:1" x14ac:dyDescent="0.25">
      <c r="A1281" s="54" t="str">
        <f>LEFT('Liste des étudiants'!$W1281,3)</f>
        <v>514</v>
      </c>
    </row>
    <row r="1282" spans="1:1" x14ac:dyDescent="0.25">
      <c r="A1282" s="54" t="str">
        <f>LEFT('Liste des étudiants'!$W1282,3)</f>
        <v>514</v>
      </c>
    </row>
    <row r="1283" spans="1:1" x14ac:dyDescent="0.25">
      <c r="A1283" s="54" t="str">
        <f>LEFT('Liste des étudiants'!$W1283,3)</f>
        <v>450</v>
      </c>
    </row>
    <row r="1284" spans="1:1" x14ac:dyDescent="0.25">
      <c r="A1284" s="54" t="str">
        <f>LEFT('Liste des étudiants'!$W1284,3)</f>
        <v>450</v>
      </c>
    </row>
    <row r="1285" spans="1:1" x14ac:dyDescent="0.25">
      <c r="A1285" s="54" t="str">
        <f>LEFT('Liste des étudiants'!$W1285,3)</f>
        <v>514</v>
      </c>
    </row>
    <row r="1286" spans="1:1" x14ac:dyDescent="0.25">
      <c r="A1286" s="54" t="str">
        <f>LEFT('Liste des étudiants'!$W1286,3)</f>
        <v>514</v>
      </c>
    </row>
    <row r="1287" spans="1:1" x14ac:dyDescent="0.25">
      <c r="A1287" s="54" t="str">
        <f>LEFT('Liste des étudiants'!$W1287,3)</f>
        <v>514</v>
      </c>
    </row>
    <row r="1288" spans="1:1" x14ac:dyDescent="0.25">
      <c r="A1288" s="54" t="str">
        <f>LEFT('Liste des étudiants'!$W1288,3)</f>
        <v>514</v>
      </c>
    </row>
    <row r="1289" spans="1:1" x14ac:dyDescent="0.25">
      <c r="A1289" s="54" t="str">
        <f>LEFT('Liste des étudiants'!$W1289,3)</f>
        <v>450</v>
      </c>
    </row>
    <row r="1290" spans="1:1" x14ac:dyDescent="0.25">
      <c r="A1290" s="54" t="str">
        <f>LEFT('Liste des étudiants'!$W1290,3)</f>
        <v>450</v>
      </c>
    </row>
    <row r="1291" spans="1:1" x14ac:dyDescent="0.25">
      <c r="A1291" s="54" t="str">
        <f>LEFT('Liste des étudiants'!$W1291,3)</f>
        <v>514</v>
      </c>
    </row>
    <row r="1292" spans="1:1" x14ac:dyDescent="0.25">
      <c r="A1292" s="54" t="str">
        <f>LEFT('Liste des étudiants'!$W1292,3)</f>
        <v>514</v>
      </c>
    </row>
    <row r="1293" spans="1:1" x14ac:dyDescent="0.25">
      <c r="A1293" s="54" t="str">
        <f>LEFT('Liste des étudiants'!$W1293,3)</f>
        <v>514</v>
      </c>
    </row>
    <row r="1294" spans="1:1" x14ac:dyDescent="0.25">
      <c r="A1294" s="54" t="str">
        <f>LEFT('Liste des étudiants'!$W1294,3)</f>
        <v>514</v>
      </c>
    </row>
    <row r="1295" spans="1:1" x14ac:dyDescent="0.25">
      <c r="A1295" s="54" t="str">
        <f>LEFT('Liste des étudiants'!$W1295,3)</f>
        <v>514</v>
      </c>
    </row>
    <row r="1296" spans="1:1" x14ac:dyDescent="0.25">
      <c r="A1296" s="54" t="str">
        <f>LEFT('Liste des étudiants'!$W1296,3)</f>
        <v>514</v>
      </c>
    </row>
    <row r="1297" spans="1:1" x14ac:dyDescent="0.25">
      <c r="A1297" s="54" t="str">
        <f>LEFT('Liste des étudiants'!$W1297,3)</f>
        <v>514</v>
      </c>
    </row>
    <row r="1298" spans="1:1" x14ac:dyDescent="0.25">
      <c r="A1298" s="54" t="str">
        <f>LEFT('Liste des étudiants'!$W1298,3)</f>
        <v>514</v>
      </c>
    </row>
    <row r="1299" spans="1:1" x14ac:dyDescent="0.25">
      <c r="A1299" s="54" t="str">
        <f>LEFT('Liste des étudiants'!$W1299,3)</f>
        <v>514</v>
      </c>
    </row>
    <row r="1300" spans="1:1" x14ac:dyDescent="0.25">
      <c r="A1300" s="54" t="str">
        <f>LEFT('Liste des étudiants'!$W1300,3)</f>
        <v>514</v>
      </c>
    </row>
    <row r="1301" spans="1:1" x14ac:dyDescent="0.25">
      <c r="A1301" s="54" t="str">
        <f>LEFT('Liste des étudiants'!$W1301,3)</f>
        <v>514</v>
      </c>
    </row>
    <row r="1302" spans="1:1" x14ac:dyDescent="0.25">
      <c r="A1302" s="54" t="str">
        <f>LEFT('Liste des étudiants'!$W1302,3)</f>
        <v>514</v>
      </c>
    </row>
    <row r="1303" spans="1:1" x14ac:dyDescent="0.25">
      <c r="A1303" s="54" t="str">
        <f>LEFT('Liste des étudiants'!$W1303,3)</f>
        <v>514</v>
      </c>
    </row>
    <row r="1304" spans="1:1" x14ac:dyDescent="0.25">
      <c r="A1304" s="54" t="str">
        <f>LEFT('Liste des étudiants'!$W1304,3)</f>
        <v>514</v>
      </c>
    </row>
    <row r="1305" spans="1:1" x14ac:dyDescent="0.25">
      <c r="A1305" s="54" t="str">
        <f>LEFT('Liste des étudiants'!$W1305,3)</f>
        <v>514</v>
      </c>
    </row>
    <row r="1306" spans="1:1" x14ac:dyDescent="0.25">
      <c r="A1306" s="54" t="str">
        <f>LEFT('Liste des étudiants'!$W1306,3)</f>
        <v>514</v>
      </c>
    </row>
    <row r="1307" spans="1:1" x14ac:dyDescent="0.25">
      <c r="A1307" s="54" t="str">
        <f>LEFT('Liste des étudiants'!$W1307,3)</f>
        <v>514</v>
      </c>
    </row>
    <row r="1308" spans="1:1" x14ac:dyDescent="0.25">
      <c r="A1308" s="54" t="str">
        <f>LEFT('Liste des étudiants'!$W1308,3)</f>
        <v>514</v>
      </c>
    </row>
    <row r="1309" spans="1:1" x14ac:dyDescent="0.25">
      <c r="A1309" s="54" t="str">
        <f>LEFT('Liste des étudiants'!$W1309,3)</f>
        <v>514</v>
      </c>
    </row>
    <row r="1310" spans="1:1" x14ac:dyDescent="0.25">
      <c r="A1310" s="54" t="str">
        <f>LEFT('Liste des étudiants'!$W1310,3)</f>
        <v>514</v>
      </c>
    </row>
    <row r="1311" spans="1:1" x14ac:dyDescent="0.25">
      <c r="A1311" s="54" t="str">
        <f>LEFT('Liste des étudiants'!$W1311,3)</f>
        <v>514</v>
      </c>
    </row>
    <row r="1312" spans="1:1" x14ac:dyDescent="0.25">
      <c r="A1312" s="54" t="str">
        <f>LEFT('Liste des étudiants'!$W1312,3)</f>
        <v>514</v>
      </c>
    </row>
    <row r="1313" spans="1:1" x14ac:dyDescent="0.25">
      <c r="A1313" s="54" t="str">
        <f>LEFT('Liste des étudiants'!$W1313,3)</f>
        <v>514</v>
      </c>
    </row>
    <row r="1314" spans="1:1" x14ac:dyDescent="0.25">
      <c r="A1314" s="54" t="str">
        <f>LEFT('Liste des étudiants'!$W1314,3)</f>
        <v>514</v>
      </c>
    </row>
    <row r="1315" spans="1:1" x14ac:dyDescent="0.25">
      <c r="A1315" s="54" t="str">
        <f>LEFT('Liste des étudiants'!$W1315,3)</f>
        <v>514</v>
      </c>
    </row>
    <row r="1316" spans="1:1" x14ac:dyDescent="0.25">
      <c r="A1316" s="54" t="str">
        <f>LEFT('Liste des étudiants'!$W1316,3)</f>
        <v>514</v>
      </c>
    </row>
    <row r="1317" spans="1:1" x14ac:dyDescent="0.25">
      <c r="A1317" s="54" t="str">
        <f>LEFT('Liste des étudiants'!$W1317,3)</f>
        <v>514</v>
      </c>
    </row>
    <row r="1318" spans="1:1" x14ac:dyDescent="0.25">
      <c r="A1318" s="54" t="str">
        <f>LEFT('Liste des étudiants'!$W1318,3)</f>
        <v>514</v>
      </c>
    </row>
    <row r="1319" spans="1:1" x14ac:dyDescent="0.25">
      <c r="A1319" s="54" t="str">
        <f>LEFT('Liste des étudiants'!$W1319,3)</f>
        <v>514</v>
      </c>
    </row>
    <row r="1320" spans="1:1" x14ac:dyDescent="0.25">
      <c r="A1320" s="54" t="str">
        <f>LEFT('Liste des étudiants'!$W1320,3)</f>
        <v>514</v>
      </c>
    </row>
    <row r="1321" spans="1:1" x14ac:dyDescent="0.25">
      <c r="A1321" s="54" t="str">
        <f>LEFT('Liste des étudiants'!$W1321,3)</f>
        <v>514</v>
      </c>
    </row>
    <row r="1322" spans="1:1" x14ac:dyDescent="0.25">
      <c r="A1322" s="54" t="str">
        <f>LEFT('Liste des étudiants'!$W1322,3)</f>
        <v>514</v>
      </c>
    </row>
    <row r="1323" spans="1:1" x14ac:dyDescent="0.25">
      <c r="A1323" s="54" t="str">
        <f>LEFT('Liste des étudiants'!$W1323,3)</f>
        <v>514</v>
      </c>
    </row>
    <row r="1324" spans="1:1" x14ac:dyDescent="0.25">
      <c r="A1324" s="54" t="str">
        <f>LEFT('Liste des étudiants'!$W1324,3)</f>
        <v>514</v>
      </c>
    </row>
    <row r="1325" spans="1:1" x14ac:dyDescent="0.25">
      <c r="A1325" s="54" t="str">
        <f>LEFT('Liste des étudiants'!$W1325,3)</f>
        <v>514</v>
      </c>
    </row>
    <row r="1326" spans="1:1" x14ac:dyDescent="0.25">
      <c r="A1326" s="54" t="str">
        <f>LEFT('Liste des étudiants'!$W1326,3)</f>
        <v>514</v>
      </c>
    </row>
    <row r="1327" spans="1:1" x14ac:dyDescent="0.25">
      <c r="A1327" s="54" t="str">
        <f>LEFT('Liste des étudiants'!$W1327,3)</f>
        <v>514</v>
      </c>
    </row>
    <row r="1328" spans="1:1" x14ac:dyDescent="0.25">
      <c r="A1328" s="54" t="str">
        <f>LEFT('Liste des étudiants'!$W1328,3)</f>
        <v>450</v>
      </c>
    </row>
    <row r="1329" spans="1:1" x14ac:dyDescent="0.25">
      <c r="A1329" s="54" t="str">
        <f>LEFT('Liste des étudiants'!$W1329,3)</f>
        <v>514</v>
      </c>
    </row>
    <row r="1330" spans="1:1" x14ac:dyDescent="0.25">
      <c r="A1330" s="54" t="str">
        <f>LEFT('Liste des étudiants'!$W1330,3)</f>
        <v>514</v>
      </c>
    </row>
    <row r="1331" spans="1:1" x14ac:dyDescent="0.25">
      <c r="A1331" s="54" t="str">
        <f>LEFT('Liste des étudiants'!$W1331,3)</f>
        <v>514</v>
      </c>
    </row>
    <row r="1332" spans="1:1" x14ac:dyDescent="0.25">
      <c r="A1332" s="54" t="str">
        <f>LEFT('Liste des étudiants'!$W1332,3)</f>
        <v>514</v>
      </c>
    </row>
    <row r="1333" spans="1:1" x14ac:dyDescent="0.25">
      <c r="A1333" s="54" t="str">
        <f>LEFT('Liste des étudiants'!$W1333,3)</f>
        <v>514</v>
      </c>
    </row>
    <row r="1334" spans="1:1" x14ac:dyDescent="0.25">
      <c r="A1334" s="54" t="str">
        <f>LEFT('Liste des étudiants'!$W1334,3)</f>
        <v>514</v>
      </c>
    </row>
    <row r="1335" spans="1:1" x14ac:dyDescent="0.25">
      <c r="A1335" s="54" t="str">
        <f>LEFT('Liste des étudiants'!$W1335,3)</f>
        <v>514</v>
      </c>
    </row>
    <row r="1336" spans="1:1" x14ac:dyDescent="0.25">
      <c r="A1336" s="54" t="str">
        <f>LEFT('Liste des étudiants'!$W1336,3)</f>
        <v>514</v>
      </c>
    </row>
    <row r="1337" spans="1:1" x14ac:dyDescent="0.25">
      <c r="A1337" s="54" t="str">
        <f>LEFT('Liste des étudiants'!$W1337,3)</f>
        <v>514</v>
      </c>
    </row>
    <row r="1338" spans="1:1" x14ac:dyDescent="0.25">
      <c r="A1338" s="54" t="str">
        <f>LEFT('Liste des étudiants'!$W1338,3)</f>
        <v>514</v>
      </c>
    </row>
    <row r="1339" spans="1:1" x14ac:dyDescent="0.25">
      <c r="A1339" s="54" t="str">
        <f>LEFT('Liste des étudiants'!$W1339,3)</f>
        <v>514</v>
      </c>
    </row>
    <row r="1340" spans="1:1" x14ac:dyDescent="0.25">
      <c r="A1340" s="54" t="str">
        <f>LEFT('Liste des étudiants'!$W1340,3)</f>
        <v>514</v>
      </c>
    </row>
    <row r="1341" spans="1:1" x14ac:dyDescent="0.25">
      <c r="A1341" s="54" t="str">
        <f>LEFT('Liste des étudiants'!$W1341,3)</f>
        <v>514</v>
      </c>
    </row>
    <row r="1342" spans="1:1" x14ac:dyDescent="0.25">
      <c r="A1342" s="54" t="str">
        <f>LEFT('Liste des étudiants'!$W1342,3)</f>
        <v>514</v>
      </c>
    </row>
    <row r="1343" spans="1:1" x14ac:dyDescent="0.25">
      <c r="A1343" s="54" t="str">
        <f>LEFT('Liste des étudiants'!$W1343,3)</f>
        <v>514</v>
      </c>
    </row>
    <row r="1344" spans="1:1" x14ac:dyDescent="0.25">
      <c r="A1344" s="54" t="str">
        <f>LEFT('Liste des étudiants'!$W1344,3)</f>
        <v>514</v>
      </c>
    </row>
    <row r="1345" spans="1:1" x14ac:dyDescent="0.25">
      <c r="A1345" s="54" t="str">
        <f>LEFT('Liste des étudiants'!$W1345,3)</f>
        <v>514</v>
      </c>
    </row>
    <row r="1346" spans="1:1" x14ac:dyDescent="0.25">
      <c r="A1346" s="54" t="str">
        <f>LEFT('Liste des étudiants'!$W1346,3)</f>
        <v>514</v>
      </c>
    </row>
    <row r="1347" spans="1:1" x14ac:dyDescent="0.25">
      <c r="A1347" s="54" t="str">
        <f>LEFT('Liste des étudiants'!$W1347,3)</f>
        <v>514</v>
      </c>
    </row>
    <row r="1348" spans="1:1" x14ac:dyDescent="0.25">
      <c r="A1348" s="54" t="str">
        <f>LEFT('Liste des étudiants'!$W1348,3)</f>
        <v>514</v>
      </c>
    </row>
    <row r="1349" spans="1:1" x14ac:dyDescent="0.25">
      <c r="A1349" s="54" t="str">
        <f>LEFT('Liste des étudiants'!$W1349,3)</f>
        <v>514</v>
      </c>
    </row>
    <row r="1350" spans="1:1" x14ac:dyDescent="0.25">
      <c r="A1350" s="54" t="str">
        <f>LEFT('Liste des étudiants'!$W1350,3)</f>
        <v>514</v>
      </c>
    </row>
    <row r="1351" spans="1:1" x14ac:dyDescent="0.25">
      <c r="A1351" s="54" t="str">
        <f>LEFT('Liste des étudiants'!$W1351,3)</f>
        <v>514</v>
      </c>
    </row>
    <row r="1352" spans="1:1" x14ac:dyDescent="0.25">
      <c r="A1352" s="54" t="str">
        <f>LEFT('Liste des étudiants'!$W1352,3)</f>
        <v>514</v>
      </c>
    </row>
    <row r="1353" spans="1:1" x14ac:dyDescent="0.25">
      <c r="A1353" s="54" t="str">
        <f>LEFT('Liste des étudiants'!$W1353,3)</f>
        <v>514</v>
      </c>
    </row>
    <row r="1354" spans="1:1" x14ac:dyDescent="0.25">
      <c r="A1354" s="54" t="str">
        <f>LEFT('Liste des étudiants'!$W1354,3)</f>
        <v>514</v>
      </c>
    </row>
    <row r="1355" spans="1:1" x14ac:dyDescent="0.25">
      <c r="A1355" s="54" t="str">
        <f>LEFT('Liste des étudiants'!$W1355,3)</f>
        <v>514</v>
      </c>
    </row>
    <row r="1356" spans="1:1" x14ac:dyDescent="0.25">
      <c r="A1356" s="54" t="str">
        <f>LEFT('Liste des étudiants'!$W1356,3)</f>
        <v>514</v>
      </c>
    </row>
    <row r="1357" spans="1:1" x14ac:dyDescent="0.25">
      <c r="A1357" s="54" t="str">
        <f>LEFT('Liste des étudiants'!$W1357,3)</f>
        <v>514</v>
      </c>
    </row>
    <row r="1358" spans="1:1" x14ac:dyDescent="0.25">
      <c r="A1358" s="54" t="str">
        <f>LEFT('Liste des étudiants'!$W1358,3)</f>
        <v>514</v>
      </c>
    </row>
    <row r="1359" spans="1:1" x14ac:dyDescent="0.25">
      <c r="A1359" s="54" t="str">
        <f>LEFT('Liste des étudiants'!$W1359,3)</f>
        <v>450</v>
      </c>
    </row>
    <row r="1360" spans="1:1" x14ac:dyDescent="0.25">
      <c r="A1360" s="54" t="str">
        <f>LEFT('Liste des étudiants'!$W1360,3)</f>
        <v>514</v>
      </c>
    </row>
    <row r="1361" spans="1:1" x14ac:dyDescent="0.25">
      <c r="A1361" s="54" t="str">
        <f>LEFT('Liste des étudiants'!$W1361,3)</f>
        <v>514</v>
      </c>
    </row>
    <row r="1362" spans="1:1" x14ac:dyDescent="0.25">
      <c r="A1362" s="54" t="str">
        <f>LEFT('Liste des étudiants'!$W1362,3)</f>
        <v>514</v>
      </c>
    </row>
    <row r="1363" spans="1:1" x14ac:dyDescent="0.25">
      <c r="A1363" s="54" t="str">
        <f>LEFT('Liste des étudiants'!$W1363,3)</f>
        <v>514</v>
      </c>
    </row>
    <row r="1364" spans="1:1" x14ac:dyDescent="0.25">
      <c r="A1364" s="54" t="str">
        <f>LEFT('Liste des étudiants'!$W1364,3)</f>
        <v>514</v>
      </c>
    </row>
    <row r="1365" spans="1:1" x14ac:dyDescent="0.25">
      <c r="A1365" s="54" t="str">
        <f>LEFT('Liste des étudiants'!$W1365,3)</f>
        <v>514</v>
      </c>
    </row>
    <row r="1366" spans="1:1" x14ac:dyDescent="0.25">
      <c r="A1366" s="54" t="str">
        <f>LEFT('Liste des étudiants'!$W1366,3)</f>
        <v>514</v>
      </c>
    </row>
    <row r="1367" spans="1:1" x14ac:dyDescent="0.25">
      <c r="A1367" s="54" t="str">
        <f>LEFT('Liste des étudiants'!$W1367,3)</f>
        <v>514</v>
      </c>
    </row>
    <row r="1368" spans="1:1" x14ac:dyDescent="0.25">
      <c r="A1368" s="54" t="str">
        <f>LEFT('Liste des étudiants'!$W1368,3)</f>
        <v>514</v>
      </c>
    </row>
    <row r="1369" spans="1:1" x14ac:dyDescent="0.25">
      <c r="A1369" s="54" t="str">
        <f>LEFT('Liste des étudiants'!$W1369,3)</f>
        <v>514</v>
      </c>
    </row>
    <row r="1370" spans="1:1" x14ac:dyDescent="0.25">
      <c r="A1370" s="54" t="str">
        <f>LEFT('Liste des étudiants'!$W1370,3)</f>
        <v>514</v>
      </c>
    </row>
    <row r="1371" spans="1:1" x14ac:dyDescent="0.25">
      <c r="A1371" s="54" t="str">
        <f>LEFT('Liste des étudiants'!$W1371,3)</f>
        <v>514</v>
      </c>
    </row>
    <row r="1372" spans="1:1" x14ac:dyDescent="0.25">
      <c r="A1372" s="54" t="str">
        <f>LEFT('Liste des étudiants'!$W1372,3)</f>
        <v>514</v>
      </c>
    </row>
    <row r="1373" spans="1:1" x14ac:dyDescent="0.25">
      <c r="A1373" s="54" t="str">
        <f>LEFT('Liste des étudiants'!$W1373,3)</f>
        <v>514</v>
      </c>
    </row>
    <row r="1374" spans="1:1" x14ac:dyDescent="0.25">
      <c r="A1374" s="54" t="str">
        <f>LEFT('Liste des étudiants'!$W1374,3)</f>
        <v>514</v>
      </c>
    </row>
    <row r="1375" spans="1:1" x14ac:dyDescent="0.25">
      <c r="A1375" s="54" t="str">
        <f>LEFT('Liste des étudiants'!$W1375,3)</f>
        <v>514</v>
      </c>
    </row>
    <row r="1376" spans="1:1" x14ac:dyDescent="0.25">
      <c r="A1376" s="54" t="str">
        <f>LEFT('Liste des étudiants'!$W1376,3)</f>
        <v>514</v>
      </c>
    </row>
    <row r="1377" spans="1:1" x14ac:dyDescent="0.25">
      <c r="A1377" s="54" t="str">
        <f>LEFT('Liste des étudiants'!$W1377,3)</f>
        <v>514</v>
      </c>
    </row>
    <row r="1378" spans="1:1" x14ac:dyDescent="0.25">
      <c r="A1378" s="54" t="str">
        <f>LEFT('Liste des étudiants'!$W1378,3)</f>
        <v>514</v>
      </c>
    </row>
    <row r="1379" spans="1:1" x14ac:dyDescent="0.25">
      <c r="A1379" s="54" t="str">
        <f>LEFT('Liste des étudiants'!$W1379,3)</f>
        <v>514</v>
      </c>
    </row>
    <row r="1380" spans="1:1" x14ac:dyDescent="0.25">
      <c r="A1380" s="54" t="str">
        <f>LEFT('Liste des étudiants'!$W1380,3)</f>
        <v>514</v>
      </c>
    </row>
    <row r="1381" spans="1:1" x14ac:dyDescent="0.25">
      <c r="A1381" s="54" t="str">
        <f>LEFT('Liste des étudiants'!$W1381,3)</f>
        <v>514</v>
      </c>
    </row>
    <row r="1382" spans="1:1" x14ac:dyDescent="0.25">
      <c r="A1382" s="54" t="str">
        <f>LEFT('Liste des étudiants'!$W1382,3)</f>
        <v>514</v>
      </c>
    </row>
    <row r="1383" spans="1:1" x14ac:dyDescent="0.25">
      <c r="A1383" s="54" t="str">
        <f>LEFT('Liste des étudiants'!$W1383,3)</f>
        <v>514</v>
      </c>
    </row>
    <row r="1384" spans="1:1" x14ac:dyDescent="0.25">
      <c r="A1384" s="54" t="str">
        <f>LEFT('Liste des étudiants'!$W1384,3)</f>
        <v>514</v>
      </c>
    </row>
    <row r="1385" spans="1:1" x14ac:dyDescent="0.25">
      <c r="A1385" s="54" t="str">
        <f>LEFT('Liste des étudiants'!$W1385,3)</f>
        <v>514</v>
      </c>
    </row>
    <row r="1386" spans="1:1" x14ac:dyDescent="0.25">
      <c r="A1386" s="54" t="str">
        <f>LEFT('Liste des étudiants'!$W1386,3)</f>
        <v>514</v>
      </c>
    </row>
    <row r="1387" spans="1:1" x14ac:dyDescent="0.25">
      <c r="A1387" s="54" t="str">
        <f>LEFT('Liste des étudiants'!$W1387,3)</f>
        <v>514</v>
      </c>
    </row>
    <row r="1388" spans="1:1" x14ac:dyDescent="0.25">
      <c r="A1388" s="54" t="str">
        <f>LEFT('Liste des étudiants'!$W1388,3)</f>
        <v>514</v>
      </c>
    </row>
    <row r="1389" spans="1:1" x14ac:dyDescent="0.25">
      <c r="A1389" s="54" t="str">
        <f>LEFT('Liste des étudiants'!$W1389,3)</f>
        <v>514</v>
      </c>
    </row>
    <row r="1390" spans="1:1" x14ac:dyDescent="0.25">
      <c r="A1390" s="54" t="str">
        <f>LEFT('Liste des étudiants'!$W1390,3)</f>
        <v>514</v>
      </c>
    </row>
    <row r="1391" spans="1:1" x14ac:dyDescent="0.25">
      <c r="A1391" s="54" t="str">
        <f>LEFT('Liste des étudiants'!$W1391,3)</f>
        <v>514</v>
      </c>
    </row>
    <row r="1392" spans="1:1" x14ac:dyDescent="0.25">
      <c r="A1392" s="54" t="str">
        <f>LEFT('Liste des étudiants'!$W1392,3)</f>
        <v>514</v>
      </c>
    </row>
    <row r="1393" spans="1:1" x14ac:dyDescent="0.25">
      <c r="A1393" s="54" t="str">
        <f>LEFT('Liste des étudiants'!$W1393,3)</f>
        <v>514</v>
      </c>
    </row>
    <row r="1394" spans="1:1" x14ac:dyDescent="0.25">
      <c r="A1394" s="54" t="str">
        <f>LEFT('Liste des étudiants'!$W1394,3)</f>
        <v>514</v>
      </c>
    </row>
    <row r="1395" spans="1:1" x14ac:dyDescent="0.25">
      <c r="A1395" s="54" t="str">
        <f>LEFT('Liste des étudiants'!$W1395,3)</f>
        <v>514</v>
      </c>
    </row>
    <row r="1396" spans="1:1" x14ac:dyDescent="0.25">
      <c r="A1396" s="54" t="str">
        <f>LEFT('Liste des étudiants'!$W1396,3)</f>
        <v>514</v>
      </c>
    </row>
    <row r="1397" spans="1:1" x14ac:dyDescent="0.25">
      <c r="A1397" s="54" t="str">
        <f>LEFT('Liste des étudiants'!$W1397,3)</f>
        <v>514</v>
      </c>
    </row>
    <row r="1398" spans="1:1" x14ac:dyDescent="0.25">
      <c r="A1398" s="54" t="str">
        <f>LEFT('Liste des étudiants'!$W1398,3)</f>
        <v>514</v>
      </c>
    </row>
    <row r="1399" spans="1:1" x14ac:dyDescent="0.25">
      <c r="A1399" s="54" t="str">
        <f>LEFT('Liste des étudiants'!$W1399,3)</f>
        <v>514</v>
      </c>
    </row>
    <row r="1400" spans="1:1" x14ac:dyDescent="0.25">
      <c r="A1400" s="54" t="str">
        <f>LEFT('Liste des étudiants'!$W1400,3)</f>
        <v>514</v>
      </c>
    </row>
    <row r="1401" spans="1:1" x14ac:dyDescent="0.25">
      <c r="A1401" s="54" t="str">
        <f>LEFT('Liste des étudiants'!$W1401,3)</f>
        <v>514</v>
      </c>
    </row>
    <row r="1402" spans="1:1" x14ac:dyDescent="0.25">
      <c r="A1402" s="54" t="str">
        <f>LEFT('Liste des étudiants'!$W1402,3)</f>
        <v>514</v>
      </c>
    </row>
    <row r="1403" spans="1:1" x14ac:dyDescent="0.25">
      <c r="A1403" s="54" t="str">
        <f>LEFT('Liste des étudiants'!$W1403,3)</f>
        <v>514</v>
      </c>
    </row>
    <row r="1404" spans="1:1" x14ac:dyDescent="0.25">
      <c r="A1404" s="54" t="str">
        <f>LEFT('Liste des étudiants'!$W1404,3)</f>
        <v>514</v>
      </c>
    </row>
    <row r="1405" spans="1:1" x14ac:dyDescent="0.25">
      <c r="A1405" s="54" t="str">
        <f>LEFT('Liste des étudiants'!$W1405,3)</f>
        <v>514</v>
      </c>
    </row>
    <row r="1406" spans="1:1" x14ac:dyDescent="0.25">
      <c r="A1406" s="54" t="str">
        <f>LEFT('Liste des étudiants'!$W1406,3)</f>
        <v>514</v>
      </c>
    </row>
    <row r="1407" spans="1:1" x14ac:dyDescent="0.25">
      <c r="A1407" s="54" t="str">
        <f>LEFT('Liste des étudiants'!$W1407,3)</f>
        <v>514</v>
      </c>
    </row>
    <row r="1408" spans="1:1" x14ac:dyDescent="0.25">
      <c r="A1408" s="54" t="str">
        <f>LEFT('Liste des étudiants'!$W1408,3)</f>
        <v>514</v>
      </c>
    </row>
    <row r="1409" spans="1:1" x14ac:dyDescent="0.25">
      <c r="A1409" s="54" t="str">
        <f>LEFT('Liste des étudiants'!$W1409,3)</f>
        <v>514</v>
      </c>
    </row>
    <row r="1410" spans="1:1" x14ac:dyDescent="0.25">
      <c r="A1410" s="54" t="str">
        <f>LEFT('Liste des étudiants'!$W1410,3)</f>
        <v>514</v>
      </c>
    </row>
    <row r="1411" spans="1:1" x14ac:dyDescent="0.25">
      <c r="A1411" s="54" t="str">
        <f>LEFT('Liste des étudiants'!$W1411,3)</f>
        <v>514</v>
      </c>
    </row>
    <row r="1412" spans="1:1" x14ac:dyDescent="0.25">
      <c r="A1412" s="54" t="str">
        <f>LEFT('Liste des étudiants'!$W1412,3)</f>
        <v>514</v>
      </c>
    </row>
    <row r="1413" spans="1:1" x14ac:dyDescent="0.25">
      <c r="A1413" s="54" t="str">
        <f>LEFT('Liste des étudiants'!$W1413,3)</f>
        <v>514</v>
      </c>
    </row>
    <row r="1414" spans="1:1" x14ac:dyDescent="0.25">
      <c r="A1414" s="54" t="str">
        <f>LEFT('Liste des étudiants'!$W1414,3)</f>
        <v>514</v>
      </c>
    </row>
    <row r="1415" spans="1:1" x14ac:dyDescent="0.25">
      <c r="A1415" s="54" t="str">
        <f>LEFT('Liste des étudiants'!$W1415,3)</f>
        <v>514</v>
      </c>
    </row>
    <row r="1416" spans="1:1" x14ac:dyDescent="0.25">
      <c r="A1416" s="54" t="str">
        <f>LEFT('Liste des étudiants'!$W1416,3)</f>
        <v>514</v>
      </c>
    </row>
    <row r="1417" spans="1:1" x14ac:dyDescent="0.25">
      <c r="A1417" s="54" t="str">
        <f>LEFT('Liste des étudiants'!$W1417,3)</f>
        <v>514</v>
      </c>
    </row>
    <row r="1418" spans="1:1" x14ac:dyDescent="0.25">
      <c r="A1418" s="54" t="str">
        <f>LEFT('Liste des étudiants'!$W1418,3)</f>
        <v>514</v>
      </c>
    </row>
    <row r="1419" spans="1:1" x14ac:dyDescent="0.25">
      <c r="A1419" s="54" t="str">
        <f>LEFT('Liste des étudiants'!$W1419,3)</f>
        <v>514</v>
      </c>
    </row>
    <row r="1420" spans="1:1" x14ac:dyDescent="0.25">
      <c r="A1420" s="54" t="str">
        <f>LEFT('Liste des étudiants'!$W1420,3)</f>
        <v>514</v>
      </c>
    </row>
    <row r="1421" spans="1:1" x14ac:dyDescent="0.25">
      <c r="A1421" s="54" t="str">
        <f>LEFT('Liste des étudiants'!$W1421,3)</f>
        <v>514</v>
      </c>
    </row>
    <row r="1422" spans="1:1" x14ac:dyDescent="0.25">
      <c r="A1422" s="54" t="str">
        <f>LEFT('Liste des étudiants'!$W1422,3)</f>
        <v>514</v>
      </c>
    </row>
    <row r="1423" spans="1:1" x14ac:dyDescent="0.25">
      <c r="A1423" s="54" t="str">
        <f>LEFT('Liste des étudiants'!$W1423,3)</f>
        <v>450</v>
      </c>
    </row>
    <row r="1424" spans="1:1" x14ac:dyDescent="0.25">
      <c r="A1424" s="54" t="str">
        <f>LEFT('Liste des étudiants'!$W1424,3)</f>
        <v>514</v>
      </c>
    </row>
    <row r="1425" spans="1:1" x14ac:dyDescent="0.25">
      <c r="A1425" s="54" t="str">
        <f>LEFT('Liste des étudiants'!$W1425,3)</f>
        <v>514</v>
      </c>
    </row>
    <row r="1426" spans="1:1" x14ac:dyDescent="0.25">
      <c r="A1426" s="54" t="str">
        <f>LEFT('Liste des étudiants'!$W1426,3)</f>
        <v>514</v>
      </c>
    </row>
    <row r="1427" spans="1:1" x14ac:dyDescent="0.25">
      <c r="A1427" s="54" t="str">
        <f>LEFT('Liste des étudiants'!$W1427,3)</f>
        <v>514</v>
      </c>
    </row>
    <row r="1428" spans="1:1" x14ac:dyDescent="0.25">
      <c r="A1428" s="54" t="str">
        <f>LEFT('Liste des étudiants'!$W1428,3)</f>
        <v>514</v>
      </c>
    </row>
    <row r="1429" spans="1:1" x14ac:dyDescent="0.25">
      <c r="A1429" s="54" t="str">
        <f>LEFT('Liste des étudiants'!$W1429,3)</f>
        <v>514</v>
      </c>
    </row>
    <row r="1430" spans="1:1" x14ac:dyDescent="0.25">
      <c r="A1430" s="54" t="str">
        <f>LEFT('Liste des étudiants'!$W1430,3)</f>
        <v>514</v>
      </c>
    </row>
    <row r="1431" spans="1:1" x14ac:dyDescent="0.25">
      <c r="A1431" s="54" t="str">
        <f>LEFT('Liste des étudiants'!$W1431,3)</f>
        <v>514</v>
      </c>
    </row>
    <row r="1432" spans="1:1" x14ac:dyDescent="0.25">
      <c r="A1432" s="54" t="str">
        <f>LEFT('Liste des étudiants'!$W1432,3)</f>
        <v>514</v>
      </c>
    </row>
    <row r="1433" spans="1:1" x14ac:dyDescent="0.25">
      <c r="A1433" s="54" t="str">
        <f>LEFT('Liste des étudiants'!$W1433,3)</f>
        <v>514</v>
      </c>
    </row>
    <row r="1434" spans="1:1" x14ac:dyDescent="0.25">
      <c r="A1434" s="54" t="str">
        <f>LEFT('Liste des étudiants'!$W1434,3)</f>
        <v>514</v>
      </c>
    </row>
    <row r="1435" spans="1:1" x14ac:dyDescent="0.25">
      <c r="A1435" s="54" t="str">
        <f>LEFT('Liste des étudiants'!$W1435,3)</f>
        <v>514</v>
      </c>
    </row>
    <row r="1436" spans="1:1" x14ac:dyDescent="0.25">
      <c r="A1436" s="54" t="str">
        <f>LEFT('Liste des étudiants'!$W1436,3)</f>
        <v>514</v>
      </c>
    </row>
    <row r="1437" spans="1:1" x14ac:dyDescent="0.25">
      <c r="A1437" s="54" t="str">
        <f>LEFT('Liste des étudiants'!$W1437,3)</f>
        <v>514</v>
      </c>
    </row>
    <row r="1438" spans="1:1" x14ac:dyDescent="0.25">
      <c r="A1438" s="54" t="str">
        <f>LEFT('Liste des étudiants'!$W1438,3)</f>
        <v>514</v>
      </c>
    </row>
    <row r="1439" spans="1:1" x14ac:dyDescent="0.25">
      <c r="A1439" s="54" t="str">
        <f>LEFT('Liste des étudiants'!$W1439,3)</f>
        <v>514</v>
      </c>
    </row>
    <row r="1440" spans="1:1" x14ac:dyDescent="0.25">
      <c r="A1440" s="54" t="str">
        <f>LEFT('Liste des étudiants'!$W1440,3)</f>
        <v>514</v>
      </c>
    </row>
    <row r="1441" spans="1:1" x14ac:dyDescent="0.25">
      <c r="A1441" s="54" t="str">
        <f>LEFT('Liste des étudiants'!$W1441,3)</f>
        <v>514</v>
      </c>
    </row>
    <row r="1442" spans="1:1" x14ac:dyDescent="0.25">
      <c r="A1442" s="54" t="str">
        <f>LEFT('Liste des étudiants'!$W1442,3)</f>
        <v>514</v>
      </c>
    </row>
    <row r="1443" spans="1:1" x14ac:dyDescent="0.25">
      <c r="A1443" s="54" t="str">
        <f>LEFT('Liste des étudiants'!$W1443,3)</f>
        <v>514</v>
      </c>
    </row>
    <row r="1444" spans="1:1" x14ac:dyDescent="0.25">
      <c r="A1444" s="54" t="str">
        <f>LEFT('Liste des étudiants'!$W1444,3)</f>
        <v>514</v>
      </c>
    </row>
    <row r="1445" spans="1:1" x14ac:dyDescent="0.25">
      <c r="A1445" s="54" t="str">
        <f>LEFT('Liste des étudiants'!$W1445,3)</f>
        <v>514</v>
      </c>
    </row>
    <row r="1446" spans="1:1" x14ac:dyDescent="0.25">
      <c r="A1446" s="54" t="str">
        <f>LEFT('Liste des étudiants'!$W1446,3)</f>
        <v>514</v>
      </c>
    </row>
    <row r="1447" spans="1:1" x14ac:dyDescent="0.25">
      <c r="A1447" s="54" t="str">
        <f>LEFT('Liste des étudiants'!$W1447,3)</f>
        <v>514</v>
      </c>
    </row>
    <row r="1448" spans="1:1" x14ac:dyDescent="0.25">
      <c r="A1448" s="54" t="str">
        <f>LEFT('Liste des étudiants'!$W1448,3)</f>
        <v>514</v>
      </c>
    </row>
    <row r="1449" spans="1:1" x14ac:dyDescent="0.25">
      <c r="A1449" s="54" t="str">
        <f>LEFT('Liste des étudiants'!$W1449,3)</f>
        <v>514</v>
      </c>
    </row>
    <row r="1450" spans="1:1" x14ac:dyDescent="0.25">
      <c r="A1450" s="54" t="str">
        <f>LEFT('Liste des étudiants'!$W1450,3)</f>
        <v>514</v>
      </c>
    </row>
    <row r="1451" spans="1:1" x14ac:dyDescent="0.25">
      <c r="A1451" s="54" t="str">
        <f>LEFT('Liste des étudiants'!$W1451,3)</f>
        <v>514</v>
      </c>
    </row>
    <row r="1452" spans="1:1" x14ac:dyDescent="0.25">
      <c r="A1452" s="54" t="str">
        <f>LEFT('Liste des étudiants'!$W1452,3)</f>
        <v>514</v>
      </c>
    </row>
    <row r="1453" spans="1:1" x14ac:dyDescent="0.25">
      <c r="A1453" s="54" t="str">
        <f>LEFT('Liste des étudiants'!$W1453,3)</f>
        <v>514</v>
      </c>
    </row>
    <row r="1454" spans="1:1" x14ac:dyDescent="0.25">
      <c r="A1454" s="54" t="str">
        <f>LEFT('Liste des étudiants'!$W1454,3)</f>
        <v>514</v>
      </c>
    </row>
    <row r="1455" spans="1:1" x14ac:dyDescent="0.25">
      <c r="A1455" s="54" t="str">
        <f>LEFT('Liste des étudiants'!$W1455,3)</f>
        <v>514</v>
      </c>
    </row>
    <row r="1456" spans="1:1" x14ac:dyDescent="0.25">
      <c r="A1456" s="54" t="str">
        <f>LEFT('Liste des étudiants'!$W1456,3)</f>
        <v>514</v>
      </c>
    </row>
    <row r="1457" spans="1:1" x14ac:dyDescent="0.25">
      <c r="A1457" s="54" t="str">
        <f>LEFT('Liste des étudiants'!$W1457,3)</f>
        <v>514</v>
      </c>
    </row>
    <row r="1458" spans="1:1" x14ac:dyDescent="0.25">
      <c r="A1458" s="54" t="str">
        <f>LEFT('Liste des étudiants'!$W1458,3)</f>
        <v>450</v>
      </c>
    </row>
    <row r="1459" spans="1:1" x14ac:dyDescent="0.25">
      <c r="A1459" s="54" t="str">
        <f>LEFT('Liste des étudiants'!$W1459,3)</f>
        <v>514</v>
      </c>
    </row>
    <row r="1460" spans="1:1" x14ac:dyDescent="0.25">
      <c r="A1460" s="54" t="str">
        <f>LEFT('Liste des étudiants'!$W1460,3)</f>
        <v>514</v>
      </c>
    </row>
    <row r="1461" spans="1:1" x14ac:dyDescent="0.25">
      <c r="A1461" s="54" t="str">
        <f>LEFT('Liste des étudiants'!$W1461,3)</f>
        <v>514</v>
      </c>
    </row>
    <row r="1462" spans="1:1" x14ac:dyDescent="0.25">
      <c r="A1462" s="54" t="str">
        <f>LEFT('Liste des étudiants'!$W1462,3)</f>
        <v>514</v>
      </c>
    </row>
    <row r="1463" spans="1:1" x14ac:dyDescent="0.25">
      <c r="A1463" s="54" t="str">
        <f>LEFT('Liste des étudiants'!$W1463,3)</f>
        <v>514</v>
      </c>
    </row>
    <row r="1464" spans="1:1" x14ac:dyDescent="0.25">
      <c r="A1464" s="54" t="str">
        <f>LEFT('Liste des étudiants'!$W1464,3)</f>
        <v>514</v>
      </c>
    </row>
    <row r="1465" spans="1:1" x14ac:dyDescent="0.25">
      <c r="A1465" s="54" t="str">
        <f>LEFT('Liste des étudiants'!$W1465,3)</f>
        <v>514</v>
      </c>
    </row>
    <row r="1466" spans="1:1" x14ac:dyDescent="0.25">
      <c r="A1466" s="54" t="str">
        <f>LEFT('Liste des étudiants'!$W1466,3)</f>
        <v>514</v>
      </c>
    </row>
    <row r="1467" spans="1:1" x14ac:dyDescent="0.25">
      <c r="A1467" s="54" t="str">
        <f>LEFT('Liste des étudiants'!$W1467,3)</f>
        <v>514</v>
      </c>
    </row>
    <row r="1468" spans="1:1" x14ac:dyDescent="0.25">
      <c r="A1468" s="54" t="str">
        <f>LEFT('Liste des étudiants'!$W1468,3)</f>
        <v>514</v>
      </c>
    </row>
    <row r="1469" spans="1:1" x14ac:dyDescent="0.25">
      <c r="A1469" s="54" t="str">
        <f>LEFT('Liste des étudiants'!$W1469,3)</f>
        <v>514</v>
      </c>
    </row>
    <row r="1470" spans="1:1" x14ac:dyDescent="0.25">
      <c r="A1470" s="54" t="str">
        <f>LEFT('Liste des étudiants'!$W1470,3)</f>
        <v>514</v>
      </c>
    </row>
    <row r="1471" spans="1:1" x14ac:dyDescent="0.25">
      <c r="A1471" s="54" t="str">
        <f>LEFT('Liste des étudiants'!$W1471,3)</f>
        <v>514</v>
      </c>
    </row>
    <row r="1472" spans="1:1" x14ac:dyDescent="0.25">
      <c r="A1472" s="54" t="str">
        <f>LEFT('Liste des étudiants'!$W1472,3)</f>
        <v>514</v>
      </c>
    </row>
    <row r="1473" spans="1:1" x14ac:dyDescent="0.25">
      <c r="A1473" s="54" t="str">
        <f>LEFT('Liste des étudiants'!$W1473,3)</f>
        <v>514</v>
      </c>
    </row>
    <row r="1474" spans="1:1" x14ac:dyDescent="0.25">
      <c r="A1474" s="54" t="str">
        <f>LEFT('Liste des étudiants'!$W1474,3)</f>
        <v>514</v>
      </c>
    </row>
    <row r="1475" spans="1:1" x14ac:dyDescent="0.25">
      <c r="A1475" s="54" t="str">
        <f>LEFT('Liste des étudiants'!$W1475,3)</f>
        <v>514</v>
      </c>
    </row>
    <row r="1476" spans="1:1" x14ac:dyDescent="0.25">
      <c r="A1476" s="54" t="str">
        <f>LEFT('Liste des étudiants'!$W1476,3)</f>
        <v>514</v>
      </c>
    </row>
    <row r="1477" spans="1:1" x14ac:dyDescent="0.25">
      <c r="A1477" s="54" t="str">
        <f>LEFT('Liste des étudiants'!$W1477,3)</f>
        <v>514</v>
      </c>
    </row>
    <row r="1478" spans="1:1" x14ac:dyDescent="0.25">
      <c r="A1478" s="54" t="str">
        <f>LEFT('Liste des étudiants'!$W1478,3)</f>
        <v>514</v>
      </c>
    </row>
    <row r="1479" spans="1:1" x14ac:dyDescent="0.25">
      <c r="A1479" s="54" t="str">
        <f>LEFT('Liste des étudiants'!$W1479,3)</f>
        <v>514</v>
      </c>
    </row>
    <row r="1480" spans="1:1" x14ac:dyDescent="0.25">
      <c r="A1480" s="54" t="str">
        <f>LEFT('Liste des étudiants'!$W1480,3)</f>
        <v>514</v>
      </c>
    </row>
    <row r="1481" spans="1:1" x14ac:dyDescent="0.25">
      <c r="A1481" s="54" t="str">
        <f>LEFT('Liste des étudiants'!$W1481,3)</f>
        <v>450</v>
      </c>
    </row>
    <row r="1482" spans="1:1" x14ac:dyDescent="0.25">
      <c r="A1482" s="54" t="str">
        <f>LEFT('Liste des étudiants'!$W1482,3)</f>
        <v>514</v>
      </c>
    </row>
    <row r="1483" spans="1:1" x14ac:dyDescent="0.25">
      <c r="A1483" s="54" t="str">
        <f>LEFT('Liste des étudiants'!$W1483,3)</f>
        <v>514</v>
      </c>
    </row>
    <row r="1484" spans="1:1" x14ac:dyDescent="0.25">
      <c r="A1484" s="54" t="str">
        <f>LEFT('Liste des étudiants'!$W1484,3)</f>
        <v>514</v>
      </c>
    </row>
    <row r="1485" spans="1:1" x14ac:dyDescent="0.25">
      <c r="A1485" s="54" t="str">
        <f>LEFT('Liste des étudiants'!$W1485,3)</f>
        <v>450</v>
      </c>
    </row>
    <row r="1486" spans="1:1" x14ac:dyDescent="0.25">
      <c r="A1486" s="54" t="str">
        <f>LEFT('Liste des étudiants'!$W1486,3)</f>
        <v>514</v>
      </c>
    </row>
    <row r="1487" spans="1:1" x14ac:dyDescent="0.25">
      <c r="A1487" s="54" t="str">
        <f>LEFT('Liste des étudiants'!$W1487,3)</f>
        <v>514</v>
      </c>
    </row>
    <row r="1488" spans="1:1" x14ac:dyDescent="0.25">
      <c r="A1488" s="54" t="str">
        <f>LEFT('Liste des étudiants'!$W1488,3)</f>
        <v>514</v>
      </c>
    </row>
    <row r="1489" spans="1:1" x14ac:dyDescent="0.25">
      <c r="A1489" s="54" t="str">
        <f>LEFT('Liste des étudiants'!$W1489,3)</f>
        <v>514</v>
      </c>
    </row>
    <row r="1490" spans="1:1" x14ac:dyDescent="0.25">
      <c r="A1490" s="54" t="str">
        <f>LEFT('Liste des étudiants'!$W1490,3)</f>
        <v>514</v>
      </c>
    </row>
    <row r="1491" spans="1:1" x14ac:dyDescent="0.25">
      <c r="A1491" s="54" t="str">
        <f>LEFT('Liste des étudiants'!$W1491,3)</f>
        <v>514</v>
      </c>
    </row>
    <row r="1492" spans="1:1" x14ac:dyDescent="0.25">
      <c r="A1492" s="54" t="str">
        <f>LEFT('Liste des étudiants'!$W1492,3)</f>
        <v>450</v>
      </c>
    </row>
    <row r="1493" spans="1:1" x14ac:dyDescent="0.25">
      <c r="A1493" s="54" t="str">
        <f>LEFT('Liste des étudiants'!$W1493,3)</f>
        <v>514</v>
      </c>
    </row>
    <row r="1494" spans="1:1" x14ac:dyDescent="0.25">
      <c r="A1494" s="54" t="str">
        <f>LEFT('Liste des étudiants'!$W1494,3)</f>
        <v>514</v>
      </c>
    </row>
    <row r="1495" spans="1:1" x14ac:dyDescent="0.25">
      <c r="A1495" s="54" t="str">
        <f>LEFT('Liste des étudiants'!$W1495,3)</f>
        <v>514</v>
      </c>
    </row>
    <row r="1496" spans="1:1" x14ac:dyDescent="0.25">
      <c r="A1496" s="54" t="str">
        <f>LEFT('Liste des étudiants'!$W1496,3)</f>
        <v>514</v>
      </c>
    </row>
    <row r="1497" spans="1:1" x14ac:dyDescent="0.25">
      <c r="A1497" s="54" t="str">
        <f>LEFT('Liste des étudiants'!$W1497,3)</f>
        <v>514</v>
      </c>
    </row>
    <row r="1498" spans="1:1" x14ac:dyDescent="0.25">
      <c r="A1498" s="54" t="str">
        <f>LEFT('Liste des étudiants'!$W1498,3)</f>
        <v>514</v>
      </c>
    </row>
    <row r="1499" spans="1:1" x14ac:dyDescent="0.25">
      <c r="A1499" s="54" t="str">
        <f>LEFT('Liste des étudiants'!$W1499,3)</f>
        <v>514</v>
      </c>
    </row>
    <row r="1500" spans="1:1" x14ac:dyDescent="0.25">
      <c r="A1500" s="54" t="str">
        <f>LEFT('Liste des étudiants'!$W1500,3)</f>
        <v>514</v>
      </c>
    </row>
    <row r="1501" spans="1:1" x14ac:dyDescent="0.25">
      <c r="A1501" s="54" t="str">
        <f>LEFT('Liste des étudiants'!$W1501,3)</f>
        <v>514</v>
      </c>
    </row>
    <row r="1502" spans="1:1" x14ac:dyDescent="0.25">
      <c r="A1502" s="54" t="str">
        <f>LEFT('Liste des étudiants'!$W1502,3)</f>
        <v>514</v>
      </c>
    </row>
    <row r="1503" spans="1:1" x14ac:dyDescent="0.25">
      <c r="A1503" s="54" t="str">
        <f>LEFT('Liste des étudiants'!$W1503,3)</f>
        <v>514</v>
      </c>
    </row>
    <row r="1504" spans="1:1" x14ac:dyDescent="0.25">
      <c r="A1504" s="54" t="str">
        <f>LEFT('Liste des étudiants'!$W1504,3)</f>
        <v>450</v>
      </c>
    </row>
    <row r="1505" spans="1:1" x14ac:dyDescent="0.25">
      <c r="A1505" s="54" t="str">
        <f>LEFT('Liste des étudiants'!$W1505,3)</f>
        <v>514</v>
      </c>
    </row>
    <row r="1506" spans="1:1" x14ac:dyDescent="0.25">
      <c r="A1506" s="54" t="str">
        <f>LEFT('Liste des étudiants'!$W1506,3)</f>
        <v>514</v>
      </c>
    </row>
    <row r="1507" spans="1:1" x14ac:dyDescent="0.25">
      <c r="A1507" s="54" t="str">
        <f>LEFT('Liste des étudiants'!$W1507,3)</f>
        <v>514</v>
      </c>
    </row>
    <row r="1508" spans="1:1" x14ac:dyDescent="0.25">
      <c r="A1508" s="54" t="str">
        <f>LEFT('Liste des étudiants'!$W1508,3)</f>
        <v>514</v>
      </c>
    </row>
    <row r="1509" spans="1:1" x14ac:dyDescent="0.25">
      <c r="A1509" s="54" t="str">
        <f>LEFT('Liste des étudiants'!$W1509,3)</f>
        <v>514</v>
      </c>
    </row>
    <row r="1510" spans="1:1" x14ac:dyDescent="0.25">
      <c r="A1510" s="54" t="str">
        <f>LEFT('Liste des étudiants'!$W1510,3)</f>
        <v>514</v>
      </c>
    </row>
    <row r="1511" spans="1:1" x14ac:dyDescent="0.25">
      <c r="A1511" s="54" t="str">
        <f>LEFT('Liste des étudiants'!$W1511,3)</f>
        <v>514</v>
      </c>
    </row>
    <row r="1512" spans="1:1" x14ac:dyDescent="0.25">
      <c r="A1512" s="54" t="str">
        <f>LEFT('Liste des étudiants'!$W1512,3)</f>
        <v>514</v>
      </c>
    </row>
    <row r="1513" spans="1:1" x14ac:dyDescent="0.25">
      <c r="A1513" s="54" t="str">
        <f>LEFT('Liste des étudiants'!$W1513,3)</f>
        <v>514</v>
      </c>
    </row>
    <row r="1514" spans="1:1" x14ac:dyDescent="0.25">
      <c r="A1514" s="54" t="str">
        <f>LEFT('Liste des étudiants'!$W1514,3)</f>
        <v>514</v>
      </c>
    </row>
    <row r="1515" spans="1:1" x14ac:dyDescent="0.25">
      <c r="A1515" s="54" t="str">
        <f>LEFT('Liste des étudiants'!$W1515,3)</f>
        <v>514</v>
      </c>
    </row>
    <row r="1516" spans="1:1" x14ac:dyDescent="0.25">
      <c r="A1516" s="54" t="str">
        <f>LEFT('Liste des étudiants'!$W1516,3)</f>
        <v>450</v>
      </c>
    </row>
    <row r="1517" spans="1:1" x14ac:dyDescent="0.25">
      <c r="A1517" s="54" t="str">
        <f>LEFT('Liste des étudiants'!$W1517,3)</f>
        <v>514</v>
      </c>
    </row>
    <row r="1518" spans="1:1" x14ac:dyDescent="0.25">
      <c r="A1518" s="54" t="str">
        <f>LEFT('Liste des étudiants'!$W1518,3)</f>
        <v>514</v>
      </c>
    </row>
    <row r="1519" spans="1:1" x14ac:dyDescent="0.25">
      <c r="A1519" s="54" t="str">
        <f>LEFT('Liste des étudiants'!$W1519,3)</f>
        <v>514</v>
      </c>
    </row>
    <row r="1520" spans="1:1" x14ac:dyDescent="0.25">
      <c r="A1520" s="54" t="str">
        <f>LEFT('Liste des étudiants'!$W1520,3)</f>
        <v>514</v>
      </c>
    </row>
    <row r="1521" spans="1:1" x14ac:dyDescent="0.25">
      <c r="A1521" s="54" t="str">
        <f>LEFT('Liste des étudiants'!$W1521,3)</f>
        <v>514</v>
      </c>
    </row>
    <row r="1522" spans="1:1" x14ac:dyDescent="0.25">
      <c r="A1522" s="54" t="str">
        <f>LEFT('Liste des étudiants'!$W1522,3)</f>
        <v>514</v>
      </c>
    </row>
    <row r="1523" spans="1:1" x14ac:dyDescent="0.25">
      <c r="A1523" s="54" t="str">
        <f>LEFT('Liste des étudiants'!$W1523,3)</f>
        <v>514</v>
      </c>
    </row>
    <row r="1524" spans="1:1" x14ac:dyDescent="0.25">
      <c r="A1524" s="54" t="str">
        <f>LEFT('Liste des étudiants'!$W1524,3)</f>
        <v>514</v>
      </c>
    </row>
    <row r="1525" spans="1:1" x14ac:dyDescent="0.25">
      <c r="A1525" s="54" t="str">
        <f>LEFT('Liste des étudiants'!$W1525,3)</f>
        <v>514</v>
      </c>
    </row>
    <row r="1526" spans="1:1" x14ac:dyDescent="0.25">
      <c r="A1526" s="54" t="str">
        <f>LEFT('Liste des étudiants'!$W1526,3)</f>
        <v>514</v>
      </c>
    </row>
    <row r="1527" spans="1:1" x14ac:dyDescent="0.25">
      <c r="A1527" s="54" t="str">
        <f>LEFT('Liste des étudiants'!$W1527,3)</f>
        <v>514</v>
      </c>
    </row>
    <row r="1528" spans="1:1" x14ac:dyDescent="0.25">
      <c r="A1528" s="54" t="str">
        <f>LEFT('Liste des étudiants'!$W1528,3)</f>
        <v>514</v>
      </c>
    </row>
    <row r="1529" spans="1:1" x14ac:dyDescent="0.25">
      <c r="A1529" s="54" t="str">
        <f>LEFT('Liste des étudiants'!$W1529,3)</f>
        <v>514</v>
      </c>
    </row>
    <row r="1530" spans="1:1" x14ac:dyDescent="0.25">
      <c r="A1530" s="54" t="str">
        <f>LEFT('Liste des étudiants'!$W1530,3)</f>
        <v>514</v>
      </c>
    </row>
    <row r="1531" spans="1:1" x14ac:dyDescent="0.25">
      <c r="A1531" s="54" t="str">
        <f>LEFT('Liste des étudiants'!$W1531,3)</f>
        <v>514</v>
      </c>
    </row>
    <row r="1532" spans="1:1" x14ac:dyDescent="0.25">
      <c r="A1532" s="54" t="str">
        <f>LEFT('Liste des étudiants'!$W1532,3)</f>
        <v>514</v>
      </c>
    </row>
    <row r="1533" spans="1:1" x14ac:dyDescent="0.25">
      <c r="A1533" s="54" t="str">
        <f>LEFT('Liste des étudiants'!$W1533,3)</f>
        <v>514</v>
      </c>
    </row>
    <row r="1534" spans="1:1" x14ac:dyDescent="0.25">
      <c r="A1534" s="54" t="str">
        <f>LEFT('Liste des étudiants'!$W1534,3)</f>
        <v>514</v>
      </c>
    </row>
    <row r="1535" spans="1:1" x14ac:dyDescent="0.25">
      <c r="A1535" s="54" t="str">
        <f>LEFT('Liste des étudiants'!$W1535,3)</f>
        <v>514</v>
      </c>
    </row>
    <row r="1536" spans="1:1" x14ac:dyDescent="0.25">
      <c r="A1536" s="54" t="str">
        <f>LEFT('Liste des étudiants'!$W1536,3)</f>
        <v>514</v>
      </c>
    </row>
    <row r="1537" spans="1:1" x14ac:dyDescent="0.25">
      <c r="A1537" s="54" t="str">
        <f>LEFT('Liste des étudiants'!$W1537,3)</f>
        <v>514</v>
      </c>
    </row>
    <row r="1538" spans="1:1" x14ac:dyDescent="0.25">
      <c r="A1538" s="54" t="str">
        <f>LEFT('Liste des étudiants'!$W1538,3)</f>
        <v>514</v>
      </c>
    </row>
    <row r="1539" spans="1:1" x14ac:dyDescent="0.25">
      <c r="A1539" s="54" t="str">
        <f>LEFT('Liste des étudiants'!$W1539,3)</f>
        <v>514</v>
      </c>
    </row>
    <row r="1540" spans="1:1" x14ac:dyDescent="0.25">
      <c r="A1540" s="54" t="str">
        <f>LEFT('Liste des étudiants'!$W1540,3)</f>
        <v>514</v>
      </c>
    </row>
    <row r="1541" spans="1:1" x14ac:dyDescent="0.25">
      <c r="A1541" s="54" t="str">
        <f>LEFT('Liste des étudiants'!$W1541,3)</f>
        <v>514</v>
      </c>
    </row>
    <row r="1542" spans="1:1" x14ac:dyDescent="0.25">
      <c r="A1542" s="54" t="str">
        <f>LEFT('Liste des étudiants'!$W1542,3)</f>
        <v>514</v>
      </c>
    </row>
    <row r="1543" spans="1:1" x14ac:dyDescent="0.25">
      <c r="A1543" s="54" t="str">
        <f>LEFT('Liste des étudiants'!$W1543,3)</f>
        <v>514</v>
      </c>
    </row>
    <row r="1544" spans="1:1" x14ac:dyDescent="0.25">
      <c r="A1544" s="54" t="str">
        <f>LEFT('Liste des étudiants'!$W1544,3)</f>
        <v>514</v>
      </c>
    </row>
    <row r="1545" spans="1:1" x14ac:dyDescent="0.25">
      <c r="A1545" s="54" t="str">
        <f>LEFT('Liste des étudiants'!$W1545,3)</f>
        <v>514</v>
      </c>
    </row>
    <row r="1546" spans="1:1" x14ac:dyDescent="0.25">
      <c r="A1546" s="54" t="str">
        <f>LEFT('Liste des étudiants'!$W1546,3)</f>
        <v>514</v>
      </c>
    </row>
    <row r="1547" spans="1:1" x14ac:dyDescent="0.25">
      <c r="A1547" s="54" t="str">
        <f>LEFT('Liste des étudiants'!$W1547,3)</f>
        <v>514</v>
      </c>
    </row>
    <row r="1548" spans="1:1" x14ac:dyDescent="0.25">
      <c r="A1548" s="54" t="str">
        <f>LEFT('Liste des étudiants'!$W1548,3)</f>
        <v>514</v>
      </c>
    </row>
    <row r="1549" spans="1:1" x14ac:dyDescent="0.25">
      <c r="A1549" s="54" t="str">
        <f>LEFT('Liste des étudiants'!$W1549,3)</f>
        <v>514</v>
      </c>
    </row>
    <row r="1550" spans="1:1" x14ac:dyDescent="0.25">
      <c r="A1550" s="54" t="str">
        <f>LEFT('Liste des étudiants'!$W1550,3)</f>
        <v>450</v>
      </c>
    </row>
    <row r="1551" spans="1:1" x14ac:dyDescent="0.25">
      <c r="A1551" s="54" t="str">
        <f>LEFT('Liste des étudiants'!$W1551,3)</f>
        <v>514</v>
      </c>
    </row>
    <row r="1552" spans="1:1" x14ac:dyDescent="0.25">
      <c r="A1552" s="54" t="str">
        <f>LEFT('Liste des étudiants'!$W1552,3)</f>
        <v>514</v>
      </c>
    </row>
    <row r="1553" spans="1:1" x14ac:dyDescent="0.25">
      <c r="A1553" s="54" t="str">
        <f>LEFT('Liste des étudiants'!$W1553,3)</f>
        <v>514</v>
      </c>
    </row>
    <row r="1554" spans="1:1" x14ac:dyDescent="0.25">
      <c r="A1554" s="54" t="str">
        <f>LEFT('Liste des étudiants'!$W1554,3)</f>
        <v>579</v>
      </c>
    </row>
    <row r="1555" spans="1:1" x14ac:dyDescent="0.25">
      <c r="A1555" s="54" t="str">
        <f>LEFT('Liste des étudiants'!$W1555,3)</f>
        <v>514</v>
      </c>
    </row>
    <row r="1556" spans="1:1" x14ac:dyDescent="0.25">
      <c r="A1556" s="54" t="str">
        <f>LEFT('Liste des étudiants'!$W1556,3)</f>
        <v>514</v>
      </c>
    </row>
    <row r="1557" spans="1:1" x14ac:dyDescent="0.25">
      <c r="A1557" s="54" t="str">
        <f>LEFT('Liste des étudiants'!$W1557,3)</f>
        <v>514</v>
      </c>
    </row>
    <row r="1558" spans="1:1" x14ac:dyDescent="0.25">
      <c r="A1558" s="54" t="str">
        <f>LEFT('Liste des étudiants'!$W1558,3)</f>
        <v>514</v>
      </c>
    </row>
    <row r="1559" spans="1:1" x14ac:dyDescent="0.25">
      <c r="A1559" s="54" t="str">
        <f>LEFT('Liste des étudiants'!$W1559,3)</f>
        <v>514</v>
      </c>
    </row>
    <row r="1560" spans="1:1" x14ac:dyDescent="0.25">
      <c r="A1560" s="54" t="str">
        <f>LEFT('Liste des étudiants'!$W1560,3)</f>
        <v>450</v>
      </c>
    </row>
    <row r="1561" spans="1:1" x14ac:dyDescent="0.25">
      <c r="A1561" s="54" t="str">
        <f>LEFT('Liste des étudiants'!$W1561,3)</f>
        <v>514</v>
      </c>
    </row>
    <row r="1562" spans="1:1" x14ac:dyDescent="0.25">
      <c r="A1562" s="54" t="str">
        <f>LEFT('Liste des étudiants'!$W1562,3)</f>
        <v>579</v>
      </c>
    </row>
    <row r="1563" spans="1:1" x14ac:dyDescent="0.25">
      <c r="A1563" s="54" t="str">
        <f>LEFT('Liste des étudiants'!$W1563,3)</f>
        <v>514</v>
      </c>
    </row>
    <row r="1564" spans="1:1" x14ac:dyDescent="0.25">
      <c r="A1564" s="54" t="str">
        <f>LEFT('Liste des étudiants'!$W1564,3)</f>
        <v>514</v>
      </c>
    </row>
    <row r="1565" spans="1:1" x14ac:dyDescent="0.25">
      <c r="A1565" s="54" t="str">
        <f>LEFT('Liste des étudiants'!$W1565,3)</f>
        <v>514</v>
      </c>
    </row>
    <row r="1566" spans="1:1" x14ac:dyDescent="0.25">
      <c r="A1566" s="54" t="str">
        <f>LEFT('Liste des étudiants'!$W1566,3)</f>
        <v>514</v>
      </c>
    </row>
    <row r="1567" spans="1:1" x14ac:dyDescent="0.25">
      <c r="A1567" s="54" t="str">
        <f>LEFT('Liste des étudiants'!$W1567,3)</f>
        <v>514</v>
      </c>
    </row>
    <row r="1568" spans="1:1" x14ac:dyDescent="0.25">
      <c r="A1568" s="54" t="str">
        <f>LEFT('Liste des étudiants'!$W1568,3)</f>
        <v>514</v>
      </c>
    </row>
    <row r="1569" spans="1:1" x14ac:dyDescent="0.25">
      <c r="A1569" s="54" t="str">
        <f>LEFT('Liste des étudiants'!$W1569,3)</f>
        <v>514</v>
      </c>
    </row>
    <row r="1570" spans="1:1" x14ac:dyDescent="0.25">
      <c r="A1570" s="54" t="str">
        <f>LEFT('Liste des étudiants'!$W1570,3)</f>
        <v>514</v>
      </c>
    </row>
    <row r="1571" spans="1:1" x14ac:dyDescent="0.25">
      <c r="A1571" s="54" t="str">
        <f>LEFT('Liste des étudiants'!$W1571,3)</f>
        <v>514</v>
      </c>
    </row>
    <row r="1572" spans="1:1" x14ac:dyDescent="0.25">
      <c r="A1572" s="54" t="str">
        <f>LEFT('Liste des étudiants'!$W1572,3)</f>
        <v>514</v>
      </c>
    </row>
    <row r="1573" spans="1:1" x14ac:dyDescent="0.25">
      <c r="A1573" s="54" t="str">
        <f>LEFT('Liste des étudiants'!$W1573,3)</f>
        <v>450</v>
      </c>
    </row>
    <row r="1574" spans="1:1" x14ac:dyDescent="0.25">
      <c r="A1574" s="54" t="str">
        <f>LEFT('Liste des étudiants'!$W1574,3)</f>
        <v>514</v>
      </c>
    </row>
    <row r="1575" spans="1:1" x14ac:dyDescent="0.25">
      <c r="A1575" s="54" t="str">
        <f>LEFT('Liste des étudiants'!$W1575,3)</f>
        <v>450</v>
      </c>
    </row>
    <row r="1576" spans="1:1" x14ac:dyDescent="0.25">
      <c r="A1576" s="54" t="str">
        <f>LEFT('Liste des étudiants'!$W1576,3)</f>
        <v>450</v>
      </c>
    </row>
    <row r="1577" spans="1:1" x14ac:dyDescent="0.25">
      <c r="A1577" s="54" t="str">
        <f>LEFT('Liste des étudiants'!$W1577,3)</f>
        <v>514</v>
      </c>
    </row>
    <row r="1578" spans="1:1" x14ac:dyDescent="0.25">
      <c r="A1578" s="54" t="str">
        <f>LEFT('Liste des étudiants'!$W1578,3)</f>
        <v>514</v>
      </c>
    </row>
    <row r="1579" spans="1:1" x14ac:dyDescent="0.25">
      <c r="A1579" s="54" t="str">
        <f>LEFT('Liste des étudiants'!$W1579,3)</f>
        <v>514</v>
      </c>
    </row>
    <row r="1580" spans="1:1" x14ac:dyDescent="0.25">
      <c r="A1580" s="54" t="str">
        <f>LEFT('Liste des étudiants'!$W1580,3)</f>
        <v>514</v>
      </c>
    </row>
    <row r="1581" spans="1:1" x14ac:dyDescent="0.25">
      <c r="A1581" s="54" t="str">
        <f>LEFT('Liste des étudiants'!$W1581,3)</f>
        <v>514</v>
      </c>
    </row>
    <row r="1582" spans="1:1" x14ac:dyDescent="0.25">
      <c r="A1582" s="54" t="str">
        <f>LEFT('Liste des étudiants'!$W1582,3)</f>
        <v>514</v>
      </c>
    </row>
    <row r="1583" spans="1:1" x14ac:dyDescent="0.25">
      <c r="A1583" s="54" t="str">
        <f>LEFT('Liste des étudiants'!$W1583,3)</f>
        <v>514</v>
      </c>
    </row>
    <row r="1584" spans="1:1" x14ac:dyDescent="0.25">
      <c r="A1584" s="54" t="str">
        <f>LEFT('Liste des étudiants'!$W1584,3)</f>
        <v>514</v>
      </c>
    </row>
    <row r="1585" spans="1:1" x14ac:dyDescent="0.25">
      <c r="A1585" s="54" t="str">
        <f>LEFT('Liste des étudiants'!$W1585,3)</f>
        <v>514</v>
      </c>
    </row>
    <row r="1586" spans="1:1" x14ac:dyDescent="0.25">
      <c r="A1586" s="54" t="str">
        <f>LEFT('Liste des étudiants'!$W1586,3)</f>
        <v>514</v>
      </c>
    </row>
    <row r="1587" spans="1:1" x14ac:dyDescent="0.25">
      <c r="A1587" s="54" t="str">
        <f>LEFT('Liste des étudiants'!$W1587,3)</f>
        <v>514</v>
      </c>
    </row>
    <row r="1588" spans="1:1" x14ac:dyDescent="0.25">
      <c r="A1588" s="54" t="str">
        <f>LEFT('Liste des étudiants'!$W1588,3)</f>
        <v>514</v>
      </c>
    </row>
    <row r="1589" spans="1:1" x14ac:dyDescent="0.25">
      <c r="A1589" s="54" t="str">
        <f>LEFT('Liste des étudiants'!$W1589,3)</f>
        <v>514</v>
      </c>
    </row>
    <row r="1590" spans="1:1" x14ac:dyDescent="0.25">
      <c r="A1590" s="54" t="str">
        <f>LEFT('Liste des étudiants'!$W1590,3)</f>
        <v>514</v>
      </c>
    </row>
    <row r="1591" spans="1:1" x14ac:dyDescent="0.25">
      <c r="A1591" s="54" t="str">
        <f>LEFT('Liste des étudiants'!$W1591,3)</f>
        <v>514</v>
      </c>
    </row>
    <row r="1592" spans="1:1" x14ac:dyDescent="0.25">
      <c r="A1592" s="54" t="str">
        <f>LEFT('Liste des étudiants'!$W1592,3)</f>
        <v>514</v>
      </c>
    </row>
    <row r="1593" spans="1:1" x14ac:dyDescent="0.25">
      <c r="A1593" s="54" t="str">
        <f>LEFT('Liste des étudiants'!$W1593,3)</f>
        <v>514</v>
      </c>
    </row>
    <row r="1594" spans="1:1" x14ac:dyDescent="0.25">
      <c r="A1594" s="54" t="str">
        <f>LEFT('Liste des étudiants'!$W1594,3)</f>
        <v>450</v>
      </c>
    </row>
    <row r="1595" spans="1:1" x14ac:dyDescent="0.25">
      <c r="A1595" s="54" t="str">
        <f>LEFT('Liste des étudiants'!$W1595,3)</f>
        <v>514</v>
      </c>
    </row>
    <row r="1596" spans="1:1" x14ac:dyDescent="0.25">
      <c r="A1596" s="54" t="str">
        <f>LEFT('Liste des étudiants'!$W1596,3)</f>
        <v>514</v>
      </c>
    </row>
    <row r="1597" spans="1:1" x14ac:dyDescent="0.25">
      <c r="A1597" s="54" t="str">
        <f>LEFT('Liste des étudiants'!$W1597,3)</f>
        <v>514</v>
      </c>
    </row>
    <row r="1598" spans="1:1" x14ac:dyDescent="0.25">
      <c r="A1598" s="54" t="str">
        <f>LEFT('Liste des étudiants'!$W1598,3)</f>
        <v>514</v>
      </c>
    </row>
    <row r="1599" spans="1:1" x14ac:dyDescent="0.25">
      <c r="A1599" s="54" t="str">
        <f>LEFT('Liste des étudiants'!$W1599,3)</f>
        <v>514</v>
      </c>
    </row>
    <row r="1600" spans="1:1" x14ac:dyDescent="0.25">
      <c r="A1600" s="54" t="str">
        <f>LEFT('Liste des étudiants'!$W1600,3)</f>
        <v>514</v>
      </c>
    </row>
    <row r="1601" spans="1:1" x14ac:dyDescent="0.25">
      <c r="A1601" s="54" t="str">
        <f>LEFT('Liste des étudiants'!$W1601,3)</f>
        <v>514</v>
      </c>
    </row>
    <row r="1602" spans="1:1" x14ac:dyDescent="0.25">
      <c r="A1602" s="54" t="str">
        <f>LEFT('Liste des étudiants'!$W1602,3)</f>
        <v>514</v>
      </c>
    </row>
    <row r="1603" spans="1:1" x14ac:dyDescent="0.25">
      <c r="A1603" s="54" t="str">
        <f>LEFT('Liste des étudiants'!$W1603,3)</f>
        <v>514</v>
      </c>
    </row>
    <row r="1604" spans="1:1" x14ac:dyDescent="0.25">
      <c r="A1604" s="54" t="str">
        <f>LEFT('Liste des étudiants'!$W1604,3)</f>
        <v>514</v>
      </c>
    </row>
    <row r="1605" spans="1:1" x14ac:dyDescent="0.25">
      <c r="A1605" s="54" t="str">
        <f>LEFT('Liste des étudiants'!$W1605,3)</f>
        <v>514</v>
      </c>
    </row>
    <row r="1606" spans="1:1" x14ac:dyDescent="0.25">
      <c r="A1606" s="54" t="str">
        <f>LEFT('Liste des étudiants'!$W1606,3)</f>
        <v>514</v>
      </c>
    </row>
    <row r="1607" spans="1:1" x14ac:dyDescent="0.25">
      <c r="A1607" s="54" t="str">
        <f>LEFT('Liste des étudiants'!$W1607,3)</f>
        <v>514</v>
      </c>
    </row>
    <row r="1608" spans="1:1" x14ac:dyDescent="0.25">
      <c r="A1608" s="54" t="str">
        <f>LEFT('Liste des étudiants'!$W1608,3)</f>
        <v>579</v>
      </c>
    </row>
    <row r="1609" spans="1:1" x14ac:dyDescent="0.25">
      <c r="A1609" s="54" t="str">
        <f>LEFT('Liste des étudiants'!$W1609,3)</f>
        <v>514</v>
      </c>
    </row>
    <row r="1610" spans="1:1" x14ac:dyDescent="0.25">
      <c r="A1610" s="54" t="str">
        <f>LEFT('Liste des étudiants'!$W1610,3)</f>
        <v>514</v>
      </c>
    </row>
    <row r="1611" spans="1:1" x14ac:dyDescent="0.25">
      <c r="A1611" s="54" t="str">
        <f>LEFT('Liste des étudiants'!$W1611,3)</f>
        <v>514</v>
      </c>
    </row>
    <row r="1612" spans="1:1" x14ac:dyDescent="0.25">
      <c r="A1612" s="54" t="str">
        <f>LEFT('Liste des étudiants'!$W1612,3)</f>
        <v>514</v>
      </c>
    </row>
    <row r="1613" spans="1:1" x14ac:dyDescent="0.25">
      <c r="A1613" s="54" t="str">
        <f>LEFT('Liste des étudiants'!$W1613,3)</f>
        <v>514</v>
      </c>
    </row>
    <row r="1614" spans="1:1" x14ac:dyDescent="0.25">
      <c r="A1614" s="54" t="str">
        <f>LEFT('Liste des étudiants'!$W1614,3)</f>
        <v>514</v>
      </c>
    </row>
    <row r="1615" spans="1:1" x14ac:dyDescent="0.25">
      <c r="A1615" s="54" t="str">
        <f>LEFT('Liste des étudiants'!$W1615,3)</f>
        <v>514</v>
      </c>
    </row>
    <row r="1616" spans="1:1" x14ac:dyDescent="0.25">
      <c r="A1616" s="54" t="str">
        <f>LEFT('Liste des étudiants'!$W1616,3)</f>
        <v>514</v>
      </c>
    </row>
    <row r="1617" spans="1:1" x14ac:dyDescent="0.25">
      <c r="A1617" s="54" t="str">
        <f>LEFT('Liste des étudiants'!$W1617,3)</f>
        <v>514</v>
      </c>
    </row>
    <row r="1618" spans="1:1" x14ac:dyDescent="0.25">
      <c r="A1618" s="54" t="str">
        <f>LEFT('Liste des étudiants'!$W1618,3)</f>
        <v>514</v>
      </c>
    </row>
    <row r="1619" spans="1:1" x14ac:dyDescent="0.25">
      <c r="A1619" s="54" t="str">
        <f>LEFT('Liste des étudiants'!$W1619,3)</f>
        <v>514</v>
      </c>
    </row>
    <row r="1620" spans="1:1" x14ac:dyDescent="0.25">
      <c r="A1620" s="54" t="str">
        <f>LEFT('Liste des étudiants'!$W1620,3)</f>
        <v>514</v>
      </c>
    </row>
    <row r="1621" spans="1:1" x14ac:dyDescent="0.25">
      <c r="A1621" s="54" t="str">
        <f>LEFT('Liste des étudiants'!$W1621,3)</f>
        <v>514</v>
      </c>
    </row>
    <row r="1622" spans="1:1" x14ac:dyDescent="0.25">
      <c r="A1622" s="54" t="str">
        <f>LEFT('Liste des étudiants'!$W1622,3)</f>
        <v>514</v>
      </c>
    </row>
    <row r="1623" spans="1:1" x14ac:dyDescent="0.25">
      <c r="A1623" s="54" t="str">
        <f>LEFT('Liste des étudiants'!$W1623,3)</f>
        <v>514</v>
      </c>
    </row>
    <row r="1624" spans="1:1" x14ac:dyDescent="0.25">
      <c r="A1624" s="54" t="str">
        <f>LEFT('Liste des étudiants'!$W1624,3)</f>
        <v>514</v>
      </c>
    </row>
    <row r="1625" spans="1:1" x14ac:dyDescent="0.25">
      <c r="A1625" s="54" t="str">
        <f>LEFT('Liste des étudiants'!$W1625,3)</f>
        <v>514</v>
      </c>
    </row>
    <row r="1626" spans="1:1" x14ac:dyDescent="0.25">
      <c r="A1626" s="54" t="str">
        <f>LEFT('Liste des étudiants'!$W1626,3)</f>
        <v>450</v>
      </c>
    </row>
    <row r="1627" spans="1:1" x14ac:dyDescent="0.25">
      <c r="A1627" s="54" t="str">
        <f>LEFT('Liste des étudiants'!$W1627,3)</f>
        <v>514</v>
      </c>
    </row>
    <row r="1628" spans="1:1" x14ac:dyDescent="0.25">
      <c r="A1628" s="54" t="str">
        <f>LEFT('Liste des étudiants'!$W1628,3)</f>
        <v>514</v>
      </c>
    </row>
    <row r="1629" spans="1:1" x14ac:dyDescent="0.25">
      <c r="A1629" s="54" t="str">
        <f>LEFT('Liste des étudiants'!$W1629,3)</f>
        <v>514</v>
      </c>
    </row>
    <row r="1630" spans="1:1" x14ac:dyDescent="0.25">
      <c r="A1630" s="54" t="str">
        <f>LEFT('Liste des étudiants'!$W1630,3)</f>
        <v>514</v>
      </c>
    </row>
    <row r="1631" spans="1:1" x14ac:dyDescent="0.25">
      <c r="A1631" s="54" t="str">
        <f>LEFT('Liste des étudiants'!$W1631,3)</f>
        <v>514</v>
      </c>
    </row>
    <row r="1632" spans="1:1" x14ac:dyDescent="0.25">
      <c r="A1632" s="54" t="str">
        <f>LEFT('Liste des étudiants'!$W1632,3)</f>
        <v>514</v>
      </c>
    </row>
    <row r="1633" spans="1:1" x14ac:dyDescent="0.25">
      <c r="A1633" s="54" t="str">
        <f>LEFT('Liste des étudiants'!$W1633,3)</f>
        <v>514</v>
      </c>
    </row>
    <row r="1634" spans="1:1" x14ac:dyDescent="0.25">
      <c r="A1634" s="54" t="str">
        <f>LEFT('Liste des étudiants'!$W1634,3)</f>
        <v>514</v>
      </c>
    </row>
    <row r="1635" spans="1:1" x14ac:dyDescent="0.25">
      <c r="A1635" s="54" t="str">
        <f>LEFT('Liste des étudiants'!$W1635,3)</f>
        <v>514</v>
      </c>
    </row>
    <row r="1636" spans="1:1" x14ac:dyDescent="0.25">
      <c r="A1636" s="54" t="str">
        <f>LEFT('Liste des étudiants'!$W1636,3)</f>
        <v>514</v>
      </c>
    </row>
    <row r="1637" spans="1:1" x14ac:dyDescent="0.25">
      <c r="A1637" s="54" t="str">
        <f>LEFT('Liste des étudiants'!$W1637,3)</f>
        <v>514</v>
      </c>
    </row>
    <row r="1638" spans="1:1" x14ac:dyDescent="0.25">
      <c r="A1638" s="54" t="str">
        <f>LEFT('Liste des étudiants'!$W1638,3)</f>
        <v>514</v>
      </c>
    </row>
    <row r="1639" spans="1:1" x14ac:dyDescent="0.25">
      <c r="A1639" s="54" t="str">
        <f>LEFT('Liste des étudiants'!$W1639,3)</f>
        <v>450</v>
      </c>
    </row>
    <row r="1640" spans="1:1" x14ac:dyDescent="0.25">
      <c r="A1640" s="54" t="str">
        <f>LEFT('Liste des étudiants'!$W1640,3)</f>
        <v>514</v>
      </c>
    </row>
    <row r="1641" spans="1:1" x14ac:dyDescent="0.25">
      <c r="A1641" s="54" t="str">
        <f>LEFT('Liste des étudiants'!$W1641,3)</f>
        <v>514</v>
      </c>
    </row>
    <row r="1642" spans="1:1" x14ac:dyDescent="0.25">
      <c r="A1642" s="54" t="str">
        <f>LEFT('Liste des étudiants'!$W1642,3)</f>
        <v>579</v>
      </c>
    </row>
    <row r="1643" spans="1:1" x14ac:dyDescent="0.25">
      <c r="A1643" s="54" t="str">
        <f>LEFT('Liste des étudiants'!$W1643,3)</f>
        <v>514</v>
      </c>
    </row>
    <row r="1644" spans="1:1" x14ac:dyDescent="0.25">
      <c r="A1644" s="54" t="str">
        <f>LEFT('Liste des étudiants'!$W1644,3)</f>
        <v>514</v>
      </c>
    </row>
    <row r="1645" spans="1:1" x14ac:dyDescent="0.25">
      <c r="A1645" s="54" t="str">
        <f>LEFT('Liste des étudiants'!$W1645,3)</f>
        <v>514</v>
      </c>
    </row>
    <row r="1646" spans="1:1" x14ac:dyDescent="0.25">
      <c r="A1646" s="54" t="str">
        <f>LEFT('Liste des étudiants'!$W1646,3)</f>
        <v>514</v>
      </c>
    </row>
    <row r="1647" spans="1:1" x14ac:dyDescent="0.25">
      <c r="A1647" s="54" t="str">
        <f>LEFT('Liste des étudiants'!$W1647,3)</f>
        <v>514</v>
      </c>
    </row>
    <row r="1648" spans="1:1" x14ac:dyDescent="0.25">
      <c r="A1648" s="54" t="str">
        <f>LEFT('Liste des étudiants'!$W1648,3)</f>
        <v>514</v>
      </c>
    </row>
    <row r="1649" spans="1:1" x14ac:dyDescent="0.25">
      <c r="A1649" s="54" t="str">
        <f>LEFT('Liste des étudiants'!$W1649,3)</f>
        <v>450</v>
      </c>
    </row>
    <row r="1650" spans="1:1" x14ac:dyDescent="0.25">
      <c r="A1650" s="54" t="str">
        <f>LEFT('Liste des étudiants'!$W1650,3)</f>
        <v>514</v>
      </c>
    </row>
    <row r="1651" spans="1:1" x14ac:dyDescent="0.25">
      <c r="A1651" s="54" t="str">
        <f>LEFT('Liste des étudiants'!$W1651,3)</f>
        <v>514</v>
      </c>
    </row>
    <row r="1652" spans="1:1" x14ac:dyDescent="0.25">
      <c r="A1652" s="54" t="str">
        <f>LEFT('Liste des étudiants'!$W1652,3)</f>
        <v>514</v>
      </c>
    </row>
    <row r="1653" spans="1:1" x14ac:dyDescent="0.25">
      <c r="A1653" s="54" t="str">
        <f>LEFT('Liste des étudiants'!$W1653,3)</f>
        <v>514</v>
      </c>
    </row>
    <row r="1654" spans="1:1" x14ac:dyDescent="0.25">
      <c r="A1654" s="54" t="str">
        <f>LEFT('Liste des étudiants'!$W1654,3)</f>
        <v>514</v>
      </c>
    </row>
    <row r="1655" spans="1:1" x14ac:dyDescent="0.25">
      <c r="A1655" s="54" t="str">
        <f>LEFT('Liste des étudiants'!$W1655,3)</f>
        <v>450</v>
      </c>
    </row>
    <row r="1656" spans="1:1" x14ac:dyDescent="0.25">
      <c r="A1656" s="54" t="str">
        <f>LEFT('Liste des étudiants'!$W1656,3)</f>
        <v>450</v>
      </c>
    </row>
    <row r="1657" spans="1:1" x14ac:dyDescent="0.25">
      <c r="A1657" s="54" t="str">
        <f>LEFT('Liste des étudiants'!$W1657,3)</f>
        <v>514</v>
      </c>
    </row>
    <row r="1658" spans="1:1" x14ac:dyDescent="0.25">
      <c r="A1658" s="54" t="str">
        <f>LEFT('Liste des étudiants'!$W1658,3)</f>
        <v>514</v>
      </c>
    </row>
    <row r="1659" spans="1:1" x14ac:dyDescent="0.25">
      <c r="A1659" s="54" t="str">
        <f>LEFT('Liste des étudiants'!$W1659,3)</f>
        <v>450</v>
      </c>
    </row>
    <row r="1660" spans="1:1" x14ac:dyDescent="0.25">
      <c r="A1660" s="54" t="str">
        <f>LEFT('Liste des étudiants'!$W1660,3)</f>
        <v>514</v>
      </c>
    </row>
    <row r="1661" spans="1:1" x14ac:dyDescent="0.25">
      <c r="A1661" s="54" t="str">
        <f>LEFT('Liste des étudiants'!$W1661,3)</f>
        <v>514</v>
      </c>
    </row>
    <row r="1662" spans="1:1" x14ac:dyDescent="0.25">
      <c r="A1662" s="54" t="str">
        <f>LEFT('Liste des étudiants'!$W1662,3)</f>
        <v>514</v>
      </c>
    </row>
    <row r="1663" spans="1:1" x14ac:dyDescent="0.25">
      <c r="A1663" s="54" t="str">
        <f>LEFT('Liste des étudiants'!$W1663,3)</f>
        <v>514</v>
      </c>
    </row>
    <row r="1664" spans="1:1" x14ac:dyDescent="0.25">
      <c r="A1664" s="54" t="str">
        <f>LEFT('Liste des étudiants'!$W1664,3)</f>
        <v>514</v>
      </c>
    </row>
    <row r="1665" spans="1:1" x14ac:dyDescent="0.25">
      <c r="A1665" s="54" t="str">
        <f>LEFT('Liste des étudiants'!$W1665,3)</f>
        <v>514</v>
      </c>
    </row>
    <row r="1666" spans="1:1" x14ac:dyDescent="0.25">
      <c r="A1666" s="54" t="str">
        <f>LEFT('Liste des étudiants'!$W1666,3)</f>
        <v>514</v>
      </c>
    </row>
    <row r="1667" spans="1:1" x14ac:dyDescent="0.25">
      <c r="A1667" s="54" t="str">
        <f>LEFT('Liste des étudiants'!$W1667,3)</f>
        <v>514</v>
      </c>
    </row>
    <row r="1668" spans="1:1" x14ac:dyDescent="0.25">
      <c r="A1668" s="54" t="str">
        <f>LEFT('Liste des étudiants'!$W1668,3)</f>
        <v>514</v>
      </c>
    </row>
    <row r="1669" spans="1:1" x14ac:dyDescent="0.25">
      <c r="A1669" s="54" t="str">
        <f>LEFT('Liste des étudiants'!$W1669,3)</f>
        <v>450</v>
      </c>
    </row>
    <row r="1670" spans="1:1" x14ac:dyDescent="0.25">
      <c r="A1670" s="54" t="str">
        <f>LEFT('Liste des étudiants'!$W1670,3)</f>
        <v>450</v>
      </c>
    </row>
    <row r="1671" spans="1:1" x14ac:dyDescent="0.25">
      <c r="A1671" s="54" t="str">
        <f>LEFT('Liste des étudiants'!$W1671,3)</f>
        <v>450</v>
      </c>
    </row>
    <row r="1672" spans="1:1" x14ac:dyDescent="0.25">
      <c r="A1672" s="54" t="str">
        <f>LEFT('Liste des étudiants'!$W1672,3)</f>
        <v>514</v>
      </c>
    </row>
    <row r="1673" spans="1:1" x14ac:dyDescent="0.25">
      <c r="A1673" s="54" t="str">
        <f>LEFT('Liste des étudiants'!$W1673,3)</f>
        <v>514</v>
      </c>
    </row>
    <row r="1674" spans="1:1" x14ac:dyDescent="0.25">
      <c r="A1674" s="54" t="str">
        <f>LEFT('Liste des étudiants'!$W1674,3)</f>
        <v>514</v>
      </c>
    </row>
    <row r="1675" spans="1:1" x14ac:dyDescent="0.25">
      <c r="A1675" s="54" t="str">
        <f>LEFT('Liste des étudiants'!$W1675,3)</f>
        <v>514</v>
      </c>
    </row>
    <row r="1676" spans="1:1" x14ac:dyDescent="0.25">
      <c r="A1676" s="54" t="str">
        <f>LEFT('Liste des étudiants'!$W1676,3)</f>
        <v>514</v>
      </c>
    </row>
    <row r="1677" spans="1:1" x14ac:dyDescent="0.25">
      <c r="A1677" s="54" t="str">
        <f>LEFT('Liste des étudiants'!$W1677,3)</f>
        <v>514</v>
      </c>
    </row>
    <row r="1678" spans="1:1" x14ac:dyDescent="0.25">
      <c r="A1678" s="54" t="str">
        <f>LEFT('Liste des étudiants'!$W1678,3)</f>
        <v>514</v>
      </c>
    </row>
    <row r="1679" spans="1:1" x14ac:dyDescent="0.25">
      <c r="A1679" s="54" t="str">
        <f>LEFT('Liste des étudiants'!$W1679,3)</f>
        <v>514</v>
      </c>
    </row>
    <row r="1680" spans="1:1" x14ac:dyDescent="0.25">
      <c r="A1680" s="54" t="str">
        <f>LEFT('Liste des étudiants'!$W1680,3)</f>
        <v>514</v>
      </c>
    </row>
    <row r="1681" spans="1:1" x14ac:dyDescent="0.25">
      <c r="A1681" s="54" t="str">
        <f>LEFT('Liste des étudiants'!$W1681,3)</f>
        <v>514</v>
      </c>
    </row>
    <row r="1682" spans="1:1" x14ac:dyDescent="0.25">
      <c r="A1682" s="54" t="str">
        <f>LEFT('Liste des étudiants'!$W1682,3)</f>
        <v>514</v>
      </c>
    </row>
    <row r="1683" spans="1:1" x14ac:dyDescent="0.25">
      <c r="A1683" s="54" t="str">
        <f>LEFT('Liste des étudiants'!$W1683,3)</f>
        <v>514</v>
      </c>
    </row>
    <row r="1684" spans="1:1" x14ac:dyDescent="0.25">
      <c r="A1684" s="54" t="str">
        <f>LEFT('Liste des étudiants'!$W1684,3)</f>
        <v>514</v>
      </c>
    </row>
    <row r="1685" spans="1:1" x14ac:dyDescent="0.25">
      <c r="A1685" s="54" t="str">
        <f>LEFT('Liste des étudiants'!$W1685,3)</f>
        <v>514</v>
      </c>
    </row>
    <row r="1686" spans="1:1" x14ac:dyDescent="0.25">
      <c r="A1686" s="54" t="str">
        <f>LEFT('Liste des étudiants'!$W1686,3)</f>
        <v>514</v>
      </c>
    </row>
    <row r="1687" spans="1:1" x14ac:dyDescent="0.25">
      <c r="A1687" s="54" t="str">
        <f>LEFT('Liste des étudiants'!$W1687,3)</f>
        <v>514</v>
      </c>
    </row>
    <row r="1688" spans="1:1" x14ac:dyDescent="0.25">
      <c r="A1688" s="54" t="str">
        <f>LEFT('Liste des étudiants'!$W1688,3)</f>
        <v>514</v>
      </c>
    </row>
    <row r="1689" spans="1:1" x14ac:dyDescent="0.25">
      <c r="A1689" s="54" t="str">
        <f>LEFT('Liste des étudiants'!$W1689,3)</f>
        <v>514</v>
      </c>
    </row>
    <row r="1690" spans="1:1" x14ac:dyDescent="0.25">
      <c r="A1690" s="54" t="str">
        <f>LEFT('Liste des étudiants'!$W1690,3)</f>
        <v>514</v>
      </c>
    </row>
    <row r="1691" spans="1:1" x14ac:dyDescent="0.25">
      <c r="A1691" s="54" t="str">
        <f>LEFT('Liste des étudiants'!$W1691,3)</f>
        <v>514</v>
      </c>
    </row>
    <row r="1692" spans="1:1" x14ac:dyDescent="0.25">
      <c r="A1692" s="54" t="str">
        <f>LEFT('Liste des étudiants'!$W1692,3)</f>
        <v>514</v>
      </c>
    </row>
    <row r="1693" spans="1:1" x14ac:dyDescent="0.25">
      <c r="A1693" s="54" t="str">
        <f>LEFT('Liste des étudiants'!$W1693,3)</f>
        <v>514</v>
      </c>
    </row>
    <row r="1694" spans="1:1" x14ac:dyDescent="0.25">
      <c r="A1694" s="54" t="str">
        <f>LEFT('Liste des étudiants'!$W1694,3)</f>
        <v>514</v>
      </c>
    </row>
    <row r="1695" spans="1:1" x14ac:dyDescent="0.25">
      <c r="A1695" s="54" t="str">
        <f>LEFT('Liste des étudiants'!$W1695,3)</f>
        <v>514</v>
      </c>
    </row>
    <row r="1696" spans="1:1" x14ac:dyDescent="0.25">
      <c r="A1696" s="54" t="str">
        <f>LEFT('Liste des étudiants'!$W1696,3)</f>
        <v>514</v>
      </c>
    </row>
    <row r="1697" spans="1:1" x14ac:dyDescent="0.25">
      <c r="A1697" s="54" t="str">
        <f>LEFT('Liste des étudiants'!$W1697,3)</f>
        <v>514</v>
      </c>
    </row>
    <row r="1698" spans="1:1" x14ac:dyDescent="0.25">
      <c r="A1698" s="54" t="str">
        <f>LEFT('Liste des étudiants'!$W1698,3)</f>
        <v>514</v>
      </c>
    </row>
    <row r="1699" spans="1:1" x14ac:dyDescent="0.25">
      <c r="A1699" s="54" t="str">
        <f>LEFT('Liste des étudiants'!$W1699,3)</f>
        <v>514</v>
      </c>
    </row>
    <row r="1700" spans="1:1" x14ac:dyDescent="0.25">
      <c r="A1700" s="54" t="str">
        <f>LEFT('Liste des étudiants'!$W1700,3)</f>
        <v>450</v>
      </c>
    </row>
    <row r="1701" spans="1:1" x14ac:dyDescent="0.25">
      <c r="A1701" s="54" t="str">
        <f>LEFT('Liste des étudiants'!$W1701,3)</f>
        <v>450</v>
      </c>
    </row>
    <row r="1702" spans="1:1" x14ac:dyDescent="0.25">
      <c r="A1702" s="54" t="str">
        <f>LEFT('Liste des étudiants'!$W1702,3)</f>
        <v>514</v>
      </c>
    </row>
    <row r="1703" spans="1:1" x14ac:dyDescent="0.25">
      <c r="A1703" s="54" t="str">
        <f>LEFT('Liste des étudiants'!$W1703,3)</f>
        <v>514</v>
      </c>
    </row>
    <row r="1704" spans="1:1" x14ac:dyDescent="0.25">
      <c r="A1704" s="54" t="str">
        <f>LEFT('Liste des étudiants'!$W1704,3)</f>
        <v>514</v>
      </c>
    </row>
    <row r="1705" spans="1:1" x14ac:dyDescent="0.25">
      <c r="A1705" s="54" t="str">
        <f>LEFT('Liste des étudiants'!$W1705,3)</f>
        <v>514</v>
      </c>
    </row>
    <row r="1706" spans="1:1" x14ac:dyDescent="0.25">
      <c r="A1706" s="54" t="str">
        <f>LEFT('Liste des étudiants'!$W1706,3)</f>
        <v>514</v>
      </c>
    </row>
    <row r="1707" spans="1:1" x14ac:dyDescent="0.25">
      <c r="A1707" s="54" t="str">
        <f>LEFT('Liste des étudiants'!$W1707,3)</f>
        <v>514</v>
      </c>
    </row>
    <row r="1708" spans="1:1" x14ac:dyDescent="0.25">
      <c r="A1708" s="54" t="str">
        <f>LEFT('Liste des étudiants'!$W1708,3)</f>
        <v>450</v>
      </c>
    </row>
    <row r="1709" spans="1:1" x14ac:dyDescent="0.25">
      <c r="A1709" s="54" t="str">
        <f>LEFT('Liste des étudiants'!$W1709,3)</f>
        <v>450</v>
      </c>
    </row>
    <row r="1710" spans="1:1" x14ac:dyDescent="0.25">
      <c r="A1710" s="54" t="str">
        <f>LEFT('Liste des étudiants'!$W1710,3)</f>
        <v>450</v>
      </c>
    </row>
    <row r="1711" spans="1:1" x14ac:dyDescent="0.25">
      <c r="A1711" s="54" t="str">
        <f>LEFT('Liste des étudiants'!$W1711,3)</f>
        <v>450</v>
      </c>
    </row>
    <row r="1712" spans="1:1" x14ac:dyDescent="0.25">
      <c r="A1712" s="54" t="str">
        <f>LEFT('Liste des étudiants'!$W1712,3)</f>
        <v>450</v>
      </c>
    </row>
    <row r="1713" spans="1:1" x14ac:dyDescent="0.25">
      <c r="A1713" s="54" t="str">
        <f>LEFT('Liste des étudiants'!$W1713,3)</f>
        <v>450</v>
      </c>
    </row>
    <row r="1714" spans="1:1" x14ac:dyDescent="0.25">
      <c r="A1714" s="54" t="str">
        <f>LEFT('Liste des étudiants'!$W1714,3)</f>
        <v>450</v>
      </c>
    </row>
    <row r="1715" spans="1:1" x14ac:dyDescent="0.25">
      <c r="A1715" s="54" t="str">
        <f>LEFT('Liste des étudiants'!$W1715,3)</f>
        <v>450</v>
      </c>
    </row>
    <row r="1716" spans="1:1" x14ac:dyDescent="0.25">
      <c r="A1716" s="54" t="str">
        <f>LEFT('Liste des étudiants'!$W1716,3)</f>
        <v>450</v>
      </c>
    </row>
    <row r="1717" spans="1:1" x14ac:dyDescent="0.25">
      <c r="A1717" s="54" t="str">
        <f>LEFT('Liste des étudiants'!$W1717,3)</f>
        <v>450</v>
      </c>
    </row>
    <row r="1718" spans="1:1" x14ac:dyDescent="0.25">
      <c r="A1718" s="54" t="str">
        <f>LEFT('Liste des étudiants'!$W1718,3)</f>
        <v>450</v>
      </c>
    </row>
    <row r="1719" spans="1:1" x14ac:dyDescent="0.25">
      <c r="A1719" s="54" t="str">
        <f>LEFT('Liste des étudiants'!$W1719,3)</f>
        <v>450</v>
      </c>
    </row>
    <row r="1720" spans="1:1" x14ac:dyDescent="0.25">
      <c r="A1720" s="54" t="str">
        <f>LEFT('Liste des étudiants'!$W1720,3)</f>
        <v>450</v>
      </c>
    </row>
    <row r="1721" spans="1:1" x14ac:dyDescent="0.25">
      <c r="A1721" s="54" t="str">
        <f>LEFT('Liste des étudiants'!$W1721,3)</f>
        <v>450</v>
      </c>
    </row>
    <row r="1722" spans="1:1" x14ac:dyDescent="0.25">
      <c r="A1722" s="54" t="str">
        <f>LEFT('Liste des étudiants'!$W1722,3)</f>
        <v>450</v>
      </c>
    </row>
    <row r="1723" spans="1:1" x14ac:dyDescent="0.25">
      <c r="A1723" s="54" t="str">
        <f>LEFT('Liste des étudiants'!$W1723,3)</f>
        <v>450</v>
      </c>
    </row>
    <row r="1724" spans="1:1" x14ac:dyDescent="0.25">
      <c r="A1724" s="54" t="str">
        <f>LEFT('Liste des étudiants'!$W1724,3)</f>
        <v>450</v>
      </c>
    </row>
    <row r="1725" spans="1:1" x14ac:dyDescent="0.25">
      <c r="A1725" s="54" t="str">
        <f>LEFT('Liste des étudiants'!$W1725,3)</f>
        <v>450</v>
      </c>
    </row>
    <row r="1726" spans="1:1" x14ac:dyDescent="0.25">
      <c r="A1726" s="54" t="str">
        <f>LEFT('Liste des étudiants'!$W1726,3)</f>
        <v>450</v>
      </c>
    </row>
    <row r="1727" spans="1:1" x14ac:dyDescent="0.25">
      <c r="A1727" s="54" t="str">
        <f>LEFT('Liste des étudiants'!$W1727,3)</f>
        <v>450</v>
      </c>
    </row>
    <row r="1728" spans="1:1" x14ac:dyDescent="0.25">
      <c r="A1728" s="54" t="str">
        <f>LEFT('Liste des étudiants'!$W1728,3)</f>
        <v>450</v>
      </c>
    </row>
    <row r="1729" spans="1:1" x14ac:dyDescent="0.25">
      <c r="A1729" s="54" t="str">
        <f>LEFT('Liste des étudiants'!$W1729,3)</f>
        <v>450</v>
      </c>
    </row>
    <row r="1730" spans="1:1" x14ac:dyDescent="0.25">
      <c r="A1730" s="54" t="str">
        <f>LEFT('Liste des étudiants'!$W1730,3)</f>
        <v>450</v>
      </c>
    </row>
    <row r="1731" spans="1:1" x14ac:dyDescent="0.25">
      <c r="A1731" s="54" t="str">
        <f>LEFT('Liste des étudiants'!$W1731,3)</f>
        <v>450</v>
      </c>
    </row>
    <row r="1732" spans="1:1" x14ac:dyDescent="0.25">
      <c r="A1732" s="54" t="str">
        <f>LEFT('Liste des étudiants'!$W1732,3)</f>
        <v>450</v>
      </c>
    </row>
    <row r="1733" spans="1:1" x14ac:dyDescent="0.25">
      <c r="A1733" s="54" t="str">
        <f>LEFT('Liste des étudiants'!$W1733,3)</f>
        <v>450</v>
      </c>
    </row>
    <row r="1734" spans="1:1" x14ac:dyDescent="0.25">
      <c r="A1734" s="54" t="str">
        <f>LEFT('Liste des étudiants'!$W1734,3)</f>
        <v>450</v>
      </c>
    </row>
    <row r="1735" spans="1:1" x14ac:dyDescent="0.25">
      <c r="A1735" s="54" t="str">
        <f>LEFT('Liste des étudiants'!$W1735,3)</f>
        <v>450</v>
      </c>
    </row>
    <row r="1736" spans="1:1" x14ac:dyDescent="0.25">
      <c r="A1736" s="54" t="str">
        <f>LEFT('Liste des étudiants'!$W1736,3)</f>
        <v>450</v>
      </c>
    </row>
    <row r="1737" spans="1:1" x14ac:dyDescent="0.25">
      <c r="A1737" s="54" t="str">
        <f>LEFT('Liste des étudiants'!$W1737,3)</f>
        <v>450</v>
      </c>
    </row>
    <row r="1738" spans="1:1" x14ac:dyDescent="0.25">
      <c r="A1738" s="54" t="str">
        <f>LEFT('Liste des étudiants'!$W1738,3)</f>
        <v>450</v>
      </c>
    </row>
    <row r="1739" spans="1:1" x14ac:dyDescent="0.25">
      <c r="A1739" s="54" t="str">
        <f>LEFT('Liste des étudiants'!$W1739,3)</f>
        <v>450</v>
      </c>
    </row>
    <row r="1740" spans="1:1" x14ac:dyDescent="0.25">
      <c r="A1740" s="54" t="str">
        <f>LEFT('Liste des étudiants'!$W1740,3)</f>
        <v>450</v>
      </c>
    </row>
    <row r="1741" spans="1:1" x14ac:dyDescent="0.25">
      <c r="A1741" s="54" t="str">
        <f>LEFT('Liste des étudiants'!$W1741,3)</f>
        <v>450</v>
      </c>
    </row>
    <row r="1742" spans="1:1" x14ac:dyDescent="0.25">
      <c r="A1742" s="54" t="str">
        <f>LEFT('Liste des étudiants'!$W1742,3)</f>
        <v>450</v>
      </c>
    </row>
    <row r="1743" spans="1:1" x14ac:dyDescent="0.25">
      <c r="A1743" s="54" t="str">
        <f>LEFT('Liste des étudiants'!$W1743,3)</f>
        <v>450</v>
      </c>
    </row>
    <row r="1744" spans="1:1" x14ac:dyDescent="0.25">
      <c r="A1744" s="54" t="str">
        <f>LEFT('Liste des étudiants'!$W1744,3)</f>
        <v>450</v>
      </c>
    </row>
    <row r="1745" spans="1:1" x14ac:dyDescent="0.25">
      <c r="A1745" s="54" t="str">
        <f>LEFT('Liste des étudiants'!$W1745,3)</f>
        <v>450</v>
      </c>
    </row>
    <row r="1746" spans="1:1" x14ac:dyDescent="0.25">
      <c r="A1746" s="54" t="str">
        <f>LEFT('Liste des étudiants'!$W1746,3)</f>
        <v>450</v>
      </c>
    </row>
    <row r="1747" spans="1:1" x14ac:dyDescent="0.25">
      <c r="A1747" s="54" t="str">
        <f>LEFT('Liste des étudiants'!$W1747,3)</f>
        <v>450</v>
      </c>
    </row>
    <row r="1748" spans="1:1" x14ac:dyDescent="0.25">
      <c r="A1748" s="54" t="str">
        <f>LEFT('Liste des étudiants'!$W1748,3)</f>
        <v>450</v>
      </c>
    </row>
    <row r="1749" spans="1:1" x14ac:dyDescent="0.25">
      <c r="A1749" s="54" t="str">
        <f>LEFT('Liste des étudiants'!$W1749,3)</f>
        <v>450</v>
      </c>
    </row>
    <row r="1750" spans="1:1" x14ac:dyDescent="0.25">
      <c r="A1750" s="54" t="str">
        <f>LEFT('Liste des étudiants'!$W1750,3)</f>
        <v>450</v>
      </c>
    </row>
    <row r="1751" spans="1:1" x14ac:dyDescent="0.25">
      <c r="A1751" s="54" t="str">
        <f>LEFT('Liste des étudiants'!$W1751,3)</f>
        <v>450</v>
      </c>
    </row>
    <row r="1752" spans="1:1" x14ac:dyDescent="0.25">
      <c r="A1752" s="54" t="str">
        <f>LEFT('Liste des étudiants'!$W1752,3)</f>
        <v>450</v>
      </c>
    </row>
    <row r="1753" spans="1:1" x14ac:dyDescent="0.25">
      <c r="A1753" s="54" t="str">
        <f>LEFT('Liste des étudiants'!$W1753,3)</f>
        <v>450</v>
      </c>
    </row>
    <row r="1754" spans="1:1" x14ac:dyDescent="0.25">
      <c r="A1754" s="54" t="str">
        <f>LEFT('Liste des étudiants'!$W1754,3)</f>
        <v>450</v>
      </c>
    </row>
    <row r="1755" spans="1:1" x14ac:dyDescent="0.25">
      <c r="A1755" s="54" t="str">
        <f>LEFT('Liste des étudiants'!$W1755,3)</f>
        <v>450</v>
      </c>
    </row>
    <row r="1756" spans="1:1" x14ac:dyDescent="0.25">
      <c r="A1756" s="54" t="str">
        <f>LEFT('Liste des étudiants'!$W1756,3)</f>
        <v>450</v>
      </c>
    </row>
    <row r="1757" spans="1:1" x14ac:dyDescent="0.25">
      <c r="A1757" s="54" t="str">
        <f>LEFT('Liste des étudiants'!$W1757,3)</f>
        <v>450</v>
      </c>
    </row>
    <row r="1758" spans="1:1" x14ac:dyDescent="0.25">
      <c r="A1758" s="54" t="str">
        <f>LEFT('Liste des étudiants'!$W1758,3)</f>
        <v>450</v>
      </c>
    </row>
    <row r="1759" spans="1:1" x14ac:dyDescent="0.25">
      <c r="A1759" s="54" t="str">
        <f>LEFT('Liste des étudiants'!$W1759,3)</f>
        <v>450</v>
      </c>
    </row>
    <row r="1760" spans="1:1" x14ac:dyDescent="0.25">
      <c r="A1760" s="54" t="str">
        <f>LEFT('Liste des étudiants'!$W1760,3)</f>
        <v>450</v>
      </c>
    </row>
    <row r="1761" spans="1:1" x14ac:dyDescent="0.25">
      <c r="A1761" s="54" t="str">
        <f>LEFT('Liste des étudiants'!$W1761,3)</f>
        <v>450</v>
      </c>
    </row>
    <row r="1762" spans="1:1" x14ac:dyDescent="0.25">
      <c r="A1762" s="54" t="str">
        <f>LEFT('Liste des étudiants'!$W1762,3)</f>
        <v>450</v>
      </c>
    </row>
    <row r="1763" spans="1:1" x14ac:dyDescent="0.25">
      <c r="A1763" s="54" t="str">
        <f>LEFT('Liste des étudiants'!$W1763,3)</f>
        <v>450</v>
      </c>
    </row>
    <row r="1764" spans="1:1" x14ac:dyDescent="0.25">
      <c r="A1764" s="54" t="str">
        <f>LEFT('Liste des étudiants'!$W1764,3)</f>
        <v>450</v>
      </c>
    </row>
    <row r="1765" spans="1:1" x14ac:dyDescent="0.25">
      <c r="A1765" s="54" t="str">
        <f>LEFT('Liste des étudiants'!$W1765,3)</f>
        <v>450</v>
      </c>
    </row>
    <row r="1766" spans="1:1" x14ac:dyDescent="0.25">
      <c r="A1766" s="54" t="str">
        <f>LEFT('Liste des étudiants'!$W1766,3)</f>
        <v>450</v>
      </c>
    </row>
    <row r="1767" spans="1:1" x14ac:dyDescent="0.25">
      <c r="A1767" s="54" t="str">
        <f>LEFT('Liste des étudiants'!$W1767,3)</f>
        <v>450</v>
      </c>
    </row>
    <row r="1768" spans="1:1" x14ac:dyDescent="0.25">
      <c r="A1768" s="54" t="str">
        <f>LEFT('Liste des étudiants'!$W1768,3)</f>
        <v>450</v>
      </c>
    </row>
    <row r="1769" spans="1:1" x14ac:dyDescent="0.25">
      <c r="A1769" s="54" t="str">
        <f>LEFT('Liste des étudiants'!$W1769,3)</f>
        <v>450</v>
      </c>
    </row>
    <row r="1770" spans="1:1" x14ac:dyDescent="0.25">
      <c r="A1770" s="54" t="str">
        <f>LEFT('Liste des étudiants'!$W1770,3)</f>
        <v>450</v>
      </c>
    </row>
    <row r="1771" spans="1:1" x14ac:dyDescent="0.25">
      <c r="A1771" s="54" t="str">
        <f>LEFT('Liste des étudiants'!$W1771,3)</f>
        <v>450</v>
      </c>
    </row>
    <row r="1772" spans="1:1" x14ac:dyDescent="0.25">
      <c r="A1772" s="54" t="str">
        <f>LEFT('Liste des étudiants'!$W1772,3)</f>
        <v>450</v>
      </c>
    </row>
    <row r="1773" spans="1:1" x14ac:dyDescent="0.25">
      <c r="A1773" s="54" t="str">
        <f>LEFT('Liste des étudiants'!$W1773,3)</f>
        <v>450</v>
      </c>
    </row>
    <row r="1774" spans="1:1" x14ac:dyDescent="0.25">
      <c r="A1774" s="54" t="str">
        <f>LEFT('Liste des étudiants'!$W1774,3)</f>
        <v>450</v>
      </c>
    </row>
    <row r="1775" spans="1:1" x14ac:dyDescent="0.25">
      <c r="A1775" s="54" t="str">
        <f>LEFT('Liste des étudiants'!$W1775,3)</f>
        <v>450</v>
      </c>
    </row>
    <row r="1776" spans="1:1" x14ac:dyDescent="0.25">
      <c r="A1776" s="54" t="str">
        <f>LEFT('Liste des étudiants'!$W1776,3)</f>
        <v>450</v>
      </c>
    </row>
    <row r="1777" spans="1:1" x14ac:dyDescent="0.25">
      <c r="A1777" s="54" t="str">
        <f>LEFT('Liste des étudiants'!$W1777,3)</f>
        <v>450</v>
      </c>
    </row>
    <row r="1778" spans="1:1" x14ac:dyDescent="0.25">
      <c r="A1778" s="54" t="str">
        <f>LEFT('Liste des étudiants'!$W1778,3)</f>
        <v>450</v>
      </c>
    </row>
    <row r="1779" spans="1:1" x14ac:dyDescent="0.25">
      <c r="A1779" s="54" t="str">
        <f>LEFT('Liste des étudiants'!$W1779,3)</f>
        <v>450</v>
      </c>
    </row>
    <row r="1780" spans="1:1" x14ac:dyDescent="0.25">
      <c r="A1780" s="54" t="str">
        <f>LEFT('Liste des étudiants'!$W1780,3)</f>
        <v>450</v>
      </c>
    </row>
    <row r="1781" spans="1:1" x14ac:dyDescent="0.25">
      <c r="A1781" s="54" t="str">
        <f>LEFT('Liste des étudiants'!$W1781,3)</f>
        <v>450</v>
      </c>
    </row>
    <row r="1782" spans="1:1" x14ac:dyDescent="0.25">
      <c r="A1782" s="54" t="str">
        <f>LEFT('Liste des étudiants'!$W1782,3)</f>
        <v>450</v>
      </c>
    </row>
    <row r="1783" spans="1:1" x14ac:dyDescent="0.25">
      <c r="A1783" s="54" t="str">
        <f>LEFT('Liste des étudiants'!$W1783,3)</f>
        <v>450</v>
      </c>
    </row>
    <row r="1784" spans="1:1" x14ac:dyDescent="0.25">
      <c r="A1784" s="54" t="str">
        <f>LEFT('Liste des étudiants'!$W1784,3)</f>
        <v>450</v>
      </c>
    </row>
    <row r="1785" spans="1:1" x14ac:dyDescent="0.25">
      <c r="A1785" s="54" t="str">
        <f>LEFT('Liste des étudiants'!$W1785,3)</f>
        <v>450</v>
      </c>
    </row>
    <row r="1786" spans="1:1" x14ac:dyDescent="0.25">
      <c r="A1786" s="54" t="str">
        <f>LEFT('Liste des étudiants'!$W1786,3)</f>
        <v>450</v>
      </c>
    </row>
    <row r="1787" spans="1:1" x14ac:dyDescent="0.25">
      <c r="A1787" s="54" t="str">
        <f>LEFT('Liste des étudiants'!$W1787,3)</f>
        <v>450</v>
      </c>
    </row>
    <row r="1788" spans="1:1" x14ac:dyDescent="0.25">
      <c r="A1788" s="54" t="str">
        <f>LEFT('Liste des étudiants'!$W1788,3)</f>
        <v>450</v>
      </c>
    </row>
    <row r="1789" spans="1:1" x14ac:dyDescent="0.25">
      <c r="A1789" s="54" t="str">
        <f>LEFT('Liste des étudiants'!$W1789,3)</f>
        <v>450</v>
      </c>
    </row>
    <row r="1790" spans="1:1" x14ac:dyDescent="0.25">
      <c r="A1790" s="54" t="str">
        <f>LEFT('Liste des étudiants'!$W1790,3)</f>
        <v>450</v>
      </c>
    </row>
    <row r="1791" spans="1:1" x14ac:dyDescent="0.25">
      <c r="A1791" s="54" t="str">
        <f>LEFT('Liste des étudiants'!$W1791,3)</f>
        <v>450</v>
      </c>
    </row>
    <row r="1792" spans="1:1" x14ac:dyDescent="0.25">
      <c r="A1792" s="54" t="str">
        <f>LEFT('Liste des étudiants'!$W1792,3)</f>
        <v>450</v>
      </c>
    </row>
    <row r="1793" spans="1:1" x14ac:dyDescent="0.25">
      <c r="A1793" s="54" t="str">
        <f>LEFT('Liste des étudiants'!$W1793,3)</f>
        <v>450</v>
      </c>
    </row>
    <row r="1794" spans="1:1" x14ac:dyDescent="0.25">
      <c r="A1794" s="54" t="str">
        <f>LEFT('Liste des étudiants'!$W1794,3)</f>
        <v>450</v>
      </c>
    </row>
    <row r="1795" spans="1:1" x14ac:dyDescent="0.25">
      <c r="A1795" s="54" t="str">
        <f>LEFT('Liste des étudiants'!$W1795,3)</f>
        <v>450</v>
      </c>
    </row>
    <row r="1796" spans="1:1" x14ac:dyDescent="0.25">
      <c r="A1796" s="54" t="str">
        <f>LEFT('Liste des étudiants'!$W1796,3)</f>
        <v>450</v>
      </c>
    </row>
    <row r="1797" spans="1:1" x14ac:dyDescent="0.25">
      <c r="A1797" s="54" t="str">
        <f>LEFT('Liste des étudiants'!$W1797,3)</f>
        <v>450</v>
      </c>
    </row>
    <row r="1798" spans="1:1" x14ac:dyDescent="0.25">
      <c r="A1798" s="54" t="str">
        <f>LEFT('Liste des étudiants'!$W1798,3)</f>
        <v>450</v>
      </c>
    </row>
    <row r="1799" spans="1:1" x14ac:dyDescent="0.25">
      <c r="A1799" s="54" t="str">
        <f>LEFT('Liste des étudiants'!$W1799,3)</f>
        <v>450</v>
      </c>
    </row>
    <row r="1800" spans="1:1" x14ac:dyDescent="0.25">
      <c r="A1800" s="54" t="str">
        <f>LEFT('Liste des étudiants'!$W1800,3)</f>
        <v>450</v>
      </c>
    </row>
    <row r="1801" spans="1:1" x14ac:dyDescent="0.25">
      <c r="A1801" s="54" t="str">
        <f>LEFT('Liste des étudiants'!$W1801,3)</f>
        <v>450</v>
      </c>
    </row>
    <row r="1802" spans="1:1" x14ac:dyDescent="0.25">
      <c r="A1802" s="54" t="str">
        <f>LEFT('Liste des étudiants'!$W1802,3)</f>
        <v>450</v>
      </c>
    </row>
    <row r="1803" spans="1:1" x14ac:dyDescent="0.25">
      <c r="A1803" s="54" t="str">
        <f>LEFT('Liste des étudiants'!$W1803,3)</f>
        <v>450</v>
      </c>
    </row>
    <row r="1804" spans="1:1" x14ac:dyDescent="0.25">
      <c r="A1804" s="54" t="str">
        <f>LEFT('Liste des étudiants'!$W1804,3)</f>
        <v>450</v>
      </c>
    </row>
    <row r="1805" spans="1:1" x14ac:dyDescent="0.25">
      <c r="A1805" s="54" t="str">
        <f>LEFT('Liste des étudiants'!$W1805,3)</f>
        <v>450</v>
      </c>
    </row>
    <row r="1806" spans="1:1" x14ac:dyDescent="0.25">
      <c r="A1806" s="54" t="str">
        <f>LEFT('Liste des étudiants'!$W1806,3)</f>
        <v>450</v>
      </c>
    </row>
    <row r="1807" spans="1:1" x14ac:dyDescent="0.25">
      <c r="A1807" s="54" t="str">
        <f>LEFT('Liste des étudiants'!$W1807,3)</f>
        <v>450</v>
      </c>
    </row>
    <row r="1808" spans="1:1" x14ac:dyDescent="0.25">
      <c r="A1808" s="54" t="str">
        <f>LEFT('Liste des étudiants'!$W1808,3)</f>
        <v>450</v>
      </c>
    </row>
    <row r="1809" spans="1:1" x14ac:dyDescent="0.25">
      <c r="A1809" s="54" t="str">
        <f>LEFT('Liste des étudiants'!$W1809,3)</f>
        <v>450</v>
      </c>
    </row>
    <row r="1810" spans="1:1" x14ac:dyDescent="0.25">
      <c r="A1810" s="54" t="str">
        <f>LEFT('Liste des étudiants'!$W1810,3)</f>
        <v>450</v>
      </c>
    </row>
    <row r="1811" spans="1:1" x14ac:dyDescent="0.25">
      <c r="A1811" s="54" t="str">
        <f>LEFT('Liste des étudiants'!$W1811,3)</f>
        <v>450</v>
      </c>
    </row>
    <row r="1812" spans="1:1" x14ac:dyDescent="0.25">
      <c r="A1812" s="54" t="str">
        <f>LEFT('Liste des étudiants'!$W1812,3)</f>
        <v>450</v>
      </c>
    </row>
    <row r="1813" spans="1:1" x14ac:dyDescent="0.25">
      <c r="A1813" s="54" t="str">
        <f>LEFT('Liste des étudiants'!$W1813,3)</f>
        <v>450</v>
      </c>
    </row>
    <row r="1814" spans="1:1" x14ac:dyDescent="0.25">
      <c r="A1814" s="54" t="str">
        <f>LEFT('Liste des étudiants'!$W1814,3)</f>
        <v>450</v>
      </c>
    </row>
    <row r="1815" spans="1:1" x14ac:dyDescent="0.25">
      <c r="A1815" s="54" t="str">
        <f>LEFT('Liste des étudiants'!$W1815,3)</f>
        <v>450</v>
      </c>
    </row>
    <row r="1816" spans="1:1" x14ac:dyDescent="0.25">
      <c r="A1816" s="54" t="str">
        <f>LEFT('Liste des étudiants'!$W1816,3)</f>
        <v>450</v>
      </c>
    </row>
    <row r="1817" spans="1:1" x14ac:dyDescent="0.25">
      <c r="A1817" s="54" t="str">
        <f>LEFT('Liste des étudiants'!$W1817,3)</f>
        <v>450</v>
      </c>
    </row>
    <row r="1818" spans="1:1" x14ac:dyDescent="0.25">
      <c r="A1818" s="54" t="str">
        <f>LEFT('Liste des étudiants'!$W1818,3)</f>
        <v>450</v>
      </c>
    </row>
    <row r="1819" spans="1:1" x14ac:dyDescent="0.25">
      <c r="A1819" s="54" t="str">
        <f>LEFT('Liste des étudiants'!$W1819,3)</f>
        <v>450</v>
      </c>
    </row>
    <row r="1820" spans="1:1" x14ac:dyDescent="0.25">
      <c r="A1820" s="54" t="str">
        <f>LEFT('Liste des étudiants'!$W1820,3)</f>
        <v>450</v>
      </c>
    </row>
    <row r="1821" spans="1:1" x14ac:dyDescent="0.25">
      <c r="A1821" s="54" t="str">
        <f>LEFT('Liste des étudiants'!$W1821,3)</f>
        <v>450</v>
      </c>
    </row>
    <row r="1822" spans="1:1" x14ac:dyDescent="0.25">
      <c r="A1822" s="54" t="str">
        <f>LEFT('Liste des étudiants'!$W1822,3)</f>
        <v>450</v>
      </c>
    </row>
    <row r="1823" spans="1:1" x14ac:dyDescent="0.25">
      <c r="A1823" s="54" t="str">
        <f>LEFT('Liste des étudiants'!$W1823,3)</f>
        <v>450</v>
      </c>
    </row>
    <row r="1824" spans="1:1" x14ac:dyDescent="0.25">
      <c r="A1824" s="54" t="str">
        <f>LEFT('Liste des étudiants'!$W1824,3)</f>
        <v>450</v>
      </c>
    </row>
    <row r="1825" spans="1:1" x14ac:dyDescent="0.25">
      <c r="A1825" s="54" t="str">
        <f>LEFT('Liste des étudiants'!$W1825,3)</f>
        <v>450</v>
      </c>
    </row>
    <row r="1826" spans="1:1" x14ac:dyDescent="0.25">
      <c r="A1826" s="54" t="str">
        <f>LEFT('Liste des étudiants'!$W1826,3)</f>
        <v>450</v>
      </c>
    </row>
    <row r="1827" spans="1:1" x14ac:dyDescent="0.25">
      <c r="A1827" s="54" t="str">
        <f>LEFT('Liste des étudiants'!$W1827,3)</f>
        <v>450</v>
      </c>
    </row>
    <row r="1828" spans="1:1" x14ac:dyDescent="0.25">
      <c r="A1828" s="54" t="str">
        <f>LEFT('Liste des étudiants'!$W1828,3)</f>
        <v>450</v>
      </c>
    </row>
    <row r="1829" spans="1:1" x14ac:dyDescent="0.25">
      <c r="A1829" s="54" t="str">
        <f>LEFT('Liste des étudiants'!$W1829,3)</f>
        <v>450</v>
      </c>
    </row>
    <row r="1830" spans="1:1" x14ac:dyDescent="0.25">
      <c r="A1830" s="54" t="str">
        <f>LEFT('Liste des étudiants'!$W1830,3)</f>
        <v>450</v>
      </c>
    </row>
    <row r="1831" spans="1:1" x14ac:dyDescent="0.25">
      <c r="A1831" s="54" t="str">
        <f>LEFT('Liste des étudiants'!$W1831,3)</f>
        <v>450</v>
      </c>
    </row>
    <row r="1832" spans="1:1" x14ac:dyDescent="0.25">
      <c r="A1832" s="54" t="str">
        <f>LEFT('Liste des étudiants'!$W1832,3)</f>
        <v>450</v>
      </c>
    </row>
    <row r="1833" spans="1:1" x14ac:dyDescent="0.25">
      <c r="A1833" s="54" t="str">
        <f>LEFT('Liste des étudiants'!$W1833,3)</f>
        <v>450</v>
      </c>
    </row>
    <row r="1834" spans="1:1" x14ac:dyDescent="0.25">
      <c r="A1834" s="54" t="str">
        <f>LEFT('Liste des étudiants'!$W1834,3)</f>
        <v>450</v>
      </c>
    </row>
    <row r="1835" spans="1:1" x14ac:dyDescent="0.25">
      <c r="A1835" s="54" t="str">
        <f>LEFT('Liste des étudiants'!$W1835,3)</f>
        <v>450</v>
      </c>
    </row>
    <row r="1836" spans="1:1" x14ac:dyDescent="0.25">
      <c r="A1836" s="54" t="str">
        <f>LEFT('Liste des étudiants'!$W1836,3)</f>
        <v>450</v>
      </c>
    </row>
    <row r="1837" spans="1:1" x14ac:dyDescent="0.25">
      <c r="A1837" s="54" t="str">
        <f>LEFT('Liste des étudiants'!$W1837,3)</f>
        <v>450</v>
      </c>
    </row>
    <row r="1838" spans="1:1" x14ac:dyDescent="0.25">
      <c r="A1838" s="54" t="str">
        <f>LEFT('Liste des étudiants'!$W1838,3)</f>
        <v>450</v>
      </c>
    </row>
    <row r="1839" spans="1:1" x14ac:dyDescent="0.25">
      <c r="A1839" s="54" t="str">
        <f>LEFT('Liste des étudiants'!$W1839,3)</f>
        <v>450</v>
      </c>
    </row>
    <row r="1840" spans="1:1" x14ac:dyDescent="0.25">
      <c r="A1840" s="54" t="str">
        <f>LEFT('Liste des étudiants'!$W1840,3)</f>
        <v>450</v>
      </c>
    </row>
    <row r="1841" spans="1:1" x14ac:dyDescent="0.25">
      <c r="A1841" s="54" t="str">
        <f>LEFT('Liste des étudiants'!$W1841,3)</f>
        <v>450</v>
      </c>
    </row>
    <row r="1842" spans="1:1" x14ac:dyDescent="0.25">
      <c r="A1842" s="54" t="str">
        <f>LEFT('Liste des étudiants'!$W1842,3)</f>
        <v>450</v>
      </c>
    </row>
    <row r="1843" spans="1:1" x14ac:dyDescent="0.25">
      <c r="A1843" s="54" t="str">
        <f>LEFT('Liste des étudiants'!$W1843,3)</f>
        <v>450</v>
      </c>
    </row>
    <row r="1844" spans="1:1" x14ac:dyDescent="0.25">
      <c r="A1844" s="54" t="str">
        <f>LEFT('Liste des étudiants'!$W1844,3)</f>
        <v>450</v>
      </c>
    </row>
    <row r="1845" spans="1:1" x14ac:dyDescent="0.25">
      <c r="A1845" s="54" t="str">
        <f>LEFT('Liste des étudiants'!$W1845,3)</f>
        <v>450</v>
      </c>
    </row>
    <row r="1846" spans="1:1" x14ac:dyDescent="0.25">
      <c r="A1846" s="54" t="str">
        <f>LEFT('Liste des étudiants'!$W1846,3)</f>
        <v>450</v>
      </c>
    </row>
    <row r="1847" spans="1:1" x14ac:dyDescent="0.25">
      <c r="A1847" s="54" t="str">
        <f>LEFT('Liste des étudiants'!$W1847,3)</f>
        <v>450</v>
      </c>
    </row>
    <row r="1848" spans="1:1" x14ac:dyDescent="0.25">
      <c r="A1848" s="54" t="str">
        <f>LEFT('Liste des étudiants'!$W1848,3)</f>
        <v>450</v>
      </c>
    </row>
    <row r="1849" spans="1:1" x14ac:dyDescent="0.25">
      <c r="A1849" s="54" t="str">
        <f>LEFT('Liste des étudiants'!$W1849,3)</f>
        <v>450</v>
      </c>
    </row>
    <row r="1850" spans="1:1" x14ac:dyDescent="0.25">
      <c r="A1850" s="54" t="str">
        <f>LEFT('Liste des étudiants'!$W1850,3)</f>
        <v>450</v>
      </c>
    </row>
    <row r="1851" spans="1:1" x14ac:dyDescent="0.25">
      <c r="A1851" s="54" t="str">
        <f>LEFT('Liste des étudiants'!$W1851,3)</f>
        <v>450</v>
      </c>
    </row>
    <row r="1852" spans="1:1" x14ac:dyDescent="0.25">
      <c r="A1852" s="54" t="str">
        <f>LEFT('Liste des étudiants'!$W1852,3)</f>
        <v>450</v>
      </c>
    </row>
    <row r="1853" spans="1:1" x14ac:dyDescent="0.25">
      <c r="A1853" s="54" t="str">
        <f>LEFT('Liste des étudiants'!$W1853,3)</f>
        <v>450</v>
      </c>
    </row>
    <row r="1854" spans="1:1" x14ac:dyDescent="0.25">
      <c r="A1854" s="54" t="str">
        <f>LEFT('Liste des étudiants'!$W1854,3)</f>
        <v>450</v>
      </c>
    </row>
    <row r="1855" spans="1:1" x14ac:dyDescent="0.25">
      <c r="A1855" s="54" t="str">
        <f>LEFT('Liste des étudiants'!$W1855,3)</f>
        <v>450</v>
      </c>
    </row>
    <row r="1856" spans="1:1" x14ac:dyDescent="0.25">
      <c r="A1856" s="54" t="str">
        <f>LEFT('Liste des étudiants'!$W1856,3)</f>
        <v>450</v>
      </c>
    </row>
    <row r="1857" spans="1:1" x14ac:dyDescent="0.25">
      <c r="A1857" s="54" t="str">
        <f>LEFT('Liste des étudiants'!$W1857,3)</f>
        <v>450</v>
      </c>
    </row>
    <row r="1858" spans="1:1" x14ac:dyDescent="0.25">
      <c r="A1858" s="54" t="str">
        <f>LEFT('Liste des étudiants'!$W1858,3)</f>
        <v>450</v>
      </c>
    </row>
    <row r="1859" spans="1:1" x14ac:dyDescent="0.25">
      <c r="A1859" s="54" t="str">
        <f>LEFT('Liste des étudiants'!$W1859,3)</f>
        <v>450</v>
      </c>
    </row>
    <row r="1860" spans="1:1" x14ac:dyDescent="0.25">
      <c r="A1860" s="54" t="str">
        <f>LEFT('Liste des étudiants'!$W1860,3)</f>
        <v>450</v>
      </c>
    </row>
    <row r="1861" spans="1:1" x14ac:dyDescent="0.25">
      <c r="A1861" s="54" t="str">
        <f>LEFT('Liste des étudiants'!$W1861,3)</f>
        <v>450</v>
      </c>
    </row>
    <row r="1862" spans="1:1" x14ac:dyDescent="0.25">
      <c r="A1862" s="54" t="str">
        <f>LEFT('Liste des étudiants'!$W1862,3)</f>
        <v>450</v>
      </c>
    </row>
    <row r="1863" spans="1:1" x14ac:dyDescent="0.25">
      <c r="A1863" s="54" t="str">
        <f>LEFT('Liste des étudiants'!$W1863,3)</f>
        <v>450</v>
      </c>
    </row>
    <row r="1864" spans="1:1" x14ac:dyDescent="0.25">
      <c r="A1864" s="54" t="str">
        <f>LEFT('Liste des étudiants'!$W1864,3)</f>
        <v>450</v>
      </c>
    </row>
    <row r="1865" spans="1:1" x14ac:dyDescent="0.25">
      <c r="A1865" s="54" t="str">
        <f>LEFT('Liste des étudiants'!$W1865,3)</f>
        <v>450</v>
      </c>
    </row>
    <row r="1866" spans="1:1" x14ac:dyDescent="0.25">
      <c r="A1866" s="54" t="str">
        <f>LEFT('Liste des étudiants'!$W1866,3)</f>
        <v>450</v>
      </c>
    </row>
    <row r="1867" spans="1:1" x14ac:dyDescent="0.25">
      <c r="A1867" s="54" t="str">
        <f>LEFT('Liste des étudiants'!$W1867,3)</f>
        <v>450</v>
      </c>
    </row>
    <row r="1868" spans="1:1" x14ac:dyDescent="0.25">
      <c r="A1868" s="54" t="str">
        <f>LEFT('Liste des étudiants'!$W1868,3)</f>
        <v>450</v>
      </c>
    </row>
    <row r="1869" spans="1:1" x14ac:dyDescent="0.25">
      <c r="A1869" s="54" t="str">
        <f>LEFT('Liste des étudiants'!$W1869,3)</f>
        <v>450</v>
      </c>
    </row>
    <row r="1870" spans="1:1" x14ac:dyDescent="0.25">
      <c r="A1870" s="54" t="str">
        <f>LEFT('Liste des étudiants'!$W1870,3)</f>
        <v>450</v>
      </c>
    </row>
    <row r="1871" spans="1:1" x14ac:dyDescent="0.25">
      <c r="A1871" s="54" t="str">
        <f>LEFT('Liste des étudiants'!$W1871,3)</f>
        <v>450</v>
      </c>
    </row>
    <row r="1872" spans="1:1" x14ac:dyDescent="0.25">
      <c r="A1872" s="54" t="str">
        <f>LEFT('Liste des étudiants'!$W1872,3)</f>
        <v>450</v>
      </c>
    </row>
    <row r="1873" spans="1:1" x14ac:dyDescent="0.25">
      <c r="A1873" s="54" t="str">
        <f>LEFT('Liste des étudiants'!$W1873,3)</f>
        <v>450</v>
      </c>
    </row>
    <row r="1874" spans="1:1" x14ac:dyDescent="0.25">
      <c r="A1874" s="54" t="str">
        <f>LEFT('Liste des étudiants'!$W1874,3)</f>
        <v>450</v>
      </c>
    </row>
    <row r="1875" spans="1:1" x14ac:dyDescent="0.25">
      <c r="A1875" s="54" t="str">
        <f>LEFT('Liste des étudiants'!$W1875,3)</f>
        <v>450</v>
      </c>
    </row>
    <row r="1876" spans="1:1" x14ac:dyDescent="0.25">
      <c r="A1876" s="54" t="str">
        <f>LEFT('Liste des étudiants'!$W1876,3)</f>
        <v>450</v>
      </c>
    </row>
    <row r="1877" spans="1:1" x14ac:dyDescent="0.25">
      <c r="A1877" s="54" t="str">
        <f>LEFT('Liste des étudiants'!$W1877,3)</f>
        <v>450</v>
      </c>
    </row>
    <row r="1878" spans="1:1" x14ac:dyDescent="0.25">
      <c r="A1878" s="54" t="str">
        <f>LEFT('Liste des étudiants'!$W1878,3)</f>
        <v>450</v>
      </c>
    </row>
    <row r="1879" spans="1:1" x14ac:dyDescent="0.25">
      <c r="A1879" s="54" t="str">
        <f>LEFT('Liste des étudiants'!$W1879,3)</f>
        <v>450</v>
      </c>
    </row>
    <row r="1880" spans="1:1" x14ac:dyDescent="0.25">
      <c r="A1880" s="54" t="str">
        <f>LEFT('Liste des étudiants'!$W1880,3)</f>
        <v>450</v>
      </c>
    </row>
    <row r="1881" spans="1:1" x14ac:dyDescent="0.25">
      <c r="A1881" s="54" t="str">
        <f>LEFT('Liste des étudiants'!$W1881,3)</f>
        <v>450</v>
      </c>
    </row>
    <row r="1882" spans="1:1" x14ac:dyDescent="0.25">
      <c r="A1882" s="54" t="str">
        <f>LEFT('Liste des étudiants'!$W1882,3)</f>
        <v>450</v>
      </c>
    </row>
    <row r="1883" spans="1:1" x14ac:dyDescent="0.25">
      <c r="A1883" s="54" t="str">
        <f>LEFT('Liste des étudiants'!$W1883,3)</f>
        <v>450</v>
      </c>
    </row>
    <row r="1884" spans="1:1" x14ac:dyDescent="0.25">
      <c r="A1884" s="54" t="str">
        <f>LEFT('Liste des étudiants'!$W1884,3)</f>
        <v>450</v>
      </c>
    </row>
    <row r="1885" spans="1:1" x14ac:dyDescent="0.25">
      <c r="A1885" s="54" t="str">
        <f>LEFT('Liste des étudiants'!$W1885,3)</f>
        <v>450</v>
      </c>
    </row>
    <row r="1886" spans="1:1" x14ac:dyDescent="0.25">
      <c r="A1886" s="54" t="str">
        <f>LEFT('Liste des étudiants'!$W1886,3)</f>
        <v>450</v>
      </c>
    </row>
    <row r="1887" spans="1:1" x14ac:dyDescent="0.25">
      <c r="A1887" s="54" t="str">
        <f>LEFT('Liste des étudiants'!$W1887,3)</f>
        <v>450</v>
      </c>
    </row>
    <row r="1888" spans="1:1" x14ac:dyDescent="0.25">
      <c r="A1888" s="54" t="str">
        <f>LEFT('Liste des étudiants'!$W1888,3)</f>
        <v>450</v>
      </c>
    </row>
    <row r="1889" spans="1:1" x14ac:dyDescent="0.25">
      <c r="A1889" s="54" t="str">
        <f>LEFT('Liste des étudiants'!$W1889,3)</f>
        <v>450</v>
      </c>
    </row>
    <row r="1890" spans="1:1" x14ac:dyDescent="0.25">
      <c r="A1890" s="54" t="str">
        <f>LEFT('Liste des étudiants'!$W1890,3)</f>
        <v>450</v>
      </c>
    </row>
    <row r="1891" spans="1:1" x14ac:dyDescent="0.25">
      <c r="A1891" s="54" t="str">
        <f>LEFT('Liste des étudiants'!$W1891,3)</f>
        <v>450</v>
      </c>
    </row>
    <row r="1892" spans="1:1" x14ac:dyDescent="0.25">
      <c r="A1892" s="54" t="str">
        <f>LEFT('Liste des étudiants'!$W1892,3)</f>
        <v>450</v>
      </c>
    </row>
    <row r="1893" spans="1:1" x14ac:dyDescent="0.25">
      <c r="A1893" s="54" t="str">
        <f>LEFT('Liste des étudiants'!$W1893,3)</f>
        <v>450</v>
      </c>
    </row>
    <row r="1894" spans="1:1" x14ac:dyDescent="0.25">
      <c r="A1894" s="54" t="str">
        <f>LEFT('Liste des étudiants'!$W1894,3)</f>
        <v>450</v>
      </c>
    </row>
    <row r="1895" spans="1:1" x14ac:dyDescent="0.25">
      <c r="A1895" s="54" t="str">
        <f>LEFT('Liste des étudiants'!$W1895,3)</f>
        <v>450</v>
      </c>
    </row>
    <row r="1896" spans="1:1" x14ac:dyDescent="0.25">
      <c r="A1896" s="54" t="str">
        <f>LEFT('Liste des étudiants'!$W1896,3)</f>
        <v>450</v>
      </c>
    </row>
    <row r="1897" spans="1:1" x14ac:dyDescent="0.25">
      <c r="A1897" s="54" t="str">
        <f>LEFT('Liste des étudiants'!$W1897,3)</f>
        <v>450</v>
      </c>
    </row>
    <row r="1898" spans="1:1" x14ac:dyDescent="0.25">
      <c r="A1898" s="54" t="str">
        <f>LEFT('Liste des étudiants'!$W1898,3)</f>
        <v>450</v>
      </c>
    </row>
    <row r="1899" spans="1:1" x14ac:dyDescent="0.25">
      <c r="A1899" s="54" t="str">
        <f>LEFT('Liste des étudiants'!$W1899,3)</f>
        <v>450</v>
      </c>
    </row>
    <row r="1900" spans="1:1" x14ac:dyDescent="0.25">
      <c r="A1900" s="54" t="str">
        <f>LEFT('Liste des étudiants'!$W1900,3)</f>
        <v>450</v>
      </c>
    </row>
    <row r="1901" spans="1:1" x14ac:dyDescent="0.25">
      <c r="A1901" s="54" t="str">
        <f>LEFT('Liste des étudiants'!$W1901,3)</f>
        <v>450</v>
      </c>
    </row>
    <row r="1902" spans="1:1" x14ac:dyDescent="0.25">
      <c r="A1902" s="54" t="str">
        <f>LEFT('Liste des étudiants'!$W1902,3)</f>
        <v>450</v>
      </c>
    </row>
    <row r="1903" spans="1:1" x14ac:dyDescent="0.25">
      <c r="A1903" s="54" t="str">
        <f>LEFT('Liste des étudiants'!$W1903,3)</f>
        <v>450</v>
      </c>
    </row>
    <row r="1904" spans="1:1" x14ac:dyDescent="0.25">
      <c r="A1904" s="54" t="str">
        <f>LEFT('Liste des étudiants'!$W1904,3)</f>
        <v>450</v>
      </c>
    </row>
    <row r="1905" spans="1:1" x14ac:dyDescent="0.25">
      <c r="A1905" s="54" t="str">
        <f>LEFT('Liste des étudiants'!$W1905,3)</f>
        <v>450</v>
      </c>
    </row>
    <row r="1906" spans="1:1" x14ac:dyDescent="0.25">
      <c r="A1906" s="54" t="str">
        <f>LEFT('Liste des étudiants'!$W1906,3)</f>
        <v>450</v>
      </c>
    </row>
    <row r="1907" spans="1:1" x14ac:dyDescent="0.25">
      <c r="A1907" s="54" t="str">
        <f>LEFT('Liste des étudiants'!$W1907,3)</f>
        <v>450</v>
      </c>
    </row>
    <row r="1908" spans="1:1" x14ac:dyDescent="0.25">
      <c r="A1908" s="54" t="str">
        <f>LEFT('Liste des étudiants'!$W1908,3)</f>
        <v>450</v>
      </c>
    </row>
    <row r="1909" spans="1:1" x14ac:dyDescent="0.25">
      <c r="A1909" s="54" t="str">
        <f>LEFT('Liste des étudiants'!$W1909,3)</f>
        <v>450</v>
      </c>
    </row>
    <row r="1910" spans="1:1" x14ac:dyDescent="0.25">
      <c r="A1910" s="54" t="str">
        <f>LEFT('Liste des étudiants'!$W1910,3)</f>
        <v>450</v>
      </c>
    </row>
    <row r="1911" spans="1:1" x14ac:dyDescent="0.25">
      <c r="A1911" s="54" t="str">
        <f>LEFT('Liste des étudiants'!$W1911,3)</f>
        <v>450</v>
      </c>
    </row>
    <row r="1912" spans="1:1" x14ac:dyDescent="0.25">
      <c r="A1912" s="54" t="str">
        <f>LEFT('Liste des étudiants'!$W1912,3)</f>
        <v>450</v>
      </c>
    </row>
    <row r="1913" spans="1:1" x14ac:dyDescent="0.25">
      <c r="A1913" s="54" t="str">
        <f>LEFT('Liste des étudiants'!$W1913,3)</f>
        <v>450</v>
      </c>
    </row>
    <row r="1914" spans="1:1" x14ac:dyDescent="0.25">
      <c r="A1914" s="54" t="str">
        <f>LEFT('Liste des étudiants'!$W1914,3)</f>
        <v>450</v>
      </c>
    </row>
    <row r="1915" spans="1:1" x14ac:dyDescent="0.25">
      <c r="A1915" s="54" t="str">
        <f>LEFT('Liste des étudiants'!$W1915,3)</f>
        <v>450</v>
      </c>
    </row>
    <row r="1916" spans="1:1" x14ac:dyDescent="0.25">
      <c r="A1916" s="54" t="str">
        <f>LEFT('Liste des étudiants'!$W1916,3)</f>
        <v>450</v>
      </c>
    </row>
    <row r="1917" spans="1:1" x14ac:dyDescent="0.25">
      <c r="A1917" s="54" t="str">
        <f>LEFT('Liste des étudiants'!$W1917,3)</f>
        <v>450</v>
      </c>
    </row>
    <row r="1918" spans="1:1" x14ac:dyDescent="0.25">
      <c r="A1918" s="54" t="str">
        <f>LEFT('Liste des étudiants'!$W1918,3)</f>
        <v>450</v>
      </c>
    </row>
    <row r="1919" spans="1:1" x14ac:dyDescent="0.25">
      <c r="A1919" s="54" t="str">
        <f>LEFT('Liste des étudiants'!$W1919,3)</f>
        <v>450</v>
      </c>
    </row>
    <row r="1920" spans="1:1" x14ac:dyDescent="0.25">
      <c r="A1920" s="54" t="str">
        <f>LEFT('Liste des étudiants'!$W1920,3)</f>
        <v>450</v>
      </c>
    </row>
    <row r="1921" spans="1:1" x14ac:dyDescent="0.25">
      <c r="A1921" s="54" t="str">
        <f>LEFT('Liste des étudiants'!$W1921,3)</f>
        <v>450</v>
      </c>
    </row>
    <row r="1922" spans="1:1" x14ac:dyDescent="0.25">
      <c r="A1922" s="54" t="str">
        <f>LEFT('Liste des étudiants'!$W1922,3)</f>
        <v>450</v>
      </c>
    </row>
    <row r="1923" spans="1:1" x14ac:dyDescent="0.25">
      <c r="A1923" s="54" t="str">
        <f>LEFT('Liste des étudiants'!$W1923,3)</f>
        <v>450</v>
      </c>
    </row>
    <row r="1924" spans="1:1" x14ac:dyDescent="0.25">
      <c r="A1924" s="54" t="str">
        <f>LEFT('Liste des étudiants'!$W1924,3)</f>
        <v>450</v>
      </c>
    </row>
    <row r="1925" spans="1:1" x14ac:dyDescent="0.25">
      <c r="A1925" s="54" t="str">
        <f>LEFT('Liste des étudiants'!$W1925,3)</f>
        <v>450</v>
      </c>
    </row>
    <row r="1926" spans="1:1" x14ac:dyDescent="0.25">
      <c r="A1926" s="54" t="str">
        <f>LEFT('Liste des étudiants'!$W1926,3)</f>
        <v>450</v>
      </c>
    </row>
    <row r="1927" spans="1:1" x14ac:dyDescent="0.25">
      <c r="A1927" s="54" t="str">
        <f>LEFT('Liste des étudiants'!$W1927,3)</f>
        <v>450</v>
      </c>
    </row>
    <row r="1928" spans="1:1" x14ac:dyDescent="0.25">
      <c r="A1928" s="54" t="str">
        <f>LEFT('Liste des étudiants'!$W1928,3)</f>
        <v>450</v>
      </c>
    </row>
    <row r="1929" spans="1:1" x14ac:dyDescent="0.25">
      <c r="A1929" s="54" t="str">
        <f>LEFT('Liste des étudiants'!$W1929,3)</f>
        <v>450</v>
      </c>
    </row>
    <row r="1930" spans="1:1" x14ac:dyDescent="0.25">
      <c r="A1930" s="54" t="str">
        <f>LEFT('Liste des étudiants'!$W1930,3)</f>
        <v>450</v>
      </c>
    </row>
    <row r="1931" spans="1:1" x14ac:dyDescent="0.25">
      <c r="A1931" s="54" t="str">
        <f>LEFT('Liste des étudiants'!$W1931,3)</f>
        <v>450</v>
      </c>
    </row>
    <row r="1932" spans="1:1" x14ac:dyDescent="0.25">
      <c r="A1932" s="54" t="str">
        <f>LEFT('Liste des étudiants'!$W1932,3)</f>
        <v>450</v>
      </c>
    </row>
    <row r="1933" spans="1:1" x14ac:dyDescent="0.25">
      <c r="A1933" s="54" t="str">
        <f>LEFT('Liste des étudiants'!$W1933,3)</f>
        <v>450</v>
      </c>
    </row>
    <row r="1934" spans="1:1" x14ac:dyDescent="0.25">
      <c r="A1934" s="54" t="str">
        <f>LEFT('Liste des étudiants'!$W1934,3)</f>
        <v>450</v>
      </c>
    </row>
    <row r="1935" spans="1:1" x14ac:dyDescent="0.25">
      <c r="A1935" s="54" t="str">
        <f>LEFT('Liste des étudiants'!$W1935,3)</f>
        <v>450</v>
      </c>
    </row>
    <row r="1936" spans="1:1" x14ac:dyDescent="0.25">
      <c r="A1936" s="54" t="str">
        <f>LEFT('Liste des étudiants'!$W1936,3)</f>
        <v>450</v>
      </c>
    </row>
    <row r="1937" spans="1:1" x14ac:dyDescent="0.25">
      <c r="A1937" s="54" t="str">
        <f>LEFT('Liste des étudiants'!$W1937,3)</f>
        <v>450</v>
      </c>
    </row>
    <row r="1938" spans="1:1" x14ac:dyDescent="0.25">
      <c r="A1938" s="54" t="str">
        <f>LEFT('Liste des étudiants'!$W1938,3)</f>
        <v>450</v>
      </c>
    </row>
    <row r="1939" spans="1:1" x14ac:dyDescent="0.25">
      <c r="A1939" s="54" t="str">
        <f>LEFT('Liste des étudiants'!$W1939,3)</f>
        <v>450</v>
      </c>
    </row>
    <row r="1940" spans="1:1" x14ac:dyDescent="0.25">
      <c r="A1940" s="54" t="str">
        <f>LEFT('Liste des étudiants'!$W1940,3)</f>
        <v>450</v>
      </c>
    </row>
    <row r="1941" spans="1:1" x14ac:dyDescent="0.25">
      <c r="A1941" s="54" t="str">
        <f>LEFT('Liste des étudiants'!$W1941,3)</f>
        <v>450</v>
      </c>
    </row>
    <row r="1942" spans="1:1" x14ac:dyDescent="0.25">
      <c r="A1942" s="54" t="str">
        <f>LEFT('Liste des étudiants'!$W1942,3)</f>
        <v>450</v>
      </c>
    </row>
    <row r="1943" spans="1:1" x14ac:dyDescent="0.25">
      <c r="A1943" s="54" t="str">
        <f>LEFT('Liste des étudiants'!$W1943,3)</f>
        <v>450</v>
      </c>
    </row>
    <row r="1944" spans="1:1" x14ac:dyDescent="0.25">
      <c r="A1944" s="54" t="str">
        <f>LEFT('Liste des étudiants'!$W1944,3)</f>
        <v>450</v>
      </c>
    </row>
    <row r="1945" spans="1:1" x14ac:dyDescent="0.25">
      <c r="A1945" s="54" t="str">
        <f>LEFT('Liste des étudiants'!$W1945,3)</f>
        <v>450</v>
      </c>
    </row>
    <row r="1946" spans="1:1" x14ac:dyDescent="0.25">
      <c r="A1946" s="54" t="str">
        <f>LEFT('Liste des étudiants'!$W1946,3)</f>
        <v>450</v>
      </c>
    </row>
    <row r="1947" spans="1:1" x14ac:dyDescent="0.25">
      <c r="A1947" s="54" t="str">
        <f>LEFT('Liste des étudiants'!$W1947,3)</f>
        <v>450</v>
      </c>
    </row>
    <row r="1948" spans="1:1" x14ac:dyDescent="0.25">
      <c r="A1948" s="54" t="str">
        <f>LEFT('Liste des étudiants'!$W1948,3)</f>
        <v>450</v>
      </c>
    </row>
    <row r="1949" spans="1:1" x14ac:dyDescent="0.25">
      <c r="A1949" s="54" t="str">
        <f>LEFT('Liste des étudiants'!$W1949,3)</f>
        <v>450</v>
      </c>
    </row>
    <row r="1950" spans="1:1" x14ac:dyDescent="0.25">
      <c r="A1950" s="54" t="str">
        <f>LEFT('Liste des étudiants'!$W1950,3)</f>
        <v>450</v>
      </c>
    </row>
    <row r="1951" spans="1:1" x14ac:dyDescent="0.25">
      <c r="A1951" s="54" t="str">
        <f>LEFT('Liste des étudiants'!$W1951,3)</f>
        <v>450</v>
      </c>
    </row>
    <row r="1952" spans="1:1" x14ac:dyDescent="0.25">
      <c r="A1952" s="54" t="str">
        <f>LEFT('Liste des étudiants'!$W1952,3)</f>
        <v>450</v>
      </c>
    </row>
    <row r="1953" spans="1:1" x14ac:dyDescent="0.25">
      <c r="A1953" s="54" t="str">
        <f>LEFT('Liste des étudiants'!$W1953,3)</f>
        <v>450</v>
      </c>
    </row>
    <row r="1954" spans="1:1" x14ac:dyDescent="0.25">
      <c r="A1954" s="54" t="str">
        <f>LEFT('Liste des étudiants'!$W1954,3)</f>
        <v>450</v>
      </c>
    </row>
    <row r="1955" spans="1:1" x14ac:dyDescent="0.25">
      <c r="A1955" s="54" t="str">
        <f>LEFT('Liste des étudiants'!$W1955,3)</f>
        <v>450</v>
      </c>
    </row>
    <row r="1956" spans="1:1" x14ac:dyDescent="0.25">
      <c r="A1956" s="54" t="str">
        <f>LEFT('Liste des étudiants'!$W1956,3)</f>
        <v>450</v>
      </c>
    </row>
    <row r="1957" spans="1:1" x14ac:dyDescent="0.25">
      <c r="A1957" s="54" t="str">
        <f>LEFT('Liste des étudiants'!$W1957,3)</f>
        <v>450</v>
      </c>
    </row>
    <row r="1958" spans="1:1" x14ac:dyDescent="0.25">
      <c r="A1958" s="54" t="str">
        <f>LEFT('Liste des étudiants'!$W1958,3)</f>
        <v>450</v>
      </c>
    </row>
    <row r="1959" spans="1:1" x14ac:dyDescent="0.25">
      <c r="A1959" s="54" t="str">
        <f>LEFT('Liste des étudiants'!$W1959,3)</f>
        <v>450</v>
      </c>
    </row>
    <row r="1960" spans="1:1" x14ac:dyDescent="0.25">
      <c r="A1960" s="54" t="str">
        <f>LEFT('Liste des étudiants'!$W1960,3)</f>
        <v>450</v>
      </c>
    </row>
    <row r="1961" spans="1:1" x14ac:dyDescent="0.25">
      <c r="A1961" s="54" t="str">
        <f>LEFT('Liste des étudiants'!$W1961,3)</f>
        <v>450</v>
      </c>
    </row>
    <row r="1962" spans="1:1" x14ac:dyDescent="0.25">
      <c r="A1962" s="54" t="str">
        <f>LEFT('Liste des étudiants'!$W1962,3)</f>
        <v>450</v>
      </c>
    </row>
    <row r="1963" spans="1:1" x14ac:dyDescent="0.25">
      <c r="A1963" s="54" t="str">
        <f>LEFT('Liste des étudiants'!$W1963,3)</f>
        <v>450</v>
      </c>
    </row>
    <row r="1964" spans="1:1" x14ac:dyDescent="0.25">
      <c r="A1964" s="54" t="str">
        <f>LEFT('Liste des étudiants'!$W1964,3)</f>
        <v>450</v>
      </c>
    </row>
    <row r="1965" spans="1:1" x14ac:dyDescent="0.25">
      <c r="A1965" s="54" t="str">
        <f>LEFT('Liste des étudiants'!$W1965,3)</f>
        <v>450</v>
      </c>
    </row>
    <row r="1966" spans="1:1" x14ac:dyDescent="0.25">
      <c r="A1966" s="54" t="str">
        <f>LEFT('Liste des étudiants'!$W1966,3)</f>
        <v>450</v>
      </c>
    </row>
    <row r="1967" spans="1:1" x14ac:dyDescent="0.25">
      <c r="A1967" s="54" t="str">
        <f>LEFT('Liste des étudiants'!$W1967,3)</f>
        <v>450</v>
      </c>
    </row>
    <row r="1968" spans="1:1" x14ac:dyDescent="0.25">
      <c r="A1968" s="54" t="str">
        <f>LEFT('Liste des étudiants'!$W1968,3)</f>
        <v>450</v>
      </c>
    </row>
    <row r="1969" spans="1:1" x14ac:dyDescent="0.25">
      <c r="A1969" s="54" t="str">
        <f>LEFT('Liste des étudiants'!$W1969,3)</f>
        <v>450</v>
      </c>
    </row>
    <row r="1970" spans="1:1" x14ac:dyDescent="0.25">
      <c r="A1970" s="54" t="str">
        <f>LEFT('Liste des étudiants'!$W1970,3)</f>
        <v>450</v>
      </c>
    </row>
    <row r="1971" spans="1:1" x14ac:dyDescent="0.25">
      <c r="A1971" s="54" t="str">
        <f>LEFT('Liste des étudiants'!$W1971,3)</f>
        <v>450</v>
      </c>
    </row>
    <row r="1972" spans="1:1" x14ac:dyDescent="0.25">
      <c r="A1972" s="54" t="str">
        <f>LEFT('Liste des étudiants'!$W1972,3)</f>
        <v>450</v>
      </c>
    </row>
    <row r="1973" spans="1:1" x14ac:dyDescent="0.25">
      <c r="A1973" s="54" t="str">
        <f>LEFT('Liste des étudiants'!$W1973,3)</f>
        <v>450</v>
      </c>
    </row>
    <row r="1974" spans="1:1" x14ac:dyDescent="0.25">
      <c r="A1974" s="54" t="str">
        <f>LEFT('Liste des étudiants'!$W1974,3)</f>
        <v>450</v>
      </c>
    </row>
    <row r="1975" spans="1:1" x14ac:dyDescent="0.25">
      <c r="A1975" s="54" t="str">
        <f>LEFT('Liste des étudiants'!$W1975,3)</f>
        <v>450</v>
      </c>
    </row>
    <row r="1976" spans="1:1" x14ac:dyDescent="0.25">
      <c r="A1976" s="54" t="str">
        <f>LEFT('Liste des étudiants'!$W1976,3)</f>
        <v>450</v>
      </c>
    </row>
    <row r="1977" spans="1:1" x14ac:dyDescent="0.25">
      <c r="A1977" s="54" t="str">
        <f>LEFT('Liste des étudiants'!$W1977,3)</f>
        <v>450</v>
      </c>
    </row>
    <row r="1978" spans="1:1" x14ac:dyDescent="0.25">
      <c r="A1978" s="54" t="str">
        <f>LEFT('Liste des étudiants'!$W1978,3)</f>
        <v>450</v>
      </c>
    </row>
    <row r="1979" spans="1:1" x14ac:dyDescent="0.25">
      <c r="A1979" s="54" t="str">
        <f>LEFT('Liste des étudiants'!$W1979,3)</f>
        <v>450</v>
      </c>
    </row>
    <row r="1980" spans="1:1" x14ac:dyDescent="0.25">
      <c r="A1980" s="54" t="str">
        <f>LEFT('Liste des étudiants'!$W1980,3)</f>
        <v>450</v>
      </c>
    </row>
    <row r="1981" spans="1:1" x14ac:dyDescent="0.25">
      <c r="A1981" s="54" t="str">
        <f>LEFT('Liste des étudiants'!$W1981,3)</f>
        <v>450</v>
      </c>
    </row>
    <row r="1982" spans="1:1" x14ac:dyDescent="0.25">
      <c r="A1982" s="54" t="str">
        <f>LEFT('Liste des étudiants'!$W1982,3)</f>
        <v>450</v>
      </c>
    </row>
    <row r="1983" spans="1:1" x14ac:dyDescent="0.25">
      <c r="A1983" s="54" t="str">
        <f>LEFT('Liste des étudiants'!$W1983,3)</f>
        <v>450</v>
      </c>
    </row>
    <row r="1984" spans="1:1" x14ac:dyDescent="0.25">
      <c r="A1984" s="54" t="str">
        <f>LEFT('Liste des étudiants'!$W1984,3)</f>
        <v>450</v>
      </c>
    </row>
    <row r="1985" spans="1:1" x14ac:dyDescent="0.25">
      <c r="A1985" s="54" t="str">
        <f>LEFT('Liste des étudiants'!$W1985,3)</f>
        <v>450</v>
      </c>
    </row>
    <row r="1986" spans="1:1" x14ac:dyDescent="0.25">
      <c r="A1986" s="54" t="str">
        <f>LEFT('Liste des étudiants'!$W1986,3)</f>
        <v>450</v>
      </c>
    </row>
    <row r="1987" spans="1:1" x14ac:dyDescent="0.25">
      <c r="A1987" s="54" t="str">
        <f>LEFT('Liste des étudiants'!$W1987,3)</f>
        <v>450</v>
      </c>
    </row>
    <row r="1988" spans="1:1" x14ac:dyDescent="0.25">
      <c r="A1988" s="54" t="str">
        <f>LEFT('Liste des étudiants'!$W1988,3)</f>
        <v>450</v>
      </c>
    </row>
    <row r="1989" spans="1:1" x14ac:dyDescent="0.25">
      <c r="A1989" s="54" t="str">
        <f>LEFT('Liste des étudiants'!$W1989,3)</f>
        <v>450</v>
      </c>
    </row>
    <row r="1990" spans="1:1" x14ac:dyDescent="0.25">
      <c r="A1990" s="54" t="str">
        <f>LEFT('Liste des étudiants'!$W1990,3)</f>
        <v>450</v>
      </c>
    </row>
    <row r="1991" spans="1:1" x14ac:dyDescent="0.25">
      <c r="A1991" s="54" t="str">
        <f>LEFT('Liste des étudiants'!$W1991,3)</f>
        <v>450</v>
      </c>
    </row>
    <row r="1992" spans="1:1" x14ac:dyDescent="0.25">
      <c r="A1992" s="54" t="str">
        <f>LEFT('Liste des étudiants'!$W1992,3)</f>
        <v>450</v>
      </c>
    </row>
    <row r="1993" spans="1:1" x14ac:dyDescent="0.25">
      <c r="A1993" s="54" t="str">
        <f>LEFT('Liste des étudiants'!$W1993,3)</f>
        <v>450</v>
      </c>
    </row>
    <row r="1994" spans="1:1" x14ac:dyDescent="0.25">
      <c r="A1994" s="54" t="str">
        <f>LEFT('Liste des étudiants'!$W1994,3)</f>
        <v>450</v>
      </c>
    </row>
    <row r="1995" spans="1:1" x14ac:dyDescent="0.25">
      <c r="A1995" s="54" t="str">
        <f>LEFT('Liste des étudiants'!$W1995,3)</f>
        <v>450</v>
      </c>
    </row>
    <row r="1996" spans="1:1" x14ac:dyDescent="0.25">
      <c r="A1996" s="54" t="str">
        <f>LEFT('Liste des étudiants'!$W1996,3)</f>
        <v>450</v>
      </c>
    </row>
    <row r="1997" spans="1:1" x14ac:dyDescent="0.25">
      <c r="A1997" s="54" t="str">
        <f>LEFT('Liste des étudiants'!$W1997,3)</f>
        <v>450</v>
      </c>
    </row>
    <row r="1998" spans="1:1" x14ac:dyDescent="0.25">
      <c r="A1998" s="54" t="str">
        <f>LEFT('Liste des étudiants'!$W1998,3)</f>
        <v>450</v>
      </c>
    </row>
    <row r="1999" spans="1:1" x14ac:dyDescent="0.25">
      <c r="A1999" s="54" t="str">
        <f>LEFT('Liste des étudiants'!$W1999,3)</f>
        <v>450</v>
      </c>
    </row>
    <row r="2000" spans="1:1" x14ac:dyDescent="0.25">
      <c r="A2000" s="54" t="str">
        <f>LEFT('Liste des étudiants'!$W2000,3)</f>
        <v>450</v>
      </c>
    </row>
    <row r="2001" spans="1:1" x14ac:dyDescent="0.25">
      <c r="A2001" s="54" t="str">
        <f>LEFT('Liste des étudiants'!$W2001,3)</f>
        <v>450</v>
      </c>
    </row>
    <row r="2002" spans="1:1" x14ac:dyDescent="0.25">
      <c r="A2002" s="54" t="str">
        <f>LEFT('Liste des étudiants'!$W2002,3)</f>
        <v>450</v>
      </c>
    </row>
    <row r="2003" spans="1:1" x14ac:dyDescent="0.25">
      <c r="A2003" s="54" t="str">
        <f>LEFT('Liste des étudiants'!$W2003,3)</f>
        <v>450</v>
      </c>
    </row>
    <row r="2004" spans="1:1" x14ac:dyDescent="0.25">
      <c r="A2004" s="54" t="str">
        <f>LEFT('Liste des étudiants'!$W2004,3)</f>
        <v>450</v>
      </c>
    </row>
    <row r="2005" spans="1:1" x14ac:dyDescent="0.25">
      <c r="A2005" s="54" t="str">
        <f>LEFT('Liste des étudiants'!$W2005,3)</f>
        <v>450</v>
      </c>
    </row>
    <row r="2006" spans="1:1" x14ac:dyDescent="0.25">
      <c r="A2006" s="54" t="str">
        <f>LEFT('Liste des étudiants'!$W2006,3)</f>
        <v>450</v>
      </c>
    </row>
    <row r="2007" spans="1:1" x14ac:dyDescent="0.25">
      <c r="A2007" s="54" t="str">
        <f>LEFT('Liste des étudiants'!$W2007,3)</f>
        <v>450</v>
      </c>
    </row>
    <row r="2008" spans="1:1" x14ac:dyDescent="0.25">
      <c r="A2008" s="54" t="str">
        <f>LEFT('Liste des étudiants'!$W2008,3)</f>
        <v>450</v>
      </c>
    </row>
    <row r="2009" spans="1:1" x14ac:dyDescent="0.25">
      <c r="A2009" s="54" t="str">
        <f>LEFT('Liste des étudiants'!$W2009,3)</f>
        <v>450</v>
      </c>
    </row>
    <row r="2010" spans="1:1" x14ac:dyDescent="0.25">
      <c r="A2010" s="54" t="str">
        <f>LEFT('Liste des étudiants'!$W2010,3)</f>
        <v>450</v>
      </c>
    </row>
    <row r="2011" spans="1:1" x14ac:dyDescent="0.25">
      <c r="A2011" s="54" t="str">
        <f>LEFT('Liste des étudiants'!$W2011,3)</f>
        <v>450</v>
      </c>
    </row>
    <row r="2012" spans="1:1" x14ac:dyDescent="0.25">
      <c r="A2012" s="54" t="str">
        <f>LEFT('Liste des étudiants'!$W2012,3)</f>
        <v>450</v>
      </c>
    </row>
    <row r="2013" spans="1:1" x14ac:dyDescent="0.25">
      <c r="A2013" s="54" t="str">
        <f>LEFT('Liste des étudiants'!$W2013,3)</f>
        <v>450</v>
      </c>
    </row>
    <row r="2014" spans="1:1" x14ac:dyDescent="0.25">
      <c r="A2014" s="54" t="str">
        <f>LEFT('Liste des étudiants'!$W2014,3)</f>
        <v>450</v>
      </c>
    </row>
    <row r="2015" spans="1:1" x14ac:dyDescent="0.25">
      <c r="A2015" s="54" t="str">
        <f>LEFT('Liste des étudiants'!$W2015,3)</f>
        <v>450</v>
      </c>
    </row>
    <row r="2016" spans="1:1" x14ac:dyDescent="0.25">
      <c r="A2016" s="54" t="str">
        <f>LEFT('Liste des étudiants'!$W2016,3)</f>
        <v>450</v>
      </c>
    </row>
    <row r="2017" spans="1:1" x14ac:dyDescent="0.25">
      <c r="A2017" s="54" t="str">
        <f>LEFT('Liste des étudiants'!$W2017,3)</f>
        <v>450</v>
      </c>
    </row>
    <row r="2018" spans="1:1" x14ac:dyDescent="0.25">
      <c r="A2018" s="54" t="str">
        <f>LEFT('Liste des étudiants'!$W2018,3)</f>
        <v>450</v>
      </c>
    </row>
    <row r="2019" spans="1:1" x14ac:dyDescent="0.25">
      <c r="A2019" s="54" t="str">
        <f>LEFT('Liste des étudiants'!$W2019,3)</f>
        <v>450</v>
      </c>
    </row>
    <row r="2020" spans="1:1" x14ac:dyDescent="0.25">
      <c r="A2020" s="54" t="str">
        <f>LEFT('Liste des étudiants'!$W2020,3)</f>
        <v>450</v>
      </c>
    </row>
    <row r="2021" spans="1:1" x14ac:dyDescent="0.25">
      <c r="A2021" s="54" t="str">
        <f>LEFT('Liste des étudiants'!$W2021,3)</f>
        <v>450</v>
      </c>
    </row>
    <row r="2022" spans="1:1" x14ac:dyDescent="0.25">
      <c r="A2022" s="54" t="str">
        <f>LEFT('Liste des étudiants'!$W2022,3)</f>
        <v>450</v>
      </c>
    </row>
    <row r="2023" spans="1:1" x14ac:dyDescent="0.25">
      <c r="A2023" s="54" t="str">
        <f>LEFT('Liste des étudiants'!$W2023,3)</f>
        <v>450</v>
      </c>
    </row>
    <row r="2024" spans="1:1" x14ac:dyDescent="0.25">
      <c r="A2024" s="54" t="str">
        <f>LEFT('Liste des étudiants'!$W2024,3)</f>
        <v>450</v>
      </c>
    </row>
    <row r="2025" spans="1:1" x14ac:dyDescent="0.25">
      <c r="A2025" s="54" t="str">
        <f>LEFT('Liste des étudiants'!$W2025,3)</f>
        <v>450</v>
      </c>
    </row>
    <row r="2026" spans="1:1" x14ac:dyDescent="0.25">
      <c r="A2026" s="54" t="str">
        <f>LEFT('Liste des étudiants'!$W2026,3)</f>
        <v>450</v>
      </c>
    </row>
    <row r="2027" spans="1:1" x14ac:dyDescent="0.25">
      <c r="A2027" s="54" t="str">
        <f>LEFT('Liste des étudiants'!$W2027,3)</f>
        <v>450</v>
      </c>
    </row>
    <row r="2028" spans="1:1" x14ac:dyDescent="0.25">
      <c r="A2028" s="54" t="str">
        <f>LEFT('Liste des étudiants'!$W2028,3)</f>
        <v>450</v>
      </c>
    </row>
    <row r="2029" spans="1:1" x14ac:dyDescent="0.25">
      <c r="A2029" s="54" t="str">
        <f>LEFT('Liste des étudiants'!$W2029,3)</f>
        <v>450</v>
      </c>
    </row>
    <row r="2030" spans="1:1" x14ac:dyDescent="0.25">
      <c r="A2030" s="54" t="str">
        <f>LEFT('Liste des étudiants'!$W2030,3)</f>
        <v>450</v>
      </c>
    </row>
    <row r="2031" spans="1:1" x14ac:dyDescent="0.25">
      <c r="A2031" s="54" t="str">
        <f>LEFT('Liste des étudiants'!$W2031,3)</f>
        <v>450</v>
      </c>
    </row>
    <row r="2032" spans="1:1" x14ac:dyDescent="0.25">
      <c r="A2032" s="54" t="str">
        <f>LEFT('Liste des étudiants'!$W2032,3)</f>
        <v>450</v>
      </c>
    </row>
    <row r="2033" spans="1:1" x14ac:dyDescent="0.25">
      <c r="A2033" s="54" t="str">
        <f>LEFT('Liste des étudiants'!$W2033,3)</f>
        <v>450</v>
      </c>
    </row>
    <row r="2034" spans="1:1" x14ac:dyDescent="0.25">
      <c r="A2034" s="54" t="str">
        <f>LEFT('Liste des étudiants'!$W2034,3)</f>
        <v>450</v>
      </c>
    </row>
    <row r="2035" spans="1:1" x14ac:dyDescent="0.25">
      <c r="A2035" s="54" t="str">
        <f>LEFT('Liste des étudiants'!$W2035,3)</f>
        <v>450</v>
      </c>
    </row>
    <row r="2036" spans="1:1" x14ac:dyDescent="0.25">
      <c r="A2036" s="54" t="str">
        <f>LEFT('Liste des étudiants'!$W2036,3)</f>
        <v>450</v>
      </c>
    </row>
    <row r="2037" spans="1:1" x14ac:dyDescent="0.25">
      <c r="A2037" s="54" t="str">
        <f>LEFT('Liste des étudiants'!$W2037,3)</f>
        <v>450</v>
      </c>
    </row>
    <row r="2038" spans="1:1" x14ac:dyDescent="0.25">
      <c r="A2038" s="54" t="str">
        <f>LEFT('Liste des étudiants'!$W2038,3)</f>
        <v>450</v>
      </c>
    </row>
    <row r="2039" spans="1:1" x14ac:dyDescent="0.25">
      <c r="A2039" s="54" t="str">
        <f>LEFT('Liste des étudiants'!$W2039,3)</f>
        <v>450</v>
      </c>
    </row>
    <row r="2040" spans="1:1" x14ac:dyDescent="0.25">
      <c r="A2040" s="54" t="str">
        <f>LEFT('Liste des étudiants'!$W2040,3)</f>
        <v>450</v>
      </c>
    </row>
    <row r="2041" spans="1:1" x14ac:dyDescent="0.25">
      <c r="A2041" s="54" t="str">
        <f>LEFT('Liste des étudiants'!$W2041,3)</f>
        <v>450</v>
      </c>
    </row>
    <row r="2042" spans="1:1" x14ac:dyDescent="0.25">
      <c r="A2042" s="54" t="str">
        <f>LEFT('Liste des étudiants'!$W2042,3)</f>
        <v>450</v>
      </c>
    </row>
    <row r="2043" spans="1:1" x14ac:dyDescent="0.25">
      <c r="A2043" s="54" t="str">
        <f>LEFT('Liste des étudiants'!$W2043,3)</f>
        <v>450</v>
      </c>
    </row>
    <row r="2044" spans="1:1" x14ac:dyDescent="0.25">
      <c r="A2044" s="54" t="str">
        <f>LEFT('Liste des étudiants'!$W2044,3)</f>
        <v>450</v>
      </c>
    </row>
    <row r="2045" spans="1:1" x14ac:dyDescent="0.25">
      <c r="A2045" s="54" t="str">
        <f>LEFT('Liste des étudiants'!$W2045,3)</f>
        <v>450</v>
      </c>
    </row>
    <row r="2046" spans="1:1" x14ac:dyDescent="0.25">
      <c r="A2046" s="54" t="str">
        <f>LEFT('Liste des étudiants'!$W2046,3)</f>
        <v>450</v>
      </c>
    </row>
    <row r="2047" spans="1:1" x14ac:dyDescent="0.25">
      <c r="A2047" s="54" t="str">
        <f>LEFT('Liste des étudiants'!$W2047,3)</f>
        <v>450</v>
      </c>
    </row>
    <row r="2048" spans="1:1" x14ac:dyDescent="0.25">
      <c r="A2048" s="54" t="str">
        <f>LEFT('Liste des étudiants'!$W2048,3)</f>
        <v>450</v>
      </c>
    </row>
    <row r="2049" spans="1:1" x14ac:dyDescent="0.25">
      <c r="A2049" s="54" t="str">
        <f>LEFT('Liste des étudiants'!$W2049,3)</f>
        <v>450</v>
      </c>
    </row>
    <row r="2050" spans="1:1" x14ac:dyDescent="0.25">
      <c r="A2050" s="54" t="str">
        <f>LEFT('Liste des étudiants'!$W2050,3)</f>
        <v>450</v>
      </c>
    </row>
    <row r="2051" spans="1:1" x14ac:dyDescent="0.25">
      <c r="A2051" s="54" t="str">
        <f>LEFT('Liste des étudiants'!$W2051,3)</f>
        <v>450</v>
      </c>
    </row>
    <row r="2052" spans="1:1" x14ac:dyDescent="0.25">
      <c r="A2052" s="54" t="str">
        <f>LEFT('Liste des étudiants'!$W2052,3)</f>
        <v>450</v>
      </c>
    </row>
    <row r="2053" spans="1:1" x14ac:dyDescent="0.25">
      <c r="A2053" s="54" t="str">
        <f>LEFT('Liste des étudiants'!$W2053,3)</f>
        <v>450</v>
      </c>
    </row>
    <row r="2054" spans="1:1" x14ac:dyDescent="0.25">
      <c r="A2054" s="54" t="str">
        <f>LEFT('Liste des étudiants'!$W2054,3)</f>
        <v>450</v>
      </c>
    </row>
    <row r="2055" spans="1:1" x14ac:dyDescent="0.25">
      <c r="A2055" s="54" t="str">
        <f>LEFT('Liste des étudiants'!$W2055,3)</f>
        <v>450</v>
      </c>
    </row>
    <row r="2056" spans="1:1" x14ac:dyDescent="0.25">
      <c r="A2056" s="54" t="str">
        <f>LEFT('Liste des étudiants'!$W2056,3)</f>
        <v>450</v>
      </c>
    </row>
    <row r="2057" spans="1:1" x14ac:dyDescent="0.25">
      <c r="A2057" s="54" t="str">
        <f>LEFT('Liste des étudiants'!$W2057,3)</f>
        <v>450</v>
      </c>
    </row>
    <row r="2058" spans="1:1" x14ac:dyDescent="0.25">
      <c r="A2058" s="54" t="str">
        <f>LEFT('Liste des étudiants'!$W2058,3)</f>
        <v>450</v>
      </c>
    </row>
    <row r="2059" spans="1:1" x14ac:dyDescent="0.25">
      <c r="A2059" s="54" t="str">
        <f>LEFT('Liste des étudiants'!$W2059,3)</f>
        <v>450</v>
      </c>
    </row>
    <row r="2060" spans="1:1" x14ac:dyDescent="0.25">
      <c r="A2060" s="54" t="str">
        <f>LEFT('Liste des étudiants'!$W2060,3)</f>
        <v>450</v>
      </c>
    </row>
    <row r="2061" spans="1:1" x14ac:dyDescent="0.25">
      <c r="A2061" s="54" t="str">
        <f>LEFT('Liste des étudiants'!$W2061,3)</f>
        <v>450</v>
      </c>
    </row>
    <row r="2062" spans="1:1" x14ac:dyDescent="0.25">
      <c r="A2062" s="54" t="str">
        <f>LEFT('Liste des étudiants'!$W2062,3)</f>
        <v>450</v>
      </c>
    </row>
    <row r="2063" spans="1:1" x14ac:dyDescent="0.25">
      <c r="A2063" s="54" t="str">
        <f>LEFT('Liste des étudiants'!$W2063,3)</f>
        <v>450</v>
      </c>
    </row>
    <row r="2064" spans="1:1" x14ac:dyDescent="0.25">
      <c r="A2064" s="54" t="str">
        <f>LEFT('Liste des étudiants'!$W2064,3)</f>
        <v>450</v>
      </c>
    </row>
    <row r="2065" spans="1:1" x14ac:dyDescent="0.25">
      <c r="A2065" s="54" t="str">
        <f>LEFT('Liste des étudiants'!$W2065,3)</f>
        <v>450</v>
      </c>
    </row>
    <row r="2066" spans="1:1" x14ac:dyDescent="0.25">
      <c r="A2066" s="54" t="str">
        <f>LEFT('Liste des étudiants'!$W2066,3)</f>
        <v>450</v>
      </c>
    </row>
    <row r="2067" spans="1:1" x14ac:dyDescent="0.25">
      <c r="A2067" s="54" t="str">
        <f>LEFT('Liste des étudiants'!$W2067,3)</f>
        <v>450</v>
      </c>
    </row>
    <row r="2068" spans="1:1" x14ac:dyDescent="0.25">
      <c r="A2068" s="54" t="str">
        <f>LEFT('Liste des étudiants'!$W2068,3)</f>
        <v>450</v>
      </c>
    </row>
    <row r="2069" spans="1:1" x14ac:dyDescent="0.25">
      <c r="A2069" s="54" t="str">
        <f>LEFT('Liste des étudiants'!$W2069,3)</f>
        <v>450</v>
      </c>
    </row>
    <row r="2070" spans="1:1" x14ac:dyDescent="0.25">
      <c r="A2070" s="54" t="str">
        <f>LEFT('Liste des étudiants'!$W2070,3)</f>
        <v>450</v>
      </c>
    </row>
    <row r="2071" spans="1:1" x14ac:dyDescent="0.25">
      <c r="A2071" s="54" t="str">
        <f>LEFT('Liste des étudiants'!$W2071,3)</f>
        <v>450</v>
      </c>
    </row>
    <row r="2072" spans="1:1" x14ac:dyDescent="0.25">
      <c r="A2072" s="54" t="str">
        <f>LEFT('Liste des étudiants'!$W2072,3)</f>
        <v>450</v>
      </c>
    </row>
    <row r="2073" spans="1:1" x14ac:dyDescent="0.25">
      <c r="A2073" s="54" t="str">
        <f>LEFT('Liste des étudiants'!$W2073,3)</f>
        <v>450</v>
      </c>
    </row>
    <row r="2074" spans="1:1" x14ac:dyDescent="0.25">
      <c r="A2074" s="54" t="str">
        <f>LEFT('Liste des étudiants'!$W2074,3)</f>
        <v>450</v>
      </c>
    </row>
    <row r="2075" spans="1:1" x14ac:dyDescent="0.25">
      <c r="A2075" s="54" t="str">
        <f>LEFT('Liste des étudiants'!$W2075,3)</f>
        <v>450</v>
      </c>
    </row>
    <row r="2076" spans="1:1" x14ac:dyDescent="0.25">
      <c r="A2076" s="54" t="str">
        <f>LEFT('Liste des étudiants'!$W2076,3)</f>
        <v>450</v>
      </c>
    </row>
    <row r="2077" spans="1:1" x14ac:dyDescent="0.25">
      <c r="A2077" s="54" t="str">
        <f>LEFT('Liste des étudiants'!$W2077,3)</f>
        <v>450</v>
      </c>
    </row>
    <row r="2078" spans="1:1" x14ac:dyDescent="0.25">
      <c r="A2078" s="54" t="str">
        <f>LEFT('Liste des étudiants'!$W2078,3)</f>
        <v>450</v>
      </c>
    </row>
    <row r="2079" spans="1:1" x14ac:dyDescent="0.25">
      <c r="A2079" s="54" t="str">
        <f>LEFT('Liste des étudiants'!$W2079,3)</f>
        <v>450</v>
      </c>
    </row>
    <row r="2080" spans="1:1" x14ac:dyDescent="0.25">
      <c r="A2080" s="54" t="str">
        <f>LEFT('Liste des étudiants'!$W2080,3)</f>
        <v>450</v>
      </c>
    </row>
    <row r="2081" spans="1:1" x14ac:dyDescent="0.25">
      <c r="A2081" s="54" t="str">
        <f>LEFT('Liste des étudiants'!$W2081,3)</f>
        <v>450</v>
      </c>
    </row>
    <row r="2082" spans="1:1" x14ac:dyDescent="0.25">
      <c r="A2082" s="54" t="str">
        <f>LEFT('Liste des étudiants'!$W2082,3)</f>
        <v>450</v>
      </c>
    </row>
    <row r="2083" spans="1:1" x14ac:dyDescent="0.25">
      <c r="A2083" s="54" t="str">
        <f>LEFT('Liste des étudiants'!$W2083,3)</f>
        <v>450</v>
      </c>
    </row>
    <row r="2084" spans="1:1" x14ac:dyDescent="0.25">
      <c r="A2084" s="54" t="str">
        <f>LEFT('Liste des étudiants'!$W2084,3)</f>
        <v>450</v>
      </c>
    </row>
    <row r="2085" spans="1:1" x14ac:dyDescent="0.25">
      <c r="A2085" s="54" t="str">
        <f>LEFT('Liste des étudiants'!$W2085,3)</f>
        <v>450</v>
      </c>
    </row>
    <row r="2086" spans="1:1" x14ac:dyDescent="0.25">
      <c r="A2086" s="54" t="str">
        <f>LEFT('Liste des étudiants'!$W2086,3)</f>
        <v>450</v>
      </c>
    </row>
    <row r="2087" spans="1:1" x14ac:dyDescent="0.25">
      <c r="A2087" s="54" t="str">
        <f>LEFT('Liste des étudiants'!$W2087,3)</f>
        <v>450</v>
      </c>
    </row>
    <row r="2088" spans="1:1" x14ac:dyDescent="0.25">
      <c r="A2088" s="54" t="str">
        <f>LEFT('Liste des étudiants'!$W2088,3)</f>
        <v>450</v>
      </c>
    </row>
    <row r="2089" spans="1:1" x14ac:dyDescent="0.25">
      <c r="A2089" s="54" t="str">
        <f>LEFT('Liste des étudiants'!$W2089,3)</f>
        <v>450</v>
      </c>
    </row>
    <row r="2090" spans="1:1" x14ac:dyDescent="0.25">
      <c r="A2090" s="54" t="str">
        <f>LEFT('Liste des étudiants'!$W2090,3)</f>
        <v>450</v>
      </c>
    </row>
    <row r="2091" spans="1:1" x14ac:dyDescent="0.25">
      <c r="A2091" s="54" t="str">
        <f>LEFT('Liste des étudiants'!$W2091,3)</f>
        <v>450</v>
      </c>
    </row>
    <row r="2092" spans="1:1" x14ac:dyDescent="0.25">
      <c r="A2092" s="54" t="str">
        <f>LEFT('Liste des étudiants'!$W2092,3)</f>
        <v>450</v>
      </c>
    </row>
    <row r="2093" spans="1:1" x14ac:dyDescent="0.25">
      <c r="A2093" s="54" t="str">
        <f>LEFT('Liste des étudiants'!$W2093,3)</f>
        <v>450</v>
      </c>
    </row>
    <row r="2094" spans="1:1" x14ac:dyDescent="0.25">
      <c r="A2094" s="54" t="str">
        <f>LEFT('Liste des étudiants'!$W2094,3)</f>
        <v>450</v>
      </c>
    </row>
    <row r="2095" spans="1:1" x14ac:dyDescent="0.25">
      <c r="A2095" s="54" t="str">
        <f>LEFT('Liste des étudiants'!$W2095,3)</f>
        <v>450</v>
      </c>
    </row>
    <row r="2096" spans="1:1" x14ac:dyDescent="0.25">
      <c r="A2096" s="54" t="str">
        <f>LEFT('Liste des étudiants'!$W2096,3)</f>
        <v>450</v>
      </c>
    </row>
    <row r="2097" spans="1:1" x14ac:dyDescent="0.25">
      <c r="A2097" s="54" t="str">
        <f>LEFT('Liste des étudiants'!$W2097,3)</f>
        <v>450</v>
      </c>
    </row>
    <row r="2098" spans="1:1" x14ac:dyDescent="0.25">
      <c r="A2098" s="54" t="str">
        <f>LEFT('Liste des étudiants'!$W2098,3)</f>
        <v>450</v>
      </c>
    </row>
    <row r="2099" spans="1:1" x14ac:dyDescent="0.25">
      <c r="A2099" s="54" t="str">
        <f>LEFT('Liste des étudiants'!$W2099,3)</f>
        <v>450</v>
      </c>
    </row>
    <row r="2100" spans="1:1" x14ac:dyDescent="0.25">
      <c r="A2100" s="54" t="str">
        <f>LEFT('Liste des étudiants'!$W2100,3)</f>
        <v>450</v>
      </c>
    </row>
    <row r="2101" spans="1:1" x14ac:dyDescent="0.25">
      <c r="A2101" s="54" t="str">
        <f>LEFT('Liste des étudiants'!$W2101,3)</f>
        <v>450</v>
      </c>
    </row>
    <row r="2102" spans="1:1" x14ac:dyDescent="0.25">
      <c r="A2102" s="54" t="str">
        <f>LEFT('Liste des étudiants'!$W2102,3)</f>
        <v>450</v>
      </c>
    </row>
    <row r="2103" spans="1:1" x14ac:dyDescent="0.25">
      <c r="A2103" s="54" t="str">
        <f>LEFT('Liste des étudiants'!$W2103,3)</f>
        <v>450</v>
      </c>
    </row>
    <row r="2104" spans="1:1" x14ac:dyDescent="0.25">
      <c r="A2104" s="54" t="str">
        <f>LEFT('Liste des étudiants'!$W2104,3)</f>
        <v>450</v>
      </c>
    </row>
    <row r="2105" spans="1:1" x14ac:dyDescent="0.25">
      <c r="A2105" s="54" t="str">
        <f>LEFT('Liste des étudiants'!$W2105,3)</f>
        <v>450</v>
      </c>
    </row>
    <row r="2106" spans="1:1" x14ac:dyDescent="0.25">
      <c r="A2106" s="54" t="str">
        <f>LEFT('Liste des étudiants'!$W2106,3)</f>
        <v>450</v>
      </c>
    </row>
    <row r="2107" spans="1:1" x14ac:dyDescent="0.25">
      <c r="A2107" s="54" t="str">
        <f>LEFT('Liste des étudiants'!$W2107,3)</f>
        <v>450</v>
      </c>
    </row>
    <row r="2108" spans="1:1" x14ac:dyDescent="0.25">
      <c r="A2108" s="54" t="str">
        <f>LEFT('Liste des étudiants'!$W2108,3)</f>
        <v>450</v>
      </c>
    </row>
    <row r="2109" spans="1:1" x14ac:dyDescent="0.25">
      <c r="A2109" s="54" t="str">
        <f>LEFT('Liste des étudiants'!$W2109,3)</f>
        <v>450</v>
      </c>
    </row>
    <row r="2110" spans="1:1" x14ac:dyDescent="0.25">
      <c r="A2110" s="54" t="str">
        <f>LEFT('Liste des étudiants'!$W2110,3)</f>
        <v>450</v>
      </c>
    </row>
    <row r="2111" spans="1:1" x14ac:dyDescent="0.25">
      <c r="A2111" s="54" t="str">
        <f>LEFT('Liste des étudiants'!$W2111,3)</f>
        <v>450</v>
      </c>
    </row>
    <row r="2112" spans="1:1" x14ac:dyDescent="0.25">
      <c r="A2112" s="54" t="str">
        <f>LEFT('Liste des étudiants'!$W2112,3)</f>
        <v>450</v>
      </c>
    </row>
    <row r="2113" spans="1:1" x14ac:dyDescent="0.25">
      <c r="A2113" s="54" t="str">
        <f>LEFT('Liste des étudiants'!$W2113,3)</f>
        <v>450</v>
      </c>
    </row>
    <row r="2114" spans="1:1" x14ac:dyDescent="0.25">
      <c r="A2114" s="54" t="str">
        <f>LEFT('Liste des étudiants'!$W2114,3)</f>
        <v>450</v>
      </c>
    </row>
    <row r="2115" spans="1:1" x14ac:dyDescent="0.25">
      <c r="A2115" s="54" t="str">
        <f>LEFT('Liste des étudiants'!$W2115,3)</f>
        <v>450</v>
      </c>
    </row>
    <row r="2116" spans="1:1" x14ac:dyDescent="0.25">
      <c r="A2116" s="54" t="str">
        <f>LEFT('Liste des étudiants'!$W2116,3)</f>
        <v>450</v>
      </c>
    </row>
    <row r="2117" spans="1:1" x14ac:dyDescent="0.25">
      <c r="A2117" s="54" t="str">
        <f>LEFT('Liste des étudiants'!$W2117,3)</f>
        <v>450</v>
      </c>
    </row>
    <row r="2118" spans="1:1" x14ac:dyDescent="0.25">
      <c r="A2118" s="54" t="str">
        <f>LEFT('Liste des étudiants'!$W2118,3)</f>
        <v>450</v>
      </c>
    </row>
    <row r="2119" spans="1:1" x14ac:dyDescent="0.25">
      <c r="A2119" s="54" t="str">
        <f>LEFT('Liste des étudiants'!$W2119,3)</f>
        <v>450</v>
      </c>
    </row>
    <row r="2120" spans="1:1" x14ac:dyDescent="0.25">
      <c r="A2120" s="54" t="str">
        <f>LEFT('Liste des étudiants'!$W2120,3)</f>
        <v>450</v>
      </c>
    </row>
    <row r="2121" spans="1:1" x14ac:dyDescent="0.25">
      <c r="A2121" s="54" t="str">
        <f>LEFT('Liste des étudiants'!$W2121,3)</f>
        <v>450</v>
      </c>
    </row>
    <row r="2122" spans="1:1" x14ac:dyDescent="0.25">
      <c r="A2122" s="54" t="str">
        <f>LEFT('Liste des étudiants'!$W2122,3)</f>
        <v>450</v>
      </c>
    </row>
    <row r="2123" spans="1:1" x14ac:dyDescent="0.25">
      <c r="A2123" s="54" t="str">
        <f>LEFT('Liste des étudiants'!$W2123,3)</f>
        <v>450</v>
      </c>
    </row>
    <row r="2124" spans="1:1" x14ac:dyDescent="0.25">
      <c r="A2124" s="54" t="str">
        <f>LEFT('Liste des étudiants'!$W2124,3)</f>
        <v>450</v>
      </c>
    </row>
    <row r="2125" spans="1:1" x14ac:dyDescent="0.25">
      <c r="A2125" s="54" t="str">
        <f>LEFT('Liste des étudiants'!$W2125,3)</f>
        <v>450</v>
      </c>
    </row>
    <row r="2126" spans="1:1" x14ac:dyDescent="0.25">
      <c r="A2126" s="54" t="str">
        <f>LEFT('Liste des étudiants'!$W2126,3)</f>
        <v>450</v>
      </c>
    </row>
    <row r="2127" spans="1:1" x14ac:dyDescent="0.25">
      <c r="A2127" s="54" t="str">
        <f>LEFT('Liste des étudiants'!$W2127,3)</f>
        <v>450</v>
      </c>
    </row>
    <row r="2128" spans="1:1" x14ac:dyDescent="0.25">
      <c r="A2128" s="54" t="str">
        <f>LEFT('Liste des étudiants'!$W2128,3)</f>
        <v>450</v>
      </c>
    </row>
    <row r="2129" spans="1:1" x14ac:dyDescent="0.25">
      <c r="A2129" s="54" t="str">
        <f>LEFT('Liste des étudiants'!$W2129,3)</f>
        <v>450</v>
      </c>
    </row>
    <row r="2130" spans="1:1" x14ac:dyDescent="0.25">
      <c r="A2130" s="54" t="str">
        <f>LEFT('Liste des étudiants'!$W2130,3)</f>
        <v>450</v>
      </c>
    </row>
    <row r="2131" spans="1:1" x14ac:dyDescent="0.25">
      <c r="A2131" s="54" t="str">
        <f>LEFT('Liste des étudiants'!$W2131,3)</f>
        <v>450</v>
      </c>
    </row>
    <row r="2132" spans="1:1" x14ac:dyDescent="0.25">
      <c r="A2132" s="54" t="str">
        <f>LEFT('Liste des étudiants'!$W2132,3)</f>
        <v>450</v>
      </c>
    </row>
    <row r="2133" spans="1:1" x14ac:dyDescent="0.25">
      <c r="A2133" s="54" t="str">
        <f>LEFT('Liste des étudiants'!$W2133,3)</f>
        <v>450</v>
      </c>
    </row>
    <row r="2134" spans="1:1" x14ac:dyDescent="0.25">
      <c r="A2134" s="54" t="str">
        <f>LEFT('Liste des étudiants'!$W2134,3)</f>
        <v>450</v>
      </c>
    </row>
    <row r="2135" spans="1:1" x14ac:dyDescent="0.25">
      <c r="A2135" s="54" t="str">
        <f>LEFT('Liste des étudiants'!$W2135,3)</f>
        <v>450</v>
      </c>
    </row>
    <row r="2136" spans="1:1" x14ac:dyDescent="0.25">
      <c r="A2136" s="54" t="str">
        <f>LEFT('Liste des étudiants'!$W2136,3)</f>
        <v>450</v>
      </c>
    </row>
    <row r="2137" spans="1:1" x14ac:dyDescent="0.25">
      <c r="A2137" s="54" t="str">
        <f>LEFT('Liste des étudiants'!$W2137,3)</f>
        <v>450</v>
      </c>
    </row>
    <row r="2138" spans="1:1" x14ac:dyDescent="0.25">
      <c r="A2138" s="54" t="str">
        <f>LEFT('Liste des étudiants'!$W2138,3)</f>
        <v>450</v>
      </c>
    </row>
    <row r="2139" spans="1:1" x14ac:dyDescent="0.25">
      <c r="A2139" s="54" t="str">
        <f>LEFT('Liste des étudiants'!$W2139,3)</f>
        <v>450</v>
      </c>
    </row>
    <row r="2140" spans="1:1" x14ac:dyDescent="0.25">
      <c r="A2140" s="54" t="str">
        <f>LEFT('Liste des étudiants'!$W2140,3)</f>
        <v>450</v>
      </c>
    </row>
    <row r="2141" spans="1:1" x14ac:dyDescent="0.25">
      <c r="A2141" s="54" t="str">
        <f>LEFT('Liste des étudiants'!$W2141,3)</f>
        <v>450</v>
      </c>
    </row>
    <row r="2142" spans="1:1" x14ac:dyDescent="0.25">
      <c r="A2142" s="54" t="str">
        <f>LEFT('Liste des étudiants'!$W2142,3)</f>
        <v>450</v>
      </c>
    </row>
    <row r="2143" spans="1:1" x14ac:dyDescent="0.25">
      <c r="A2143" s="54" t="str">
        <f>LEFT('Liste des étudiants'!$W2143,3)</f>
        <v>450</v>
      </c>
    </row>
    <row r="2144" spans="1:1" x14ac:dyDescent="0.25">
      <c r="A2144" s="54" t="str">
        <f>LEFT('Liste des étudiants'!$W2144,3)</f>
        <v>450</v>
      </c>
    </row>
    <row r="2145" spans="1:1" x14ac:dyDescent="0.25">
      <c r="A2145" s="54" t="str">
        <f>LEFT('Liste des étudiants'!$W2145,3)</f>
        <v>450</v>
      </c>
    </row>
    <row r="2146" spans="1:1" x14ac:dyDescent="0.25">
      <c r="A2146" s="54" t="str">
        <f>LEFT('Liste des étudiants'!$W2146,3)</f>
        <v>450</v>
      </c>
    </row>
    <row r="2147" spans="1:1" x14ac:dyDescent="0.25">
      <c r="A2147" s="54" t="str">
        <f>LEFT('Liste des étudiants'!$W2147,3)</f>
        <v>450</v>
      </c>
    </row>
    <row r="2148" spans="1:1" x14ac:dyDescent="0.25">
      <c r="A2148" s="54" t="str">
        <f>LEFT('Liste des étudiants'!$W2148,3)</f>
        <v>450</v>
      </c>
    </row>
    <row r="2149" spans="1:1" x14ac:dyDescent="0.25">
      <c r="A2149" s="54" t="str">
        <f>LEFT('Liste des étudiants'!$W2149,3)</f>
        <v>450</v>
      </c>
    </row>
    <row r="2150" spans="1:1" x14ac:dyDescent="0.25">
      <c r="A2150" s="54" t="str">
        <f>LEFT('Liste des étudiants'!$W2150,3)</f>
        <v>450</v>
      </c>
    </row>
    <row r="2151" spans="1:1" x14ac:dyDescent="0.25">
      <c r="A2151" s="54" t="str">
        <f>LEFT('Liste des étudiants'!$W2151,3)</f>
        <v>450</v>
      </c>
    </row>
    <row r="2152" spans="1:1" x14ac:dyDescent="0.25">
      <c r="A2152" s="54" t="str">
        <f>LEFT('Liste des étudiants'!$W2152,3)</f>
        <v>450</v>
      </c>
    </row>
    <row r="2153" spans="1:1" x14ac:dyDescent="0.25">
      <c r="A2153" s="54" t="str">
        <f>LEFT('Liste des étudiants'!$W2153,3)</f>
        <v>450</v>
      </c>
    </row>
    <row r="2154" spans="1:1" x14ac:dyDescent="0.25">
      <c r="A2154" s="54" t="str">
        <f>LEFT('Liste des étudiants'!$W2154,3)</f>
        <v>450</v>
      </c>
    </row>
    <row r="2155" spans="1:1" x14ac:dyDescent="0.25">
      <c r="A2155" s="54" t="str">
        <f>LEFT('Liste des étudiants'!$W2155,3)</f>
        <v>450</v>
      </c>
    </row>
    <row r="2156" spans="1:1" x14ac:dyDescent="0.25">
      <c r="A2156" s="54" t="str">
        <f>LEFT('Liste des étudiants'!$W2156,3)</f>
        <v>450</v>
      </c>
    </row>
    <row r="2157" spans="1:1" x14ac:dyDescent="0.25">
      <c r="A2157" s="54" t="str">
        <f>LEFT('Liste des étudiants'!$W2157,3)</f>
        <v>450</v>
      </c>
    </row>
    <row r="2158" spans="1:1" x14ac:dyDescent="0.25">
      <c r="A2158" s="54" t="str">
        <f>LEFT('Liste des étudiants'!$W2158,3)</f>
        <v>450</v>
      </c>
    </row>
    <row r="2159" spans="1:1" x14ac:dyDescent="0.25">
      <c r="A2159" s="54" t="str">
        <f>LEFT('Liste des étudiants'!$W2159,3)</f>
        <v>450</v>
      </c>
    </row>
    <row r="2160" spans="1:1" x14ac:dyDescent="0.25">
      <c r="A2160" s="54" t="str">
        <f>LEFT('Liste des étudiants'!$W2160,3)</f>
        <v>450</v>
      </c>
    </row>
    <row r="2161" spans="1:1" x14ac:dyDescent="0.25">
      <c r="A2161" s="54" t="str">
        <f>LEFT('Liste des étudiants'!$W2161,3)</f>
        <v>450</v>
      </c>
    </row>
    <row r="2162" spans="1:1" x14ac:dyDescent="0.25">
      <c r="A2162" s="54" t="str">
        <f>LEFT('Liste des étudiants'!$W2162,3)</f>
        <v>450</v>
      </c>
    </row>
    <row r="2163" spans="1:1" x14ac:dyDescent="0.25">
      <c r="A2163" s="54" t="str">
        <f>LEFT('Liste des étudiants'!$W2163,3)</f>
        <v>450</v>
      </c>
    </row>
    <row r="2164" spans="1:1" x14ac:dyDescent="0.25">
      <c r="A2164" s="54" t="str">
        <f>LEFT('Liste des étudiants'!$W2164,3)</f>
        <v>450</v>
      </c>
    </row>
    <row r="2165" spans="1:1" x14ac:dyDescent="0.25">
      <c r="A2165" s="54" t="str">
        <f>LEFT('Liste des étudiants'!$W2165,3)</f>
        <v>450</v>
      </c>
    </row>
    <row r="2166" spans="1:1" x14ac:dyDescent="0.25">
      <c r="A2166" s="54" t="str">
        <f>LEFT('Liste des étudiants'!$W2166,3)</f>
        <v>450</v>
      </c>
    </row>
    <row r="2167" spans="1:1" x14ac:dyDescent="0.25">
      <c r="A2167" s="54" t="str">
        <f>LEFT('Liste des étudiants'!$W2167,3)</f>
        <v>450</v>
      </c>
    </row>
    <row r="2168" spans="1:1" x14ac:dyDescent="0.25">
      <c r="A2168" s="54" t="str">
        <f>LEFT('Liste des étudiants'!$W2168,3)</f>
        <v>450</v>
      </c>
    </row>
    <row r="2169" spans="1:1" x14ac:dyDescent="0.25">
      <c r="A2169" s="54" t="str">
        <f>LEFT('Liste des étudiants'!$W2169,3)</f>
        <v>450</v>
      </c>
    </row>
    <row r="2170" spans="1:1" x14ac:dyDescent="0.25">
      <c r="A2170" s="54" t="str">
        <f>LEFT('Liste des étudiants'!$W2170,3)</f>
        <v>450</v>
      </c>
    </row>
    <row r="2171" spans="1:1" x14ac:dyDescent="0.25">
      <c r="A2171" s="54" t="str">
        <f>LEFT('Liste des étudiants'!$W2171,3)</f>
        <v>450</v>
      </c>
    </row>
    <row r="2172" spans="1:1" x14ac:dyDescent="0.25">
      <c r="A2172" s="54" t="str">
        <f>LEFT('Liste des étudiants'!$W2172,3)</f>
        <v>450</v>
      </c>
    </row>
    <row r="2173" spans="1:1" x14ac:dyDescent="0.25">
      <c r="A2173" s="54" t="str">
        <f>LEFT('Liste des étudiants'!$W2173,3)</f>
        <v>450</v>
      </c>
    </row>
    <row r="2174" spans="1:1" x14ac:dyDescent="0.25">
      <c r="A2174" s="54" t="str">
        <f>LEFT('Liste des étudiants'!$W2174,3)</f>
        <v>450</v>
      </c>
    </row>
    <row r="2175" spans="1:1" x14ac:dyDescent="0.25">
      <c r="A2175" s="54" t="str">
        <f>LEFT('Liste des étudiants'!$W2175,3)</f>
        <v>450</v>
      </c>
    </row>
    <row r="2176" spans="1:1" x14ac:dyDescent="0.25">
      <c r="A2176" s="54" t="str">
        <f>LEFT('Liste des étudiants'!$W2176,3)</f>
        <v>450</v>
      </c>
    </row>
    <row r="2177" spans="1:1" x14ac:dyDescent="0.25">
      <c r="A2177" s="54" t="str">
        <f>LEFT('Liste des étudiants'!$W2177,3)</f>
        <v>450</v>
      </c>
    </row>
    <row r="2178" spans="1:1" x14ac:dyDescent="0.25">
      <c r="A2178" s="54" t="str">
        <f>LEFT('Liste des étudiants'!$W2178,3)</f>
        <v>450</v>
      </c>
    </row>
    <row r="2179" spans="1:1" x14ac:dyDescent="0.25">
      <c r="A2179" s="54" t="str">
        <f>LEFT('Liste des étudiants'!$W2179,3)</f>
        <v>450</v>
      </c>
    </row>
    <row r="2180" spans="1:1" x14ac:dyDescent="0.25">
      <c r="A2180" s="54" t="str">
        <f>LEFT('Liste des étudiants'!$W2180,3)</f>
        <v>450</v>
      </c>
    </row>
    <row r="2181" spans="1:1" x14ac:dyDescent="0.25">
      <c r="A2181" s="54" t="str">
        <f>LEFT('Liste des étudiants'!$W2181,3)</f>
        <v>450</v>
      </c>
    </row>
    <row r="2182" spans="1:1" x14ac:dyDescent="0.25">
      <c r="A2182" s="54" t="str">
        <f>LEFT('Liste des étudiants'!$W2182,3)</f>
        <v>450</v>
      </c>
    </row>
    <row r="2183" spans="1:1" x14ac:dyDescent="0.25">
      <c r="A2183" s="54" t="str">
        <f>LEFT('Liste des étudiants'!$W2183,3)</f>
        <v>450</v>
      </c>
    </row>
    <row r="2184" spans="1:1" x14ac:dyDescent="0.25">
      <c r="A2184" s="54" t="str">
        <f>LEFT('Liste des étudiants'!$W2184,3)</f>
        <v>450</v>
      </c>
    </row>
    <row r="2185" spans="1:1" x14ac:dyDescent="0.25">
      <c r="A2185" s="54" t="str">
        <f>LEFT('Liste des étudiants'!$W2185,3)</f>
        <v>450</v>
      </c>
    </row>
    <row r="2186" spans="1:1" x14ac:dyDescent="0.25">
      <c r="A2186" s="54" t="str">
        <f>LEFT('Liste des étudiants'!$W2186,3)</f>
        <v>450</v>
      </c>
    </row>
    <row r="2187" spans="1:1" x14ac:dyDescent="0.25">
      <c r="A2187" s="54" t="str">
        <f>LEFT('Liste des étudiants'!$W2187,3)</f>
        <v>450</v>
      </c>
    </row>
    <row r="2188" spans="1:1" x14ac:dyDescent="0.25">
      <c r="A2188" s="54" t="str">
        <f>LEFT('Liste des étudiants'!$W2188,3)</f>
        <v>450</v>
      </c>
    </row>
    <row r="2189" spans="1:1" x14ac:dyDescent="0.25">
      <c r="A2189" s="54" t="str">
        <f>LEFT('Liste des étudiants'!$W2189,3)</f>
        <v>450</v>
      </c>
    </row>
    <row r="2190" spans="1:1" x14ac:dyDescent="0.25">
      <c r="A2190" s="54" t="str">
        <f>LEFT('Liste des étudiants'!$W2190,3)</f>
        <v>450</v>
      </c>
    </row>
    <row r="2191" spans="1:1" x14ac:dyDescent="0.25">
      <c r="A2191" s="54" t="str">
        <f>LEFT('Liste des étudiants'!$W2191,3)</f>
        <v>450</v>
      </c>
    </row>
    <row r="2192" spans="1:1" x14ac:dyDescent="0.25">
      <c r="A2192" s="54" t="str">
        <f>LEFT('Liste des étudiants'!$W2192,3)</f>
        <v>450</v>
      </c>
    </row>
    <row r="2193" spans="1:1" x14ac:dyDescent="0.25">
      <c r="A2193" s="54" t="str">
        <f>LEFT('Liste des étudiants'!$W2193,3)</f>
        <v>450</v>
      </c>
    </row>
    <row r="2194" spans="1:1" x14ac:dyDescent="0.25">
      <c r="A2194" s="54" t="str">
        <f>LEFT('Liste des étudiants'!$W2194,3)</f>
        <v>450</v>
      </c>
    </row>
    <row r="2195" spans="1:1" x14ac:dyDescent="0.25">
      <c r="A2195" s="54" t="str">
        <f>LEFT('Liste des étudiants'!$W2195,3)</f>
        <v>450</v>
      </c>
    </row>
    <row r="2196" spans="1:1" x14ac:dyDescent="0.25">
      <c r="A2196" s="54" t="str">
        <f>LEFT('Liste des étudiants'!$W2196,3)</f>
        <v>450</v>
      </c>
    </row>
    <row r="2197" spans="1:1" x14ac:dyDescent="0.25">
      <c r="A2197" s="54" t="str">
        <f>LEFT('Liste des étudiants'!$W2197,3)</f>
        <v>450</v>
      </c>
    </row>
    <row r="2198" spans="1:1" x14ac:dyDescent="0.25">
      <c r="A2198" s="54" t="str">
        <f>LEFT('Liste des étudiants'!$W2198,3)</f>
        <v>450</v>
      </c>
    </row>
    <row r="2199" spans="1:1" x14ac:dyDescent="0.25">
      <c r="A2199" s="54" t="str">
        <f>LEFT('Liste des étudiants'!$W2199,3)</f>
        <v>450</v>
      </c>
    </row>
    <row r="2200" spans="1:1" x14ac:dyDescent="0.25">
      <c r="A2200" s="54" t="str">
        <f>LEFT('Liste des étudiants'!$W2200,3)</f>
        <v>450</v>
      </c>
    </row>
    <row r="2201" spans="1:1" x14ac:dyDescent="0.25">
      <c r="A2201" s="54" t="str">
        <f>LEFT('Liste des étudiants'!$W2201,3)</f>
        <v>450</v>
      </c>
    </row>
    <row r="2202" spans="1:1" x14ac:dyDescent="0.25">
      <c r="A2202" s="54" t="str">
        <f>LEFT('Liste des étudiants'!$W2202,3)</f>
        <v>450</v>
      </c>
    </row>
    <row r="2203" spans="1:1" x14ac:dyDescent="0.25">
      <c r="A2203" s="54" t="str">
        <f>LEFT('Liste des étudiants'!$W2203,3)</f>
        <v>450</v>
      </c>
    </row>
    <row r="2204" spans="1:1" x14ac:dyDescent="0.25">
      <c r="A2204" s="54" t="str">
        <f>LEFT('Liste des étudiants'!$W2204,3)</f>
        <v>450</v>
      </c>
    </row>
    <row r="2205" spans="1:1" x14ac:dyDescent="0.25">
      <c r="A2205" s="54" t="str">
        <f>LEFT('Liste des étudiants'!$W2205,3)</f>
        <v>450</v>
      </c>
    </row>
    <row r="2206" spans="1:1" x14ac:dyDescent="0.25">
      <c r="A2206" s="54" t="str">
        <f>LEFT('Liste des étudiants'!$W2206,3)</f>
        <v>450</v>
      </c>
    </row>
    <row r="2207" spans="1:1" x14ac:dyDescent="0.25">
      <c r="A2207" s="54" t="str">
        <f>LEFT('Liste des étudiants'!$W2207,3)</f>
        <v>450</v>
      </c>
    </row>
    <row r="2208" spans="1:1" x14ac:dyDescent="0.25">
      <c r="A2208" s="54" t="str">
        <f>LEFT('Liste des étudiants'!$W2208,3)</f>
        <v>450</v>
      </c>
    </row>
    <row r="2209" spans="1:1" x14ac:dyDescent="0.25">
      <c r="A2209" s="54" t="str">
        <f>LEFT('Liste des étudiants'!$W2209,3)</f>
        <v>450</v>
      </c>
    </row>
    <row r="2210" spans="1:1" x14ac:dyDescent="0.25">
      <c r="A2210" s="54" t="str">
        <f>LEFT('Liste des étudiants'!$W2210,3)</f>
        <v>450</v>
      </c>
    </row>
    <row r="2211" spans="1:1" x14ac:dyDescent="0.25">
      <c r="A2211" s="54" t="str">
        <f>LEFT('Liste des étudiants'!$W2211,3)</f>
        <v>450</v>
      </c>
    </row>
    <row r="2212" spans="1:1" x14ac:dyDescent="0.25">
      <c r="A2212" s="54" t="str">
        <f>LEFT('Liste des étudiants'!$W2212,3)</f>
        <v>450</v>
      </c>
    </row>
    <row r="2213" spans="1:1" x14ac:dyDescent="0.25">
      <c r="A2213" s="54" t="str">
        <f>LEFT('Liste des étudiants'!$W2213,3)</f>
        <v>450</v>
      </c>
    </row>
    <row r="2214" spans="1:1" x14ac:dyDescent="0.25">
      <c r="A2214" s="54" t="str">
        <f>LEFT('Liste des étudiants'!$W2214,3)</f>
        <v>450</v>
      </c>
    </row>
    <row r="2215" spans="1:1" x14ac:dyDescent="0.25">
      <c r="A2215" s="54" t="str">
        <f>LEFT('Liste des étudiants'!$W2215,3)</f>
        <v>450</v>
      </c>
    </row>
    <row r="2216" spans="1:1" x14ac:dyDescent="0.25">
      <c r="A2216" s="54" t="str">
        <f>LEFT('Liste des étudiants'!$W2216,3)</f>
        <v>450</v>
      </c>
    </row>
    <row r="2217" spans="1:1" x14ac:dyDescent="0.25">
      <c r="A2217" s="54" t="str">
        <f>LEFT('Liste des étudiants'!$W2217,3)</f>
        <v>450</v>
      </c>
    </row>
    <row r="2218" spans="1:1" x14ac:dyDescent="0.25">
      <c r="A2218" s="54" t="str">
        <f>LEFT('Liste des étudiants'!$W2218,3)</f>
        <v>450</v>
      </c>
    </row>
    <row r="2219" spans="1:1" x14ac:dyDescent="0.25">
      <c r="A2219" s="54" t="str">
        <f>LEFT('Liste des étudiants'!$W2219,3)</f>
        <v>450</v>
      </c>
    </row>
    <row r="2220" spans="1:1" x14ac:dyDescent="0.25">
      <c r="A2220" s="54" t="str">
        <f>LEFT('Liste des étudiants'!$W2220,3)</f>
        <v>450</v>
      </c>
    </row>
    <row r="2221" spans="1:1" x14ac:dyDescent="0.25">
      <c r="A2221" s="54" t="str">
        <f>LEFT('Liste des étudiants'!$W2221,3)</f>
        <v>450</v>
      </c>
    </row>
    <row r="2222" spans="1:1" x14ac:dyDescent="0.25">
      <c r="A2222" s="54" t="str">
        <f>LEFT('Liste des étudiants'!$W2222,3)</f>
        <v>450</v>
      </c>
    </row>
    <row r="2223" spans="1:1" x14ac:dyDescent="0.25">
      <c r="A2223" s="54" t="str">
        <f>LEFT('Liste des étudiants'!$W2223,3)</f>
        <v>450</v>
      </c>
    </row>
    <row r="2224" spans="1:1" x14ac:dyDescent="0.25">
      <c r="A2224" s="54" t="str">
        <f>LEFT('Liste des étudiants'!$W2224,3)</f>
        <v>450</v>
      </c>
    </row>
    <row r="2225" spans="1:1" x14ac:dyDescent="0.25">
      <c r="A2225" s="54" t="str">
        <f>LEFT('Liste des étudiants'!$W2225,3)</f>
        <v>450</v>
      </c>
    </row>
    <row r="2226" spans="1:1" x14ac:dyDescent="0.25">
      <c r="A2226" s="54" t="str">
        <f>LEFT('Liste des étudiants'!$W2226,3)</f>
        <v>450</v>
      </c>
    </row>
    <row r="2227" spans="1:1" x14ac:dyDescent="0.25">
      <c r="A2227" s="54" t="str">
        <f>LEFT('Liste des étudiants'!$W2227,3)</f>
        <v>450</v>
      </c>
    </row>
    <row r="2228" spans="1:1" x14ac:dyDescent="0.25">
      <c r="A2228" s="54" t="str">
        <f>LEFT('Liste des étudiants'!$W2228,3)</f>
        <v>450</v>
      </c>
    </row>
    <row r="2229" spans="1:1" x14ac:dyDescent="0.25">
      <c r="A2229" s="54" t="str">
        <f>LEFT('Liste des étudiants'!$W2229,3)</f>
        <v>450</v>
      </c>
    </row>
    <row r="2230" spans="1:1" x14ac:dyDescent="0.25">
      <c r="A2230" s="54" t="str">
        <f>LEFT('Liste des étudiants'!$W2230,3)</f>
        <v>450</v>
      </c>
    </row>
    <row r="2231" spans="1:1" x14ac:dyDescent="0.25">
      <c r="A2231" s="54" t="str">
        <f>LEFT('Liste des étudiants'!$W2231,3)</f>
        <v>450</v>
      </c>
    </row>
    <row r="2232" spans="1:1" x14ac:dyDescent="0.25">
      <c r="A2232" s="54" t="str">
        <f>LEFT('Liste des étudiants'!$W2232,3)</f>
        <v>450</v>
      </c>
    </row>
    <row r="2233" spans="1:1" x14ac:dyDescent="0.25">
      <c r="A2233" s="54" t="str">
        <f>LEFT('Liste des étudiants'!$W2233,3)</f>
        <v>450</v>
      </c>
    </row>
    <row r="2234" spans="1:1" x14ac:dyDescent="0.25">
      <c r="A2234" s="54" t="str">
        <f>LEFT('Liste des étudiants'!$W2234,3)</f>
        <v>450</v>
      </c>
    </row>
    <row r="2235" spans="1:1" x14ac:dyDescent="0.25">
      <c r="A2235" s="54" t="str">
        <f>LEFT('Liste des étudiants'!$W2235,3)</f>
        <v>450</v>
      </c>
    </row>
    <row r="2236" spans="1:1" x14ac:dyDescent="0.25">
      <c r="A2236" s="54" t="str">
        <f>LEFT('Liste des étudiants'!$W2236,3)</f>
        <v>450</v>
      </c>
    </row>
    <row r="2237" spans="1:1" x14ac:dyDescent="0.25">
      <c r="A2237" s="54" t="str">
        <f>LEFT('Liste des étudiants'!$W2237,3)</f>
        <v>450</v>
      </c>
    </row>
    <row r="2238" spans="1:1" x14ac:dyDescent="0.25">
      <c r="A2238" s="54" t="str">
        <f>LEFT('Liste des étudiants'!$W2238,3)</f>
        <v>450</v>
      </c>
    </row>
    <row r="2239" spans="1:1" x14ac:dyDescent="0.25">
      <c r="A2239" s="54" t="str">
        <f>LEFT('Liste des étudiants'!$W2239,3)</f>
        <v>450</v>
      </c>
    </row>
    <row r="2240" spans="1:1" x14ac:dyDescent="0.25">
      <c r="A2240" s="54" t="str">
        <f>LEFT('Liste des étudiants'!$W2240,3)</f>
        <v>450</v>
      </c>
    </row>
    <row r="2241" spans="1:1" x14ac:dyDescent="0.25">
      <c r="A2241" s="54" t="str">
        <f>LEFT('Liste des étudiants'!$W2241,3)</f>
        <v>450</v>
      </c>
    </row>
    <row r="2242" spans="1:1" x14ac:dyDescent="0.25">
      <c r="A2242" s="54" t="str">
        <f>LEFT('Liste des étudiants'!$W2242,3)</f>
        <v>450</v>
      </c>
    </row>
    <row r="2243" spans="1:1" x14ac:dyDescent="0.25">
      <c r="A2243" s="54" t="str">
        <f>LEFT('Liste des étudiants'!$W2243,3)</f>
        <v>450</v>
      </c>
    </row>
    <row r="2244" spans="1:1" x14ac:dyDescent="0.25">
      <c r="A2244" s="54" t="str">
        <f>LEFT('Liste des étudiants'!$W2244,3)</f>
        <v>450</v>
      </c>
    </row>
    <row r="2245" spans="1:1" x14ac:dyDescent="0.25">
      <c r="A2245" s="54" t="str">
        <f>LEFT('Liste des étudiants'!$W2245,3)</f>
        <v>450</v>
      </c>
    </row>
    <row r="2246" spans="1:1" x14ac:dyDescent="0.25">
      <c r="A2246" s="54" t="str">
        <f>LEFT('Liste des étudiants'!$W2246,3)</f>
        <v>450</v>
      </c>
    </row>
    <row r="2247" spans="1:1" x14ac:dyDescent="0.25">
      <c r="A2247" s="54" t="str">
        <f>LEFT('Liste des étudiants'!$W2247,3)</f>
        <v>450</v>
      </c>
    </row>
    <row r="2248" spans="1:1" x14ac:dyDescent="0.25">
      <c r="A2248" s="54" t="str">
        <f>LEFT('Liste des étudiants'!$W2248,3)</f>
        <v>450</v>
      </c>
    </row>
    <row r="2249" spans="1:1" x14ac:dyDescent="0.25">
      <c r="A2249" s="54" t="str">
        <f>LEFT('Liste des étudiants'!$W2249,3)</f>
        <v>450</v>
      </c>
    </row>
    <row r="2250" spans="1:1" x14ac:dyDescent="0.25">
      <c r="A2250" s="54" t="str">
        <f>LEFT('Liste des étudiants'!$W2250,3)</f>
        <v>450</v>
      </c>
    </row>
    <row r="2251" spans="1:1" x14ac:dyDescent="0.25">
      <c r="A2251" s="54" t="str">
        <f>LEFT('Liste des étudiants'!$W2251,3)</f>
        <v>450</v>
      </c>
    </row>
    <row r="2252" spans="1:1" x14ac:dyDescent="0.25">
      <c r="A2252" s="54" t="str">
        <f>LEFT('Liste des étudiants'!$W2252,3)</f>
        <v>450</v>
      </c>
    </row>
    <row r="2253" spans="1:1" x14ac:dyDescent="0.25">
      <c r="A2253" s="54" t="str">
        <f>LEFT('Liste des étudiants'!$W2253,3)</f>
        <v>450</v>
      </c>
    </row>
    <row r="2254" spans="1:1" x14ac:dyDescent="0.25">
      <c r="A2254" s="54" t="str">
        <f>LEFT('Liste des étudiants'!$W2254,3)</f>
        <v>450</v>
      </c>
    </row>
    <row r="2255" spans="1:1" x14ac:dyDescent="0.25">
      <c r="A2255" s="54" t="str">
        <f>LEFT('Liste des étudiants'!$W2255,3)</f>
        <v>450</v>
      </c>
    </row>
    <row r="2256" spans="1:1" x14ac:dyDescent="0.25">
      <c r="A2256" s="54" t="str">
        <f>LEFT('Liste des étudiants'!$W2256,3)</f>
        <v>450</v>
      </c>
    </row>
    <row r="2257" spans="1:1" x14ac:dyDescent="0.25">
      <c r="A2257" s="54" t="str">
        <f>LEFT('Liste des étudiants'!$W2257,3)</f>
        <v>450</v>
      </c>
    </row>
    <row r="2258" spans="1:1" x14ac:dyDescent="0.25">
      <c r="A2258" s="54" t="str">
        <f>LEFT('Liste des étudiants'!$W2258,3)</f>
        <v>450</v>
      </c>
    </row>
    <row r="2259" spans="1:1" x14ac:dyDescent="0.25">
      <c r="A2259" s="54" t="str">
        <f>LEFT('Liste des étudiants'!$W2259,3)</f>
        <v>450</v>
      </c>
    </row>
    <row r="2260" spans="1:1" x14ac:dyDescent="0.25">
      <c r="A2260" s="54" t="str">
        <f>LEFT('Liste des étudiants'!$W2260,3)</f>
        <v>450</v>
      </c>
    </row>
    <row r="2261" spans="1:1" x14ac:dyDescent="0.25">
      <c r="A2261" s="54" t="str">
        <f>LEFT('Liste des étudiants'!$W2261,3)</f>
        <v>450</v>
      </c>
    </row>
    <row r="2262" spans="1:1" x14ac:dyDescent="0.25">
      <c r="A2262" s="54" t="str">
        <f>LEFT('Liste des étudiants'!$W2262,3)</f>
        <v>450</v>
      </c>
    </row>
    <row r="2263" spans="1:1" x14ac:dyDescent="0.25">
      <c r="A2263" s="54" t="str">
        <f>LEFT('Liste des étudiants'!$W2263,3)</f>
        <v>450</v>
      </c>
    </row>
    <row r="2264" spans="1:1" x14ac:dyDescent="0.25">
      <c r="A2264" s="54" t="str">
        <f>LEFT('Liste des étudiants'!$W2264,3)</f>
        <v>450</v>
      </c>
    </row>
    <row r="2265" spans="1:1" x14ac:dyDescent="0.25">
      <c r="A2265" s="54" t="str">
        <f>LEFT('Liste des étudiants'!$W2265,3)</f>
        <v>450</v>
      </c>
    </row>
    <row r="2266" spans="1:1" x14ac:dyDescent="0.25">
      <c r="A2266" s="54" t="str">
        <f>LEFT('Liste des étudiants'!$W2266,3)</f>
        <v>450</v>
      </c>
    </row>
    <row r="2267" spans="1:1" x14ac:dyDescent="0.25">
      <c r="A2267" s="54" t="str">
        <f>LEFT('Liste des étudiants'!$W2267,3)</f>
        <v>450</v>
      </c>
    </row>
    <row r="2268" spans="1:1" x14ac:dyDescent="0.25">
      <c r="A2268" s="54" t="str">
        <f>LEFT('Liste des étudiants'!$W2268,3)</f>
        <v>450</v>
      </c>
    </row>
    <row r="2269" spans="1:1" x14ac:dyDescent="0.25">
      <c r="A2269" s="54" t="str">
        <f>LEFT('Liste des étudiants'!$W2269,3)</f>
        <v>450</v>
      </c>
    </row>
    <row r="2270" spans="1:1" x14ac:dyDescent="0.25">
      <c r="A2270" s="54" t="str">
        <f>LEFT('Liste des étudiants'!$W2270,3)</f>
        <v>450</v>
      </c>
    </row>
    <row r="2271" spans="1:1" x14ac:dyDescent="0.25">
      <c r="A2271" s="54" t="str">
        <f>LEFT('Liste des étudiants'!$W2271,3)</f>
        <v>450</v>
      </c>
    </row>
    <row r="2272" spans="1:1" x14ac:dyDescent="0.25">
      <c r="A2272" s="54" t="str">
        <f>LEFT('Liste des étudiants'!$W2272,3)</f>
        <v>450</v>
      </c>
    </row>
    <row r="2273" spans="1:1" x14ac:dyDescent="0.25">
      <c r="A2273" s="54" t="str">
        <f>LEFT('Liste des étudiants'!$W2273,3)</f>
        <v>450</v>
      </c>
    </row>
    <row r="2274" spans="1:1" x14ac:dyDescent="0.25">
      <c r="A2274" s="54" t="str">
        <f>LEFT('Liste des étudiants'!$W2274,3)</f>
        <v>450</v>
      </c>
    </row>
    <row r="2275" spans="1:1" x14ac:dyDescent="0.25">
      <c r="A2275" s="54" t="str">
        <f>LEFT('Liste des étudiants'!$W2275,3)</f>
        <v>450</v>
      </c>
    </row>
    <row r="2276" spans="1:1" x14ac:dyDescent="0.25">
      <c r="A2276" s="54" t="str">
        <f>LEFT('Liste des étudiants'!$W2276,3)</f>
        <v>450</v>
      </c>
    </row>
    <row r="2277" spans="1:1" x14ac:dyDescent="0.25">
      <c r="A2277" s="54" t="str">
        <f>LEFT('Liste des étudiants'!$W2277,3)</f>
        <v>450</v>
      </c>
    </row>
    <row r="2278" spans="1:1" x14ac:dyDescent="0.25">
      <c r="A2278" s="54" t="str">
        <f>LEFT('Liste des étudiants'!$W2278,3)</f>
        <v>450</v>
      </c>
    </row>
    <row r="2279" spans="1:1" x14ac:dyDescent="0.25">
      <c r="A2279" s="54" t="str">
        <f>LEFT('Liste des étudiants'!$W2279,3)</f>
        <v>450</v>
      </c>
    </row>
    <row r="2280" spans="1:1" x14ac:dyDescent="0.25">
      <c r="A2280" s="54" t="str">
        <f>LEFT('Liste des étudiants'!$W2280,3)</f>
        <v>450</v>
      </c>
    </row>
    <row r="2281" spans="1:1" x14ac:dyDescent="0.25">
      <c r="A2281" s="54" t="str">
        <f>LEFT('Liste des étudiants'!$W2281,3)</f>
        <v>450</v>
      </c>
    </row>
    <row r="2282" spans="1:1" x14ac:dyDescent="0.25">
      <c r="A2282" s="54" t="str">
        <f>LEFT('Liste des étudiants'!$W2282,3)</f>
        <v>450</v>
      </c>
    </row>
    <row r="2283" spans="1:1" x14ac:dyDescent="0.25">
      <c r="A2283" s="54" t="str">
        <f>LEFT('Liste des étudiants'!$W2283,3)</f>
        <v>450</v>
      </c>
    </row>
    <row r="2284" spans="1:1" x14ac:dyDescent="0.25">
      <c r="A2284" s="54" t="str">
        <f>LEFT('Liste des étudiants'!$W2284,3)</f>
        <v>450</v>
      </c>
    </row>
    <row r="2285" spans="1:1" x14ac:dyDescent="0.25">
      <c r="A2285" s="54" t="str">
        <f>LEFT('Liste des étudiants'!$W2285,3)</f>
        <v>450</v>
      </c>
    </row>
    <row r="2286" spans="1:1" x14ac:dyDescent="0.25">
      <c r="A2286" s="54" t="str">
        <f>LEFT('Liste des étudiants'!$W2286,3)</f>
        <v>450</v>
      </c>
    </row>
    <row r="2287" spans="1:1" x14ac:dyDescent="0.25">
      <c r="A2287" s="54" t="str">
        <f>LEFT('Liste des étudiants'!$W2287,3)</f>
        <v>450</v>
      </c>
    </row>
    <row r="2288" spans="1:1" x14ac:dyDescent="0.25">
      <c r="A2288" s="54" t="str">
        <f>LEFT('Liste des étudiants'!$W2288,3)</f>
        <v>450</v>
      </c>
    </row>
    <row r="2289" spans="1:1" x14ac:dyDescent="0.25">
      <c r="A2289" s="54" t="str">
        <f>LEFT('Liste des étudiants'!$W2289,3)</f>
        <v>450</v>
      </c>
    </row>
    <row r="2290" spans="1:1" x14ac:dyDescent="0.25">
      <c r="A2290" s="54" t="str">
        <f>LEFT('Liste des étudiants'!$W2290,3)</f>
        <v>450</v>
      </c>
    </row>
    <row r="2291" spans="1:1" x14ac:dyDescent="0.25">
      <c r="A2291" s="54" t="str">
        <f>LEFT('Liste des étudiants'!$W2291,3)</f>
        <v>450</v>
      </c>
    </row>
    <row r="2292" spans="1:1" x14ac:dyDescent="0.25">
      <c r="A2292" s="54" t="str">
        <f>LEFT('Liste des étudiants'!$W2292,3)</f>
        <v>450</v>
      </c>
    </row>
    <row r="2293" spans="1:1" x14ac:dyDescent="0.25">
      <c r="A2293" s="54" t="str">
        <f>LEFT('Liste des étudiants'!$W2293,3)</f>
        <v>450</v>
      </c>
    </row>
    <row r="2294" spans="1:1" x14ac:dyDescent="0.25">
      <c r="A2294" s="54" t="str">
        <f>LEFT('Liste des étudiants'!$W2294,3)</f>
        <v>450</v>
      </c>
    </row>
    <row r="2295" spans="1:1" x14ac:dyDescent="0.25">
      <c r="A2295" s="54" t="str">
        <f>LEFT('Liste des étudiants'!$W2295,3)</f>
        <v>450</v>
      </c>
    </row>
    <row r="2296" spans="1:1" x14ac:dyDescent="0.25">
      <c r="A2296" s="54" t="str">
        <f>LEFT('Liste des étudiants'!$W2296,3)</f>
        <v>450</v>
      </c>
    </row>
    <row r="2297" spans="1:1" x14ac:dyDescent="0.25">
      <c r="A2297" s="54" t="str">
        <f>LEFT('Liste des étudiants'!$W2297,3)</f>
        <v>450</v>
      </c>
    </row>
    <row r="2298" spans="1:1" x14ac:dyDescent="0.25">
      <c r="A2298" s="54" t="str">
        <f>LEFT('Liste des étudiants'!$W2298,3)</f>
        <v>450</v>
      </c>
    </row>
    <row r="2299" spans="1:1" x14ac:dyDescent="0.25">
      <c r="A2299" s="54" t="str">
        <f>LEFT('Liste des étudiants'!$W2299,3)</f>
        <v>450</v>
      </c>
    </row>
    <row r="2300" spans="1:1" x14ac:dyDescent="0.25">
      <c r="A2300" s="54" t="str">
        <f>LEFT('Liste des étudiants'!$W2300,3)</f>
        <v>450</v>
      </c>
    </row>
    <row r="2301" spans="1:1" x14ac:dyDescent="0.25">
      <c r="A2301" s="54" t="str">
        <f>LEFT('Liste des étudiants'!$W2301,3)</f>
        <v>450</v>
      </c>
    </row>
    <row r="2302" spans="1:1" x14ac:dyDescent="0.25">
      <c r="A2302" s="54" t="str">
        <f>LEFT('Liste des étudiants'!$W2302,3)</f>
        <v>450</v>
      </c>
    </row>
    <row r="2303" spans="1:1" x14ac:dyDescent="0.25">
      <c r="A2303" s="54" t="str">
        <f>LEFT('Liste des étudiants'!$W2303,3)</f>
        <v>450</v>
      </c>
    </row>
    <row r="2304" spans="1:1" x14ac:dyDescent="0.25">
      <c r="A2304" s="54" t="str">
        <f>LEFT('Liste des étudiants'!$W2304,3)</f>
        <v>450</v>
      </c>
    </row>
    <row r="2305" spans="1:1" x14ac:dyDescent="0.25">
      <c r="A2305" s="54" t="str">
        <f>LEFT('Liste des étudiants'!$W2305,3)</f>
        <v>450</v>
      </c>
    </row>
    <row r="2306" spans="1:1" x14ac:dyDescent="0.25">
      <c r="A2306" s="54" t="str">
        <f>LEFT('Liste des étudiants'!$W2306,3)</f>
        <v>450</v>
      </c>
    </row>
    <row r="2307" spans="1:1" x14ac:dyDescent="0.25">
      <c r="A2307" s="54" t="str">
        <f>LEFT('Liste des étudiants'!$W2307,3)</f>
        <v>450</v>
      </c>
    </row>
    <row r="2308" spans="1:1" x14ac:dyDescent="0.25">
      <c r="A2308" s="54" t="str">
        <f>LEFT('Liste des étudiants'!$W2308,3)</f>
        <v>450</v>
      </c>
    </row>
    <row r="2309" spans="1:1" x14ac:dyDescent="0.25">
      <c r="A2309" s="54" t="str">
        <f>LEFT('Liste des étudiants'!$W2309,3)</f>
        <v>450</v>
      </c>
    </row>
    <row r="2310" spans="1:1" x14ac:dyDescent="0.25">
      <c r="A2310" s="54" t="str">
        <f>LEFT('Liste des étudiants'!$W2310,3)</f>
        <v>450</v>
      </c>
    </row>
    <row r="2311" spans="1:1" x14ac:dyDescent="0.25">
      <c r="A2311" s="54" t="str">
        <f>LEFT('Liste des étudiants'!$W2311,3)</f>
        <v>450</v>
      </c>
    </row>
    <row r="2312" spans="1:1" x14ac:dyDescent="0.25">
      <c r="A2312" s="54" t="str">
        <f>LEFT('Liste des étudiants'!$W2312,3)</f>
        <v>450</v>
      </c>
    </row>
    <row r="2313" spans="1:1" x14ac:dyDescent="0.25">
      <c r="A2313" s="54" t="str">
        <f>LEFT('Liste des étudiants'!$W2313,3)</f>
        <v>450</v>
      </c>
    </row>
    <row r="2314" spans="1:1" x14ac:dyDescent="0.25">
      <c r="A2314" s="54" t="str">
        <f>LEFT('Liste des étudiants'!$W2314,3)</f>
        <v>450</v>
      </c>
    </row>
    <row r="2315" spans="1:1" x14ac:dyDescent="0.25">
      <c r="A2315" s="54" t="str">
        <f>LEFT('Liste des étudiants'!$W2315,3)</f>
        <v>450</v>
      </c>
    </row>
    <row r="2316" spans="1:1" x14ac:dyDescent="0.25">
      <c r="A2316" s="54" t="str">
        <f>LEFT('Liste des étudiants'!$W2316,3)</f>
        <v>450</v>
      </c>
    </row>
    <row r="2317" spans="1:1" x14ac:dyDescent="0.25">
      <c r="A2317" s="54" t="str">
        <f>LEFT('Liste des étudiants'!$W2317,3)</f>
        <v>450</v>
      </c>
    </row>
    <row r="2318" spans="1:1" x14ac:dyDescent="0.25">
      <c r="A2318" s="54" t="str">
        <f>LEFT('Liste des étudiants'!$W2318,3)</f>
        <v>450</v>
      </c>
    </row>
    <row r="2319" spans="1:1" x14ac:dyDescent="0.25">
      <c r="A2319" s="54" t="str">
        <f>LEFT('Liste des étudiants'!$W2319,3)</f>
        <v>450</v>
      </c>
    </row>
    <row r="2320" spans="1:1" x14ac:dyDescent="0.25">
      <c r="A2320" s="54" t="str">
        <f>LEFT('Liste des étudiants'!$W2320,3)</f>
        <v>450</v>
      </c>
    </row>
    <row r="2321" spans="1:1" x14ac:dyDescent="0.25">
      <c r="A2321" s="54" t="str">
        <f>LEFT('Liste des étudiants'!$W2321,3)</f>
        <v>450</v>
      </c>
    </row>
    <row r="2322" spans="1:1" x14ac:dyDescent="0.25">
      <c r="A2322" s="54" t="str">
        <f>LEFT('Liste des étudiants'!$W2322,3)</f>
        <v>450</v>
      </c>
    </row>
    <row r="2323" spans="1:1" x14ac:dyDescent="0.25">
      <c r="A2323" s="54" t="str">
        <f>LEFT('Liste des étudiants'!$W2323,3)</f>
        <v>450</v>
      </c>
    </row>
    <row r="2324" spans="1:1" x14ac:dyDescent="0.25">
      <c r="A2324" s="54" t="str">
        <f>LEFT('Liste des étudiants'!$W2324,3)</f>
        <v>450</v>
      </c>
    </row>
    <row r="2325" spans="1:1" x14ac:dyDescent="0.25">
      <c r="A2325" s="54" t="str">
        <f>LEFT('Liste des étudiants'!$W2325,3)</f>
        <v>450</v>
      </c>
    </row>
    <row r="2326" spans="1:1" x14ac:dyDescent="0.25">
      <c r="A2326" s="54" t="str">
        <f>LEFT('Liste des étudiants'!$W2326,3)</f>
        <v>450</v>
      </c>
    </row>
    <row r="2327" spans="1:1" x14ac:dyDescent="0.25">
      <c r="A2327" s="54" t="str">
        <f>LEFT('Liste des étudiants'!$W2327,3)</f>
        <v>450</v>
      </c>
    </row>
    <row r="2328" spans="1:1" x14ac:dyDescent="0.25">
      <c r="A2328" s="54" t="str">
        <f>LEFT('Liste des étudiants'!$W2328,3)</f>
        <v>450</v>
      </c>
    </row>
    <row r="2329" spans="1:1" x14ac:dyDescent="0.25">
      <c r="A2329" s="54" t="str">
        <f>LEFT('Liste des étudiants'!$W2329,3)</f>
        <v>450</v>
      </c>
    </row>
    <row r="2330" spans="1:1" x14ac:dyDescent="0.25">
      <c r="A2330" s="54" t="str">
        <f>LEFT('Liste des étudiants'!$W2330,3)</f>
        <v>450</v>
      </c>
    </row>
    <row r="2331" spans="1:1" x14ac:dyDescent="0.25">
      <c r="A2331" s="54" t="str">
        <f>LEFT('Liste des étudiants'!$W2331,3)</f>
        <v>450</v>
      </c>
    </row>
    <row r="2332" spans="1:1" x14ac:dyDescent="0.25">
      <c r="A2332" s="54" t="str">
        <f>LEFT('Liste des étudiants'!$W2332,3)</f>
        <v>450</v>
      </c>
    </row>
    <row r="2333" spans="1:1" x14ac:dyDescent="0.25">
      <c r="A2333" s="54" t="str">
        <f>LEFT('Liste des étudiants'!$W2333,3)</f>
        <v>450</v>
      </c>
    </row>
    <row r="2334" spans="1:1" x14ac:dyDescent="0.25">
      <c r="A2334" s="54" t="str">
        <f>LEFT('Liste des étudiants'!$W2334,3)</f>
        <v>450</v>
      </c>
    </row>
    <row r="2335" spans="1:1" x14ac:dyDescent="0.25">
      <c r="A2335" s="54" t="str">
        <f>LEFT('Liste des étudiants'!$W2335,3)</f>
        <v>450</v>
      </c>
    </row>
    <row r="2336" spans="1:1" x14ac:dyDescent="0.25">
      <c r="A2336" s="54" t="str">
        <f>LEFT('Liste des étudiants'!$W2336,3)</f>
        <v>450</v>
      </c>
    </row>
    <row r="2337" spans="1:1" x14ac:dyDescent="0.25">
      <c r="A2337" s="54" t="str">
        <f>LEFT('Liste des étudiants'!$W2337,3)</f>
        <v>450</v>
      </c>
    </row>
    <row r="2338" spans="1:1" x14ac:dyDescent="0.25">
      <c r="A2338" s="54" t="str">
        <f>LEFT('Liste des étudiants'!$W2338,3)</f>
        <v>450</v>
      </c>
    </row>
    <row r="2339" spans="1:1" x14ac:dyDescent="0.25">
      <c r="A2339" s="54" t="str">
        <f>LEFT('Liste des étudiants'!$W2339,3)</f>
        <v>450</v>
      </c>
    </row>
    <row r="2340" spans="1:1" x14ac:dyDescent="0.25">
      <c r="A2340" s="54" t="str">
        <f>LEFT('Liste des étudiants'!$W2340,3)</f>
        <v>450</v>
      </c>
    </row>
    <row r="2341" spans="1:1" x14ac:dyDescent="0.25">
      <c r="A2341" s="54" t="str">
        <f>LEFT('Liste des étudiants'!$W2341,3)</f>
        <v>450</v>
      </c>
    </row>
    <row r="2342" spans="1:1" x14ac:dyDescent="0.25">
      <c r="A2342" s="54" t="str">
        <f>LEFT('Liste des étudiants'!$W2342,3)</f>
        <v>450</v>
      </c>
    </row>
    <row r="2343" spans="1:1" x14ac:dyDescent="0.25">
      <c r="A2343" s="54" t="str">
        <f>LEFT('Liste des étudiants'!$W2343,3)</f>
        <v>450</v>
      </c>
    </row>
    <row r="2344" spans="1:1" x14ac:dyDescent="0.25">
      <c r="A2344" s="54" t="str">
        <f>LEFT('Liste des étudiants'!$W2344,3)</f>
        <v>450</v>
      </c>
    </row>
    <row r="2345" spans="1:1" x14ac:dyDescent="0.25">
      <c r="A2345" s="54" t="str">
        <f>LEFT('Liste des étudiants'!$W2345,3)</f>
        <v>450</v>
      </c>
    </row>
    <row r="2346" spans="1:1" x14ac:dyDescent="0.25">
      <c r="A2346" s="54" t="str">
        <f>LEFT('Liste des étudiants'!$W2346,3)</f>
        <v>450</v>
      </c>
    </row>
    <row r="2347" spans="1:1" x14ac:dyDescent="0.25">
      <c r="A2347" s="54" t="str">
        <f>LEFT('Liste des étudiants'!$W2347,3)</f>
        <v>450</v>
      </c>
    </row>
    <row r="2348" spans="1:1" x14ac:dyDescent="0.25">
      <c r="A2348" s="54" t="str">
        <f>LEFT('Liste des étudiants'!$W2348,3)</f>
        <v>450</v>
      </c>
    </row>
    <row r="2349" spans="1:1" x14ac:dyDescent="0.25">
      <c r="A2349" s="54" t="str">
        <f>LEFT('Liste des étudiants'!$W2349,3)</f>
        <v>450</v>
      </c>
    </row>
    <row r="2350" spans="1:1" x14ac:dyDescent="0.25">
      <c r="A2350" s="54" t="str">
        <f>LEFT('Liste des étudiants'!$W2350,3)</f>
        <v>450</v>
      </c>
    </row>
    <row r="2351" spans="1:1" x14ac:dyDescent="0.25">
      <c r="A2351" s="54" t="str">
        <f>LEFT('Liste des étudiants'!$W2351,3)</f>
        <v>450</v>
      </c>
    </row>
    <row r="2352" spans="1:1" x14ac:dyDescent="0.25">
      <c r="A2352" s="54" t="str">
        <f>LEFT('Liste des étudiants'!$W2352,3)</f>
        <v>450</v>
      </c>
    </row>
    <row r="2353" spans="1:1" x14ac:dyDescent="0.25">
      <c r="A2353" s="54" t="str">
        <f>LEFT('Liste des étudiants'!$W2353,3)</f>
        <v>450</v>
      </c>
    </row>
    <row r="2354" spans="1:1" x14ac:dyDescent="0.25">
      <c r="A2354" s="54" t="str">
        <f>LEFT('Liste des étudiants'!$W2354,3)</f>
        <v>450</v>
      </c>
    </row>
    <row r="2355" spans="1:1" x14ac:dyDescent="0.25">
      <c r="A2355" s="54" t="str">
        <f>LEFT('Liste des étudiants'!$W2355,3)</f>
        <v>450</v>
      </c>
    </row>
    <row r="2356" spans="1:1" x14ac:dyDescent="0.25">
      <c r="A2356" s="54" t="str">
        <f>LEFT('Liste des étudiants'!$W2356,3)</f>
        <v>450</v>
      </c>
    </row>
    <row r="2357" spans="1:1" x14ac:dyDescent="0.25">
      <c r="A2357" s="54" t="str">
        <f>LEFT('Liste des étudiants'!$W2357,3)</f>
        <v>450</v>
      </c>
    </row>
    <row r="2358" spans="1:1" x14ac:dyDescent="0.25">
      <c r="A2358" s="54" t="str">
        <f>LEFT('Liste des étudiants'!$W2358,3)</f>
        <v>450</v>
      </c>
    </row>
    <row r="2359" spans="1:1" x14ac:dyDescent="0.25">
      <c r="A2359" s="54" t="str">
        <f>LEFT('Liste des étudiants'!$W2359,3)</f>
        <v>450</v>
      </c>
    </row>
    <row r="2360" spans="1:1" x14ac:dyDescent="0.25">
      <c r="A2360" s="54" t="str">
        <f>LEFT('Liste des étudiants'!$W2360,3)</f>
        <v>450</v>
      </c>
    </row>
    <row r="2361" spans="1:1" x14ac:dyDescent="0.25">
      <c r="A2361" s="54" t="str">
        <f>LEFT('Liste des étudiants'!$W2361,3)</f>
        <v>450</v>
      </c>
    </row>
    <row r="2362" spans="1:1" x14ac:dyDescent="0.25">
      <c r="A2362" s="54" t="str">
        <f>LEFT('Liste des étudiants'!$W2362,3)</f>
        <v>450</v>
      </c>
    </row>
    <row r="2363" spans="1:1" x14ac:dyDescent="0.25">
      <c r="A2363" s="54" t="str">
        <f>LEFT('Liste des étudiants'!$W2363,3)</f>
        <v>450</v>
      </c>
    </row>
    <row r="2364" spans="1:1" x14ac:dyDescent="0.25">
      <c r="A2364" s="54" t="str">
        <f>LEFT('Liste des étudiants'!$W2364,3)</f>
        <v>450</v>
      </c>
    </row>
    <row r="2365" spans="1:1" x14ac:dyDescent="0.25">
      <c r="A2365" s="54" t="str">
        <f>LEFT('Liste des étudiants'!$W2365,3)</f>
        <v>450</v>
      </c>
    </row>
    <row r="2366" spans="1:1" x14ac:dyDescent="0.25">
      <c r="A2366" s="54" t="str">
        <f>LEFT('Liste des étudiants'!$W2366,3)</f>
        <v>450</v>
      </c>
    </row>
    <row r="2367" spans="1:1" x14ac:dyDescent="0.25">
      <c r="A2367" s="54" t="str">
        <f>LEFT('Liste des étudiants'!$W2367,3)</f>
        <v>450</v>
      </c>
    </row>
    <row r="2368" spans="1:1" x14ac:dyDescent="0.25">
      <c r="A2368" s="54" t="str">
        <f>LEFT('Liste des étudiants'!$W2368,3)</f>
        <v>450</v>
      </c>
    </row>
    <row r="2369" spans="1:1" x14ac:dyDescent="0.25">
      <c r="A2369" s="54" t="str">
        <f>LEFT('Liste des étudiants'!$W2369,3)</f>
        <v>450</v>
      </c>
    </row>
    <row r="2370" spans="1:1" x14ac:dyDescent="0.25">
      <c r="A2370" s="54" t="str">
        <f>LEFT('Liste des étudiants'!$W2370,3)</f>
        <v>450</v>
      </c>
    </row>
    <row r="2371" spans="1:1" x14ac:dyDescent="0.25">
      <c r="A2371" s="54" t="str">
        <f>LEFT('Liste des étudiants'!$W2371,3)</f>
        <v>450</v>
      </c>
    </row>
    <row r="2372" spans="1:1" x14ac:dyDescent="0.25">
      <c r="A2372" s="54" t="str">
        <f>LEFT('Liste des étudiants'!$W2372,3)</f>
        <v>450</v>
      </c>
    </row>
    <row r="2373" spans="1:1" x14ac:dyDescent="0.25">
      <c r="A2373" s="54" t="str">
        <f>LEFT('Liste des étudiants'!$W2373,3)</f>
        <v>450</v>
      </c>
    </row>
    <row r="2374" spans="1:1" x14ac:dyDescent="0.25">
      <c r="A2374" s="54" t="str">
        <f>LEFT('Liste des étudiants'!$W2374,3)</f>
        <v>450</v>
      </c>
    </row>
    <row r="2375" spans="1:1" x14ac:dyDescent="0.25">
      <c r="A2375" s="54" t="str">
        <f>LEFT('Liste des étudiants'!$W2375,3)</f>
        <v>450</v>
      </c>
    </row>
    <row r="2376" spans="1:1" x14ac:dyDescent="0.25">
      <c r="A2376" s="54" t="str">
        <f>LEFT('Liste des étudiants'!$W2376,3)</f>
        <v>450</v>
      </c>
    </row>
    <row r="2377" spans="1:1" x14ac:dyDescent="0.25">
      <c r="A2377" s="54" t="str">
        <f>LEFT('Liste des étudiants'!$W2377,3)</f>
        <v>450</v>
      </c>
    </row>
    <row r="2378" spans="1:1" x14ac:dyDescent="0.25">
      <c r="A2378" s="54" t="str">
        <f>LEFT('Liste des étudiants'!$W2378,3)</f>
        <v>450</v>
      </c>
    </row>
    <row r="2379" spans="1:1" x14ac:dyDescent="0.25">
      <c r="A2379" s="54" t="str">
        <f>LEFT('Liste des étudiants'!$W2379,3)</f>
        <v>450</v>
      </c>
    </row>
    <row r="2380" spans="1:1" x14ac:dyDescent="0.25">
      <c r="A2380" s="54" t="str">
        <f>LEFT('Liste des étudiants'!$W2380,3)</f>
        <v>450</v>
      </c>
    </row>
    <row r="2381" spans="1:1" x14ac:dyDescent="0.25">
      <c r="A2381" s="54" t="str">
        <f>LEFT('Liste des étudiants'!$W2381,3)</f>
        <v>450</v>
      </c>
    </row>
    <row r="2382" spans="1:1" x14ac:dyDescent="0.25">
      <c r="A2382" s="54" t="str">
        <f>LEFT('Liste des étudiants'!$W2382,3)</f>
        <v>450</v>
      </c>
    </row>
    <row r="2383" spans="1:1" x14ac:dyDescent="0.25">
      <c r="A2383" s="54" t="str">
        <f>LEFT('Liste des étudiants'!$W2383,3)</f>
        <v>450</v>
      </c>
    </row>
    <row r="2384" spans="1:1" x14ac:dyDescent="0.25">
      <c r="A2384" s="54" t="str">
        <f>LEFT('Liste des étudiants'!$W2384,3)</f>
        <v>450</v>
      </c>
    </row>
    <row r="2385" spans="1:1" x14ac:dyDescent="0.25">
      <c r="A2385" s="54" t="str">
        <f>LEFT('Liste des étudiants'!$W2385,3)</f>
        <v>450</v>
      </c>
    </row>
    <row r="2386" spans="1:1" x14ac:dyDescent="0.25">
      <c r="A2386" s="54" t="str">
        <f>LEFT('Liste des étudiants'!$W2386,3)</f>
        <v>450</v>
      </c>
    </row>
    <row r="2387" spans="1:1" x14ac:dyDescent="0.25">
      <c r="A2387" s="54" t="str">
        <f>LEFT('Liste des étudiants'!$W2387,3)</f>
        <v>450</v>
      </c>
    </row>
    <row r="2388" spans="1:1" x14ac:dyDescent="0.25">
      <c r="A2388" s="54" t="str">
        <f>LEFT('Liste des étudiants'!$W2388,3)</f>
        <v>450</v>
      </c>
    </row>
    <row r="2389" spans="1:1" x14ac:dyDescent="0.25">
      <c r="A2389" s="54" t="str">
        <f>LEFT('Liste des étudiants'!$W2389,3)</f>
        <v>450</v>
      </c>
    </row>
    <row r="2390" spans="1:1" x14ac:dyDescent="0.25">
      <c r="A2390" s="54" t="str">
        <f>LEFT('Liste des étudiants'!$W2390,3)</f>
        <v>450</v>
      </c>
    </row>
    <row r="2391" spans="1:1" x14ac:dyDescent="0.25">
      <c r="A2391" s="54" t="str">
        <f>LEFT('Liste des étudiants'!$W2391,3)</f>
        <v>450</v>
      </c>
    </row>
    <row r="2392" spans="1:1" x14ac:dyDescent="0.25">
      <c r="A2392" s="54" t="str">
        <f>LEFT('Liste des étudiants'!$W2392,3)</f>
        <v>450</v>
      </c>
    </row>
    <row r="2393" spans="1:1" x14ac:dyDescent="0.25">
      <c r="A2393" s="54" t="str">
        <f>LEFT('Liste des étudiants'!$W2393,3)</f>
        <v>450</v>
      </c>
    </row>
    <row r="2394" spans="1:1" x14ac:dyDescent="0.25">
      <c r="A2394" s="54" t="str">
        <f>LEFT('Liste des étudiants'!$W2394,3)</f>
        <v>450</v>
      </c>
    </row>
    <row r="2395" spans="1:1" x14ac:dyDescent="0.25">
      <c r="A2395" s="54" t="str">
        <f>LEFT('Liste des étudiants'!$W2395,3)</f>
        <v>450</v>
      </c>
    </row>
    <row r="2396" spans="1:1" x14ac:dyDescent="0.25">
      <c r="A2396" s="54" t="str">
        <f>LEFT('Liste des étudiants'!$W2396,3)</f>
        <v>450</v>
      </c>
    </row>
    <row r="2397" spans="1:1" x14ac:dyDescent="0.25">
      <c r="A2397" s="54" t="str">
        <f>LEFT('Liste des étudiants'!$W2397,3)</f>
        <v>450</v>
      </c>
    </row>
    <row r="2398" spans="1:1" x14ac:dyDescent="0.25">
      <c r="A2398" s="54" t="str">
        <f>LEFT('Liste des étudiants'!$W2398,3)</f>
        <v>450</v>
      </c>
    </row>
    <row r="2399" spans="1:1" x14ac:dyDescent="0.25">
      <c r="A2399" s="54" t="str">
        <f>LEFT('Liste des étudiants'!$W2399,3)</f>
        <v>450</v>
      </c>
    </row>
    <row r="2400" spans="1:1" x14ac:dyDescent="0.25">
      <c r="A2400" s="54" t="str">
        <f>LEFT('Liste des étudiants'!$W2400,3)</f>
        <v>450</v>
      </c>
    </row>
    <row r="2401" spans="1:1" x14ac:dyDescent="0.25">
      <c r="A2401" s="54" t="str">
        <f>LEFT('Liste des étudiants'!$W2401,3)</f>
        <v>450</v>
      </c>
    </row>
    <row r="2402" spans="1:1" x14ac:dyDescent="0.25">
      <c r="A2402" s="54" t="str">
        <f>LEFT('Liste des étudiants'!$W2402,3)</f>
        <v>450</v>
      </c>
    </row>
    <row r="2403" spans="1:1" x14ac:dyDescent="0.25">
      <c r="A2403" s="54" t="str">
        <f>LEFT('Liste des étudiants'!$W2403,3)</f>
        <v>450</v>
      </c>
    </row>
    <row r="2404" spans="1:1" x14ac:dyDescent="0.25">
      <c r="A2404" s="54" t="str">
        <f>LEFT('Liste des étudiants'!$W2404,3)</f>
        <v>450</v>
      </c>
    </row>
    <row r="2405" spans="1:1" x14ac:dyDescent="0.25">
      <c r="A2405" s="54" t="str">
        <f>LEFT('Liste des étudiants'!$W2405,3)</f>
        <v>450</v>
      </c>
    </row>
    <row r="2406" spans="1:1" x14ac:dyDescent="0.25">
      <c r="A2406" s="54" t="str">
        <f>LEFT('Liste des étudiants'!$W2406,3)</f>
        <v>450</v>
      </c>
    </row>
    <row r="2407" spans="1:1" x14ac:dyDescent="0.25">
      <c r="A2407" s="54" t="str">
        <f>LEFT('Liste des étudiants'!$W2407,3)</f>
        <v>450</v>
      </c>
    </row>
    <row r="2408" spans="1:1" x14ac:dyDescent="0.25">
      <c r="A2408" s="54" t="str">
        <f>LEFT('Liste des étudiants'!$W2408,3)</f>
        <v>450</v>
      </c>
    </row>
    <row r="2409" spans="1:1" x14ac:dyDescent="0.25">
      <c r="A2409" s="54" t="str">
        <f>LEFT('Liste des étudiants'!$W2409,3)</f>
        <v>450</v>
      </c>
    </row>
    <row r="2410" spans="1:1" x14ac:dyDescent="0.25">
      <c r="A2410" s="54" t="str">
        <f>LEFT('Liste des étudiants'!$W2410,3)</f>
        <v>450</v>
      </c>
    </row>
    <row r="2411" spans="1:1" x14ac:dyDescent="0.25">
      <c r="A2411" s="54" t="str">
        <f>LEFT('Liste des étudiants'!$W2411,3)</f>
        <v>450</v>
      </c>
    </row>
    <row r="2412" spans="1:1" x14ac:dyDescent="0.25">
      <c r="A2412" s="54" t="str">
        <f>LEFT('Liste des étudiants'!$W2412,3)</f>
        <v>450</v>
      </c>
    </row>
    <row r="2413" spans="1:1" x14ac:dyDescent="0.25">
      <c r="A2413" s="54" t="str">
        <f>LEFT('Liste des étudiants'!$W2413,3)</f>
        <v>450</v>
      </c>
    </row>
    <row r="2414" spans="1:1" x14ac:dyDescent="0.25">
      <c r="A2414" s="54" t="str">
        <f>LEFT('Liste des étudiants'!$W2414,3)</f>
        <v>450</v>
      </c>
    </row>
    <row r="2415" spans="1:1" x14ac:dyDescent="0.25">
      <c r="A2415" s="54" t="str">
        <f>LEFT('Liste des étudiants'!$W2415,3)</f>
        <v>450</v>
      </c>
    </row>
    <row r="2416" spans="1:1" x14ac:dyDescent="0.25">
      <c r="A2416" s="54" t="str">
        <f>LEFT('Liste des étudiants'!$W2416,3)</f>
        <v>450</v>
      </c>
    </row>
    <row r="2417" spans="1:1" x14ac:dyDescent="0.25">
      <c r="A2417" s="54" t="str">
        <f>LEFT('Liste des étudiants'!$W2417,3)</f>
        <v>450</v>
      </c>
    </row>
    <row r="2418" spans="1:1" x14ac:dyDescent="0.25">
      <c r="A2418" s="54" t="str">
        <f>LEFT('Liste des étudiants'!$W2418,3)</f>
        <v>450</v>
      </c>
    </row>
    <row r="2419" spans="1:1" x14ac:dyDescent="0.25">
      <c r="A2419" s="54" t="str">
        <f>LEFT('Liste des étudiants'!$W2419,3)</f>
        <v>450</v>
      </c>
    </row>
    <row r="2420" spans="1:1" x14ac:dyDescent="0.25">
      <c r="A2420" s="54" t="str">
        <f>LEFT('Liste des étudiants'!$W2420,3)</f>
        <v>450</v>
      </c>
    </row>
    <row r="2421" spans="1:1" x14ac:dyDescent="0.25">
      <c r="A2421" s="54" t="str">
        <f>LEFT('Liste des étudiants'!$W2421,3)</f>
        <v>450</v>
      </c>
    </row>
    <row r="2422" spans="1:1" x14ac:dyDescent="0.25">
      <c r="A2422" s="54" t="str">
        <f>LEFT('Liste des étudiants'!$W2422,3)</f>
        <v>450</v>
      </c>
    </row>
    <row r="2423" spans="1:1" x14ac:dyDescent="0.25">
      <c r="A2423" s="54" t="str">
        <f>LEFT('Liste des étudiants'!$W2423,3)</f>
        <v>450</v>
      </c>
    </row>
    <row r="2424" spans="1:1" x14ac:dyDescent="0.25">
      <c r="A2424" s="54" t="str">
        <f>LEFT('Liste des étudiants'!$W2424,3)</f>
        <v>450</v>
      </c>
    </row>
    <row r="2425" spans="1:1" x14ac:dyDescent="0.25">
      <c r="A2425" s="54" t="str">
        <f>LEFT('Liste des étudiants'!$W2425,3)</f>
        <v>450</v>
      </c>
    </row>
    <row r="2426" spans="1:1" x14ac:dyDescent="0.25">
      <c r="A2426" s="54" t="str">
        <f>LEFT('Liste des étudiants'!$W2426,3)</f>
        <v>450</v>
      </c>
    </row>
    <row r="2427" spans="1:1" x14ac:dyDescent="0.25">
      <c r="A2427" s="54" t="str">
        <f>LEFT('Liste des étudiants'!$W2427,3)</f>
        <v>450</v>
      </c>
    </row>
    <row r="2428" spans="1:1" x14ac:dyDescent="0.25">
      <c r="A2428" s="54" t="str">
        <f>LEFT('Liste des étudiants'!$W2428,3)</f>
        <v>450</v>
      </c>
    </row>
    <row r="2429" spans="1:1" x14ac:dyDescent="0.25">
      <c r="A2429" s="54" t="str">
        <f>LEFT('Liste des étudiants'!$W2429,3)</f>
        <v>450</v>
      </c>
    </row>
    <row r="2430" spans="1:1" x14ac:dyDescent="0.25">
      <c r="A2430" s="54" t="str">
        <f>LEFT('Liste des étudiants'!$W2430,3)</f>
        <v>450</v>
      </c>
    </row>
    <row r="2431" spans="1:1" x14ac:dyDescent="0.25">
      <c r="A2431" s="54" t="str">
        <f>LEFT('Liste des étudiants'!$W2431,3)</f>
        <v>450</v>
      </c>
    </row>
    <row r="2432" spans="1:1" x14ac:dyDescent="0.25">
      <c r="A2432" s="54" t="str">
        <f>LEFT('Liste des étudiants'!$W2432,3)</f>
        <v>450</v>
      </c>
    </row>
    <row r="2433" spans="1:1" x14ac:dyDescent="0.25">
      <c r="A2433" s="54" t="str">
        <f>LEFT('Liste des étudiants'!$W2433,3)</f>
        <v>450</v>
      </c>
    </row>
    <row r="2434" spans="1:1" x14ac:dyDescent="0.25">
      <c r="A2434" s="54" t="str">
        <f>LEFT('Liste des étudiants'!$W2434,3)</f>
        <v>450</v>
      </c>
    </row>
    <row r="2435" spans="1:1" x14ac:dyDescent="0.25">
      <c r="A2435" s="54" t="str">
        <f>LEFT('Liste des étudiants'!$W2435,3)</f>
        <v>450</v>
      </c>
    </row>
    <row r="2436" spans="1:1" x14ac:dyDescent="0.25">
      <c r="A2436" s="54" t="str">
        <f>LEFT('Liste des étudiants'!$W2436,3)</f>
        <v>450</v>
      </c>
    </row>
    <row r="2437" spans="1:1" x14ac:dyDescent="0.25">
      <c r="A2437" s="54" t="str">
        <f>LEFT('Liste des étudiants'!$W2437,3)</f>
        <v>450</v>
      </c>
    </row>
    <row r="2438" spans="1:1" x14ac:dyDescent="0.25">
      <c r="A2438" s="54" t="str">
        <f>LEFT('Liste des étudiants'!$W2438,3)</f>
        <v>450</v>
      </c>
    </row>
    <row r="2439" spans="1:1" x14ac:dyDescent="0.25">
      <c r="A2439" s="54" t="str">
        <f>LEFT('Liste des étudiants'!$W2439,3)</f>
        <v>450</v>
      </c>
    </row>
    <row r="2440" spans="1:1" x14ac:dyDescent="0.25">
      <c r="A2440" s="54" t="str">
        <f>LEFT('Liste des étudiants'!$W2440,3)</f>
        <v>450</v>
      </c>
    </row>
    <row r="2441" spans="1:1" x14ac:dyDescent="0.25">
      <c r="A2441" s="54" t="str">
        <f>LEFT('Liste des étudiants'!$W2441,3)</f>
        <v>450</v>
      </c>
    </row>
    <row r="2442" spans="1:1" x14ac:dyDescent="0.25">
      <c r="A2442" s="54" t="str">
        <f>LEFT('Liste des étudiants'!$W2442,3)</f>
        <v>450</v>
      </c>
    </row>
    <row r="2443" spans="1:1" x14ac:dyDescent="0.25">
      <c r="A2443" s="54" t="str">
        <f>LEFT('Liste des étudiants'!$W2443,3)</f>
        <v>450</v>
      </c>
    </row>
    <row r="2444" spans="1:1" x14ac:dyDescent="0.25">
      <c r="A2444" s="54" t="str">
        <f>LEFT('Liste des étudiants'!$W2444,3)</f>
        <v>450</v>
      </c>
    </row>
    <row r="2445" spans="1:1" x14ac:dyDescent="0.25">
      <c r="A2445" s="54" t="str">
        <f>LEFT('Liste des étudiants'!$W2445,3)</f>
        <v>450</v>
      </c>
    </row>
    <row r="2446" spans="1:1" x14ac:dyDescent="0.25">
      <c r="A2446" s="54" t="str">
        <f>LEFT('Liste des étudiants'!$W2446,3)</f>
        <v>450</v>
      </c>
    </row>
    <row r="2447" spans="1:1" x14ac:dyDescent="0.25">
      <c r="A2447" s="54" t="str">
        <f>LEFT('Liste des étudiants'!$W2447,3)</f>
        <v>450</v>
      </c>
    </row>
    <row r="2448" spans="1:1" x14ac:dyDescent="0.25">
      <c r="A2448" s="54" t="str">
        <f>LEFT('Liste des étudiants'!$W2448,3)</f>
        <v>450</v>
      </c>
    </row>
    <row r="2449" spans="1:1" x14ac:dyDescent="0.25">
      <c r="A2449" s="54" t="str">
        <f>LEFT('Liste des étudiants'!$W2449,3)</f>
        <v>450</v>
      </c>
    </row>
    <row r="2450" spans="1:1" x14ac:dyDescent="0.25">
      <c r="A2450" s="54" t="str">
        <f>LEFT('Liste des étudiants'!$W2450,3)</f>
        <v>450</v>
      </c>
    </row>
    <row r="2451" spans="1:1" x14ac:dyDescent="0.25">
      <c r="A2451" s="54" t="str">
        <f>LEFT('Liste des étudiants'!$W2451,3)</f>
        <v>450</v>
      </c>
    </row>
    <row r="2452" spans="1:1" x14ac:dyDescent="0.25">
      <c r="A2452" s="54" t="str">
        <f>LEFT('Liste des étudiants'!$W2452,3)</f>
        <v>450</v>
      </c>
    </row>
    <row r="2453" spans="1:1" x14ac:dyDescent="0.25">
      <c r="A2453" s="54" t="str">
        <f>LEFT('Liste des étudiants'!$W2453,3)</f>
        <v>450</v>
      </c>
    </row>
    <row r="2454" spans="1:1" x14ac:dyDescent="0.25">
      <c r="A2454" s="54" t="str">
        <f>LEFT('Liste des étudiants'!$W2454,3)</f>
        <v>450</v>
      </c>
    </row>
    <row r="2455" spans="1:1" x14ac:dyDescent="0.25">
      <c r="A2455" s="54" t="str">
        <f>LEFT('Liste des étudiants'!$W2455,3)</f>
        <v>450</v>
      </c>
    </row>
    <row r="2456" spans="1:1" x14ac:dyDescent="0.25">
      <c r="A2456" s="54" t="str">
        <f>LEFT('Liste des étudiants'!$W2456,3)</f>
        <v>450</v>
      </c>
    </row>
    <row r="2457" spans="1:1" x14ac:dyDescent="0.25">
      <c r="A2457" s="54" t="str">
        <f>LEFT('Liste des étudiants'!$W2457,3)</f>
        <v>450</v>
      </c>
    </row>
    <row r="2458" spans="1:1" x14ac:dyDescent="0.25">
      <c r="A2458" s="54" t="str">
        <f>LEFT('Liste des étudiants'!$W2458,3)</f>
        <v>450</v>
      </c>
    </row>
    <row r="2459" spans="1:1" x14ac:dyDescent="0.25">
      <c r="A2459" s="54" t="str">
        <f>LEFT('Liste des étudiants'!$W2459,3)</f>
        <v>450</v>
      </c>
    </row>
    <row r="2460" spans="1:1" x14ac:dyDescent="0.25">
      <c r="A2460" s="54" t="str">
        <f>LEFT('Liste des étudiants'!$W2460,3)</f>
        <v>450</v>
      </c>
    </row>
    <row r="2461" spans="1:1" x14ac:dyDescent="0.25">
      <c r="A2461" s="54" t="str">
        <f>LEFT('Liste des étudiants'!$W2461,3)</f>
        <v>450</v>
      </c>
    </row>
    <row r="2462" spans="1:1" x14ac:dyDescent="0.25">
      <c r="A2462" s="54" t="str">
        <f>LEFT('Liste des étudiants'!$W2462,3)</f>
        <v>450</v>
      </c>
    </row>
    <row r="2463" spans="1:1" x14ac:dyDescent="0.25">
      <c r="A2463" s="54" t="str">
        <f>LEFT('Liste des étudiants'!$W2463,3)</f>
        <v>450</v>
      </c>
    </row>
    <row r="2464" spans="1:1" x14ac:dyDescent="0.25">
      <c r="A2464" s="54" t="str">
        <f>LEFT('Liste des étudiants'!$W2464,3)</f>
        <v>450</v>
      </c>
    </row>
    <row r="2465" spans="1:1" x14ac:dyDescent="0.25">
      <c r="A2465" s="54" t="str">
        <f>LEFT('Liste des étudiants'!$W2465,3)</f>
        <v>450</v>
      </c>
    </row>
    <row r="2466" spans="1:1" x14ac:dyDescent="0.25">
      <c r="A2466" s="54" t="str">
        <f>LEFT('Liste des étudiants'!$W2466,3)</f>
        <v>450</v>
      </c>
    </row>
    <row r="2467" spans="1:1" x14ac:dyDescent="0.25">
      <c r="A2467" s="54" t="str">
        <f>LEFT('Liste des étudiants'!$W2467,3)</f>
        <v>450</v>
      </c>
    </row>
    <row r="2468" spans="1:1" x14ac:dyDescent="0.25">
      <c r="A2468" s="54" t="str">
        <f>LEFT('Liste des étudiants'!$W2468,3)</f>
        <v>450</v>
      </c>
    </row>
    <row r="2469" spans="1:1" x14ac:dyDescent="0.25">
      <c r="A2469" s="54" t="str">
        <f>LEFT('Liste des étudiants'!$W2469,3)</f>
        <v>450</v>
      </c>
    </row>
    <row r="2470" spans="1:1" x14ac:dyDescent="0.25">
      <c r="A2470" s="54" t="str">
        <f>LEFT('Liste des étudiants'!$W2470,3)</f>
        <v>450</v>
      </c>
    </row>
    <row r="2471" spans="1:1" x14ac:dyDescent="0.25">
      <c r="A2471" s="54" t="str">
        <f>LEFT('Liste des étudiants'!$W2471,3)</f>
        <v>450</v>
      </c>
    </row>
    <row r="2472" spans="1:1" x14ac:dyDescent="0.25">
      <c r="A2472" s="54" t="str">
        <f>LEFT('Liste des étudiants'!$W2472,3)</f>
        <v>450</v>
      </c>
    </row>
    <row r="2473" spans="1:1" x14ac:dyDescent="0.25">
      <c r="A2473" s="54" t="str">
        <f>LEFT('Liste des étudiants'!$W2473,3)</f>
        <v>450</v>
      </c>
    </row>
    <row r="2474" spans="1:1" x14ac:dyDescent="0.25">
      <c r="A2474" s="54" t="str">
        <f>LEFT('Liste des étudiants'!$W2474,3)</f>
        <v>450</v>
      </c>
    </row>
    <row r="2475" spans="1:1" x14ac:dyDescent="0.25">
      <c r="A2475" s="54" t="str">
        <f>LEFT('Liste des étudiants'!$W2475,3)</f>
        <v>450</v>
      </c>
    </row>
    <row r="2476" spans="1:1" x14ac:dyDescent="0.25">
      <c r="A2476" s="54" t="str">
        <f>LEFT('Liste des étudiants'!$W2476,3)</f>
        <v>450</v>
      </c>
    </row>
    <row r="2477" spans="1:1" x14ac:dyDescent="0.25">
      <c r="A2477" s="54" t="str">
        <f>LEFT('Liste des étudiants'!$W2477,3)</f>
        <v>450</v>
      </c>
    </row>
    <row r="2478" spans="1:1" x14ac:dyDescent="0.25">
      <c r="A2478" s="54" t="str">
        <f>LEFT('Liste des étudiants'!$W2478,3)</f>
        <v>450</v>
      </c>
    </row>
    <row r="2479" spans="1:1" x14ac:dyDescent="0.25">
      <c r="A2479" s="54" t="str">
        <f>LEFT('Liste des étudiants'!$W2479,3)</f>
        <v>450</v>
      </c>
    </row>
    <row r="2480" spans="1:1" x14ac:dyDescent="0.25">
      <c r="A2480" s="54" t="str">
        <f>LEFT('Liste des étudiants'!$W2480,3)</f>
        <v>450</v>
      </c>
    </row>
    <row r="2481" spans="1:1" x14ac:dyDescent="0.25">
      <c r="A2481" s="54" t="str">
        <f>LEFT('Liste des étudiants'!$W2481,3)</f>
        <v>450</v>
      </c>
    </row>
    <row r="2482" spans="1:1" x14ac:dyDescent="0.25">
      <c r="A2482" s="54" t="str">
        <f>LEFT('Liste des étudiants'!$W2482,3)</f>
        <v>450</v>
      </c>
    </row>
    <row r="2483" spans="1:1" x14ac:dyDescent="0.25">
      <c r="A2483" s="54" t="str">
        <f>LEFT('Liste des étudiants'!$W2483,3)</f>
        <v>450</v>
      </c>
    </row>
    <row r="2484" spans="1:1" x14ac:dyDescent="0.25">
      <c r="A2484" s="54" t="str">
        <f>LEFT('Liste des étudiants'!$W2484,3)</f>
        <v>450</v>
      </c>
    </row>
    <row r="2485" spans="1:1" x14ac:dyDescent="0.25">
      <c r="A2485" s="54" t="str">
        <f>LEFT('Liste des étudiants'!$W2485,3)</f>
        <v>450</v>
      </c>
    </row>
    <row r="2486" spans="1:1" x14ac:dyDescent="0.25">
      <c r="A2486" s="54" t="str">
        <f>LEFT('Liste des étudiants'!$W2486,3)</f>
        <v>450</v>
      </c>
    </row>
    <row r="2487" spans="1:1" x14ac:dyDescent="0.25">
      <c r="A2487" s="54" t="str">
        <f>LEFT('Liste des étudiants'!$W2487,3)</f>
        <v>450</v>
      </c>
    </row>
    <row r="2488" spans="1:1" x14ac:dyDescent="0.25">
      <c r="A2488" s="54" t="str">
        <f>LEFT('Liste des étudiants'!$W2488,3)</f>
        <v>450</v>
      </c>
    </row>
    <row r="2489" spans="1:1" x14ac:dyDescent="0.25">
      <c r="A2489" s="54" t="str">
        <f>LEFT('Liste des étudiants'!$W2489,3)</f>
        <v>450</v>
      </c>
    </row>
    <row r="2490" spans="1:1" x14ac:dyDescent="0.25">
      <c r="A2490" s="54" t="str">
        <f>LEFT('Liste des étudiants'!$W2490,3)</f>
        <v>450</v>
      </c>
    </row>
    <row r="2491" spans="1:1" x14ac:dyDescent="0.25">
      <c r="A2491" s="54" t="str">
        <f>LEFT('Liste des étudiants'!$W2491,3)</f>
        <v>450</v>
      </c>
    </row>
    <row r="2492" spans="1:1" x14ac:dyDescent="0.25">
      <c r="A2492" s="54" t="str">
        <f>LEFT('Liste des étudiants'!$W2492,3)</f>
        <v>450</v>
      </c>
    </row>
    <row r="2493" spans="1:1" x14ac:dyDescent="0.25">
      <c r="A2493" s="54" t="str">
        <f>LEFT('Liste des étudiants'!$W2493,3)</f>
        <v>450</v>
      </c>
    </row>
    <row r="2494" spans="1:1" x14ac:dyDescent="0.25">
      <c r="A2494" s="54" t="str">
        <f>LEFT('Liste des étudiants'!$W2494,3)</f>
        <v>450</v>
      </c>
    </row>
    <row r="2495" spans="1:1" x14ac:dyDescent="0.25">
      <c r="A2495" s="54" t="str">
        <f>LEFT('Liste des étudiants'!$W2495,3)</f>
        <v>450</v>
      </c>
    </row>
    <row r="2496" spans="1:1" x14ac:dyDescent="0.25">
      <c r="A2496" s="54" t="str">
        <f>LEFT('Liste des étudiants'!$W2496,3)</f>
        <v>450</v>
      </c>
    </row>
    <row r="2497" spans="1:1" x14ac:dyDescent="0.25">
      <c r="A2497" s="54" t="str">
        <f>LEFT('Liste des étudiants'!$W2497,3)</f>
        <v>450</v>
      </c>
    </row>
    <row r="2498" spans="1:1" x14ac:dyDescent="0.25">
      <c r="A2498" s="54" t="str">
        <f>LEFT('Liste des étudiants'!$W2498,3)</f>
        <v>450</v>
      </c>
    </row>
    <row r="2499" spans="1:1" x14ac:dyDescent="0.25">
      <c r="A2499" s="54" t="str">
        <f>LEFT('Liste des étudiants'!$W2499,3)</f>
        <v>450</v>
      </c>
    </row>
    <row r="2500" spans="1:1" x14ac:dyDescent="0.25">
      <c r="A2500" s="54" t="str">
        <f>LEFT('Liste des étudiants'!$W2500,3)</f>
        <v>450</v>
      </c>
    </row>
    <row r="2501" spans="1:1" x14ac:dyDescent="0.25">
      <c r="A2501" s="54" t="str">
        <f>LEFT('Liste des étudiants'!$W2501,3)</f>
        <v>450</v>
      </c>
    </row>
    <row r="2502" spans="1:1" x14ac:dyDescent="0.25">
      <c r="A2502" s="54" t="str">
        <f>LEFT('Liste des étudiants'!$W2502,3)</f>
        <v>450</v>
      </c>
    </row>
    <row r="2503" spans="1:1" x14ac:dyDescent="0.25">
      <c r="A2503" s="54" t="str">
        <f>LEFT('Liste des étudiants'!$W2503,3)</f>
        <v>450</v>
      </c>
    </row>
    <row r="2504" spans="1:1" x14ac:dyDescent="0.25">
      <c r="A2504" s="54" t="str">
        <f>LEFT('Liste des étudiants'!$W2504,3)</f>
        <v>450</v>
      </c>
    </row>
    <row r="2505" spans="1:1" x14ac:dyDescent="0.25">
      <c r="A2505" s="54" t="str">
        <f>LEFT('Liste des étudiants'!$W2505,3)</f>
        <v>450</v>
      </c>
    </row>
    <row r="2506" spans="1:1" x14ac:dyDescent="0.25">
      <c r="A2506" s="54" t="str">
        <f>LEFT('Liste des étudiants'!$W2506,3)</f>
        <v>450</v>
      </c>
    </row>
    <row r="2507" spans="1:1" x14ac:dyDescent="0.25">
      <c r="A2507" s="54" t="str">
        <f>LEFT('Liste des étudiants'!$W2507,3)</f>
        <v>450</v>
      </c>
    </row>
    <row r="2508" spans="1:1" x14ac:dyDescent="0.25">
      <c r="A2508" s="54" t="str">
        <f>LEFT('Liste des étudiants'!$W2508,3)</f>
        <v>450</v>
      </c>
    </row>
    <row r="2509" spans="1:1" x14ac:dyDescent="0.25">
      <c r="A2509" s="54" t="str">
        <f>LEFT('Liste des étudiants'!$W2509,3)</f>
        <v>450</v>
      </c>
    </row>
    <row r="2510" spans="1:1" x14ac:dyDescent="0.25">
      <c r="A2510" s="54" t="str">
        <f>LEFT('Liste des étudiants'!$W2510,3)</f>
        <v>450</v>
      </c>
    </row>
    <row r="2511" spans="1:1" x14ac:dyDescent="0.25">
      <c r="A2511" s="54" t="str">
        <f>LEFT('Liste des étudiants'!$W2511,3)</f>
        <v>450</v>
      </c>
    </row>
    <row r="2512" spans="1:1" x14ac:dyDescent="0.25">
      <c r="A2512" s="54" t="str">
        <f>LEFT('Liste des étudiants'!$W2512,3)</f>
        <v>450</v>
      </c>
    </row>
    <row r="2513" spans="1:1" x14ac:dyDescent="0.25">
      <c r="A2513" s="54" t="str">
        <f>LEFT('Liste des étudiants'!$W2513,3)</f>
        <v>450</v>
      </c>
    </row>
    <row r="2514" spans="1:1" x14ac:dyDescent="0.25">
      <c r="A2514" s="54" t="str">
        <f>LEFT('Liste des étudiants'!$W2514,3)</f>
        <v>450</v>
      </c>
    </row>
    <row r="2515" spans="1:1" x14ac:dyDescent="0.25">
      <c r="A2515" s="54" t="str">
        <f>LEFT('Liste des étudiants'!$W2515,3)</f>
        <v>450</v>
      </c>
    </row>
    <row r="2516" spans="1:1" x14ac:dyDescent="0.25">
      <c r="A2516" s="54" t="str">
        <f>LEFT('Liste des étudiants'!$W2516,3)</f>
        <v>450</v>
      </c>
    </row>
    <row r="2517" spans="1:1" x14ac:dyDescent="0.25">
      <c r="A2517" s="54" t="str">
        <f>LEFT('Liste des étudiants'!$W2517,3)</f>
        <v>450</v>
      </c>
    </row>
    <row r="2518" spans="1:1" x14ac:dyDescent="0.25">
      <c r="A2518" s="54" t="str">
        <f>LEFT('Liste des étudiants'!$W2518,3)</f>
        <v>450</v>
      </c>
    </row>
    <row r="2519" spans="1:1" x14ac:dyDescent="0.25">
      <c r="A2519" s="54" t="str">
        <f>LEFT('Liste des étudiants'!$W2519,3)</f>
        <v>450</v>
      </c>
    </row>
    <row r="2520" spans="1:1" x14ac:dyDescent="0.25">
      <c r="A2520" s="54" t="str">
        <f>LEFT('Liste des étudiants'!$W2520,3)</f>
        <v>450</v>
      </c>
    </row>
    <row r="2521" spans="1:1" x14ac:dyDescent="0.25">
      <c r="A2521" s="54" t="str">
        <f>LEFT('Liste des étudiants'!$W2521,3)</f>
        <v>450</v>
      </c>
    </row>
    <row r="2522" spans="1:1" x14ac:dyDescent="0.25">
      <c r="A2522" s="54" t="str">
        <f>LEFT('Liste des étudiants'!$W2522,3)</f>
        <v>450</v>
      </c>
    </row>
    <row r="2523" spans="1:1" x14ac:dyDescent="0.25">
      <c r="A2523" s="54" t="str">
        <f>LEFT('Liste des étudiants'!$W2523,3)</f>
        <v>450</v>
      </c>
    </row>
    <row r="2524" spans="1:1" x14ac:dyDescent="0.25">
      <c r="A2524" s="54" t="str">
        <f>LEFT('Liste des étudiants'!$W2524,3)</f>
        <v>450</v>
      </c>
    </row>
    <row r="2525" spans="1:1" x14ac:dyDescent="0.25">
      <c r="A2525" s="54" t="str">
        <f>LEFT('Liste des étudiants'!$W2525,3)</f>
        <v>450</v>
      </c>
    </row>
    <row r="2526" spans="1:1" x14ac:dyDescent="0.25">
      <c r="A2526" s="54" t="str">
        <f>LEFT('Liste des étudiants'!$W2526,3)</f>
        <v>450</v>
      </c>
    </row>
    <row r="2527" spans="1:1" x14ac:dyDescent="0.25">
      <c r="A2527" s="54" t="str">
        <f>LEFT('Liste des étudiants'!$W2527,3)</f>
        <v>450</v>
      </c>
    </row>
    <row r="2528" spans="1:1" x14ac:dyDescent="0.25">
      <c r="A2528" s="54" t="str">
        <f>LEFT('Liste des étudiants'!$W2528,3)</f>
        <v>450</v>
      </c>
    </row>
    <row r="2529" spans="1:1" x14ac:dyDescent="0.25">
      <c r="A2529" s="54" t="str">
        <f>LEFT('Liste des étudiants'!$W2529,3)</f>
        <v>450</v>
      </c>
    </row>
    <row r="2530" spans="1:1" x14ac:dyDescent="0.25">
      <c r="A2530" s="54" t="str">
        <f>LEFT('Liste des étudiants'!$W2530,3)</f>
        <v>450</v>
      </c>
    </row>
    <row r="2531" spans="1:1" x14ac:dyDescent="0.25">
      <c r="A2531" s="54" t="str">
        <f>LEFT('Liste des étudiants'!$W2531,3)</f>
        <v>450</v>
      </c>
    </row>
    <row r="2532" spans="1:1" x14ac:dyDescent="0.25">
      <c r="A2532" s="54" t="str">
        <f>LEFT('Liste des étudiants'!$W2532,3)</f>
        <v>450</v>
      </c>
    </row>
    <row r="2533" spans="1:1" x14ac:dyDescent="0.25">
      <c r="A2533" s="54" t="str">
        <f>LEFT('Liste des étudiants'!$W2533,3)</f>
        <v>450</v>
      </c>
    </row>
    <row r="2534" spans="1:1" x14ac:dyDescent="0.25">
      <c r="A2534" s="54" t="str">
        <f>LEFT('Liste des étudiants'!$W2534,3)</f>
        <v>450</v>
      </c>
    </row>
    <row r="2535" spans="1:1" x14ac:dyDescent="0.25">
      <c r="A2535" s="54" t="str">
        <f>LEFT('Liste des étudiants'!$W2535,3)</f>
        <v>450</v>
      </c>
    </row>
    <row r="2536" spans="1:1" x14ac:dyDescent="0.25">
      <c r="A2536" s="54" t="str">
        <f>LEFT('Liste des étudiants'!$W2536,3)</f>
        <v>450</v>
      </c>
    </row>
    <row r="2537" spans="1:1" x14ac:dyDescent="0.25">
      <c r="A2537" s="54" t="str">
        <f>LEFT('Liste des étudiants'!$W2537,3)</f>
        <v>450</v>
      </c>
    </row>
    <row r="2538" spans="1:1" x14ac:dyDescent="0.25">
      <c r="A2538" s="54" t="str">
        <f>LEFT('Liste des étudiants'!$W2538,3)</f>
        <v>450</v>
      </c>
    </row>
    <row r="2539" spans="1:1" x14ac:dyDescent="0.25">
      <c r="A2539" s="54" t="str">
        <f>LEFT('Liste des étudiants'!$W2539,3)</f>
        <v>450</v>
      </c>
    </row>
    <row r="2540" spans="1:1" x14ac:dyDescent="0.25">
      <c r="A2540" s="54" t="str">
        <f>LEFT('Liste des étudiants'!$W2540,3)</f>
        <v>450</v>
      </c>
    </row>
    <row r="2541" spans="1:1" x14ac:dyDescent="0.25">
      <c r="A2541" s="54" t="str">
        <f>LEFT('Liste des étudiants'!$W2541,3)</f>
        <v>450</v>
      </c>
    </row>
    <row r="2542" spans="1:1" x14ac:dyDescent="0.25">
      <c r="A2542" s="54" t="str">
        <f>LEFT('Liste des étudiants'!$W2542,3)</f>
        <v>450</v>
      </c>
    </row>
    <row r="2543" spans="1:1" x14ac:dyDescent="0.25">
      <c r="A2543" s="54" t="str">
        <f>LEFT('Liste des étudiants'!$W2543,3)</f>
        <v>450</v>
      </c>
    </row>
    <row r="2544" spans="1:1" x14ac:dyDescent="0.25">
      <c r="A2544" s="54" t="str">
        <f>LEFT('Liste des étudiants'!$W2544,3)</f>
        <v>450</v>
      </c>
    </row>
    <row r="2545" spans="1:1" x14ac:dyDescent="0.25">
      <c r="A2545" s="54" t="str">
        <f>LEFT('Liste des étudiants'!$W2545,3)</f>
        <v>450</v>
      </c>
    </row>
    <row r="2546" spans="1:1" x14ac:dyDescent="0.25">
      <c r="A2546" s="54" t="str">
        <f>LEFT('Liste des étudiants'!$W2546,3)</f>
        <v>450</v>
      </c>
    </row>
    <row r="2547" spans="1:1" x14ac:dyDescent="0.25">
      <c r="A2547" s="54" t="str">
        <f>LEFT('Liste des étudiants'!$W2547,3)</f>
        <v>450</v>
      </c>
    </row>
    <row r="2548" spans="1:1" x14ac:dyDescent="0.25">
      <c r="A2548" s="54" t="str">
        <f>LEFT('Liste des étudiants'!$W2548,3)</f>
        <v>450</v>
      </c>
    </row>
    <row r="2549" spans="1:1" x14ac:dyDescent="0.25">
      <c r="A2549" s="54" t="str">
        <f>LEFT('Liste des étudiants'!$W2549,3)</f>
        <v>450</v>
      </c>
    </row>
    <row r="2550" spans="1:1" x14ac:dyDescent="0.25">
      <c r="A2550" s="54" t="str">
        <f>LEFT('Liste des étudiants'!$W2550,3)</f>
        <v>450</v>
      </c>
    </row>
    <row r="2551" spans="1:1" x14ac:dyDescent="0.25">
      <c r="A2551" s="54" t="str">
        <f>LEFT('Liste des étudiants'!$W2551,3)</f>
        <v>450</v>
      </c>
    </row>
    <row r="2552" spans="1:1" x14ac:dyDescent="0.25">
      <c r="A2552" s="54" t="str">
        <f>LEFT('Liste des étudiants'!$W2552,3)</f>
        <v>450</v>
      </c>
    </row>
    <row r="2553" spans="1:1" x14ac:dyDescent="0.25">
      <c r="A2553" s="54" t="str">
        <f>LEFT('Liste des étudiants'!$W2553,3)</f>
        <v>450</v>
      </c>
    </row>
    <row r="2554" spans="1:1" x14ac:dyDescent="0.25">
      <c r="A2554" s="54" t="str">
        <f>LEFT('Liste des étudiants'!$W2554,3)</f>
        <v>450</v>
      </c>
    </row>
    <row r="2555" spans="1:1" x14ac:dyDescent="0.25">
      <c r="A2555" s="54" t="str">
        <f>LEFT('Liste des étudiants'!$W2555,3)</f>
        <v>450</v>
      </c>
    </row>
    <row r="2556" spans="1:1" x14ac:dyDescent="0.25">
      <c r="A2556" s="54" t="str">
        <f>LEFT('Liste des étudiants'!$W2556,3)</f>
        <v>450</v>
      </c>
    </row>
    <row r="2557" spans="1:1" x14ac:dyDescent="0.25">
      <c r="A2557" s="54" t="str">
        <f>LEFT('Liste des étudiants'!$W2557,3)</f>
        <v>450</v>
      </c>
    </row>
    <row r="2558" spans="1:1" x14ac:dyDescent="0.25">
      <c r="A2558" s="54" t="str">
        <f>LEFT('Liste des étudiants'!$W2558,3)</f>
        <v>450</v>
      </c>
    </row>
    <row r="2559" spans="1:1" x14ac:dyDescent="0.25">
      <c r="A2559" s="54" t="str">
        <f>LEFT('Liste des étudiants'!$W2559,3)</f>
        <v>450</v>
      </c>
    </row>
    <row r="2560" spans="1:1" x14ac:dyDescent="0.25">
      <c r="A2560" s="54" t="str">
        <f>LEFT('Liste des étudiants'!$W2560,3)</f>
        <v>450</v>
      </c>
    </row>
    <row r="2561" spans="1:1" x14ac:dyDescent="0.25">
      <c r="A2561" s="54" t="str">
        <f>LEFT('Liste des étudiants'!$W2561,3)</f>
        <v>450</v>
      </c>
    </row>
    <row r="2562" spans="1:1" x14ac:dyDescent="0.25">
      <c r="A2562" s="54" t="str">
        <f>LEFT('Liste des étudiants'!$W2562,3)</f>
        <v>450</v>
      </c>
    </row>
    <row r="2563" spans="1:1" x14ac:dyDescent="0.25">
      <c r="A2563" s="54" t="str">
        <f>LEFT('Liste des étudiants'!$W2563,3)</f>
        <v>450</v>
      </c>
    </row>
    <row r="2564" spans="1:1" x14ac:dyDescent="0.25">
      <c r="A2564" s="54" t="str">
        <f>LEFT('Liste des étudiants'!$W2564,3)</f>
        <v>450</v>
      </c>
    </row>
    <row r="2565" spans="1:1" x14ac:dyDescent="0.25">
      <c r="A2565" s="54" t="str">
        <f>LEFT('Liste des étudiants'!$W2565,3)</f>
        <v>450</v>
      </c>
    </row>
    <row r="2566" spans="1:1" x14ac:dyDescent="0.25">
      <c r="A2566" s="54" t="str">
        <f>LEFT('Liste des étudiants'!$W2566,3)</f>
        <v>450</v>
      </c>
    </row>
    <row r="2567" spans="1:1" x14ac:dyDescent="0.25">
      <c r="A2567" s="54" t="str">
        <f>LEFT('Liste des étudiants'!$W2567,3)</f>
        <v>450</v>
      </c>
    </row>
    <row r="2568" spans="1:1" x14ac:dyDescent="0.25">
      <c r="A2568" s="54" t="str">
        <f>LEFT('Liste des étudiants'!$W2568,3)</f>
        <v>450</v>
      </c>
    </row>
    <row r="2569" spans="1:1" x14ac:dyDescent="0.25">
      <c r="A2569" s="54" t="str">
        <f>LEFT('Liste des étudiants'!$W2569,3)</f>
        <v>450</v>
      </c>
    </row>
    <row r="2570" spans="1:1" x14ac:dyDescent="0.25">
      <c r="A2570" s="54" t="str">
        <f>LEFT('Liste des étudiants'!$W2570,3)</f>
        <v>450</v>
      </c>
    </row>
    <row r="2571" spans="1:1" x14ac:dyDescent="0.25">
      <c r="A2571" s="54" t="str">
        <f>LEFT('Liste des étudiants'!$W2571,3)</f>
        <v>450</v>
      </c>
    </row>
    <row r="2572" spans="1:1" x14ac:dyDescent="0.25">
      <c r="A2572" s="54" t="str">
        <f>LEFT('Liste des étudiants'!$W2572,3)</f>
        <v>450</v>
      </c>
    </row>
    <row r="2573" spans="1:1" x14ac:dyDescent="0.25">
      <c r="A2573" s="54" t="str">
        <f>LEFT('Liste des étudiants'!$W2573,3)</f>
        <v>450</v>
      </c>
    </row>
    <row r="2574" spans="1:1" x14ac:dyDescent="0.25">
      <c r="A2574" s="54" t="str">
        <f>LEFT('Liste des étudiants'!$W2574,3)</f>
        <v>450</v>
      </c>
    </row>
    <row r="2575" spans="1:1" x14ac:dyDescent="0.25">
      <c r="A2575" s="54" t="str">
        <f>LEFT('Liste des étudiants'!$W2575,3)</f>
        <v>450</v>
      </c>
    </row>
    <row r="2576" spans="1:1" x14ac:dyDescent="0.25">
      <c r="A2576" s="54" t="str">
        <f>LEFT('Liste des étudiants'!$W2576,3)</f>
        <v>450</v>
      </c>
    </row>
    <row r="2577" spans="1:1" x14ac:dyDescent="0.25">
      <c r="A2577" s="54" t="str">
        <f>LEFT('Liste des étudiants'!$W2577,3)</f>
        <v>450</v>
      </c>
    </row>
    <row r="2578" spans="1:1" x14ac:dyDescent="0.25">
      <c r="A2578" s="54" t="str">
        <f>LEFT('Liste des étudiants'!$W2578,3)</f>
        <v>450</v>
      </c>
    </row>
    <row r="2579" spans="1:1" x14ac:dyDescent="0.25">
      <c r="A2579" s="54" t="str">
        <f>LEFT('Liste des étudiants'!$W2579,3)</f>
        <v>450</v>
      </c>
    </row>
    <row r="2580" spans="1:1" x14ac:dyDescent="0.25">
      <c r="A2580" s="54" t="str">
        <f>LEFT('Liste des étudiants'!$W2580,3)</f>
        <v>450</v>
      </c>
    </row>
    <row r="2581" spans="1:1" x14ac:dyDescent="0.25">
      <c r="A2581" s="54" t="str">
        <f>LEFT('Liste des étudiants'!$W2581,3)</f>
        <v>450</v>
      </c>
    </row>
    <row r="2582" spans="1:1" x14ac:dyDescent="0.25">
      <c r="A2582" s="54" t="str">
        <f>LEFT('Liste des étudiants'!$W2582,3)</f>
        <v>450</v>
      </c>
    </row>
    <row r="2583" spans="1:1" x14ac:dyDescent="0.25">
      <c r="A2583" s="54" t="str">
        <f>LEFT('Liste des étudiants'!$W2583,3)</f>
        <v>450</v>
      </c>
    </row>
    <row r="2584" spans="1:1" x14ac:dyDescent="0.25">
      <c r="A2584" s="54" t="str">
        <f>LEFT('Liste des étudiants'!$W2584,3)</f>
        <v>450</v>
      </c>
    </row>
    <row r="2585" spans="1:1" x14ac:dyDescent="0.25">
      <c r="A2585" s="54" t="str">
        <f>LEFT('Liste des étudiants'!$W2585,3)</f>
        <v>450</v>
      </c>
    </row>
    <row r="2586" spans="1:1" x14ac:dyDescent="0.25">
      <c r="A2586" s="54" t="str">
        <f>LEFT('Liste des étudiants'!$W2586,3)</f>
        <v>450</v>
      </c>
    </row>
    <row r="2587" spans="1:1" x14ac:dyDescent="0.25">
      <c r="A2587" s="54" t="str">
        <f>LEFT('Liste des étudiants'!$W2587,3)</f>
        <v>450</v>
      </c>
    </row>
    <row r="2588" spans="1:1" x14ac:dyDescent="0.25">
      <c r="A2588" s="54" t="str">
        <f>LEFT('Liste des étudiants'!$W2588,3)</f>
        <v>450</v>
      </c>
    </row>
    <row r="2589" spans="1:1" x14ac:dyDescent="0.25">
      <c r="A2589" s="54" t="str">
        <f>LEFT('Liste des étudiants'!$W2589,3)</f>
        <v>450</v>
      </c>
    </row>
    <row r="2590" spans="1:1" x14ac:dyDescent="0.25">
      <c r="A2590" s="54" t="str">
        <f>LEFT('Liste des étudiants'!$W2590,3)</f>
        <v>450</v>
      </c>
    </row>
    <row r="2591" spans="1:1" x14ac:dyDescent="0.25">
      <c r="A2591" s="54" t="str">
        <f>LEFT('Liste des étudiants'!$W2591,3)</f>
        <v>450</v>
      </c>
    </row>
    <row r="2592" spans="1:1" x14ac:dyDescent="0.25">
      <c r="A2592" s="54" t="str">
        <f>LEFT('Liste des étudiants'!$W2592,3)</f>
        <v>450</v>
      </c>
    </row>
    <row r="2593" spans="1:1" x14ac:dyDescent="0.25">
      <c r="A2593" s="54" t="str">
        <f>LEFT('Liste des étudiants'!$W2593,3)</f>
        <v>450</v>
      </c>
    </row>
    <row r="2594" spans="1:1" x14ac:dyDescent="0.25">
      <c r="A2594" s="54" t="str">
        <f>LEFT('Liste des étudiants'!$W2594,3)</f>
        <v>450</v>
      </c>
    </row>
    <row r="2595" spans="1:1" x14ac:dyDescent="0.25">
      <c r="A2595" s="54" t="str">
        <f>LEFT('Liste des étudiants'!$W2595,3)</f>
        <v>450</v>
      </c>
    </row>
    <row r="2596" spans="1:1" x14ac:dyDescent="0.25">
      <c r="A2596" s="54" t="str">
        <f>LEFT('Liste des étudiants'!$W2596,3)</f>
        <v>450</v>
      </c>
    </row>
    <row r="2597" spans="1:1" x14ac:dyDescent="0.25">
      <c r="A2597" s="54" t="str">
        <f>LEFT('Liste des étudiants'!$W2597,3)</f>
        <v>450</v>
      </c>
    </row>
    <row r="2598" spans="1:1" x14ac:dyDescent="0.25">
      <c r="A2598" s="54" t="str">
        <f>LEFT('Liste des étudiants'!$W2598,3)</f>
        <v>450</v>
      </c>
    </row>
    <row r="2599" spans="1:1" x14ac:dyDescent="0.25">
      <c r="A2599" s="54" t="str">
        <f>LEFT('Liste des étudiants'!$W2599,3)</f>
        <v>450</v>
      </c>
    </row>
    <row r="2600" spans="1:1" x14ac:dyDescent="0.25">
      <c r="A2600" s="54" t="str">
        <f>LEFT('Liste des étudiants'!$W2600,3)</f>
        <v>450</v>
      </c>
    </row>
    <row r="2601" spans="1:1" x14ac:dyDescent="0.25">
      <c r="A2601" s="54" t="str">
        <f>LEFT('Liste des étudiants'!$W2601,3)</f>
        <v>450</v>
      </c>
    </row>
    <row r="2602" spans="1:1" x14ac:dyDescent="0.25">
      <c r="A2602" s="54" t="str">
        <f>LEFT('Liste des étudiants'!$W2602,3)</f>
        <v>450</v>
      </c>
    </row>
    <row r="2603" spans="1:1" x14ac:dyDescent="0.25">
      <c r="A2603" s="54" t="str">
        <f>LEFT('Liste des étudiants'!$W2603,3)</f>
        <v>450</v>
      </c>
    </row>
    <row r="2604" spans="1:1" x14ac:dyDescent="0.25">
      <c r="A2604" s="54" t="str">
        <f>LEFT('Liste des étudiants'!$W2604,3)</f>
        <v>450</v>
      </c>
    </row>
    <row r="2605" spans="1:1" x14ac:dyDescent="0.25">
      <c r="A2605" s="54" t="str">
        <f>LEFT('Liste des étudiants'!$W2605,3)</f>
        <v>450</v>
      </c>
    </row>
    <row r="2606" spans="1:1" x14ac:dyDescent="0.25">
      <c r="A2606" s="54" t="str">
        <f>LEFT('Liste des étudiants'!$W2606,3)</f>
        <v>450</v>
      </c>
    </row>
    <row r="2607" spans="1:1" x14ac:dyDescent="0.25">
      <c r="A2607" s="54" t="str">
        <f>LEFT('Liste des étudiants'!$W2607,3)</f>
        <v>450</v>
      </c>
    </row>
    <row r="2608" spans="1:1" x14ac:dyDescent="0.25">
      <c r="A2608" s="54" t="str">
        <f>LEFT('Liste des étudiants'!$W2608,3)</f>
        <v>450</v>
      </c>
    </row>
    <row r="2609" spans="1:1" x14ac:dyDescent="0.25">
      <c r="A2609" s="54" t="str">
        <f>LEFT('Liste des étudiants'!$W2609,3)</f>
        <v>450</v>
      </c>
    </row>
    <row r="2610" spans="1:1" x14ac:dyDescent="0.25">
      <c r="A2610" s="54" t="str">
        <f>LEFT('Liste des étudiants'!$W2610,3)</f>
        <v>450</v>
      </c>
    </row>
    <row r="2611" spans="1:1" x14ac:dyDescent="0.25">
      <c r="A2611" s="54" t="str">
        <f>LEFT('Liste des étudiants'!$W2611,3)</f>
        <v>450</v>
      </c>
    </row>
    <row r="2612" spans="1:1" x14ac:dyDescent="0.25">
      <c r="A2612" s="54" t="str">
        <f>LEFT('Liste des étudiants'!$W2612,3)</f>
        <v>450</v>
      </c>
    </row>
    <row r="2613" spans="1:1" x14ac:dyDescent="0.25">
      <c r="A2613" s="54" t="str">
        <f>LEFT('Liste des étudiants'!$W2613,3)</f>
        <v>450</v>
      </c>
    </row>
    <row r="2614" spans="1:1" x14ac:dyDescent="0.25">
      <c r="A2614" s="54" t="str">
        <f>LEFT('Liste des étudiants'!$W2614,3)</f>
        <v>450</v>
      </c>
    </row>
    <row r="2615" spans="1:1" x14ac:dyDescent="0.25">
      <c r="A2615" s="54" t="str">
        <f>LEFT('Liste des étudiants'!$W2615,3)</f>
        <v>450</v>
      </c>
    </row>
    <row r="2616" spans="1:1" x14ac:dyDescent="0.25">
      <c r="A2616" s="54" t="str">
        <f>LEFT('Liste des étudiants'!$W2616,3)</f>
        <v>450</v>
      </c>
    </row>
    <row r="2617" spans="1:1" x14ac:dyDescent="0.25">
      <c r="A2617" s="54" t="str">
        <f>LEFT('Liste des étudiants'!$W2617,3)</f>
        <v>450</v>
      </c>
    </row>
    <row r="2618" spans="1:1" x14ac:dyDescent="0.25">
      <c r="A2618" s="54" t="str">
        <f>LEFT('Liste des étudiants'!$W2618,3)</f>
        <v>450</v>
      </c>
    </row>
    <row r="2619" spans="1:1" x14ac:dyDescent="0.25">
      <c r="A2619" s="54" t="str">
        <f>LEFT('Liste des étudiants'!$W2619,3)</f>
        <v>450</v>
      </c>
    </row>
    <row r="2620" spans="1:1" x14ac:dyDescent="0.25">
      <c r="A2620" s="54" t="str">
        <f>LEFT('Liste des étudiants'!$W2620,3)</f>
        <v>450</v>
      </c>
    </row>
    <row r="2621" spans="1:1" x14ac:dyDescent="0.25">
      <c r="A2621" s="54" t="str">
        <f>LEFT('Liste des étudiants'!$W2621,3)</f>
        <v>450</v>
      </c>
    </row>
    <row r="2622" spans="1:1" x14ac:dyDescent="0.25">
      <c r="A2622" s="54" t="str">
        <f>LEFT('Liste des étudiants'!$W2622,3)</f>
        <v>450</v>
      </c>
    </row>
    <row r="2623" spans="1:1" x14ac:dyDescent="0.25">
      <c r="A2623" s="54" t="str">
        <f>LEFT('Liste des étudiants'!$W2623,3)</f>
        <v>450</v>
      </c>
    </row>
    <row r="2624" spans="1:1" x14ac:dyDescent="0.25">
      <c r="A2624" s="54" t="str">
        <f>LEFT('Liste des étudiants'!$W2624,3)</f>
        <v>450</v>
      </c>
    </row>
    <row r="2625" spans="1:1" x14ac:dyDescent="0.25">
      <c r="A2625" s="54" t="str">
        <f>LEFT('Liste des étudiants'!$W2625,3)</f>
        <v>450</v>
      </c>
    </row>
    <row r="2626" spans="1:1" x14ac:dyDescent="0.25">
      <c r="A2626" s="54" t="str">
        <f>LEFT('Liste des étudiants'!$W2626,3)</f>
        <v>450</v>
      </c>
    </row>
    <row r="2627" spans="1:1" x14ac:dyDescent="0.25">
      <c r="A2627" s="54" t="str">
        <f>LEFT('Liste des étudiants'!$W2627,3)</f>
        <v>450</v>
      </c>
    </row>
    <row r="2628" spans="1:1" x14ac:dyDescent="0.25">
      <c r="A2628" s="54" t="str">
        <f>LEFT('Liste des étudiants'!$W2628,3)</f>
        <v>450</v>
      </c>
    </row>
    <row r="2629" spans="1:1" x14ac:dyDescent="0.25">
      <c r="A2629" s="54" t="str">
        <f>LEFT('Liste des étudiants'!$W2629,3)</f>
        <v>450</v>
      </c>
    </row>
    <row r="2630" spans="1:1" x14ac:dyDescent="0.25">
      <c r="A2630" s="54" t="str">
        <f>LEFT('Liste des étudiants'!$W2630,3)</f>
        <v>450</v>
      </c>
    </row>
    <row r="2631" spans="1:1" x14ac:dyDescent="0.25">
      <c r="A2631" s="54" t="str">
        <f>LEFT('Liste des étudiants'!$W2631,3)</f>
        <v>450</v>
      </c>
    </row>
    <row r="2632" spans="1:1" x14ac:dyDescent="0.25">
      <c r="A2632" s="54" t="str">
        <f>LEFT('Liste des étudiants'!$W2632,3)</f>
        <v>450</v>
      </c>
    </row>
    <row r="2633" spans="1:1" x14ac:dyDescent="0.25">
      <c r="A2633" s="54" t="str">
        <f>LEFT('Liste des étudiants'!$W2633,3)</f>
        <v>450</v>
      </c>
    </row>
    <row r="2634" spans="1:1" x14ac:dyDescent="0.25">
      <c r="A2634" s="54" t="str">
        <f>LEFT('Liste des étudiants'!$W2634,3)</f>
        <v>450</v>
      </c>
    </row>
    <row r="2635" spans="1:1" x14ac:dyDescent="0.25">
      <c r="A2635" s="54" t="str">
        <f>LEFT('Liste des étudiants'!$W2635,3)</f>
        <v>450</v>
      </c>
    </row>
    <row r="2636" spans="1:1" x14ac:dyDescent="0.25">
      <c r="A2636" s="54" t="str">
        <f>LEFT('Liste des étudiants'!$W2636,3)</f>
        <v>450</v>
      </c>
    </row>
    <row r="2637" spans="1:1" x14ac:dyDescent="0.25">
      <c r="A2637" s="54" t="str">
        <f>LEFT('Liste des étudiants'!$W2637,3)</f>
        <v>450</v>
      </c>
    </row>
    <row r="2638" spans="1:1" x14ac:dyDescent="0.25">
      <c r="A2638" s="54" t="str">
        <f>LEFT('Liste des étudiants'!$W2638,3)</f>
        <v>450</v>
      </c>
    </row>
    <row r="2639" spans="1:1" x14ac:dyDescent="0.25">
      <c r="A2639" s="54" t="str">
        <f>LEFT('Liste des étudiants'!$W2639,3)</f>
        <v>450</v>
      </c>
    </row>
    <row r="2640" spans="1:1" x14ac:dyDescent="0.25">
      <c r="A2640" s="54" t="str">
        <f>LEFT('Liste des étudiants'!$W2640,3)</f>
        <v>450</v>
      </c>
    </row>
    <row r="2641" spans="1:1" x14ac:dyDescent="0.25">
      <c r="A2641" s="54" t="str">
        <f>LEFT('Liste des étudiants'!$W2641,3)</f>
        <v>450</v>
      </c>
    </row>
    <row r="2642" spans="1:1" x14ac:dyDescent="0.25">
      <c r="A2642" s="54" t="str">
        <f>LEFT('Liste des étudiants'!$W2642,3)</f>
        <v>450</v>
      </c>
    </row>
    <row r="2643" spans="1:1" x14ac:dyDescent="0.25">
      <c r="A2643" s="54" t="str">
        <f>LEFT('Liste des étudiants'!$W2643,3)</f>
        <v>450</v>
      </c>
    </row>
    <row r="2644" spans="1:1" x14ac:dyDescent="0.25">
      <c r="A2644" s="54" t="str">
        <f>LEFT('Liste des étudiants'!$W2644,3)</f>
        <v>450</v>
      </c>
    </row>
    <row r="2645" spans="1:1" x14ac:dyDescent="0.25">
      <c r="A2645" s="54" t="str">
        <f>LEFT('Liste des étudiants'!$W2645,3)</f>
        <v>450</v>
      </c>
    </row>
    <row r="2646" spans="1:1" x14ac:dyDescent="0.25">
      <c r="A2646" s="54" t="str">
        <f>LEFT('Liste des étudiants'!$W2646,3)</f>
        <v>450</v>
      </c>
    </row>
    <row r="2647" spans="1:1" x14ac:dyDescent="0.25">
      <c r="A2647" s="54" t="str">
        <f>LEFT('Liste des étudiants'!$W2647,3)</f>
        <v>450</v>
      </c>
    </row>
    <row r="2648" spans="1:1" x14ac:dyDescent="0.25">
      <c r="A2648" s="54" t="str">
        <f>LEFT('Liste des étudiants'!$W2648,3)</f>
        <v>450</v>
      </c>
    </row>
    <row r="2649" spans="1:1" x14ac:dyDescent="0.25">
      <c r="A2649" s="54" t="str">
        <f>LEFT('Liste des étudiants'!$W2649,3)</f>
        <v>450</v>
      </c>
    </row>
    <row r="2650" spans="1:1" x14ac:dyDescent="0.25">
      <c r="A2650" s="54" t="str">
        <f>LEFT('Liste des étudiants'!$W2650,3)</f>
        <v>450</v>
      </c>
    </row>
    <row r="2651" spans="1:1" x14ac:dyDescent="0.25">
      <c r="A2651" s="54" t="str">
        <f>LEFT('Liste des étudiants'!$W2651,3)</f>
        <v>450</v>
      </c>
    </row>
    <row r="2652" spans="1:1" x14ac:dyDescent="0.25">
      <c r="A2652" s="54" t="str">
        <f>LEFT('Liste des étudiants'!$W2652,3)</f>
        <v>450</v>
      </c>
    </row>
    <row r="2653" spans="1:1" x14ac:dyDescent="0.25">
      <c r="A2653" s="54" t="str">
        <f>LEFT('Liste des étudiants'!$W2653,3)</f>
        <v>450</v>
      </c>
    </row>
    <row r="2654" spans="1:1" x14ac:dyDescent="0.25">
      <c r="A2654" s="54" t="str">
        <f>LEFT('Liste des étudiants'!$W2654,3)</f>
        <v>450</v>
      </c>
    </row>
    <row r="2655" spans="1:1" x14ac:dyDescent="0.25">
      <c r="A2655" s="54" t="str">
        <f>LEFT('Liste des étudiants'!$W2655,3)</f>
        <v>450</v>
      </c>
    </row>
    <row r="2656" spans="1:1" x14ac:dyDescent="0.25">
      <c r="A2656" s="54" t="str">
        <f>LEFT('Liste des étudiants'!$W2656,3)</f>
        <v>450</v>
      </c>
    </row>
    <row r="2657" spans="1:1" x14ac:dyDescent="0.25">
      <c r="A2657" s="54" t="str">
        <f>LEFT('Liste des étudiants'!$W2657,3)</f>
        <v>450</v>
      </c>
    </row>
    <row r="2658" spans="1:1" x14ac:dyDescent="0.25">
      <c r="A2658" s="54" t="str">
        <f>LEFT('Liste des étudiants'!$W2658,3)</f>
        <v>450</v>
      </c>
    </row>
    <row r="2659" spans="1:1" x14ac:dyDescent="0.25">
      <c r="A2659" s="54" t="str">
        <f>LEFT('Liste des étudiants'!$W2659,3)</f>
        <v>450</v>
      </c>
    </row>
    <row r="2660" spans="1:1" x14ac:dyDescent="0.25">
      <c r="A2660" s="54" t="str">
        <f>LEFT('Liste des étudiants'!$W2660,3)</f>
        <v>450</v>
      </c>
    </row>
    <row r="2661" spans="1:1" x14ac:dyDescent="0.25">
      <c r="A2661" s="54" t="str">
        <f>LEFT('Liste des étudiants'!$W2661,3)</f>
        <v>450</v>
      </c>
    </row>
    <row r="2662" spans="1:1" x14ac:dyDescent="0.25">
      <c r="A2662" s="54" t="str">
        <f>LEFT('Liste des étudiants'!$W2662,3)</f>
        <v>450</v>
      </c>
    </row>
    <row r="2663" spans="1:1" x14ac:dyDescent="0.25">
      <c r="A2663" s="54" t="str">
        <f>LEFT('Liste des étudiants'!$W2663,3)</f>
        <v>450</v>
      </c>
    </row>
    <row r="2664" spans="1:1" x14ac:dyDescent="0.25">
      <c r="A2664" s="54" t="str">
        <f>LEFT('Liste des étudiants'!$W2664,3)</f>
        <v>450</v>
      </c>
    </row>
    <row r="2665" spans="1:1" x14ac:dyDescent="0.25">
      <c r="A2665" s="54" t="str">
        <f>LEFT('Liste des étudiants'!$W2665,3)</f>
        <v>450</v>
      </c>
    </row>
    <row r="2666" spans="1:1" x14ac:dyDescent="0.25">
      <c r="A2666" s="54" t="str">
        <f>LEFT('Liste des étudiants'!$W2666,3)</f>
        <v>450</v>
      </c>
    </row>
    <row r="2667" spans="1:1" x14ac:dyDescent="0.25">
      <c r="A2667" s="54" t="str">
        <f>LEFT('Liste des étudiants'!$W2667,3)</f>
        <v>450</v>
      </c>
    </row>
    <row r="2668" spans="1:1" x14ac:dyDescent="0.25">
      <c r="A2668" s="54" t="str">
        <f>LEFT('Liste des étudiants'!$W2668,3)</f>
        <v>450</v>
      </c>
    </row>
    <row r="2669" spans="1:1" x14ac:dyDescent="0.25">
      <c r="A2669" s="54" t="str">
        <f>LEFT('Liste des étudiants'!$W2669,3)</f>
        <v>450</v>
      </c>
    </row>
    <row r="2670" spans="1:1" x14ac:dyDescent="0.25">
      <c r="A2670" s="54" t="str">
        <f>LEFT('Liste des étudiants'!$W2670,3)</f>
        <v>450</v>
      </c>
    </row>
    <row r="2671" spans="1:1" x14ac:dyDescent="0.25">
      <c r="A2671" s="54" t="str">
        <f>LEFT('Liste des étudiants'!$W2671,3)</f>
        <v>450</v>
      </c>
    </row>
    <row r="2672" spans="1:1" x14ac:dyDescent="0.25">
      <c r="A2672" s="54" t="str">
        <f>LEFT('Liste des étudiants'!$W2672,3)</f>
        <v>450</v>
      </c>
    </row>
    <row r="2673" spans="1:1" x14ac:dyDescent="0.25">
      <c r="A2673" s="54" t="str">
        <f>LEFT('Liste des étudiants'!$W2673,3)</f>
        <v>450</v>
      </c>
    </row>
    <row r="2674" spans="1:1" x14ac:dyDescent="0.25">
      <c r="A2674" s="54" t="str">
        <f>LEFT('Liste des étudiants'!$W2674,3)</f>
        <v>450</v>
      </c>
    </row>
    <row r="2675" spans="1:1" x14ac:dyDescent="0.25">
      <c r="A2675" s="54" t="str">
        <f>LEFT('Liste des étudiants'!$W2675,3)</f>
        <v>450</v>
      </c>
    </row>
    <row r="2676" spans="1:1" x14ac:dyDescent="0.25">
      <c r="A2676" s="54" t="str">
        <f>LEFT('Liste des étudiants'!$W2676,3)</f>
        <v>450</v>
      </c>
    </row>
    <row r="2677" spans="1:1" x14ac:dyDescent="0.25">
      <c r="A2677" s="54" t="str">
        <f>LEFT('Liste des étudiants'!$W2677,3)</f>
        <v>450</v>
      </c>
    </row>
    <row r="2678" spans="1:1" x14ac:dyDescent="0.25">
      <c r="A2678" s="54" t="str">
        <f>LEFT('Liste des étudiants'!$W2678,3)</f>
        <v>450</v>
      </c>
    </row>
    <row r="2679" spans="1:1" x14ac:dyDescent="0.25">
      <c r="A2679" s="54" t="str">
        <f>LEFT('Liste des étudiants'!$W2679,3)</f>
        <v>450</v>
      </c>
    </row>
    <row r="2680" spans="1:1" x14ac:dyDescent="0.25">
      <c r="A2680" s="54" t="str">
        <f>LEFT('Liste des étudiants'!$W2680,3)</f>
        <v>450</v>
      </c>
    </row>
    <row r="2681" spans="1:1" x14ac:dyDescent="0.25">
      <c r="A2681" s="54" t="str">
        <f>LEFT('Liste des étudiants'!$W2681,3)</f>
        <v>450</v>
      </c>
    </row>
    <row r="2682" spans="1:1" x14ac:dyDescent="0.25">
      <c r="A2682" s="54" t="str">
        <f>LEFT('Liste des étudiants'!$W2682,3)</f>
        <v>450</v>
      </c>
    </row>
    <row r="2683" spans="1:1" x14ac:dyDescent="0.25">
      <c r="A2683" s="54" t="str">
        <f>LEFT('Liste des étudiants'!$W2683,3)</f>
        <v>450</v>
      </c>
    </row>
    <row r="2684" spans="1:1" x14ac:dyDescent="0.25">
      <c r="A2684" s="54" t="str">
        <f>LEFT('Liste des étudiants'!$W2684,3)</f>
        <v>450</v>
      </c>
    </row>
    <row r="2685" spans="1:1" x14ac:dyDescent="0.25">
      <c r="A2685" s="54" t="str">
        <f>LEFT('Liste des étudiants'!$W2685,3)</f>
        <v>450</v>
      </c>
    </row>
    <row r="2686" spans="1:1" x14ac:dyDescent="0.25">
      <c r="A2686" s="54" t="str">
        <f>LEFT('Liste des étudiants'!$W2686,3)</f>
        <v>450</v>
      </c>
    </row>
    <row r="2687" spans="1:1" x14ac:dyDescent="0.25">
      <c r="A2687" s="54" t="str">
        <f>LEFT('Liste des étudiants'!$W2687,3)</f>
        <v>450</v>
      </c>
    </row>
    <row r="2688" spans="1:1" x14ac:dyDescent="0.25">
      <c r="A2688" s="54" t="str">
        <f>LEFT('Liste des étudiants'!$W2688,3)</f>
        <v>450</v>
      </c>
    </row>
    <row r="2689" spans="1:1" x14ac:dyDescent="0.25">
      <c r="A2689" s="54" t="str">
        <f>LEFT('Liste des étudiants'!$W2689,3)</f>
        <v>450</v>
      </c>
    </row>
    <row r="2690" spans="1:1" x14ac:dyDescent="0.25">
      <c r="A2690" s="54" t="str">
        <f>LEFT('Liste des étudiants'!$W2690,3)</f>
        <v>450</v>
      </c>
    </row>
    <row r="2691" spans="1:1" x14ac:dyDescent="0.25">
      <c r="A2691" s="54" t="str">
        <f>LEFT('Liste des étudiants'!$W2691,3)</f>
        <v>450</v>
      </c>
    </row>
    <row r="2692" spans="1:1" x14ac:dyDescent="0.25">
      <c r="A2692" s="54" t="str">
        <f>LEFT('Liste des étudiants'!$W2692,3)</f>
        <v>450</v>
      </c>
    </row>
    <row r="2693" spans="1:1" x14ac:dyDescent="0.25">
      <c r="A2693" s="54" t="str">
        <f>LEFT('Liste des étudiants'!$W2693,3)</f>
        <v>450</v>
      </c>
    </row>
    <row r="2694" spans="1:1" x14ac:dyDescent="0.25">
      <c r="A2694" s="54" t="str">
        <f>LEFT('Liste des étudiants'!$W2694,3)</f>
        <v>450</v>
      </c>
    </row>
    <row r="2695" spans="1:1" x14ac:dyDescent="0.25">
      <c r="A2695" s="54" t="str">
        <f>LEFT('Liste des étudiants'!$W2695,3)</f>
        <v>450</v>
      </c>
    </row>
    <row r="2696" spans="1:1" x14ac:dyDescent="0.25">
      <c r="A2696" s="54" t="str">
        <f>LEFT('Liste des étudiants'!$W2696,3)</f>
        <v>450</v>
      </c>
    </row>
    <row r="2697" spans="1:1" x14ac:dyDescent="0.25">
      <c r="A2697" s="54" t="str">
        <f>LEFT('Liste des étudiants'!$W2697,3)</f>
        <v>450</v>
      </c>
    </row>
    <row r="2698" spans="1:1" x14ac:dyDescent="0.25">
      <c r="A2698" s="54" t="str">
        <f>LEFT('Liste des étudiants'!$W2698,3)</f>
        <v>450</v>
      </c>
    </row>
    <row r="2699" spans="1:1" x14ac:dyDescent="0.25">
      <c r="A2699" s="54" t="str">
        <f>LEFT('Liste des étudiants'!$W2699,3)</f>
        <v>450</v>
      </c>
    </row>
    <row r="2700" spans="1:1" x14ac:dyDescent="0.25">
      <c r="A2700" s="54" t="str">
        <f>LEFT('Liste des étudiants'!$W2700,3)</f>
        <v>450</v>
      </c>
    </row>
    <row r="2701" spans="1:1" x14ac:dyDescent="0.25">
      <c r="A2701" s="54" t="str">
        <f>LEFT('Liste des étudiants'!$W2701,3)</f>
        <v>450</v>
      </c>
    </row>
    <row r="2702" spans="1:1" x14ac:dyDescent="0.25">
      <c r="A2702" s="54" t="str">
        <f>LEFT('Liste des étudiants'!$W2702,3)</f>
        <v>450</v>
      </c>
    </row>
    <row r="2703" spans="1:1" x14ac:dyDescent="0.25">
      <c r="A2703" s="54" t="str">
        <f>LEFT('Liste des étudiants'!$W2703,3)</f>
        <v>450</v>
      </c>
    </row>
    <row r="2704" spans="1:1" x14ac:dyDescent="0.25">
      <c r="A2704" s="54" t="str">
        <f>LEFT('Liste des étudiants'!$W2704,3)</f>
        <v>450</v>
      </c>
    </row>
    <row r="2705" spans="1:1" x14ac:dyDescent="0.25">
      <c r="A2705" s="54" t="str">
        <f>LEFT('Liste des étudiants'!$W2705,3)</f>
        <v>450</v>
      </c>
    </row>
    <row r="2706" spans="1:1" x14ac:dyDescent="0.25">
      <c r="A2706" s="54" t="str">
        <f>LEFT('Liste des étudiants'!$W2706,3)</f>
        <v>450</v>
      </c>
    </row>
    <row r="2707" spans="1:1" x14ac:dyDescent="0.25">
      <c r="A2707" s="54" t="str">
        <f>LEFT('Liste des étudiants'!$W2707,3)</f>
        <v>450</v>
      </c>
    </row>
    <row r="2708" spans="1:1" x14ac:dyDescent="0.25">
      <c r="A2708" s="54" t="str">
        <f>LEFT('Liste des étudiants'!$W2708,3)</f>
        <v>450</v>
      </c>
    </row>
    <row r="2709" spans="1:1" x14ac:dyDescent="0.25">
      <c r="A2709" s="54" t="str">
        <f>LEFT('Liste des étudiants'!$W2709,3)</f>
        <v>450</v>
      </c>
    </row>
    <row r="2710" spans="1:1" x14ac:dyDescent="0.25">
      <c r="A2710" s="54" t="str">
        <f>LEFT('Liste des étudiants'!$W2710,3)</f>
        <v>450</v>
      </c>
    </row>
    <row r="2711" spans="1:1" x14ac:dyDescent="0.25">
      <c r="A2711" s="54" t="str">
        <f>LEFT('Liste des étudiants'!$W2711,3)</f>
        <v>450</v>
      </c>
    </row>
    <row r="2712" spans="1:1" x14ac:dyDescent="0.25">
      <c r="A2712" s="54" t="str">
        <f>LEFT('Liste des étudiants'!$W2712,3)</f>
        <v>450</v>
      </c>
    </row>
    <row r="2713" spans="1:1" x14ac:dyDescent="0.25">
      <c r="A2713" s="54" t="str">
        <f>LEFT('Liste des étudiants'!$W2713,3)</f>
        <v>450</v>
      </c>
    </row>
    <row r="2714" spans="1:1" x14ac:dyDescent="0.25">
      <c r="A2714" s="54" t="str">
        <f>LEFT('Liste des étudiants'!$W2714,3)</f>
        <v>450</v>
      </c>
    </row>
    <row r="2715" spans="1:1" x14ac:dyDescent="0.25">
      <c r="A2715" s="54" t="str">
        <f>LEFT('Liste des étudiants'!$W2715,3)</f>
        <v>450</v>
      </c>
    </row>
    <row r="2716" spans="1:1" x14ac:dyDescent="0.25">
      <c r="A2716" s="54" t="str">
        <f>LEFT('Liste des étudiants'!$W2716,3)</f>
        <v>450</v>
      </c>
    </row>
    <row r="2717" spans="1:1" x14ac:dyDescent="0.25">
      <c r="A2717" s="54" t="str">
        <f>LEFT('Liste des étudiants'!$W2717,3)</f>
        <v>450</v>
      </c>
    </row>
    <row r="2718" spans="1:1" x14ac:dyDescent="0.25">
      <c r="A2718" s="54" t="str">
        <f>LEFT('Liste des étudiants'!$W2718,3)</f>
        <v>450</v>
      </c>
    </row>
    <row r="2719" spans="1:1" x14ac:dyDescent="0.25">
      <c r="A2719" s="54" t="str">
        <f>LEFT('Liste des étudiants'!$W2719,3)</f>
        <v>450</v>
      </c>
    </row>
    <row r="2720" spans="1:1" x14ac:dyDescent="0.25">
      <c r="A2720" s="54" t="str">
        <f>LEFT('Liste des étudiants'!$W2720,3)</f>
        <v>450</v>
      </c>
    </row>
    <row r="2721" spans="1:1" x14ac:dyDescent="0.25">
      <c r="A2721" s="54" t="str">
        <f>LEFT('Liste des étudiants'!$W2721,3)</f>
        <v>450</v>
      </c>
    </row>
    <row r="2722" spans="1:1" x14ac:dyDescent="0.25">
      <c r="A2722" s="54" t="str">
        <f>LEFT('Liste des étudiants'!$W2722,3)</f>
        <v>450</v>
      </c>
    </row>
    <row r="2723" spans="1:1" x14ac:dyDescent="0.25">
      <c r="A2723" s="54" t="str">
        <f>LEFT('Liste des étudiants'!$W2723,3)</f>
        <v>450</v>
      </c>
    </row>
    <row r="2724" spans="1:1" x14ac:dyDescent="0.25">
      <c r="A2724" s="54" t="str">
        <f>LEFT('Liste des étudiants'!$W2724,3)</f>
        <v>450</v>
      </c>
    </row>
    <row r="2725" spans="1:1" x14ac:dyDescent="0.25">
      <c r="A2725" s="54" t="str">
        <f>LEFT('Liste des étudiants'!$W2725,3)</f>
        <v>450</v>
      </c>
    </row>
    <row r="2726" spans="1:1" x14ac:dyDescent="0.25">
      <c r="A2726" s="54" t="str">
        <f>LEFT('Liste des étudiants'!$W2726,3)</f>
        <v>450</v>
      </c>
    </row>
    <row r="2727" spans="1:1" x14ac:dyDescent="0.25">
      <c r="A2727" s="54" t="str">
        <f>LEFT('Liste des étudiants'!$W2727,3)</f>
        <v>450</v>
      </c>
    </row>
    <row r="2728" spans="1:1" x14ac:dyDescent="0.25">
      <c r="A2728" s="54" t="str">
        <f>LEFT('Liste des étudiants'!$W2728,3)</f>
        <v>450</v>
      </c>
    </row>
    <row r="2729" spans="1:1" x14ac:dyDescent="0.25">
      <c r="A2729" s="54" t="str">
        <f>LEFT('Liste des étudiants'!$W2729,3)</f>
        <v>450</v>
      </c>
    </row>
    <row r="2730" spans="1:1" x14ac:dyDescent="0.25">
      <c r="A2730" s="54" t="str">
        <f>LEFT('Liste des étudiants'!$W2730,3)</f>
        <v>450</v>
      </c>
    </row>
    <row r="2731" spans="1:1" x14ac:dyDescent="0.25">
      <c r="A2731" s="54" t="str">
        <f>LEFT('Liste des étudiants'!$W2731,3)</f>
        <v>450</v>
      </c>
    </row>
    <row r="2732" spans="1:1" x14ac:dyDescent="0.25">
      <c r="A2732" s="54" t="str">
        <f>LEFT('Liste des étudiants'!$W2732,3)</f>
        <v>450</v>
      </c>
    </row>
    <row r="2733" spans="1:1" x14ac:dyDescent="0.25">
      <c r="A2733" s="54" t="str">
        <f>LEFT('Liste des étudiants'!$W2733,3)</f>
        <v>450</v>
      </c>
    </row>
    <row r="2734" spans="1:1" x14ac:dyDescent="0.25">
      <c r="A2734" s="54" t="str">
        <f>LEFT('Liste des étudiants'!$W2734,3)</f>
        <v>450</v>
      </c>
    </row>
    <row r="2735" spans="1:1" x14ac:dyDescent="0.25">
      <c r="A2735" s="54" t="str">
        <f>LEFT('Liste des étudiants'!$W2735,3)</f>
        <v>450</v>
      </c>
    </row>
    <row r="2736" spans="1:1" x14ac:dyDescent="0.25">
      <c r="A2736" s="54" t="str">
        <f>LEFT('Liste des étudiants'!$W2736,3)</f>
        <v>450</v>
      </c>
    </row>
    <row r="2737" spans="1:1" x14ac:dyDescent="0.25">
      <c r="A2737" s="54" t="str">
        <f>LEFT('Liste des étudiants'!$W2737,3)</f>
        <v>450</v>
      </c>
    </row>
    <row r="2738" spans="1:1" x14ac:dyDescent="0.25">
      <c r="A2738" s="54" t="str">
        <f>LEFT('Liste des étudiants'!$W2738,3)</f>
        <v>450</v>
      </c>
    </row>
    <row r="2739" spans="1:1" x14ac:dyDescent="0.25">
      <c r="A2739" s="54" t="str">
        <f>LEFT('Liste des étudiants'!$W2739,3)</f>
        <v>450</v>
      </c>
    </row>
    <row r="2740" spans="1:1" x14ac:dyDescent="0.25">
      <c r="A2740" s="54" t="str">
        <f>LEFT('Liste des étudiants'!$W2740,3)</f>
        <v>450</v>
      </c>
    </row>
    <row r="2741" spans="1:1" x14ac:dyDescent="0.25">
      <c r="A2741" s="54" t="str">
        <f>LEFT('Liste des étudiants'!$W2741,3)</f>
        <v>450</v>
      </c>
    </row>
    <row r="2742" spans="1:1" x14ac:dyDescent="0.25">
      <c r="A2742" s="54" t="str">
        <f>LEFT('Liste des étudiants'!$W2742,3)</f>
        <v>450</v>
      </c>
    </row>
    <row r="2743" spans="1:1" x14ac:dyDescent="0.25">
      <c r="A2743" s="54" t="str">
        <f>LEFT('Liste des étudiants'!$W2743,3)</f>
        <v>450</v>
      </c>
    </row>
    <row r="2744" spans="1:1" x14ac:dyDescent="0.25">
      <c r="A2744" s="54" t="str">
        <f>LEFT('Liste des étudiants'!$W2744,3)</f>
        <v>450</v>
      </c>
    </row>
    <row r="2745" spans="1:1" x14ac:dyDescent="0.25">
      <c r="A2745" s="54" t="str">
        <f>LEFT('Liste des étudiants'!$W2745,3)</f>
        <v>450</v>
      </c>
    </row>
    <row r="2746" spans="1:1" x14ac:dyDescent="0.25">
      <c r="A2746" s="54" t="str">
        <f>LEFT('Liste des étudiants'!$W2746,3)</f>
        <v>450</v>
      </c>
    </row>
    <row r="2747" spans="1:1" x14ac:dyDescent="0.25">
      <c r="A2747" s="54" t="str">
        <f>LEFT('Liste des étudiants'!$W2747,3)</f>
        <v>450</v>
      </c>
    </row>
    <row r="2748" spans="1:1" x14ac:dyDescent="0.25">
      <c r="A2748" s="54" t="str">
        <f>LEFT('Liste des étudiants'!$W2748,3)</f>
        <v>450</v>
      </c>
    </row>
    <row r="2749" spans="1:1" x14ac:dyDescent="0.25">
      <c r="A2749" s="54" t="str">
        <f>LEFT('Liste des étudiants'!$W2749,3)</f>
        <v>450</v>
      </c>
    </row>
    <row r="2750" spans="1:1" x14ac:dyDescent="0.25">
      <c r="A2750" s="54" t="str">
        <f>LEFT('Liste des étudiants'!$W2750,3)</f>
        <v>450</v>
      </c>
    </row>
    <row r="2751" spans="1:1" x14ac:dyDescent="0.25">
      <c r="A2751" s="54" t="str">
        <f>LEFT('Liste des étudiants'!$W2751,3)</f>
        <v>450</v>
      </c>
    </row>
    <row r="2752" spans="1:1" x14ac:dyDescent="0.25">
      <c r="A2752" s="54" t="str">
        <f>LEFT('Liste des étudiants'!$W2752,3)</f>
        <v>450</v>
      </c>
    </row>
    <row r="2753" spans="1:1" x14ac:dyDescent="0.25">
      <c r="A2753" s="54" t="str">
        <f>LEFT('Liste des étudiants'!$W2753,3)</f>
        <v>450</v>
      </c>
    </row>
    <row r="2754" spans="1:1" x14ac:dyDescent="0.25">
      <c r="A2754" s="54" t="str">
        <f>LEFT('Liste des étudiants'!$W2754,3)</f>
        <v>450</v>
      </c>
    </row>
    <row r="2755" spans="1:1" x14ac:dyDescent="0.25">
      <c r="A2755" s="54" t="str">
        <f>LEFT('Liste des étudiants'!$W2755,3)</f>
        <v>450</v>
      </c>
    </row>
    <row r="2756" spans="1:1" x14ac:dyDescent="0.25">
      <c r="A2756" s="54" t="str">
        <f>LEFT('Liste des étudiants'!$W2756,3)</f>
        <v>450</v>
      </c>
    </row>
    <row r="2757" spans="1:1" x14ac:dyDescent="0.25">
      <c r="A2757" s="54" t="str">
        <f>LEFT('Liste des étudiants'!$W2757,3)</f>
        <v>450</v>
      </c>
    </row>
    <row r="2758" spans="1:1" x14ac:dyDescent="0.25">
      <c r="A2758" s="54" t="str">
        <f>LEFT('Liste des étudiants'!$W2758,3)</f>
        <v>450</v>
      </c>
    </row>
    <row r="2759" spans="1:1" x14ac:dyDescent="0.25">
      <c r="A2759" s="54" t="str">
        <f>LEFT('Liste des étudiants'!$W2759,3)</f>
        <v>450</v>
      </c>
    </row>
    <row r="2760" spans="1:1" x14ac:dyDescent="0.25">
      <c r="A2760" s="54" t="str">
        <f>LEFT('Liste des étudiants'!$W2760,3)</f>
        <v>450</v>
      </c>
    </row>
    <row r="2761" spans="1:1" x14ac:dyDescent="0.25">
      <c r="A2761" s="54" t="str">
        <f>LEFT('Liste des étudiants'!$W2761,3)</f>
        <v>450</v>
      </c>
    </row>
    <row r="2762" spans="1:1" x14ac:dyDescent="0.25">
      <c r="A2762" s="54" t="str">
        <f>LEFT('Liste des étudiants'!$W2762,3)</f>
        <v>450</v>
      </c>
    </row>
    <row r="2763" spans="1:1" x14ac:dyDescent="0.25">
      <c r="A2763" s="54" t="str">
        <f>LEFT('Liste des étudiants'!$W2763,3)</f>
        <v>450</v>
      </c>
    </row>
    <row r="2764" spans="1:1" x14ac:dyDescent="0.25">
      <c r="A2764" s="54" t="str">
        <f>LEFT('Liste des étudiants'!$W2764,3)</f>
        <v>450</v>
      </c>
    </row>
    <row r="2765" spans="1:1" x14ac:dyDescent="0.25">
      <c r="A2765" s="54" t="str">
        <f>LEFT('Liste des étudiants'!$W2765,3)</f>
        <v>450</v>
      </c>
    </row>
    <row r="2766" spans="1:1" x14ac:dyDescent="0.25">
      <c r="A2766" s="54" t="str">
        <f>LEFT('Liste des étudiants'!$W2766,3)</f>
        <v>450</v>
      </c>
    </row>
    <row r="2767" spans="1:1" x14ac:dyDescent="0.25">
      <c r="A2767" s="54" t="str">
        <f>LEFT('Liste des étudiants'!$W2767,3)</f>
        <v>450</v>
      </c>
    </row>
    <row r="2768" spans="1:1" x14ac:dyDescent="0.25">
      <c r="A2768" s="54" t="str">
        <f>LEFT('Liste des étudiants'!$W2768,3)</f>
        <v>450</v>
      </c>
    </row>
    <row r="2769" spans="1:1" x14ac:dyDescent="0.25">
      <c r="A2769" s="54" t="str">
        <f>LEFT('Liste des étudiants'!$W2769,3)</f>
        <v>450</v>
      </c>
    </row>
    <row r="2770" spans="1:1" x14ac:dyDescent="0.25">
      <c r="A2770" s="54" t="str">
        <f>LEFT('Liste des étudiants'!$W2770,3)</f>
        <v>450</v>
      </c>
    </row>
    <row r="2771" spans="1:1" x14ac:dyDescent="0.25">
      <c r="A2771" s="54" t="str">
        <f>LEFT('Liste des étudiants'!$W2771,3)</f>
        <v>450</v>
      </c>
    </row>
    <row r="2772" spans="1:1" x14ac:dyDescent="0.25">
      <c r="A2772" s="54" t="str">
        <f>LEFT('Liste des étudiants'!$W2772,3)</f>
        <v>450</v>
      </c>
    </row>
    <row r="2773" spans="1:1" x14ac:dyDescent="0.25">
      <c r="A2773" s="54" t="str">
        <f>LEFT('Liste des étudiants'!$W2773,3)</f>
        <v>450</v>
      </c>
    </row>
    <row r="2774" spans="1:1" x14ac:dyDescent="0.25">
      <c r="A2774" s="54" t="str">
        <f>LEFT('Liste des étudiants'!$W2774,3)</f>
        <v>450</v>
      </c>
    </row>
    <row r="2775" spans="1:1" x14ac:dyDescent="0.25">
      <c r="A2775" s="54" t="str">
        <f>LEFT('Liste des étudiants'!$W2775,3)</f>
        <v>450</v>
      </c>
    </row>
    <row r="2776" spans="1:1" x14ac:dyDescent="0.25">
      <c r="A2776" s="54" t="str">
        <f>LEFT('Liste des étudiants'!$W2776,3)</f>
        <v>450</v>
      </c>
    </row>
    <row r="2777" spans="1:1" x14ac:dyDescent="0.25">
      <c r="A2777" s="54" t="str">
        <f>LEFT('Liste des étudiants'!$W2777,3)</f>
        <v>450</v>
      </c>
    </row>
    <row r="2778" spans="1:1" x14ac:dyDescent="0.25">
      <c r="A2778" s="54" t="str">
        <f>LEFT('Liste des étudiants'!$W2778,3)</f>
        <v>450</v>
      </c>
    </row>
    <row r="2779" spans="1:1" x14ac:dyDescent="0.25">
      <c r="A2779" s="54" t="str">
        <f>LEFT('Liste des étudiants'!$W2779,3)</f>
        <v>450</v>
      </c>
    </row>
    <row r="2780" spans="1:1" x14ac:dyDescent="0.25">
      <c r="A2780" s="54" t="str">
        <f>LEFT('Liste des étudiants'!$W2780,3)</f>
        <v>450</v>
      </c>
    </row>
    <row r="2781" spans="1:1" x14ac:dyDescent="0.25">
      <c r="A2781" s="54" t="str">
        <f>LEFT('Liste des étudiants'!$W2781,3)</f>
        <v>450</v>
      </c>
    </row>
    <row r="2782" spans="1:1" x14ac:dyDescent="0.25">
      <c r="A2782" s="54" t="str">
        <f>LEFT('Liste des étudiants'!$W2782,3)</f>
        <v>450</v>
      </c>
    </row>
    <row r="2783" spans="1:1" x14ac:dyDescent="0.25">
      <c r="A2783" s="54" t="str">
        <f>LEFT('Liste des étudiants'!$W2783,3)</f>
        <v>450</v>
      </c>
    </row>
    <row r="2784" spans="1:1" x14ac:dyDescent="0.25">
      <c r="A2784" s="54" t="str">
        <f>LEFT('Liste des étudiants'!$W2784,3)</f>
        <v>450</v>
      </c>
    </row>
    <row r="2785" spans="1:1" x14ac:dyDescent="0.25">
      <c r="A2785" s="54" t="str">
        <f>LEFT('Liste des étudiants'!$W2785,3)</f>
        <v>450</v>
      </c>
    </row>
    <row r="2786" spans="1:1" x14ac:dyDescent="0.25">
      <c r="A2786" s="54" t="str">
        <f>LEFT('Liste des étudiants'!$W2786,3)</f>
        <v>450</v>
      </c>
    </row>
    <row r="2787" spans="1:1" x14ac:dyDescent="0.25">
      <c r="A2787" s="54" t="str">
        <f>LEFT('Liste des étudiants'!$W2787,3)</f>
        <v>450</v>
      </c>
    </row>
    <row r="2788" spans="1:1" x14ac:dyDescent="0.25">
      <c r="A2788" s="54" t="str">
        <f>LEFT('Liste des étudiants'!$W2788,3)</f>
        <v>450</v>
      </c>
    </row>
    <row r="2789" spans="1:1" x14ac:dyDescent="0.25">
      <c r="A2789" s="54" t="str">
        <f>LEFT('Liste des étudiants'!$W2789,3)</f>
        <v>450</v>
      </c>
    </row>
    <row r="2790" spans="1:1" x14ac:dyDescent="0.25">
      <c r="A2790" s="54" t="str">
        <f>LEFT('Liste des étudiants'!$W2790,3)</f>
        <v>450</v>
      </c>
    </row>
    <row r="2791" spans="1:1" x14ac:dyDescent="0.25">
      <c r="A2791" s="54" t="str">
        <f>LEFT('Liste des étudiants'!$W2791,3)</f>
        <v>450</v>
      </c>
    </row>
    <row r="2792" spans="1:1" x14ac:dyDescent="0.25">
      <c r="A2792" s="54" t="str">
        <f>LEFT('Liste des étudiants'!$W2792,3)</f>
        <v>450</v>
      </c>
    </row>
    <row r="2793" spans="1:1" x14ac:dyDescent="0.25">
      <c r="A2793" s="54" t="str">
        <f>LEFT('Liste des étudiants'!$W2793,3)</f>
        <v>450</v>
      </c>
    </row>
    <row r="2794" spans="1:1" x14ac:dyDescent="0.25">
      <c r="A2794" s="54" t="str">
        <f>LEFT('Liste des étudiants'!$W2794,3)</f>
        <v>450</v>
      </c>
    </row>
    <row r="2795" spans="1:1" x14ac:dyDescent="0.25">
      <c r="A2795" s="54" t="str">
        <f>LEFT('Liste des étudiants'!$W2795,3)</f>
        <v>450</v>
      </c>
    </row>
    <row r="2796" spans="1:1" x14ac:dyDescent="0.25">
      <c r="A2796" s="54" t="str">
        <f>LEFT('Liste des étudiants'!$W2796,3)</f>
        <v>450</v>
      </c>
    </row>
    <row r="2797" spans="1:1" x14ac:dyDescent="0.25">
      <c r="A2797" s="54" t="str">
        <f>LEFT('Liste des étudiants'!$W2797,3)</f>
        <v>450</v>
      </c>
    </row>
    <row r="2798" spans="1:1" x14ac:dyDescent="0.25">
      <c r="A2798" s="54" t="str">
        <f>LEFT('Liste des étudiants'!$W2798,3)</f>
        <v>450</v>
      </c>
    </row>
    <row r="2799" spans="1:1" x14ac:dyDescent="0.25">
      <c r="A2799" s="54" t="str">
        <f>LEFT('Liste des étudiants'!$W2799,3)</f>
        <v>450</v>
      </c>
    </row>
    <row r="2800" spans="1:1" x14ac:dyDescent="0.25">
      <c r="A2800" s="54" t="str">
        <f>LEFT('Liste des étudiants'!$W2800,3)</f>
        <v>450</v>
      </c>
    </row>
    <row r="2801" spans="1:1" x14ac:dyDescent="0.25">
      <c r="A2801" s="54" t="str">
        <f>LEFT('Liste des étudiants'!$W2801,3)</f>
        <v>450</v>
      </c>
    </row>
    <row r="2802" spans="1:1" x14ac:dyDescent="0.25">
      <c r="A2802" s="54" t="str">
        <f>LEFT('Liste des étudiants'!$W2802,3)</f>
        <v>450</v>
      </c>
    </row>
    <row r="2803" spans="1:1" x14ac:dyDescent="0.25">
      <c r="A2803" s="54" t="str">
        <f>LEFT('Liste des étudiants'!$W2803,3)</f>
        <v>450</v>
      </c>
    </row>
    <row r="2804" spans="1:1" x14ac:dyDescent="0.25">
      <c r="A2804" s="54" t="str">
        <f>LEFT('Liste des étudiants'!$W2804,3)</f>
        <v>450</v>
      </c>
    </row>
    <row r="2805" spans="1:1" x14ac:dyDescent="0.25">
      <c r="A2805" s="54" t="str">
        <f>LEFT('Liste des étudiants'!$W2805,3)</f>
        <v>450</v>
      </c>
    </row>
    <row r="2806" spans="1:1" x14ac:dyDescent="0.25">
      <c r="A2806" s="54" t="str">
        <f>LEFT('Liste des étudiants'!$W2806,3)</f>
        <v>450</v>
      </c>
    </row>
    <row r="2807" spans="1:1" x14ac:dyDescent="0.25">
      <c r="A2807" s="54" t="str">
        <f>LEFT('Liste des étudiants'!$W2807,3)</f>
        <v>450</v>
      </c>
    </row>
    <row r="2808" spans="1:1" x14ac:dyDescent="0.25">
      <c r="A2808" s="54" t="str">
        <f>LEFT('Liste des étudiants'!$W2808,3)</f>
        <v>450</v>
      </c>
    </row>
    <row r="2809" spans="1:1" x14ac:dyDescent="0.25">
      <c r="A2809" s="54" t="str">
        <f>LEFT('Liste des étudiants'!$W2809,3)</f>
        <v>450</v>
      </c>
    </row>
    <row r="2810" spans="1:1" x14ac:dyDescent="0.25">
      <c r="A2810" s="54" t="str">
        <f>LEFT('Liste des étudiants'!$W2810,3)</f>
        <v>450</v>
      </c>
    </row>
    <row r="2811" spans="1:1" x14ac:dyDescent="0.25">
      <c r="A2811" s="54" t="str">
        <f>LEFT('Liste des étudiants'!$W2811,3)</f>
        <v>450</v>
      </c>
    </row>
    <row r="2812" spans="1:1" x14ac:dyDescent="0.25">
      <c r="A2812" s="54" t="str">
        <f>LEFT('Liste des étudiants'!$W2812,3)</f>
        <v>450</v>
      </c>
    </row>
    <row r="2813" spans="1:1" x14ac:dyDescent="0.25">
      <c r="A2813" s="54" t="str">
        <f>LEFT('Liste des étudiants'!$W2813,3)</f>
        <v>450</v>
      </c>
    </row>
    <row r="2814" spans="1:1" x14ac:dyDescent="0.25">
      <c r="A2814" s="54" t="str">
        <f>LEFT('Liste des étudiants'!$W2814,3)</f>
        <v>450</v>
      </c>
    </row>
    <row r="2815" spans="1:1" x14ac:dyDescent="0.25">
      <c r="A2815" s="54" t="str">
        <f>LEFT('Liste des étudiants'!$W2815,3)</f>
        <v>450</v>
      </c>
    </row>
    <row r="2816" spans="1:1" x14ac:dyDescent="0.25">
      <c r="A2816" s="54" t="str">
        <f>LEFT('Liste des étudiants'!$W2816,3)</f>
        <v>450</v>
      </c>
    </row>
    <row r="2817" spans="1:1" x14ac:dyDescent="0.25">
      <c r="A2817" s="54" t="str">
        <f>LEFT('Liste des étudiants'!$W2817,3)</f>
        <v>450</v>
      </c>
    </row>
    <row r="2818" spans="1:1" x14ac:dyDescent="0.25">
      <c r="A2818" s="54" t="str">
        <f>LEFT('Liste des étudiants'!$W2818,3)</f>
        <v>450</v>
      </c>
    </row>
    <row r="2819" spans="1:1" x14ac:dyDescent="0.25">
      <c r="A2819" s="54" t="str">
        <f>LEFT('Liste des étudiants'!$W2819,3)</f>
        <v>450</v>
      </c>
    </row>
    <row r="2820" spans="1:1" x14ac:dyDescent="0.25">
      <c r="A2820" s="54" t="str">
        <f>LEFT('Liste des étudiants'!$W2820,3)</f>
        <v>450</v>
      </c>
    </row>
    <row r="2821" spans="1:1" x14ac:dyDescent="0.25">
      <c r="A2821" s="54" t="str">
        <f>LEFT('Liste des étudiants'!$W2821,3)</f>
        <v>450</v>
      </c>
    </row>
    <row r="2822" spans="1:1" x14ac:dyDescent="0.25">
      <c r="A2822" s="54" t="str">
        <f>LEFT('Liste des étudiants'!$W2822,3)</f>
        <v>450</v>
      </c>
    </row>
    <row r="2823" spans="1:1" x14ac:dyDescent="0.25">
      <c r="A2823" s="54" t="str">
        <f>LEFT('Liste des étudiants'!$W2823,3)</f>
        <v>450</v>
      </c>
    </row>
    <row r="2824" spans="1:1" x14ac:dyDescent="0.25">
      <c r="A2824" s="54" t="str">
        <f>LEFT('Liste des étudiants'!$W2824,3)</f>
        <v>450</v>
      </c>
    </row>
    <row r="2825" spans="1:1" x14ac:dyDescent="0.25">
      <c r="A2825" s="54" t="str">
        <f>LEFT('Liste des étudiants'!$W2825,3)</f>
        <v>450</v>
      </c>
    </row>
    <row r="2826" spans="1:1" x14ac:dyDescent="0.25">
      <c r="A2826" s="54" t="str">
        <f>LEFT('Liste des étudiants'!$W2826,3)</f>
        <v>450</v>
      </c>
    </row>
    <row r="2827" spans="1:1" x14ac:dyDescent="0.25">
      <c r="A2827" s="54" t="str">
        <f>LEFT('Liste des étudiants'!$W2827,3)</f>
        <v>450</v>
      </c>
    </row>
    <row r="2828" spans="1:1" x14ac:dyDescent="0.25">
      <c r="A2828" s="54" t="str">
        <f>LEFT('Liste des étudiants'!$W2828,3)</f>
        <v>450</v>
      </c>
    </row>
    <row r="2829" spans="1:1" x14ac:dyDescent="0.25">
      <c r="A2829" s="54" t="str">
        <f>LEFT('Liste des étudiants'!$W2829,3)</f>
        <v>450</v>
      </c>
    </row>
    <row r="2830" spans="1:1" x14ac:dyDescent="0.25">
      <c r="A2830" s="54" t="str">
        <f>LEFT('Liste des étudiants'!$W2830,3)</f>
        <v>450</v>
      </c>
    </row>
    <row r="2831" spans="1:1" x14ac:dyDescent="0.25">
      <c r="A2831" s="54" t="str">
        <f>LEFT('Liste des étudiants'!$W2831,3)</f>
        <v>450</v>
      </c>
    </row>
    <row r="2832" spans="1:1" x14ac:dyDescent="0.25">
      <c r="A2832" s="54" t="str">
        <f>LEFT('Liste des étudiants'!$W2832,3)</f>
        <v>450</v>
      </c>
    </row>
    <row r="2833" spans="1:1" x14ac:dyDescent="0.25">
      <c r="A2833" s="54" t="str">
        <f>LEFT('Liste des étudiants'!$W2833,3)</f>
        <v>450</v>
      </c>
    </row>
    <row r="2834" spans="1:1" x14ac:dyDescent="0.25">
      <c r="A2834" s="54" t="str">
        <f>LEFT('Liste des étudiants'!$W2834,3)</f>
        <v>450</v>
      </c>
    </row>
    <row r="2835" spans="1:1" x14ac:dyDescent="0.25">
      <c r="A2835" s="54" t="str">
        <f>LEFT('Liste des étudiants'!$W2835,3)</f>
        <v>450</v>
      </c>
    </row>
    <row r="2836" spans="1:1" x14ac:dyDescent="0.25">
      <c r="A2836" s="54" t="str">
        <f>LEFT('Liste des étudiants'!$W2836,3)</f>
        <v>450</v>
      </c>
    </row>
    <row r="2837" spans="1:1" x14ac:dyDescent="0.25">
      <c r="A2837" s="54" t="str">
        <f>LEFT('Liste des étudiants'!$W2837,3)</f>
        <v>450</v>
      </c>
    </row>
    <row r="2838" spans="1:1" x14ac:dyDescent="0.25">
      <c r="A2838" s="54" t="str">
        <f>LEFT('Liste des étudiants'!$W2838,3)</f>
        <v>450</v>
      </c>
    </row>
    <row r="2839" spans="1:1" x14ac:dyDescent="0.25">
      <c r="A2839" s="54" t="str">
        <f>LEFT('Liste des étudiants'!$W2839,3)</f>
        <v>450</v>
      </c>
    </row>
    <row r="2840" spans="1:1" x14ac:dyDescent="0.25">
      <c r="A2840" s="54" t="str">
        <f>LEFT('Liste des étudiants'!$W2840,3)</f>
        <v>450</v>
      </c>
    </row>
    <row r="2841" spans="1:1" x14ac:dyDescent="0.25">
      <c r="A2841" s="54" t="str">
        <f>LEFT('Liste des étudiants'!$W2841,3)</f>
        <v>450</v>
      </c>
    </row>
    <row r="2842" spans="1:1" x14ac:dyDescent="0.25">
      <c r="A2842" s="54" t="str">
        <f>LEFT('Liste des étudiants'!$W2842,3)</f>
        <v>450</v>
      </c>
    </row>
    <row r="2843" spans="1:1" x14ac:dyDescent="0.25">
      <c r="A2843" s="54" t="str">
        <f>LEFT('Liste des étudiants'!$W2843,3)</f>
        <v>450</v>
      </c>
    </row>
    <row r="2844" spans="1:1" x14ac:dyDescent="0.25">
      <c r="A2844" s="54" t="str">
        <f>LEFT('Liste des étudiants'!$W2844,3)</f>
        <v>450</v>
      </c>
    </row>
    <row r="2845" spans="1:1" x14ac:dyDescent="0.25">
      <c r="A2845" s="54" t="str">
        <f>LEFT('Liste des étudiants'!$W2845,3)</f>
        <v>450</v>
      </c>
    </row>
    <row r="2846" spans="1:1" x14ac:dyDescent="0.25">
      <c r="A2846" s="54" t="str">
        <f>LEFT('Liste des étudiants'!$W2846,3)</f>
        <v>450</v>
      </c>
    </row>
    <row r="2847" spans="1:1" x14ac:dyDescent="0.25">
      <c r="A2847" s="54" t="str">
        <f>LEFT('Liste des étudiants'!$W2847,3)</f>
        <v>450</v>
      </c>
    </row>
    <row r="2848" spans="1:1" x14ac:dyDescent="0.25">
      <c r="A2848" s="54" t="str">
        <f>LEFT('Liste des étudiants'!$W2848,3)</f>
        <v>450</v>
      </c>
    </row>
    <row r="2849" spans="1:1" x14ac:dyDescent="0.25">
      <c r="A2849" s="54" t="str">
        <f>LEFT('Liste des étudiants'!$W2849,3)</f>
        <v>450</v>
      </c>
    </row>
    <row r="2850" spans="1:1" x14ac:dyDescent="0.25">
      <c r="A2850" s="54" t="str">
        <f>LEFT('Liste des étudiants'!$W2850,3)</f>
        <v>450</v>
      </c>
    </row>
    <row r="2851" spans="1:1" x14ac:dyDescent="0.25">
      <c r="A2851" s="54" t="str">
        <f>LEFT('Liste des étudiants'!$W2851,3)</f>
        <v>450</v>
      </c>
    </row>
    <row r="2852" spans="1:1" x14ac:dyDescent="0.25">
      <c r="A2852" s="54" t="str">
        <f>LEFT('Liste des étudiants'!$W2852,3)</f>
        <v>450</v>
      </c>
    </row>
    <row r="2853" spans="1:1" x14ac:dyDescent="0.25">
      <c r="A2853" s="54" t="str">
        <f>LEFT('Liste des étudiants'!$W2853,3)</f>
        <v>450</v>
      </c>
    </row>
    <row r="2854" spans="1:1" x14ac:dyDescent="0.25">
      <c r="A2854" s="54" t="str">
        <f>LEFT('Liste des étudiants'!$W2854,3)</f>
        <v>450</v>
      </c>
    </row>
    <row r="2855" spans="1:1" x14ac:dyDescent="0.25">
      <c r="A2855" s="54" t="str">
        <f>LEFT('Liste des étudiants'!$W2855,3)</f>
        <v>450</v>
      </c>
    </row>
    <row r="2856" spans="1:1" x14ac:dyDescent="0.25">
      <c r="A2856" s="54" t="str">
        <f>LEFT('Liste des étudiants'!$W2856,3)</f>
        <v>450</v>
      </c>
    </row>
    <row r="2857" spans="1:1" x14ac:dyDescent="0.25">
      <c r="A2857" s="54" t="str">
        <f>LEFT('Liste des étudiants'!$W2857,3)</f>
        <v>450</v>
      </c>
    </row>
    <row r="2858" spans="1:1" x14ac:dyDescent="0.25">
      <c r="A2858" s="54" t="str">
        <f>LEFT('Liste des étudiants'!$W2858,3)</f>
        <v>450</v>
      </c>
    </row>
    <row r="2859" spans="1:1" x14ac:dyDescent="0.25">
      <c r="A2859" s="54" t="str">
        <f>LEFT('Liste des étudiants'!$W2859,3)</f>
        <v>450</v>
      </c>
    </row>
    <row r="2860" spans="1:1" x14ac:dyDescent="0.25">
      <c r="A2860" s="54" t="str">
        <f>LEFT('Liste des étudiants'!$W2860,3)</f>
        <v>450</v>
      </c>
    </row>
    <row r="2861" spans="1:1" x14ac:dyDescent="0.25">
      <c r="A2861" s="54" t="str">
        <f>LEFT('Liste des étudiants'!$W2861,3)</f>
        <v>450</v>
      </c>
    </row>
    <row r="2862" spans="1:1" x14ac:dyDescent="0.25">
      <c r="A2862" s="54" t="str">
        <f>LEFT('Liste des étudiants'!$W2862,3)</f>
        <v>450</v>
      </c>
    </row>
    <row r="2863" spans="1:1" x14ac:dyDescent="0.25">
      <c r="A2863" s="54" t="str">
        <f>LEFT('Liste des étudiants'!$W2863,3)</f>
        <v>450</v>
      </c>
    </row>
    <row r="2864" spans="1:1" x14ac:dyDescent="0.25">
      <c r="A2864" s="54" t="str">
        <f>LEFT('Liste des étudiants'!$W2864,3)</f>
        <v>450</v>
      </c>
    </row>
    <row r="2865" spans="1:1" x14ac:dyDescent="0.25">
      <c r="A2865" s="54" t="str">
        <f>LEFT('Liste des étudiants'!$W2865,3)</f>
        <v>450</v>
      </c>
    </row>
    <row r="2866" spans="1:1" x14ac:dyDescent="0.25">
      <c r="A2866" s="54" t="str">
        <f>LEFT('Liste des étudiants'!$W2866,3)</f>
        <v>450</v>
      </c>
    </row>
    <row r="2867" spans="1:1" x14ac:dyDescent="0.25">
      <c r="A2867" s="54" t="str">
        <f>LEFT('Liste des étudiants'!$W2867,3)</f>
        <v>450</v>
      </c>
    </row>
    <row r="2868" spans="1:1" x14ac:dyDescent="0.25">
      <c r="A2868" s="54" t="str">
        <f>LEFT('Liste des étudiants'!$W2868,3)</f>
        <v>450</v>
      </c>
    </row>
    <row r="2869" spans="1:1" x14ac:dyDescent="0.25">
      <c r="A2869" s="54" t="str">
        <f>LEFT('Liste des étudiants'!$W2869,3)</f>
        <v>450</v>
      </c>
    </row>
    <row r="2870" spans="1:1" x14ac:dyDescent="0.25">
      <c r="A2870" s="54" t="str">
        <f>LEFT('Liste des étudiants'!$W2870,3)</f>
        <v>450</v>
      </c>
    </row>
    <row r="2871" spans="1:1" x14ac:dyDescent="0.25">
      <c r="A2871" s="54" t="str">
        <f>LEFT('Liste des étudiants'!$W2871,3)</f>
        <v>450</v>
      </c>
    </row>
    <row r="2872" spans="1:1" x14ac:dyDescent="0.25">
      <c r="A2872" s="54" t="str">
        <f>LEFT('Liste des étudiants'!$W2872,3)</f>
        <v>450</v>
      </c>
    </row>
    <row r="2873" spans="1:1" x14ac:dyDescent="0.25">
      <c r="A2873" s="54" t="str">
        <f>LEFT('Liste des étudiants'!$W2873,3)</f>
        <v>450</v>
      </c>
    </row>
    <row r="2874" spans="1:1" x14ac:dyDescent="0.25">
      <c r="A2874" s="54" t="str">
        <f>LEFT('Liste des étudiants'!$W2874,3)</f>
        <v>450</v>
      </c>
    </row>
    <row r="2875" spans="1:1" x14ac:dyDescent="0.25">
      <c r="A2875" s="54" t="str">
        <f>LEFT('Liste des étudiants'!$W2875,3)</f>
        <v>450</v>
      </c>
    </row>
    <row r="2876" spans="1:1" x14ac:dyDescent="0.25">
      <c r="A2876" s="54" t="str">
        <f>LEFT('Liste des étudiants'!$W2876,3)</f>
        <v>450</v>
      </c>
    </row>
    <row r="2877" spans="1:1" x14ac:dyDescent="0.25">
      <c r="A2877" s="54" t="str">
        <f>LEFT('Liste des étudiants'!$W2877,3)</f>
        <v>450</v>
      </c>
    </row>
    <row r="2878" spans="1:1" x14ac:dyDescent="0.25">
      <c r="A2878" s="54" t="str">
        <f>LEFT('Liste des étudiants'!$W2878,3)</f>
        <v>450</v>
      </c>
    </row>
    <row r="2879" spans="1:1" x14ac:dyDescent="0.25">
      <c r="A2879" s="54" t="str">
        <f>LEFT('Liste des étudiants'!$W2879,3)</f>
        <v>450</v>
      </c>
    </row>
    <row r="2880" spans="1:1" x14ac:dyDescent="0.25">
      <c r="A2880" s="54" t="str">
        <f>LEFT('Liste des étudiants'!$W2880,3)</f>
        <v>450</v>
      </c>
    </row>
    <row r="2881" spans="1:1" x14ac:dyDescent="0.25">
      <c r="A2881" s="54" t="str">
        <f>LEFT('Liste des étudiants'!$W2881,3)</f>
        <v>450</v>
      </c>
    </row>
    <row r="2882" spans="1:1" x14ac:dyDescent="0.25">
      <c r="A2882" s="54" t="str">
        <f>LEFT('Liste des étudiants'!$W2882,3)</f>
        <v>450</v>
      </c>
    </row>
    <row r="2883" spans="1:1" x14ac:dyDescent="0.25">
      <c r="A2883" s="54" t="str">
        <f>LEFT('Liste des étudiants'!$W2883,3)</f>
        <v>450</v>
      </c>
    </row>
    <row r="2884" spans="1:1" x14ac:dyDescent="0.25">
      <c r="A2884" s="54" t="str">
        <f>LEFT('Liste des étudiants'!$W2884,3)</f>
        <v>450</v>
      </c>
    </row>
    <row r="2885" spans="1:1" x14ac:dyDescent="0.25">
      <c r="A2885" s="54" t="str">
        <f>LEFT('Liste des étudiants'!$W2885,3)</f>
        <v>450</v>
      </c>
    </row>
    <row r="2886" spans="1:1" x14ac:dyDescent="0.25">
      <c r="A2886" s="54" t="str">
        <f>LEFT('Liste des étudiants'!$W2886,3)</f>
        <v>450</v>
      </c>
    </row>
    <row r="2887" spans="1:1" x14ac:dyDescent="0.25">
      <c r="A2887" s="54" t="str">
        <f>LEFT('Liste des étudiants'!$W2887,3)</f>
        <v>450</v>
      </c>
    </row>
    <row r="2888" spans="1:1" x14ac:dyDescent="0.25">
      <c r="A2888" s="54" t="str">
        <f>LEFT('Liste des étudiants'!$W2888,3)</f>
        <v>450</v>
      </c>
    </row>
    <row r="2889" spans="1:1" x14ac:dyDescent="0.25">
      <c r="A2889" s="54" t="str">
        <f>LEFT('Liste des étudiants'!$W2889,3)</f>
        <v>450</v>
      </c>
    </row>
    <row r="2890" spans="1:1" x14ac:dyDescent="0.25">
      <c r="A2890" s="54" t="str">
        <f>LEFT('Liste des étudiants'!$W2890,3)</f>
        <v>450</v>
      </c>
    </row>
    <row r="2891" spans="1:1" x14ac:dyDescent="0.25">
      <c r="A2891" s="54" t="str">
        <f>LEFT('Liste des étudiants'!$W2891,3)</f>
        <v>450</v>
      </c>
    </row>
    <row r="2892" spans="1:1" x14ac:dyDescent="0.25">
      <c r="A2892" s="54" t="str">
        <f>LEFT('Liste des étudiants'!$W2892,3)</f>
        <v>450</v>
      </c>
    </row>
    <row r="2893" spans="1:1" x14ac:dyDescent="0.25">
      <c r="A2893" s="54" t="str">
        <f>LEFT('Liste des étudiants'!$W2893,3)</f>
        <v>450</v>
      </c>
    </row>
    <row r="2894" spans="1:1" x14ac:dyDescent="0.25">
      <c r="A2894" s="54" t="str">
        <f>LEFT('Liste des étudiants'!$W2894,3)</f>
        <v>450</v>
      </c>
    </row>
    <row r="2895" spans="1:1" x14ac:dyDescent="0.25">
      <c r="A2895" s="54" t="str">
        <f>LEFT('Liste des étudiants'!$W2895,3)</f>
        <v>450</v>
      </c>
    </row>
    <row r="2896" spans="1:1" x14ac:dyDescent="0.25">
      <c r="A2896" s="54" t="str">
        <f>LEFT('Liste des étudiants'!$W2896,3)</f>
        <v>450</v>
      </c>
    </row>
    <row r="2897" spans="1:1" x14ac:dyDescent="0.25">
      <c r="A2897" s="54" t="str">
        <f>LEFT('Liste des étudiants'!$W2897,3)</f>
        <v>450</v>
      </c>
    </row>
    <row r="2898" spans="1:1" x14ac:dyDescent="0.25">
      <c r="A2898" s="54" t="str">
        <f>LEFT('Liste des étudiants'!$W2898,3)</f>
        <v>450</v>
      </c>
    </row>
    <row r="2899" spans="1:1" x14ac:dyDescent="0.25">
      <c r="A2899" s="54" t="str">
        <f>LEFT('Liste des étudiants'!$W2899,3)</f>
        <v>450</v>
      </c>
    </row>
    <row r="2900" spans="1:1" x14ac:dyDescent="0.25">
      <c r="A2900" s="54" t="str">
        <f>LEFT('Liste des étudiants'!$W2900,3)</f>
        <v>450</v>
      </c>
    </row>
    <row r="2901" spans="1:1" x14ac:dyDescent="0.25">
      <c r="A2901" s="54" t="str">
        <f>LEFT('Liste des étudiants'!$W2901,3)</f>
        <v>450</v>
      </c>
    </row>
    <row r="2902" spans="1:1" x14ac:dyDescent="0.25">
      <c r="A2902" s="54" t="str">
        <f>LEFT('Liste des étudiants'!$W2902,3)</f>
        <v>450</v>
      </c>
    </row>
    <row r="2903" spans="1:1" x14ac:dyDescent="0.25">
      <c r="A2903" s="54" t="str">
        <f>LEFT('Liste des étudiants'!$W2903,3)</f>
        <v>450</v>
      </c>
    </row>
    <row r="2904" spans="1:1" x14ac:dyDescent="0.25">
      <c r="A2904" s="54" t="str">
        <f>LEFT('Liste des étudiants'!$W2904,3)</f>
        <v>450</v>
      </c>
    </row>
    <row r="2905" spans="1:1" x14ac:dyDescent="0.25">
      <c r="A2905" s="54" t="str">
        <f>LEFT('Liste des étudiants'!$W2905,3)</f>
        <v>450</v>
      </c>
    </row>
    <row r="2906" spans="1:1" x14ac:dyDescent="0.25">
      <c r="A2906" s="54" t="str">
        <f>LEFT('Liste des étudiants'!$W2906,3)</f>
        <v>450</v>
      </c>
    </row>
    <row r="2907" spans="1:1" x14ac:dyDescent="0.25">
      <c r="A2907" s="54" t="str">
        <f>LEFT('Liste des étudiants'!$W2907,3)</f>
        <v>450</v>
      </c>
    </row>
    <row r="2908" spans="1:1" x14ac:dyDescent="0.25">
      <c r="A2908" s="54" t="str">
        <f>LEFT('Liste des étudiants'!$W2908,3)</f>
        <v>450</v>
      </c>
    </row>
    <row r="2909" spans="1:1" x14ac:dyDescent="0.25">
      <c r="A2909" s="54" t="str">
        <f>LEFT('Liste des étudiants'!$W2909,3)</f>
        <v>450</v>
      </c>
    </row>
    <row r="2910" spans="1:1" x14ac:dyDescent="0.25">
      <c r="A2910" s="54" t="str">
        <f>LEFT('Liste des étudiants'!$W2910,3)</f>
        <v>450</v>
      </c>
    </row>
    <row r="2911" spans="1:1" x14ac:dyDescent="0.25">
      <c r="A2911" s="54" t="str">
        <f>LEFT('Liste des étudiants'!$W2911,3)</f>
        <v>450</v>
      </c>
    </row>
    <row r="2912" spans="1:1" x14ac:dyDescent="0.25">
      <c r="A2912" s="54" t="str">
        <f>LEFT('Liste des étudiants'!$W2912,3)</f>
        <v>450</v>
      </c>
    </row>
    <row r="2913" spans="1:1" x14ac:dyDescent="0.25">
      <c r="A2913" s="54" t="str">
        <f>LEFT('Liste des étudiants'!$W2913,3)</f>
        <v>450</v>
      </c>
    </row>
    <row r="2914" spans="1:1" x14ac:dyDescent="0.25">
      <c r="A2914" s="54" t="str">
        <f>LEFT('Liste des étudiants'!$W2914,3)</f>
        <v>450</v>
      </c>
    </row>
    <row r="2915" spans="1:1" x14ac:dyDescent="0.25">
      <c r="A2915" s="54" t="str">
        <f>LEFT('Liste des étudiants'!$W2915,3)</f>
        <v>450</v>
      </c>
    </row>
    <row r="2916" spans="1:1" x14ac:dyDescent="0.25">
      <c r="A2916" s="54" t="str">
        <f>LEFT('Liste des étudiants'!$W2916,3)</f>
        <v>450</v>
      </c>
    </row>
    <row r="2917" spans="1:1" x14ac:dyDescent="0.25">
      <c r="A2917" s="54" t="str">
        <f>LEFT('Liste des étudiants'!$W2917,3)</f>
        <v>450</v>
      </c>
    </row>
    <row r="2918" spans="1:1" x14ac:dyDescent="0.25">
      <c r="A2918" s="54" t="str">
        <f>LEFT('Liste des étudiants'!$W2918,3)</f>
        <v>450</v>
      </c>
    </row>
    <row r="2919" spans="1:1" x14ac:dyDescent="0.25">
      <c r="A2919" s="54" t="str">
        <f>LEFT('Liste des étudiants'!$W2919,3)</f>
        <v>450</v>
      </c>
    </row>
    <row r="2920" spans="1:1" x14ac:dyDescent="0.25">
      <c r="A2920" s="54" t="str">
        <f>LEFT('Liste des étudiants'!$W2920,3)</f>
        <v>450</v>
      </c>
    </row>
    <row r="2921" spans="1:1" x14ac:dyDescent="0.25">
      <c r="A2921" s="54" t="str">
        <f>LEFT('Liste des étudiants'!$W2921,3)</f>
        <v>450</v>
      </c>
    </row>
    <row r="2922" spans="1:1" x14ac:dyDescent="0.25">
      <c r="A2922" s="54" t="str">
        <f>LEFT('Liste des étudiants'!$W2922,3)</f>
        <v>450</v>
      </c>
    </row>
    <row r="2923" spans="1:1" x14ac:dyDescent="0.25">
      <c r="A2923" s="54" t="str">
        <f>LEFT('Liste des étudiants'!$W2923,3)</f>
        <v>450</v>
      </c>
    </row>
    <row r="2924" spans="1:1" x14ac:dyDescent="0.25">
      <c r="A2924" s="54" t="str">
        <f>LEFT('Liste des étudiants'!$W2924,3)</f>
        <v>450</v>
      </c>
    </row>
    <row r="2925" spans="1:1" x14ac:dyDescent="0.25">
      <c r="A2925" s="54" t="str">
        <f>LEFT('Liste des étudiants'!$W2925,3)</f>
        <v>450</v>
      </c>
    </row>
    <row r="2926" spans="1:1" x14ac:dyDescent="0.25">
      <c r="A2926" s="54" t="str">
        <f>LEFT('Liste des étudiants'!$W2926,3)</f>
        <v>450</v>
      </c>
    </row>
    <row r="2927" spans="1:1" x14ac:dyDescent="0.25">
      <c r="A2927" s="54" t="str">
        <f>LEFT('Liste des étudiants'!$W2927,3)</f>
        <v>450</v>
      </c>
    </row>
    <row r="2928" spans="1:1" x14ac:dyDescent="0.25">
      <c r="A2928" s="54" t="str">
        <f>LEFT('Liste des étudiants'!$W2928,3)</f>
        <v>450</v>
      </c>
    </row>
    <row r="2929" spans="1:1" x14ac:dyDescent="0.25">
      <c r="A2929" s="54" t="str">
        <f>LEFT('Liste des étudiants'!$W2929,3)</f>
        <v>450</v>
      </c>
    </row>
    <row r="2930" spans="1:1" x14ac:dyDescent="0.25">
      <c r="A2930" s="54" t="str">
        <f>LEFT('Liste des étudiants'!$W2930,3)</f>
        <v>450</v>
      </c>
    </row>
    <row r="2931" spans="1:1" x14ac:dyDescent="0.25">
      <c r="A2931" s="54" t="str">
        <f>LEFT('Liste des étudiants'!$W2931,3)</f>
        <v>450</v>
      </c>
    </row>
    <row r="2932" spans="1:1" x14ac:dyDescent="0.25">
      <c r="A2932" s="54" t="str">
        <f>LEFT('Liste des étudiants'!$W2932,3)</f>
        <v>450</v>
      </c>
    </row>
    <row r="2933" spans="1:1" x14ac:dyDescent="0.25">
      <c r="A2933" s="54" t="str">
        <f>LEFT('Liste des étudiants'!$W2933,3)</f>
        <v>450</v>
      </c>
    </row>
    <row r="2934" spans="1:1" x14ac:dyDescent="0.25">
      <c r="A2934" s="54" t="str">
        <f>LEFT('Liste des étudiants'!$W2934,3)</f>
        <v>450</v>
      </c>
    </row>
    <row r="2935" spans="1:1" x14ac:dyDescent="0.25">
      <c r="A2935" s="54" t="str">
        <f>LEFT('Liste des étudiants'!$W2935,3)</f>
        <v>450</v>
      </c>
    </row>
    <row r="2936" spans="1:1" x14ac:dyDescent="0.25">
      <c r="A2936" s="54" t="str">
        <f>LEFT('Liste des étudiants'!$W2936,3)</f>
        <v>450</v>
      </c>
    </row>
    <row r="2937" spans="1:1" x14ac:dyDescent="0.25">
      <c r="A2937" s="54" t="str">
        <f>LEFT('Liste des étudiants'!$W2937,3)</f>
        <v>450</v>
      </c>
    </row>
    <row r="2938" spans="1:1" x14ac:dyDescent="0.25">
      <c r="A2938" s="54" t="str">
        <f>LEFT('Liste des étudiants'!$W2938,3)</f>
        <v>450</v>
      </c>
    </row>
    <row r="2939" spans="1:1" x14ac:dyDescent="0.25">
      <c r="A2939" s="54" t="str">
        <f>LEFT('Liste des étudiants'!$W2939,3)</f>
        <v>450</v>
      </c>
    </row>
    <row r="2940" spans="1:1" x14ac:dyDescent="0.25">
      <c r="A2940" s="54" t="str">
        <f>LEFT('Liste des étudiants'!$W2940,3)</f>
        <v>450</v>
      </c>
    </row>
    <row r="2941" spans="1:1" x14ac:dyDescent="0.25">
      <c r="A2941" s="54" t="str">
        <f>LEFT('Liste des étudiants'!$W2941,3)</f>
        <v>450</v>
      </c>
    </row>
    <row r="2942" spans="1:1" x14ac:dyDescent="0.25">
      <c r="A2942" s="54" t="str">
        <f>LEFT('Liste des étudiants'!$W2942,3)</f>
        <v>450</v>
      </c>
    </row>
    <row r="2943" spans="1:1" x14ac:dyDescent="0.25">
      <c r="A2943" s="54" t="str">
        <f>LEFT('Liste des étudiants'!$W2943,3)</f>
        <v>450</v>
      </c>
    </row>
    <row r="2944" spans="1:1" x14ac:dyDescent="0.25">
      <c r="A2944" s="54" t="str">
        <f>LEFT('Liste des étudiants'!$W2944,3)</f>
        <v>450</v>
      </c>
    </row>
    <row r="2945" spans="1:1" x14ac:dyDescent="0.25">
      <c r="A2945" s="54" t="str">
        <f>LEFT('Liste des étudiants'!$W2945,3)</f>
        <v>450</v>
      </c>
    </row>
    <row r="2946" spans="1:1" x14ac:dyDescent="0.25">
      <c r="A2946" s="54" t="str">
        <f>LEFT('Liste des étudiants'!$W2946,3)</f>
        <v>450</v>
      </c>
    </row>
    <row r="2947" spans="1:1" x14ac:dyDescent="0.25">
      <c r="A2947" s="54" t="str">
        <f>LEFT('Liste des étudiants'!$W2947,3)</f>
        <v>450</v>
      </c>
    </row>
    <row r="2948" spans="1:1" x14ac:dyDescent="0.25">
      <c r="A2948" s="54" t="str">
        <f>LEFT('Liste des étudiants'!$W2948,3)</f>
        <v>450</v>
      </c>
    </row>
    <row r="2949" spans="1:1" x14ac:dyDescent="0.25">
      <c r="A2949" s="54" t="str">
        <f>LEFT('Liste des étudiants'!$W2949,3)</f>
        <v>450</v>
      </c>
    </row>
    <row r="2950" spans="1:1" x14ac:dyDescent="0.25">
      <c r="A2950" s="54" t="str">
        <f>LEFT('Liste des étudiants'!$W2950,3)</f>
        <v>450</v>
      </c>
    </row>
    <row r="2951" spans="1:1" x14ac:dyDescent="0.25">
      <c r="A2951" s="54" t="str">
        <f>LEFT('Liste des étudiants'!$W2951,3)</f>
        <v>450</v>
      </c>
    </row>
    <row r="2952" spans="1:1" x14ac:dyDescent="0.25">
      <c r="A2952" s="54" t="str">
        <f>LEFT('Liste des étudiants'!$W2952,3)</f>
        <v>450</v>
      </c>
    </row>
    <row r="2953" spans="1:1" x14ac:dyDescent="0.25">
      <c r="A2953" s="54" t="str">
        <f>LEFT('Liste des étudiants'!$W2953,3)</f>
        <v>450</v>
      </c>
    </row>
    <row r="2954" spans="1:1" x14ac:dyDescent="0.25">
      <c r="A2954" s="54" t="str">
        <f>LEFT('Liste des étudiants'!$W2954,3)</f>
        <v>450</v>
      </c>
    </row>
    <row r="2955" spans="1:1" x14ac:dyDescent="0.25">
      <c r="A2955" s="54" t="str">
        <f>LEFT('Liste des étudiants'!$W2955,3)</f>
        <v>450</v>
      </c>
    </row>
    <row r="2956" spans="1:1" x14ac:dyDescent="0.25">
      <c r="A2956" s="54" t="str">
        <f>LEFT('Liste des étudiants'!$W2956,3)</f>
        <v>450</v>
      </c>
    </row>
    <row r="2957" spans="1:1" x14ac:dyDescent="0.25">
      <c r="A2957" s="54" t="str">
        <f>LEFT('Liste des étudiants'!$W2957,3)</f>
        <v>450</v>
      </c>
    </row>
    <row r="2958" spans="1:1" x14ac:dyDescent="0.25">
      <c r="A2958" s="54" t="str">
        <f>LEFT('Liste des étudiants'!$W2958,3)</f>
        <v>450</v>
      </c>
    </row>
    <row r="2959" spans="1:1" x14ac:dyDescent="0.25">
      <c r="A2959" s="54" t="str">
        <f>LEFT('Liste des étudiants'!$W2959,3)</f>
        <v>450</v>
      </c>
    </row>
    <row r="2960" spans="1:1" x14ac:dyDescent="0.25">
      <c r="A2960" s="54" t="str">
        <f>LEFT('Liste des étudiants'!$W2960,3)</f>
        <v>450</v>
      </c>
    </row>
    <row r="2961" spans="1:1" x14ac:dyDescent="0.25">
      <c r="A2961" s="54" t="str">
        <f>LEFT('Liste des étudiants'!$W2961,3)</f>
        <v>450</v>
      </c>
    </row>
    <row r="2962" spans="1:1" x14ac:dyDescent="0.25">
      <c r="A2962" s="54" t="str">
        <f>LEFT('Liste des étudiants'!$W2962,3)</f>
        <v>450</v>
      </c>
    </row>
    <row r="2963" spans="1:1" x14ac:dyDescent="0.25">
      <c r="A2963" s="54" t="str">
        <f>LEFT('Liste des étudiants'!$W2963,3)</f>
        <v>450</v>
      </c>
    </row>
    <row r="2964" spans="1:1" x14ac:dyDescent="0.25">
      <c r="A2964" s="54" t="str">
        <f>LEFT('Liste des étudiants'!$W2964,3)</f>
        <v>450</v>
      </c>
    </row>
    <row r="2965" spans="1:1" x14ac:dyDescent="0.25">
      <c r="A2965" s="54" t="str">
        <f>LEFT('Liste des étudiants'!$W2965,3)</f>
        <v>450</v>
      </c>
    </row>
    <row r="2966" spans="1:1" x14ac:dyDescent="0.25">
      <c r="A2966" s="54" t="str">
        <f>LEFT('Liste des étudiants'!$W2966,3)</f>
        <v>450</v>
      </c>
    </row>
    <row r="2967" spans="1:1" x14ac:dyDescent="0.25">
      <c r="A2967" s="54" t="str">
        <f>LEFT('Liste des étudiants'!$W2967,3)</f>
        <v>450</v>
      </c>
    </row>
    <row r="2968" spans="1:1" x14ac:dyDescent="0.25">
      <c r="A2968" s="54" t="str">
        <f>LEFT('Liste des étudiants'!$W2968,3)</f>
        <v>450</v>
      </c>
    </row>
    <row r="2969" spans="1:1" x14ac:dyDescent="0.25">
      <c r="A2969" s="54" t="str">
        <f>LEFT('Liste des étudiants'!$W2969,3)</f>
        <v>450</v>
      </c>
    </row>
    <row r="2970" spans="1:1" x14ac:dyDescent="0.25">
      <c r="A2970" s="54" t="str">
        <f>LEFT('Liste des étudiants'!$W2970,3)</f>
        <v>450</v>
      </c>
    </row>
    <row r="2971" spans="1:1" x14ac:dyDescent="0.25">
      <c r="A2971" s="54" t="str">
        <f>LEFT('Liste des étudiants'!$W2971,3)</f>
        <v>450</v>
      </c>
    </row>
    <row r="2972" spans="1:1" x14ac:dyDescent="0.25">
      <c r="A2972" s="54" t="str">
        <f>LEFT('Liste des étudiants'!$W2972,3)</f>
        <v>450</v>
      </c>
    </row>
    <row r="2973" spans="1:1" x14ac:dyDescent="0.25">
      <c r="A2973" s="54" t="str">
        <f>LEFT('Liste des étudiants'!$W2973,3)</f>
        <v>450</v>
      </c>
    </row>
    <row r="2974" spans="1:1" x14ac:dyDescent="0.25">
      <c r="A2974" s="54" t="str">
        <f>LEFT('Liste des étudiants'!$W2974,3)</f>
        <v>450</v>
      </c>
    </row>
    <row r="2975" spans="1:1" x14ac:dyDescent="0.25">
      <c r="A2975" s="54" t="str">
        <f>LEFT('Liste des étudiants'!$W2975,3)</f>
        <v>450</v>
      </c>
    </row>
    <row r="2976" spans="1:1" x14ac:dyDescent="0.25">
      <c r="A2976" s="54" t="str">
        <f>LEFT('Liste des étudiants'!$W2976,3)</f>
        <v>450</v>
      </c>
    </row>
    <row r="2977" spans="1:1" x14ac:dyDescent="0.25">
      <c r="A2977" s="54" t="str">
        <f>LEFT('Liste des étudiants'!$W2977,3)</f>
        <v>450</v>
      </c>
    </row>
    <row r="2978" spans="1:1" x14ac:dyDescent="0.25">
      <c r="A2978" s="54" t="str">
        <f>LEFT('Liste des étudiants'!$W2978,3)</f>
        <v>450</v>
      </c>
    </row>
    <row r="2979" spans="1:1" x14ac:dyDescent="0.25">
      <c r="A2979" s="54" t="str">
        <f>LEFT('Liste des étudiants'!$W2979,3)</f>
        <v>450</v>
      </c>
    </row>
    <row r="2980" spans="1:1" x14ac:dyDescent="0.25">
      <c r="A2980" s="54" t="str">
        <f>LEFT('Liste des étudiants'!$W2980,3)</f>
        <v>450</v>
      </c>
    </row>
    <row r="2981" spans="1:1" x14ac:dyDescent="0.25">
      <c r="A2981" s="54" t="str">
        <f>LEFT('Liste des étudiants'!$W2981,3)</f>
        <v>450</v>
      </c>
    </row>
    <row r="2982" spans="1:1" x14ac:dyDescent="0.25">
      <c r="A2982" s="54" t="str">
        <f>LEFT('Liste des étudiants'!$W2982,3)</f>
        <v>450</v>
      </c>
    </row>
    <row r="2983" spans="1:1" x14ac:dyDescent="0.25">
      <c r="A2983" s="54" t="str">
        <f>LEFT('Liste des étudiants'!$W2983,3)</f>
        <v>450</v>
      </c>
    </row>
    <row r="2984" spans="1:1" x14ac:dyDescent="0.25">
      <c r="A2984" s="54" t="str">
        <f>LEFT('Liste des étudiants'!$W2984,3)</f>
        <v>450</v>
      </c>
    </row>
    <row r="2985" spans="1:1" x14ac:dyDescent="0.25">
      <c r="A2985" s="54" t="str">
        <f>LEFT('Liste des étudiants'!$W2985,3)</f>
        <v>450</v>
      </c>
    </row>
    <row r="2986" spans="1:1" x14ac:dyDescent="0.25">
      <c r="A2986" s="54" t="str">
        <f>LEFT('Liste des étudiants'!$W2986,3)</f>
        <v>450</v>
      </c>
    </row>
    <row r="2987" spans="1:1" x14ac:dyDescent="0.25">
      <c r="A2987" s="54" t="str">
        <f>LEFT('Liste des étudiants'!$W2987,3)</f>
        <v>450</v>
      </c>
    </row>
    <row r="2988" spans="1:1" x14ac:dyDescent="0.25">
      <c r="A2988" s="54" t="str">
        <f>LEFT('Liste des étudiants'!$W2988,3)</f>
        <v>450</v>
      </c>
    </row>
    <row r="2989" spans="1:1" x14ac:dyDescent="0.25">
      <c r="A2989" s="54" t="str">
        <f>LEFT('Liste des étudiants'!$W2989,3)</f>
        <v>450</v>
      </c>
    </row>
    <row r="2990" spans="1:1" x14ac:dyDescent="0.25">
      <c r="A2990" s="54" t="str">
        <f>LEFT('Liste des étudiants'!$W2990,3)</f>
        <v>450</v>
      </c>
    </row>
    <row r="2991" spans="1:1" x14ac:dyDescent="0.25">
      <c r="A2991" s="54" t="str">
        <f>LEFT('Liste des étudiants'!$W2991,3)</f>
        <v>450</v>
      </c>
    </row>
    <row r="2992" spans="1:1" x14ac:dyDescent="0.25">
      <c r="A2992" s="54" t="str">
        <f>LEFT('Liste des étudiants'!$W2992,3)</f>
        <v>450</v>
      </c>
    </row>
    <row r="2993" spans="1:1" x14ac:dyDescent="0.25">
      <c r="A2993" s="54" t="str">
        <f>LEFT('Liste des étudiants'!$W2993,3)</f>
        <v>450</v>
      </c>
    </row>
    <row r="2994" spans="1:1" x14ac:dyDescent="0.25">
      <c r="A2994" s="54" t="str">
        <f>LEFT('Liste des étudiants'!$W2994,3)</f>
        <v>450</v>
      </c>
    </row>
    <row r="2995" spans="1:1" x14ac:dyDescent="0.25">
      <c r="A2995" s="54" t="str">
        <f>LEFT('Liste des étudiants'!$W2995,3)</f>
        <v>450</v>
      </c>
    </row>
    <row r="2996" spans="1:1" x14ac:dyDescent="0.25">
      <c r="A2996" s="54" t="str">
        <f>LEFT('Liste des étudiants'!$W2996,3)</f>
        <v>450</v>
      </c>
    </row>
    <row r="2997" spans="1:1" x14ac:dyDescent="0.25">
      <c r="A2997" s="54" t="str">
        <f>LEFT('Liste des étudiants'!$W2997,3)</f>
        <v>450</v>
      </c>
    </row>
    <row r="2998" spans="1:1" x14ac:dyDescent="0.25">
      <c r="A2998" s="54" t="str">
        <f>LEFT('Liste des étudiants'!$W2998,3)</f>
        <v>450</v>
      </c>
    </row>
    <row r="2999" spans="1:1" x14ac:dyDescent="0.25">
      <c r="A2999" s="54" t="str">
        <f>LEFT('Liste des étudiants'!$W2999,3)</f>
        <v>450</v>
      </c>
    </row>
    <row r="3000" spans="1:1" x14ac:dyDescent="0.25">
      <c r="A3000" s="54" t="str">
        <f>LEFT('Liste des étudiants'!$W3000,3)</f>
        <v>450</v>
      </c>
    </row>
    <row r="3001" spans="1:1" x14ac:dyDescent="0.25">
      <c r="A3001" s="54" t="str">
        <f>LEFT('Liste des étudiants'!$W3001,3)</f>
        <v>450</v>
      </c>
    </row>
    <row r="3002" spans="1:1" x14ac:dyDescent="0.25">
      <c r="A3002" s="54" t="str">
        <f>LEFT('Liste des étudiants'!$W3002,3)</f>
        <v>450</v>
      </c>
    </row>
    <row r="3003" spans="1:1" x14ac:dyDescent="0.25">
      <c r="A3003" s="54" t="str">
        <f>LEFT('Liste des étudiants'!$W3003,3)</f>
        <v>450</v>
      </c>
    </row>
    <row r="3004" spans="1:1" x14ac:dyDescent="0.25">
      <c r="A3004" s="54" t="str">
        <f>LEFT('Liste des étudiants'!$W3004,3)</f>
        <v>450</v>
      </c>
    </row>
    <row r="3005" spans="1:1" x14ac:dyDescent="0.25">
      <c r="A3005" s="54" t="str">
        <f>LEFT('Liste des étudiants'!$W3005,3)</f>
        <v>450</v>
      </c>
    </row>
    <row r="3006" spans="1:1" x14ac:dyDescent="0.25">
      <c r="A3006" s="54" t="str">
        <f>LEFT('Liste des étudiants'!$W3006,3)</f>
        <v>450</v>
      </c>
    </row>
    <row r="3007" spans="1:1" x14ac:dyDescent="0.25">
      <c r="A3007" s="54" t="str">
        <f>LEFT('Liste des étudiants'!$W3007,3)</f>
        <v>450</v>
      </c>
    </row>
    <row r="3008" spans="1:1" x14ac:dyDescent="0.25">
      <c r="A3008" s="54" t="str">
        <f>LEFT('Liste des étudiants'!$W3008,3)</f>
        <v>450</v>
      </c>
    </row>
    <row r="3009" spans="1:1" x14ac:dyDescent="0.25">
      <c r="A3009" s="54" t="str">
        <f>LEFT('Liste des étudiants'!$W3009,3)</f>
        <v>450</v>
      </c>
    </row>
    <row r="3010" spans="1:1" x14ac:dyDescent="0.25">
      <c r="A3010" s="54" t="str">
        <f>LEFT('Liste des étudiants'!$W3010,3)</f>
        <v>450</v>
      </c>
    </row>
    <row r="3011" spans="1:1" x14ac:dyDescent="0.25">
      <c r="A3011" s="54" t="str">
        <f>LEFT('Liste des étudiants'!$W3011,3)</f>
        <v>450</v>
      </c>
    </row>
    <row r="3012" spans="1:1" x14ac:dyDescent="0.25">
      <c r="A3012" s="54" t="str">
        <f>LEFT('Liste des étudiants'!$W3012,3)</f>
        <v>450</v>
      </c>
    </row>
    <row r="3013" spans="1:1" x14ac:dyDescent="0.25">
      <c r="A3013" s="54" t="str">
        <f>LEFT('Liste des étudiants'!$W3013,3)</f>
        <v>450</v>
      </c>
    </row>
    <row r="3014" spans="1:1" x14ac:dyDescent="0.25">
      <c r="A3014" s="54" t="str">
        <f>LEFT('Liste des étudiants'!$W3014,3)</f>
        <v>450</v>
      </c>
    </row>
    <row r="3015" spans="1:1" x14ac:dyDescent="0.25">
      <c r="A3015" s="54" t="str">
        <f>LEFT('Liste des étudiants'!$W3015,3)</f>
        <v>450</v>
      </c>
    </row>
    <row r="3016" spans="1:1" x14ac:dyDescent="0.25">
      <c r="A3016" s="54" t="str">
        <f>LEFT('Liste des étudiants'!$W3016,3)</f>
        <v>450</v>
      </c>
    </row>
    <row r="3017" spans="1:1" x14ac:dyDescent="0.25">
      <c r="A3017" s="54" t="str">
        <f>LEFT('Liste des étudiants'!$W3017,3)</f>
        <v>450</v>
      </c>
    </row>
    <row r="3018" spans="1:1" x14ac:dyDescent="0.25">
      <c r="A3018" s="54" t="str">
        <f>LEFT('Liste des étudiants'!$W3018,3)</f>
        <v>450</v>
      </c>
    </row>
    <row r="3019" spans="1:1" x14ac:dyDescent="0.25">
      <c r="A3019" s="54" t="str">
        <f>LEFT('Liste des étudiants'!$W3019,3)</f>
        <v>450</v>
      </c>
    </row>
    <row r="3020" spans="1:1" x14ac:dyDescent="0.25">
      <c r="A3020" s="54" t="str">
        <f>LEFT('Liste des étudiants'!$W3020,3)</f>
        <v>450</v>
      </c>
    </row>
    <row r="3021" spans="1:1" x14ac:dyDescent="0.25">
      <c r="A3021" s="54" t="str">
        <f>LEFT('Liste des étudiants'!$W3021,3)</f>
        <v>450</v>
      </c>
    </row>
    <row r="3022" spans="1:1" x14ac:dyDescent="0.25">
      <c r="A3022" s="54" t="str">
        <f>LEFT('Liste des étudiants'!$W3022,3)</f>
        <v>450</v>
      </c>
    </row>
    <row r="3023" spans="1:1" x14ac:dyDescent="0.25">
      <c r="A3023" s="54" t="str">
        <f>LEFT('Liste des étudiants'!$W3023,3)</f>
        <v>450</v>
      </c>
    </row>
    <row r="3024" spans="1:1" x14ac:dyDescent="0.25">
      <c r="A3024" s="54" t="str">
        <f>LEFT('Liste des étudiants'!$W3024,3)</f>
        <v>450</v>
      </c>
    </row>
    <row r="3025" spans="1:1" x14ac:dyDescent="0.25">
      <c r="A3025" s="54" t="str">
        <f>LEFT('Liste des étudiants'!$W3025,3)</f>
        <v>450</v>
      </c>
    </row>
    <row r="3026" spans="1:1" x14ac:dyDescent="0.25">
      <c r="A3026" s="54" t="str">
        <f>LEFT('Liste des étudiants'!$W3026,3)</f>
        <v>450</v>
      </c>
    </row>
    <row r="3027" spans="1:1" x14ac:dyDescent="0.25">
      <c r="A3027" s="54" t="str">
        <f>LEFT('Liste des étudiants'!$W3027,3)</f>
        <v>450</v>
      </c>
    </row>
    <row r="3028" spans="1:1" x14ac:dyDescent="0.25">
      <c r="A3028" s="54" t="str">
        <f>LEFT('Liste des étudiants'!$W3028,3)</f>
        <v>450</v>
      </c>
    </row>
    <row r="3029" spans="1:1" x14ac:dyDescent="0.25">
      <c r="A3029" s="54" t="str">
        <f>LEFT('Liste des étudiants'!$W3029,3)</f>
        <v>450</v>
      </c>
    </row>
    <row r="3030" spans="1:1" x14ac:dyDescent="0.25">
      <c r="A3030" s="54" t="str">
        <f>LEFT('Liste des étudiants'!$W3030,3)</f>
        <v>450</v>
      </c>
    </row>
    <row r="3031" spans="1:1" x14ac:dyDescent="0.25">
      <c r="A3031" s="54" t="str">
        <f>LEFT('Liste des étudiants'!$W3031,3)</f>
        <v>450</v>
      </c>
    </row>
    <row r="3032" spans="1:1" x14ac:dyDescent="0.25">
      <c r="A3032" s="54" t="str">
        <f>LEFT('Liste des étudiants'!$W3032,3)</f>
        <v>450</v>
      </c>
    </row>
    <row r="3033" spans="1:1" x14ac:dyDescent="0.25">
      <c r="A3033" s="54" t="str">
        <f>LEFT('Liste des étudiants'!$W3033,3)</f>
        <v>450</v>
      </c>
    </row>
    <row r="3034" spans="1:1" x14ac:dyDescent="0.25">
      <c r="A3034" s="54" t="str">
        <f>LEFT('Liste des étudiants'!$W3034,3)</f>
        <v>450</v>
      </c>
    </row>
    <row r="3035" spans="1:1" x14ac:dyDescent="0.25">
      <c r="A3035" s="54" t="str">
        <f>LEFT('Liste des étudiants'!$W3035,3)</f>
        <v>450</v>
      </c>
    </row>
    <row r="3036" spans="1:1" x14ac:dyDescent="0.25">
      <c r="A3036" s="54" t="str">
        <f>LEFT('Liste des étudiants'!$W3036,3)</f>
        <v>450</v>
      </c>
    </row>
    <row r="3037" spans="1:1" x14ac:dyDescent="0.25">
      <c r="A3037" s="54" t="str">
        <f>LEFT('Liste des étudiants'!$W3037,3)</f>
        <v>450</v>
      </c>
    </row>
    <row r="3038" spans="1:1" x14ac:dyDescent="0.25">
      <c r="A3038" s="54" t="str">
        <f>LEFT('Liste des étudiants'!$W3038,3)</f>
        <v>450</v>
      </c>
    </row>
    <row r="3039" spans="1:1" x14ac:dyDescent="0.25">
      <c r="A3039" s="54" t="str">
        <f>LEFT('Liste des étudiants'!$W3039,3)</f>
        <v>450</v>
      </c>
    </row>
    <row r="3040" spans="1:1" x14ac:dyDescent="0.25">
      <c r="A3040" s="54" t="str">
        <f>LEFT('Liste des étudiants'!$W3040,3)</f>
        <v>450</v>
      </c>
    </row>
    <row r="3041" spans="1:1" x14ac:dyDescent="0.25">
      <c r="A3041" s="54" t="str">
        <f>LEFT('Liste des étudiants'!$W3041,3)</f>
        <v>450</v>
      </c>
    </row>
    <row r="3042" spans="1:1" x14ac:dyDescent="0.25">
      <c r="A3042" s="54" t="str">
        <f>LEFT('Liste des étudiants'!$W3042,3)</f>
        <v>450</v>
      </c>
    </row>
    <row r="3043" spans="1:1" x14ac:dyDescent="0.25">
      <c r="A3043" s="54" t="str">
        <f>LEFT('Liste des étudiants'!$W3043,3)</f>
        <v>450</v>
      </c>
    </row>
    <row r="3044" spans="1:1" x14ac:dyDescent="0.25">
      <c r="A3044" s="54" t="str">
        <f>LEFT('Liste des étudiants'!$W3044,3)</f>
        <v>450</v>
      </c>
    </row>
    <row r="3045" spans="1:1" x14ac:dyDescent="0.25">
      <c r="A3045" s="54" t="str">
        <f>LEFT('Liste des étudiants'!$W3045,3)</f>
        <v>450</v>
      </c>
    </row>
    <row r="3046" spans="1:1" x14ac:dyDescent="0.25">
      <c r="A3046" s="54" t="str">
        <f>LEFT('Liste des étudiants'!$W3046,3)</f>
        <v>450</v>
      </c>
    </row>
    <row r="3047" spans="1:1" x14ac:dyDescent="0.25">
      <c r="A3047" s="54" t="str">
        <f>LEFT('Liste des étudiants'!$W3047,3)</f>
        <v>450</v>
      </c>
    </row>
    <row r="3048" spans="1:1" x14ac:dyDescent="0.25">
      <c r="A3048" s="54" t="str">
        <f>LEFT('Liste des étudiants'!$W3048,3)</f>
        <v>450</v>
      </c>
    </row>
    <row r="3049" spans="1:1" x14ac:dyDescent="0.25">
      <c r="A3049" s="54" t="str">
        <f>LEFT('Liste des étudiants'!$W3049,3)</f>
        <v>450</v>
      </c>
    </row>
    <row r="3050" spans="1:1" x14ac:dyDescent="0.25">
      <c r="A3050" s="54" t="str">
        <f>LEFT('Liste des étudiants'!$W3050,3)</f>
        <v>450</v>
      </c>
    </row>
    <row r="3051" spans="1:1" x14ac:dyDescent="0.25">
      <c r="A3051" s="54" t="str">
        <f>LEFT('Liste des étudiants'!$W3051,3)</f>
        <v>450</v>
      </c>
    </row>
    <row r="3052" spans="1:1" x14ac:dyDescent="0.25">
      <c r="A3052" s="54" t="str">
        <f>LEFT('Liste des étudiants'!$W3052,3)</f>
        <v>450</v>
      </c>
    </row>
    <row r="3053" spans="1:1" x14ac:dyDescent="0.25">
      <c r="A3053" s="54" t="str">
        <f>LEFT('Liste des étudiants'!$W3053,3)</f>
        <v>450</v>
      </c>
    </row>
    <row r="3054" spans="1:1" x14ac:dyDescent="0.25">
      <c r="A3054" s="54" t="str">
        <f>LEFT('Liste des étudiants'!$W3054,3)</f>
        <v>450</v>
      </c>
    </row>
    <row r="3055" spans="1:1" x14ac:dyDescent="0.25">
      <c r="A3055" s="54" t="str">
        <f>LEFT('Liste des étudiants'!$W3055,3)</f>
        <v>450</v>
      </c>
    </row>
    <row r="3056" spans="1:1" x14ac:dyDescent="0.25">
      <c r="A3056" s="54" t="str">
        <f>LEFT('Liste des étudiants'!$W3056,3)</f>
        <v>450</v>
      </c>
    </row>
    <row r="3057" spans="1:1" x14ac:dyDescent="0.25">
      <c r="A3057" s="54" t="str">
        <f>LEFT('Liste des étudiants'!$W3057,3)</f>
        <v>450</v>
      </c>
    </row>
    <row r="3058" spans="1:1" x14ac:dyDescent="0.25">
      <c r="A3058" s="54" t="str">
        <f>LEFT('Liste des étudiants'!$W3058,3)</f>
        <v>450</v>
      </c>
    </row>
    <row r="3059" spans="1:1" x14ac:dyDescent="0.25">
      <c r="A3059" s="54" t="str">
        <f>LEFT('Liste des étudiants'!$W3059,3)</f>
        <v>450</v>
      </c>
    </row>
    <row r="3060" spans="1:1" x14ac:dyDescent="0.25">
      <c r="A3060" s="54" t="str">
        <f>LEFT('Liste des étudiants'!$W3060,3)</f>
        <v>450</v>
      </c>
    </row>
    <row r="3061" spans="1:1" x14ac:dyDescent="0.25">
      <c r="A3061" s="54" t="str">
        <f>LEFT('Liste des étudiants'!$W3061,3)</f>
        <v>450</v>
      </c>
    </row>
    <row r="3062" spans="1:1" x14ac:dyDescent="0.25">
      <c r="A3062" s="54" t="str">
        <f>LEFT('Liste des étudiants'!$W3062,3)</f>
        <v>450</v>
      </c>
    </row>
    <row r="3063" spans="1:1" x14ac:dyDescent="0.25">
      <c r="A3063" s="54" t="str">
        <f>LEFT('Liste des étudiants'!$W3063,3)</f>
        <v>450</v>
      </c>
    </row>
    <row r="3064" spans="1:1" x14ac:dyDescent="0.25">
      <c r="A3064" s="54" t="str">
        <f>LEFT('Liste des étudiants'!$W3064,3)</f>
        <v>450</v>
      </c>
    </row>
    <row r="3065" spans="1:1" x14ac:dyDescent="0.25">
      <c r="A3065" s="54" t="str">
        <f>LEFT('Liste des étudiants'!$W3065,3)</f>
        <v>450</v>
      </c>
    </row>
    <row r="3066" spans="1:1" x14ac:dyDescent="0.25">
      <c r="A3066" s="54" t="str">
        <f>LEFT('Liste des étudiants'!$W3066,3)</f>
        <v>450</v>
      </c>
    </row>
    <row r="3067" spans="1:1" x14ac:dyDescent="0.25">
      <c r="A3067" s="54" t="str">
        <f>LEFT('Liste des étudiants'!$W3067,3)</f>
        <v>450</v>
      </c>
    </row>
    <row r="3068" spans="1:1" x14ac:dyDescent="0.25">
      <c r="A3068" s="54" t="str">
        <f>LEFT('Liste des étudiants'!$W3068,3)</f>
        <v>450</v>
      </c>
    </row>
    <row r="3069" spans="1:1" x14ac:dyDescent="0.25">
      <c r="A3069" s="54" t="str">
        <f>LEFT('Liste des étudiants'!$W3069,3)</f>
        <v>450</v>
      </c>
    </row>
    <row r="3070" spans="1:1" x14ac:dyDescent="0.25">
      <c r="A3070" s="54" t="str">
        <f>LEFT('Liste des étudiants'!$W3070,3)</f>
        <v>450</v>
      </c>
    </row>
    <row r="3071" spans="1:1" x14ac:dyDescent="0.25">
      <c r="A3071" s="54" t="str">
        <f>LEFT('Liste des étudiants'!$W3071,3)</f>
        <v>450</v>
      </c>
    </row>
    <row r="3072" spans="1:1" x14ac:dyDescent="0.25">
      <c r="A3072" s="54" t="str">
        <f>LEFT('Liste des étudiants'!$W3072,3)</f>
        <v>450</v>
      </c>
    </row>
    <row r="3073" spans="1:1" x14ac:dyDescent="0.25">
      <c r="A3073" s="54" t="str">
        <f>LEFT('Liste des étudiants'!$W3073,3)</f>
        <v>450</v>
      </c>
    </row>
    <row r="3074" spans="1:1" x14ac:dyDescent="0.25">
      <c r="A3074" s="54" t="str">
        <f>LEFT('Liste des étudiants'!$W3074,3)</f>
        <v>450</v>
      </c>
    </row>
    <row r="3075" spans="1:1" x14ac:dyDescent="0.25">
      <c r="A3075" s="54" t="str">
        <f>LEFT('Liste des étudiants'!$W3075,3)</f>
        <v>450</v>
      </c>
    </row>
    <row r="3076" spans="1:1" x14ac:dyDescent="0.25">
      <c r="A3076" s="54" t="str">
        <f>LEFT('Liste des étudiants'!$W3076,3)</f>
        <v>450</v>
      </c>
    </row>
    <row r="3077" spans="1:1" x14ac:dyDescent="0.25">
      <c r="A3077" s="54" t="str">
        <f>LEFT('Liste des étudiants'!$W3077,3)</f>
        <v>450</v>
      </c>
    </row>
    <row r="3078" spans="1:1" x14ac:dyDescent="0.25">
      <c r="A3078" s="54" t="str">
        <f>LEFT('Liste des étudiants'!$W3078,3)</f>
        <v>450</v>
      </c>
    </row>
    <row r="3079" spans="1:1" x14ac:dyDescent="0.25">
      <c r="A3079" s="54" t="str">
        <f>LEFT('Liste des étudiants'!$W3079,3)</f>
        <v>450</v>
      </c>
    </row>
    <row r="3080" spans="1:1" x14ac:dyDescent="0.25">
      <c r="A3080" s="54" t="str">
        <f>LEFT('Liste des étudiants'!$W3080,3)</f>
        <v>450</v>
      </c>
    </row>
    <row r="3081" spans="1:1" x14ac:dyDescent="0.25">
      <c r="A3081" s="54" t="str">
        <f>LEFT('Liste des étudiants'!$W3081,3)</f>
        <v>450</v>
      </c>
    </row>
    <row r="3082" spans="1:1" x14ac:dyDescent="0.25">
      <c r="A3082" s="54" t="str">
        <f>LEFT('Liste des étudiants'!$W3082,3)</f>
        <v>450</v>
      </c>
    </row>
    <row r="3083" spans="1:1" x14ac:dyDescent="0.25">
      <c r="A3083" s="54" t="str">
        <f>LEFT('Liste des étudiants'!$W3083,3)</f>
        <v>450</v>
      </c>
    </row>
    <row r="3084" spans="1:1" x14ac:dyDescent="0.25">
      <c r="A3084" s="54" t="str">
        <f>LEFT('Liste des étudiants'!$W3084,3)</f>
        <v>450</v>
      </c>
    </row>
    <row r="3085" spans="1:1" x14ac:dyDescent="0.25">
      <c r="A3085" s="54" t="str">
        <f>LEFT('Liste des étudiants'!$W3085,3)</f>
        <v>450</v>
      </c>
    </row>
    <row r="3086" spans="1:1" x14ac:dyDescent="0.25">
      <c r="A3086" s="54" t="str">
        <f>LEFT('Liste des étudiants'!$W3086,3)</f>
        <v>450</v>
      </c>
    </row>
    <row r="3087" spans="1:1" x14ac:dyDescent="0.25">
      <c r="A3087" s="54" t="str">
        <f>LEFT('Liste des étudiants'!$W3087,3)</f>
        <v>450</v>
      </c>
    </row>
    <row r="3088" spans="1:1" x14ac:dyDescent="0.25">
      <c r="A3088" s="54" t="str">
        <f>LEFT('Liste des étudiants'!$W3088,3)</f>
        <v>450</v>
      </c>
    </row>
    <row r="3089" spans="1:1" x14ac:dyDescent="0.25">
      <c r="A3089" s="54" t="str">
        <f>LEFT('Liste des étudiants'!$W3089,3)</f>
        <v>450</v>
      </c>
    </row>
    <row r="3090" spans="1:1" x14ac:dyDescent="0.25">
      <c r="A3090" s="54" t="str">
        <f>LEFT('Liste des étudiants'!$W3090,3)</f>
        <v>450</v>
      </c>
    </row>
    <row r="3091" spans="1:1" x14ac:dyDescent="0.25">
      <c r="A3091" s="54" t="str">
        <f>LEFT('Liste des étudiants'!$W3091,3)</f>
        <v>450</v>
      </c>
    </row>
    <row r="3092" spans="1:1" x14ac:dyDescent="0.25">
      <c r="A3092" s="54" t="str">
        <f>LEFT('Liste des étudiants'!$W3092,3)</f>
        <v>450</v>
      </c>
    </row>
    <row r="3093" spans="1:1" x14ac:dyDescent="0.25">
      <c r="A3093" s="54" t="str">
        <f>LEFT('Liste des étudiants'!$W3093,3)</f>
        <v>450</v>
      </c>
    </row>
    <row r="3094" spans="1:1" x14ac:dyDescent="0.25">
      <c r="A3094" s="54" t="str">
        <f>LEFT('Liste des étudiants'!$W3094,3)</f>
        <v>450</v>
      </c>
    </row>
    <row r="3095" spans="1:1" x14ac:dyDescent="0.25">
      <c r="A3095" s="54" t="str">
        <f>LEFT('Liste des étudiants'!$W3095,3)</f>
        <v>450</v>
      </c>
    </row>
    <row r="3096" spans="1:1" x14ac:dyDescent="0.25">
      <c r="A3096" s="54" t="str">
        <f>LEFT('Liste des étudiants'!$W3096,3)</f>
        <v>450</v>
      </c>
    </row>
    <row r="3097" spans="1:1" x14ac:dyDescent="0.25">
      <c r="A3097" s="54" t="str">
        <f>LEFT('Liste des étudiants'!$W3097,3)</f>
        <v>450</v>
      </c>
    </row>
    <row r="3098" spans="1:1" x14ac:dyDescent="0.25">
      <c r="A3098" s="54" t="str">
        <f>LEFT('Liste des étudiants'!$W3098,3)</f>
        <v>450</v>
      </c>
    </row>
    <row r="3099" spans="1:1" x14ac:dyDescent="0.25">
      <c r="A3099" s="54" t="str">
        <f>LEFT('Liste des étudiants'!$W3099,3)</f>
        <v>450</v>
      </c>
    </row>
    <row r="3100" spans="1:1" x14ac:dyDescent="0.25">
      <c r="A3100" s="54" t="str">
        <f>LEFT('Liste des étudiants'!$W3100,3)</f>
        <v>450</v>
      </c>
    </row>
    <row r="3101" spans="1:1" x14ac:dyDescent="0.25">
      <c r="A3101" s="54" t="str">
        <f>LEFT('Liste des étudiants'!$W3101,3)</f>
        <v>450</v>
      </c>
    </row>
    <row r="3102" spans="1:1" x14ac:dyDescent="0.25">
      <c r="A3102" s="54" t="str">
        <f>LEFT('Liste des étudiants'!$W3102,3)</f>
        <v>450</v>
      </c>
    </row>
    <row r="3103" spans="1:1" x14ac:dyDescent="0.25">
      <c r="A3103" s="54" t="str">
        <f>LEFT('Liste des étudiants'!$W3103,3)</f>
        <v>450</v>
      </c>
    </row>
    <row r="3104" spans="1:1" x14ac:dyDescent="0.25">
      <c r="A3104" s="54" t="str">
        <f>LEFT('Liste des étudiants'!$W3104,3)</f>
        <v>450</v>
      </c>
    </row>
    <row r="3105" spans="1:1" x14ac:dyDescent="0.25">
      <c r="A3105" s="54" t="str">
        <f>LEFT('Liste des étudiants'!$W3105,3)</f>
        <v>450</v>
      </c>
    </row>
    <row r="3106" spans="1:1" x14ac:dyDescent="0.25">
      <c r="A3106" s="54" t="str">
        <f>LEFT('Liste des étudiants'!$W3106,3)</f>
        <v>450</v>
      </c>
    </row>
    <row r="3107" spans="1:1" x14ac:dyDescent="0.25">
      <c r="A3107" s="54" t="str">
        <f>LEFT('Liste des étudiants'!$W3107,3)</f>
        <v>450</v>
      </c>
    </row>
    <row r="3108" spans="1:1" x14ac:dyDescent="0.25">
      <c r="A3108" s="54" t="str">
        <f>LEFT('Liste des étudiants'!$W3108,3)</f>
        <v>450</v>
      </c>
    </row>
    <row r="3109" spans="1:1" x14ac:dyDescent="0.25">
      <c r="A3109" s="54" t="str">
        <f>LEFT('Liste des étudiants'!$W3109,3)</f>
        <v>450</v>
      </c>
    </row>
    <row r="3110" spans="1:1" x14ac:dyDescent="0.25">
      <c r="A3110" s="54" t="str">
        <f>LEFT('Liste des étudiants'!$W3110,3)</f>
        <v>450</v>
      </c>
    </row>
    <row r="3111" spans="1:1" x14ac:dyDescent="0.25">
      <c r="A3111" s="54" t="str">
        <f>LEFT('Liste des étudiants'!$W3111,3)</f>
        <v>450</v>
      </c>
    </row>
    <row r="3112" spans="1:1" x14ac:dyDescent="0.25">
      <c r="A3112" s="54" t="str">
        <f>LEFT('Liste des étudiants'!$W3112,3)</f>
        <v>450</v>
      </c>
    </row>
    <row r="3113" spans="1:1" x14ac:dyDescent="0.25">
      <c r="A3113" s="54" t="str">
        <f>LEFT('Liste des étudiants'!$W3113,3)</f>
        <v>450</v>
      </c>
    </row>
    <row r="3114" spans="1:1" x14ac:dyDescent="0.25">
      <c r="A3114" s="54" t="str">
        <f>LEFT('Liste des étudiants'!$W3114,3)</f>
        <v>450</v>
      </c>
    </row>
    <row r="3115" spans="1:1" x14ac:dyDescent="0.25">
      <c r="A3115" s="54" t="str">
        <f>LEFT('Liste des étudiants'!$W3115,3)</f>
        <v>450</v>
      </c>
    </row>
    <row r="3116" spans="1:1" x14ac:dyDescent="0.25">
      <c r="A3116" s="54" t="str">
        <f>LEFT('Liste des étudiants'!$W3116,3)</f>
        <v>450</v>
      </c>
    </row>
    <row r="3117" spans="1:1" x14ac:dyDescent="0.25">
      <c r="A3117" s="54" t="str">
        <f>LEFT('Liste des étudiants'!$W3117,3)</f>
        <v>450</v>
      </c>
    </row>
    <row r="3118" spans="1:1" x14ac:dyDescent="0.25">
      <c r="A3118" s="54" t="str">
        <f>LEFT('Liste des étudiants'!$W3118,3)</f>
        <v>450</v>
      </c>
    </row>
    <row r="3119" spans="1:1" x14ac:dyDescent="0.25">
      <c r="A3119" s="54" t="str">
        <f>LEFT('Liste des étudiants'!$W3119,3)</f>
        <v>450</v>
      </c>
    </row>
    <row r="3120" spans="1:1" x14ac:dyDescent="0.25">
      <c r="A3120" s="54" t="str">
        <f>LEFT('Liste des étudiants'!$W3120,3)</f>
        <v>450</v>
      </c>
    </row>
    <row r="3121" spans="1:1" x14ac:dyDescent="0.25">
      <c r="A3121" s="54" t="str">
        <f>LEFT('Liste des étudiants'!$W3121,3)</f>
        <v>450</v>
      </c>
    </row>
    <row r="3122" spans="1:1" x14ac:dyDescent="0.25">
      <c r="A3122" s="54" t="str">
        <f>LEFT('Liste des étudiants'!$W3122,3)</f>
        <v>450</v>
      </c>
    </row>
    <row r="3123" spans="1:1" x14ac:dyDescent="0.25">
      <c r="A3123" s="54" t="str">
        <f>LEFT('Liste des étudiants'!$W3123,3)</f>
        <v>450</v>
      </c>
    </row>
    <row r="3124" spans="1:1" x14ac:dyDescent="0.25">
      <c r="A3124" s="54" t="str">
        <f>LEFT('Liste des étudiants'!$W3124,3)</f>
        <v>450</v>
      </c>
    </row>
    <row r="3125" spans="1:1" x14ac:dyDescent="0.25">
      <c r="A3125" s="54" t="str">
        <f>LEFT('Liste des étudiants'!$W3125,3)</f>
        <v>450</v>
      </c>
    </row>
    <row r="3126" spans="1:1" x14ac:dyDescent="0.25">
      <c r="A3126" s="54" t="str">
        <f>LEFT('Liste des étudiants'!$W3126,3)</f>
        <v>450</v>
      </c>
    </row>
    <row r="3127" spans="1:1" x14ac:dyDescent="0.25">
      <c r="A3127" s="54" t="str">
        <f>LEFT('Liste des étudiants'!$W3127,3)</f>
        <v>450</v>
      </c>
    </row>
    <row r="3128" spans="1:1" x14ac:dyDescent="0.25">
      <c r="A3128" s="54" t="str">
        <f>LEFT('Liste des étudiants'!$W3128,3)</f>
        <v>450</v>
      </c>
    </row>
    <row r="3129" spans="1:1" x14ac:dyDescent="0.25">
      <c r="A3129" s="54" t="str">
        <f>LEFT('Liste des étudiants'!$W3129,3)</f>
        <v>450</v>
      </c>
    </row>
    <row r="3130" spans="1:1" x14ac:dyDescent="0.25">
      <c r="A3130" s="54" t="str">
        <f>LEFT('Liste des étudiants'!$W3130,3)</f>
        <v>450</v>
      </c>
    </row>
    <row r="3131" spans="1:1" x14ac:dyDescent="0.25">
      <c r="A3131" s="54" t="str">
        <f>LEFT('Liste des étudiants'!$W3131,3)</f>
        <v>450</v>
      </c>
    </row>
    <row r="3132" spans="1:1" x14ac:dyDescent="0.25">
      <c r="A3132" s="54" t="str">
        <f>LEFT('Liste des étudiants'!$W3132,3)</f>
        <v>450</v>
      </c>
    </row>
    <row r="3133" spans="1:1" x14ac:dyDescent="0.25">
      <c r="A3133" s="54" t="str">
        <f>LEFT('Liste des étudiants'!$W3133,3)</f>
        <v>450</v>
      </c>
    </row>
    <row r="3134" spans="1:1" x14ac:dyDescent="0.25">
      <c r="A3134" s="54" t="str">
        <f>LEFT('Liste des étudiants'!$W3134,3)</f>
        <v>450</v>
      </c>
    </row>
    <row r="3135" spans="1:1" x14ac:dyDescent="0.25">
      <c r="A3135" s="54" t="str">
        <f>LEFT('Liste des étudiants'!$W3135,3)</f>
        <v>450</v>
      </c>
    </row>
    <row r="3136" spans="1:1" x14ac:dyDescent="0.25">
      <c r="A3136" s="54" t="str">
        <f>LEFT('Liste des étudiants'!$W3136,3)</f>
        <v>450</v>
      </c>
    </row>
    <row r="3137" spans="1:1" x14ac:dyDescent="0.25">
      <c r="A3137" s="54" t="str">
        <f>LEFT('Liste des étudiants'!$W3137,3)</f>
        <v>450</v>
      </c>
    </row>
    <row r="3138" spans="1:1" x14ac:dyDescent="0.25">
      <c r="A3138" s="54" t="str">
        <f>LEFT('Liste des étudiants'!$W3138,3)</f>
        <v>450</v>
      </c>
    </row>
    <row r="3139" spans="1:1" x14ac:dyDescent="0.25">
      <c r="A3139" s="54" t="str">
        <f>LEFT('Liste des étudiants'!$W3139,3)</f>
        <v>450</v>
      </c>
    </row>
    <row r="3140" spans="1:1" x14ac:dyDescent="0.25">
      <c r="A3140" s="54" t="str">
        <f>LEFT('Liste des étudiants'!$W3140,3)</f>
        <v>450</v>
      </c>
    </row>
    <row r="3141" spans="1:1" x14ac:dyDescent="0.25">
      <c r="A3141" s="54" t="str">
        <f>LEFT('Liste des étudiants'!$W3141,3)</f>
        <v>450</v>
      </c>
    </row>
    <row r="3142" spans="1:1" x14ac:dyDescent="0.25">
      <c r="A3142" s="54" t="str">
        <f>LEFT('Liste des étudiants'!$W3142,3)</f>
        <v>450</v>
      </c>
    </row>
    <row r="3143" spans="1:1" x14ac:dyDescent="0.25">
      <c r="A3143" s="54" t="str">
        <f>LEFT('Liste des étudiants'!$W3143,3)</f>
        <v>450</v>
      </c>
    </row>
    <row r="3144" spans="1:1" x14ac:dyDescent="0.25">
      <c r="A3144" s="54" t="str">
        <f>LEFT('Liste des étudiants'!$W3144,3)</f>
        <v>450</v>
      </c>
    </row>
    <row r="3145" spans="1:1" x14ac:dyDescent="0.25">
      <c r="A3145" s="54" t="str">
        <f>LEFT('Liste des étudiants'!$W3145,3)</f>
        <v>450</v>
      </c>
    </row>
    <row r="3146" spans="1:1" x14ac:dyDescent="0.25">
      <c r="A3146" s="54" t="str">
        <f>LEFT('Liste des étudiants'!$W3146,3)</f>
        <v>450</v>
      </c>
    </row>
    <row r="3147" spans="1:1" x14ac:dyDescent="0.25">
      <c r="A3147" s="54" t="str">
        <f>LEFT('Liste des étudiants'!$W3147,3)</f>
        <v>450</v>
      </c>
    </row>
    <row r="3148" spans="1:1" x14ac:dyDescent="0.25">
      <c r="A3148" s="54" t="str">
        <f>LEFT('Liste des étudiants'!$W3148,3)</f>
        <v>450</v>
      </c>
    </row>
    <row r="3149" spans="1:1" x14ac:dyDescent="0.25">
      <c r="A3149" s="54" t="str">
        <f>LEFT('Liste des étudiants'!$W3149,3)</f>
        <v>450</v>
      </c>
    </row>
    <row r="3150" spans="1:1" x14ac:dyDescent="0.25">
      <c r="A3150" s="54" t="str">
        <f>LEFT('Liste des étudiants'!$W3150,3)</f>
        <v>450</v>
      </c>
    </row>
    <row r="3151" spans="1:1" x14ac:dyDescent="0.25">
      <c r="A3151" s="54" t="str">
        <f>LEFT('Liste des étudiants'!$W3151,3)</f>
        <v>450</v>
      </c>
    </row>
    <row r="3152" spans="1:1" x14ac:dyDescent="0.25">
      <c r="A3152" s="54" t="str">
        <f>LEFT('Liste des étudiants'!$W3152,3)</f>
        <v>450</v>
      </c>
    </row>
    <row r="3153" spans="1:1" x14ac:dyDescent="0.25">
      <c r="A3153" s="54" t="str">
        <f>LEFT('Liste des étudiants'!$W3153,3)</f>
        <v>450</v>
      </c>
    </row>
    <row r="3154" spans="1:1" x14ac:dyDescent="0.25">
      <c r="A3154" s="54" t="str">
        <f>LEFT('Liste des étudiants'!$W3154,3)</f>
        <v>450</v>
      </c>
    </row>
    <row r="3155" spans="1:1" x14ac:dyDescent="0.25">
      <c r="A3155" s="54" t="str">
        <f>LEFT('Liste des étudiants'!$W3155,3)</f>
        <v>450</v>
      </c>
    </row>
    <row r="3156" spans="1:1" x14ac:dyDescent="0.25">
      <c r="A3156" s="54" t="str">
        <f>LEFT('Liste des étudiants'!$W3156,3)</f>
        <v>450</v>
      </c>
    </row>
    <row r="3157" spans="1:1" x14ac:dyDescent="0.25">
      <c r="A3157" s="54" t="str">
        <f>LEFT('Liste des étudiants'!$W3157,3)</f>
        <v>450</v>
      </c>
    </row>
    <row r="3158" spans="1:1" x14ac:dyDescent="0.25">
      <c r="A3158" s="54" t="str">
        <f>LEFT('Liste des étudiants'!$W3158,3)</f>
        <v>450</v>
      </c>
    </row>
    <row r="3159" spans="1:1" x14ac:dyDescent="0.25">
      <c r="A3159" s="54" t="str">
        <f>LEFT('Liste des étudiants'!$W3159,3)</f>
        <v>450</v>
      </c>
    </row>
    <row r="3160" spans="1:1" x14ac:dyDescent="0.25">
      <c r="A3160" s="54" t="str">
        <f>LEFT('Liste des étudiants'!$W3160,3)</f>
        <v>450</v>
      </c>
    </row>
    <row r="3161" spans="1:1" x14ac:dyDescent="0.25">
      <c r="A3161" s="54" t="str">
        <f>LEFT('Liste des étudiants'!$W3161,3)</f>
        <v>450</v>
      </c>
    </row>
    <row r="3162" spans="1:1" x14ac:dyDescent="0.25">
      <c r="A3162" s="54" t="str">
        <f>LEFT('Liste des étudiants'!$W3162,3)</f>
        <v>450</v>
      </c>
    </row>
    <row r="3163" spans="1:1" x14ac:dyDescent="0.25">
      <c r="A3163" s="54" t="str">
        <f>LEFT('Liste des étudiants'!$W3163,3)</f>
        <v>450</v>
      </c>
    </row>
    <row r="3164" spans="1:1" x14ac:dyDescent="0.25">
      <c r="A3164" s="54" t="str">
        <f>LEFT('Liste des étudiants'!$W3164,3)</f>
        <v>450</v>
      </c>
    </row>
    <row r="3165" spans="1:1" x14ac:dyDescent="0.25">
      <c r="A3165" s="54" t="str">
        <f>LEFT('Liste des étudiants'!$W3165,3)</f>
        <v>450</v>
      </c>
    </row>
    <row r="3166" spans="1:1" x14ac:dyDescent="0.25">
      <c r="A3166" s="54" t="str">
        <f>LEFT('Liste des étudiants'!$W3166,3)</f>
        <v>450</v>
      </c>
    </row>
    <row r="3167" spans="1:1" x14ac:dyDescent="0.25">
      <c r="A3167" s="54" t="str">
        <f>LEFT('Liste des étudiants'!$W3167,3)</f>
        <v>450</v>
      </c>
    </row>
    <row r="3168" spans="1:1" x14ac:dyDescent="0.25">
      <c r="A3168" s="54" t="str">
        <f>LEFT('Liste des étudiants'!$W3168,3)</f>
        <v>450</v>
      </c>
    </row>
    <row r="3169" spans="1:1" x14ac:dyDescent="0.25">
      <c r="A3169" s="54" t="str">
        <f>LEFT('Liste des étudiants'!$W3169,3)</f>
        <v>450</v>
      </c>
    </row>
    <row r="3170" spans="1:1" x14ac:dyDescent="0.25">
      <c r="A3170" s="54" t="str">
        <f>LEFT('Liste des étudiants'!$W3170,3)</f>
        <v>450</v>
      </c>
    </row>
    <row r="3171" spans="1:1" x14ac:dyDescent="0.25">
      <c r="A3171" s="54" t="str">
        <f>LEFT('Liste des étudiants'!$W3171,3)</f>
        <v>450</v>
      </c>
    </row>
    <row r="3172" spans="1:1" x14ac:dyDescent="0.25">
      <c r="A3172" s="54" t="str">
        <f>LEFT('Liste des étudiants'!$W3172,3)</f>
        <v>450</v>
      </c>
    </row>
    <row r="3173" spans="1:1" x14ac:dyDescent="0.25">
      <c r="A3173" s="54" t="str">
        <f>LEFT('Liste des étudiants'!$W3173,3)</f>
        <v>450</v>
      </c>
    </row>
    <row r="3174" spans="1:1" x14ac:dyDescent="0.25">
      <c r="A3174" s="54" t="str">
        <f>LEFT('Liste des étudiants'!$W3174,3)</f>
        <v>450</v>
      </c>
    </row>
    <row r="3175" spans="1:1" x14ac:dyDescent="0.25">
      <c r="A3175" s="54" t="str">
        <f>LEFT('Liste des étudiants'!$W3175,3)</f>
        <v>450</v>
      </c>
    </row>
    <row r="3176" spans="1:1" x14ac:dyDescent="0.25">
      <c r="A3176" s="54" t="str">
        <f>LEFT('Liste des étudiants'!$W3176,3)</f>
        <v>450</v>
      </c>
    </row>
    <row r="3177" spans="1:1" x14ac:dyDescent="0.25">
      <c r="A3177" s="54" t="str">
        <f>LEFT('Liste des étudiants'!$W3177,3)</f>
        <v>450</v>
      </c>
    </row>
    <row r="3178" spans="1:1" x14ac:dyDescent="0.25">
      <c r="A3178" s="54" t="str">
        <f>LEFT('Liste des étudiants'!$W3178,3)</f>
        <v>450</v>
      </c>
    </row>
    <row r="3179" spans="1:1" x14ac:dyDescent="0.25">
      <c r="A3179" s="54" t="str">
        <f>LEFT('Liste des étudiants'!$W3179,3)</f>
        <v>450</v>
      </c>
    </row>
    <row r="3180" spans="1:1" x14ac:dyDescent="0.25">
      <c r="A3180" s="54" t="str">
        <f>LEFT('Liste des étudiants'!$W3180,3)</f>
        <v>450</v>
      </c>
    </row>
    <row r="3181" spans="1:1" x14ac:dyDescent="0.25">
      <c r="A3181" s="54" t="str">
        <f>LEFT('Liste des étudiants'!$W3181,3)</f>
        <v>450</v>
      </c>
    </row>
    <row r="3182" spans="1:1" x14ac:dyDescent="0.25">
      <c r="A3182" s="54" t="str">
        <f>LEFT('Liste des étudiants'!$W3182,3)</f>
        <v>450</v>
      </c>
    </row>
    <row r="3183" spans="1:1" x14ac:dyDescent="0.25">
      <c r="A3183" s="54" t="str">
        <f>LEFT('Liste des étudiants'!$W3183,3)</f>
        <v>450</v>
      </c>
    </row>
    <row r="3184" spans="1:1" x14ac:dyDescent="0.25">
      <c r="A3184" s="54" t="str">
        <f>LEFT('Liste des étudiants'!$W3184,3)</f>
        <v>450</v>
      </c>
    </row>
    <row r="3185" spans="1:1" x14ac:dyDescent="0.25">
      <c r="A3185" s="54" t="str">
        <f>LEFT('Liste des étudiants'!$W3185,3)</f>
        <v>450</v>
      </c>
    </row>
    <row r="3186" spans="1:1" x14ac:dyDescent="0.25">
      <c r="A3186" s="54" t="str">
        <f>LEFT('Liste des étudiants'!$W3186,3)</f>
        <v>450</v>
      </c>
    </row>
    <row r="3187" spans="1:1" x14ac:dyDescent="0.25">
      <c r="A3187" s="54" t="str">
        <f>LEFT('Liste des étudiants'!$W3187,3)</f>
        <v>450</v>
      </c>
    </row>
    <row r="3188" spans="1:1" x14ac:dyDescent="0.25">
      <c r="A3188" s="54" t="str">
        <f>LEFT('Liste des étudiants'!$W3188,3)</f>
        <v>450</v>
      </c>
    </row>
    <row r="3189" spans="1:1" x14ac:dyDescent="0.25">
      <c r="A3189" s="54" t="str">
        <f>LEFT('Liste des étudiants'!$W3189,3)</f>
        <v>450</v>
      </c>
    </row>
    <row r="3190" spans="1:1" x14ac:dyDescent="0.25">
      <c r="A3190" s="54" t="str">
        <f>LEFT('Liste des étudiants'!$W3190,3)</f>
        <v>450</v>
      </c>
    </row>
    <row r="3191" spans="1:1" x14ac:dyDescent="0.25">
      <c r="A3191" s="54" t="str">
        <f>LEFT('Liste des étudiants'!$W3191,3)</f>
        <v>450</v>
      </c>
    </row>
    <row r="3192" spans="1:1" x14ac:dyDescent="0.25">
      <c r="A3192" s="54" t="str">
        <f>LEFT('Liste des étudiants'!$W3192,3)</f>
        <v>450</v>
      </c>
    </row>
    <row r="3193" spans="1:1" x14ac:dyDescent="0.25">
      <c r="A3193" s="54" t="str">
        <f>LEFT('Liste des étudiants'!$W3193,3)</f>
        <v>450</v>
      </c>
    </row>
    <row r="3194" spans="1:1" x14ac:dyDescent="0.25">
      <c r="A3194" s="54" t="str">
        <f>LEFT('Liste des étudiants'!$W3194,3)</f>
        <v>450</v>
      </c>
    </row>
    <row r="3195" spans="1:1" x14ac:dyDescent="0.25">
      <c r="A3195" s="54" t="str">
        <f>LEFT('Liste des étudiants'!$W3195,3)</f>
        <v>450</v>
      </c>
    </row>
    <row r="3196" spans="1:1" x14ac:dyDescent="0.25">
      <c r="A3196" s="54" t="str">
        <f>LEFT('Liste des étudiants'!$W3196,3)</f>
        <v>450</v>
      </c>
    </row>
    <row r="3197" spans="1:1" x14ac:dyDescent="0.25">
      <c r="A3197" s="54" t="str">
        <f>LEFT('Liste des étudiants'!$W3197,3)</f>
        <v>450</v>
      </c>
    </row>
    <row r="3198" spans="1:1" x14ac:dyDescent="0.25">
      <c r="A3198" s="54" t="str">
        <f>LEFT('Liste des étudiants'!$W3198,3)</f>
        <v>450</v>
      </c>
    </row>
    <row r="3199" spans="1:1" x14ac:dyDescent="0.25">
      <c r="A3199" s="54" t="str">
        <f>LEFT('Liste des étudiants'!$W3199,3)</f>
        <v>450</v>
      </c>
    </row>
    <row r="3200" spans="1:1" x14ac:dyDescent="0.25">
      <c r="A3200" s="54" t="str">
        <f>LEFT('Liste des étudiants'!$W3200,3)</f>
        <v>450</v>
      </c>
    </row>
    <row r="3201" spans="1:1" x14ac:dyDescent="0.25">
      <c r="A3201" s="54" t="str">
        <f>LEFT('Liste des étudiants'!$W3201,3)</f>
        <v>450</v>
      </c>
    </row>
    <row r="3202" spans="1:1" x14ac:dyDescent="0.25">
      <c r="A3202" s="54" t="str">
        <f>LEFT('Liste des étudiants'!$W3202,3)</f>
        <v>450</v>
      </c>
    </row>
    <row r="3203" spans="1:1" x14ac:dyDescent="0.25">
      <c r="A3203" s="54" t="str">
        <f>LEFT('Liste des étudiants'!$W3203,3)</f>
        <v>450</v>
      </c>
    </row>
    <row r="3204" spans="1:1" x14ac:dyDescent="0.25">
      <c r="A3204" s="54" t="str">
        <f>LEFT('Liste des étudiants'!$W3204,3)</f>
        <v>450</v>
      </c>
    </row>
    <row r="3205" spans="1:1" x14ac:dyDescent="0.25">
      <c r="A3205" s="54" t="str">
        <f>LEFT('Liste des étudiants'!$W3205,3)</f>
        <v>450</v>
      </c>
    </row>
    <row r="3206" spans="1:1" x14ac:dyDescent="0.25">
      <c r="A3206" s="54" t="str">
        <f>LEFT('Liste des étudiants'!$W3206,3)</f>
        <v>450</v>
      </c>
    </row>
    <row r="3207" spans="1:1" x14ac:dyDescent="0.25">
      <c r="A3207" s="54" t="str">
        <f>LEFT('Liste des étudiants'!$W3207,3)</f>
        <v>450</v>
      </c>
    </row>
    <row r="3208" spans="1:1" x14ac:dyDescent="0.25">
      <c r="A3208" s="54" t="str">
        <f>LEFT('Liste des étudiants'!$W3208,3)</f>
        <v>450</v>
      </c>
    </row>
    <row r="3209" spans="1:1" x14ac:dyDescent="0.25">
      <c r="A3209" s="54" t="str">
        <f>LEFT('Liste des étudiants'!$W3209,3)</f>
        <v>450</v>
      </c>
    </row>
    <row r="3210" spans="1:1" x14ac:dyDescent="0.25">
      <c r="A3210" s="54" t="str">
        <f>LEFT('Liste des étudiants'!$W3210,3)</f>
        <v>450</v>
      </c>
    </row>
    <row r="3211" spans="1:1" x14ac:dyDescent="0.25">
      <c r="A3211" s="54" t="str">
        <f>LEFT('Liste des étudiants'!$W3211,3)</f>
        <v>450</v>
      </c>
    </row>
    <row r="3212" spans="1:1" x14ac:dyDescent="0.25">
      <c r="A3212" s="54" t="str">
        <f>LEFT('Liste des étudiants'!$W3212,3)</f>
        <v>450</v>
      </c>
    </row>
    <row r="3213" spans="1:1" x14ac:dyDescent="0.25">
      <c r="A3213" s="54" t="str">
        <f>LEFT('Liste des étudiants'!$W3213,3)</f>
        <v>450</v>
      </c>
    </row>
    <row r="3214" spans="1:1" x14ac:dyDescent="0.25">
      <c r="A3214" s="54" t="str">
        <f>LEFT('Liste des étudiants'!$W3214,3)</f>
        <v>450</v>
      </c>
    </row>
    <row r="3215" spans="1:1" x14ac:dyDescent="0.25">
      <c r="A3215" s="54" t="str">
        <f>LEFT('Liste des étudiants'!$W3215,3)</f>
        <v>450</v>
      </c>
    </row>
    <row r="3216" spans="1:1" x14ac:dyDescent="0.25">
      <c r="A3216" s="54" t="str">
        <f>LEFT('Liste des étudiants'!$W3216,3)</f>
        <v>450</v>
      </c>
    </row>
    <row r="3217" spans="1:1" x14ac:dyDescent="0.25">
      <c r="A3217" s="54" t="str">
        <f>LEFT('Liste des étudiants'!$W3217,3)</f>
        <v>450</v>
      </c>
    </row>
    <row r="3218" spans="1:1" x14ac:dyDescent="0.25">
      <c r="A3218" s="54" t="str">
        <f>LEFT('Liste des étudiants'!$W3218,3)</f>
        <v>450</v>
      </c>
    </row>
    <row r="3219" spans="1:1" x14ac:dyDescent="0.25">
      <c r="A3219" s="54" t="str">
        <f>LEFT('Liste des étudiants'!$W3219,3)</f>
        <v>450</v>
      </c>
    </row>
    <row r="3220" spans="1:1" x14ac:dyDescent="0.25">
      <c r="A3220" s="54" t="str">
        <f>LEFT('Liste des étudiants'!$W3220,3)</f>
        <v>450</v>
      </c>
    </row>
    <row r="3221" spans="1:1" x14ac:dyDescent="0.25">
      <c r="A3221" s="54" t="str">
        <f>LEFT('Liste des étudiants'!$W3221,3)</f>
        <v>450</v>
      </c>
    </row>
    <row r="3222" spans="1:1" x14ac:dyDescent="0.25">
      <c r="A3222" s="54" t="str">
        <f>LEFT('Liste des étudiants'!$W3222,3)</f>
        <v>450</v>
      </c>
    </row>
    <row r="3223" spans="1:1" x14ac:dyDescent="0.25">
      <c r="A3223" s="54" t="str">
        <f>LEFT('Liste des étudiants'!$W3223,3)</f>
        <v>450</v>
      </c>
    </row>
    <row r="3224" spans="1:1" x14ac:dyDescent="0.25">
      <c r="A3224" s="54" t="str">
        <f>LEFT('Liste des étudiants'!$W3224,3)</f>
        <v>450</v>
      </c>
    </row>
    <row r="3225" spans="1:1" x14ac:dyDescent="0.25">
      <c r="A3225" s="54" t="str">
        <f>LEFT('Liste des étudiants'!$W3225,3)</f>
        <v>450</v>
      </c>
    </row>
    <row r="3226" spans="1:1" x14ac:dyDescent="0.25">
      <c r="A3226" s="54" t="str">
        <f>LEFT('Liste des étudiants'!$W3226,3)</f>
        <v>450</v>
      </c>
    </row>
    <row r="3227" spans="1:1" x14ac:dyDescent="0.25">
      <c r="A3227" s="54" t="str">
        <f>LEFT('Liste des étudiants'!$W3227,3)</f>
        <v>450</v>
      </c>
    </row>
    <row r="3228" spans="1:1" x14ac:dyDescent="0.25">
      <c r="A3228" s="54" t="str">
        <f>LEFT('Liste des étudiants'!$W3228,3)</f>
        <v>450</v>
      </c>
    </row>
    <row r="3229" spans="1:1" x14ac:dyDescent="0.25">
      <c r="A3229" s="54" t="str">
        <f>LEFT('Liste des étudiants'!$W3229,3)</f>
        <v>450</v>
      </c>
    </row>
    <row r="3230" spans="1:1" x14ac:dyDescent="0.25">
      <c r="A3230" s="54" t="str">
        <f>LEFT('Liste des étudiants'!$W3230,3)</f>
        <v>450</v>
      </c>
    </row>
    <row r="3231" spans="1:1" x14ac:dyDescent="0.25">
      <c r="A3231" s="54" t="str">
        <f>LEFT('Liste des étudiants'!$W3231,3)</f>
        <v>450</v>
      </c>
    </row>
    <row r="3232" spans="1:1" x14ac:dyDescent="0.25">
      <c r="A3232" s="54" t="str">
        <f>LEFT('Liste des étudiants'!$W3232,3)</f>
        <v>450</v>
      </c>
    </row>
    <row r="3233" spans="1:1" x14ac:dyDescent="0.25">
      <c r="A3233" s="54" t="str">
        <f>LEFT('Liste des étudiants'!$W3233,3)</f>
        <v>450</v>
      </c>
    </row>
    <row r="3234" spans="1:1" x14ac:dyDescent="0.25">
      <c r="A3234" s="54" t="str">
        <f>LEFT('Liste des étudiants'!$W3234,3)</f>
        <v>450</v>
      </c>
    </row>
    <row r="3235" spans="1:1" x14ac:dyDescent="0.25">
      <c r="A3235" s="54" t="str">
        <f>LEFT('Liste des étudiants'!$W3235,3)</f>
        <v>450</v>
      </c>
    </row>
    <row r="3236" spans="1:1" x14ac:dyDescent="0.25">
      <c r="A3236" s="54" t="str">
        <f>LEFT('Liste des étudiants'!$W3236,3)</f>
        <v>450</v>
      </c>
    </row>
    <row r="3237" spans="1:1" x14ac:dyDescent="0.25">
      <c r="A3237" s="54" t="str">
        <f>LEFT('Liste des étudiants'!$W3237,3)</f>
        <v>450</v>
      </c>
    </row>
    <row r="3238" spans="1:1" x14ac:dyDescent="0.25">
      <c r="A3238" s="54" t="str">
        <f>LEFT('Liste des étudiants'!$W3238,3)</f>
        <v>450</v>
      </c>
    </row>
    <row r="3239" spans="1:1" x14ac:dyDescent="0.25">
      <c r="A3239" s="54" t="str">
        <f>LEFT('Liste des étudiants'!$W3239,3)</f>
        <v>450</v>
      </c>
    </row>
    <row r="3240" spans="1:1" x14ac:dyDescent="0.25">
      <c r="A3240" s="54" t="str">
        <f>LEFT('Liste des étudiants'!$W3240,3)</f>
        <v>450</v>
      </c>
    </row>
    <row r="3241" spans="1:1" x14ac:dyDescent="0.25">
      <c r="A3241" s="54" t="str">
        <f>LEFT('Liste des étudiants'!$W3241,3)</f>
        <v>450</v>
      </c>
    </row>
    <row r="3242" spans="1:1" x14ac:dyDescent="0.25">
      <c r="A3242" s="54" t="str">
        <f>LEFT('Liste des étudiants'!$W3242,3)</f>
        <v>450</v>
      </c>
    </row>
    <row r="3243" spans="1:1" x14ac:dyDescent="0.25">
      <c r="A3243" s="54" t="str">
        <f>LEFT('Liste des étudiants'!$W3243,3)</f>
        <v>450</v>
      </c>
    </row>
    <row r="3244" spans="1:1" x14ac:dyDescent="0.25">
      <c r="A3244" s="54" t="str">
        <f>LEFT('Liste des étudiants'!$W3244,3)</f>
        <v>450</v>
      </c>
    </row>
    <row r="3245" spans="1:1" x14ac:dyDescent="0.25">
      <c r="A3245" s="54" t="str">
        <f>LEFT('Liste des étudiants'!$W3245,3)</f>
        <v>450</v>
      </c>
    </row>
    <row r="3246" spans="1:1" x14ac:dyDescent="0.25">
      <c r="A3246" s="54" t="str">
        <f>LEFT('Liste des étudiants'!$W3246,3)</f>
        <v>450</v>
      </c>
    </row>
    <row r="3247" spans="1:1" x14ac:dyDescent="0.25">
      <c r="A3247" s="54" t="str">
        <f>LEFT('Liste des étudiants'!$W3247,3)</f>
        <v>450</v>
      </c>
    </row>
    <row r="3248" spans="1:1" x14ac:dyDescent="0.25">
      <c r="A3248" s="54" t="str">
        <f>LEFT('Liste des étudiants'!$W3248,3)</f>
        <v>450</v>
      </c>
    </row>
    <row r="3249" spans="1:1" x14ac:dyDescent="0.25">
      <c r="A3249" s="54" t="str">
        <f>LEFT('Liste des étudiants'!$W3249,3)</f>
        <v>450</v>
      </c>
    </row>
    <row r="3250" spans="1:1" x14ac:dyDescent="0.25">
      <c r="A3250" s="54" t="str">
        <f>LEFT('Liste des étudiants'!$W3250,3)</f>
        <v>450</v>
      </c>
    </row>
    <row r="3251" spans="1:1" x14ac:dyDescent="0.25">
      <c r="A3251" s="54" t="str">
        <f>LEFT('Liste des étudiants'!$W3251,3)</f>
        <v>450</v>
      </c>
    </row>
    <row r="3252" spans="1:1" x14ac:dyDescent="0.25">
      <c r="A3252" s="54" t="str">
        <f>LEFT('Liste des étudiants'!$W3252,3)</f>
        <v>450</v>
      </c>
    </row>
    <row r="3253" spans="1:1" x14ac:dyDescent="0.25">
      <c r="A3253" s="54" t="str">
        <f>LEFT('Liste des étudiants'!$W3253,3)</f>
        <v>450</v>
      </c>
    </row>
    <row r="3254" spans="1:1" x14ac:dyDescent="0.25">
      <c r="A3254" s="54" t="str">
        <f>LEFT('Liste des étudiants'!$W3254,3)</f>
        <v>450</v>
      </c>
    </row>
    <row r="3255" spans="1:1" x14ac:dyDescent="0.25">
      <c r="A3255" s="54" t="str">
        <f>LEFT('Liste des étudiants'!$W3255,3)</f>
        <v>450</v>
      </c>
    </row>
    <row r="3256" spans="1:1" x14ac:dyDescent="0.25">
      <c r="A3256" s="54" t="str">
        <f>LEFT('Liste des étudiants'!$W3256,3)</f>
        <v>450</v>
      </c>
    </row>
    <row r="3257" spans="1:1" x14ac:dyDescent="0.25">
      <c r="A3257" s="54" t="str">
        <f>LEFT('Liste des étudiants'!$W3257,3)</f>
        <v>450</v>
      </c>
    </row>
    <row r="3258" spans="1:1" x14ac:dyDescent="0.25">
      <c r="A3258" s="54" t="str">
        <f>LEFT('Liste des étudiants'!$W3258,3)</f>
        <v>450</v>
      </c>
    </row>
    <row r="3259" spans="1:1" x14ac:dyDescent="0.25">
      <c r="A3259" s="54" t="str">
        <f>LEFT('Liste des étudiants'!$W3259,3)</f>
        <v>450</v>
      </c>
    </row>
    <row r="3260" spans="1:1" x14ac:dyDescent="0.25">
      <c r="A3260" s="54" t="str">
        <f>LEFT('Liste des étudiants'!$W3260,3)</f>
        <v>450</v>
      </c>
    </row>
    <row r="3261" spans="1:1" x14ac:dyDescent="0.25">
      <c r="A3261" s="54" t="str">
        <f>LEFT('Liste des étudiants'!$W3261,3)</f>
        <v>450</v>
      </c>
    </row>
    <row r="3262" spans="1:1" x14ac:dyDescent="0.25">
      <c r="A3262" s="54" t="str">
        <f>LEFT('Liste des étudiants'!$W3262,3)</f>
        <v>450</v>
      </c>
    </row>
    <row r="3263" spans="1:1" x14ac:dyDescent="0.25">
      <c r="A3263" s="54" t="str">
        <f>LEFT('Liste des étudiants'!$W3263,3)</f>
        <v>450</v>
      </c>
    </row>
    <row r="3264" spans="1:1" x14ac:dyDescent="0.25">
      <c r="A3264" s="54" t="str">
        <f>LEFT('Liste des étudiants'!$W3264,3)</f>
        <v>450</v>
      </c>
    </row>
    <row r="3265" spans="1:1" x14ac:dyDescent="0.25">
      <c r="A3265" s="54" t="str">
        <f>LEFT('Liste des étudiants'!$W3265,3)</f>
        <v>450</v>
      </c>
    </row>
    <row r="3266" spans="1:1" x14ac:dyDescent="0.25">
      <c r="A3266" s="54" t="str">
        <f>LEFT('Liste des étudiants'!$W3266,3)</f>
        <v>450</v>
      </c>
    </row>
    <row r="3267" spans="1:1" x14ac:dyDescent="0.25">
      <c r="A3267" s="54" t="str">
        <f>LEFT('Liste des étudiants'!$W3267,3)</f>
        <v>450</v>
      </c>
    </row>
    <row r="3268" spans="1:1" x14ac:dyDescent="0.25">
      <c r="A3268" s="54" t="str">
        <f>LEFT('Liste des étudiants'!$W3268,3)</f>
        <v>450</v>
      </c>
    </row>
    <row r="3269" spans="1:1" x14ac:dyDescent="0.25">
      <c r="A3269" s="54" t="str">
        <f>LEFT('Liste des étudiants'!$W3269,3)</f>
        <v>450</v>
      </c>
    </row>
    <row r="3270" spans="1:1" x14ac:dyDescent="0.25">
      <c r="A3270" s="54" t="str">
        <f>LEFT('Liste des étudiants'!$W3270,3)</f>
        <v>450</v>
      </c>
    </row>
    <row r="3271" spans="1:1" x14ac:dyDescent="0.25">
      <c r="A3271" s="54" t="str">
        <f>LEFT('Liste des étudiants'!$W3271,3)</f>
        <v>450</v>
      </c>
    </row>
    <row r="3272" spans="1:1" x14ac:dyDescent="0.25">
      <c r="A3272" s="54" t="str">
        <f>LEFT('Liste des étudiants'!$W3272,3)</f>
        <v>450</v>
      </c>
    </row>
    <row r="3273" spans="1:1" x14ac:dyDescent="0.25">
      <c r="A3273" s="54" t="str">
        <f>LEFT('Liste des étudiants'!$W3273,3)</f>
        <v>450</v>
      </c>
    </row>
    <row r="3274" spans="1:1" x14ac:dyDescent="0.25">
      <c r="A3274" s="54" t="str">
        <f>LEFT('Liste des étudiants'!$W3274,3)</f>
        <v>450</v>
      </c>
    </row>
    <row r="3275" spans="1:1" x14ac:dyDescent="0.25">
      <c r="A3275" s="54" t="str">
        <f>LEFT('Liste des étudiants'!$W3275,3)</f>
        <v>450</v>
      </c>
    </row>
    <row r="3276" spans="1:1" x14ac:dyDescent="0.25">
      <c r="A3276" s="54" t="str">
        <f>LEFT('Liste des étudiants'!$W3276,3)</f>
        <v>450</v>
      </c>
    </row>
    <row r="3277" spans="1:1" x14ac:dyDescent="0.25">
      <c r="A3277" s="54" t="str">
        <f>LEFT('Liste des étudiants'!$W3277,3)</f>
        <v>450</v>
      </c>
    </row>
    <row r="3278" spans="1:1" x14ac:dyDescent="0.25">
      <c r="A3278" s="54" t="str">
        <f>LEFT('Liste des étudiants'!$W3278,3)</f>
        <v>450</v>
      </c>
    </row>
    <row r="3279" spans="1:1" x14ac:dyDescent="0.25">
      <c r="A3279" s="54" t="str">
        <f>LEFT('Liste des étudiants'!$W3279,3)</f>
        <v>450</v>
      </c>
    </row>
    <row r="3280" spans="1:1" x14ac:dyDescent="0.25">
      <c r="A3280" s="54" t="str">
        <f>LEFT('Liste des étudiants'!$W3280,3)</f>
        <v>450</v>
      </c>
    </row>
    <row r="3281" spans="1:1" x14ac:dyDescent="0.25">
      <c r="A3281" s="54" t="str">
        <f>LEFT('Liste des étudiants'!$W3281,3)</f>
        <v>450</v>
      </c>
    </row>
    <row r="3282" spans="1:1" x14ac:dyDescent="0.25">
      <c r="A3282" s="54" t="str">
        <f>LEFT('Liste des étudiants'!$W3282,3)</f>
        <v>450</v>
      </c>
    </row>
    <row r="3283" spans="1:1" x14ac:dyDescent="0.25">
      <c r="A3283" s="54" t="str">
        <f>LEFT('Liste des étudiants'!$W3283,3)</f>
        <v>450</v>
      </c>
    </row>
    <row r="3284" spans="1:1" x14ac:dyDescent="0.25">
      <c r="A3284" s="54" t="str">
        <f>LEFT('Liste des étudiants'!$W3284,3)</f>
        <v>450</v>
      </c>
    </row>
    <row r="3285" spans="1:1" x14ac:dyDescent="0.25">
      <c r="A3285" s="54" t="str">
        <f>LEFT('Liste des étudiants'!$W3285,3)</f>
        <v>450</v>
      </c>
    </row>
    <row r="3286" spans="1:1" x14ac:dyDescent="0.25">
      <c r="A3286" s="54" t="str">
        <f>LEFT('Liste des étudiants'!$W3286,3)</f>
        <v>450</v>
      </c>
    </row>
    <row r="3287" spans="1:1" x14ac:dyDescent="0.25">
      <c r="A3287" s="54" t="str">
        <f>LEFT('Liste des étudiants'!$W3287,3)</f>
        <v>450</v>
      </c>
    </row>
    <row r="3288" spans="1:1" x14ac:dyDescent="0.25">
      <c r="A3288" s="54" t="str">
        <f>LEFT('Liste des étudiants'!$W3288,3)</f>
        <v>450</v>
      </c>
    </row>
    <row r="3289" spans="1:1" x14ac:dyDescent="0.25">
      <c r="A3289" s="54" t="str">
        <f>LEFT('Liste des étudiants'!$W3289,3)</f>
        <v>450</v>
      </c>
    </row>
    <row r="3290" spans="1:1" x14ac:dyDescent="0.25">
      <c r="A3290" s="54" t="str">
        <f>LEFT('Liste des étudiants'!$W3290,3)</f>
        <v>450</v>
      </c>
    </row>
    <row r="3291" spans="1:1" x14ac:dyDescent="0.25">
      <c r="A3291" s="54" t="str">
        <f>LEFT('Liste des étudiants'!$W3291,3)</f>
        <v>450</v>
      </c>
    </row>
    <row r="3292" spans="1:1" x14ac:dyDescent="0.25">
      <c r="A3292" s="54" t="str">
        <f>LEFT('Liste des étudiants'!$W3292,3)</f>
        <v>450</v>
      </c>
    </row>
    <row r="3293" spans="1:1" x14ac:dyDescent="0.25">
      <c r="A3293" s="54" t="str">
        <f>LEFT('Liste des étudiants'!$W3293,3)</f>
        <v>450</v>
      </c>
    </row>
    <row r="3294" spans="1:1" x14ac:dyDescent="0.25">
      <c r="A3294" s="54" t="str">
        <f>LEFT('Liste des étudiants'!$W3294,3)</f>
        <v>450</v>
      </c>
    </row>
    <row r="3295" spans="1:1" x14ac:dyDescent="0.25">
      <c r="A3295" s="54" t="str">
        <f>LEFT('Liste des étudiants'!$W3295,3)</f>
        <v>450</v>
      </c>
    </row>
    <row r="3296" spans="1:1" x14ac:dyDescent="0.25">
      <c r="A3296" s="54" t="str">
        <f>LEFT('Liste des étudiants'!$W3296,3)</f>
        <v>450</v>
      </c>
    </row>
    <row r="3297" spans="1:1" x14ac:dyDescent="0.25">
      <c r="A3297" s="54" t="str">
        <f>LEFT('Liste des étudiants'!$W3297,3)</f>
        <v>450</v>
      </c>
    </row>
    <row r="3298" spans="1:1" x14ac:dyDescent="0.25">
      <c r="A3298" s="54" t="str">
        <f>LEFT('Liste des étudiants'!$W3298,3)</f>
        <v>450</v>
      </c>
    </row>
    <row r="3299" spans="1:1" x14ac:dyDescent="0.25">
      <c r="A3299" s="54" t="str">
        <f>LEFT('Liste des étudiants'!$W3299,3)</f>
        <v>450</v>
      </c>
    </row>
    <row r="3300" spans="1:1" x14ac:dyDescent="0.25">
      <c r="A3300" s="54" t="str">
        <f>LEFT('Liste des étudiants'!$W3300,3)</f>
        <v>450</v>
      </c>
    </row>
    <row r="3301" spans="1:1" x14ac:dyDescent="0.25">
      <c r="A3301" s="54" t="str">
        <f>LEFT('Liste des étudiants'!$W3301,3)</f>
        <v>450</v>
      </c>
    </row>
    <row r="3302" spans="1:1" x14ac:dyDescent="0.25">
      <c r="A3302" s="54" t="str">
        <f>LEFT('Liste des étudiants'!$W3302,3)</f>
        <v>450</v>
      </c>
    </row>
    <row r="3303" spans="1:1" x14ac:dyDescent="0.25">
      <c r="A3303" s="54" t="str">
        <f>LEFT('Liste des étudiants'!$W3303,3)</f>
        <v>450</v>
      </c>
    </row>
    <row r="3304" spans="1:1" x14ac:dyDescent="0.25">
      <c r="A3304" s="54" t="str">
        <f>LEFT('Liste des étudiants'!$W3304,3)</f>
        <v>450</v>
      </c>
    </row>
    <row r="3305" spans="1:1" x14ac:dyDescent="0.25">
      <c r="A3305" s="54" t="str">
        <f>LEFT('Liste des étudiants'!$W3305,3)</f>
        <v>450</v>
      </c>
    </row>
    <row r="3306" spans="1:1" x14ac:dyDescent="0.25">
      <c r="A3306" s="54" t="str">
        <f>LEFT('Liste des étudiants'!$W3306,3)</f>
        <v>450</v>
      </c>
    </row>
    <row r="3307" spans="1:1" x14ac:dyDescent="0.25">
      <c r="A3307" s="54" t="str">
        <f>LEFT('Liste des étudiants'!$W3307,3)</f>
        <v>450</v>
      </c>
    </row>
    <row r="3308" spans="1:1" x14ac:dyDescent="0.25">
      <c r="A3308" s="54" t="str">
        <f>LEFT('Liste des étudiants'!$W3308,3)</f>
        <v>450</v>
      </c>
    </row>
    <row r="3309" spans="1:1" x14ac:dyDescent="0.25">
      <c r="A3309" s="54" t="str">
        <f>LEFT('Liste des étudiants'!$W3309,3)</f>
        <v>450</v>
      </c>
    </row>
    <row r="3310" spans="1:1" x14ac:dyDescent="0.25">
      <c r="A3310" s="54" t="str">
        <f>LEFT('Liste des étudiants'!$W3310,3)</f>
        <v>450</v>
      </c>
    </row>
    <row r="3311" spans="1:1" x14ac:dyDescent="0.25">
      <c r="A3311" s="54" t="str">
        <f>LEFT('Liste des étudiants'!$W3311,3)</f>
        <v>450</v>
      </c>
    </row>
    <row r="3312" spans="1:1" x14ac:dyDescent="0.25">
      <c r="A3312" s="54" t="str">
        <f>LEFT('Liste des étudiants'!$W3312,3)</f>
        <v>450</v>
      </c>
    </row>
    <row r="3313" spans="1:1" x14ac:dyDescent="0.25">
      <c r="A3313" s="54" t="str">
        <f>LEFT('Liste des étudiants'!$W3313,3)</f>
        <v>450</v>
      </c>
    </row>
    <row r="3314" spans="1:1" x14ac:dyDescent="0.25">
      <c r="A3314" s="54" t="str">
        <f>LEFT('Liste des étudiants'!$W3314,3)</f>
        <v>450</v>
      </c>
    </row>
    <row r="3315" spans="1:1" x14ac:dyDescent="0.25">
      <c r="A3315" s="54" t="str">
        <f>LEFT('Liste des étudiants'!$W3315,3)</f>
        <v>450</v>
      </c>
    </row>
    <row r="3316" spans="1:1" x14ac:dyDescent="0.25">
      <c r="A3316" s="54" t="str">
        <f>LEFT('Liste des étudiants'!$W3316,3)</f>
        <v>450</v>
      </c>
    </row>
    <row r="3317" spans="1:1" x14ac:dyDescent="0.25">
      <c r="A3317" s="54" t="str">
        <f>LEFT('Liste des étudiants'!$W3317,3)</f>
        <v>450</v>
      </c>
    </row>
    <row r="3318" spans="1:1" x14ac:dyDescent="0.25">
      <c r="A3318" s="54" t="str">
        <f>LEFT('Liste des étudiants'!$W3318,3)</f>
        <v>450</v>
      </c>
    </row>
    <row r="3319" spans="1:1" x14ac:dyDescent="0.25">
      <c r="A3319" s="54" t="str">
        <f>LEFT('Liste des étudiants'!$W3319,3)</f>
        <v>450</v>
      </c>
    </row>
    <row r="3320" spans="1:1" x14ac:dyDescent="0.25">
      <c r="A3320" s="54" t="str">
        <f>LEFT('Liste des étudiants'!$W3320,3)</f>
        <v>450</v>
      </c>
    </row>
    <row r="3321" spans="1:1" x14ac:dyDescent="0.25">
      <c r="A3321" s="54" t="str">
        <f>LEFT('Liste des étudiants'!$W3321,3)</f>
        <v>450</v>
      </c>
    </row>
    <row r="3322" spans="1:1" x14ac:dyDescent="0.25">
      <c r="A3322" s="54" t="str">
        <f>LEFT('Liste des étudiants'!$W3322,3)</f>
        <v>450</v>
      </c>
    </row>
    <row r="3323" spans="1:1" x14ac:dyDescent="0.25">
      <c r="A3323" s="54" t="str">
        <f>LEFT('Liste des étudiants'!$W3323,3)</f>
        <v>450</v>
      </c>
    </row>
    <row r="3324" spans="1:1" x14ac:dyDescent="0.25">
      <c r="A3324" s="54" t="str">
        <f>LEFT('Liste des étudiants'!$W3324,3)</f>
        <v>450</v>
      </c>
    </row>
    <row r="3325" spans="1:1" x14ac:dyDescent="0.25">
      <c r="A3325" s="54" t="str">
        <f>LEFT('Liste des étudiants'!$W3325,3)</f>
        <v>450</v>
      </c>
    </row>
    <row r="3326" spans="1:1" x14ac:dyDescent="0.25">
      <c r="A3326" s="54" t="str">
        <f>LEFT('Liste des étudiants'!$W3326,3)</f>
        <v>450</v>
      </c>
    </row>
    <row r="3327" spans="1:1" x14ac:dyDescent="0.25">
      <c r="A3327" s="54" t="str">
        <f>LEFT('Liste des étudiants'!$W3327,3)</f>
        <v>450</v>
      </c>
    </row>
    <row r="3328" spans="1:1" x14ac:dyDescent="0.25">
      <c r="A3328" s="54" t="str">
        <f>LEFT('Liste des étudiants'!$W3328,3)</f>
        <v>450</v>
      </c>
    </row>
    <row r="3329" spans="1:1" x14ac:dyDescent="0.25">
      <c r="A3329" s="54" t="str">
        <f>LEFT('Liste des étudiants'!$W3329,3)</f>
        <v>450</v>
      </c>
    </row>
    <row r="3330" spans="1:1" x14ac:dyDescent="0.25">
      <c r="A3330" s="54" t="str">
        <f>LEFT('Liste des étudiants'!$W3330,3)</f>
        <v>450</v>
      </c>
    </row>
    <row r="3331" spans="1:1" x14ac:dyDescent="0.25">
      <c r="A3331" s="54" t="str">
        <f>LEFT('Liste des étudiants'!$W3331,3)</f>
        <v>450</v>
      </c>
    </row>
    <row r="3332" spans="1:1" x14ac:dyDescent="0.25">
      <c r="A3332" s="54" t="str">
        <f>LEFT('Liste des étudiants'!$W3332,3)</f>
        <v>450</v>
      </c>
    </row>
    <row r="3333" spans="1:1" x14ac:dyDescent="0.25">
      <c r="A3333" s="54" t="str">
        <f>LEFT('Liste des étudiants'!$W3333,3)</f>
        <v>450</v>
      </c>
    </row>
    <row r="3334" spans="1:1" x14ac:dyDescent="0.25">
      <c r="A3334" s="54" t="str">
        <f>LEFT('Liste des étudiants'!$W3334,3)</f>
        <v>450</v>
      </c>
    </row>
    <row r="3335" spans="1:1" x14ac:dyDescent="0.25">
      <c r="A3335" s="54" t="str">
        <f>LEFT('Liste des étudiants'!$W3335,3)</f>
        <v>450</v>
      </c>
    </row>
    <row r="3336" spans="1:1" x14ac:dyDescent="0.25">
      <c r="A3336" s="54" t="str">
        <f>LEFT('Liste des étudiants'!$W3336,3)</f>
        <v>450</v>
      </c>
    </row>
    <row r="3337" spans="1:1" x14ac:dyDescent="0.25">
      <c r="A3337" s="54" t="str">
        <f>LEFT('Liste des étudiants'!$W3337,3)</f>
        <v>450</v>
      </c>
    </row>
    <row r="3338" spans="1:1" x14ac:dyDescent="0.25">
      <c r="A3338" s="54" t="str">
        <f>LEFT('Liste des étudiants'!$W3338,3)</f>
        <v>450</v>
      </c>
    </row>
    <row r="3339" spans="1:1" x14ac:dyDescent="0.25">
      <c r="A3339" s="54" t="str">
        <f>LEFT('Liste des étudiants'!$W3339,3)</f>
        <v>450</v>
      </c>
    </row>
    <row r="3340" spans="1:1" x14ac:dyDescent="0.25">
      <c r="A3340" s="54" t="str">
        <f>LEFT('Liste des étudiants'!$W3340,3)</f>
        <v>450</v>
      </c>
    </row>
    <row r="3341" spans="1:1" x14ac:dyDescent="0.25">
      <c r="A3341" s="54" t="str">
        <f>LEFT('Liste des étudiants'!$W3341,3)</f>
        <v>450</v>
      </c>
    </row>
    <row r="3342" spans="1:1" x14ac:dyDescent="0.25">
      <c r="A3342" s="54" t="str">
        <f>LEFT('Liste des étudiants'!$W3342,3)</f>
        <v>450</v>
      </c>
    </row>
    <row r="3343" spans="1:1" x14ac:dyDescent="0.25">
      <c r="A3343" s="54" t="str">
        <f>LEFT('Liste des étudiants'!$W3343,3)</f>
        <v>450</v>
      </c>
    </row>
    <row r="3344" spans="1:1" x14ac:dyDescent="0.25">
      <c r="A3344" s="54" t="str">
        <f>LEFT('Liste des étudiants'!$W3344,3)</f>
        <v>450</v>
      </c>
    </row>
    <row r="3345" spans="1:1" x14ac:dyDescent="0.25">
      <c r="A3345" s="54" t="str">
        <f>LEFT('Liste des étudiants'!$W3345,3)</f>
        <v>450</v>
      </c>
    </row>
    <row r="3346" spans="1:1" x14ac:dyDescent="0.25">
      <c r="A3346" s="54" t="str">
        <f>LEFT('Liste des étudiants'!$W3346,3)</f>
        <v>450</v>
      </c>
    </row>
    <row r="3347" spans="1:1" x14ac:dyDescent="0.25">
      <c r="A3347" s="54" t="str">
        <f>LEFT('Liste des étudiants'!$W3347,3)</f>
        <v>450</v>
      </c>
    </row>
    <row r="3348" spans="1:1" x14ac:dyDescent="0.25">
      <c r="A3348" s="54" t="str">
        <f>LEFT('Liste des étudiants'!$W3348,3)</f>
        <v>450</v>
      </c>
    </row>
    <row r="3349" spans="1:1" x14ac:dyDescent="0.25">
      <c r="A3349" s="54" t="str">
        <f>LEFT('Liste des étudiants'!$W3349,3)</f>
        <v>450</v>
      </c>
    </row>
    <row r="3350" spans="1:1" x14ac:dyDescent="0.25">
      <c r="A3350" s="54" t="str">
        <f>LEFT('Liste des étudiants'!$W3350,3)</f>
        <v>450</v>
      </c>
    </row>
    <row r="3351" spans="1:1" x14ac:dyDescent="0.25">
      <c r="A3351" s="54" t="str">
        <f>LEFT('Liste des étudiants'!$W3351,3)</f>
        <v>450</v>
      </c>
    </row>
    <row r="3352" spans="1:1" x14ac:dyDescent="0.25">
      <c r="A3352" s="54" t="str">
        <f>LEFT('Liste des étudiants'!$W3352,3)</f>
        <v>450</v>
      </c>
    </row>
    <row r="3353" spans="1:1" x14ac:dyDescent="0.25">
      <c r="A3353" s="54" t="str">
        <f>LEFT('Liste des étudiants'!$W3353,3)</f>
        <v>450</v>
      </c>
    </row>
    <row r="3354" spans="1:1" x14ac:dyDescent="0.25">
      <c r="A3354" s="54" t="str">
        <f>LEFT('Liste des étudiants'!$W3354,3)</f>
        <v>450</v>
      </c>
    </row>
    <row r="3355" spans="1:1" x14ac:dyDescent="0.25">
      <c r="A3355" s="54" t="str">
        <f>LEFT('Liste des étudiants'!$W3355,3)</f>
        <v>450</v>
      </c>
    </row>
    <row r="3356" spans="1:1" x14ac:dyDescent="0.25">
      <c r="A3356" s="54" t="str">
        <f>LEFT('Liste des étudiants'!$W3356,3)</f>
        <v>450</v>
      </c>
    </row>
    <row r="3357" spans="1:1" x14ac:dyDescent="0.25">
      <c r="A3357" s="54" t="str">
        <f>LEFT('Liste des étudiants'!$W3357,3)</f>
        <v>450</v>
      </c>
    </row>
    <row r="3358" spans="1:1" x14ac:dyDescent="0.25">
      <c r="A3358" s="54" t="str">
        <f>LEFT('Liste des étudiants'!$W3358,3)</f>
        <v>450</v>
      </c>
    </row>
    <row r="3359" spans="1:1" x14ac:dyDescent="0.25">
      <c r="A3359" s="54" t="str">
        <f>LEFT('Liste des étudiants'!$W3359,3)</f>
        <v>450</v>
      </c>
    </row>
    <row r="3360" spans="1:1" x14ac:dyDescent="0.25">
      <c r="A3360" s="54" t="str">
        <f>LEFT('Liste des étudiants'!$W3360,3)</f>
        <v>450</v>
      </c>
    </row>
    <row r="3361" spans="1:1" x14ac:dyDescent="0.25">
      <c r="A3361" s="54" t="str">
        <f>LEFT('Liste des étudiants'!$W3361,3)</f>
        <v>450</v>
      </c>
    </row>
    <row r="3362" spans="1:1" x14ac:dyDescent="0.25">
      <c r="A3362" s="54" t="str">
        <f>LEFT('Liste des étudiants'!$W3362,3)</f>
        <v>450</v>
      </c>
    </row>
    <row r="3363" spans="1:1" x14ac:dyDescent="0.25">
      <c r="A3363" s="54" t="str">
        <f>LEFT('Liste des étudiants'!$W3363,3)</f>
        <v>450</v>
      </c>
    </row>
    <row r="3364" spans="1:1" x14ac:dyDescent="0.25">
      <c r="A3364" s="54" t="str">
        <f>LEFT('Liste des étudiants'!$W3364,3)</f>
        <v>450</v>
      </c>
    </row>
    <row r="3365" spans="1:1" x14ac:dyDescent="0.25">
      <c r="A3365" s="54" t="str">
        <f>LEFT('Liste des étudiants'!$W3365,3)</f>
        <v>450</v>
      </c>
    </row>
    <row r="3366" spans="1:1" x14ac:dyDescent="0.25">
      <c r="A3366" s="54" t="str">
        <f>LEFT('Liste des étudiants'!$W3366,3)</f>
        <v>450</v>
      </c>
    </row>
    <row r="3367" spans="1:1" x14ac:dyDescent="0.25">
      <c r="A3367" s="54" t="str">
        <f>LEFT('Liste des étudiants'!$W3367,3)</f>
        <v>450</v>
      </c>
    </row>
    <row r="3368" spans="1:1" x14ac:dyDescent="0.25">
      <c r="A3368" s="54" t="str">
        <f>LEFT('Liste des étudiants'!$W3368,3)</f>
        <v>450</v>
      </c>
    </row>
    <row r="3369" spans="1:1" x14ac:dyDescent="0.25">
      <c r="A3369" s="54" t="str">
        <f>LEFT('Liste des étudiants'!$W3369,3)</f>
        <v>450</v>
      </c>
    </row>
    <row r="3370" spans="1:1" x14ac:dyDescent="0.25">
      <c r="A3370" s="54" t="str">
        <f>LEFT('Liste des étudiants'!$W3370,3)</f>
        <v>450</v>
      </c>
    </row>
    <row r="3371" spans="1:1" x14ac:dyDescent="0.25">
      <c r="A3371" s="54" t="str">
        <f>LEFT('Liste des étudiants'!$W3371,3)</f>
        <v>450</v>
      </c>
    </row>
    <row r="3372" spans="1:1" x14ac:dyDescent="0.25">
      <c r="A3372" s="54" t="str">
        <f>LEFT('Liste des étudiants'!$W3372,3)</f>
        <v>450</v>
      </c>
    </row>
    <row r="3373" spans="1:1" x14ac:dyDescent="0.25">
      <c r="A3373" s="54" t="str">
        <f>LEFT('Liste des étudiants'!$W3373,3)</f>
        <v>450</v>
      </c>
    </row>
    <row r="3374" spans="1:1" x14ac:dyDescent="0.25">
      <c r="A3374" s="54" t="str">
        <f>LEFT('Liste des étudiants'!$W3374,3)</f>
        <v>450</v>
      </c>
    </row>
    <row r="3375" spans="1:1" x14ac:dyDescent="0.25">
      <c r="A3375" s="54" t="str">
        <f>LEFT('Liste des étudiants'!$W3375,3)</f>
        <v>450</v>
      </c>
    </row>
    <row r="3376" spans="1:1" x14ac:dyDescent="0.25">
      <c r="A3376" s="54" t="str">
        <f>LEFT('Liste des étudiants'!$W3376,3)</f>
        <v>450</v>
      </c>
    </row>
    <row r="3377" spans="1:1" x14ac:dyDescent="0.25">
      <c r="A3377" s="54" t="str">
        <f>LEFT('Liste des étudiants'!$W3377,3)</f>
        <v>450</v>
      </c>
    </row>
    <row r="3378" spans="1:1" x14ac:dyDescent="0.25">
      <c r="A3378" s="54" t="str">
        <f>LEFT('Liste des étudiants'!$W3378,3)</f>
        <v>450</v>
      </c>
    </row>
    <row r="3379" spans="1:1" x14ac:dyDescent="0.25">
      <c r="A3379" s="54" t="str">
        <f>LEFT('Liste des étudiants'!$W3379,3)</f>
        <v>450</v>
      </c>
    </row>
    <row r="3380" spans="1:1" x14ac:dyDescent="0.25">
      <c r="A3380" s="54" t="str">
        <f>LEFT('Liste des étudiants'!$W3380,3)</f>
        <v>450</v>
      </c>
    </row>
    <row r="3381" spans="1:1" x14ac:dyDescent="0.25">
      <c r="A3381" s="54" t="str">
        <f>LEFT('Liste des étudiants'!$W3381,3)</f>
        <v>450</v>
      </c>
    </row>
    <row r="3382" spans="1:1" x14ac:dyDescent="0.25">
      <c r="A3382" s="54" t="str">
        <f>LEFT('Liste des étudiants'!$W3382,3)</f>
        <v>450</v>
      </c>
    </row>
    <row r="3383" spans="1:1" x14ac:dyDescent="0.25">
      <c r="A3383" s="54" t="str">
        <f>LEFT('Liste des étudiants'!$W3383,3)</f>
        <v>450</v>
      </c>
    </row>
    <row r="3384" spans="1:1" x14ac:dyDescent="0.25">
      <c r="A3384" s="54" t="str">
        <f>LEFT('Liste des étudiants'!$W3384,3)</f>
        <v>450</v>
      </c>
    </row>
    <row r="3385" spans="1:1" x14ac:dyDescent="0.25">
      <c r="A3385" s="54" t="str">
        <f>LEFT('Liste des étudiants'!$W3385,3)</f>
        <v>450</v>
      </c>
    </row>
    <row r="3386" spans="1:1" x14ac:dyDescent="0.25">
      <c r="A3386" s="54" t="str">
        <f>LEFT('Liste des étudiants'!$W3386,3)</f>
        <v>450</v>
      </c>
    </row>
    <row r="3387" spans="1:1" x14ac:dyDescent="0.25">
      <c r="A3387" s="54" t="str">
        <f>LEFT('Liste des étudiants'!$W3387,3)</f>
        <v>450</v>
      </c>
    </row>
    <row r="3388" spans="1:1" x14ac:dyDescent="0.25">
      <c r="A3388" s="54" t="str">
        <f>LEFT('Liste des étudiants'!$W3388,3)</f>
        <v>450</v>
      </c>
    </row>
    <row r="3389" spans="1:1" x14ac:dyDescent="0.25">
      <c r="A3389" s="54" t="str">
        <f>LEFT('Liste des étudiants'!$W3389,3)</f>
        <v>450</v>
      </c>
    </row>
    <row r="3390" spans="1:1" x14ac:dyDescent="0.25">
      <c r="A3390" s="54" t="str">
        <f>LEFT('Liste des étudiants'!$W3390,3)</f>
        <v>450</v>
      </c>
    </row>
    <row r="3391" spans="1:1" x14ac:dyDescent="0.25">
      <c r="A3391" s="54" t="str">
        <f>LEFT('Liste des étudiants'!$W3391,3)</f>
        <v>450</v>
      </c>
    </row>
    <row r="3392" spans="1:1" x14ac:dyDescent="0.25">
      <c r="A3392" s="54" t="str">
        <f>LEFT('Liste des étudiants'!$W3392,3)</f>
        <v>450</v>
      </c>
    </row>
    <row r="3393" spans="1:1" x14ac:dyDescent="0.25">
      <c r="A3393" s="54" t="str">
        <f>LEFT('Liste des étudiants'!$W3393,3)</f>
        <v>450</v>
      </c>
    </row>
    <row r="3394" spans="1:1" x14ac:dyDescent="0.25">
      <c r="A3394" s="54" t="str">
        <f>LEFT('Liste des étudiants'!$W3394,3)</f>
        <v>450</v>
      </c>
    </row>
    <row r="3395" spans="1:1" x14ac:dyDescent="0.25">
      <c r="A3395" s="54" t="str">
        <f>LEFT('Liste des étudiants'!$W3395,3)</f>
        <v>450</v>
      </c>
    </row>
    <row r="3396" spans="1:1" x14ac:dyDescent="0.25">
      <c r="A3396" s="54" t="str">
        <f>LEFT('Liste des étudiants'!$W3396,3)</f>
        <v>450</v>
      </c>
    </row>
    <row r="3397" spans="1:1" x14ac:dyDescent="0.25">
      <c r="A3397" s="54" t="str">
        <f>LEFT('Liste des étudiants'!$W3397,3)</f>
        <v>450</v>
      </c>
    </row>
    <row r="3398" spans="1:1" x14ac:dyDescent="0.25">
      <c r="A3398" s="54" t="str">
        <f>LEFT('Liste des étudiants'!$W3398,3)</f>
        <v>450</v>
      </c>
    </row>
    <row r="3399" spans="1:1" x14ac:dyDescent="0.25">
      <c r="A3399" s="54" t="str">
        <f>LEFT('Liste des étudiants'!$W3399,3)</f>
        <v>450</v>
      </c>
    </row>
    <row r="3400" spans="1:1" x14ac:dyDescent="0.25">
      <c r="A3400" s="54" t="str">
        <f>LEFT('Liste des étudiants'!$W3400,3)</f>
        <v>450</v>
      </c>
    </row>
    <row r="3401" spans="1:1" x14ac:dyDescent="0.25">
      <c r="A3401" s="54" t="str">
        <f>LEFT('Liste des étudiants'!$W3401,3)</f>
        <v>450</v>
      </c>
    </row>
    <row r="3402" spans="1:1" x14ac:dyDescent="0.25">
      <c r="A3402" s="54" t="str">
        <f>LEFT('Liste des étudiants'!$W3402,3)</f>
        <v>450</v>
      </c>
    </row>
    <row r="3403" spans="1:1" x14ac:dyDescent="0.25">
      <c r="A3403" s="54" t="str">
        <f>LEFT('Liste des étudiants'!$W3403,3)</f>
        <v>450</v>
      </c>
    </row>
    <row r="3404" spans="1:1" x14ac:dyDescent="0.25">
      <c r="A3404" s="54" t="str">
        <f>LEFT('Liste des étudiants'!$W3404,3)</f>
        <v>450</v>
      </c>
    </row>
    <row r="3405" spans="1:1" x14ac:dyDescent="0.25">
      <c r="A3405" s="54" t="str">
        <f>LEFT('Liste des étudiants'!$W3405,3)</f>
        <v>450</v>
      </c>
    </row>
    <row r="3406" spans="1:1" x14ac:dyDescent="0.25">
      <c r="A3406" s="54" t="str">
        <f>LEFT('Liste des étudiants'!$W3406,3)</f>
        <v>450</v>
      </c>
    </row>
    <row r="3407" spans="1:1" x14ac:dyDescent="0.25">
      <c r="A3407" s="54" t="str">
        <f>LEFT('Liste des étudiants'!$W3407,3)</f>
        <v>450</v>
      </c>
    </row>
    <row r="3408" spans="1:1" x14ac:dyDescent="0.25">
      <c r="A3408" s="54" t="str">
        <f>LEFT('Liste des étudiants'!$W3408,3)</f>
        <v>450</v>
      </c>
    </row>
    <row r="3409" spans="1:1" x14ac:dyDescent="0.25">
      <c r="A3409" s="54" t="str">
        <f>LEFT('Liste des étudiants'!$W3409,3)</f>
        <v>450</v>
      </c>
    </row>
    <row r="3410" spans="1:1" x14ac:dyDescent="0.25">
      <c r="A3410" s="54" t="str">
        <f>LEFT('Liste des étudiants'!$W3410,3)</f>
        <v>450</v>
      </c>
    </row>
    <row r="3411" spans="1:1" x14ac:dyDescent="0.25">
      <c r="A3411" s="54" t="str">
        <f>LEFT('Liste des étudiants'!$W3411,3)</f>
        <v>450</v>
      </c>
    </row>
    <row r="3412" spans="1:1" x14ac:dyDescent="0.25">
      <c r="A3412" s="54" t="str">
        <f>LEFT('Liste des étudiants'!$W3412,3)</f>
        <v>450</v>
      </c>
    </row>
    <row r="3413" spans="1:1" x14ac:dyDescent="0.25">
      <c r="A3413" s="54" t="str">
        <f>LEFT('Liste des étudiants'!$W3413,3)</f>
        <v>450</v>
      </c>
    </row>
    <row r="3414" spans="1:1" x14ac:dyDescent="0.25">
      <c r="A3414" s="54" t="str">
        <f>LEFT('Liste des étudiants'!$W3414,3)</f>
        <v>450</v>
      </c>
    </row>
    <row r="3415" spans="1:1" x14ac:dyDescent="0.25">
      <c r="A3415" s="54" t="str">
        <f>LEFT('Liste des étudiants'!$W3415,3)</f>
        <v>450</v>
      </c>
    </row>
    <row r="3416" spans="1:1" x14ac:dyDescent="0.25">
      <c r="A3416" s="54" t="str">
        <f>LEFT('Liste des étudiants'!$W3416,3)</f>
        <v>450</v>
      </c>
    </row>
    <row r="3417" spans="1:1" x14ac:dyDescent="0.25">
      <c r="A3417" s="54" t="str">
        <f>LEFT('Liste des étudiants'!$W3417,3)</f>
        <v>450</v>
      </c>
    </row>
    <row r="3418" spans="1:1" x14ac:dyDescent="0.25">
      <c r="A3418" s="54" t="str">
        <f>LEFT('Liste des étudiants'!$W3418,3)</f>
        <v>450</v>
      </c>
    </row>
    <row r="3419" spans="1:1" x14ac:dyDescent="0.25">
      <c r="A3419" s="54" t="str">
        <f>LEFT('Liste des étudiants'!$W3419,3)</f>
        <v>450</v>
      </c>
    </row>
    <row r="3420" spans="1:1" x14ac:dyDescent="0.25">
      <c r="A3420" s="54" t="str">
        <f>LEFT('Liste des étudiants'!$W3420,3)</f>
        <v>450</v>
      </c>
    </row>
    <row r="3421" spans="1:1" x14ac:dyDescent="0.25">
      <c r="A3421" s="54" t="str">
        <f>LEFT('Liste des étudiants'!$W3421,3)</f>
        <v>450</v>
      </c>
    </row>
    <row r="3422" spans="1:1" x14ac:dyDescent="0.25">
      <c r="A3422" s="54" t="str">
        <f>LEFT('Liste des étudiants'!$W3422,3)</f>
        <v>450</v>
      </c>
    </row>
    <row r="3423" spans="1:1" x14ac:dyDescent="0.25">
      <c r="A3423" s="54" t="str">
        <f>LEFT('Liste des étudiants'!$W3423,3)</f>
        <v>450</v>
      </c>
    </row>
    <row r="3424" spans="1:1" x14ac:dyDescent="0.25">
      <c r="A3424" s="54" t="str">
        <f>LEFT('Liste des étudiants'!$W3424,3)</f>
        <v>450</v>
      </c>
    </row>
    <row r="3425" spans="1:1" x14ac:dyDescent="0.25">
      <c r="A3425" s="54" t="str">
        <f>LEFT('Liste des étudiants'!$W3425,3)</f>
        <v>450</v>
      </c>
    </row>
    <row r="3426" spans="1:1" x14ac:dyDescent="0.25">
      <c r="A3426" s="54" t="str">
        <f>LEFT('Liste des étudiants'!$W3426,3)</f>
        <v>450</v>
      </c>
    </row>
    <row r="3427" spans="1:1" x14ac:dyDescent="0.25">
      <c r="A3427" s="54" t="str">
        <f>LEFT('Liste des étudiants'!$W3427,3)</f>
        <v>450</v>
      </c>
    </row>
    <row r="3428" spans="1:1" x14ac:dyDescent="0.25">
      <c r="A3428" s="54" t="str">
        <f>LEFT('Liste des étudiants'!$W3428,3)</f>
        <v>450</v>
      </c>
    </row>
    <row r="3429" spans="1:1" x14ac:dyDescent="0.25">
      <c r="A3429" s="54" t="str">
        <f>LEFT('Liste des étudiants'!$W3429,3)</f>
        <v>450</v>
      </c>
    </row>
    <row r="3430" spans="1:1" x14ac:dyDescent="0.25">
      <c r="A3430" s="54" t="str">
        <f>LEFT('Liste des étudiants'!$W3430,3)</f>
        <v>450</v>
      </c>
    </row>
    <row r="3431" spans="1:1" x14ac:dyDescent="0.25">
      <c r="A3431" s="54" t="str">
        <f>LEFT('Liste des étudiants'!$W3431,3)</f>
        <v>450</v>
      </c>
    </row>
    <row r="3432" spans="1:1" x14ac:dyDescent="0.25">
      <c r="A3432" s="54" t="str">
        <f>LEFT('Liste des étudiants'!$W3432,3)</f>
        <v>450</v>
      </c>
    </row>
    <row r="3433" spans="1:1" x14ac:dyDescent="0.25">
      <c r="A3433" s="54" t="str">
        <f>LEFT('Liste des étudiants'!$W3433,3)</f>
        <v>450</v>
      </c>
    </row>
    <row r="3434" spans="1:1" x14ac:dyDescent="0.25">
      <c r="A3434" s="54" t="str">
        <f>LEFT('Liste des étudiants'!$W3434,3)</f>
        <v>450</v>
      </c>
    </row>
    <row r="3435" spans="1:1" x14ac:dyDescent="0.25">
      <c r="A3435" s="54" t="str">
        <f>LEFT('Liste des étudiants'!$W3435,3)</f>
        <v>450</v>
      </c>
    </row>
    <row r="3436" spans="1:1" x14ac:dyDescent="0.25">
      <c r="A3436" s="54" t="str">
        <f>LEFT('Liste des étudiants'!$W3436,3)</f>
        <v>450</v>
      </c>
    </row>
    <row r="3437" spans="1:1" x14ac:dyDescent="0.25">
      <c r="A3437" s="54" t="str">
        <f>LEFT('Liste des étudiants'!$W3437,3)</f>
        <v>450</v>
      </c>
    </row>
    <row r="3438" spans="1:1" x14ac:dyDescent="0.25">
      <c r="A3438" s="54" t="str">
        <f>LEFT('Liste des étudiants'!$W3438,3)</f>
        <v>450</v>
      </c>
    </row>
    <row r="3439" spans="1:1" x14ac:dyDescent="0.25">
      <c r="A3439" s="54" t="str">
        <f>LEFT('Liste des étudiants'!$W3439,3)</f>
        <v>450</v>
      </c>
    </row>
    <row r="3440" spans="1:1" x14ac:dyDescent="0.25">
      <c r="A3440" s="54" t="str">
        <f>LEFT('Liste des étudiants'!$W3440,3)</f>
        <v>450</v>
      </c>
    </row>
    <row r="3441" spans="1:1" x14ac:dyDescent="0.25">
      <c r="A3441" s="54" t="str">
        <f>LEFT('Liste des étudiants'!$W3441,3)</f>
        <v>450</v>
      </c>
    </row>
    <row r="3442" spans="1:1" x14ac:dyDescent="0.25">
      <c r="A3442" s="54" t="str">
        <f>LEFT('Liste des étudiants'!$W3442,3)</f>
        <v>450</v>
      </c>
    </row>
    <row r="3443" spans="1:1" x14ac:dyDescent="0.25">
      <c r="A3443" s="54" t="str">
        <f>LEFT('Liste des étudiants'!$W3443,3)</f>
        <v>450</v>
      </c>
    </row>
    <row r="3444" spans="1:1" x14ac:dyDescent="0.25">
      <c r="A3444" s="54" t="str">
        <f>LEFT('Liste des étudiants'!$W3444,3)</f>
        <v>450</v>
      </c>
    </row>
    <row r="3445" spans="1:1" x14ac:dyDescent="0.25">
      <c r="A3445" s="54" t="str">
        <f>LEFT('Liste des étudiants'!$W3445,3)</f>
        <v>450</v>
      </c>
    </row>
    <row r="3446" spans="1:1" x14ac:dyDescent="0.25">
      <c r="A3446" s="54" t="str">
        <f>LEFT('Liste des étudiants'!$W3446,3)</f>
        <v>450</v>
      </c>
    </row>
    <row r="3447" spans="1:1" x14ac:dyDescent="0.25">
      <c r="A3447" s="54" t="str">
        <f>LEFT('Liste des étudiants'!$W3447,3)</f>
        <v>450</v>
      </c>
    </row>
    <row r="3448" spans="1:1" x14ac:dyDescent="0.25">
      <c r="A3448" s="54" t="str">
        <f>LEFT('Liste des étudiants'!$W3448,3)</f>
        <v>450</v>
      </c>
    </row>
    <row r="3449" spans="1:1" x14ac:dyDescent="0.25">
      <c r="A3449" s="54" t="str">
        <f>LEFT('Liste des étudiants'!$W3449,3)</f>
        <v>450</v>
      </c>
    </row>
    <row r="3450" spans="1:1" x14ac:dyDescent="0.25">
      <c r="A3450" s="54" t="str">
        <f>LEFT('Liste des étudiants'!$W3450,3)</f>
        <v>450</v>
      </c>
    </row>
    <row r="3451" spans="1:1" x14ac:dyDescent="0.25">
      <c r="A3451" s="54" t="str">
        <f>LEFT('Liste des étudiants'!$W3451,3)</f>
        <v>450</v>
      </c>
    </row>
    <row r="3452" spans="1:1" x14ac:dyDescent="0.25">
      <c r="A3452" s="54" t="str">
        <f>LEFT('Liste des étudiants'!$W3452,3)</f>
        <v>450</v>
      </c>
    </row>
    <row r="3453" spans="1:1" x14ac:dyDescent="0.25">
      <c r="A3453" s="54" t="str">
        <f>LEFT('Liste des étudiants'!$W3453,3)</f>
        <v>450</v>
      </c>
    </row>
    <row r="3454" spans="1:1" x14ac:dyDescent="0.25">
      <c r="A3454" s="54" t="str">
        <f>LEFT('Liste des étudiants'!$W3454,3)</f>
        <v>450</v>
      </c>
    </row>
    <row r="3455" spans="1:1" x14ac:dyDescent="0.25">
      <c r="A3455" s="54" t="str">
        <f>LEFT('Liste des étudiants'!$W3455,3)</f>
        <v>450</v>
      </c>
    </row>
    <row r="3456" spans="1:1" x14ac:dyDescent="0.25">
      <c r="A3456" s="54" t="str">
        <f>LEFT('Liste des étudiants'!$W3456,3)</f>
        <v>450</v>
      </c>
    </row>
    <row r="3457" spans="1:1" x14ac:dyDescent="0.25">
      <c r="A3457" s="54" t="str">
        <f>LEFT('Liste des étudiants'!$W3457,3)</f>
        <v>450</v>
      </c>
    </row>
    <row r="3458" spans="1:1" x14ac:dyDescent="0.25">
      <c r="A3458" s="54" t="str">
        <f>LEFT('Liste des étudiants'!$W3458,3)</f>
        <v>450</v>
      </c>
    </row>
    <row r="3459" spans="1:1" x14ac:dyDescent="0.25">
      <c r="A3459" s="54" t="str">
        <f>LEFT('Liste des étudiants'!$W3459,3)</f>
        <v>450</v>
      </c>
    </row>
    <row r="3460" spans="1:1" x14ac:dyDescent="0.25">
      <c r="A3460" s="54" t="str">
        <f>LEFT('Liste des étudiants'!$W3460,3)</f>
        <v>450</v>
      </c>
    </row>
    <row r="3461" spans="1:1" x14ac:dyDescent="0.25">
      <c r="A3461" s="54" t="str">
        <f>LEFT('Liste des étudiants'!$W3461,3)</f>
        <v>450</v>
      </c>
    </row>
    <row r="3462" spans="1:1" x14ac:dyDescent="0.25">
      <c r="A3462" s="54" t="str">
        <f>LEFT('Liste des étudiants'!$W3462,3)</f>
        <v>450</v>
      </c>
    </row>
    <row r="3463" spans="1:1" x14ac:dyDescent="0.25">
      <c r="A3463" s="54" t="str">
        <f>LEFT('Liste des étudiants'!$W3463,3)</f>
        <v>450</v>
      </c>
    </row>
    <row r="3464" spans="1:1" x14ac:dyDescent="0.25">
      <c r="A3464" s="54" t="str">
        <f>LEFT('Liste des étudiants'!$W3464,3)</f>
        <v>450</v>
      </c>
    </row>
    <row r="3465" spans="1:1" x14ac:dyDescent="0.25">
      <c r="A3465" s="54" t="str">
        <f>LEFT('Liste des étudiants'!$W3465,3)</f>
        <v>450</v>
      </c>
    </row>
    <row r="3466" spans="1:1" x14ac:dyDescent="0.25">
      <c r="A3466" s="54" t="str">
        <f>LEFT('Liste des étudiants'!$W3466,3)</f>
        <v>450</v>
      </c>
    </row>
    <row r="3467" spans="1:1" x14ac:dyDescent="0.25">
      <c r="A3467" s="54" t="str">
        <f>LEFT('Liste des étudiants'!$W3467,3)</f>
        <v>450</v>
      </c>
    </row>
    <row r="3468" spans="1:1" x14ac:dyDescent="0.25">
      <c r="A3468" s="54" t="str">
        <f>LEFT('Liste des étudiants'!$W3468,3)</f>
        <v>450</v>
      </c>
    </row>
    <row r="3469" spans="1:1" x14ac:dyDescent="0.25">
      <c r="A3469" s="54" t="str">
        <f>LEFT('Liste des étudiants'!$W3469,3)</f>
        <v>450</v>
      </c>
    </row>
    <row r="3470" spans="1:1" x14ac:dyDescent="0.25">
      <c r="A3470" s="54" t="str">
        <f>LEFT('Liste des étudiants'!$W3470,3)</f>
        <v>450</v>
      </c>
    </row>
    <row r="3471" spans="1:1" x14ac:dyDescent="0.25">
      <c r="A3471" s="54" t="str">
        <f>LEFT('Liste des étudiants'!$W3471,3)</f>
        <v>450</v>
      </c>
    </row>
    <row r="3472" spans="1:1" x14ac:dyDescent="0.25">
      <c r="A3472" s="54" t="str">
        <f>LEFT('Liste des étudiants'!$W3472,3)</f>
        <v>450</v>
      </c>
    </row>
    <row r="3473" spans="1:1" x14ac:dyDescent="0.25">
      <c r="A3473" s="54" t="str">
        <f>LEFT('Liste des étudiants'!$W3473,3)</f>
        <v>450</v>
      </c>
    </row>
    <row r="3474" spans="1:1" x14ac:dyDescent="0.25">
      <c r="A3474" s="54" t="str">
        <f>LEFT('Liste des étudiants'!$W3474,3)</f>
        <v>450</v>
      </c>
    </row>
    <row r="3475" spans="1:1" x14ac:dyDescent="0.25">
      <c r="A3475" s="54" t="str">
        <f>LEFT('Liste des étudiants'!$W3475,3)</f>
        <v>450</v>
      </c>
    </row>
    <row r="3476" spans="1:1" x14ac:dyDescent="0.25">
      <c r="A3476" s="54" t="str">
        <f>LEFT('Liste des étudiants'!$W3476,3)</f>
        <v>450</v>
      </c>
    </row>
    <row r="3477" spans="1:1" x14ac:dyDescent="0.25">
      <c r="A3477" s="54" t="str">
        <f>LEFT('Liste des étudiants'!$W3477,3)</f>
        <v>450</v>
      </c>
    </row>
    <row r="3478" spans="1:1" x14ac:dyDescent="0.25">
      <c r="A3478" s="54" t="str">
        <f>LEFT('Liste des étudiants'!$W3478,3)</f>
        <v>450</v>
      </c>
    </row>
    <row r="3479" spans="1:1" x14ac:dyDescent="0.25">
      <c r="A3479" s="54" t="str">
        <f>LEFT('Liste des étudiants'!$W3479,3)</f>
        <v>450</v>
      </c>
    </row>
    <row r="3480" spans="1:1" x14ac:dyDescent="0.25">
      <c r="A3480" s="54" t="str">
        <f>LEFT('Liste des étudiants'!$W3480,3)</f>
        <v>450</v>
      </c>
    </row>
    <row r="3481" spans="1:1" x14ac:dyDescent="0.25">
      <c r="A3481" s="54" t="str">
        <f>LEFT('Liste des étudiants'!$W3481,3)</f>
        <v>450</v>
      </c>
    </row>
    <row r="3482" spans="1:1" x14ac:dyDescent="0.25">
      <c r="A3482" s="54" t="str">
        <f>LEFT('Liste des étudiants'!$W3482,3)</f>
        <v>450</v>
      </c>
    </row>
    <row r="3483" spans="1:1" x14ac:dyDescent="0.25">
      <c r="A3483" s="54" t="str">
        <f>LEFT('Liste des étudiants'!$W3483,3)</f>
        <v>450</v>
      </c>
    </row>
    <row r="3484" spans="1:1" x14ac:dyDescent="0.25">
      <c r="A3484" s="54" t="str">
        <f>LEFT('Liste des étudiants'!$W3484,3)</f>
        <v>450</v>
      </c>
    </row>
    <row r="3485" spans="1:1" x14ac:dyDescent="0.25">
      <c r="A3485" s="54" t="str">
        <f>LEFT('Liste des étudiants'!$W3485,3)</f>
        <v>450</v>
      </c>
    </row>
    <row r="3486" spans="1:1" x14ac:dyDescent="0.25">
      <c r="A3486" s="54" t="str">
        <f>LEFT('Liste des étudiants'!$W3486,3)</f>
        <v>450</v>
      </c>
    </row>
    <row r="3487" spans="1:1" x14ac:dyDescent="0.25">
      <c r="A3487" s="54" t="str">
        <f>LEFT('Liste des étudiants'!$W3487,3)</f>
        <v>450</v>
      </c>
    </row>
    <row r="3488" spans="1:1" x14ac:dyDescent="0.25">
      <c r="A3488" s="54" t="str">
        <f>LEFT('Liste des étudiants'!$W3488,3)</f>
        <v>450</v>
      </c>
    </row>
    <row r="3489" spans="1:1" x14ac:dyDescent="0.25">
      <c r="A3489" s="54" t="str">
        <f>LEFT('Liste des étudiants'!$W3489,3)</f>
        <v>450</v>
      </c>
    </row>
    <row r="3490" spans="1:1" x14ac:dyDescent="0.25">
      <c r="A3490" s="54" t="str">
        <f>LEFT('Liste des étudiants'!$W3490,3)</f>
        <v>450</v>
      </c>
    </row>
    <row r="3491" spans="1:1" x14ac:dyDescent="0.25">
      <c r="A3491" s="54" t="str">
        <f>LEFT('Liste des étudiants'!$W3491,3)</f>
        <v>450</v>
      </c>
    </row>
    <row r="3492" spans="1:1" x14ac:dyDescent="0.25">
      <c r="A3492" s="54" t="str">
        <f>LEFT('Liste des étudiants'!$W3492,3)</f>
        <v>450</v>
      </c>
    </row>
    <row r="3493" spans="1:1" x14ac:dyDescent="0.25">
      <c r="A3493" s="54" t="str">
        <f>LEFT('Liste des étudiants'!$W3493,3)</f>
        <v>450</v>
      </c>
    </row>
    <row r="3494" spans="1:1" x14ac:dyDescent="0.25">
      <c r="A3494" s="54" t="str">
        <f>LEFT('Liste des étudiants'!$W3494,3)</f>
        <v>450</v>
      </c>
    </row>
    <row r="3495" spans="1:1" x14ac:dyDescent="0.25">
      <c r="A3495" s="54" t="str">
        <f>LEFT('Liste des étudiants'!$W3495,3)</f>
        <v>450</v>
      </c>
    </row>
    <row r="3496" spans="1:1" x14ac:dyDescent="0.25">
      <c r="A3496" s="54" t="str">
        <f>LEFT('Liste des étudiants'!$W3496,3)</f>
        <v>450</v>
      </c>
    </row>
    <row r="3497" spans="1:1" x14ac:dyDescent="0.25">
      <c r="A3497" s="54" t="str">
        <f>LEFT('Liste des étudiants'!$W3497,3)</f>
        <v>450</v>
      </c>
    </row>
    <row r="3498" spans="1:1" x14ac:dyDescent="0.25">
      <c r="A3498" s="54" t="str">
        <f>LEFT('Liste des étudiants'!$W3498,3)</f>
        <v>450</v>
      </c>
    </row>
    <row r="3499" spans="1:1" x14ac:dyDescent="0.25">
      <c r="A3499" s="54" t="str">
        <f>LEFT('Liste des étudiants'!$W3499,3)</f>
        <v>450</v>
      </c>
    </row>
    <row r="3500" spans="1:1" x14ac:dyDescent="0.25">
      <c r="A3500" s="54" t="str">
        <f>LEFT('Liste des étudiants'!$W3500,3)</f>
        <v>450</v>
      </c>
    </row>
    <row r="3501" spans="1:1" x14ac:dyDescent="0.25">
      <c r="A3501" s="54" t="str">
        <f>LEFT('Liste des étudiants'!$W3501,3)</f>
        <v>450</v>
      </c>
    </row>
    <row r="3502" spans="1:1" x14ac:dyDescent="0.25">
      <c r="A3502" s="54" t="str">
        <f>LEFT('Liste des étudiants'!$W3502,3)</f>
        <v>450</v>
      </c>
    </row>
    <row r="3503" spans="1:1" x14ac:dyDescent="0.25">
      <c r="A3503" s="54" t="str">
        <f>LEFT('Liste des étudiants'!$W3503,3)</f>
        <v>450</v>
      </c>
    </row>
    <row r="3504" spans="1:1" x14ac:dyDescent="0.25">
      <c r="A3504" s="54" t="str">
        <f>LEFT('Liste des étudiants'!$W3504,3)</f>
        <v>450</v>
      </c>
    </row>
    <row r="3505" spans="1:1" x14ac:dyDescent="0.25">
      <c r="A3505" s="54" t="str">
        <f>LEFT('Liste des étudiants'!$W3505,3)</f>
        <v>450</v>
      </c>
    </row>
    <row r="3506" spans="1:1" x14ac:dyDescent="0.25">
      <c r="A3506" s="54" t="str">
        <f>LEFT('Liste des étudiants'!$W3506,3)</f>
        <v>450</v>
      </c>
    </row>
    <row r="3507" spans="1:1" x14ac:dyDescent="0.25">
      <c r="A3507" s="54" t="str">
        <f>LEFT('Liste des étudiants'!$W3507,3)</f>
        <v>450</v>
      </c>
    </row>
    <row r="3508" spans="1:1" x14ac:dyDescent="0.25">
      <c r="A3508" s="54" t="str">
        <f>LEFT('Liste des étudiants'!$W3508,3)</f>
        <v>450</v>
      </c>
    </row>
    <row r="3509" spans="1:1" x14ac:dyDescent="0.25">
      <c r="A3509" s="54" t="str">
        <f>LEFT('Liste des étudiants'!$W3509,3)</f>
        <v>450</v>
      </c>
    </row>
    <row r="3510" spans="1:1" x14ac:dyDescent="0.25">
      <c r="A3510" s="54" t="str">
        <f>LEFT('Liste des étudiants'!$W3510,3)</f>
        <v>450</v>
      </c>
    </row>
    <row r="3511" spans="1:1" x14ac:dyDescent="0.25">
      <c r="A3511" s="54" t="str">
        <f>LEFT('Liste des étudiants'!$W3511,3)</f>
        <v>450</v>
      </c>
    </row>
    <row r="3512" spans="1:1" x14ac:dyDescent="0.25">
      <c r="A3512" s="54" t="str">
        <f>LEFT('Liste des étudiants'!$W3512,3)</f>
        <v>450</v>
      </c>
    </row>
    <row r="3513" spans="1:1" x14ac:dyDescent="0.25">
      <c r="A3513" s="54" t="str">
        <f>LEFT('Liste des étudiants'!$W3513,3)</f>
        <v>450</v>
      </c>
    </row>
    <row r="3514" spans="1:1" x14ac:dyDescent="0.25">
      <c r="A3514" s="54" t="str">
        <f>LEFT('Liste des étudiants'!$W3514,3)</f>
        <v>450</v>
      </c>
    </row>
    <row r="3515" spans="1:1" x14ac:dyDescent="0.25">
      <c r="A3515" s="54" t="str">
        <f>LEFT('Liste des étudiants'!$W3515,3)</f>
        <v>450</v>
      </c>
    </row>
    <row r="3516" spans="1:1" x14ac:dyDescent="0.25">
      <c r="A3516" s="54" t="str">
        <f>LEFT('Liste des étudiants'!$W3516,3)</f>
        <v>450</v>
      </c>
    </row>
    <row r="3517" spans="1:1" x14ac:dyDescent="0.25">
      <c r="A3517" s="54" t="str">
        <f>LEFT('Liste des étudiants'!$W3517,3)</f>
        <v>450</v>
      </c>
    </row>
    <row r="3518" spans="1:1" x14ac:dyDescent="0.25">
      <c r="A3518" s="54" t="str">
        <f>LEFT('Liste des étudiants'!$W3518,3)</f>
        <v>450</v>
      </c>
    </row>
    <row r="3519" spans="1:1" x14ac:dyDescent="0.25">
      <c r="A3519" s="54" t="str">
        <f>LEFT('Liste des étudiants'!$W3519,3)</f>
        <v>450</v>
      </c>
    </row>
    <row r="3520" spans="1:1" x14ac:dyDescent="0.25">
      <c r="A3520" s="54" t="str">
        <f>LEFT('Liste des étudiants'!$W3520,3)</f>
        <v>450</v>
      </c>
    </row>
    <row r="3521" spans="1:1" x14ac:dyDescent="0.25">
      <c r="A3521" s="54" t="str">
        <f>LEFT('Liste des étudiants'!$W3521,3)</f>
        <v>450</v>
      </c>
    </row>
    <row r="3522" spans="1:1" x14ac:dyDescent="0.25">
      <c r="A3522" s="54" t="str">
        <f>LEFT('Liste des étudiants'!$W3522,3)</f>
        <v>450</v>
      </c>
    </row>
    <row r="3523" spans="1:1" x14ac:dyDescent="0.25">
      <c r="A3523" s="54" t="str">
        <f>LEFT('Liste des étudiants'!$W3523,3)</f>
        <v>450</v>
      </c>
    </row>
    <row r="3524" spans="1:1" x14ac:dyDescent="0.25">
      <c r="A3524" s="54" t="str">
        <f>LEFT('Liste des étudiants'!$W3524,3)</f>
        <v>450</v>
      </c>
    </row>
    <row r="3525" spans="1:1" x14ac:dyDescent="0.25">
      <c r="A3525" s="54" t="str">
        <f>LEFT('Liste des étudiants'!$W3525,3)</f>
        <v>450</v>
      </c>
    </row>
    <row r="3526" spans="1:1" x14ac:dyDescent="0.25">
      <c r="A3526" s="54" t="str">
        <f>LEFT('Liste des étudiants'!$W3526,3)</f>
        <v>450</v>
      </c>
    </row>
    <row r="3527" spans="1:1" x14ac:dyDescent="0.25">
      <c r="A3527" s="54" t="str">
        <f>LEFT('Liste des étudiants'!$W3527,3)</f>
        <v>450</v>
      </c>
    </row>
    <row r="3528" spans="1:1" x14ac:dyDescent="0.25">
      <c r="A3528" s="54" t="str">
        <f>LEFT('Liste des étudiants'!$W3528,3)</f>
        <v>450</v>
      </c>
    </row>
    <row r="3529" spans="1:1" x14ac:dyDescent="0.25">
      <c r="A3529" s="54" t="str">
        <f>LEFT('Liste des étudiants'!$W3529,3)</f>
        <v>450</v>
      </c>
    </row>
    <row r="3530" spans="1:1" x14ac:dyDescent="0.25">
      <c r="A3530" s="54" t="str">
        <f>LEFT('Liste des étudiants'!$W3530,3)</f>
        <v>450</v>
      </c>
    </row>
    <row r="3531" spans="1:1" x14ac:dyDescent="0.25">
      <c r="A3531" s="54" t="str">
        <f>LEFT('Liste des étudiants'!$W3531,3)</f>
        <v>450</v>
      </c>
    </row>
    <row r="3532" spans="1:1" x14ac:dyDescent="0.25">
      <c r="A3532" s="54" t="str">
        <f>LEFT('Liste des étudiants'!$W3532,3)</f>
        <v>450</v>
      </c>
    </row>
    <row r="3533" spans="1:1" x14ac:dyDescent="0.25">
      <c r="A3533" s="54" t="str">
        <f>LEFT('Liste des étudiants'!$W3533,3)</f>
        <v>450</v>
      </c>
    </row>
    <row r="3534" spans="1:1" x14ac:dyDescent="0.25">
      <c r="A3534" s="54" t="str">
        <f>LEFT('Liste des étudiants'!$W3534,3)</f>
        <v>450</v>
      </c>
    </row>
    <row r="3535" spans="1:1" x14ac:dyDescent="0.25">
      <c r="A3535" s="54" t="str">
        <f>LEFT('Liste des étudiants'!$W3535,3)</f>
        <v>450</v>
      </c>
    </row>
    <row r="3536" spans="1:1" x14ac:dyDescent="0.25">
      <c r="A3536" s="54" t="str">
        <f>LEFT('Liste des étudiants'!$W3536,3)</f>
        <v>450</v>
      </c>
    </row>
    <row r="3537" spans="1:1" x14ac:dyDescent="0.25">
      <c r="A3537" s="54" t="str">
        <f>LEFT('Liste des étudiants'!$W3537,3)</f>
        <v>450</v>
      </c>
    </row>
    <row r="3538" spans="1:1" x14ac:dyDescent="0.25">
      <c r="A3538" s="54" t="str">
        <f>LEFT('Liste des étudiants'!$W3538,3)</f>
        <v>450</v>
      </c>
    </row>
    <row r="3539" spans="1:1" x14ac:dyDescent="0.25">
      <c r="A3539" s="54" t="str">
        <f>LEFT('Liste des étudiants'!$W3539,3)</f>
        <v>450</v>
      </c>
    </row>
    <row r="3540" spans="1:1" x14ac:dyDescent="0.25">
      <c r="A3540" s="54" t="str">
        <f>LEFT('Liste des étudiants'!$W3540,3)</f>
        <v>450</v>
      </c>
    </row>
    <row r="3541" spans="1:1" x14ac:dyDescent="0.25">
      <c r="A3541" s="54" t="str">
        <f>LEFT('Liste des étudiants'!$W3541,3)</f>
        <v>450</v>
      </c>
    </row>
    <row r="3542" spans="1:1" x14ac:dyDescent="0.25">
      <c r="A3542" s="54" t="str">
        <f>LEFT('Liste des étudiants'!$W3542,3)</f>
        <v>450</v>
      </c>
    </row>
    <row r="3543" spans="1:1" x14ac:dyDescent="0.25">
      <c r="A3543" s="54" t="str">
        <f>LEFT('Liste des étudiants'!$W3543,3)</f>
        <v>450</v>
      </c>
    </row>
    <row r="3544" spans="1:1" x14ac:dyDescent="0.25">
      <c r="A3544" s="54" t="str">
        <f>LEFT('Liste des étudiants'!$W3544,3)</f>
        <v>450</v>
      </c>
    </row>
    <row r="3545" spans="1:1" x14ac:dyDescent="0.25">
      <c r="A3545" s="54" t="str">
        <f>LEFT('Liste des étudiants'!$W3545,3)</f>
        <v>450</v>
      </c>
    </row>
    <row r="3546" spans="1:1" x14ac:dyDescent="0.25">
      <c r="A3546" s="54" t="str">
        <f>LEFT('Liste des étudiants'!$W3546,3)</f>
        <v>450</v>
      </c>
    </row>
    <row r="3547" spans="1:1" x14ac:dyDescent="0.25">
      <c r="A3547" s="54" t="str">
        <f>LEFT('Liste des étudiants'!$W3547,3)</f>
        <v>450</v>
      </c>
    </row>
    <row r="3548" spans="1:1" x14ac:dyDescent="0.25">
      <c r="A3548" s="54" t="str">
        <f>LEFT('Liste des étudiants'!$W3548,3)</f>
        <v>450</v>
      </c>
    </row>
    <row r="3549" spans="1:1" x14ac:dyDescent="0.25">
      <c r="A3549" s="54" t="str">
        <f>LEFT('Liste des étudiants'!$W3549,3)</f>
        <v>450</v>
      </c>
    </row>
    <row r="3550" spans="1:1" x14ac:dyDescent="0.25">
      <c r="A3550" s="54" t="str">
        <f>LEFT('Liste des étudiants'!$W3550,3)</f>
        <v>450</v>
      </c>
    </row>
    <row r="3551" spans="1:1" x14ac:dyDescent="0.25">
      <c r="A3551" s="54" t="str">
        <f>LEFT('Liste des étudiants'!$W3551,3)</f>
        <v>450</v>
      </c>
    </row>
    <row r="3552" spans="1:1" x14ac:dyDescent="0.25">
      <c r="A3552" s="54" t="str">
        <f>LEFT('Liste des étudiants'!$W3552,3)</f>
        <v>450</v>
      </c>
    </row>
    <row r="3553" spans="1:1" x14ac:dyDescent="0.25">
      <c r="A3553" s="54" t="str">
        <f>LEFT('Liste des étudiants'!$W3553,3)</f>
        <v>450</v>
      </c>
    </row>
    <row r="3554" spans="1:1" x14ac:dyDescent="0.25">
      <c r="A3554" s="54" t="str">
        <f>LEFT('Liste des étudiants'!$W3554,3)</f>
        <v>450</v>
      </c>
    </row>
    <row r="3555" spans="1:1" x14ac:dyDescent="0.25">
      <c r="A3555" s="54" t="str">
        <f>LEFT('Liste des étudiants'!$W3555,3)</f>
        <v>450</v>
      </c>
    </row>
    <row r="3556" spans="1:1" x14ac:dyDescent="0.25">
      <c r="A3556" s="54" t="str">
        <f>LEFT('Liste des étudiants'!$W3556,3)</f>
        <v>450</v>
      </c>
    </row>
    <row r="3557" spans="1:1" x14ac:dyDescent="0.25">
      <c r="A3557" s="54" t="str">
        <f>LEFT('Liste des étudiants'!$W3557,3)</f>
        <v>450</v>
      </c>
    </row>
    <row r="3558" spans="1:1" x14ac:dyDescent="0.25">
      <c r="A3558" s="54" t="str">
        <f>LEFT('Liste des étudiants'!$W3558,3)</f>
        <v>450</v>
      </c>
    </row>
    <row r="3559" spans="1:1" x14ac:dyDescent="0.25">
      <c r="A3559" s="54" t="str">
        <f>LEFT('Liste des étudiants'!$W3559,3)</f>
        <v>450</v>
      </c>
    </row>
    <row r="3560" spans="1:1" x14ac:dyDescent="0.25">
      <c r="A3560" s="54" t="str">
        <f>LEFT('Liste des étudiants'!$W3560,3)</f>
        <v>450</v>
      </c>
    </row>
    <row r="3561" spans="1:1" x14ac:dyDescent="0.25">
      <c r="A3561" s="54" t="str">
        <f>LEFT('Liste des étudiants'!$W3561,3)</f>
        <v>450</v>
      </c>
    </row>
    <row r="3562" spans="1:1" x14ac:dyDescent="0.25">
      <c r="A3562" s="54" t="str">
        <f>LEFT('Liste des étudiants'!$W3562,3)</f>
        <v>450</v>
      </c>
    </row>
    <row r="3563" spans="1:1" x14ac:dyDescent="0.25">
      <c r="A3563" s="54" t="str">
        <f>LEFT('Liste des étudiants'!$W3563,3)</f>
        <v>450</v>
      </c>
    </row>
    <row r="3564" spans="1:1" x14ac:dyDescent="0.25">
      <c r="A3564" s="54" t="str">
        <f>LEFT('Liste des étudiants'!$W3564,3)</f>
        <v>450</v>
      </c>
    </row>
    <row r="3565" spans="1:1" x14ac:dyDescent="0.25">
      <c r="A3565" s="54" t="str">
        <f>LEFT('Liste des étudiants'!$W3565,3)</f>
        <v>450</v>
      </c>
    </row>
    <row r="3566" spans="1:1" x14ac:dyDescent="0.25">
      <c r="A3566" s="54" t="str">
        <f>LEFT('Liste des étudiants'!$W3566,3)</f>
        <v>450</v>
      </c>
    </row>
    <row r="3567" spans="1:1" x14ac:dyDescent="0.25">
      <c r="A3567" s="54" t="str">
        <f>LEFT('Liste des étudiants'!$W3567,3)</f>
        <v>450</v>
      </c>
    </row>
    <row r="3568" spans="1:1" x14ac:dyDescent="0.25">
      <c r="A3568" s="54" t="str">
        <f>LEFT('Liste des étudiants'!$W3568,3)</f>
        <v>450</v>
      </c>
    </row>
    <row r="3569" spans="1:1" x14ac:dyDescent="0.25">
      <c r="A3569" s="54" t="str">
        <f>LEFT('Liste des étudiants'!$W3569,3)</f>
        <v>450</v>
      </c>
    </row>
    <row r="3570" spans="1:1" x14ac:dyDescent="0.25">
      <c r="A3570" s="54" t="str">
        <f>LEFT('Liste des étudiants'!$W3570,3)</f>
        <v>450</v>
      </c>
    </row>
    <row r="3571" spans="1:1" x14ac:dyDescent="0.25">
      <c r="A3571" s="54" t="str">
        <f>LEFT('Liste des étudiants'!$W3571,3)</f>
        <v>450</v>
      </c>
    </row>
    <row r="3572" spans="1:1" x14ac:dyDescent="0.25">
      <c r="A3572" s="54" t="str">
        <f>LEFT('Liste des étudiants'!$W3572,3)</f>
        <v>450</v>
      </c>
    </row>
    <row r="3573" spans="1:1" x14ac:dyDescent="0.25">
      <c r="A3573" s="54" t="str">
        <f>LEFT('Liste des étudiants'!$W3573,3)</f>
        <v>450</v>
      </c>
    </row>
    <row r="3574" spans="1:1" x14ac:dyDescent="0.25">
      <c r="A3574" s="54" t="str">
        <f>LEFT('Liste des étudiants'!$W3574,3)</f>
        <v>450</v>
      </c>
    </row>
    <row r="3575" spans="1:1" x14ac:dyDescent="0.25">
      <c r="A3575" s="54" t="str">
        <f>LEFT('Liste des étudiants'!$W3575,3)</f>
        <v>450</v>
      </c>
    </row>
    <row r="3576" spans="1:1" x14ac:dyDescent="0.25">
      <c r="A3576" s="54" t="str">
        <f>LEFT('Liste des étudiants'!$W3576,3)</f>
        <v>450</v>
      </c>
    </row>
    <row r="3577" spans="1:1" x14ac:dyDescent="0.25">
      <c r="A3577" s="54" t="str">
        <f>LEFT('Liste des étudiants'!$W3577,3)</f>
        <v>450</v>
      </c>
    </row>
    <row r="3578" spans="1:1" x14ac:dyDescent="0.25">
      <c r="A3578" s="54" t="str">
        <f>LEFT('Liste des étudiants'!$W3578,3)</f>
        <v>450</v>
      </c>
    </row>
    <row r="3579" spans="1:1" x14ac:dyDescent="0.25">
      <c r="A3579" s="54" t="str">
        <f>LEFT('Liste des étudiants'!$W3579,3)</f>
        <v>450</v>
      </c>
    </row>
    <row r="3580" spans="1:1" x14ac:dyDescent="0.25">
      <c r="A3580" s="54" t="str">
        <f>LEFT('Liste des étudiants'!$W3580,3)</f>
        <v>450</v>
      </c>
    </row>
    <row r="3581" spans="1:1" x14ac:dyDescent="0.25">
      <c r="A3581" s="54" t="str">
        <f>LEFT('Liste des étudiants'!$W3581,3)</f>
        <v>450</v>
      </c>
    </row>
    <row r="3582" spans="1:1" x14ac:dyDescent="0.25">
      <c r="A3582" s="54" t="str">
        <f>LEFT('Liste des étudiants'!$W3582,3)</f>
        <v>450</v>
      </c>
    </row>
    <row r="3583" spans="1:1" x14ac:dyDescent="0.25">
      <c r="A3583" s="54" t="str">
        <f>LEFT('Liste des étudiants'!$W3583,3)</f>
        <v>450</v>
      </c>
    </row>
    <row r="3584" spans="1:1" x14ac:dyDescent="0.25">
      <c r="A3584" s="54" t="str">
        <f>LEFT('Liste des étudiants'!$W3584,3)</f>
        <v>450</v>
      </c>
    </row>
    <row r="3585" spans="1:1" x14ac:dyDescent="0.25">
      <c r="A3585" s="54" t="str">
        <f>LEFT('Liste des étudiants'!$W3585,3)</f>
        <v>450</v>
      </c>
    </row>
    <row r="3586" spans="1:1" x14ac:dyDescent="0.25">
      <c r="A3586" s="54" t="str">
        <f>LEFT('Liste des étudiants'!$W3586,3)</f>
        <v>450</v>
      </c>
    </row>
    <row r="3587" spans="1:1" x14ac:dyDescent="0.25">
      <c r="A3587" s="54" t="str">
        <f>LEFT('Liste des étudiants'!$W3587,3)</f>
        <v>450</v>
      </c>
    </row>
    <row r="3588" spans="1:1" x14ac:dyDescent="0.25">
      <c r="A3588" s="54" t="str">
        <f>LEFT('Liste des étudiants'!$W3588,3)</f>
        <v>450</v>
      </c>
    </row>
    <row r="3589" spans="1:1" x14ac:dyDescent="0.25">
      <c r="A3589" s="54" t="str">
        <f>LEFT('Liste des étudiants'!$W3589,3)</f>
        <v>450</v>
      </c>
    </row>
    <row r="3590" spans="1:1" x14ac:dyDescent="0.25">
      <c r="A3590" s="54" t="str">
        <f>LEFT('Liste des étudiants'!$W3590,3)</f>
        <v>450</v>
      </c>
    </row>
    <row r="3591" spans="1:1" x14ac:dyDescent="0.25">
      <c r="A3591" s="54" t="str">
        <f>LEFT('Liste des étudiants'!$W3591,3)</f>
        <v>450</v>
      </c>
    </row>
    <row r="3592" spans="1:1" x14ac:dyDescent="0.25">
      <c r="A3592" s="54" t="str">
        <f>LEFT('Liste des étudiants'!$W3592,3)</f>
        <v>450</v>
      </c>
    </row>
    <row r="3593" spans="1:1" x14ac:dyDescent="0.25">
      <c r="A3593" s="54" t="str">
        <f>LEFT('Liste des étudiants'!$W3593,3)</f>
        <v>450</v>
      </c>
    </row>
    <row r="3594" spans="1:1" x14ac:dyDescent="0.25">
      <c r="A3594" s="54" t="str">
        <f>LEFT('Liste des étudiants'!$W3594,3)</f>
        <v>450</v>
      </c>
    </row>
    <row r="3595" spans="1:1" x14ac:dyDescent="0.25">
      <c r="A3595" s="54" t="str">
        <f>LEFT('Liste des étudiants'!$W3595,3)</f>
        <v>450</v>
      </c>
    </row>
    <row r="3596" spans="1:1" x14ac:dyDescent="0.25">
      <c r="A3596" s="54" t="str">
        <f>LEFT('Liste des étudiants'!$W3596,3)</f>
        <v>450</v>
      </c>
    </row>
    <row r="3597" spans="1:1" x14ac:dyDescent="0.25">
      <c r="A3597" s="54" t="str">
        <f>LEFT('Liste des étudiants'!$W3597,3)</f>
        <v>450</v>
      </c>
    </row>
    <row r="3598" spans="1:1" x14ac:dyDescent="0.25">
      <c r="A3598" s="54" t="str">
        <f>LEFT('Liste des étudiants'!$W3598,3)</f>
        <v>450</v>
      </c>
    </row>
    <row r="3599" spans="1:1" x14ac:dyDescent="0.25">
      <c r="A3599" s="54" t="str">
        <f>LEFT('Liste des étudiants'!$W3599,3)</f>
        <v>450</v>
      </c>
    </row>
    <row r="3600" spans="1:1" x14ac:dyDescent="0.25">
      <c r="A3600" s="54" t="str">
        <f>LEFT('Liste des étudiants'!$W3600,3)</f>
        <v>450</v>
      </c>
    </row>
    <row r="3601" spans="1:1" x14ac:dyDescent="0.25">
      <c r="A3601" s="54" t="str">
        <f>LEFT('Liste des étudiants'!$W3601,3)</f>
        <v>450</v>
      </c>
    </row>
    <row r="3602" spans="1:1" x14ac:dyDescent="0.25">
      <c r="A3602" s="54" t="str">
        <f>LEFT('Liste des étudiants'!$W3602,3)</f>
        <v>450</v>
      </c>
    </row>
    <row r="3603" spans="1:1" x14ac:dyDescent="0.25">
      <c r="A3603" s="54" t="str">
        <f>LEFT('Liste des étudiants'!$W3603,3)</f>
        <v>450</v>
      </c>
    </row>
    <row r="3604" spans="1:1" x14ac:dyDescent="0.25">
      <c r="A3604" s="54" t="str">
        <f>LEFT('Liste des étudiants'!$W3604,3)</f>
        <v>450</v>
      </c>
    </row>
    <row r="3605" spans="1:1" x14ac:dyDescent="0.25">
      <c r="A3605" s="54" t="str">
        <f>LEFT('Liste des étudiants'!$W3605,3)</f>
        <v>450</v>
      </c>
    </row>
    <row r="3606" spans="1:1" x14ac:dyDescent="0.25">
      <c r="A3606" s="54" t="str">
        <f>LEFT('Liste des étudiants'!$W3606,3)</f>
        <v>450</v>
      </c>
    </row>
    <row r="3607" spans="1:1" x14ac:dyDescent="0.25">
      <c r="A3607" s="54" t="str">
        <f>LEFT('Liste des étudiants'!$W3607,3)</f>
        <v>450</v>
      </c>
    </row>
    <row r="3608" spans="1:1" x14ac:dyDescent="0.25">
      <c r="A3608" s="54" t="str">
        <f>LEFT('Liste des étudiants'!$W3608,3)</f>
        <v>450</v>
      </c>
    </row>
    <row r="3609" spans="1:1" x14ac:dyDescent="0.25">
      <c r="A3609" s="54" t="str">
        <f>LEFT('Liste des étudiants'!$W3609,3)</f>
        <v>450</v>
      </c>
    </row>
    <row r="3610" spans="1:1" x14ac:dyDescent="0.25">
      <c r="A3610" s="54" t="str">
        <f>LEFT('Liste des étudiants'!$W3610,3)</f>
        <v>450</v>
      </c>
    </row>
    <row r="3611" spans="1:1" x14ac:dyDescent="0.25">
      <c r="A3611" s="54" t="str">
        <f>LEFT('Liste des étudiants'!$W3611,3)</f>
        <v>450</v>
      </c>
    </row>
    <row r="3612" spans="1:1" x14ac:dyDescent="0.25">
      <c r="A3612" s="54" t="str">
        <f>LEFT('Liste des étudiants'!$W3612,3)</f>
        <v>450</v>
      </c>
    </row>
    <row r="3613" spans="1:1" x14ac:dyDescent="0.25">
      <c r="A3613" s="54" t="str">
        <f>LEFT('Liste des étudiants'!$W3613,3)</f>
        <v>450</v>
      </c>
    </row>
    <row r="3614" spans="1:1" x14ac:dyDescent="0.25">
      <c r="A3614" s="54" t="str">
        <f>LEFT('Liste des étudiants'!$W3614,3)</f>
        <v>450</v>
      </c>
    </row>
    <row r="3615" spans="1:1" x14ac:dyDescent="0.25">
      <c r="A3615" s="54" t="str">
        <f>LEFT('Liste des étudiants'!$W3615,3)</f>
        <v>450</v>
      </c>
    </row>
    <row r="3616" spans="1:1" x14ac:dyDescent="0.25">
      <c r="A3616" s="54" t="str">
        <f>LEFT('Liste des étudiants'!$W3616,3)</f>
        <v>450</v>
      </c>
    </row>
    <row r="3617" spans="1:1" x14ac:dyDescent="0.25">
      <c r="A3617" s="54" t="str">
        <f>LEFT('Liste des étudiants'!$W3617,3)</f>
        <v>450</v>
      </c>
    </row>
    <row r="3618" spans="1:1" x14ac:dyDescent="0.25">
      <c r="A3618" s="54" t="str">
        <f>LEFT('Liste des étudiants'!$W3618,3)</f>
        <v>450</v>
      </c>
    </row>
    <row r="3619" spans="1:1" x14ac:dyDescent="0.25">
      <c r="A3619" s="54" t="str">
        <f>LEFT('Liste des étudiants'!$W3619,3)</f>
        <v>450</v>
      </c>
    </row>
    <row r="3620" spans="1:1" x14ac:dyDescent="0.25">
      <c r="A3620" s="54" t="str">
        <f>LEFT('Liste des étudiants'!$W3620,3)</f>
        <v>450</v>
      </c>
    </row>
    <row r="3621" spans="1:1" x14ac:dyDescent="0.25">
      <c r="A3621" s="54" t="str">
        <f>LEFT('Liste des étudiants'!$W3621,3)</f>
        <v>450</v>
      </c>
    </row>
    <row r="3622" spans="1:1" x14ac:dyDescent="0.25">
      <c r="A3622" s="54" t="str">
        <f>LEFT('Liste des étudiants'!$W3622,3)</f>
        <v>450</v>
      </c>
    </row>
    <row r="3623" spans="1:1" x14ac:dyDescent="0.25">
      <c r="A3623" s="54" t="str">
        <f>LEFT('Liste des étudiants'!$W3623,3)</f>
        <v>450</v>
      </c>
    </row>
    <row r="3624" spans="1:1" x14ac:dyDescent="0.25">
      <c r="A3624" s="54" t="str">
        <f>LEFT('Liste des étudiants'!$W3624,3)</f>
        <v>450</v>
      </c>
    </row>
    <row r="3625" spans="1:1" x14ac:dyDescent="0.25">
      <c r="A3625" s="54" t="str">
        <f>LEFT('Liste des étudiants'!$W3625,3)</f>
        <v>450</v>
      </c>
    </row>
    <row r="3626" spans="1:1" x14ac:dyDescent="0.25">
      <c r="A3626" s="54" t="str">
        <f>LEFT('Liste des étudiants'!$W3626,3)</f>
        <v>450</v>
      </c>
    </row>
    <row r="3627" spans="1:1" x14ac:dyDescent="0.25">
      <c r="A3627" s="54" t="str">
        <f>LEFT('Liste des étudiants'!$W3627,3)</f>
        <v>450</v>
      </c>
    </row>
    <row r="3628" spans="1:1" x14ac:dyDescent="0.25">
      <c r="A3628" s="54" t="str">
        <f>LEFT('Liste des étudiants'!$W3628,3)</f>
        <v>450</v>
      </c>
    </row>
    <row r="3629" spans="1:1" x14ac:dyDescent="0.25">
      <c r="A3629" s="54" t="str">
        <f>LEFT('Liste des étudiants'!$W3629,3)</f>
        <v>450</v>
      </c>
    </row>
    <row r="3630" spans="1:1" x14ac:dyDescent="0.25">
      <c r="A3630" s="54" t="str">
        <f>LEFT('Liste des étudiants'!$W3630,3)</f>
        <v>450</v>
      </c>
    </row>
    <row r="3631" spans="1:1" x14ac:dyDescent="0.25">
      <c r="A3631" s="54" t="str">
        <f>LEFT('Liste des étudiants'!$W3631,3)</f>
        <v>450</v>
      </c>
    </row>
    <row r="3632" spans="1:1" x14ac:dyDescent="0.25">
      <c r="A3632" s="54" t="str">
        <f>LEFT('Liste des étudiants'!$W3632,3)</f>
        <v>450</v>
      </c>
    </row>
    <row r="3633" spans="1:1" x14ac:dyDescent="0.25">
      <c r="A3633" s="54" t="str">
        <f>LEFT('Liste des étudiants'!$W3633,3)</f>
        <v>450</v>
      </c>
    </row>
    <row r="3634" spans="1:1" x14ac:dyDescent="0.25">
      <c r="A3634" s="54" t="str">
        <f>LEFT('Liste des étudiants'!$W3634,3)</f>
        <v>450</v>
      </c>
    </row>
    <row r="3635" spans="1:1" x14ac:dyDescent="0.25">
      <c r="A3635" s="54" t="str">
        <f>LEFT('Liste des étudiants'!$W3635,3)</f>
        <v>450</v>
      </c>
    </row>
    <row r="3636" spans="1:1" x14ac:dyDescent="0.25">
      <c r="A3636" s="54" t="str">
        <f>LEFT('Liste des étudiants'!$W3636,3)</f>
        <v>450</v>
      </c>
    </row>
    <row r="3637" spans="1:1" x14ac:dyDescent="0.25">
      <c r="A3637" s="54" t="str">
        <f>LEFT('Liste des étudiants'!$W3637,3)</f>
        <v>450</v>
      </c>
    </row>
    <row r="3638" spans="1:1" x14ac:dyDescent="0.25">
      <c r="A3638" s="54" t="str">
        <f>LEFT('Liste des étudiants'!$W3638,3)</f>
        <v>450</v>
      </c>
    </row>
    <row r="3639" spans="1:1" x14ac:dyDescent="0.25">
      <c r="A3639" s="54" t="str">
        <f>LEFT('Liste des étudiants'!$W3639,3)</f>
        <v>450</v>
      </c>
    </row>
    <row r="3640" spans="1:1" x14ac:dyDescent="0.25">
      <c r="A3640" s="54" t="str">
        <f>LEFT('Liste des étudiants'!$W3640,3)</f>
        <v>450</v>
      </c>
    </row>
    <row r="3641" spans="1:1" x14ac:dyDescent="0.25">
      <c r="A3641" s="54" t="str">
        <f>LEFT('Liste des étudiants'!$W3641,3)</f>
        <v>450</v>
      </c>
    </row>
    <row r="3642" spans="1:1" x14ac:dyDescent="0.25">
      <c r="A3642" s="54" t="str">
        <f>LEFT('Liste des étudiants'!$W3642,3)</f>
        <v>450</v>
      </c>
    </row>
    <row r="3643" spans="1:1" x14ac:dyDescent="0.25">
      <c r="A3643" s="54" t="str">
        <f>LEFT('Liste des étudiants'!$W3643,3)</f>
        <v>450</v>
      </c>
    </row>
    <row r="3644" spans="1:1" x14ac:dyDescent="0.25">
      <c r="A3644" s="54" t="str">
        <f>LEFT('Liste des étudiants'!$W3644,3)</f>
        <v>450</v>
      </c>
    </row>
    <row r="3645" spans="1:1" x14ac:dyDescent="0.25">
      <c r="A3645" s="54" t="str">
        <f>LEFT('Liste des étudiants'!$W3645,3)</f>
        <v>450</v>
      </c>
    </row>
    <row r="3646" spans="1:1" x14ac:dyDescent="0.25">
      <c r="A3646" s="54" t="str">
        <f>LEFT('Liste des étudiants'!$W3646,3)</f>
        <v>450</v>
      </c>
    </row>
    <row r="3647" spans="1:1" x14ac:dyDescent="0.25">
      <c r="A3647" s="54" t="str">
        <f>LEFT('Liste des étudiants'!$W3647,3)</f>
        <v>450</v>
      </c>
    </row>
    <row r="3648" spans="1:1" x14ac:dyDescent="0.25">
      <c r="A3648" s="54" t="str">
        <f>LEFT('Liste des étudiants'!$W3648,3)</f>
        <v>450</v>
      </c>
    </row>
    <row r="3649" spans="1:1" x14ac:dyDescent="0.25">
      <c r="A3649" s="54" t="str">
        <f>LEFT('Liste des étudiants'!$W3649,3)</f>
        <v>450</v>
      </c>
    </row>
    <row r="3650" spans="1:1" x14ac:dyDescent="0.25">
      <c r="A3650" s="54" t="str">
        <f>LEFT('Liste des étudiants'!$W3650,3)</f>
        <v>450</v>
      </c>
    </row>
    <row r="3651" spans="1:1" x14ac:dyDescent="0.25">
      <c r="A3651" s="54" t="str">
        <f>LEFT('Liste des étudiants'!$W3651,3)</f>
        <v>450</v>
      </c>
    </row>
    <row r="3652" spans="1:1" x14ac:dyDescent="0.25">
      <c r="A3652" s="54" t="str">
        <f>LEFT('Liste des étudiants'!$W3652,3)</f>
        <v>450</v>
      </c>
    </row>
    <row r="3653" spans="1:1" x14ac:dyDescent="0.25">
      <c r="A3653" s="54" t="str">
        <f>LEFT('Liste des étudiants'!$W3653,3)</f>
        <v>450</v>
      </c>
    </row>
    <row r="3654" spans="1:1" x14ac:dyDescent="0.25">
      <c r="A3654" s="54" t="str">
        <f>LEFT('Liste des étudiants'!$W3654,3)</f>
        <v>450</v>
      </c>
    </row>
    <row r="3655" spans="1:1" x14ac:dyDescent="0.25">
      <c r="A3655" s="54" t="str">
        <f>LEFT('Liste des étudiants'!$W3655,3)</f>
        <v>450</v>
      </c>
    </row>
    <row r="3656" spans="1:1" x14ac:dyDescent="0.25">
      <c r="A3656" s="54" t="str">
        <f>LEFT('Liste des étudiants'!$W3656,3)</f>
        <v>450</v>
      </c>
    </row>
    <row r="3657" spans="1:1" x14ac:dyDescent="0.25">
      <c r="A3657" s="54" t="str">
        <f>LEFT('Liste des étudiants'!$W3657,3)</f>
        <v>450</v>
      </c>
    </row>
    <row r="3658" spans="1:1" x14ac:dyDescent="0.25">
      <c r="A3658" s="54" t="str">
        <f>LEFT('Liste des étudiants'!$W3658,3)</f>
        <v>450</v>
      </c>
    </row>
    <row r="3659" spans="1:1" x14ac:dyDescent="0.25">
      <c r="A3659" s="54" t="str">
        <f>LEFT('Liste des étudiants'!$W3659,3)</f>
        <v>450</v>
      </c>
    </row>
    <row r="3660" spans="1:1" x14ac:dyDescent="0.25">
      <c r="A3660" s="54" t="str">
        <f>LEFT('Liste des étudiants'!$W3660,3)</f>
        <v>450</v>
      </c>
    </row>
    <row r="3661" spans="1:1" x14ac:dyDescent="0.25">
      <c r="A3661" s="54" t="str">
        <f>LEFT('Liste des étudiants'!$W3661,3)</f>
        <v>450</v>
      </c>
    </row>
    <row r="3662" spans="1:1" x14ac:dyDescent="0.25">
      <c r="A3662" s="54" t="str">
        <f>LEFT('Liste des étudiants'!$W3662,3)</f>
        <v>450</v>
      </c>
    </row>
    <row r="3663" spans="1:1" x14ac:dyDescent="0.25">
      <c r="A3663" s="54" t="str">
        <f>LEFT('Liste des étudiants'!$W3663,3)</f>
        <v>450</v>
      </c>
    </row>
    <row r="3664" spans="1:1" x14ac:dyDescent="0.25">
      <c r="A3664" s="54" t="str">
        <f>LEFT('Liste des étudiants'!$W3664,3)</f>
        <v>450</v>
      </c>
    </row>
    <row r="3665" spans="1:1" x14ac:dyDescent="0.25">
      <c r="A3665" s="54" t="str">
        <f>LEFT('Liste des étudiants'!$W3665,3)</f>
        <v>450</v>
      </c>
    </row>
    <row r="3666" spans="1:1" x14ac:dyDescent="0.25">
      <c r="A3666" s="54" t="str">
        <f>LEFT('Liste des étudiants'!$W3666,3)</f>
        <v>450</v>
      </c>
    </row>
    <row r="3667" spans="1:1" x14ac:dyDescent="0.25">
      <c r="A3667" s="54" t="str">
        <f>LEFT('Liste des étudiants'!$W3667,3)</f>
        <v>450</v>
      </c>
    </row>
    <row r="3668" spans="1:1" x14ac:dyDescent="0.25">
      <c r="A3668" s="54" t="str">
        <f>LEFT('Liste des étudiants'!$W3668,3)</f>
        <v>450</v>
      </c>
    </row>
    <row r="3669" spans="1:1" x14ac:dyDescent="0.25">
      <c r="A3669" s="54" t="str">
        <f>LEFT('Liste des étudiants'!$W3669,3)</f>
        <v>450</v>
      </c>
    </row>
    <row r="3670" spans="1:1" x14ac:dyDescent="0.25">
      <c r="A3670" s="54" t="str">
        <f>LEFT('Liste des étudiants'!$W3670,3)</f>
        <v>450</v>
      </c>
    </row>
    <row r="3671" spans="1:1" x14ac:dyDescent="0.25">
      <c r="A3671" s="54" t="str">
        <f>LEFT('Liste des étudiants'!$W3671,3)</f>
        <v>450</v>
      </c>
    </row>
    <row r="3672" spans="1:1" x14ac:dyDescent="0.25">
      <c r="A3672" s="54" t="str">
        <f>LEFT('Liste des étudiants'!$W3672,3)</f>
        <v>450</v>
      </c>
    </row>
    <row r="3673" spans="1:1" x14ac:dyDescent="0.25">
      <c r="A3673" s="54" t="str">
        <f>LEFT('Liste des étudiants'!$W3673,3)</f>
        <v>450</v>
      </c>
    </row>
    <row r="3674" spans="1:1" x14ac:dyDescent="0.25">
      <c r="A3674" s="54" t="str">
        <f>LEFT('Liste des étudiants'!$W3674,3)</f>
        <v>450</v>
      </c>
    </row>
    <row r="3675" spans="1:1" x14ac:dyDescent="0.25">
      <c r="A3675" s="54" t="str">
        <f>LEFT('Liste des étudiants'!$W3675,3)</f>
        <v>450</v>
      </c>
    </row>
    <row r="3676" spans="1:1" x14ac:dyDescent="0.25">
      <c r="A3676" s="54" t="str">
        <f>LEFT('Liste des étudiants'!$W3676,3)</f>
        <v>450</v>
      </c>
    </row>
    <row r="3677" spans="1:1" x14ac:dyDescent="0.25">
      <c r="A3677" s="54" t="str">
        <f>LEFT('Liste des étudiants'!$W3677,3)</f>
        <v>450</v>
      </c>
    </row>
    <row r="3678" spans="1:1" x14ac:dyDescent="0.25">
      <c r="A3678" s="54" t="str">
        <f>LEFT('Liste des étudiants'!$W3678,3)</f>
        <v>450</v>
      </c>
    </row>
    <row r="3679" spans="1:1" x14ac:dyDescent="0.25">
      <c r="A3679" s="54" t="str">
        <f>LEFT('Liste des étudiants'!$W3679,3)</f>
        <v>450</v>
      </c>
    </row>
    <row r="3680" spans="1:1" x14ac:dyDescent="0.25">
      <c r="A3680" s="54" t="str">
        <f>LEFT('Liste des étudiants'!$W3680,3)</f>
        <v>450</v>
      </c>
    </row>
    <row r="3681" spans="1:1" x14ac:dyDescent="0.25">
      <c r="A3681" s="54" t="str">
        <f>LEFT('Liste des étudiants'!$W3681,3)</f>
        <v>450</v>
      </c>
    </row>
    <row r="3682" spans="1:1" x14ac:dyDescent="0.25">
      <c r="A3682" s="54" t="str">
        <f>LEFT('Liste des étudiants'!$W3682,3)</f>
        <v>450</v>
      </c>
    </row>
    <row r="3683" spans="1:1" x14ac:dyDescent="0.25">
      <c r="A3683" s="54" t="str">
        <f>LEFT('Liste des étudiants'!$W3683,3)</f>
        <v>450</v>
      </c>
    </row>
    <row r="3684" spans="1:1" x14ac:dyDescent="0.25">
      <c r="A3684" s="54" t="str">
        <f>LEFT('Liste des étudiants'!$W3684,3)</f>
        <v>450</v>
      </c>
    </row>
    <row r="3685" spans="1:1" x14ac:dyDescent="0.25">
      <c r="A3685" s="54" t="str">
        <f>LEFT('Liste des étudiants'!$W3685,3)</f>
        <v>450</v>
      </c>
    </row>
    <row r="3686" spans="1:1" x14ac:dyDescent="0.25">
      <c r="A3686" s="54" t="str">
        <f>LEFT('Liste des étudiants'!$W3686,3)</f>
        <v>450</v>
      </c>
    </row>
    <row r="3687" spans="1:1" x14ac:dyDescent="0.25">
      <c r="A3687" s="54" t="str">
        <f>LEFT('Liste des étudiants'!$W3687,3)</f>
        <v>450</v>
      </c>
    </row>
    <row r="3688" spans="1:1" x14ac:dyDescent="0.25">
      <c r="A3688" s="54" t="str">
        <f>LEFT('Liste des étudiants'!$W3688,3)</f>
        <v>450</v>
      </c>
    </row>
    <row r="3689" spans="1:1" x14ac:dyDescent="0.25">
      <c r="A3689" s="54" t="str">
        <f>LEFT('Liste des étudiants'!$W3689,3)</f>
        <v>450</v>
      </c>
    </row>
    <row r="3690" spans="1:1" x14ac:dyDescent="0.25">
      <c r="A3690" s="54" t="str">
        <f>LEFT('Liste des étudiants'!$W3690,3)</f>
        <v>450</v>
      </c>
    </row>
    <row r="3691" spans="1:1" x14ac:dyDescent="0.25">
      <c r="A3691" s="54" t="str">
        <f>LEFT('Liste des étudiants'!$W3691,3)</f>
        <v>450</v>
      </c>
    </row>
    <row r="3692" spans="1:1" x14ac:dyDescent="0.25">
      <c r="A3692" s="54" t="str">
        <f>LEFT('Liste des étudiants'!$W3692,3)</f>
        <v>450</v>
      </c>
    </row>
    <row r="3693" spans="1:1" x14ac:dyDescent="0.25">
      <c r="A3693" s="54" t="str">
        <f>LEFT('Liste des étudiants'!$W3693,3)</f>
        <v>450</v>
      </c>
    </row>
    <row r="3694" spans="1:1" x14ac:dyDescent="0.25">
      <c r="A3694" s="54" t="str">
        <f>LEFT('Liste des étudiants'!$W3694,3)</f>
        <v>450</v>
      </c>
    </row>
    <row r="3695" spans="1:1" x14ac:dyDescent="0.25">
      <c r="A3695" s="54" t="str">
        <f>LEFT('Liste des étudiants'!$W3695,3)</f>
        <v>450</v>
      </c>
    </row>
    <row r="3696" spans="1:1" x14ac:dyDescent="0.25">
      <c r="A3696" s="54" t="str">
        <f>LEFT('Liste des étudiants'!$W3696,3)</f>
        <v>450</v>
      </c>
    </row>
    <row r="3697" spans="1:1" x14ac:dyDescent="0.25">
      <c r="A3697" s="54" t="str">
        <f>LEFT('Liste des étudiants'!$W3697,3)</f>
        <v>450</v>
      </c>
    </row>
    <row r="3698" spans="1:1" x14ac:dyDescent="0.25">
      <c r="A3698" s="54" t="str">
        <f>LEFT('Liste des étudiants'!$W3698,3)</f>
        <v>450</v>
      </c>
    </row>
    <row r="3699" spans="1:1" x14ac:dyDescent="0.25">
      <c r="A3699" s="54" t="str">
        <f>LEFT('Liste des étudiants'!$W3699,3)</f>
        <v>450</v>
      </c>
    </row>
    <row r="3700" spans="1:1" x14ac:dyDescent="0.25">
      <c r="A3700" s="54" t="str">
        <f>LEFT('Liste des étudiants'!$W3700,3)</f>
        <v>450</v>
      </c>
    </row>
    <row r="3701" spans="1:1" x14ac:dyDescent="0.25">
      <c r="A3701" s="54" t="str">
        <f>LEFT('Liste des étudiants'!$W3701,3)</f>
        <v>450</v>
      </c>
    </row>
    <row r="3702" spans="1:1" x14ac:dyDescent="0.25">
      <c r="A3702" s="54" t="str">
        <f>LEFT('Liste des étudiants'!$W3702,3)</f>
        <v>450</v>
      </c>
    </row>
    <row r="3703" spans="1:1" x14ac:dyDescent="0.25">
      <c r="A3703" s="54" t="str">
        <f>LEFT('Liste des étudiants'!$W3703,3)</f>
        <v>450</v>
      </c>
    </row>
    <row r="3704" spans="1:1" x14ac:dyDescent="0.25">
      <c r="A3704" s="54" t="str">
        <f>LEFT('Liste des étudiants'!$W3704,3)</f>
        <v>450</v>
      </c>
    </row>
    <row r="3705" spans="1:1" x14ac:dyDescent="0.25">
      <c r="A3705" s="54" t="str">
        <f>LEFT('Liste des étudiants'!$W3705,3)</f>
        <v>450</v>
      </c>
    </row>
    <row r="3706" spans="1:1" x14ac:dyDescent="0.25">
      <c r="A3706" s="54" t="str">
        <f>LEFT('Liste des étudiants'!$W3706,3)</f>
        <v>450</v>
      </c>
    </row>
    <row r="3707" spans="1:1" x14ac:dyDescent="0.25">
      <c r="A3707" s="54" t="str">
        <f>LEFT('Liste des étudiants'!$W3707,3)</f>
        <v>450</v>
      </c>
    </row>
    <row r="3708" spans="1:1" x14ac:dyDescent="0.25">
      <c r="A3708" s="54" t="str">
        <f>LEFT('Liste des étudiants'!$W3708,3)</f>
        <v>450</v>
      </c>
    </row>
    <row r="3709" spans="1:1" x14ac:dyDescent="0.25">
      <c r="A3709" s="54" t="str">
        <f>LEFT('Liste des étudiants'!$W3709,3)</f>
        <v>450</v>
      </c>
    </row>
    <row r="3710" spans="1:1" x14ac:dyDescent="0.25">
      <c r="A3710" s="54" t="str">
        <f>LEFT('Liste des étudiants'!$W3710,3)</f>
        <v>450</v>
      </c>
    </row>
    <row r="3711" spans="1:1" x14ac:dyDescent="0.25">
      <c r="A3711" s="54" t="str">
        <f>LEFT('Liste des étudiants'!$W3711,3)</f>
        <v>450</v>
      </c>
    </row>
    <row r="3712" spans="1:1" x14ac:dyDescent="0.25">
      <c r="A3712" s="54" t="str">
        <f>LEFT('Liste des étudiants'!$W3712,3)</f>
        <v>450</v>
      </c>
    </row>
    <row r="3713" spans="1:1" x14ac:dyDescent="0.25">
      <c r="A3713" s="54" t="str">
        <f>LEFT('Liste des étudiants'!$W3713,3)</f>
        <v>450</v>
      </c>
    </row>
    <row r="3714" spans="1:1" x14ac:dyDescent="0.25">
      <c r="A3714" s="54" t="str">
        <f>LEFT('Liste des étudiants'!$W3714,3)</f>
        <v>450</v>
      </c>
    </row>
    <row r="3715" spans="1:1" x14ac:dyDescent="0.25">
      <c r="A3715" s="54" t="str">
        <f>LEFT('Liste des étudiants'!$W3715,3)</f>
        <v>450</v>
      </c>
    </row>
    <row r="3716" spans="1:1" x14ac:dyDescent="0.25">
      <c r="A3716" s="54" t="str">
        <f>LEFT('Liste des étudiants'!$W3716,3)</f>
        <v>450</v>
      </c>
    </row>
    <row r="3717" spans="1:1" x14ac:dyDescent="0.25">
      <c r="A3717" s="54" t="str">
        <f>LEFT('Liste des étudiants'!$W3717,3)</f>
        <v>450</v>
      </c>
    </row>
    <row r="3718" spans="1:1" x14ac:dyDescent="0.25">
      <c r="A3718" s="54" t="str">
        <f>LEFT('Liste des étudiants'!$W3718,3)</f>
        <v>450</v>
      </c>
    </row>
    <row r="3719" spans="1:1" x14ac:dyDescent="0.25">
      <c r="A3719" s="54" t="str">
        <f>LEFT('Liste des étudiants'!$W3719,3)</f>
        <v>450</v>
      </c>
    </row>
    <row r="3720" spans="1:1" x14ac:dyDescent="0.25">
      <c r="A3720" s="54" t="str">
        <f>LEFT('Liste des étudiants'!$W3720,3)</f>
        <v>450</v>
      </c>
    </row>
    <row r="3721" spans="1:1" x14ac:dyDescent="0.25">
      <c r="A3721" s="54" t="str">
        <f>LEFT('Liste des étudiants'!$W3721,3)</f>
        <v>450</v>
      </c>
    </row>
    <row r="3722" spans="1:1" x14ac:dyDescent="0.25">
      <c r="A3722" s="54" t="str">
        <f>LEFT('Liste des étudiants'!$W3722,3)</f>
        <v>450</v>
      </c>
    </row>
    <row r="3723" spans="1:1" x14ac:dyDescent="0.25">
      <c r="A3723" s="54" t="str">
        <f>LEFT('Liste des étudiants'!$W3723,3)</f>
        <v>450</v>
      </c>
    </row>
    <row r="3724" spans="1:1" x14ac:dyDescent="0.25">
      <c r="A3724" s="54" t="str">
        <f>LEFT('Liste des étudiants'!$W3724,3)</f>
        <v>450</v>
      </c>
    </row>
    <row r="3725" spans="1:1" x14ac:dyDescent="0.25">
      <c r="A3725" s="54" t="str">
        <f>LEFT('Liste des étudiants'!$W3725,3)</f>
        <v>450</v>
      </c>
    </row>
    <row r="3726" spans="1:1" x14ac:dyDescent="0.25">
      <c r="A3726" s="54" t="str">
        <f>LEFT('Liste des étudiants'!$W3726,3)</f>
        <v>450</v>
      </c>
    </row>
    <row r="3727" spans="1:1" x14ac:dyDescent="0.25">
      <c r="A3727" s="54" t="str">
        <f>LEFT('Liste des étudiants'!$W3727,3)</f>
        <v>450</v>
      </c>
    </row>
    <row r="3728" spans="1:1" x14ac:dyDescent="0.25">
      <c r="A3728" s="54" t="str">
        <f>LEFT('Liste des étudiants'!$W3728,3)</f>
        <v>450</v>
      </c>
    </row>
    <row r="3729" spans="1:1" x14ac:dyDescent="0.25">
      <c r="A3729" s="54" t="str">
        <f>LEFT('Liste des étudiants'!$W3729,3)</f>
        <v>450</v>
      </c>
    </row>
    <row r="3730" spans="1:1" x14ac:dyDescent="0.25">
      <c r="A3730" s="54" t="str">
        <f>LEFT('Liste des étudiants'!$W3730,3)</f>
        <v>450</v>
      </c>
    </row>
    <row r="3731" spans="1:1" x14ac:dyDescent="0.25">
      <c r="A3731" s="54" t="str">
        <f>LEFT('Liste des étudiants'!$W3731,3)</f>
        <v>450</v>
      </c>
    </row>
    <row r="3732" spans="1:1" x14ac:dyDescent="0.25">
      <c r="A3732" s="54" t="str">
        <f>LEFT('Liste des étudiants'!$W3732,3)</f>
        <v>450</v>
      </c>
    </row>
    <row r="3733" spans="1:1" x14ac:dyDescent="0.25">
      <c r="A3733" s="54" t="str">
        <f>LEFT('Liste des étudiants'!$W3733,3)</f>
        <v>450</v>
      </c>
    </row>
    <row r="3734" spans="1:1" x14ac:dyDescent="0.25">
      <c r="A3734" s="54" t="str">
        <f>LEFT('Liste des étudiants'!$W3734,3)</f>
        <v>450</v>
      </c>
    </row>
    <row r="3735" spans="1:1" x14ac:dyDescent="0.25">
      <c r="A3735" s="54" t="str">
        <f>LEFT('Liste des étudiants'!$W3735,3)</f>
        <v>450</v>
      </c>
    </row>
    <row r="3736" spans="1:1" x14ac:dyDescent="0.25">
      <c r="A3736" s="54" t="str">
        <f>LEFT('Liste des étudiants'!$W3736,3)</f>
        <v>450</v>
      </c>
    </row>
    <row r="3737" spans="1:1" x14ac:dyDescent="0.25">
      <c r="A3737" s="54" t="str">
        <f>LEFT('Liste des étudiants'!$W3737,3)</f>
        <v>450</v>
      </c>
    </row>
    <row r="3738" spans="1:1" x14ac:dyDescent="0.25">
      <c r="A3738" s="54" t="str">
        <f>LEFT('Liste des étudiants'!$W3738,3)</f>
        <v>450</v>
      </c>
    </row>
    <row r="3739" spans="1:1" x14ac:dyDescent="0.25">
      <c r="A3739" s="54" t="str">
        <f>LEFT('Liste des étudiants'!$W3739,3)</f>
        <v>450</v>
      </c>
    </row>
    <row r="3740" spans="1:1" x14ac:dyDescent="0.25">
      <c r="A3740" s="54" t="str">
        <f>LEFT('Liste des étudiants'!$W3740,3)</f>
        <v>450</v>
      </c>
    </row>
    <row r="3741" spans="1:1" x14ac:dyDescent="0.25">
      <c r="A3741" s="54" t="str">
        <f>LEFT('Liste des étudiants'!$W3741,3)</f>
        <v>450</v>
      </c>
    </row>
    <row r="3742" spans="1:1" x14ac:dyDescent="0.25">
      <c r="A3742" s="54" t="str">
        <f>LEFT('Liste des étudiants'!$W3742,3)</f>
        <v>450</v>
      </c>
    </row>
    <row r="3743" spans="1:1" x14ac:dyDescent="0.25">
      <c r="A3743" s="54" t="str">
        <f>LEFT('Liste des étudiants'!$W3743,3)</f>
        <v>450</v>
      </c>
    </row>
    <row r="3744" spans="1:1" x14ac:dyDescent="0.25">
      <c r="A3744" s="54" t="str">
        <f>LEFT('Liste des étudiants'!$W3744,3)</f>
        <v>450</v>
      </c>
    </row>
    <row r="3745" spans="1:1" x14ac:dyDescent="0.25">
      <c r="A3745" s="54" t="str">
        <f>LEFT('Liste des étudiants'!$W3745,3)</f>
        <v>450</v>
      </c>
    </row>
    <row r="3746" spans="1:1" x14ac:dyDescent="0.25">
      <c r="A3746" s="54" t="str">
        <f>LEFT('Liste des étudiants'!$W3746,3)</f>
        <v>450</v>
      </c>
    </row>
    <row r="3747" spans="1:1" x14ac:dyDescent="0.25">
      <c r="A3747" s="54" t="str">
        <f>LEFT('Liste des étudiants'!$W3747,3)</f>
        <v>450</v>
      </c>
    </row>
    <row r="3748" spans="1:1" x14ac:dyDescent="0.25">
      <c r="A3748" s="54" t="str">
        <f>LEFT('Liste des étudiants'!$W3748,3)</f>
        <v>450</v>
      </c>
    </row>
    <row r="3749" spans="1:1" x14ac:dyDescent="0.25">
      <c r="A3749" s="54" t="str">
        <f>LEFT('Liste des étudiants'!$W3749,3)</f>
        <v>450</v>
      </c>
    </row>
    <row r="3750" spans="1:1" x14ac:dyDescent="0.25">
      <c r="A3750" s="54" t="str">
        <f>LEFT('Liste des étudiants'!$W3750,3)</f>
        <v>450</v>
      </c>
    </row>
    <row r="3751" spans="1:1" x14ac:dyDescent="0.25">
      <c r="A3751" s="54" t="str">
        <f>LEFT('Liste des étudiants'!$W3751,3)</f>
        <v>450</v>
      </c>
    </row>
    <row r="3752" spans="1:1" x14ac:dyDescent="0.25">
      <c r="A3752" s="54" t="str">
        <f>LEFT('Liste des étudiants'!$W3752,3)</f>
        <v>450</v>
      </c>
    </row>
    <row r="3753" spans="1:1" x14ac:dyDescent="0.25">
      <c r="A3753" s="54" t="str">
        <f>LEFT('Liste des étudiants'!$W3753,3)</f>
        <v>450</v>
      </c>
    </row>
    <row r="3754" spans="1:1" x14ac:dyDescent="0.25">
      <c r="A3754" s="54" t="str">
        <f>LEFT('Liste des étudiants'!$W3754,3)</f>
        <v>450</v>
      </c>
    </row>
    <row r="3755" spans="1:1" x14ac:dyDescent="0.25">
      <c r="A3755" s="54" t="str">
        <f>LEFT('Liste des étudiants'!$W3755,3)</f>
        <v>450</v>
      </c>
    </row>
    <row r="3756" spans="1:1" x14ac:dyDescent="0.25">
      <c r="A3756" s="54" t="str">
        <f>LEFT('Liste des étudiants'!$W3756,3)</f>
        <v>450</v>
      </c>
    </row>
    <row r="3757" spans="1:1" x14ac:dyDescent="0.25">
      <c r="A3757" s="54" t="str">
        <f>LEFT('Liste des étudiants'!$W3757,3)</f>
        <v>450</v>
      </c>
    </row>
    <row r="3758" spans="1:1" x14ac:dyDescent="0.25">
      <c r="A3758" s="54" t="str">
        <f>LEFT('Liste des étudiants'!$W3758,3)</f>
        <v>450</v>
      </c>
    </row>
    <row r="3759" spans="1:1" x14ac:dyDescent="0.25">
      <c r="A3759" s="54" t="str">
        <f>LEFT('Liste des étudiants'!$W3759,3)</f>
        <v>450</v>
      </c>
    </row>
    <row r="3760" spans="1:1" x14ac:dyDescent="0.25">
      <c r="A3760" s="54" t="str">
        <f>LEFT('Liste des étudiants'!$W3760,3)</f>
        <v>450</v>
      </c>
    </row>
    <row r="3761" spans="1:1" x14ac:dyDescent="0.25">
      <c r="A3761" s="54" t="str">
        <f>LEFT('Liste des étudiants'!$W3761,3)</f>
        <v>450</v>
      </c>
    </row>
    <row r="3762" spans="1:1" x14ac:dyDescent="0.25">
      <c r="A3762" s="54" t="str">
        <f>LEFT('Liste des étudiants'!$W3762,3)</f>
        <v>450</v>
      </c>
    </row>
    <row r="3763" spans="1:1" x14ac:dyDescent="0.25">
      <c r="A3763" s="54" t="str">
        <f>LEFT('Liste des étudiants'!$W3763,3)</f>
        <v>450</v>
      </c>
    </row>
    <row r="3764" spans="1:1" x14ac:dyDescent="0.25">
      <c r="A3764" s="54" t="str">
        <f>LEFT('Liste des étudiants'!$W3764,3)</f>
        <v>450</v>
      </c>
    </row>
    <row r="3765" spans="1:1" x14ac:dyDescent="0.25">
      <c r="A3765" s="54" t="str">
        <f>LEFT('Liste des étudiants'!$W3765,3)</f>
        <v>450</v>
      </c>
    </row>
    <row r="3766" spans="1:1" x14ac:dyDescent="0.25">
      <c r="A3766" s="54" t="str">
        <f>LEFT('Liste des étudiants'!$W3766,3)</f>
        <v>450</v>
      </c>
    </row>
    <row r="3767" spans="1:1" x14ac:dyDescent="0.25">
      <c r="A3767" s="54" t="str">
        <f>LEFT('Liste des étudiants'!$W3767,3)</f>
        <v>450</v>
      </c>
    </row>
    <row r="3768" spans="1:1" x14ac:dyDescent="0.25">
      <c r="A3768" s="54" t="str">
        <f>LEFT('Liste des étudiants'!$W3768,3)</f>
        <v>450</v>
      </c>
    </row>
    <row r="3769" spans="1:1" x14ac:dyDescent="0.25">
      <c r="A3769" s="54" t="str">
        <f>LEFT('Liste des étudiants'!$W3769,3)</f>
        <v>450</v>
      </c>
    </row>
    <row r="3770" spans="1:1" x14ac:dyDescent="0.25">
      <c r="A3770" s="54" t="str">
        <f>LEFT('Liste des étudiants'!$W3770,3)</f>
        <v>450</v>
      </c>
    </row>
    <row r="3771" spans="1:1" x14ac:dyDescent="0.25">
      <c r="A3771" s="54" t="str">
        <f>LEFT('Liste des étudiants'!$W3771,3)</f>
        <v>450</v>
      </c>
    </row>
    <row r="3772" spans="1:1" x14ac:dyDescent="0.25">
      <c r="A3772" s="54" t="str">
        <f>LEFT('Liste des étudiants'!$W3772,3)</f>
        <v>450</v>
      </c>
    </row>
    <row r="3773" spans="1:1" x14ac:dyDescent="0.25">
      <c r="A3773" s="54" t="str">
        <f>LEFT('Liste des étudiants'!$W3773,3)</f>
        <v>450</v>
      </c>
    </row>
    <row r="3774" spans="1:1" x14ac:dyDescent="0.25">
      <c r="A3774" s="54" t="str">
        <f>LEFT('Liste des étudiants'!$W3774,3)</f>
        <v>450</v>
      </c>
    </row>
    <row r="3775" spans="1:1" x14ac:dyDescent="0.25">
      <c r="A3775" s="54" t="str">
        <f>LEFT('Liste des étudiants'!$W3775,3)</f>
        <v>450</v>
      </c>
    </row>
    <row r="3776" spans="1:1" x14ac:dyDescent="0.25">
      <c r="A3776" s="54" t="str">
        <f>LEFT('Liste des étudiants'!$W3776,3)</f>
        <v>450</v>
      </c>
    </row>
    <row r="3777" spans="1:1" x14ac:dyDescent="0.25">
      <c r="A3777" s="54" t="str">
        <f>LEFT('Liste des étudiants'!$W3777,3)</f>
        <v>450</v>
      </c>
    </row>
    <row r="3778" spans="1:1" x14ac:dyDescent="0.25">
      <c r="A3778" s="54" t="str">
        <f>LEFT('Liste des étudiants'!$W3778,3)</f>
        <v>450</v>
      </c>
    </row>
    <row r="3779" spans="1:1" x14ac:dyDescent="0.25">
      <c r="A3779" s="54" t="str">
        <f>LEFT('Liste des étudiants'!$W3779,3)</f>
        <v>450</v>
      </c>
    </row>
    <row r="3780" spans="1:1" x14ac:dyDescent="0.25">
      <c r="A3780" s="54" t="str">
        <f>LEFT('Liste des étudiants'!$W3780,3)</f>
        <v>450</v>
      </c>
    </row>
    <row r="3781" spans="1:1" x14ac:dyDescent="0.25">
      <c r="A3781" s="54" t="str">
        <f>LEFT('Liste des étudiants'!$W3781,3)</f>
        <v>450</v>
      </c>
    </row>
    <row r="3782" spans="1:1" x14ac:dyDescent="0.25">
      <c r="A3782" s="54" t="str">
        <f>LEFT('Liste des étudiants'!$W3782,3)</f>
        <v>450</v>
      </c>
    </row>
    <row r="3783" spans="1:1" x14ac:dyDescent="0.25">
      <c r="A3783" s="54" t="str">
        <f>LEFT('Liste des étudiants'!$W3783,3)</f>
        <v>450</v>
      </c>
    </row>
    <row r="3784" spans="1:1" x14ac:dyDescent="0.25">
      <c r="A3784" s="54" t="str">
        <f>LEFT('Liste des étudiants'!$W3784,3)</f>
        <v>450</v>
      </c>
    </row>
    <row r="3785" spans="1:1" x14ac:dyDescent="0.25">
      <c r="A3785" s="54" t="str">
        <f>LEFT('Liste des étudiants'!$W3785,3)</f>
        <v>450</v>
      </c>
    </row>
    <row r="3786" spans="1:1" x14ac:dyDescent="0.25">
      <c r="A3786" s="54" t="str">
        <f>LEFT('Liste des étudiants'!$W3786,3)</f>
        <v>450</v>
      </c>
    </row>
    <row r="3787" spans="1:1" x14ac:dyDescent="0.25">
      <c r="A3787" s="54" t="str">
        <f>LEFT('Liste des étudiants'!$W3787,3)</f>
        <v>450</v>
      </c>
    </row>
    <row r="3788" spans="1:1" x14ac:dyDescent="0.25">
      <c r="A3788" s="54" t="str">
        <f>LEFT('Liste des étudiants'!$W3788,3)</f>
        <v>450</v>
      </c>
    </row>
    <row r="3789" spans="1:1" x14ac:dyDescent="0.25">
      <c r="A3789" s="54" t="str">
        <f>LEFT('Liste des étudiants'!$W3789,3)</f>
        <v>450</v>
      </c>
    </row>
    <row r="3790" spans="1:1" x14ac:dyDescent="0.25">
      <c r="A3790" s="54" t="str">
        <f>LEFT('Liste des étudiants'!$W3790,3)</f>
        <v>450</v>
      </c>
    </row>
    <row r="3791" spans="1:1" x14ac:dyDescent="0.25">
      <c r="A3791" s="54" t="str">
        <f>LEFT('Liste des étudiants'!$W3791,3)</f>
        <v>450</v>
      </c>
    </row>
    <row r="3792" spans="1:1" x14ac:dyDescent="0.25">
      <c r="A3792" s="54" t="str">
        <f>LEFT('Liste des étudiants'!$W3792,3)</f>
        <v>450</v>
      </c>
    </row>
    <row r="3793" spans="1:1" x14ac:dyDescent="0.25">
      <c r="A3793" s="54" t="str">
        <f>LEFT('Liste des étudiants'!$W3793,3)</f>
        <v>450</v>
      </c>
    </row>
    <row r="3794" spans="1:1" x14ac:dyDescent="0.25">
      <c r="A3794" s="54" t="str">
        <f>LEFT('Liste des étudiants'!$W3794,3)</f>
        <v>450</v>
      </c>
    </row>
    <row r="3795" spans="1:1" x14ac:dyDescent="0.25">
      <c r="A3795" s="54" t="str">
        <f>LEFT('Liste des étudiants'!$W3795,3)</f>
        <v>450</v>
      </c>
    </row>
    <row r="3796" spans="1:1" x14ac:dyDescent="0.25">
      <c r="A3796" s="54" t="str">
        <f>LEFT('Liste des étudiants'!$W3796,3)</f>
        <v>450</v>
      </c>
    </row>
    <row r="3797" spans="1:1" x14ac:dyDescent="0.25">
      <c r="A3797" s="54" t="str">
        <f>LEFT('Liste des étudiants'!$W3797,3)</f>
        <v>450</v>
      </c>
    </row>
    <row r="3798" spans="1:1" x14ac:dyDescent="0.25">
      <c r="A3798" s="54" t="str">
        <f>LEFT('Liste des étudiants'!$W3798,3)</f>
        <v>450</v>
      </c>
    </row>
    <row r="3799" spans="1:1" x14ac:dyDescent="0.25">
      <c r="A3799" s="54" t="str">
        <f>LEFT('Liste des étudiants'!$W3799,3)</f>
        <v>450</v>
      </c>
    </row>
    <row r="3800" spans="1:1" x14ac:dyDescent="0.25">
      <c r="A3800" s="54" t="str">
        <f>LEFT('Liste des étudiants'!$W3800,3)</f>
        <v>450</v>
      </c>
    </row>
    <row r="3801" spans="1:1" x14ac:dyDescent="0.25">
      <c r="A3801" s="54" t="str">
        <f>LEFT('Liste des étudiants'!$W3801,3)</f>
        <v>450</v>
      </c>
    </row>
    <row r="3802" spans="1:1" x14ac:dyDescent="0.25">
      <c r="A3802" s="54" t="str">
        <f>LEFT('Liste des étudiants'!$W3802,3)</f>
        <v>450</v>
      </c>
    </row>
    <row r="3803" spans="1:1" x14ac:dyDescent="0.25">
      <c r="A3803" s="54" t="str">
        <f>LEFT('Liste des étudiants'!$W3803,3)</f>
        <v>450</v>
      </c>
    </row>
    <row r="3804" spans="1:1" x14ac:dyDescent="0.25">
      <c r="A3804" s="54" t="str">
        <f>LEFT('Liste des étudiants'!$W3804,3)</f>
        <v>450</v>
      </c>
    </row>
    <row r="3805" spans="1:1" x14ac:dyDescent="0.25">
      <c r="A3805" s="54" t="str">
        <f>LEFT('Liste des étudiants'!$W3805,3)</f>
        <v>450</v>
      </c>
    </row>
    <row r="3806" spans="1:1" x14ac:dyDescent="0.25">
      <c r="A3806" s="54" t="str">
        <f>LEFT('Liste des étudiants'!$W3806,3)</f>
        <v>450</v>
      </c>
    </row>
    <row r="3807" spans="1:1" x14ac:dyDescent="0.25">
      <c r="A3807" s="54" t="str">
        <f>LEFT('Liste des étudiants'!$W3807,3)</f>
        <v>450</v>
      </c>
    </row>
    <row r="3808" spans="1:1" x14ac:dyDescent="0.25">
      <c r="A3808" s="54" t="str">
        <f>LEFT('Liste des étudiants'!$W3808,3)</f>
        <v>450</v>
      </c>
    </row>
    <row r="3809" spans="1:1" x14ac:dyDescent="0.25">
      <c r="A3809" s="54" t="str">
        <f>LEFT('Liste des étudiants'!$W3809,3)</f>
        <v>450</v>
      </c>
    </row>
    <row r="3810" spans="1:1" x14ac:dyDescent="0.25">
      <c r="A3810" s="54" t="str">
        <f>LEFT('Liste des étudiants'!$W3810,3)</f>
        <v>450</v>
      </c>
    </row>
    <row r="3811" spans="1:1" x14ac:dyDescent="0.25">
      <c r="A3811" s="54" t="str">
        <f>LEFT('Liste des étudiants'!$W3811,3)</f>
        <v>450</v>
      </c>
    </row>
    <row r="3812" spans="1:1" x14ac:dyDescent="0.25">
      <c r="A3812" s="54" t="str">
        <f>LEFT('Liste des étudiants'!$W3812,3)</f>
        <v>450</v>
      </c>
    </row>
    <row r="3813" spans="1:1" x14ac:dyDescent="0.25">
      <c r="A3813" s="54" t="str">
        <f>LEFT('Liste des étudiants'!$W3813,3)</f>
        <v>450</v>
      </c>
    </row>
    <row r="3814" spans="1:1" x14ac:dyDescent="0.25">
      <c r="A3814" s="54" t="str">
        <f>LEFT('Liste des étudiants'!$W3814,3)</f>
        <v>450</v>
      </c>
    </row>
    <row r="3815" spans="1:1" x14ac:dyDescent="0.25">
      <c r="A3815" s="54" t="str">
        <f>LEFT('Liste des étudiants'!$W3815,3)</f>
        <v>450</v>
      </c>
    </row>
    <row r="3816" spans="1:1" x14ac:dyDescent="0.25">
      <c r="A3816" s="54" t="str">
        <f>LEFT('Liste des étudiants'!$W3816,3)</f>
        <v>450</v>
      </c>
    </row>
    <row r="3817" spans="1:1" x14ac:dyDescent="0.25">
      <c r="A3817" s="54" t="str">
        <f>LEFT('Liste des étudiants'!$W3817,3)</f>
        <v>450</v>
      </c>
    </row>
    <row r="3818" spans="1:1" x14ac:dyDescent="0.25">
      <c r="A3818" s="54" t="str">
        <f>LEFT('Liste des étudiants'!$W3818,3)</f>
        <v>450</v>
      </c>
    </row>
    <row r="3819" spans="1:1" x14ac:dyDescent="0.25">
      <c r="A3819" s="54" t="str">
        <f>LEFT('Liste des étudiants'!$W3819,3)</f>
        <v>450</v>
      </c>
    </row>
    <row r="3820" spans="1:1" x14ac:dyDescent="0.25">
      <c r="A3820" s="54" t="str">
        <f>LEFT('Liste des étudiants'!$W3820,3)</f>
        <v>450</v>
      </c>
    </row>
    <row r="3821" spans="1:1" x14ac:dyDescent="0.25">
      <c r="A3821" s="54" t="str">
        <f>LEFT('Liste des étudiants'!$W3821,3)</f>
        <v>450</v>
      </c>
    </row>
    <row r="3822" spans="1:1" x14ac:dyDescent="0.25">
      <c r="A3822" s="54" t="str">
        <f>LEFT('Liste des étudiants'!$W3822,3)</f>
        <v>450</v>
      </c>
    </row>
    <row r="3823" spans="1:1" x14ac:dyDescent="0.25">
      <c r="A3823" s="54" t="str">
        <f>LEFT('Liste des étudiants'!$W3823,3)</f>
        <v>450</v>
      </c>
    </row>
    <row r="3824" spans="1:1" x14ac:dyDescent="0.25">
      <c r="A3824" s="54" t="str">
        <f>LEFT('Liste des étudiants'!$W3824,3)</f>
        <v>450</v>
      </c>
    </row>
    <row r="3825" spans="1:1" x14ac:dyDescent="0.25">
      <c r="A3825" s="54" t="str">
        <f>LEFT('Liste des étudiants'!$W3825,3)</f>
        <v>450</v>
      </c>
    </row>
    <row r="3826" spans="1:1" x14ac:dyDescent="0.25">
      <c r="A3826" s="54" t="str">
        <f>LEFT('Liste des étudiants'!$W3826,3)</f>
        <v>450</v>
      </c>
    </row>
    <row r="3827" spans="1:1" x14ac:dyDescent="0.25">
      <c r="A3827" s="54" t="str">
        <f>LEFT('Liste des étudiants'!$W3827,3)</f>
        <v>450</v>
      </c>
    </row>
    <row r="3828" spans="1:1" x14ac:dyDescent="0.25">
      <c r="A3828" s="54" t="str">
        <f>LEFT('Liste des étudiants'!$W3828,3)</f>
        <v>450</v>
      </c>
    </row>
    <row r="3829" spans="1:1" x14ac:dyDescent="0.25">
      <c r="A3829" s="54" t="str">
        <f>LEFT('Liste des étudiants'!$W3829,3)</f>
        <v>450</v>
      </c>
    </row>
    <row r="3830" spans="1:1" x14ac:dyDescent="0.25">
      <c r="A3830" s="54" t="str">
        <f>LEFT('Liste des étudiants'!$W3830,3)</f>
        <v>450</v>
      </c>
    </row>
    <row r="3831" spans="1:1" x14ac:dyDescent="0.25">
      <c r="A3831" s="54" t="str">
        <f>LEFT('Liste des étudiants'!$W3831,3)</f>
        <v>450</v>
      </c>
    </row>
    <row r="3832" spans="1:1" x14ac:dyDescent="0.25">
      <c r="A3832" s="54" t="str">
        <f>LEFT('Liste des étudiants'!$W3832,3)</f>
        <v>450</v>
      </c>
    </row>
    <row r="3833" spans="1:1" x14ac:dyDescent="0.25">
      <c r="A3833" s="54" t="str">
        <f>LEFT('Liste des étudiants'!$W3833,3)</f>
        <v>450</v>
      </c>
    </row>
    <row r="3834" spans="1:1" x14ac:dyDescent="0.25">
      <c r="A3834" s="54" t="str">
        <f>LEFT('Liste des étudiants'!$W3834,3)</f>
        <v>450</v>
      </c>
    </row>
    <row r="3835" spans="1:1" x14ac:dyDescent="0.25">
      <c r="A3835" s="54" t="str">
        <f>LEFT('Liste des étudiants'!$W3835,3)</f>
        <v>450</v>
      </c>
    </row>
    <row r="3836" spans="1:1" x14ac:dyDescent="0.25">
      <c r="A3836" s="54" t="str">
        <f>LEFT('Liste des étudiants'!$W3836,3)</f>
        <v>450</v>
      </c>
    </row>
    <row r="3837" spans="1:1" x14ac:dyDescent="0.25">
      <c r="A3837" s="54" t="str">
        <f>LEFT('Liste des étudiants'!$W3837,3)</f>
        <v>450</v>
      </c>
    </row>
    <row r="3838" spans="1:1" x14ac:dyDescent="0.25">
      <c r="A3838" s="54" t="str">
        <f>LEFT('Liste des étudiants'!$W3838,3)</f>
        <v>450</v>
      </c>
    </row>
    <row r="3839" spans="1:1" x14ac:dyDescent="0.25">
      <c r="A3839" s="54" t="str">
        <f>LEFT('Liste des étudiants'!$W3839,3)</f>
        <v>450</v>
      </c>
    </row>
    <row r="3840" spans="1:1" x14ac:dyDescent="0.25">
      <c r="A3840" s="54" t="str">
        <f>LEFT('Liste des étudiants'!$W3840,3)</f>
        <v>450</v>
      </c>
    </row>
    <row r="3841" spans="1:1" x14ac:dyDescent="0.25">
      <c r="A3841" s="54" t="str">
        <f>LEFT('Liste des étudiants'!$W3841,3)</f>
        <v>450</v>
      </c>
    </row>
    <row r="3842" spans="1:1" x14ac:dyDescent="0.25">
      <c r="A3842" s="54" t="str">
        <f>LEFT('Liste des étudiants'!$W3842,3)</f>
        <v>450</v>
      </c>
    </row>
    <row r="3843" spans="1:1" x14ac:dyDescent="0.25">
      <c r="A3843" s="54" t="str">
        <f>LEFT('Liste des étudiants'!$W3843,3)</f>
        <v>450</v>
      </c>
    </row>
    <row r="3844" spans="1:1" x14ac:dyDescent="0.25">
      <c r="A3844" s="54" t="str">
        <f>LEFT('Liste des étudiants'!$W3844,3)</f>
        <v>450</v>
      </c>
    </row>
    <row r="3845" spans="1:1" x14ac:dyDescent="0.25">
      <c r="A3845" s="54" t="str">
        <f>LEFT('Liste des étudiants'!$W3845,3)</f>
        <v>450</v>
      </c>
    </row>
    <row r="3846" spans="1:1" x14ac:dyDescent="0.25">
      <c r="A3846" s="54" t="str">
        <f>LEFT('Liste des étudiants'!$W3846,3)</f>
        <v>450</v>
      </c>
    </row>
    <row r="3847" spans="1:1" x14ac:dyDescent="0.25">
      <c r="A3847" s="54" t="str">
        <f>LEFT('Liste des étudiants'!$W3847,3)</f>
        <v>450</v>
      </c>
    </row>
    <row r="3848" spans="1:1" x14ac:dyDescent="0.25">
      <c r="A3848" s="54" t="str">
        <f>LEFT('Liste des étudiants'!$W3848,3)</f>
        <v>450</v>
      </c>
    </row>
    <row r="3849" spans="1:1" x14ac:dyDescent="0.25">
      <c r="A3849" s="54" t="str">
        <f>LEFT('Liste des étudiants'!$W3849,3)</f>
        <v>450</v>
      </c>
    </row>
    <row r="3850" spans="1:1" x14ac:dyDescent="0.25">
      <c r="A3850" s="54" t="str">
        <f>LEFT('Liste des étudiants'!$W3850,3)</f>
        <v>450</v>
      </c>
    </row>
    <row r="3851" spans="1:1" x14ac:dyDescent="0.25">
      <c r="A3851" s="54" t="str">
        <f>LEFT('Liste des étudiants'!$W3851,3)</f>
        <v>450</v>
      </c>
    </row>
    <row r="3852" spans="1:1" x14ac:dyDescent="0.25">
      <c r="A3852" s="54" t="str">
        <f>LEFT('Liste des étudiants'!$W3852,3)</f>
        <v>450</v>
      </c>
    </row>
    <row r="3853" spans="1:1" x14ac:dyDescent="0.25">
      <c r="A3853" s="54" t="str">
        <f>LEFT('Liste des étudiants'!$W3853,3)</f>
        <v>450</v>
      </c>
    </row>
    <row r="3854" spans="1:1" x14ac:dyDescent="0.25">
      <c r="A3854" s="54" t="str">
        <f>LEFT('Liste des étudiants'!$W3854,3)</f>
        <v>450</v>
      </c>
    </row>
    <row r="3855" spans="1:1" x14ac:dyDescent="0.25">
      <c r="A3855" s="54" t="str">
        <f>LEFT('Liste des étudiants'!$W3855,3)</f>
        <v>450</v>
      </c>
    </row>
    <row r="3856" spans="1:1" x14ac:dyDescent="0.25">
      <c r="A3856" s="54" t="str">
        <f>LEFT('Liste des étudiants'!$W3856,3)</f>
        <v>450</v>
      </c>
    </row>
    <row r="3857" spans="1:1" x14ac:dyDescent="0.25">
      <c r="A3857" s="54" t="str">
        <f>LEFT('Liste des étudiants'!$W3857,3)</f>
        <v>450</v>
      </c>
    </row>
    <row r="3858" spans="1:1" x14ac:dyDescent="0.25">
      <c r="A3858" s="54" t="str">
        <f>LEFT('Liste des étudiants'!$W3858,3)</f>
        <v>450</v>
      </c>
    </row>
    <row r="3859" spans="1:1" x14ac:dyDescent="0.25">
      <c r="A3859" s="54" t="str">
        <f>LEFT('Liste des étudiants'!$W3859,3)</f>
        <v>450</v>
      </c>
    </row>
    <row r="3860" spans="1:1" x14ac:dyDescent="0.25">
      <c r="A3860" s="54" t="str">
        <f>LEFT('Liste des étudiants'!$W3860,3)</f>
        <v>450</v>
      </c>
    </row>
    <row r="3861" spans="1:1" x14ac:dyDescent="0.25">
      <c r="A3861" s="54" t="str">
        <f>LEFT('Liste des étudiants'!$W3861,3)</f>
        <v>450</v>
      </c>
    </row>
    <row r="3862" spans="1:1" x14ac:dyDescent="0.25">
      <c r="A3862" s="54" t="str">
        <f>LEFT('Liste des étudiants'!$W3862,3)</f>
        <v>450</v>
      </c>
    </row>
    <row r="3863" spans="1:1" x14ac:dyDescent="0.25">
      <c r="A3863" s="54" t="str">
        <f>LEFT('Liste des étudiants'!$W3863,3)</f>
        <v>450</v>
      </c>
    </row>
    <row r="3864" spans="1:1" x14ac:dyDescent="0.25">
      <c r="A3864" s="54" t="str">
        <f>LEFT('Liste des étudiants'!$W3864,3)</f>
        <v>450</v>
      </c>
    </row>
    <row r="3865" spans="1:1" x14ac:dyDescent="0.25">
      <c r="A3865" s="54" t="str">
        <f>LEFT('Liste des étudiants'!$W3865,3)</f>
        <v>450</v>
      </c>
    </row>
    <row r="3866" spans="1:1" x14ac:dyDescent="0.25">
      <c r="A3866" s="54" t="str">
        <f>LEFT('Liste des étudiants'!$W3866,3)</f>
        <v>450</v>
      </c>
    </row>
    <row r="3867" spans="1:1" x14ac:dyDescent="0.25">
      <c r="A3867" s="54" t="str">
        <f>LEFT('Liste des étudiants'!$W3867,3)</f>
        <v>450</v>
      </c>
    </row>
    <row r="3868" spans="1:1" x14ac:dyDescent="0.25">
      <c r="A3868" s="54" t="str">
        <f>LEFT('Liste des étudiants'!$W3868,3)</f>
        <v>450</v>
      </c>
    </row>
    <row r="3869" spans="1:1" x14ac:dyDescent="0.25">
      <c r="A3869" s="54" t="str">
        <f>LEFT('Liste des étudiants'!$W3869,3)</f>
        <v>450</v>
      </c>
    </row>
    <row r="3870" spans="1:1" x14ac:dyDescent="0.25">
      <c r="A3870" s="54" t="str">
        <f>LEFT('Liste des étudiants'!$W3870,3)</f>
        <v>450</v>
      </c>
    </row>
    <row r="3871" spans="1:1" x14ac:dyDescent="0.25">
      <c r="A3871" s="54" t="str">
        <f>LEFT('Liste des étudiants'!$W3871,3)</f>
        <v>450</v>
      </c>
    </row>
    <row r="3872" spans="1:1" x14ac:dyDescent="0.25">
      <c r="A3872" s="54" t="str">
        <f>LEFT('Liste des étudiants'!$W3872,3)</f>
        <v>450</v>
      </c>
    </row>
    <row r="3873" spans="1:1" x14ac:dyDescent="0.25">
      <c r="A3873" s="54" t="str">
        <f>LEFT('Liste des étudiants'!$W3873,3)</f>
        <v>450</v>
      </c>
    </row>
    <row r="3874" spans="1:1" x14ac:dyDescent="0.25">
      <c r="A3874" s="54" t="str">
        <f>LEFT('Liste des étudiants'!$W3874,3)</f>
        <v>450</v>
      </c>
    </row>
    <row r="3875" spans="1:1" x14ac:dyDescent="0.25">
      <c r="A3875" s="54" t="str">
        <f>LEFT('Liste des étudiants'!$W3875,3)</f>
        <v>450</v>
      </c>
    </row>
    <row r="3876" spans="1:1" x14ac:dyDescent="0.25">
      <c r="A3876" s="54" t="str">
        <f>LEFT('Liste des étudiants'!$W3876,3)</f>
        <v>450</v>
      </c>
    </row>
    <row r="3877" spans="1:1" x14ac:dyDescent="0.25">
      <c r="A3877" s="54" t="str">
        <f>LEFT('Liste des étudiants'!$W3877,3)</f>
        <v>450</v>
      </c>
    </row>
    <row r="3878" spans="1:1" x14ac:dyDescent="0.25">
      <c r="A3878" s="54" t="str">
        <f>LEFT('Liste des étudiants'!$W3878,3)</f>
        <v>450</v>
      </c>
    </row>
    <row r="3879" spans="1:1" x14ac:dyDescent="0.25">
      <c r="A3879" s="54" t="str">
        <f>LEFT('Liste des étudiants'!$W3879,3)</f>
        <v>450</v>
      </c>
    </row>
    <row r="3880" spans="1:1" x14ac:dyDescent="0.25">
      <c r="A3880" s="54" t="str">
        <f>LEFT('Liste des étudiants'!$W3880,3)</f>
        <v>450</v>
      </c>
    </row>
    <row r="3881" spans="1:1" x14ac:dyDescent="0.25">
      <c r="A3881" s="54" t="str">
        <f>LEFT('Liste des étudiants'!$W3881,3)</f>
        <v>450</v>
      </c>
    </row>
    <row r="3882" spans="1:1" x14ac:dyDescent="0.25">
      <c r="A3882" s="54" t="str">
        <f>LEFT('Liste des étudiants'!$W3882,3)</f>
        <v>450</v>
      </c>
    </row>
    <row r="3883" spans="1:1" x14ac:dyDescent="0.25">
      <c r="A3883" s="54" t="str">
        <f>LEFT('Liste des étudiants'!$W3883,3)</f>
        <v>450</v>
      </c>
    </row>
    <row r="3884" spans="1:1" x14ac:dyDescent="0.25">
      <c r="A3884" s="54" t="str">
        <f>LEFT('Liste des étudiants'!$W3884,3)</f>
        <v>450</v>
      </c>
    </row>
    <row r="3885" spans="1:1" x14ac:dyDescent="0.25">
      <c r="A3885" s="54" t="str">
        <f>LEFT('Liste des étudiants'!$W3885,3)</f>
        <v>450</v>
      </c>
    </row>
    <row r="3886" spans="1:1" x14ac:dyDescent="0.25">
      <c r="A3886" s="54" t="str">
        <f>LEFT('Liste des étudiants'!$W3886,3)</f>
        <v>450</v>
      </c>
    </row>
    <row r="3887" spans="1:1" x14ac:dyDescent="0.25">
      <c r="A3887" s="54" t="str">
        <f>LEFT('Liste des étudiants'!$W3887,3)</f>
        <v>450</v>
      </c>
    </row>
    <row r="3888" spans="1:1" x14ac:dyDescent="0.25">
      <c r="A3888" s="54" t="str">
        <f>LEFT('Liste des étudiants'!$W3888,3)</f>
        <v>450</v>
      </c>
    </row>
    <row r="3889" spans="1:1" x14ac:dyDescent="0.25">
      <c r="A3889" s="54" t="str">
        <f>LEFT('Liste des étudiants'!$W3889,3)</f>
        <v>450</v>
      </c>
    </row>
    <row r="3890" spans="1:1" x14ac:dyDescent="0.25">
      <c r="A3890" s="54" t="str">
        <f>LEFT('Liste des étudiants'!$W3890,3)</f>
        <v>450</v>
      </c>
    </row>
    <row r="3891" spans="1:1" x14ac:dyDescent="0.25">
      <c r="A3891" s="54" t="str">
        <f>LEFT('Liste des étudiants'!$W3891,3)</f>
        <v>450</v>
      </c>
    </row>
    <row r="3892" spans="1:1" x14ac:dyDescent="0.25">
      <c r="A3892" s="54" t="str">
        <f>LEFT('Liste des étudiants'!$W3892,3)</f>
        <v>450</v>
      </c>
    </row>
    <row r="3893" spans="1:1" x14ac:dyDescent="0.25">
      <c r="A3893" s="54" t="str">
        <f>LEFT('Liste des étudiants'!$W3893,3)</f>
        <v>450</v>
      </c>
    </row>
    <row r="3894" spans="1:1" x14ac:dyDescent="0.25">
      <c r="A3894" s="54" t="str">
        <f>LEFT('Liste des étudiants'!$W3894,3)</f>
        <v>450</v>
      </c>
    </row>
    <row r="3895" spans="1:1" x14ac:dyDescent="0.25">
      <c r="A3895" s="54" t="str">
        <f>LEFT('Liste des étudiants'!$W3895,3)</f>
        <v>450</v>
      </c>
    </row>
    <row r="3896" spans="1:1" x14ac:dyDescent="0.25">
      <c r="A3896" s="54" t="str">
        <f>LEFT('Liste des étudiants'!$W3896,3)</f>
        <v>450</v>
      </c>
    </row>
    <row r="3897" spans="1:1" x14ac:dyDescent="0.25">
      <c r="A3897" s="54" t="str">
        <f>LEFT('Liste des étudiants'!$W3897,3)</f>
        <v>450</v>
      </c>
    </row>
    <row r="3898" spans="1:1" x14ac:dyDescent="0.25">
      <c r="A3898" s="54" t="str">
        <f>LEFT('Liste des étudiants'!$W3898,3)</f>
        <v>450</v>
      </c>
    </row>
    <row r="3899" spans="1:1" x14ac:dyDescent="0.25">
      <c r="A3899" s="54" t="str">
        <f>LEFT('Liste des étudiants'!$W3899,3)</f>
        <v>450</v>
      </c>
    </row>
    <row r="3900" spans="1:1" x14ac:dyDescent="0.25">
      <c r="A3900" s="54" t="str">
        <f>LEFT('Liste des étudiants'!$W3900,3)</f>
        <v>450</v>
      </c>
    </row>
    <row r="3901" spans="1:1" x14ac:dyDescent="0.25">
      <c r="A3901" s="54" t="str">
        <f>LEFT('Liste des étudiants'!$W3901,3)</f>
        <v>450</v>
      </c>
    </row>
    <row r="3902" spans="1:1" x14ac:dyDescent="0.25">
      <c r="A3902" s="54" t="str">
        <f>LEFT('Liste des étudiants'!$W3902,3)</f>
        <v>450</v>
      </c>
    </row>
    <row r="3903" spans="1:1" x14ac:dyDescent="0.25">
      <c r="A3903" s="54" t="str">
        <f>LEFT('Liste des étudiants'!$W3903,3)</f>
        <v>450</v>
      </c>
    </row>
    <row r="3904" spans="1:1" x14ac:dyDescent="0.25">
      <c r="A3904" s="54" t="str">
        <f>LEFT('Liste des étudiants'!$W3904,3)</f>
        <v>450</v>
      </c>
    </row>
    <row r="3905" spans="1:1" x14ac:dyDescent="0.25">
      <c r="A3905" s="54" t="str">
        <f>LEFT('Liste des étudiants'!$W3905,3)</f>
        <v>450</v>
      </c>
    </row>
    <row r="3906" spans="1:1" x14ac:dyDescent="0.25">
      <c r="A3906" s="54" t="str">
        <f>LEFT('Liste des étudiants'!$W3906,3)</f>
        <v>450</v>
      </c>
    </row>
    <row r="3907" spans="1:1" x14ac:dyDescent="0.25">
      <c r="A3907" s="54" t="str">
        <f>LEFT('Liste des étudiants'!$W3907,3)</f>
        <v>450</v>
      </c>
    </row>
    <row r="3908" spans="1:1" x14ac:dyDescent="0.25">
      <c r="A3908" s="54" t="str">
        <f>LEFT('Liste des étudiants'!$W3908,3)</f>
        <v>450</v>
      </c>
    </row>
    <row r="3909" spans="1:1" x14ac:dyDescent="0.25">
      <c r="A3909" s="54" t="str">
        <f>LEFT('Liste des étudiants'!$W3909,3)</f>
        <v>450</v>
      </c>
    </row>
    <row r="3910" spans="1:1" x14ac:dyDescent="0.25">
      <c r="A3910" s="54" t="str">
        <f>LEFT('Liste des étudiants'!$W3910,3)</f>
        <v>450</v>
      </c>
    </row>
    <row r="3911" spans="1:1" x14ac:dyDescent="0.25">
      <c r="A3911" s="54" t="str">
        <f>LEFT('Liste des étudiants'!$W3911,3)</f>
        <v>450</v>
      </c>
    </row>
    <row r="3912" spans="1:1" x14ac:dyDescent="0.25">
      <c r="A3912" s="54" t="str">
        <f>LEFT('Liste des étudiants'!$W3912,3)</f>
        <v>450</v>
      </c>
    </row>
    <row r="3913" spans="1:1" x14ac:dyDescent="0.25">
      <c r="A3913" s="54" t="str">
        <f>LEFT('Liste des étudiants'!$W3913,3)</f>
        <v>450</v>
      </c>
    </row>
    <row r="3914" spans="1:1" x14ac:dyDescent="0.25">
      <c r="A3914" s="54" t="str">
        <f>LEFT('Liste des étudiants'!$W3914,3)</f>
        <v>450</v>
      </c>
    </row>
    <row r="3915" spans="1:1" x14ac:dyDescent="0.25">
      <c r="A3915" s="54" t="str">
        <f>LEFT('Liste des étudiants'!$W3915,3)</f>
        <v>450</v>
      </c>
    </row>
    <row r="3916" spans="1:1" x14ac:dyDescent="0.25">
      <c r="A3916" s="54" t="str">
        <f>LEFT('Liste des étudiants'!$W3916,3)</f>
        <v>450</v>
      </c>
    </row>
    <row r="3917" spans="1:1" x14ac:dyDescent="0.25">
      <c r="A3917" s="54" t="str">
        <f>LEFT('Liste des étudiants'!$W3917,3)</f>
        <v>450</v>
      </c>
    </row>
    <row r="3918" spans="1:1" x14ac:dyDescent="0.25">
      <c r="A3918" s="54" t="str">
        <f>LEFT('Liste des étudiants'!$W3918,3)</f>
        <v>450</v>
      </c>
    </row>
    <row r="3919" spans="1:1" x14ac:dyDescent="0.25">
      <c r="A3919" s="54" t="str">
        <f>LEFT('Liste des étudiants'!$W3919,3)</f>
        <v>450</v>
      </c>
    </row>
    <row r="3920" spans="1:1" x14ac:dyDescent="0.25">
      <c r="A3920" s="54" t="str">
        <f>LEFT('Liste des étudiants'!$W3920,3)</f>
        <v>450</v>
      </c>
    </row>
    <row r="3921" spans="1:1" x14ac:dyDescent="0.25">
      <c r="A3921" s="54" t="str">
        <f>LEFT('Liste des étudiants'!$W3921,3)</f>
        <v>450</v>
      </c>
    </row>
    <row r="3922" spans="1:1" x14ac:dyDescent="0.25">
      <c r="A3922" s="54" t="str">
        <f>LEFT('Liste des étudiants'!$W3922,3)</f>
        <v>450</v>
      </c>
    </row>
    <row r="3923" spans="1:1" x14ac:dyDescent="0.25">
      <c r="A3923" s="54" t="str">
        <f>LEFT('Liste des étudiants'!$W3923,3)</f>
        <v>450</v>
      </c>
    </row>
    <row r="3924" spans="1:1" x14ac:dyDescent="0.25">
      <c r="A3924" s="54" t="str">
        <f>LEFT('Liste des étudiants'!$W3924,3)</f>
        <v>450</v>
      </c>
    </row>
    <row r="3925" spans="1:1" x14ac:dyDescent="0.25">
      <c r="A3925" s="54" t="str">
        <f>LEFT('Liste des étudiants'!$W3925,3)</f>
        <v>450</v>
      </c>
    </row>
    <row r="3926" spans="1:1" x14ac:dyDescent="0.25">
      <c r="A3926" s="54" t="str">
        <f>LEFT('Liste des étudiants'!$W3926,3)</f>
        <v>450</v>
      </c>
    </row>
    <row r="3927" spans="1:1" x14ac:dyDescent="0.25">
      <c r="A3927" s="54" t="str">
        <f>LEFT('Liste des étudiants'!$W3927,3)</f>
        <v>450</v>
      </c>
    </row>
    <row r="3928" spans="1:1" x14ac:dyDescent="0.25">
      <c r="A3928" s="54" t="str">
        <f>LEFT('Liste des étudiants'!$W3928,3)</f>
        <v>450</v>
      </c>
    </row>
    <row r="3929" spans="1:1" x14ac:dyDescent="0.25">
      <c r="A3929" s="54" t="str">
        <f>LEFT('Liste des étudiants'!$W3929,3)</f>
        <v>450</v>
      </c>
    </row>
    <row r="3930" spans="1:1" x14ac:dyDescent="0.25">
      <c r="A3930" s="54" t="str">
        <f>LEFT('Liste des étudiants'!$W3930,3)</f>
        <v>450</v>
      </c>
    </row>
    <row r="3931" spans="1:1" x14ac:dyDescent="0.25">
      <c r="A3931" s="54" t="str">
        <f>LEFT('Liste des étudiants'!$W3931,3)</f>
        <v>450</v>
      </c>
    </row>
    <row r="3932" spans="1:1" x14ac:dyDescent="0.25">
      <c r="A3932" s="54" t="str">
        <f>LEFT('Liste des étudiants'!$W3932,3)</f>
        <v>450</v>
      </c>
    </row>
    <row r="3933" spans="1:1" x14ac:dyDescent="0.25">
      <c r="A3933" s="54" t="str">
        <f>LEFT('Liste des étudiants'!$W3933,3)</f>
        <v>450</v>
      </c>
    </row>
    <row r="3934" spans="1:1" x14ac:dyDescent="0.25">
      <c r="A3934" s="54" t="str">
        <f>LEFT('Liste des étudiants'!$W3934,3)</f>
        <v>450</v>
      </c>
    </row>
    <row r="3935" spans="1:1" x14ac:dyDescent="0.25">
      <c r="A3935" s="54" t="str">
        <f>LEFT('Liste des étudiants'!$W3935,3)</f>
        <v>450</v>
      </c>
    </row>
    <row r="3936" spans="1:1" x14ac:dyDescent="0.25">
      <c r="A3936" s="54" t="str">
        <f>LEFT('Liste des étudiants'!$W3936,3)</f>
        <v>450</v>
      </c>
    </row>
    <row r="3937" spans="1:1" x14ac:dyDescent="0.25">
      <c r="A3937" s="54" t="str">
        <f>LEFT('Liste des étudiants'!$W3937,3)</f>
        <v>450</v>
      </c>
    </row>
    <row r="3938" spans="1:1" x14ac:dyDescent="0.25">
      <c r="A3938" s="54" t="str">
        <f>LEFT('Liste des étudiants'!$W3938,3)</f>
        <v>450</v>
      </c>
    </row>
    <row r="3939" spans="1:1" x14ac:dyDescent="0.25">
      <c r="A3939" s="54" t="str">
        <f>LEFT('Liste des étudiants'!$W3939,3)</f>
        <v>450</v>
      </c>
    </row>
    <row r="3940" spans="1:1" x14ac:dyDescent="0.25">
      <c r="A3940" s="54" t="str">
        <f>LEFT('Liste des étudiants'!$W3940,3)</f>
        <v>450</v>
      </c>
    </row>
    <row r="3941" spans="1:1" x14ac:dyDescent="0.25">
      <c r="A3941" s="54" t="str">
        <f>LEFT('Liste des étudiants'!$W3941,3)</f>
        <v>450</v>
      </c>
    </row>
    <row r="3942" spans="1:1" x14ac:dyDescent="0.25">
      <c r="A3942" s="54" t="str">
        <f>LEFT('Liste des étudiants'!$W3942,3)</f>
        <v>450</v>
      </c>
    </row>
    <row r="3943" spans="1:1" x14ac:dyDescent="0.25">
      <c r="A3943" s="54" t="str">
        <f>LEFT('Liste des étudiants'!$W3943,3)</f>
        <v>450</v>
      </c>
    </row>
    <row r="3944" spans="1:1" x14ac:dyDescent="0.25">
      <c r="A3944" s="54" t="str">
        <f>LEFT('Liste des étudiants'!$W3944,3)</f>
        <v>450</v>
      </c>
    </row>
    <row r="3945" spans="1:1" x14ac:dyDescent="0.25">
      <c r="A3945" s="54" t="str">
        <f>LEFT('Liste des étudiants'!$W3945,3)</f>
        <v>450</v>
      </c>
    </row>
    <row r="3946" spans="1:1" x14ac:dyDescent="0.25">
      <c r="A3946" s="54" t="str">
        <f>LEFT('Liste des étudiants'!$W3946,3)</f>
        <v>450</v>
      </c>
    </row>
    <row r="3947" spans="1:1" x14ac:dyDescent="0.25">
      <c r="A3947" s="54" t="str">
        <f>LEFT('Liste des étudiants'!$W3947,3)</f>
        <v>450</v>
      </c>
    </row>
    <row r="3948" spans="1:1" x14ac:dyDescent="0.25">
      <c r="A3948" s="54" t="str">
        <f>LEFT('Liste des étudiants'!$W3948,3)</f>
        <v>450</v>
      </c>
    </row>
    <row r="3949" spans="1:1" x14ac:dyDescent="0.25">
      <c r="A3949" s="54" t="str">
        <f>LEFT('Liste des étudiants'!$W3949,3)</f>
        <v>450</v>
      </c>
    </row>
    <row r="3950" spans="1:1" x14ac:dyDescent="0.25">
      <c r="A3950" s="54" t="str">
        <f>LEFT('Liste des étudiants'!$W3950,3)</f>
        <v>450</v>
      </c>
    </row>
    <row r="3951" spans="1:1" x14ac:dyDescent="0.25">
      <c r="A3951" s="54" t="str">
        <f>LEFT('Liste des étudiants'!$W3951,3)</f>
        <v>450</v>
      </c>
    </row>
    <row r="3952" spans="1:1" x14ac:dyDescent="0.25">
      <c r="A3952" s="54" t="str">
        <f>LEFT('Liste des étudiants'!$W3952,3)</f>
        <v>450</v>
      </c>
    </row>
    <row r="3953" spans="1:1" x14ac:dyDescent="0.25">
      <c r="A3953" s="54" t="str">
        <f>LEFT('Liste des étudiants'!$W3953,3)</f>
        <v>450</v>
      </c>
    </row>
    <row r="3954" spans="1:1" x14ac:dyDescent="0.25">
      <c r="A3954" s="54" t="str">
        <f>LEFT('Liste des étudiants'!$W3954,3)</f>
        <v>450</v>
      </c>
    </row>
    <row r="3955" spans="1:1" x14ac:dyDescent="0.25">
      <c r="A3955" s="54" t="str">
        <f>LEFT('Liste des étudiants'!$W3955,3)</f>
        <v>450</v>
      </c>
    </row>
    <row r="3956" spans="1:1" x14ac:dyDescent="0.25">
      <c r="A3956" s="54" t="str">
        <f>LEFT('Liste des étudiants'!$W3956,3)</f>
        <v>450</v>
      </c>
    </row>
    <row r="3957" spans="1:1" x14ac:dyDescent="0.25">
      <c r="A3957" s="54" t="str">
        <f>LEFT('Liste des étudiants'!$W3957,3)</f>
        <v>450</v>
      </c>
    </row>
    <row r="3958" spans="1:1" x14ac:dyDescent="0.25">
      <c r="A3958" s="54" t="str">
        <f>LEFT('Liste des étudiants'!$W3958,3)</f>
        <v>450</v>
      </c>
    </row>
    <row r="3959" spans="1:1" x14ac:dyDescent="0.25">
      <c r="A3959" s="54" t="str">
        <f>LEFT('Liste des étudiants'!$W3959,3)</f>
        <v>450</v>
      </c>
    </row>
    <row r="3960" spans="1:1" x14ac:dyDescent="0.25">
      <c r="A3960" s="54" t="str">
        <f>LEFT('Liste des étudiants'!$W3960,3)</f>
        <v>450</v>
      </c>
    </row>
    <row r="3961" spans="1:1" x14ac:dyDescent="0.25">
      <c r="A3961" s="54" t="str">
        <f>LEFT('Liste des étudiants'!$W3961,3)</f>
        <v>450</v>
      </c>
    </row>
    <row r="3962" spans="1:1" x14ac:dyDescent="0.25">
      <c r="A3962" s="54" t="str">
        <f>LEFT('Liste des étudiants'!$W3962,3)</f>
        <v>450</v>
      </c>
    </row>
    <row r="3963" spans="1:1" x14ac:dyDescent="0.25">
      <c r="A3963" s="54" t="str">
        <f>LEFT('Liste des étudiants'!$W3963,3)</f>
        <v>450</v>
      </c>
    </row>
    <row r="3964" spans="1:1" x14ac:dyDescent="0.25">
      <c r="A3964" s="54" t="str">
        <f>LEFT('Liste des étudiants'!$W3964,3)</f>
        <v>450</v>
      </c>
    </row>
    <row r="3965" spans="1:1" x14ac:dyDescent="0.25">
      <c r="A3965" s="54" t="str">
        <f>LEFT('Liste des étudiants'!$W3965,3)</f>
        <v>450</v>
      </c>
    </row>
    <row r="3966" spans="1:1" x14ac:dyDescent="0.25">
      <c r="A3966" s="54" t="str">
        <f>LEFT('Liste des étudiants'!$W3966,3)</f>
        <v>450</v>
      </c>
    </row>
    <row r="3967" spans="1:1" x14ac:dyDescent="0.25">
      <c r="A3967" s="54" t="str">
        <f>LEFT('Liste des étudiants'!$W3967,3)</f>
        <v>450</v>
      </c>
    </row>
    <row r="3968" spans="1:1" x14ac:dyDescent="0.25">
      <c r="A3968" s="54" t="str">
        <f>LEFT('Liste des étudiants'!$W3968,3)</f>
        <v>450</v>
      </c>
    </row>
    <row r="3969" spans="1:1" x14ac:dyDescent="0.25">
      <c r="A3969" s="54" t="str">
        <f>LEFT('Liste des étudiants'!$W3969,3)</f>
        <v>450</v>
      </c>
    </row>
    <row r="3970" spans="1:1" x14ac:dyDescent="0.25">
      <c r="A3970" s="54" t="str">
        <f>LEFT('Liste des étudiants'!$W3970,3)</f>
        <v>450</v>
      </c>
    </row>
    <row r="3971" spans="1:1" x14ac:dyDescent="0.25">
      <c r="A3971" s="54" t="str">
        <f>LEFT('Liste des étudiants'!$W3971,3)</f>
        <v>450</v>
      </c>
    </row>
    <row r="3972" spans="1:1" x14ac:dyDescent="0.25">
      <c r="A3972" s="54" t="str">
        <f>LEFT('Liste des étudiants'!$W3972,3)</f>
        <v>450</v>
      </c>
    </row>
    <row r="3973" spans="1:1" x14ac:dyDescent="0.25">
      <c r="A3973" s="54" t="str">
        <f>LEFT('Liste des étudiants'!$W3973,3)</f>
        <v>450</v>
      </c>
    </row>
    <row r="3974" spans="1:1" x14ac:dyDescent="0.25">
      <c r="A3974" s="54" t="str">
        <f>LEFT('Liste des étudiants'!$W3974,3)</f>
        <v>450</v>
      </c>
    </row>
    <row r="3975" spans="1:1" x14ac:dyDescent="0.25">
      <c r="A3975" s="54" t="str">
        <f>LEFT('Liste des étudiants'!$W3975,3)</f>
        <v>450</v>
      </c>
    </row>
    <row r="3976" spans="1:1" x14ac:dyDescent="0.25">
      <c r="A3976" s="54" t="str">
        <f>LEFT('Liste des étudiants'!$W3976,3)</f>
        <v>450</v>
      </c>
    </row>
    <row r="3977" spans="1:1" x14ac:dyDescent="0.25">
      <c r="A3977" s="54" t="str">
        <f>LEFT('Liste des étudiants'!$W3977,3)</f>
        <v>450</v>
      </c>
    </row>
    <row r="3978" spans="1:1" x14ac:dyDescent="0.25">
      <c r="A3978" s="54" t="str">
        <f>LEFT('Liste des étudiants'!$W3978,3)</f>
        <v>450</v>
      </c>
    </row>
    <row r="3979" spans="1:1" x14ac:dyDescent="0.25">
      <c r="A3979" s="54" t="str">
        <f>LEFT('Liste des étudiants'!$W3979,3)</f>
        <v>450</v>
      </c>
    </row>
    <row r="3980" spans="1:1" x14ac:dyDescent="0.25">
      <c r="A3980" s="54" t="str">
        <f>LEFT('Liste des étudiants'!$W3980,3)</f>
        <v>450</v>
      </c>
    </row>
    <row r="3981" spans="1:1" x14ac:dyDescent="0.25">
      <c r="A3981" s="54" t="str">
        <f>LEFT('Liste des étudiants'!$W3981,3)</f>
        <v>450</v>
      </c>
    </row>
    <row r="3982" spans="1:1" x14ac:dyDescent="0.25">
      <c r="A3982" s="54" t="str">
        <f>LEFT('Liste des étudiants'!$W3982,3)</f>
        <v>450</v>
      </c>
    </row>
    <row r="3983" spans="1:1" x14ac:dyDescent="0.25">
      <c r="A3983" s="54" t="str">
        <f>LEFT('Liste des étudiants'!$W3983,3)</f>
        <v>450</v>
      </c>
    </row>
    <row r="3984" spans="1:1" x14ac:dyDescent="0.25">
      <c r="A3984" s="54" t="str">
        <f>LEFT('Liste des étudiants'!$W3984,3)</f>
        <v>450</v>
      </c>
    </row>
    <row r="3985" spans="1:1" x14ac:dyDescent="0.25">
      <c r="A3985" s="54" t="str">
        <f>LEFT('Liste des étudiants'!$W3985,3)</f>
        <v>450</v>
      </c>
    </row>
    <row r="3986" spans="1:1" x14ac:dyDescent="0.25">
      <c r="A3986" s="54" t="str">
        <f>LEFT('Liste des étudiants'!$W3986,3)</f>
        <v>450</v>
      </c>
    </row>
    <row r="3987" spans="1:1" x14ac:dyDescent="0.25">
      <c r="A3987" s="54" t="str">
        <f>LEFT('Liste des étudiants'!$W3987,3)</f>
        <v>450</v>
      </c>
    </row>
    <row r="3988" spans="1:1" x14ac:dyDescent="0.25">
      <c r="A3988" s="54" t="str">
        <f>LEFT('Liste des étudiants'!$W3988,3)</f>
        <v>450</v>
      </c>
    </row>
    <row r="3989" spans="1:1" x14ac:dyDescent="0.25">
      <c r="A3989" s="54" t="str">
        <f>LEFT('Liste des étudiants'!$W3989,3)</f>
        <v>450</v>
      </c>
    </row>
    <row r="3990" spans="1:1" x14ac:dyDescent="0.25">
      <c r="A3990" s="54" t="str">
        <f>LEFT('Liste des étudiants'!$W3990,3)</f>
        <v>450</v>
      </c>
    </row>
    <row r="3991" spans="1:1" x14ac:dyDescent="0.25">
      <c r="A3991" s="54" t="str">
        <f>LEFT('Liste des étudiants'!$W3991,3)</f>
        <v>450</v>
      </c>
    </row>
    <row r="3992" spans="1:1" x14ac:dyDescent="0.25">
      <c r="A3992" s="54" t="str">
        <f>LEFT('Liste des étudiants'!$W3992,3)</f>
        <v>450</v>
      </c>
    </row>
    <row r="3993" spans="1:1" x14ac:dyDescent="0.25">
      <c r="A3993" s="54" t="str">
        <f>LEFT('Liste des étudiants'!$W3993,3)</f>
        <v>450</v>
      </c>
    </row>
    <row r="3994" spans="1:1" x14ac:dyDescent="0.25">
      <c r="A3994" s="54" t="str">
        <f>LEFT('Liste des étudiants'!$W3994,3)</f>
        <v>450</v>
      </c>
    </row>
    <row r="3995" spans="1:1" x14ac:dyDescent="0.25">
      <c r="A3995" s="54" t="str">
        <f>LEFT('Liste des étudiants'!$W3995,3)</f>
        <v>450</v>
      </c>
    </row>
    <row r="3996" spans="1:1" x14ac:dyDescent="0.25">
      <c r="A3996" s="54" t="str">
        <f>LEFT('Liste des étudiants'!$W3996,3)</f>
        <v>450</v>
      </c>
    </row>
    <row r="3997" spans="1:1" x14ac:dyDescent="0.25">
      <c r="A3997" s="54" t="str">
        <f>LEFT('Liste des étudiants'!$W3997,3)</f>
        <v>450</v>
      </c>
    </row>
    <row r="3998" spans="1:1" x14ac:dyDescent="0.25">
      <c r="A3998" s="54" t="str">
        <f>LEFT('Liste des étudiants'!$W3998,3)</f>
        <v>450</v>
      </c>
    </row>
    <row r="3999" spans="1:1" x14ac:dyDescent="0.25">
      <c r="A3999" s="54" t="str">
        <f>LEFT('Liste des étudiants'!$W3999,3)</f>
        <v>450</v>
      </c>
    </row>
    <row r="4000" spans="1:1" x14ac:dyDescent="0.25">
      <c r="A4000" s="54" t="str">
        <f>LEFT('Liste des étudiants'!$W4000,3)</f>
        <v>450</v>
      </c>
    </row>
    <row r="4001" spans="1:1" x14ac:dyDescent="0.25">
      <c r="A4001" s="54" t="str">
        <f>LEFT('Liste des étudiants'!$W4001,3)</f>
        <v>450</v>
      </c>
    </row>
    <row r="4002" spans="1:1" x14ac:dyDescent="0.25">
      <c r="A4002" s="54" t="str">
        <f>LEFT('Liste des étudiants'!$W4002,3)</f>
        <v>450</v>
      </c>
    </row>
    <row r="4003" spans="1:1" x14ac:dyDescent="0.25">
      <c r="A4003" s="54" t="str">
        <f>LEFT('Liste des étudiants'!$W4003,3)</f>
        <v>450</v>
      </c>
    </row>
    <row r="4004" spans="1:1" x14ac:dyDescent="0.25">
      <c r="A4004" s="54" t="str">
        <f>LEFT('Liste des étudiants'!$W4004,3)</f>
        <v>450</v>
      </c>
    </row>
    <row r="4005" spans="1:1" x14ac:dyDescent="0.25">
      <c r="A4005" s="54" t="str">
        <f>LEFT('Liste des étudiants'!$W4005,3)</f>
        <v>450</v>
      </c>
    </row>
    <row r="4006" spans="1:1" x14ac:dyDescent="0.25">
      <c r="A4006" s="54" t="str">
        <f>LEFT('Liste des étudiants'!$W4006,3)</f>
        <v>450</v>
      </c>
    </row>
    <row r="4007" spans="1:1" x14ac:dyDescent="0.25">
      <c r="A4007" s="54" t="str">
        <f>LEFT('Liste des étudiants'!$W4007,3)</f>
        <v>450</v>
      </c>
    </row>
    <row r="4008" spans="1:1" x14ac:dyDescent="0.25">
      <c r="A4008" s="54" t="str">
        <f>LEFT('Liste des étudiants'!$W4008,3)</f>
        <v>450</v>
      </c>
    </row>
    <row r="4009" spans="1:1" x14ac:dyDescent="0.25">
      <c r="A4009" s="54" t="str">
        <f>LEFT('Liste des étudiants'!$W4009,3)</f>
        <v>450</v>
      </c>
    </row>
    <row r="4010" spans="1:1" x14ac:dyDescent="0.25">
      <c r="A4010" s="54" t="str">
        <f>LEFT('Liste des étudiants'!$W4010,3)</f>
        <v>450</v>
      </c>
    </row>
    <row r="4011" spans="1:1" x14ac:dyDescent="0.25">
      <c r="A4011" s="54" t="str">
        <f>LEFT('Liste des étudiants'!$W4011,3)</f>
        <v>450</v>
      </c>
    </row>
    <row r="4012" spans="1:1" x14ac:dyDescent="0.25">
      <c r="A4012" s="54" t="str">
        <f>LEFT('Liste des étudiants'!$W4012,3)</f>
        <v>450</v>
      </c>
    </row>
    <row r="4013" spans="1:1" x14ac:dyDescent="0.25">
      <c r="A4013" s="54" t="str">
        <f>LEFT('Liste des étudiants'!$W4013,3)</f>
        <v>450</v>
      </c>
    </row>
    <row r="4014" spans="1:1" x14ac:dyDescent="0.25">
      <c r="A4014" s="54" t="str">
        <f>LEFT('Liste des étudiants'!$W4014,3)</f>
        <v>450</v>
      </c>
    </row>
    <row r="4015" spans="1:1" x14ac:dyDescent="0.25">
      <c r="A4015" s="54" t="str">
        <f>LEFT('Liste des étudiants'!$W4015,3)</f>
        <v>450</v>
      </c>
    </row>
    <row r="4016" spans="1:1" x14ac:dyDescent="0.25">
      <c r="A4016" s="54" t="str">
        <f>LEFT('Liste des étudiants'!$W4016,3)</f>
        <v>450</v>
      </c>
    </row>
    <row r="4017" spans="1:1" x14ac:dyDescent="0.25">
      <c r="A4017" s="54" t="str">
        <f>LEFT('Liste des étudiants'!$W4017,3)</f>
        <v>450</v>
      </c>
    </row>
    <row r="4018" spans="1:1" x14ac:dyDescent="0.25">
      <c r="A4018" s="54" t="str">
        <f>LEFT('Liste des étudiants'!$W4018,3)</f>
        <v>450</v>
      </c>
    </row>
    <row r="4019" spans="1:1" x14ac:dyDescent="0.25">
      <c r="A4019" s="54" t="str">
        <f>LEFT('Liste des étudiants'!$W4019,3)</f>
        <v>450</v>
      </c>
    </row>
    <row r="4020" spans="1:1" x14ac:dyDescent="0.25">
      <c r="A4020" s="54" t="str">
        <f>LEFT('Liste des étudiants'!$W4020,3)</f>
        <v>450</v>
      </c>
    </row>
    <row r="4021" spans="1:1" x14ac:dyDescent="0.25">
      <c r="A4021" s="54" t="str">
        <f>LEFT('Liste des étudiants'!$W4021,3)</f>
        <v>450</v>
      </c>
    </row>
    <row r="4022" spans="1:1" x14ac:dyDescent="0.25">
      <c r="A4022" s="54" t="str">
        <f>LEFT('Liste des étudiants'!$W4022,3)</f>
        <v>450</v>
      </c>
    </row>
    <row r="4023" spans="1:1" x14ac:dyDescent="0.25">
      <c r="A4023" s="54" t="str">
        <f>LEFT('Liste des étudiants'!$W4023,3)</f>
        <v>450</v>
      </c>
    </row>
    <row r="4024" spans="1:1" x14ac:dyDescent="0.25">
      <c r="A4024" s="54" t="str">
        <f>LEFT('Liste des étudiants'!$W4024,3)</f>
        <v>450</v>
      </c>
    </row>
    <row r="4025" spans="1:1" x14ac:dyDescent="0.25">
      <c r="A4025" s="54" t="str">
        <f>LEFT('Liste des étudiants'!$W4025,3)</f>
        <v>450</v>
      </c>
    </row>
    <row r="4026" spans="1:1" x14ac:dyDescent="0.25">
      <c r="A4026" s="54" t="str">
        <f>LEFT('Liste des étudiants'!$W4026,3)</f>
        <v>450</v>
      </c>
    </row>
    <row r="4027" spans="1:1" x14ac:dyDescent="0.25">
      <c r="A4027" s="54" t="str">
        <f>LEFT('Liste des étudiants'!$W4027,3)</f>
        <v>450</v>
      </c>
    </row>
    <row r="4028" spans="1:1" x14ac:dyDescent="0.25">
      <c r="A4028" s="54" t="str">
        <f>LEFT('Liste des étudiants'!$W4028,3)</f>
        <v>450</v>
      </c>
    </row>
    <row r="4029" spans="1:1" x14ac:dyDescent="0.25">
      <c r="A4029" s="54" t="str">
        <f>LEFT('Liste des étudiants'!$W4029,3)</f>
        <v>450</v>
      </c>
    </row>
    <row r="4030" spans="1:1" x14ac:dyDescent="0.25">
      <c r="A4030" s="54" t="str">
        <f>LEFT('Liste des étudiants'!$W4030,3)</f>
        <v>450</v>
      </c>
    </row>
    <row r="4031" spans="1:1" x14ac:dyDescent="0.25">
      <c r="A4031" s="54" t="str">
        <f>LEFT('Liste des étudiants'!$W4031,3)</f>
        <v>450</v>
      </c>
    </row>
    <row r="4032" spans="1:1" x14ac:dyDescent="0.25">
      <c r="A4032" s="54" t="str">
        <f>LEFT('Liste des étudiants'!$W4032,3)</f>
        <v>450</v>
      </c>
    </row>
    <row r="4033" spans="1:1" x14ac:dyDescent="0.25">
      <c r="A4033" s="54" t="str">
        <f>LEFT('Liste des étudiants'!$W4033,3)</f>
        <v>450</v>
      </c>
    </row>
    <row r="4034" spans="1:1" x14ac:dyDescent="0.25">
      <c r="A4034" s="54" t="str">
        <f>LEFT('Liste des étudiants'!$W4034,3)</f>
        <v>450</v>
      </c>
    </row>
    <row r="4035" spans="1:1" x14ac:dyDescent="0.25">
      <c r="A4035" s="54" t="str">
        <f>LEFT('Liste des étudiants'!$W4035,3)</f>
        <v>450</v>
      </c>
    </row>
    <row r="4036" spans="1:1" x14ac:dyDescent="0.25">
      <c r="A4036" s="54" t="str">
        <f>LEFT('Liste des étudiants'!$W4036,3)</f>
        <v>450</v>
      </c>
    </row>
    <row r="4037" spans="1:1" x14ac:dyDescent="0.25">
      <c r="A4037" s="54" t="str">
        <f>LEFT('Liste des étudiants'!$W4037,3)</f>
        <v>450</v>
      </c>
    </row>
    <row r="4038" spans="1:1" x14ac:dyDescent="0.25">
      <c r="A4038" s="54" t="str">
        <f>LEFT('Liste des étudiants'!$W4038,3)</f>
        <v>450</v>
      </c>
    </row>
    <row r="4039" spans="1:1" x14ac:dyDescent="0.25">
      <c r="A4039" s="54" t="str">
        <f>LEFT('Liste des étudiants'!$W4039,3)</f>
        <v>450</v>
      </c>
    </row>
    <row r="4040" spans="1:1" x14ac:dyDescent="0.25">
      <c r="A4040" s="54" t="str">
        <f>LEFT('Liste des étudiants'!$W4040,3)</f>
        <v>450</v>
      </c>
    </row>
    <row r="4041" spans="1:1" x14ac:dyDescent="0.25">
      <c r="A4041" s="54" t="str">
        <f>LEFT('Liste des étudiants'!$W4041,3)</f>
        <v>450</v>
      </c>
    </row>
    <row r="4042" spans="1:1" x14ac:dyDescent="0.25">
      <c r="A4042" s="54" t="str">
        <f>LEFT('Liste des étudiants'!$W4042,3)</f>
        <v>450</v>
      </c>
    </row>
    <row r="4043" spans="1:1" x14ac:dyDescent="0.25">
      <c r="A4043" s="54" t="str">
        <f>LEFT('Liste des étudiants'!$W4043,3)</f>
        <v>450</v>
      </c>
    </row>
    <row r="4044" spans="1:1" x14ac:dyDescent="0.25">
      <c r="A4044" s="54" t="str">
        <f>LEFT('Liste des étudiants'!$W4044,3)</f>
        <v>450</v>
      </c>
    </row>
    <row r="4045" spans="1:1" x14ac:dyDescent="0.25">
      <c r="A4045" s="54" t="str">
        <f>LEFT('Liste des étudiants'!$W4045,3)</f>
        <v>450</v>
      </c>
    </row>
    <row r="4046" spans="1:1" x14ac:dyDescent="0.25">
      <c r="A4046" s="54" t="str">
        <f>LEFT('Liste des étudiants'!$W4046,3)</f>
        <v>450</v>
      </c>
    </row>
    <row r="4047" spans="1:1" x14ac:dyDescent="0.25">
      <c r="A4047" s="54" t="str">
        <f>LEFT('Liste des étudiants'!$W4047,3)</f>
        <v>450</v>
      </c>
    </row>
    <row r="4048" spans="1:1" x14ac:dyDescent="0.25">
      <c r="A4048" s="54" t="str">
        <f>LEFT('Liste des étudiants'!$W4048,3)</f>
        <v>450</v>
      </c>
    </row>
    <row r="4049" spans="1:1" x14ac:dyDescent="0.25">
      <c r="A4049" s="54" t="str">
        <f>LEFT('Liste des étudiants'!$W4049,3)</f>
        <v>450</v>
      </c>
    </row>
    <row r="4050" spans="1:1" x14ac:dyDescent="0.25">
      <c r="A4050" s="54" t="str">
        <f>LEFT('Liste des étudiants'!$W4050,3)</f>
        <v>450</v>
      </c>
    </row>
    <row r="4051" spans="1:1" x14ac:dyDescent="0.25">
      <c r="A4051" s="54" t="str">
        <f>LEFT('Liste des étudiants'!$W4051,3)</f>
        <v>450</v>
      </c>
    </row>
    <row r="4052" spans="1:1" x14ac:dyDescent="0.25">
      <c r="A4052" s="54" t="str">
        <f>LEFT('Liste des étudiants'!$W4052,3)</f>
        <v>450</v>
      </c>
    </row>
    <row r="4053" spans="1:1" x14ac:dyDescent="0.25">
      <c r="A4053" s="54" t="str">
        <f>LEFT('Liste des étudiants'!$W4053,3)</f>
        <v>450</v>
      </c>
    </row>
    <row r="4054" spans="1:1" x14ac:dyDescent="0.25">
      <c r="A4054" s="54" t="str">
        <f>LEFT('Liste des étudiants'!$W4054,3)</f>
        <v>450</v>
      </c>
    </row>
    <row r="4055" spans="1:1" x14ac:dyDescent="0.25">
      <c r="A4055" s="54" t="str">
        <f>LEFT('Liste des étudiants'!$W4055,3)</f>
        <v>450</v>
      </c>
    </row>
    <row r="4056" spans="1:1" x14ac:dyDescent="0.25">
      <c r="A4056" s="54" t="str">
        <f>LEFT('Liste des étudiants'!$W4056,3)</f>
        <v>450</v>
      </c>
    </row>
    <row r="4057" spans="1:1" x14ac:dyDescent="0.25">
      <c r="A4057" s="54" t="str">
        <f>LEFT('Liste des étudiants'!$W4057,3)</f>
        <v>450</v>
      </c>
    </row>
    <row r="4058" spans="1:1" x14ac:dyDescent="0.25">
      <c r="A4058" s="54" t="str">
        <f>LEFT('Liste des étudiants'!$W4058,3)</f>
        <v>450</v>
      </c>
    </row>
    <row r="4059" spans="1:1" x14ac:dyDescent="0.25">
      <c r="A4059" s="54" t="str">
        <f>LEFT('Liste des étudiants'!$W4059,3)</f>
        <v>450</v>
      </c>
    </row>
    <row r="4060" spans="1:1" x14ac:dyDescent="0.25">
      <c r="A4060" s="54" t="str">
        <f>LEFT('Liste des étudiants'!$W4060,3)</f>
        <v>450</v>
      </c>
    </row>
    <row r="4061" spans="1:1" x14ac:dyDescent="0.25">
      <c r="A4061" s="54" t="str">
        <f>LEFT('Liste des étudiants'!$W4061,3)</f>
        <v>450</v>
      </c>
    </row>
    <row r="4062" spans="1:1" x14ac:dyDescent="0.25">
      <c r="A4062" s="54" t="str">
        <f>LEFT('Liste des étudiants'!$W4062,3)</f>
        <v>450</v>
      </c>
    </row>
    <row r="4063" spans="1:1" x14ac:dyDescent="0.25">
      <c r="A4063" s="54" t="str">
        <f>LEFT('Liste des étudiants'!$W4063,3)</f>
        <v>450</v>
      </c>
    </row>
    <row r="4064" spans="1:1" x14ac:dyDescent="0.25">
      <c r="A4064" s="54" t="str">
        <f>LEFT('Liste des étudiants'!$W4064,3)</f>
        <v>450</v>
      </c>
    </row>
    <row r="4065" spans="1:1" x14ac:dyDescent="0.25">
      <c r="A4065" s="54" t="str">
        <f>LEFT('Liste des étudiants'!$W4065,3)</f>
        <v>450</v>
      </c>
    </row>
    <row r="4066" spans="1:1" x14ac:dyDescent="0.25">
      <c r="A4066" s="54" t="str">
        <f>LEFT('Liste des étudiants'!$W4066,3)</f>
        <v>450</v>
      </c>
    </row>
    <row r="4067" spans="1:1" x14ac:dyDescent="0.25">
      <c r="A4067" s="54" t="str">
        <f>LEFT('Liste des étudiants'!$W4067,3)</f>
        <v>450</v>
      </c>
    </row>
    <row r="4068" spans="1:1" x14ac:dyDescent="0.25">
      <c r="A4068" s="54" t="str">
        <f>LEFT('Liste des étudiants'!$W4068,3)</f>
        <v>450</v>
      </c>
    </row>
    <row r="4069" spans="1:1" x14ac:dyDescent="0.25">
      <c r="A4069" s="54" t="str">
        <f>LEFT('Liste des étudiants'!$W4069,3)</f>
        <v>450</v>
      </c>
    </row>
    <row r="4070" spans="1:1" x14ac:dyDescent="0.25">
      <c r="A4070" s="54" t="str">
        <f>LEFT('Liste des étudiants'!$W4070,3)</f>
        <v>438</v>
      </c>
    </row>
    <row r="4071" spans="1:1" x14ac:dyDescent="0.25">
      <c r="A4071" s="54" t="str">
        <f>LEFT('Liste des étudiants'!$W4071,3)</f>
        <v>450</v>
      </c>
    </row>
    <row r="4072" spans="1:1" x14ac:dyDescent="0.25">
      <c r="A4072" s="54" t="str">
        <f>LEFT('Liste des étudiants'!$W4072,3)</f>
        <v>450</v>
      </c>
    </row>
    <row r="4073" spans="1:1" x14ac:dyDescent="0.25">
      <c r="A4073" s="54" t="str">
        <f>LEFT('Liste des étudiants'!$W4073,3)</f>
        <v>450</v>
      </c>
    </row>
    <row r="4074" spans="1:1" x14ac:dyDescent="0.25">
      <c r="A4074" s="54" t="str">
        <f>LEFT('Liste des étudiants'!$W4074,3)</f>
        <v>450</v>
      </c>
    </row>
    <row r="4075" spans="1:1" x14ac:dyDescent="0.25">
      <c r="A4075" s="54" t="str">
        <f>LEFT('Liste des étudiants'!$W4075,3)</f>
        <v>450</v>
      </c>
    </row>
    <row r="4076" spans="1:1" x14ac:dyDescent="0.25">
      <c r="A4076" s="54" t="str">
        <f>LEFT('Liste des étudiants'!$W4076,3)</f>
        <v>450</v>
      </c>
    </row>
    <row r="4077" spans="1:1" x14ac:dyDescent="0.25">
      <c r="A4077" s="54" t="str">
        <f>LEFT('Liste des étudiants'!$W4077,3)</f>
        <v>450</v>
      </c>
    </row>
    <row r="4078" spans="1:1" x14ac:dyDescent="0.25">
      <c r="A4078" s="54" t="str">
        <f>LEFT('Liste des étudiants'!$W4078,3)</f>
        <v>450</v>
      </c>
    </row>
    <row r="4079" spans="1:1" x14ac:dyDescent="0.25">
      <c r="A4079" s="54" t="str">
        <f>LEFT('Liste des étudiants'!$W4079,3)</f>
        <v>450</v>
      </c>
    </row>
    <row r="4080" spans="1:1" x14ac:dyDescent="0.25">
      <c r="A4080" s="54" t="str">
        <f>LEFT('Liste des étudiants'!$W4080,3)</f>
        <v>450</v>
      </c>
    </row>
    <row r="4081" spans="1:1" x14ac:dyDescent="0.25">
      <c r="A4081" s="54" t="str">
        <f>LEFT('Liste des étudiants'!$W4081,3)</f>
        <v>450</v>
      </c>
    </row>
    <row r="4082" spans="1:1" x14ac:dyDescent="0.25">
      <c r="A4082" s="54" t="str">
        <f>LEFT('Liste des étudiants'!$W4082,3)</f>
        <v>450</v>
      </c>
    </row>
    <row r="4083" spans="1:1" x14ac:dyDescent="0.25">
      <c r="A4083" s="54" t="str">
        <f>LEFT('Liste des étudiants'!$W4083,3)</f>
        <v>450</v>
      </c>
    </row>
    <row r="4084" spans="1:1" x14ac:dyDescent="0.25">
      <c r="A4084" s="54" t="str">
        <f>LEFT('Liste des étudiants'!$W4084,3)</f>
        <v>450</v>
      </c>
    </row>
    <row r="4085" spans="1:1" x14ac:dyDescent="0.25">
      <c r="A4085" s="54" t="str">
        <f>LEFT('Liste des étudiants'!$W4085,3)</f>
        <v>450</v>
      </c>
    </row>
    <row r="4086" spans="1:1" x14ac:dyDescent="0.25">
      <c r="A4086" s="54" t="str">
        <f>LEFT('Liste des étudiants'!$W4086,3)</f>
        <v>450</v>
      </c>
    </row>
    <row r="4087" spans="1:1" x14ac:dyDescent="0.25">
      <c r="A4087" s="54" t="str">
        <f>LEFT('Liste des étudiants'!$W4087,3)</f>
        <v>450</v>
      </c>
    </row>
    <row r="4088" spans="1:1" x14ac:dyDescent="0.25">
      <c r="A4088" s="54" t="str">
        <f>LEFT('Liste des étudiants'!$W4088,3)</f>
        <v>450</v>
      </c>
    </row>
    <row r="4089" spans="1:1" x14ac:dyDescent="0.25">
      <c r="A4089" s="54" t="str">
        <f>LEFT('Liste des étudiants'!$W4089,3)</f>
        <v>450</v>
      </c>
    </row>
    <row r="4090" spans="1:1" x14ac:dyDescent="0.25">
      <c r="A4090" s="54" t="str">
        <f>LEFT('Liste des étudiants'!$W4090,3)</f>
        <v>450</v>
      </c>
    </row>
    <row r="4091" spans="1:1" x14ac:dyDescent="0.25">
      <c r="A4091" s="54" t="str">
        <f>LEFT('Liste des étudiants'!$W4091,3)</f>
        <v>450</v>
      </c>
    </row>
    <row r="4092" spans="1:1" x14ac:dyDescent="0.25">
      <c r="A4092" s="54" t="str">
        <f>LEFT('Liste des étudiants'!$W4092,3)</f>
        <v>450</v>
      </c>
    </row>
    <row r="4093" spans="1:1" x14ac:dyDescent="0.25">
      <c r="A4093" s="54" t="str">
        <f>LEFT('Liste des étudiants'!$W4093,3)</f>
        <v>450</v>
      </c>
    </row>
    <row r="4094" spans="1:1" x14ac:dyDescent="0.25">
      <c r="A4094" s="54" t="str">
        <f>LEFT('Liste des étudiants'!$W4094,3)</f>
        <v>450</v>
      </c>
    </row>
    <row r="4095" spans="1:1" x14ac:dyDescent="0.25">
      <c r="A4095" s="54" t="str">
        <f>LEFT('Liste des étudiants'!$W4095,3)</f>
        <v>450</v>
      </c>
    </row>
    <row r="4096" spans="1:1" x14ac:dyDescent="0.25">
      <c r="A4096" s="54" t="str">
        <f>LEFT('Liste des étudiants'!$W4096,3)</f>
        <v>450</v>
      </c>
    </row>
    <row r="4097" spans="1:1" x14ac:dyDescent="0.25">
      <c r="A4097" s="54" t="str">
        <f>LEFT('Liste des étudiants'!$W4097,3)</f>
        <v>438</v>
      </c>
    </row>
    <row r="4098" spans="1:1" x14ac:dyDescent="0.25">
      <c r="A4098" s="54" t="str">
        <f>LEFT('Liste des étudiants'!$W4098,3)</f>
        <v>438</v>
      </c>
    </row>
    <row r="4099" spans="1:1" x14ac:dyDescent="0.25">
      <c r="A4099" s="54" t="str">
        <f>LEFT('Liste des étudiants'!$W4099,3)</f>
        <v>438</v>
      </c>
    </row>
    <row r="4100" spans="1:1" x14ac:dyDescent="0.25">
      <c r="A4100" s="54" t="str">
        <f>LEFT('Liste des étudiants'!$W4100,3)</f>
        <v>438</v>
      </c>
    </row>
    <row r="4101" spans="1:1" x14ac:dyDescent="0.25">
      <c r="A4101" s="54" t="str">
        <f>LEFT('Liste des étudiants'!$W4101,3)</f>
        <v>438</v>
      </c>
    </row>
    <row r="4102" spans="1:1" x14ac:dyDescent="0.25">
      <c r="A4102" s="54" t="str">
        <f>LEFT('Liste des étudiants'!$W4102,3)</f>
        <v>438</v>
      </c>
    </row>
    <row r="4103" spans="1:1" x14ac:dyDescent="0.25">
      <c r="A4103" s="54" t="str">
        <f>LEFT('Liste des étudiants'!$W4103,3)</f>
        <v>438</v>
      </c>
    </row>
    <row r="4104" spans="1:1" x14ac:dyDescent="0.25">
      <c r="A4104" s="54" t="str">
        <f>LEFT('Liste des étudiants'!$W4104,3)</f>
        <v>438</v>
      </c>
    </row>
    <row r="4105" spans="1:1" x14ac:dyDescent="0.25">
      <c r="A4105" s="54" t="str">
        <f>LEFT('Liste des étudiants'!$W4105,3)</f>
        <v>438</v>
      </c>
    </row>
    <row r="4106" spans="1:1" x14ac:dyDescent="0.25">
      <c r="A4106" s="54" t="str">
        <f>LEFT('Liste des étudiants'!$W4106,3)</f>
        <v>438</v>
      </c>
    </row>
    <row r="4107" spans="1:1" x14ac:dyDescent="0.25">
      <c r="A4107" s="54" t="str">
        <f>LEFT('Liste des étudiants'!$W4107,3)</f>
        <v>438</v>
      </c>
    </row>
    <row r="4108" spans="1:1" x14ac:dyDescent="0.25">
      <c r="A4108" s="54" t="str">
        <f>LEFT('Liste des étudiants'!$W4108,3)</f>
        <v>438</v>
      </c>
    </row>
    <row r="4109" spans="1:1" x14ac:dyDescent="0.25">
      <c r="A4109" s="54" t="str">
        <f>LEFT('Liste des étudiants'!$W4109,3)</f>
        <v>438</v>
      </c>
    </row>
    <row r="4110" spans="1:1" x14ac:dyDescent="0.25">
      <c r="A4110" s="54" t="str">
        <f>LEFT('Liste des étudiants'!$W4110,3)</f>
        <v>438</v>
      </c>
    </row>
    <row r="4111" spans="1:1" x14ac:dyDescent="0.25">
      <c r="A4111" s="54" t="str">
        <f>LEFT('Liste des étudiants'!$W4111,3)</f>
        <v>438</v>
      </c>
    </row>
    <row r="4112" spans="1:1" x14ac:dyDescent="0.25">
      <c r="A4112" s="54" t="str">
        <f>LEFT('Liste des étudiants'!$W4112,3)</f>
        <v>438</v>
      </c>
    </row>
    <row r="4113" spans="1:1" x14ac:dyDescent="0.25">
      <c r="A4113" s="54" t="str">
        <f>LEFT('Liste des étudiants'!$W4113,3)</f>
        <v>438</v>
      </c>
    </row>
    <row r="4114" spans="1:1" x14ac:dyDescent="0.25">
      <c r="A4114" s="54" t="str">
        <f>LEFT('Liste des étudiants'!$W4114,3)</f>
        <v>438</v>
      </c>
    </row>
    <row r="4115" spans="1:1" x14ac:dyDescent="0.25">
      <c r="A4115" s="54" t="str">
        <f>LEFT('Liste des étudiants'!$W4115,3)</f>
        <v>438</v>
      </c>
    </row>
    <row r="4116" spans="1:1" x14ac:dyDescent="0.25">
      <c r="A4116" s="54" t="str">
        <f>LEFT('Liste des étudiants'!$W4116,3)</f>
        <v>438</v>
      </c>
    </row>
    <row r="4117" spans="1:1" x14ac:dyDescent="0.25">
      <c r="A4117" s="54" t="str">
        <f>LEFT('Liste des étudiants'!$W4117,3)</f>
        <v>438</v>
      </c>
    </row>
    <row r="4118" spans="1:1" x14ac:dyDescent="0.25">
      <c r="A4118" s="54" t="str">
        <f>LEFT('Liste des étudiants'!$W4118,3)</f>
        <v>438</v>
      </c>
    </row>
    <row r="4119" spans="1:1" x14ac:dyDescent="0.25">
      <c r="A4119" s="54" t="str">
        <f>LEFT('Liste des étudiants'!$W4119,3)</f>
        <v>438</v>
      </c>
    </row>
    <row r="4120" spans="1:1" x14ac:dyDescent="0.25">
      <c r="A4120" s="54" t="str">
        <f>LEFT('Liste des étudiants'!$W4120,3)</f>
        <v>438</v>
      </c>
    </row>
    <row r="4121" spans="1:1" x14ac:dyDescent="0.25">
      <c r="A4121" s="54" t="str">
        <f>LEFT('Liste des étudiants'!$W4121,3)</f>
        <v>438</v>
      </c>
    </row>
    <row r="4122" spans="1:1" x14ac:dyDescent="0.25">
      <c r="A4122" s="54" t="str">
        <f>LEFT('Liste des étudiants'!$W4122,3)</f>
        <v>438</v>
      </c>
    </row>
    <row r="4123" spans="1:1" x14ac:dyDescent="0.25">
      <c r="A4123" s="54" t="str">
        <f>LEFT('Liste des étudiants'!$W4123,3)</f>
        <v>438</v>
      </c>
    </row>
    <row r="4124" spans="1:1" x14ac:dyDescent="0.25">
      <c r="A4124" s="54" t="str">
        <f>LEFT('Liste des étudiants'!$W4124,3)</f>
        <v>438</v>
      </c>
    </row>
    <row r="4125" spans="1:1" x14ac:dyDescent="0.25">
      <c r="A4125" s="54" t="str">
        <f>LEFT('Liste des étudiants'!$W4125,3)</f>
        <v>438</v>
      </c>
    </row>
    <row r="4126" spans="1:1" x14ac:dyDescent="0.25">
      <c r="A4126" s="54" t="str">
        <f>LEFT('Liste des étudiants'!$W4126,3)</f>
        <v>438</v>
      </c>
    </row>
    <row r="4127" spans="1:1" x14ac:dyDescent="0.25">
      <c r="A4127" s="54" t="str">
        <f>LEFT('Liste des étudiants'!$W4127,3)</f>
        <v>438</v>
      </c>
    </row>
    <row r="4128" spans="1:1" x14ac:dyDescent="0.25">
      <c r="A4128" s="54" t="str">
        <f>LEFT('Liste des étudiants'!$W4128,3)</f>
        <v>438</v>
      </c>
    </row>
    <row r="4129" spans="1:1" x14ac:dyDescent="0.25">
      <c r="A4129" s="54" t="str">
        <f>LEFT('Liste des étudiants'!$W4129,3)</f>
        <v>438</v>
      </c>
    </row>
    <row r="4130" spans="1:1" x14ac:dyDescent="0.25">
      <c r="A4130" s="54" t="str">
        <f>LEFT('Liste des étudiants'!$W4130,3)</f>
        <v>438</v>
      </c>
    </row>
    <row r="4131" spans="1:1" x14ac:dyDescent="0.25">
      <c r="A4131" s="54" t="str">
        <f>LEFT('Liste des étudiants'!$W4131,3)</f>
        <v>438</v>
      </c>
    </row>
    <row r="4132" spans="1:1" x14ac:dyDescent="0.25">
      <c r="A4132" s="54" t="str">
        <f>LEFT('Liste des étudiants'!$W4132,3)</f>
        <v>438</v>
      </c>
    </row>
    <row r="4133" spans="1:1" x14ac:dyDescent="0.25">
      <c r="A4133" s="54" t="str">
        <f>LEFT('Liste des étudiants'!$W4133,3)</f>
        <v>438</v>
      </c>
    </row>
    <row r="4134" spans="1:1" x14ac:dyDescent="0.25">
      <c r="A4134" s="54" t="str">
        <f>LEFT('Liste des étudiants'!$W4134,3)</f>
        <v>438</v>
      </c>
    </row>
    <row r="4135" spans="1:1" x14ac:dyDescent="0.25">
      <c r="A4135" s="54" t="str">
        <f>LEFT('Liste des étudiants'!$W4135,3)</f>
        <v>438</v>
      </c>
    </row>
    <row r="4136" spans="1:1" x14ac:dyDescent="0.25">
      <c r="A4136" s="54" t="str">
        <f>LEFT('Liste des étudiants'!$W4136,3)</f>
        <v>438</v>
      </c>
    </row>
    <row r="4137" spans="1:1" x14ac:dyDescent="0.25">
      <c r="A4137" s="54" t="str">
        <f>LEFT('Liste des étudiants'!$W4137,3)</f>
        <v>438</v>
      </c>
    </row>
    <row r="4138" spans="1:1" x14ac:dyDescent="0.25">
      <c r="A4138" s="54" t="str">
        <f>LEFT('Liste des étudiants'!$W4138,3)</f>
        <v>438</v>
      </c>
    </row>
    <row r="4139" spans="1:1" x14ac:dyDescent="0.25">
      <c r="A4139" s="54" t="str">
        <f>LEFT('Liste des étudiants'!$W4139,3)</f>
        <v>438</v>
      </c>
    </row>
    <row r="4140" spans="1:1" x14ac:dyDescent="0.25">
      <c r="A4140" s="54" t="str">
        <f>LEFT('Liste des étudiants'!$W4140,3)</f>
        <v>438</v>
      </c>
    </row>
    <row r="4141" spans="1:1" x14ac:dyDescent="0.25">
      <c r="A4141" s="54" t="str">
        <f>LEFT('Liste des étudiants'!$W4141,3)</f>
        <v>438</v>
      </c>
    </row>
    <row r="4142" spans="1:1" x14ac:dyDescent="0.25">
      <c r="A4142" s="54" t="str">
        <f>LEFT('Liste des étudiants'!$W4142,3)</f>
        <v>438</v>
      </c>
    </row>
    <row r="4143" spans="1:1" x14ac:dyDescent="0.25">
      <c r="A4143" s="54" t="str">
        <f>LEFT('Liste des étudiants'!$W4143,3)</f>
        <v>438</v>
      </c>
    </row>
    <row r="4144" spans="1:1" x14ac:dyDescent="0.25">
      <c r="A4144" s="54" t="str">
        <f>LEFT('Liste des étudiants'!$W4144,3)</f>
        <v>438</v>
      </c>
    </row>
    <row r="4145" spans="1:1" x14ac:dyDescent="0.25">
      <c r="A4145" s="54" t="str">
        <f>LEFT('Liste des étudiants'!$W4145,3)</f>
        <v>438</v>
      </c>
    </row>
    <row r="4146" spans="1:1" x14ac:dyDescent="0.25">
      <c r="A4146" s="54" t="str">
        <f>LEFT('Liste des étudiants'!$W4146,3)</f>
        <v>438</v>
      </c>
    </row>
    <row r="4147" spans="1:1" x14ac:dyDescent="0.25">
      <c r="A4147" s="54" t="str">
        <f>LEFT('Liste des étudiants'!$W4147,3)</f>
        <v>438</v>
      </c>
    </row>
    <row r="4148" spans="1:1" x14ac:dyDescent="0.25">
      <c r="A4148" s="54" t="str">
        <f>LEFT('Liste des étudiants'!$W4148,3)</f>
        <v>438</v>
      </c>
    </row>
    <row r="4149" spans="1:1" x14ac:dyDescent="0.25">
      <c r="A4149" s="54" t="str">
        <f>LEFT('Liste des étudiants'!$W4149,3)</f>
        <v>438</v>
      </c>
    </row>
    <row r="4150" spans="1:1" x14ac:dyDescent="0.25">
      <c r="A4150" s="54" t="str">
        <f>LEFT('Liste des étudiants'!$W4150,3)</f>
        <v>438</v>
      </c>
    </row>
    <row r="4151" spans="1:1" x14ac:dyDescent="0.25">
      <c r="A4151" s="54" t="str">
        <f>LEFT('Liste des étudiants'!$W4151,3)</f>
        <v>438</v>
      </c>
    </row>
    <row r="4152" spans="1:1" x14ac:dyDescent="0.25">
      <c r="A4152" s="54" t="str">
        <f>LEFT('Liste des étudiants'!$W4152,3)</f>
        <v>438</v>
      </c>
    </row>
    <row r="4153" spans="1:1" x14ac:dyDescent="0.25">
      <c r="A4153" s="54" t="str">
        <f>LEFT('Liste des étudiants'!$W4153,3)</f>
        <v>438</v>
      </c>
    </row>
    <row r="4154" spans="1:1" x14ac:dyDescent="0.25">
      <c r="A4154" s="54" t="str">
        <f>LEFT('Liste des étudiants'!$W4154,3)</f>
        <v>438</v>
      </c>
    </row>
    <row r="4155" spans="1:1" x14ac:dyDescent="0.25">
      <c r="A4155" s="54" t="str">
        <f>LEFT('Liste des étudiants'!$W4155,3)</f>
        <v>438</v>
      </c>
    </row>
    <row r="4156" spans="1:1" x14ac:dyDescent="0.25">
      <c r="A4156" s="54" t="str">
        <f>LEFT('Liste des étudiants'!$W4156,3)</f>
        <v>438</v>
      </c>
    </row>
    <row r="4157" spans="1:1" x14ac:dyDescent="0.25">
      <c r="A4157" s="54" t="str">
        <f>LEFT('Liste des étudiants'!$W4157,3)</f>
        <v>438</v>
      </c>
    </row>
    <row r="4158" spans="1:1" x14ac:dyDescent="0.25">
      <c r="A4158" s="54" t="str">
        <f>LEFT('Liste des étudiants'!$W4158,3)</f>
        <v>438</v>
      </c>
    </row>
    <row r="4159" spans="1:1" x14ac:dyDescent="0.25">
      <c r="A4159" s="54" t="str">
        <f>LEFT('Liste des étudiants'!$W4159,3)</f>
        <v>438</v>
      </c>
    </row>
    <row r="4160" spans="1:1" x14ac:dyDescent="0.25">
      <c r="A4160" s="54" t="str">
        <f>LEFT('Liste des étudiants'!$W4160,3)</f>
        <v>438</v>
      </c>
    </row>
    <row r="4161" spans="1:1" x14ac:dyDescent="0.25">
      <c r="A4161" s="54" t="str">
        <f>LEFT('Liste des étudiants'!$W4161,3)</f>
        <v>438</v>
      </c>
    </row>
    <row r="4162" spans="1:1" x14ac:dyDescent="0.25">
      <c r="A4162" s="54" t="str">
        <f>LEFT('Liste des étudiants'!$W4162,3)</f>
        <v>438</v>
      </c>
    </row>
    <row r="4163" spans="1:1" x14ac:dyDescent="0.25">
      <c r="A4163" s="54" t="str">
        <f>LEFT('Liste des étudiants'!$W4163,3)</f>
        <v>438</v>
      </c>
    </row>
    <row r="4164" spans="1:1" x14ac:dyDescent="0.25">
      <c r="A4164" s="54" t="str">
        <f>LEFT('Liste des étudiants'!$W4164,3)</f>
        <v>438</v>
      </c>
    </row>
    <row r="4165" spans="1:1" x14ac:dyDescent="0.25">
      <c r="A4165" s="54" t="str">
        <f>LEFT('Liste des étudiants'!$W4165,3)</f>
        <v>438</v>
      </c>
    </row>
    <row r="4166" spans="1:1" x14ac:dyDescent="0.25">
      <c r="A4166" s="54" t="str">
        <f>LEFT('Liste des étudiants'!$W4166,3)</f>
        <v>438</v>
      </c>
    </row>
    <row r="4167" spans="1:1" x14ac:dyDescent="0.25">
      <c r="A4167" s="54" t="str">
        <f>LEFT('Liste des étudiants'!$W4167,3)</f>
        <v>438</v>
      </c>
    </row>
    <row r="4168" spans="1:1" x14ac:dyDescent="0.25">
      <c r="A4168" s="54" t="str">
        <f>LEFT('Liste des étudiants'!$W4168,3)</f>
        <v>438</v>
      </c>
    </row>
    <row r="4169" spans="1:1" x14ac:dyDescent="0.25">
      <c r="A4169" s="54" t="str">
        <f>LEFT('Liste des étudiants'!$W4169,3)</f>
        <v>438</v>
      </c>
    </row>
    <row r="4170" spans="1:1" x14ac:dyDescent="0.25">
      <c r="A4170" s="54" t="str">
        <f>LEFT('Liste des étudiants'!$W4170,3)</f>
        <v>438</v>
      </c>
    </row>
    <row r="4171" spans="1:1" x14ac:dyDescent="0.25">
      <c r="A4171" s="54" t="str">
        <f>LEFT('Liste des étudiants'!$W4171,3)</f>
        <v>438</v>
      </c>
    </row>
    <row r="4172" spans="1:1" x14ac:dyDescent="0.25">
      <c r="A4172" s="54" t="str">
        <f>LEFT('Liste des étudiants'!$W4172,3)</f>
        <v>438</v>
      </c>
    </row>
    <row r="4173" spans="1:1" x14ac:dyDescent="0.25">
      <c r="A4173" s="54" t="str">
        <f>LEFT('Liste des étudiants'!$W4173,3)</f>
        <v>438</v>
      </c>
    </row>
    <row r="4174" spans="1:1" x14ac:dyDescent="0.25">
      <c r="A4174" s="54" t="str">
        <f>LEFT('Liste des étudiants'!$W4174,3)</f>
        <v>438</v>
      </c>
    </row>
    <row r="4175" spans="1:1" x14ac:dyDescent="0.25">
      <c r="A4175" s="54" t="str">
        <f>LEFT('Liste des étudiants'!$W4175,3)</f>
        <v>438</v>
      </c>
    </row>
    <row r="4176" spans="1:1" x14ac:dyDescent="0.25">
      <c r="A4176" s="54" t="str">
        <f>LEFT('Liste des étudiants'!$W4176,3)</f>
        <v>438</v>
      </c>
    </row>
    <row r="4177" spans="1:1" x14ac:dyDescent="0.25">
      <c r="A4177" s="54" t="str">
        <f>LEFT('Liste des étudiants'!$W4177,3)</f>
        <v>438</v>
      </c>
    </row>
    <row r="4178" spans="1:1" x14ac:dyDescent="0.25">
      <c r="A4178" s="54" t="str">
        <f>LEFT('Liste des étudiants'!$W4178,3)</f>
        <v>438</v>
      </c>
    </row>
    <row r="4179" spans="1:1" x14ac:dyDescent="0.25">
      <c r="A4179" s="54" t="str">
        <f>LEFT('Liste des étudiants'!$W4179,3)</f>
        <v>438</v>
      </c>
    </row>
    <row r="4180" spans="1:1" x14ac:dyDescent="0.25">
      <c r="A4180" s="54" t="str">
        <f>LEFT('Liste des étudiants'!$W4180,3)</f>
        <v>438</v>
      </c>
    </row>
    <row r="4181" spans="1:1" x14ac:dyDescent="0.25">
      <c r="A4181" s="54" t="str">
        <f>LEFT('Liste des étudiants'!$W4181,3)</f>
        <v>438</v>
      </c>
    </row>
    <row r="4182" spans="1:1" x14ac:dyDescent="0.25">
      <c r="A4182" s="54" t="str">
        <f>LEFT('Liste des étudiants'!$W4182,3)</f>
        <v>438</v>
      </c>
    </row>
    <row r="4183" spans="1:1" x14ac:dyDescent="0.25">
      <c r="A4183" s="54" t="str">
        <f>LEFT('Liste des étudiants'!$W4183,3)</f>
        <v>438</v>
      </c>
    </row>
    <row r="4184" spans="1:1" x14ac:dyDescent="0.25">
      <c r="A4184" s="54" t="str">
        <f>LEFT('Liste des étudiants'!$W4184,3)</f>
        <v>438</v>
      </c>
    </row>
    <row r="4185" spans="1:1" x14ac:dyDescent="0.25">
      <c r="A4185" s="54" t="str">
        <f>LEFT('Liste des étudiants'!$W4185,3)</f>
        <v>438</v>
      </c>
    </row>
    <row r="4186" spans="1:1" x14ac:dyDescent="0.25">
      <c r="A4186" s="54" t="str">
        <f>LEFT('Liste des étudiants'!$W4186,3)</f>
        <v>438</v>
      </c>
    </row>
    <row r="4187" spans="1:1" x14ac:dyDescent="0.25">
      <c r="A4187" s="54" t="str">
        <f>LEFT('Liste des étudiants'!$W4187,3)</f>
        <v>438</v>
      </c>
    </row>
    <row r="4188" spans="1:1" x14ac:dyDescent="0.25">
      <c r="A4188" s="54" t="str">
        <f>LEFT('Liste des étudiants'!$W4188,3)</f>
        <v>438</v>
      </c>
    </row>
    <row r="4189" spans="1:1" x14ac:dyDescent="0.25">
      <c r="A4189" s="54" t="str">
        <f>LEFT('Liste des étudiants'!$W4189,3)</f>
        <v>438</v>
      </c>
    </row>
    <row r="4190" spans="1:1" x14ac:dyDescent="0.25">
      <c r="A4190" s="54" t="str">
        <f>LEFT('Liste des étudiants'!$W4190,3)</f>
        <v>438</v>
      </c>
    </row>
    <row r="4191" spans="1:1" x14ac:dyDescent="0.25">
      <c r="A4191" s="54" t="str">
        <f>LEFT('Liste des étudiants'!$W4191,3)</f>
        <v>438</v>
      </c>
    </row>
    <row r="4192" spans="1:1" x14ac:dyDescent="0.25">
      <c r="A4192" s="54" t="str">
        <f>LEFT('Liste des étudiants'!$W4192,3)</f>
        <v>438</v>
      </c>
    </row>
    <row r="4193" spans="1:1" x14ac:dyDescent="0.25">
      <c r="A4193" s="54" t="str">
        <f>LEFT('Liste des étudiants'!$W4193,3)</f>
        <v>438</v>
      </c>
    </row>
    <row r="4194" spans="1:1" x14ac:dyDescent="0.25">
      <c r="A4194" s="54" t="str">
        <f>LEFT('Liste des étudiants'!$W4194,3)</f>
        <v>438</v>
      </c>
    </row>
    <row r="4195" spans="1:1" x14ac:dyDescent="0.25">
      <c r="A4195" s="54" t="str">
        <f>LEFT('Liste des étudiants'!$W4195,3)</f>
        <v>438</v>
      </c>
    </row>
    <row r="4196" spans="1:1" x14ac:dyDescent="0.25">
      <c r="A4196" s="54" t="str">
        <f>LEFT('Liste des étudiants'!$W4196,3)</f>
        <v>438</v>
      </c>
    </row>
    <row r="4197" spans="1:1" x14ac:dyDescent="0.25">
      <c r="A4197" s="54" t="str">
        <f>LEFT('Liste des étudiants'!$W4197,3)</f>
        <v>438</v>
      </c>
    </row>
    <row r="4198" spans="1:1" x14ac:dyDescent="0.25">
      <c r="A4198" s="54" t="str">
        <f>LEFT('Liste des étudiants'!$W4198,3)</f>
        <v>438</v>
      </c>
    </row>
    <row r="4199" spans="1:1" x14ac:dyDescent="0.25">
      <c r="A4199" s="54" t="str">
        <f>LEFT('Liste des étudiants'!$W4199,3)</f>
        <v>438</v>
      </c>
    </row>
    <row r="4200" spans="1:1" x14ac:dyDescent="0.25">
      <c r="A4200" s="54" t="str">
        <f>LEFT('Liste des étudiants'!$W4200,3)</f>
        <v>438</v>
      </c>
    </row>
    <row r="4201" spans="1:1" x14ac:dyDescent="0.25">
      <c r="A4201" s="54" t="str">
        <f>LEFT('Liste des étudiants'!$W4201,3)</f>
        <v>438</v>
      </c>
    </row>
    <row r="4202" spans="1:1" x14ac:dyDescent="0.25">
      <c r="A4202" s="54" t="str">
        <f>LEFT('Liste des étudiants'!$W4202,3)</f>
        <v>438</v>
      </c>
    </row>
    <row r="4203" spans="1:1" x14ac:dyDescent="0.25">
      <c r="A4203" s="54" t="str">
        <f>LEFT('Liste des étudiants'!$W4203,3)</f>
        <v>438</v>
      </c>
    </row>
    <row r="4204" spans="1:1" x14ac:dyDescent="0.25">
      <c r="A4204" s="54" t="str">
        <f>LEFT('Liste des étudiants'!$W4204,3)</f>
        <v>438</v>
      </c>
    </row>
    <row r="4205" spans="1:1" x14ac:dyDescent="0.25">
      <c r="A4205" s="54" t="str">
        <f>LEFT('Liste des étudiants'!$W4205,3)</f>
        <v>438</v>
      </c>
    </row>
    <row r="4206" spans="1:1" x14ac:dyDescent="0.25">
      <c r="A4206" s="54" t="str">
        <f>LEFT('Liste des étudiants'!$W4206,3)</f>
        <v>438</v>
      </c>
    </row>
    <row r="4207" spans="1:1" x14ac:dyDescent="0.25">
      <c r="A4207" s="54" t="str">
        <f>LEFT('Liste des étudiants'!$W4207,3)</f>
        <v>438</v>
      </c>
    </row>
    <row r="4208" spans="1:1" x14ac:dyDescent="0.25">
      <c r="A4208" s="54" t="str">
        <f>LEFT('Liste des étudiants'!$W4208,3)</f>
        <v>438</v>
      </c>
    </row>
    <row r="4209" spans="1:1" x14ac:dyDescent="0.25">
      <c r="A4209" s="54" t="str">
        <f>LEFT('Liste des étudiants'!$W4209,3)</f>
        <v>438</v>
      </c>
    </row>
    <row r="4210" spans="1:1" x14ac:dyDescent="0.25">
      <c r="A4210" s="54" t="str">
        <f>LEFT('Liste des étudiants'!$W4210,3)</f>
        <v>438</v>
      </c>
    </row>
    <row r="4211" spans="1:1" x14ac:dyDescent="0.25">
      <c r="A4211" s="54" t="str">
        <f>LEFT('Liste des étudiants'!$W4211,3)</f>
        <v>438</v>
      </c>
    </row>
    <row r="4212" spans="1:1" x14ac:dyDescent="0.25">
      <c r="A4212" s="54" t="str">
        <f>LEFT('Liste des étudiants'!$W4212,3)</f>
        <v>438</v>
      </c>
    </row>
    <row r="4213" spans="1:1" x14ac:dyDescent="0.25">
      <c r="A4213" s="54" t="str">
        <f>LEFT('Liste des étudiants'!$W4213,3)</f>
        <v>438</v>
      </c>
    </row>
    <row r="4214" spans="1:1" x14ac:dyDescent="0.25">
      <c r="A4214" s="54" t="str">
        <f>LEFT('Liste des étudiants'!$W4214,3)</f>
        <v>438</v>
      </c>
    </row>
    <row r="4215" spans="1:1" x14ac:dyDescent="0.25">
      <c r="A4215" s="54" t="str">
        <f>LEFT('Liste des étudiants'!$W4215,3)</f>
        <v>438</v>
      </c>
    </row>
    <row r="4216" spans="1:1" x14ac:dyDescent="0.25">
      <c r="A4216" s="54" t="str">
        <f>LEFT('Liste des étudiants'!$W4216,3)</f>
        <v>438</v>
      </c>
    </row>
    <row r="4217" spans="1:1" x14ac:dyDescent="0.25">
      <c r="A4217" s="54" t="str">
        <f>LEFT('Liste des étudiants'!$W4217,3)</f>
        <v>438</v>
      </c>
    </row>
    <row r="4218" spans="1:1" x14ac:dyDescent="0.25">
      <c r="A4218" s="54" t="str">
        <f>LEFT('Liste des étudiants'!$W4218,3)</f>
        <v>438</v>
      </c>
    </row>
    <row r="4219" spans="1:1" x14ac:dyDescent="0.25">
      <c r="A4219" s="54" t="str">
        <f>LEFT('Liste des étudiants'!$W4219,3)</f>
        <v>438</v>
      </c>
    </row>
    <row r="4220" spans="1:1" x14ac:dyDescent="0.25">
      <c r="A4220" s="54" t="str">
        <f>LEFT('Liste des étudiants'!$W4220,3)</f>
        <v>438</v>
      </c>
    </row>
    <row r="4221" spans="1:1" x14ac:dyDescent="0.25">
      <c r="A4221" s="54" t="str">
        <f>LEFT('Liste des étudiants'!$W4221,3)</f>
        <v>438</v>
      </c>
    </row>
    <row r="4222" spans="1:1" x14ac:dyDescent="0.25">
      <c r="A4222" s="54" t="str">
        <f>LEFT('Liste des étudiants'!$W4222,3)</f>
        <v>438</v>
      </c>
    </row>
    <row r="4223" spans="1:1" x14ac:dyDescent="0.25">
      <c r="A4223" s="54" t="str">
        <f>LEFT('Liste des étudiants'!$W4223,3)</f>
        <v>438</v>
      </c>
    </row>
    <row r="4224" spans="1:1" x14ac:dyDescent="0.25">
      <c r="A4224" s="54" t="str">
        <f>LEFT('Liste des étudiants'!$W4224,3)</f>
        <v>438</v>
      </c>
    </row>
    <row r="4225" spans="1:1" x14ac:dyDescent="0.25">
      <c r="A4225" s="54" t="str">
        <f>LEFT('Liste des étudiants'!$W4225,3)</f>
        <v>438</v>
      </c>
    </row>
    <row r="4226" spans="1:1" x14ac:dyDescent="0.25">
      <c r="A4226" s="54" t="str">
        <f>LEFT('Liste des étudiants'!$W4226,3)</f>
        <v>438</v>
      </c>
    </row>
    <row r="4227" spans="1:1" x14ac:dyDescent="0.25">
      <c r="A4227" s="54" t="str">
        <f>LEFT('Liste des étudiants'!$W4227,3)</f>
        <v>438</v>
      </c>
    </row>
    <row r="4228" spans="1:1" x14ac:dyDescent="0.25">
      <c r="A4228" s="54" t="str">
        <f>LEFT('Liste des étudiants'!$W4228,3)</f>
        <v>438</v>
      </c>
    </row>
    <row r="4229" spans="1:1" x14ac:dyDescent="0.25">
      <c r="A4229" s="54" t="str">
        <f>LEFT('Liste des étudiants'!$W4229,3)</f>
        <v>438</v>
      </c>
    </row>
    <row r="4230" spans="1:1" x14ac:dyDescent="0.25">
      <c r="A4230" s="54" t="str">
        <f>LEFT('Liste des étudiants'!$W4230,3)</f>
        <v>438</v>
      </c>
    </row>
    <row r="4231" spans="1:1" x14ac:dyDescent="0.25">
      <c r="A4231" s="54" t="str">
        <f>LEFT('Liste des étudiants'!$W4231,3)</f>
        <v>438</v>
      </c>
    </row>
    <row r="4232" spans="1:1" x14ac:dyDescent="0.25">
      <c r="A4232" s="54" t="str">
        <f>LEFT('Liste des étudiants'!$W4232,3)</f>
        <v>438</v>
      </c>
    </row>
    <row r="4233" spans="1:1" x14ac:dyDescent="0.25">
      <c r="A4233" s="54" t="str">
        <f>LEFT('Liste des étudiants'!$W4233,3)</f>
        <v>438</v>
      </c>
    </row>
    <row r="4234" spans="1:1" x14ac:dyDescent="0.25">
      <c r="A4234" s="54" t="str">
        <f>LEFT('Liste des étudiants'!$W4234,3)</f>
        <v>438</v>
      </c>
    </row>
    <row r="4235" spans="1:1" x14ac:dyDescent="0.25">
      <c r="A4235" s="54" t="str">
        <f>LEFT('Liste des étudiants'!$W4235,3)</f>
        <v>438</v>
      </c>
    </row>
    <row r="4236" spans="1:1" x14ac:dyDescent="0.25">
      <c r="A4236" s="54" t="str">
        <f>LEFT('Liste des étudiants'!$W4236,3)</f>
        <v>438</v>
      </c>
    </row>
    <row r="4237" spans="1:1" x14ac:dyDescent="0.25">
      <c r="A4237" s="54" t="str">
        <f>LEFT('Liste des étudiants'!$W4237,3)</f>
        <v>438</v>
      </c>
    </row>
    <row r="4238" spans="1:1" x14ac:dyDescent="0.25">
      <c r="A4238" s="54" t="str">
        <f>LEFT('Liste des étudiants'!$W4238,3)</f>
        <v>438</v>
      </c>
    </row>
    <row r="4239" spans="1:1" x14ac:dyDescent="0.25">
      <c r="A4239" s="54" t="str">
        <f>LEFT('Liste des étudiants'!$W4239,3)</f>
        <v>438</v>
      </c>
    </row>
    <row r="4240" spans="1:1" x14ac:dyDescent="0.25">
      <c r="A4240" s="54" t="str">
        <f>LEFT('Liste des étudiants'!$W4240,3)</f>
        <v>438</v>
      </c>
    </row>
    <row r="4241" spans="1:1" x14ac:dyDescent="0.25">
      <c r="A4241" s="54" t="str">
        <f>LEFT('Liste des étudiants'!$W4241,3)</f>
        <v>438</v>
      </c>
    </row>
    <row r="4242" spans="1:1" x14ac:dyDescent="0.25">
      <c r="A4242" s="54" t="str">
        <f>LEFT('Liste des étudiants'!$W4242,3)</f>
        <v>438</v>
      </c>
    </row>
    <row r="4243" spans="1:1" x14ac:dyDescent="0.25">
      <c r="A4243" s="54" t="str">
        <f>LEFT('Liste des étudiants'!$W4243,3)</f>
        <v>438</v>
      </c>
    </row>
    <row r="4244" spans="1:1" x14ac:dyDescent="0.25">
      <c r="A4244" s="54" t="str">
        <f>LEFT('Liste des étudiants'!$W4244,3)</f>
        <v>438</v>
      </c>
    </row>
    <row r="4245" spans="1:1" x14ac:dyDescent="0.25">
      <c r="A4245" s="54" t="str">
        <f>LEFT('Liste des étudiants'!$W4245,3)</f>
        <v>438</v>
      </c>
    </row>
    <row r="4246" spans="1:1" x14ac:dyDescent="0.25">
      <c r="A4246" s="54" t="str">
        <f>LEFT('Liste des étudiants'!$W4246,3)</f>
        <v>438</v>
      </c>
    </row>
    <row r="4247" spans="1:1" x14ac:dyDescent="0.25">
      <c r="A4247" s="54" t="str">
        <f>LEFT('Liste des étudiants'!$W4247,3)</f>
        <v>438</v>
      </c>
    </row>
    <row r="4248" spans="1:1" x14ac:dyDescent="0.25">
      <c r="A4248" s="54" t="str">
        <f>LEFT('Liste des étudiants'!$W4248,3)</f>
        <v>438</v>
      </c>
    </row>
    <row r="4249" spans="1:1" x14ac:dyDescent="0.25">
      <c r="A4249" s="54" t="str">
        <f>LEFT('Liste des étudiants'!$W4249,3)</f>
        <v>438</v>
      </c>
    </row>
    <row r="4250" spans="1:1" x14ac:dyDescent="0.25">
      <c r="A4250" s="54" t="str">
        <f>LEFT('Liste des étudiants'!$W4250,3)</f>
        <v>438</v>
      </c>
    </row>
    <row r="4251" spans="1:1" x14ac:dyDescent="0.25">
      <c r="A4251" s="54" t="str">
        <f>LEFT('Liste des étudiants'!$W4251,3)</f>
        <v>438</v>
      </c>
    </row>
    <row r="4252" spans="1:1" x14ac:dyDescent="0.25">
      <c r="A4252" s="54" t="str">
        <f>LEFT('Liste des étudiants'!$W4252,3)</f>
        <v>438</v>
      </c>
    </row>
    <row r="4253" spans="1:1" x14ac:dyDescent="0.25">
      <c r="A4253" s="54" t="str">
        <f>LEFT('Liste des étudiants'!$W4253,3)</f>
        <v>438</v>
      </c>
    </row>
    <row r="4254" spans="1:1" x14ac:dyDescent="0.25">
      <c r="A4254" s="54" t="str">
        <f>LEFT('Liste des étudiants'!$W4254,3)</f>
        <v>438</v>
      </c>
    </row>
    <row r="4255" spans="1:1" x14ac:dyDescent="0.25">
      <c r="A4255" s="54" t="str">
        <f>LEFT('Liste des étudiants'!$W4255,3)</f>
        <v>438</v>
      </c>
    </row>
    <row r="4256" spans="1:1" x14ac:dyDescent="0.25">
      <c r="A4256" s="54" t="str">
        <f>LEFT('Liste des étudiants'!$W4256,3)</f>
        <v>438</v>
      </c>
    </row>
    <row r="4257" spans="1:1" x14ac:dyDescent="0.25">
      <c r="A4257" s="54" t="str">
        <f>LEFT('Liste des étudiants'!$W4257,3)</f>
        <v>438</v>
      </c>
    </row>
    <row r="4258" spans="1:1" x14ac:dyDescent="0.25">
      <c r="A4258" s="54" t="str">
        <f>LEFT('Liste des étudiants'!$W4258,3)</f>
        <v>438</v>
      </c>
    </row>
    <row r="4259" spans="1:1" x14ac:dyDescent="0.25">
      <c r="A4259" s="54" t="str">
        <f>LEFT('Liste des étudiants'!$W4259,3)</f>
        <v>438</v>
      </c>
    </row>
    <row r="4260" spans="1:1" x14ac:dyDescent="0.25">
      <c r="A4260" s="54" t="str">
        <f>LEFT('Liste des étudiants'!$W4260,3)</f>
        <v>438</v>
      </c>
    </row>
    <row r="4261" spans="1:1" x14ac:dyDescent="0.25">
      <c r="A4261" s="54" t="str">
        <f>LEFT('Liste des étudiants'!$W4261,3)</f>
        <v>438</v>
      </c>
    </row>
    <row r="4262" spans="1:1" x14ac:dyDescent="0.25">
      <c r="A4262" s="54" t="str">
        <f>LEFT('Liste des étudiants'!$W4262,3)</f>
        <v>438</v>
      </c>
    </row>
    <row r="4263" spans="1:1" x14ac:dyDescent="0.25">
      <c r="A4263" s="54" t="str">
        <f>LEFT('Liste des étudiants'!$W4263,3)</f>
        <v>438</v>
      </c>
    </row>
    <row r="4264" spans="1:1" x14ac:dyDescent="0.25">
      <c r="A4264" s="54" t="str">
        <f>LEFT('Liste des étudiants'!$W4264,3)</f>
        <v>438</v>
      </c>
    </row>
    <row r="4265" spans="1:1" x14ac:dyDescent="0.25">
      <c r="A4265" s="54" t="str">
        <f>LEFT('Liste des étudiants'!$W4265,3)</f>
        <v>438</v>
      </c>
    </row>
    <row r="4266" spans="1:1" x14ac:dyDescent="0.25">
      <c r="A4266" s="54" t="str">
        <f>LEFT('Liste des étudiants'!$W4266,3)</f>
        <v>438</v>
      </c>
    </row>
    <row r="4267" spans="1:1" x14ac:dyDescent="0.25">
      <c r="A4267" s="54" t="str">
        <f>LEFT('Liste des étudiants'!$W4267,3)</f>
        <v>438</v>
      </c>
    </row>
    <row r="4268" spans="1:1" x14ac:dyDescent="0.25">
      <c r="A4268" s="54" t="str">
        <f>LEFT('Liste des étudiants'!$W4268,3)</f>
        <v>438</v>
      </c>
    </row>
    <row r="4269" spans="1:1" x14ac:dyDescent="0.25">
      <c r="A4269" s="54" t="str">
        <f>LEFT('Liste des étudiants'!$W4269,3)</f>
        <v>438</v>
      </c>
    </row>
    <row r="4270" spans="1:1" x14ac:dyDescent="0.25">
      <c r="A4270" s="54" t="str">
        <f>LEFT('Liste des étudiants'!$W4270,3)</f>
        <v>438</v>
      </c>
    </row>
    <row r="4271" spans="1:1" x14ac:dyDescent="0.25">
      <c r="A4271" s="54" t="str">
        <f>LEFT('Liste des étudiants'!$W4271,3)</f>
        <v>438</v>
      </c>
    </row>
    <row r="4272" spans="1:1" x14ac:dyDescent="0.25">
      <c r="A4272" s="54" t="str">
        <f>LEFT('Liste des étudiants'!$W4272,3)</f>
        <v>438</v>
      </c>
    </row>
    <row r="4273" spans="1:1" x14ac:dyDescent="0.25">
      <c r="A4273" s="54" t="str">
        <f>LEFT('Liste des étudiants'!$W4273,3)</f>
        <v>438</v>
      </c>
    </row>
    <row r="4274" spans="1:1" x14ac:dyDescent="0.25">
      <c r="A4274" s="54" t="str">
        <f>LEFT('Liste des étudiants'!$W4274,3)</f>
        <v>438</v>
      </c>
    </row>
    <row r="4275" spans="1:1" x14ac:dyDescent="0.25">
      <c r="A4275" s="54" t="str">
        <f>LEFT('Liste des étudiants'!$W4275,3)</f>
        <v>438</v>
      </c>
    </row>
    <row r="4276" spans="1:1" x14ac:dyDescent="0.25">
      <c r="A4276" s="54" t="str">
        <f>LEFT('Liste des étudiants'!$W4276,3)</f>
        <v>438</v>
      </c>
    </row>
    <row r="4277" spans="1:1" x14ac:dyDescent="0.25">
      <c r="A4277" s="54" t="str">
        <f>LEFT('Liste des étudiants'!$W4277,3)</f>
        <v>438</v>
      </c>
    </row>
    <row r="4278" spans="1:1" x14ac:dyDescent="0.25">
      <c r="A4278" s="54" t="str">
        <f>LEFT('Liste des étudiants'!$W4278,3)</f>
        <v>438</v>
      </c>
    </row>
    <row r="4279" spans="1:1" x14ac:dyDescent="0.25">
      <c r="A4279" s="54" t="str">
        <f>LEFT('Liste des étudiants'!$W4279,3)</f>
        <v>438</v>
      </c>
    </row>
    <row r="4280" spans="1:1" x14ac:dyDescent="0.25">
      <c r="A4280" s="54" t="str">
        <f>LEFT('Liste des étudiants'!$W4280,3)</f>
        <v>438</v>
      </c>
    </row>
    <row r="4281" spans="1:1" x14ac:dyDescent="0.25">
      <c r="A4281" s="54" t="str">
        <f>LEFT('Liste des étudiants'!$W4281,3)</f>
        <v>438</v>
      </c>
    </row>
    <row r="4282" spans="1:1" x14ac:dyDescent="0.25">
      <c r="A4282" s="54" t="str">
        <f>LEFT('Liste des étudiants'!$W4282,3)</f>
        <v>438</v>
      </c>
    </row>
    <row r="4283" spans="1:1" x14ac:dyDescent="0.25">
      <c r="A4283" s="54" t="str">
        <f>LEFT('Liste des étudiants'!$W4283,3)</f>
        <v>438</v>
      </c>
    </row>
    <row r="4284" spans="1:1" x14ac:dyDescent="0.25">
      <c r="A4284" s="54" t="str">
        <f>LEFT('Liste des étudiants'!$W4284,3)</f>
        <v>438</v>
      </c>
    </row>
    <row r="4285" spans="1:1" x14ac:dyDescent="0.25">
      <c r="A4285" s="54" t="str">
        <f>LEFT('Liste des étudiants'!$W4285,3)</f>
        <v>438</v>
      </c>
    </row>
    <row r="4286" spans="1:1" x14ac:dyDescent="0.25">
      <c r="A4286" s="54" t="str">
        <f>LEFT('Liste des étudiants'!$W4286,3)</f>
        <v>438</v>
      </c>
    </row>
    <row r="4287" spans="1:1" x14ac:dyDescent="0.25">
      <c r="A4287" s="54" t="str">
        <f>LEFT('Liste des étudiants'!$W4287,3)</f>
        <v>438</v>
      </c>
    </row>
    <row r="4288" spans="1:1" x14ac:dyDescent="0.25">
      <c r="A4288" s="54" t="str">
        <f>LEFT('Liste des étudiants'!$W4288,3)</f>
        <v>438</v>
      </c>
    </row>
    <row r="4289" spans="1:1" x14ac:dyDescent="0.25">
      <c r="A4289" s="54" t="str">
        <f>LEFT('Liste des étudiants'!$W4289,3)</f>
        <v>438</v>
      </c>
    </row>
    <row r="4290" spans="1:1" x14ac:dyDescent="0.25">
      <c r="A4290" s="54" t="str">
        <f>LEFT('Liste des étudiants'!$W4290,3)</f>
        <v>438</v>
      </c>
    </row>
    <row r="4291" spans="1:1" x14ac:dyDescent="0.25">
      <c r="A4291" s="54" t="str">
        <f>LEFT('Liste des étudiants'!$W4291,3)</f>
        <v>438</v>
      </c>
    </row>
    <row r="4292" spans="1:1" x14ac:dyDescent="0.25">
      <c r="A4292" s="54" t="str">
        <f>LEFT('Liste des étudiants'!$W4292,3)</f>
        <v>438</v>
      </c>
    </row>
    <row r="4293" spans="1:1" x14ac:dyDescent="0.25">
      <c r="A4293" s="54" t="str">
        <f>LEFT('Liste des étudiants'!$W4293,3)</f>
        <v>438</v>
      </c>
    </row>
    <row r="4294" spans="1:1" x14ac:dyDescent="0.25">
      <c r="A4294" s="54" t="str">
        <f>LEFT('Liste des étudiants'!$W4294,3)</f>
        <v>438</v>
      </c>
    </row>
    <row r="4295" spans="1:1" x14ac:dyDescent="0.25">
      <c r="A4295" s="54" t="str">
        <f>LEFT('Liste des étudiants'!$W4295,3)</f>
        <v>438</v>
      </c>
    </row>
    <row r="4296" spans="1:1" x14ac:dyDescent="0.25">
      <c r="A4296" s="54" t="str">
        <f>LEFT('Liste des étudiants'!$W4296,3)</f>
        <v>438</v>
      </c>
    </row>
    <row r="4297" spans="1:1" x14ac:dyDescent="0.25">
      <c r="A4297" s="54" t="str">
        <f>LEFT('Liste des étudiants'!$W4297,3)</f>
        <v>438</v>
      </c>
    </row>
    <row r="4298" spans="1:1" x14ac:dyDescent="0.25">
      <c r="A4298" s="54" t="str">
        <f>LEFT('Liste des étudiants'!$W4298,3)</f>
        <v>438</v>
      </c>
    </row>
    <row r="4299" spans="1:1" x14ac:dyDescent="0.25">
      <c r="A4299" s="54" t="str">
        <f>LEFT('Liste des étudiants'!$W4299,3)</f>
        <v>438</v>
      </c>
    </row>
    <row r="4300" spans="1:1" x14ac:dyDescent="0.25">
      <c r="A4300" s="54" t="str">
        <f>LEFT('Liste des étudiants'!$W4300,3)</f>
        <v>438</v>
      </c>
    </row>
    <row r="4301" spans="1:1" x14ac:dyDescent="0.25">
      <c r="A4301" s="54" t="str">
        <f>LEFT('Liste des étudiants'!$W4301,3)</f>
        <v>438</v>
      </c>
    </row>
    <row r="4302" spans="1:1" x14ac:dyDescent="0.25">
      <c r="A4302" s="54" t="str">
        <f>LEFT('Liste des étudiants'!$W4302,3)</f>
        <v>438</v>
      </c>
    </row>
    <row r="4303" spans="1:1" x14ac:dyDescent="0.25">
      <c r="A4303" s="54" t="str">
        <f>LEFT('Liste des étudiants'!$W4303,3)</f>
        <v>438</v>
      </c>
    </row>
    <row r="4304" spans="1:1" x14ac:dyDescent="0.25">
      <c r="A4304" s="54" t="str">
        <f>LEFT('Liste des étudiants'!$W4304,3)</f>
        <v>438</v>
      </c>
    </row>
    <row r="4305" spans="1:1" x14ac:dyDescent="0.25">
      <c r="A4305" s="54" t="str">
        <f>LEFT('Liste des étudiants'!$W4305,3)</f>
        <v>438</v>
      </c>
    </row>
    <row r="4306" spans="1:1" x14ac:dyDescent="0.25">
      <c r="A4306" s="54" t="str">
        <f>LEFT('Liste des étudiants'!$W4306,3)</f>
        <v>438</v>
      </c>
    </row>
    <row r="4307" spans="1:1" x14ac:dyDescent="0.25">
      <c r="A4307" s="54" t="str">
        <f>LEFT('Liste des étudiants'!$W4307,3)</f>
        <v>438</v>
      </c>
    </row>
    <row r="4308" spans="1:1" x14ac:dyDescent="0.25">
      <c r="A4308" s="54" t="str">
        <f>LEFT('Liste des étudiants'!$W4308,3)</f>
        <v>418</v>
      </c>
    </row>
    <row r="4309" spans="1:1" x14ac:dyDescent="0.25">
      <c r="A4309" s="54" t="str">
        <f>LEFT('Liste des étudiants'!$W4309,3)</f>
        <v>438</v>
      </c>
    </row>
    <row r="4310" spans="1:1" x14ac:dyDescent="0.25">
      <c r="A4310" s="54" t="str">
        <f>LEFT('Liste des étudiants'!$W4310,3)</f>
        <v>438</v>
      </c>
    </row>
    <row r="4311" spans="1:1" x14ac:dyDescent="0.25">
      <c r="A4311" s="54" t="str">
        <f>LEFT('Liste des étudiants'!$W4311,3)</f>
        <v>438</v>
      </c>
    </row>
    <row r="4312" spans="1:1" x14ac:dyDescent="0.25">
      <c r="A4312" s="54" t="str">
        <f>LEFT('Liste des étudiants'!$W4312,3)</f>
        <v>438</v>
      </c>
    </row>
    <row r="4313" spans="1:1" x14ac:dyDescent="0.25">
      <c r="A4313" s="54" t="str">
        <f>LEFT('Liste des étudiants'!$W4313,3)</f>
        <v>438</v>
      </c>
    </row>
    <row r="4314" spans="1:1" x14ac:dyDescent="0.25">
      <c r="A4314" s="54" t="str">
        <f>LEFT('Liste des étudiants'!$W4314,3)</f>
        <v>438</v>
      </c>
    </row>
    <row r="4315" spans="1:1" x14ac:dyDescent="0.25">
      <c r="A4315" s="54" t="str">
        <f>LEFT('Liste des étudiants'!$W4315,3)</f>
        <v>438</v>
      </c>
    </row>
    <row r="4316" spans="1:1" x14ac:dyDescent="0.25">
      <c r="A4316" s="54" t="str">
        <f>LEFT('Liste des étudiants'!$W4316,3)</f>
        <v>438</v>
      </c>
    </row>
    <row r="4317" spans="1:1" x14ac:dyDescent="0.25">
      <c r="A4317" s="54" t="str">
        <f>LEFT('Liste des étudiants'!$W4317,3)</f>
        <v>438</v>
      </c>
    </row>
    <row r="4318" spans="1:1" x14ac:dyDescent="0.25">
      <c r="A4318" s="54" t="str">
        <f>LEFT('Liste des étudiants'!$W4318,3)</f>
        <v>438</v>
      </c>
    </row>
    <row r="4319" spans="1:1" x14ac:dyDescent="0.25">
      <c r="A4319" s="54" t="str">
        <f>LEFT('Liste des étudiants'!$W4319,3)</f>
        <v>438</v>
      </c>
    </row>
    <row r="4320" spans="1:1" x14ac:dyDescent="0.25">
      <c r="A4320" s="54" t="str">
        <f>LEFT('Liste des étudiants'!$W4320,3)</f>
        <v>438</v>
      </c>
    </row>
    <row r="4321" spans="1:1" x14ac:dyDescent="0.25">
      <c r="A4321" s="54" t="str">
        <f>LEFT('Liste des étudiants'!$W4321,3)</f>
        <v>438</v>
      </c>
    </row>
    <row r="4322" spans="1:1" x14ac:dyDescent="0.25">
      <c r="A4322" s="54" t="str">
        <f>LEFT('Liste des étudiants'!$W4322,3)</f>
        <v>438</v>
      </c>
    </row>
    <row r="4323" spans="1:1" x14ac:dyDescent="0.25">
      <c r="A4323" s="54" t="str">
        <f>LEFT('Liste des étudiants'!$W4323,3)</f>
        <v>438</v>
      </c>
    </row>
    <row r="4324" spans="1:1" x14ac:dyDescent="0.25">
      <c r="A4324" s="54" t="str">
        <f>LEFT('Liste des étudiants'!$W4324,3)</f>
        <v>438</v>
      </c>
    </row>
    <row r="4325" spans="1:1" x14ac:dyDescent="0.25">
      <c r="A4325" s="54" t="str">
        <f>LEFT('Liste des étudiants'!$W4325,3)</f>
        <v>438</v>
      </c>
    </row>
    <row r="4326" spans="1:1" x14ac:dyDescent="0.25">
      <c r="A4326" s="54" t="str">
        <f>LEFT('Liste des étudiants'!$W4326,3)</f>
        <v>438</v>
      </c>
    </row>
    <row r="4327" spans="1:1" x14ac:dyDescent="0.25">
      <c r="A4327" s="54" t="str">
        <f>LEFT('Liste des étudiants'!$W4327,3)</f>
        <v>438</v>
      </c>
    </row>
    <row r="4328" spans="1:1" x14ac:dyDescent="0.25">
      <c r="A4328" s="54" t="str">
        <f>LEFT('Liste des étudiants'!$W4328,3)</f>
        <v>418</v>
      </c>
    </row>
    <row r="4329" spans="1:1" x14ac:dyDescent="0.25">
      <c r="A4329" s="54" t="str">
        <f>LEFT('Liste des étudiants'!$W4329,3)</f>
        <v>438</v>
      </c>
    </row>
    <row r="4330" spans="1:1" x14ac:dyDescent="0.25">
      <c r="A4330" s="54" t="str">
        <f>LEFT('Liste des étudiants'!$W4330,3)</f>
        <v>438</v>
      </c>
    </row>
    <row r="4331" spans="1:1" x14ac:dyDescent="0.25">
      <c r="A4331" s="54" t="str">
        <f>LEFT('Liste des étudiants'!$W4331,3)</f>
        <v>418</v>
      </c>
    </row>
    <row r="4332" spans="1:1" x14ac:dyDescent="0.25">
      <c r="A4332" s="54" t="str">
        <f>LEFT('Liste des étudiants'!$W4332,3)</f>
        <v>438</v>
      </c>
    </row>
    <row r="4333" spans="1:1" x14ac:dyDescent="0.25">
      <c r="A4333" s="54" t="str">
        <f>LEFT('Liste des étudiants'!$W4333,3)</f>
        <v>438</v>
      </c>
    </row>
    <row r="4334" spans="1:1" x14ac:dyDescent="0.25">
      <c r="A4334" s="54" t="str">
        <f>LEFT('Liste des étudiants'!$W4334,3)</f>
        <v>438</v>
      </c>
    </row>
    <row r="4335" spans="1:1" x14ac:dyDescent="0.25">
      <c r="A4335" s="54" t="str">
        <f>LEFT('Liste des étudiants'!$W4335,3)</f>
        <v>438</v>
      </c>
    </row>
    <row r="4336" spans="1:1" x14ac:dyDescent="0.25">
      <c r="A4336" s="54" t="str">
        <f>LEFT('Liste des étudiants'!$W4336,3)</f>
        <v>438</v>
      </c>
    </row>
    <row r="4337" spans="1:1" x14ac:dyDescent="0.25">
      <c r="A4337" s="54" t="str">
        <f>LEFT('Liste des étudiants'!$W4337,3)</f>
        <v>438</v>
      </c>
    </row>
    <row r="4338" spans="1:1" x14ac:dyDescent="0.25">
      <c r="A4338" s="54" t="str">
        <f>LEFT('Liste des étudiants'!$W4338,3)</f>
        <v>438</v>
      </c>
    </row>
    <row r="4339" spans="1:1" x14ac:dyDescent="0.25">
      <c r="A4339" s="54" t="str">
        <f>LEFT('Liste des étudiants'!$W4339,3)</f>
        <v>438</v>
      </c>
    </row>
    <row r="4340" spans="1:1" x14ac:dyDescent="0.25">
      <c r="A4340" s="54" t="str">
        <f>LEFT('Liste des étudiants'!$W4340,3)</f>
        <v>438</v>
      </c>
    </row>
    <row r="4341" spans="1:1" x14ac:dyDescent="0.25">
      <c r="A4341" s="54" t="str">
        <f>LEFT('Liste des étudiants'!$W4341,3)</f>
        <v>438</v>
      </c>
    </row>
    <row r="4342" spans="1:1" x14ac:dyDescent="0.25">
      <c r="A4342" s="54" t="str">
        <f>LEFT('Liste des étudiants'!$W4342,3)</f>
        <v>438</v>
      </c>
    </row>
    <row r="4343" spans="1:1" x14ac:dyDescent="0.25">
      <c r="A4343" s="54" t="str">
        <f>LEFT('Liste des étudiants'!$W4343,3)</f>
        <v>438</v>
      </c>
    </row>
    <row r="4344" spans="1:1" x14ac:dyDescent="0.25">
      <c r="A4344" s="54" t="str">
        <f>LEFT('Liste des étudiants'!$W4344,3)</f>
        <v>438</v>
      </c>
    </row>
    <row r="4345" spans="1:1" x14ac:dyDescent="0.25">
      <c r="A4345" s="54" t="str">
        <f>LEFT('Liste des étudiants'!$W4345,3)</f>
        <v>438</v>
      </c>
    </row>
    <row r="4346" spans="1:1" x14ac:dyDescent="0.25">
      <c r="A4346" s="54" t="str">
        <f>LEFT('Liste des étudiants'!$W4346,3)</f>
        <v>438</v>
      </c>
    </row>
    <row r="4347" spans="1:1" x14ac:dyDescent="0.25">
      <c r="A4347" s="54" t="str">
        <f>LEFT('Liste des étudiants'!$W4347,3)</f>
        <v>438</v>
      </c>
    </row>
    <row r="4348" spans="1:1" x14ac:dyDescent="0.25">
      <c r="A4348" s="54" t="str">
        <f>LEFT('Liste des étudiants'!$W4348,3)</f>
        <v>438</v>
      </c>
    </row>
    <row r="4349" spans="1:1" x14ac:dyDescent="0.25">
      <c r="A4349" s="54" t="str">
        <f>LEFT('Liste des étudiants'!$W4349,3)</f>
        <v>438</v>
      </c>
    </row>
    <row r="4350" spans="1:1" x14ac:dyDescent="0.25">
      <c r="A4350" s="54" t="str">
        <f>LEFT('Liste des étudiants'!$W4350,3)</f>
        <v>438</v>
      </c>
    </row>
    <row r="4351" spans="1:1" x14ac:dyDescent="0.25">
      <c r="A4351" s="54" t="str">
        <f>LEFT('Liste des étudiants'!$W4351,3)</f>
        <v>438</v>
      </c>
    </row>
    <row r="4352" spans="1:1" x14ac:dyDescent="0.25">
      <c r="A4352" s="54" t="str">
        <f>LEFT('Liste des étudiants'!$W4352,3)</f>
        <v>438</v>
      </c>
    </row>
    <row r="4353" spans="1:1" x14ac:dyDescent="0.25">
      <c r="A4353" s="54" t="str">
        <f>LEFT('Liste des étudiants'!$W4353,3)</f>
        <v>438</v>
      </c>
    </row>
    <row r="4354" spans="1:1" x14ac:dyDescent="0.25">
      <c r="A4354" s="54" t="str">
        <f>LEFT('Liste des étudiants'!$W4354,3)</f>
        <v>438</v>
      </c>
    </row>
    <row r="4355" spans="1:1" x14ac:dyDescent="0.25">
      <c r="A4355" s="54" t="str">
        <f>LEFT('Liste des étudiants'!$W4355,3)</f>
        <v>438</v>
      </c>
    </row>
    <row r="4356" spans="1:1" x14ac:dyDescent="0.25">
      <c r="A4356" s="54" t="str">
        <f>LEFT('Liste des étudiants'!$W4356,3)</f>
        <v>438</v>
      </c>
    </row>
    <row r="4357" spans="1:1" x14ac:dyDescent="0.25">
      <c r="A4357" s="54" t="str">
        <f>LEFT('Liste des étudiants'!$W4357,3)</f>
        <v>438</v>
      </c>
    </row>
    <row r="4358" spans="1:1" x14ac:dyDescent="0.25">
      <c r="A4358" s="54" t="str">
        <f>LEFT('Liste des étudiants'!$W4358,3)</f>
        <v>438</v>
      </c>
    </row>
    <row r="4359" spans="1:1" x14ac:dyDescent="0.25">
      <c r="A4359" s="54" t="str">
        <f>LEFT('Liste des étudiants'!$W4359,3)</f>
        <v>438</v>
      </c>
    </row>
    <row r="4360" spans="1:1" x14ac:dyDescent="0.25">
      <c r="A4360" s="54" t="str">
        <f>LEFT('Liste des étudiants'!$W4360,3)</f>
        <v>438</v>
      </c>
    </row>
    <row r="4361" spans="1:1" x14ac:dyDescent="0.25">
      <c r="A4361" s="54" t="str">
        <f>LEFT('Liste des étudiants'!$W4361,3)</f>
        <v>438</v>
      </c>
    </row>
    <row r="4362" spans="1:1" x14ac:dyDescent="0.25">
      <c r="A4362" s="54" t="str">
        <f>LEFT('Liste des étudiants'!$W4362,3)</f>
        <v>438</v>
      </c>
    </row>
    <row r="4363" spans="1:1" x14ac:dyDescent="0.25">
      <c r="A4363" s="54" t="str">
        <f>LEFT('Liste des étudiants'!$W4363,3)</f>
        <v>438</v>
      </c>
    </row>
    <row r="4364" spans="1:1" x14ac:dyDescent="0.25">
      <c r="A4364" s="54" t="str">
        <f>LEFT('Liste des étudiants'!$W4364,3)</f>
        <v>438</v>
      </c>
    </row>
    <row r="4365" spans="1:1" x14ac:dyDescent="0.25">
      <c r="A4365" s="54" t="str">
        <f>LEFT('Liste des étudiants'!$W4365,3)</f>
        <v>438</v>
      </c>
    </row>
    <row r="4366" spans="1:1" x14ac:dyDescent="0.25">
      <c r="A4366" s="54" t="str">
        <f>LEFT('Liste des étudiants'!$W4366,3)</f>
        <v>438</v>
      </c>
    </row>
    <row r="4367" spans="1:1" x14ac:dyDescent="0.25">
      <c r="A4367" s="54" t="str">
        <f>LEFT('Liste des étudiants'!$W4367,3)</f>
        <v>418</v>
      </c>
    </row>
    <row r="4368" spans="1:1" x14ac:dyDescent="0.25">
      <c r="A4368" s="54" t="str">
        <f>LEFT('Liste des étudiants'!$W4368,3)</f>
        <v>438</v>
      </c>
    </row>
    <row r="4369" spans="1:1" x14ac:dyDescent="0.25">
      <c r="A4369" s="54" t="str">
        <f>LEFT('Liste des étudiants'!$W4369,3)</f>
        <v>438</v>
      </c>
    </row>
    <row r="4370" spans="1:1" x14ac:dyDescent="0.25">
      <c r="A4370" s="54" t="str">
        <f>LEFT('Liste des étudiants'!$W4370,3)</f>
        <v>438</v>
      </c>
    </row>
    <row r="4371" spans="1:1" x14ac:dyDescent="0.25">
      <c r="A4371" s="54" t="str">
        <f>LEFT('Liste des étudiants'!$W4371,3)</f>
        <v>438</v>
      </c>
    </row>
    <row r="4372" spans="1:1" x14ac:dyDescent="0.25">
      <c r="A4372" s="54" t="str">
        <f>LEFT('Liste des étudiants'!$W4372,3)</f>
        <v>438</v>
      </c>
    </row>
    <row r="4373" spans="1:1" x14ac:dyDescent="0.25">
      <c r="A4373" s="54" t="str">
        <f>LEFT('Liste des étudiants'!$W4373,3)</f>
        <v>438</v>
      </c>
    </row>
    <row r="4374" spans="1:1" x14ac:dyDescent="0.25">
      <c r="A4374" s="54" t="str">
        <f>LEFT('Liste des étudiants'!$W4374,3)</f>
        <v>438</v>
      </c>
    </row>
    <row r="4375" spans="1:1" x14ac:dyDescent="0.25">
      <c r="A4375" s="54" t="str">
        <f>LEFT('Liste des étudiants'!$W4375,3)</f>
        <v>438</v>
      </c>
    </row>
    <row r="4376" spans="1:1" x14ac:dyDescent="0.25">
      <c r="A4376" s="54" t="str">
        <f>LEFT('Liste des étudiants'!$W4376,3)</f>
        <v>438</v>
      </c>
    </row>
    <row r="4377" spans="1:1" x14ac:dyDescent="0.25">
      <c r="A4377" s="54" t="str">
        <f>LEFT('Liste des étudiants'!$W4377,3)</f>
        <v>438</v>
      </c>
    </row>
    <row r="4378" spans="1:1" x14ac:dyDescent="0.25">
      <c r="A4378" s="54" t="str">
        <f>LEFT('Liste des étudiants'!$W4378,3)</f>
        <v>438</v>
      </c>
    </row>
    <row r="4379" spans="1:1" x14ac:dyDescent="0.25">
      <c r="A4379" s="54" t="str">
        <f>LEFT('Liste des étudiants'!$W4379,3)</f>
        <v>438</v>
      </c>
    </row>
    <row r="4380" spans="1:1" x14ac:dyDescent="0.25">
      <c r="A4380" s="54" t="str">
        <f>LEFT('Liste des étudiants'!$W4380,3)</f>
        <v>438</v>
      </c>
    </row>
    <row r="4381" spans="1:1" x14ac:dyDescent="0.25">
      <c r="A4381" s="54" t="str">
        <f>LEFT('Liste des étudiants'!$W4381,3)</f>
        <v>438</v>
      </c>
    </row>
    <row r="4382" spans="1:1" x14ac:dyDescent="0.25">
      <c r="A4382" s="54" t="str">
        <f>LEFT('Liste des étudiants'!$W4382,3)</f>
        <v>438</v>
      </c>
    </row>
    <row r="4383" spans="1:1" x14ac:dyDescent="0.25">
      <c r="A4383" s="54" t="str">
        <f>LEFT('Liste des étudiants'!$W4383,3)</f>
        <v>438</v>
      </c>
    </row>
    <row r="4384" spans="1:1" x14ac:dyDescent="0.25">
      <c r="A4384" s="54" t="str">
        <f>LEFT('Liste des étudiants'!$W4384,3)</f>
        <v>438</v>
      </c>
    </row>
    <row r="4385" spans="1:1" x14ac:dyDescent="0.25">
      <c r="A4385" s="54" t="str">
        <f>LEFT('Liste des étudiants'!$W4385,3)</f>
        <v>438</v>
      </c>
    </row>
    <row r="4386" spans="1:1" x14ac:dyDescent="0.25">
      <c r="A4386" s="54" t="str">
        <f>LEFT('Liste des étudiants'!$W4386,3)</f>
        <v>438</v>
      </c>
    </row>
    <row r="4387" spans="1:1" x14ac:dyDescent="0.25">
      <c r="A4387" s="54" t="str">
        <f>LEFT('Liste des étudiants'!$W4387,3)</f>
        <v>438</v>
      </c>
    </row>
    <row r="4388" spans="1:1" x14ac:dyDescent="0.25">
      <c r="A4388" s="54" t="str">
        <f>LEFT('Liste des étudiants'!$W4388,3)</f>
        <v>438</v>
      </c>
    </row>
    <row r="4389" spans="1:1" x14ac:dyDescent="0.25">
      <c r="A4389" s="54" t="str">
        <f>LEFT('Liste des étudiants'!$W4389,3)</f>
        <v>438</v>
      </c>
    </row>
    <row r="4390" spans="1:1" x14ac:dyDescent="0.25">
      <c r="A4390" s="54" t="str">
        <f>LEFT('Liste des étudiants'!$W4390,3)</f>
        <v>438</v>
      </c>
    </row>
    <row r="4391" spans="1:1" x14ac:dyDescent="0.25">
      <c r="A4391" s="54" t="str">
        <f>LEFT('Liste des étudiants'!$W4391,3)</f>
        <v>438</v>
      </c>
    </row>
    <row r="4392" spans="1:1" x14ac:dyDescent="0.25">
      <c r="A4392" s="54" t="str">
        <f>LEFT('Liste des étudiants'!$W4392,3)</f>
        <v>438</v>
      </c>
    </row>
    <row r="4393" spans="1:1" x14ac:dyDescent="0.25">
      <c r="A4393" s="54" t="str">
        <f>LEFT('Liste des étudiants'!$W4393,3)</f>
        <v>418</v>
      </c>
    </row>
    <row r="4394" spans="1:1" x14ac:dyDescent="0.25">
      <c r="A4394" s="54" t="str">
        <f>LEFT('Liste des étudiants'!$W4394,3)</f>
        <v>438</v>
      </c>
    </row>
    <row r="4395" spans="1:1" x14ac:dyDescent="0.25">
      <c r="A4395" s="54" t="str">
        <f>LEFT('Liste des étudiants'!$W4395,3)</f>
        <v>438</v>
      </c>
    </row>
    <row r="4396" spans="1:1" x14ac:dyDescent="0.25">
      <c r="A4396" s="54" t="str">
        <f>LEFT('Liste des étudiants'!$W4396,3)</f>
        <v>438</v>
      </c>
    </row>
    <row r="4397" spans="1:1" x14ac:dyDescent="0.25">
      <c r="A4397" s="54" t="str">
        <f>LEFT('Liste des étudiants'!$W4397,3)</f>
        <v>438</v>
      </c>
    </row>
    <row r="4398" spans="1:1" x14ac:dyDescent="0.25">
      <c r="A4398" s="54" t="str">
        <f>LEFT('Liste des étudiants'!$W4398,3)</f>
        <v>438</v>
      </c>
    </row>
    <row r="4399" spans="1:1" x14ac:dyDescent="0.25">
      <c r="A4399" s="54" t="str">
        <f>LEFT('Liste des étudiants'!$W4399,3)</f>
        <v>438</v>
      </c>
    </row>
    <row r="4400" spans="1:1" x14ac:dyDescent="0.25">
      <c r="A4400" s="54" t="str">
        <f>LEFT('Liste des étudiants'!$W4400,3)</f>
        <v>438</v>
      </c>
    </row>
    <row r="4401" spans="1:1" x14ac:dyDescent="0.25">
      <c r="A4401" s="54" t="str">
        <f>LEFT('Liste des étudiants'!$W4401,3)</f>
        <v>438</v>
      </c>
    </row>
    <row r="4402" spans="1:1" x14ac:dyDescent="0.25">
      <c r="A4402" s="54" t="str">
        <f>LEFT('Liste des étudiants'!$W4402,3)</f>
        <v>438</v>
      </c>
    </row>
    <row r="4403" spans="1:1" x14ac:dyDescent="0.25">
      <c r="A4403" s="54" t="str">
        <f>LEFT('Liste des étudiants'!$W4403,3)</f>
        <v>438</v>
      </c>
    </row>
    <row r="4404" spans="1:1" x14ac:dyDescent="0.25">
      <c r="A4404" s="54" t="str">
        <f>LEFT('Liste des étudiants'!$W4404,3)</f>
        <v>438</v>
      </c>
    </row>
    <row r="4405" spans="1:1" x14ac:dyDescent="0.25">
      <c r="A4405" s="54" t="str">
        <f>LEFT('Liste des étudiants'!$W4405,3)</f>
        <v>438</v>
      </c>
    </row>
    <row r="4406" spans="1:1" x14ac:dyDescent="0.25">
      <c r="A4406" s="54" t="str">
        <f>LEFT('Liste des étudiants'!$W4406,3)</f>
        <v>438</v>
      </c>
    </row>
    <row r="4407" spans="1:1" x14ac:dyDescent="0.25">
      <c r="A4407" s="54" t="str">
        <f>LEFT('Liste des étudiants'!$W4407,3)</f>
        <v>438</v>
      </c>
    </row>
    <row r="4408" spans="1:1" x14ac:dyDescent="0.25">
      <c r="A4408" s="54" t="str">
        <f>LEFT('Liste des étudiants'!$W4408,3)</f>
        <v>438</v>
      </c>
    </row>
    <row r="4409" spans="1:1" x14ac:dyDescent="0.25">
      <c r="A4409" s="54" t="str">
        <f>LEFT('Liste des étudiants'!$W4409,3)</f>
        <v>438</v>
      </c>
    </row>
    <row r="4410" spans="1:1" x14ac:dyDescent="0.25">
      <c r="A4410" s="54" t="str">
        <f>LEFT('Liste des étudiants'!$W4410,3)</f>
        <v>438</v>
      </c>
    </row>
    <row r="4411" spans="1:1" x14ac:dyDescent="0.25">
      <c r="A4411" s="54" t="str">
        <f>LEFT('Liste des étudiants'!$W4411,3)</f>
        <v>438</v>
      </c>
    </row>
    <row r="4412" spans="1:1" x14ac:dyDescent="0.25">
      <c r="A4412" s="54" t="str">
        <f>LEFT('Liste des étudiants'!$W4412,3)</f>
        <v>418</v>
      </c>
    </row>
    <row r="4413" spans="1:1" x14ac:dyDescent="0.25">
      <c r="A4413" s="54" t="str">
        <f>LEFT('Liste des étudiants'!$W4413,3)</f>
        <v>438</v>
      </c>
    </row>
    <row r="4414" spans="1:1" x14ac:dyDescent="0.25">
      <c r="A4414" s="54" t="str">
        <f>LEFT('Liste des étudiants'!$W4414,3)</f>
        <v>438</v>
      </c>
    </row>
    <row r="4415" spans="1:1" x14ac:dyDescent="0.25">
      <c r="A4415" s="54" t="str">
        <f>LEFT('Liste des étudiants'!$W4415,3)</f>
        <v>438</v>
      </c>
    </row>
    <row r="4416" spans="1:1" x14ac:dyDescent="0.25">
      <c r="A4416" s="54" t="str">
        <f>LEFT('Liste des étudiants'!$W4416,3)</f>
        <v>438</v>
      </c>
    </row>
    <row r="4417" spans="1:1" x14ac:dyDescent="0.25">
      <c r="A4417" s="54" t="str">
        <f>LEFT('Liste des étudiants'!$W4417,3)</f>
        <v>438</v>
      </c>
    </row>
    <row r="4418" spans="1:1" x14ac:dyDescent="0.25">
      <c r="A4418" s="54" t="str">
        <f>LEFT('Liste des étudiants'!$W4418,3)</f>
        <v>438</v>
      </c>
    </row>
    <row r="4419" spans="1:1" x14ac:dyDescent="0.25">
      <c r="A4419" s="54" t="str">
        <f>LEFT('Liste des étudiants'!$W4419,3)</f>
        <v>438</v>
      </c>
    </row>
    <row r="4420" spans="1:1" x14ac:dyDescent="0.25">
      <c r="A4420" s="54" t="str">
        <f>LEFT('Liste des étudiants'!$W4420,3)</f>
        <v>438</v>
      </c>
    </row>
    <row r="4421" spans="1:1" x14ac:dyDescent="0.25">
      <c r="A4421" s="54" t="str">
        <f>LEFT('Liste des étudiants'!$W4421,3)</f>
        <v>438</v>
      </c>
    </row>
    <row r="4422" spans="1:1" x14ac:dyDescent="0.25">
      <c r="A4422" s="54" t="str">
        <f>LEFT('Liste des étudiants'!$W4422,3)</f>
        <v>438</v>
      </c>
    </row>
    <row r="4423" spans="1:1" x14ac:dyDescent="0.25">
      <c r="A4423" s="54" t="str">
        <f>LEFT('Liste des étudiants'!$W4423,3)</f>
        <v>438</v>
      </c>
    </row>
    <row r="4424" spans="1:1" x14ac:dyDescent="0.25">
      <c r="A4424" s="54" t="str">
        <f>LEFT('Liste des étudiants'!$W4424,3)</f>
        <v>438</v>
      </c>
    </row>
    <row r="4425" spans="1:1" x14ac:dyDescent="0.25">
      <c r="A4425" s="54" t="str">
        <f>LEFT('Liste des étudiants'!$W4425,3)</f>
        <v>438</v>
      </c>
    </row>
    <row r="4426" spans="1:1" x14ac:dyDescent="0.25">
      <c r="A4426" s="54" t="str">
        <f>LEFT('Liste des étudiants'!$W4426,3)</f>
        <v>438</v>
      </c>
    </row>
    <row r="4427" spans="1:1" x14ac:dyDescent="0.25">
      <c r="A4427" s="54" t="str">
        <f>LEFT('Liste des étudiants'!$W4427,3)</f>
        <v>438</v>
      </c>
    </row>
    <row r="4428" spans="1:1" x14ac:dyDescent="0.25">
      <c r="A4428" s="54" t="str">
        <f>LEFT('Liste des étudiants'!$W4428,3)</f>
        <v>438</v>
      </c>
    </row>
    <row r="4429" spans="1:1" x14ac:dyDescent="0.25">
      <c r="A4429" s="54" t="str">
        <f>LEFT('Liste des étudiants'!$W4429,3)</f>
        <v>438</v>
      </c>
    </row>
    <row r="4430" spans="1:1" x14ac:dyDescent="0.25">
      <c r="A4430" s="54" t="str">
        <f>LEFT('Liste des étudiants'!$W4430,3)</f>
        <v>438</v>
      </c>
    </row>
    <row r="4431" spans="1:1" x14ac:dyDescent="0.25">
      <c r="A4431" s="54" t="str">
        <f>LEFT('Liste des étudiants'!$W4431,3)</f>
        <v>438</v>
      </c>
    </row>
    <row r="4432" spans="1:1" x14ac:dyDescent="0.25">
      <c r="A4432" s="54" t="str">
        <f>LEFT('Liste des étudiants'!$W4432,3)</f>
        <v>438</v>
      </c>
    </row>
    <row r="4433" spans="1:1" x14ac:dyDescent="0.25">
      <c r="A4433" s="54" t="str">
        <f>LEFT('Liste des étudiants'!$W4433,3)</f>
        <v>438</v>
      </c>
    </row>
    <row r="4434" spans="1:1" x14ac:dyDescent="0.25">
      <c r="A4434" s="54" t="str">
        <f>LEFT('Liste des étudiants'!$W4434,3)</f>
        <v>438</v>
      </c>
    </row>
    <row r="4435" spans="1:1" x14ac:dyDescent="0.25">
      <c r="A4435" s="54" t="str">
        <f>LEFT('Liste des étudiants'!$W4435,3)</f>
        <v>438</v>
      </c>
    </row>
    <row r="4436" spans="1:1" x14ac:dyDescent="0.25">
      <c r="A4436" s="54" t="str">
        <f>LEFT('Liste des étudiants'!$W4436,3)</f>
        <v>438</v>
      </c>
    </row>
    <row r="4437" spans="1:1" x14ac:dyDescent="0.25">
      <c r="A4437" s="54" t="str">
        <f>LEFT('Liste des étudiants'!$W4437,3)</f>
        <v>438</v>
      </c>
    </row>
    <row r="4438" spans="1:1" x14ac:dyDescent="0.25">
      <c r="A4438" s="54" t="str">
        <f>LEFT('Liste des étudiants'!$W4438,3)</f>
        <v>438</v>
      </c>
    </row>
    <row r="4439" spans="1:1" x14ac:dyDescent="0.25">
      <c r="A4439" s="54" t="str">
        <f>LEFT('Liste des étudiants'!$W4439,3)</f>
        <v>438</v>
      </c>
    </row>
    <row r="4440" spans="1:1" x14ac:dyDescent="0.25">
      <c r="A4440" s="54" t="str">
        <f>LEFT('Liste des étudiants'!$W4440,3)</f>
        <v>438</v>
      </c>
    </row>
    <row r="4441" spans="1:1" x14ac:dyDescent="0.25">
      <c r="A4441" s="54" t="str">
        <f>LEFT('Liste des étudiants'!$W4441,3)</f>
        <v>438</v>
      </c>
    </row>
    <row r="4442" spans="1:1" x14ac:dyDescent="0.25">
      <c r="A4442" s="54" t="str">
        <f>LEFT('Liste des étudiants'!$W4442,3)</f>
        <v>438</v>
      </c>
    </row>
    <row r="4443" spans="1:1" x14ac:dyDescent="0.25">
      <c r="A4443" s="54" t="str">
        <f>LEFT('Liste des étudiants'!$W4443,3)</f>
        <v>438</v>
      </c>
    </row>
    <row r="4444" spans="1:1" x14ac:dyDescent="0.25">
      <c r="A4444" s="54" t="str">
        <f>LEFT('Liste des étudiants'!$W4444,3)</f>
        <v>438</v>
      </c>
    </row>
    <row r="4445" spans="1:1" x14ac:dyDescent="0.25">
      <c r="A4445" s="54" t="str">
        <f>LEFT('Liste des étudiants'!$W4445,3)</f>
        <v>438</v>
      </c>
    </row>
    <row r="4446" spans="1:1" x14ac:dyDescent="0.25">
      <c r="A4446" s="54" t="str">
        <f>LEFT('Liste des étudiants'!$W4446,3)</f>
        <v>438</v>
      </c>
    </row>
    <row r="4447" spans="1:1" x14ac:dyDescent="0.25">
      <c r="A4447" s="54" t="str">
        <f>LEFT('Liste des étudiants'!$W4447,3)</f>
        <v>438</v>
      </c>
    </row>
    <row r="4448" spans="1:1" x14ac:dyDescent="0.25">
      <c r="A4448" s="54" t="str">
        <f>LEFT('Liste des étudiants'!$W4448,3)</f>
        <v>438</v>
      </c>
    </row>
    <row r="4449" spans="1:1" x14ac:dyDescent="0.25">
      <c r="A4449" s="54" t="str">
        <f>LEFT('Liste des étudiants'!$W4449,3)</f>
        <v>438</v>
      </c>
    </row>
    <row r="4450" spans="1:1" x14ac:dyDescent="0.25">
      <c r="A4450" s="54" t="str">
        <f>LEFT('Liste des étudiants'!$W4450,3)</f>
        <v>438</v>
      </c>
    </row>
    <row r="4451" spans="1:1" x14ac:dyDescent="0.25">
      <c r="A4451" s="54" t="str">
        <f>LEFT('Liste des étudiants'!$W4451,3)</f>
        <v>438</v>
      </c>
    </row>
    <row r="4452" spans="1:1" x14ac:dyDescent="0.25">
      <c r="A4452" s="54" t="str">
        <f>LEFT('Liste des étudiants'!$W4452,3)</f>
        <v>438</v>
      </c>
    </row>
    <row r="4453" spans="1:1" x14ac:dyDescent="0.25">
      <c r="A4453" s="54" t="str">
        <f>LEFT('Liste des étudiants'!$W4453,3)</f>
        <v>438</v>
      </c>
    </row>
    <row r="4454" spans="1:1" x14ac:dyDescent="0.25">
      <c r="A4454" s="54" t="str">
        <f>LEFT('Liste des étudiants'!$W4454,3)</f>
        <v>438</v>
      </c>
    </row>
    <row r="4455" spans="1:1" x14ac:dyDescent="0.25">
      <c r="A4455" s="54" t="str">
        <f>LEFT('Liste des étudiants'!$W4455,3)</f>
        <v>438</v>
      </c>
    </row>
    <row r="4456" spans="1:1" x14ac:dyDescent="0.25">
      <c r="A4456" s="54" t="str">
        <f>LEFT('Liste des étudiants'!$W4456,3)</f>
        <v>438</v>
      </c>
    </row>
    <row r="4457" spans="1:1" x14ac:dyDescent="0.25">
      <c r="A4457" s="54" t="str">
        <f>LEFT('Liste des étudiants'!$W4457,3)</f>
        <v>438</v>
      </c>
    </row>
    <row r="4458" spans="1:1" x14ac:dyDescent="0.25">
      <c r="A4458" s="54" t="str">
        <f>LEFT('Liste des étudiants'!$W4458,3)</f>
        <v>438</v>
      </c>
    </row>
    <row r="4459" spans="1:1" x14ac:dyDescent="0.25">
      <c r="A4459" s="54" t="str">
        <f>LEFT('Liste des étudiants'!$W4459,3)</f>
        <v>438</v>
      </c>
    </row>
    <row r="4460" spans="1:1" x14ac:dyDescent="0.25">
      <c r="A4460" s="54" t="str">
        <f>LEFT('Liste des étudiants'!$W4460,3)</f>
        <v>438</v>
      </c>
    </row>
    <row r="4461" spans="1:1" x14ac:dyDescent="0.25">
      <c r="A4461" s="54" t="str">
        <f>LEFT('Liste des étudiants'!$W4461,3)</f>
        <v>438</v>
      </c>
    </row>
    <row r="4462" spans="1:1" x14ac:dyDescent="0.25">
      <c r="A4462" s="54" t="str">
        <f>LEFT('Liste des étudiants'!$W4462,3)</f>
        <v>438</v>
      </c>
    </row>
    <row r="4463" spans="1:1" x14ac:dyDescent="0.25">
      <c r="A4463" s="54" t="str">
        <f>LEFT('Liste des étudiants'!$W4463,3)</f>
        <v>438</v>
      </c>
    </row>
    <row r="4464" spans="1:1" x14ac:dyDescent="0.25">
      <c r="A4464" s="54" t="str">
        <f>LEFT('Liste des étudiants'!$W4464,3)</f>
        <v>438</v>
      </c>
    </row>
    <row r="4465" spans="1:1" x14ac:dyDescent="0.25">
      <c r="A4465" s="54" t="str">
        <f>LEFT('Liste des étudiants'!$W4465,3)</f>
        <v>438</v>
      </c>
    </row>
    <row r="4466" spans="1:1" x14ac:dyDescent="0.25">
      <c r="A4466" s="54" t="str">
        <f>LEFT('Liste des étudiants'!$W4466,3)</f>
        <v>438</v>
      </c>
    </row>
    <row r="4467" spans="1:1" x14ac:dyDescent="0.25">
      <c r="A4467" s="54" t="str">
        <f>LEFT('Liste des étudiants'!$W4467,3)</f>
        <v>438</v>
      </c>
    </row>
    <row r="4468" spans="1:1" x14ac:dyDescent="0.25">
      <c r="A4468" s="54" t="str">
        <f>LEFT('Liste des étudiants'!$W4468,3)</f>
        <v>438</v>
      </c>
    </row>
    <row r="4469" spans="1:1" x14ac:dyDescent="0.25">
      <c r="A4469" s="54" t="str">
        <f>LEFT('Liste des étudiants'!$W4469,3)</f>
        <v>438</v>
      </c>
    </row>
    <row r="4470" spans="1:1" x14ac:dyDescent="0.25">
      <c r="A4470" s="54" t="str">
        <f>LEFT('Liste des étudiants'!$W4470,3)</f>
        <v>438</v>
      </c>
    </row>
    <row r="4471" spans="1:1" x14ac:dyDescent="0.25">
      <c r="A4471" s="54" t="str">
        <f>LEFT('Liste des étudiants'!$W4471,3)</f>
        <v>438</v>
      </c>
    </row>
    <row r="4472" spans="1:1" x14ac:dyDescent="0.25">
      <c r="A4472" s="54" t="str">
        <f>LEFT('Liste des étudiants'!$W4472,3)</f>
        <v>438</v>
      </c>
    </row>
    <row r="4473" spans="1:1" x14ac:dyDescent="0.25">
      <c r="A4473" s="54" t="str">
        <f>LEFT('Liste des étudiants'!$W4473,3)</f>
        <v>438</v>
      </c>
    </row>
    <row r="4474" spans="1:1" x14ac:dyDescent="0.25">
      <c r="A4474" s="54" t="str">
        <f>LEFT('Liste des étudiants'!$W4474,3)</f>
        <v>438</v>
      </c>
    </row>
    <row r="4475" spans="1:1" x14ac:dyDescent="0.25">
      <c r="A4475" s="54" t="str">
        <f>LEFT('Liste des étudiants'!$W4475,3)</f>
        <v>438</v>
      </c>
    </row>
    <row r="4476" spans="1:1" x14ac:dyDescent="0.25">
      <c r="A4476" s="54" t="str">
        <f>LEFT('Liste des étudiants'!$W4476,3)</f>
        <v>438</v>
      </c>
    </row>
    <row r="4477" spans="1:1" x14ac:dyDescent="0.25">
      <c r="A4477" s="54" t="str">
        <f>LEFT('Liste des étudiants'!$W4477,3)</f>
        <v>438</v>
      </c>
    </row>
    <row r="4478" spans="1:1" x14ac:dyDescent="0.25">
      <c r="A4478" s="54" t="str">
        <f>LEFT('Liste des étudiants'!$W4478,3)</f>
        <v>438</v>
      </c>
    </row>
    <row r="4479" spans="1:1" x14ac:dyDescent="0.25">
      <c r="A4479" s="54" t="str">
        <f>LEFT('Liste des étudiants'!$W4479,3)</f>
        <v>438</v>
      </c>
    </row>
    <row r="4480" spans="1:1" x14ac:dyDescent="0.25">
      <c r="A4480" s="54" t="str">
        <f>LEFT('Liste des étudiants'!$W4480,3)</f>
        <v>438</v>
      </c>
    </row>
    <row r="4481" spans="1:1" x14ac:dyDescent="0.25">
      <c r="A4481" s="54" t="str">
        <f>LEFT('Liste des étudiants'!$W4481,3)</f>
        <v>438</v>
      </c>
    </row>
    <row r="4482" spans="1:1" x14ac:dyDescent="0.25">
      <c r="A4482" s="54" t="str">
        <f>LEFT('Liste des étudiants'!$W4482,3)</f>
        <v>438</v>
      </c>
    </row>
    <row r="4483" spans="1:1" x14ac:dyDescent="0.25">
      <c r="A4483" s="54" t="str">
        <f>LEFT('Liste des étudiants'!$W4483,3)</f>
        <v>438</v>
      </c>
    </row>
    <row r="4484" spans="1:1" x14ac:dyDescent="0.25">
      <c r="A4484" s="54" t="str">
        <f>LEFT('Liste des étudiants'!$W4484,3)</f>
        <v>438</v>
      </c>
    </row>
    <row r="4485" spans="1:1" x14ac:dyDescent="0.25">
      <c r="A4485" s="54" t="str">
        <f>LEFT('Liste des étudiants'!$W4485,3)</f>
        <v>438</v>
      </c>
    </row>
    <row r="4486" spans="1:1" x14ac:dyDescent="0.25">
      <c r="A4486" s="54" t="str">
        <f>LEFT('Liste des étudiants'!$W4486,3)</f>
        <v>438</v>
      </c>
    </row>
    <row r="4487" spans="1:1" x14ac:dyDescent="0.25">
      <c r="A4487" s="54" t="str">
        <f>LEFT('Liste des étudiants'!$W4487,3)</f>
        <v>418</v>
      </c>
    </row>
    <row r="4488" spans="1:1" x14ac:dyDescent="0.25">
      <c r="A4488" s="54" t="str">
        <f>LEFT('Liste des étudiants'!$W4488,3)</f>
        <v>438</v>
      </c>
    </row>
    <row r="4489" spans="1:1" x14ac:dyDescent="0.25">
      <c r="A4489" s="54" t="str">
        <f>LEFT('Liste des étudiants'!$W4489,3)</f>
        <v>438</v>
      </c>
    </row>
    <row r="4490" spans="1:1" x14ac:dyDescent="0.25">
      <c r="A4490" s="54" t="str">
        <f>LEFT('Liste des étudiants'!$W4490,3)</f>
        <v>438</v>
      </c>
    </row>
    <row r="4491" spans="1:1" x14ac:dyDescent="0.25">
      <c r="A4491" s="54" t="str">
        <f>LEFT('Liste des étudiants'!$W4491,3)</f>
        <v>438</v>
      </c>
    </row>
    <row r="4492" spans="1:1" x14ac:dyDescent="0.25">
      <c r="A4492" s="54" t="str">
        <f>LEFT('Liste des étudiants'!$W4492,3)</f>
        <v>438</v>
      </c>
    </row>
    <row r="4493" spans="1:1" x14ac:dyDescent="0.25">
      <c r="A4493" s="54" t="str">
        <f>LEFT('Liste des étudiants'!$W4493,3)</f>
        <v>438</v>
      </c>
    </row>
    <row r="4494" spans="1:1" x14ac:dyDescent="0.25">
      <c r="A4494" s="54" t="str">
        <f>LEFT('Liste des étudiants'!$W4494,3)</f>
        <v>438</v>
      </c>
    </row>
    <row r="4495" spans="1:1" x14ac:dyDescent="0.25">
      <c r="A4495" s="54" t="str">
        <f>LEFT('Liste des étudiants'!$W4495,3)</f>
        <v>438</v>
      </c>
    </row>
    <row r="4496" spans="1:1" x14ac:dyDescent="0.25">
      <c r="A4496" s="54" t="str">
        <f>LEFT('Liste des étudiants'!$W4496,3)</f>
        <v>438</v>
      </c>
    </row>
    <row r="4497" spans="1:1" x14ac:dyDescent="0.25">
      <c r="A4497" s="54" t="str">
        <f>LEFT('Liste des étudiants'!$W4497,3)</f>
        <v>438</v>
      </c>
    </row>
    <row r="4498" spans="1:1" x14ac:dyDescent="0.25">
      <c r="A4498" s="54" t="str">
        <f>LEFT('Liste des étudiants'!$W4498,3)</f>
        <v>438</v>
      </c>
    </row>
    <row r="4499" spans="1:1" x14ac:dyDescent="0.25">
      <c r="A4499" s="54" t="str">
        <f>LEFT('Liste des étudiants'!$W4499,3)</f>
        <v>438</v>
      </c>
    </row>
    <row r="4500" spans="1:1" x14ac:dyDescent="0.25">
      <c r="A4500" s="54" t="str">
        <f>LEFT('Liste des étudiants'!$W4500,3)</f>
        <v>438</v>
      </c>
    </row>
    <row r="4501" spans="1:1" x14ac:dyDescent="0.25">
      <c r="A4501" s="54" t="str">
        <f>LEFT('Liste des étudiants'!$W4501,3)</f>
        <v>438</v>
      </c>
    </row>
    <row r="4502" spans="1:1" x14ac:dyDescent="0.25">
      <c r="A4502" s="54" t="str">
        <f>LEFT('Liste des étudiants'!$W4502,3)</f>
        <v>438</v>
      </c>
    </row>
    <row r="4503" spans="1:1" x14ac:dyDescent="0.25">
      <c r="A4503" s="54" t="str">
        <f>LEFT('Liste des étudiants'!$W4503,3)</f>
        <v>438</v>
      </c>
    </row>
    <row r="4504" spans="1:1" x14ac:dyDescent="0.25">
      <c r="A4504" s="54" t="str">
        <f>LEFT('Liste des étudiants'!$W4504,3)</f>
        <v>438</v>
      </c>
    </row>
    <row r="4505" spans="1:1" x14ac:dyDescent="0.25">
      <c r="A4505" s="54" t="str">
        <f>LEFT('Liste des étudiants'!$W4505,3)</f>
        <v>438</v>
      </c>
    </row>
    <row r="4506" spans="1:1" x14ac:dyDescent="0.25">
      <c r="A4506" s="54" t="str">
        <f>LEFT('Liste des étudiants'!$W4506,3)</f>
        <v>438</v>
      </c>
    </row>
    <row r="4507" spans="1:1" x14ac:dyDescent="0.25">
      <c r="A4507" s="54" t="str">
        <f>LEFT('Liste des étudiants'!$W4507,3)</f>
        <v>438</v>
      </c>
    </row>
    <row r="4508" spans="1:1" x14ac:dyDescent="0.25">
      <c r="A4508" s="54" t="str">
        <f>LEFT('Liste des étudiants'!$W4508,3)</f>
        <v>438</v>
      </c>
    </row>
    <row r="4509" spans="1:1" x14ac:dyDescent="0.25">
      <c r="A4509" s="54" t="str">
        <f>LEFT('Liste des étudiants'!$W4509,3)</f>
        <v>438</v>
      </c>
    </row>
    <row r="4510" spans="1:1" x14ac:dyDescent="0.25">
      <c r="A4510" s="54" t="str">
        <f>LEFT('Liste des étudiants'!$W4510,3)</f>
        <v>438</v>
      </c>
    </row>
    <row r="4511" spans="1:1" x14ac:dyDescent="0.25">
      <c r="A4511" s="54" t="str">
        <f>LEFT('Liste des étudiants'!$W4511,3)</f>
        <v>418</v>
      </c>
    </row>
    <row r="4512" spans="1:1" x14ac:dyDescent="0.25">
      <c r="A4512" s="54" t="str">
        <f>LEFT('Liste des étudiants'!$W4512,3)</f>
        <v>438</v>
      </c>
    </row>
    <row r="4513" spans="1:1" x14ac:dyDescent="0.25">
      <c r="A4513" s="54" t="str">
        <f>LEFT('Liste des étudiants'!$W4513,3)</f>
        <v>438</v>
      </c>
    </row>
    <row r="4514" spans="1:1" x14ac:dyDescent="0.25">
      <c r="A4514" s="54" t="str">
        <f>LEFT('Liste des étudiants'!$W4514,3)</f>
        <v>438</v>
      </c>
    </row>
    <row r="4515" spans="1:1" x14ac:dyDescent="0.25">
      <c r="A4515" s="54" t="str">
        <f>LEFT('Liste des étudiants'!$W4515,3)</f>
        <v>438</v>
      </c>
    </row>
    <row r="4516" spans="1:1" x14ac:dyDescent="0.25">
      <c r="A4516" s="54" t="str">
        <f>LEFT('Liste des étudiants'!$W4516,3)</f>
        <v>438</v>
      </c>
    </row>
    <row r="4517" spans="1:1" x14ac:dyDescent="0.25">
      <c r="A4517" s="54" t="str">
        <f>LEFT('Liste des étudiants'!$W4517,3)</f>
        <v>438</v>
      </c>
    </row>
    <row r="4518" spans="1:1" x14ac:dyDescent="0.25">
      <c r="A4518" s="54" t="str">
        <f>LEFT('Liste des étudiants'!$W4518,3)</f>
        <v>438</v>
      </c>
    </row>
    <row r="4519" spans="1:1" x14ac:dyDescent="0.25">
      <c r="A4519" s="54" t="str">
        <f>LEFT('Liste des étudiants'!$W4519,3)</f>
        <v>438</v>
      </c>
    </row>
    <row r="4520" spans="1:1" x14ac:dyDescent="0.25">
      <c r="A4520" s="54" t="str">
        <f>LEFT('Liste des étudiants'!$W4520,3)</f>
        <v>438</v>
      </c>
    </row>
    <row r="4521" spans="1:1" x14ac:dyDescent="0.25">
      <c r="A4521" s="54" t="str">
        <f>LEFT('Liste des étudiants'!$W4521,3)</f>
        <v>438</v>
      </c>
    </row>
    <row r="4522" spans="1:1" x14ac:dyDescent="0.25">
      <c r="A4522" s="54" t="str">
        <f>LEFT('Liste des étudiants'!$W4522,3)</f>
        <v>438</v>
      </c>
    </row>
    <row r="4523" spans="1:1" x14ac:dyDescent="0.25">
      <c r="A4523" s="54" t="str">
        <f>LEFT('Liste des étudiants'!$W4523,3)</f>
        <v>438</v>
      </c>
    </row>
    <row r="4524" spans="1:1" x14ac:dyDescent="0.25">
      <c r="A4524" s="54" t="str">
        <f>LEFT('Liste des étudiants'!$W4524,3)</f>
        <v>418</v>
      </c>
    </row>
    <row r="4525" spans="1:1" x14ac:dyDescent="0.25">
      <c r="A4525" s="54" t="str">
        <f>LEFT('Liste des étudiants'!$W4525,3)</f>
        <v>438</v>
      </c>
    </row>
    <row r="4526" spans="1:1" x14ac:dyDescent="0.25">
      <c r="A4526" s="54" t="str">
        <f>LEFT('Liste des étudiants'!$W4526,3)</f>
        <v>438</v>
      </c>
    </row>
    <row r="4527" spans="1:1" x14ac:dyDescent="0.25">
      <c r="A4527" s="54" t="str">
        <f>LEFT('Liste des étudiants'!$W4527,3)</f>
        <v>438</v>
      </c>
    </row>
    <row r="4528" spans="1:1" x14ac:dyDescent="0.25">
      <c r="A4528" s="54" t="str">
        <f>LEFT('Liste des étudiants'!$W4528,3)</f>
        <v>438</v>
      </c>
    </row>
    <row r="4529" spans="1:1" x14ac:dyDescent="0.25">
      <c r="A4529" s="54" t="str">
        <f>LEFT('Liste des étudiants'!$W4529,3)</f>
        <v>438</v>
      </c>
    </row>
    <row r="4530" spans="1:1" x14ac:dyDescent="0.25">
      <c r="A4530" s="54" t="str">
        <f>LEFT('Liste des étudiants'!$W4530,3)</f>
        <v>438</v>
      </c>
    </row>
    <row r="4531" spans="1:1" x14ac:dyDescent="0.25">
      <c r="A4531" s="54" t="str">
        <f>LEFT('Liste des étudiants'!$W4531,3)</f>
        <v>438</v>
      </c>
    </row>
    <row r="4532" spans="1:1" x14ac:dyDescent="0.25">
      <c r="A4532" s="54" t="str">
        <f>LEFT('Liste des étudiants'!$W4532,3)</f>
        <v>438</v>
      </c>
    </row>
    <row r="4533" spans="1:1" x14ac:dyDescent="0.25">
      <c r="A4533" s="54" t="str">
        <f>LEFT('Liste des étudiants'!$W4533,3)</f>
        <v>438</v>
      </c>
    </row>
    <row r="4534" spans="1:1" x14ac:dyDescent="0.25">
      <c r="A4534" s="54" t="str">
        <f>LEFT('Liste des étudiants'!$W4534,3)</f>
        <v>438</v>
      </c>
    </row>
    <row r="4535" spans="1:1" x14ac:dyDescent="0.25">
      <c r="A4535" s="54" t="str">
        <f>LEFT('Liste des étudiants'!$W4535,3)</f>
        <v>438</v>
      </c>
    </row>
    <row r="4536" spans="1:1" x14ac:dyDescent="0.25">
      <c r="A4536" s="54" t="str">
        <f>LEFT('Liste des étudiants'!$W4536,3)</f>
        <v>438</v>
      </c>
    </row>
    <row r="4537" spans="1:1" x14ac:dyDescent="0.25">
      <c r="A4537" s="54" t="str">
        <f>LEFT('Liste des étudiants'!$W4537,3)</f>
        <v>438</v>
      </c>
    </row>
    <row r="4538" spans="1:1" x14ac:dyDescent="0.25">
      <c r="A4538" s="54" t="str">
        <f>LEFT('Liste des étudiants'!$W4538,3)</f>
        <v>438</v>
      </c>
    </row>
    <row r="4539" spans="1:1" x14ac:dyDescent="0.25">
      <c r="A4539" s="54" t="str">
        <f>LEFT('Liste des étudiants'!$W4539,3)</f>
        <v>438</v>
      </c>
    </row>
    <row r="4540" spans="1:1" x14ac:dyDescent="0.25">
      <c r="A4540" s="54" t="str">
        <f>LEFT('Liste des étudiants'!$W4540,3)</f>
        <v>438</v>
      </c>
    </row>
    <row r="4541" spans="1:1" x14ac:dyDescent="0.25">
      <c r="A4541" s="54" t="str">
        <f>LEFT('Liste des étudiants'!$W4541,3)</f>
        <v>438</v>
      </c>
    </row>
    <row r="4542" spans="1:1" x14ac:dyDescent="0.25">
      <c r="A4542" s="54" t="str">
        <f>LEFT('Liste des étudiants'!$W4542,3)</f>
        <v>438</v>
      </c>
    </row>
    <row r="4543" spans="1:1" x14ac:dyDescent="0.25">
      <c r="A4543" s="54" t="str">
        <f>LEFT('Liste des étudiants'!$W4543,3)</f>
        <v>438</v>
      </c>
    </row>
    <row r="4544" spans="1:1" x14ac:dyDescent="0.25">
      <c r="A4544" s="54" t="str">
        <f>LEFT('Liste des étudiants'!$W4544,3)</f>
        <v>418</v>
      </c>
    </row>
    <row r="4545" spans="1:1" x14ac:dyDescent="0.25">
      <c r="A4545" s="54" t="str">
        <f>LEFT('Liste des étudiants'!$W4545,3)</f>
        <v>438</v>
      </c>
    </row>
    <row r="4546" spans="1:1" x14ac:dyDescent="0.25">
      <c r="A4546" s="54" t="str">
        <f>LEFT('Liste des étudiants'!$W4546,3)</f>
        <v>438</v>
      </c>
    </row>
    <row r="4547" spans="1:1" x14ac:dyDescent="0.25">
      <c r="A4547" s="54" t="str">
        <f>LEFT('Liste des étudiants'!$W4547,3)</f>
        <v>438</v>
      </c>
    </row>
    <row r="4548" spans="1:1" x14ac:dyDescent="0.25">
      <c r="A4548" s="54" t="str">
        <f>LEFT('Liste des étudiants'!$W4548,3)</f>
        <v>438</v>
      </c>
    </row>
    <row r="4549" spans="1:1" x14ac:dyDescent="0.25">
      <c r="A4549" s="54" t="str">
        <f>LEFT('Liste des étudiants'!$W4549,3)</f>
        <v>438</v>
      </c>
    </row>
    <row r="4550" spans="1:1" x14ac:dyDescent="0.25">
      <c r="A4550" s="54" t="str">
        <f>LEFT('Liste des étudiants'!$W4550,3)</f>
        <v>438</v>
      </c>
    </row>
    <row r="4551" spans="1:1" x14ac:dyDescent="0.25">
      <c r="A4551" s="54" t="str">
        <f>LEFT('Liste des étudiants'!$W4551,3)</f>
        <v>438</v>
      </c>
    </row>
    <row r="4552" spans="1:1" x14ac:dyDescent="0.25">
      <c r="A4552" s="54" t="str">
        <f>LEFT('Liste des étudiants'!$W4552,3)</f>
        <v>438</v>
      </c>
    </row>
    <row r="4553" spans="1:1" x14ac:dyDescent="0.25">
      <c r="A4553" s="54" t="str">
        <f>LEFT('Liste des étudiants'!$W4553,3)</f>
        <v>438</v>
      </c>
    </row>
    <row r="4554" spans="1:1" x14ac:dyDescent="0.25">
      <c r="A4554" s="54" t="str">
        <f>LEFT('Liste des étudiants'!$W4554,3)</f>
        <v>438</v>
      </c>
    </row>
    <row r="4555" spans="1:1" x14ac:dyDescent="0.25">
      <c r="A4555" s="54" t="str">
        <f>LEFT('Liste des étudiants'!$W4555,3)</f>
        <v>438</v>
      </c>
    </row>
    <row r="4556" spans="1:1" x14ac:dyDescent="0.25">
      <c r="A4556" s="54" t="str">
        <f>LEFT('Liste des étudiants'!$W4556,3)</f>
        <v>438</v>
      </c>
    </row>
    <row r="4557" spans="1:1" x14ac:dyDescent="0.25">
      <c r="A4557" s="54" t="str">
        <f>LEFT('Liste des étudiants'!$W4557,3)</f>
        <v>438</v>
      </c>
    </row>
    <row r="4558" spans="1:1" x14ac:dyDescent="0.25">
      <c r="A4558" s="54" t="str">
        <f>LEFT('Liste des étudiants'!$W4558,3)</f>
        <v>438</v>
      </c>
    </row>
    <row r="4559" spans="1:1" x14ac:dyDescent="0.25">
      <c r="A4559" s="54" t="str">
        <f>LEFT('Liste des étudiants'!$W4559,3)</f>
        <v>438</v>
      </c>
    </row>
    <row r="4560" spans="1:1" x14ac:dyDescent="0.25">
      <c r="A4560" s="54" t="str">
        <f>LEFT('Liste des étudiants'!$W4560,3)</f>
        <v>438</v>
      </c>
    </row>
    <row r="4561" spans="1:1" x14ac:dyDescent="0.25">
      <c r="A4561" s="54" t="str">
        <f>LEFT('Liste des étudiants'!$W4561,3)</f>
        <v>438</v>
      </c>
    </row>
    <row r="4562" spans="1:1" x14ac:dyDescent="0.25">
      <c r="A4562" s="54" t="str">
        <f>LEFT('Liste des étudiants'!$W4562,3)</f>
        <v>438</v>
      </c>
    </row>
    <row r="4563" spans="1:1" x14ac:dyDescent="0.25">
      <c r="A4563" s="54" t="str">
        <f>LEFT('Liste des étudiants'!$W4563,3)</f>
        <v>438</v>
      </c>
    </row>
    <row r="4564" spans="1:1" x14ac:dyDescent="0.25">
      <c r="A4564" s="54" t="str">
        <f>LEFT('Liste des étudiants'!$W4564,3)</f>
        <v>438</v>
      </c>
    </row>
    <row r="4565" spans="1:1" x14ac:dyDescent="0.25">
      <c r="A4565" s="54" t="str">
        <f>LEFT('Liste des étudiants'!$W4565,3)</f>
        <v>438</v>
      </c>
    </row>
    <row r="4566" spans="1:1" x14ac:dyDescent="0.25">
      <c r="A4566" s="54" t="str">
        <f>LEFT('Liste des étudiants'!$W4566,3)</f>
        <v>438</v>
      </c>
    </row>
    <row r="4567" spans="1:1" x14ac:dyDescent="0.25">
      <c r="A4567" s="54" t="str">
        <f>LEFT('Liste des étudiants'!$W4567,3)</f>
        <v>438</v>
      </c>
    </row>
    <row r="4568" spans="1:1" x14ac:dyDescent="0.25">
      <c r="A4568" s="54" t="str">
        <f>LEFT('Liste des étudiants'!$W4568,3)</f>
        <v>438</v>
      </c>
    </row>
    <row r="4569" spans="1:1" x14ac:dyDescent="0.25">
      <c r="A4569" s="54" t="str">
        <f>LEFT('Liste des étudiants'!$W4569,3)</f>
        <v>438</v>
      </c>
    </row>
    <row r="4570" spans="1:1" x14ac:dyDescent="0.25">
      <c r="A4570" s="54" t="str">
        <f>LEFT('Liste des étudiants'!$W4570,3)</f>
        <v>438</v>
      </c>
    </row>
    <row r="4571" spans="1:1" x14ac:dyDescent="0.25">
      <c r="A4571" s="54" t="str">
        <f>LEFT('Liste des étudiants'!$W4571,3)</f>
        <v>438</v>
      </c>
    </row>
    <row r="4572" spans="1:1" x14ac:dyDescent="0.25">
      <c r="A4572" s="54" t="str">
        <f>LEFT('Liste des étudiants'!$W4572,3)</f>
        <v>438</v>
      </c>
    </row>
    <row r="4573" spans="1:1" x14ac:dyDescent="0.25">
      <c r="A4573" s="54" t="str">
        <f>LEFT('Liste des étudiants'!$W4573,3)</f>
        <v>438</v>
      </c>
    </row>
    <row r="4574" spans="1:1" x14ac:dyDescent="0.25">
      <c r="A4574" s="54" t="str">
        <f>LEFT('Liste des étudiants'!$W4574,3)</f>
        <v>438</v>
      </c>
    </row>
    <row r="4575" spans="1:1" x14ac:dyDescent="0.25">
      <c r="A4575" s="54" t="str">
        <f>LEFT('Liste des étudiants'!$W4575,3)</f>
        <v>438</v>
      </c>
    </row>
    <row r="4576" spans="1:1" x14ac:dyDescent="0.25">
      <c r="A4576" s="54" t="str">
        <f>LEFT('Liste des étudiants'!$W4576,3)</f>
        <v>438</v>
      </c>
    </row>
    <row r="4577" spans="1:1" x14ac:dyDescent="0.25">
      <c r="A4577" s="54" t="str">
        <f>LEFT('Liste des étudiants'!$W4577,3)</f>
        <v>438</v>
      </c>
    </row>
    <row r="4578" spans="1:1" x14ac:dyDescent="0.25">
      <c r="A4578" s="54" t="str">
        <f>LEFT('Liste des étudiants'!$W4578,3)</f>
        <v>438</v>
      </c>
    </row>
    <row r="4579" spans="1:1" x14ac:dyDescent="0.25">
      <c r="A4579" s="54" t="str">
        <f>LEFT('Liste des étudiants'!$W4579,3)</f>
        <v>438</v>
      </c>
    </row>
    <row r="4580" spans="1:1" x14ac:dyDescent="0.25">
      <c r="A4580" s="54" t="str">
        <f>LEFT('Liste des étudiants'!$W4580,3)</f>
        <v>438</v>
      </c>
    </row>
    <row r="4581" spans="1:1" x14ac:dyDescent="0.25">
      <c r="A4581" s="54" t="str">
        <f>LEFT('Liste des étudiants'!$W4581,3)</f>
        <v>438</v>
      </c>
    </row>
    <row r="4582" spans="1:1" x14ac:dyDescent="0.25">
      <c r="A4582" s="54" t="str">
        <f>LEFT('Liste des étudiants'!$W4582,3)</f>
        <v>438</v>
      </c>
    </row>
    <row r="4583" spans="1:1" x14ac:dyDescent="0.25">
      <c r="A4583" s="54" t="str">
        <f>LEFT('Liste des étudiants'!$W4583,3)</f>
        <v>438</v>
      </c>
    </row>
    <row r="4584" spans="1:1" x14ac:dyDescent="0.25">
      <c r="A4584" s="54" t="str">
        <f>LEFT('Liste des étudiants'!$W4584,3)</f>
        <v>438</v>
      </c>
    </row>
    <row r="4585" spans="1:1" x14ac:dyDescent="0.25">
      <c r="A4585" s="54" t="str">
        <f>LEFT('Liste des étudiants'!$W4585,3)</f>
        <v>438</v>
      </c>
    </row>
    <row r="4586" spans="1:1" x14ac:dyDescent="0.25">
      <c r="A4586" s="54" t="str">
        <f>LEFT('Liste des étudiants'!$W4586,3)</f>
        <v>438</v>
      </c>
    </row>
    <row r="4587" spans="1:1" x14ac:dyDescent="0.25">
      <c r="A4587" s="54" t="str">
        <f>LEFT('Liste des étudiants'!$W4587,3)</f>
        <v>438</v>
      </c>
    </row>
    <row r="4588" spans="1:1" x14ac:dyDescent="0.25">
      <c r="A4588" s="54" t="str">
        <f>LEFT('Liste des étudiants'!$W4588,3)</f>
        <v>438</v>
      </c>
    </row>
    <row r="4589" spans="1:1" x14ac:dyDescent="0.25">
      <c r="A4589" s="54" t="str">
        <f>LEFT('Liste des étudiants'!$W4589,3)</f>
        <v>438</v>
      </c>
    </row>
    <row r="4590" spans="1:1" x14ac:dyDescent="0.25">
      <c r="A4590" s="54" t="str">
        <f>LEFT('Liste des étudiants'!$W4590,3)</f>
        <v>418</v>
      </c>
    </row>
    <row r="4591" spans="1:1" x14ac:dyDescent="0.25">
      <c r="A4591" s="54" t="str">
        <f>LEFT('Liste des étudiants'!$W4591,3)</f>
        <v>438</v>
      </c>
    </row>
    <row r="4592" spans="1:1" x14ac:dyDescent="0.25">
      <c r="A4592" s="54" t="str">
        <f>LEFT('Liste des étudiants'!$W4592,3)</f>
        <v>438</v>
      </c>
    </row>
    <row r="4593" spans="1:1" x14ac:dyDescent="0.25">
      <c r="A4593" s="54" t="str">
        <f>LEFT('Liste des étudiants'!$W4593,3)</f>
        <v>438</v>
      </c>
    </row>
    <row r="4594" spans="1:1" x14ac:dyDescent="0.25">
      <c r="A4594" s="54" t="str">
        <f>LEFT('Liste des étudiants'!$W4594,3)</f>
        <v>438</v>
      </c>
    </row>
    <row r="4595" spans="1:1" x14ac:dyDescent="0.25">
      <c r="A4595" s="54" t="str">
        <f>LEFT('Liste des étudiants'!$W4595,3)</f>
        <v>438</v>
      </c>
    </row>
    <row r="4596" spans="1:1" x14ac:dyDescent="0.25">
      <c r="A4596" s="54" t="str">
        <f>LEFT('Liste des étudiants'!$W4596,3)</f>
        <v>438</v>
      </c>
    </row>
    <row r="4597" spans="1:1" x14ac:dyDescent="0.25">
      <c r="A4597" s="54" t="str">
        <f>LEFT('Liste des étudiants'!$W4597,3)</f>
        <v>438</v>
      </c>
    </row>
    <row r="4598" spans="1:1" x14ac:dyDescent="0.25">
      <c r="A4598" s="54" t="str">
        <f>LEFT('Liste des étudiants'!$W4598,3)</f>
        <v>438</v>
      </c>
    </row>
    <row r="4599" spans="1:1" x14ac:dyDescent="0.25">
      <c r="A4599" s="54" t="str">
        <f>LEFT('Liste des étudiants'!$W4599,3)</f>
        <v>438</v>
      </c>
    </row>
    <row r="4600" spans="1:1" x14ac:dyDescent="0.25">
      <c r="A4600" s="54" t="str">
        <f>LEFT('Liste des étudiants'!$W4600,3)</f>
        <v>438</v>
      </c>
    </row>
    <row r="4601" spans="1:1" x14ac:dyDescent="0.25">
      <c r="A4601" s="54" t="str">
        <f>LEFT('Liste des étudiants'!$W4601,3)</f>
        <v>438</v>
      </c>
    </row>
    <row r="4602" spans="1:1" x14ac:dyDescent="0.25">
      <c r="A4602" s="54" t="str">
        <f>LEFT('Liste des étudiants'!$W4602,3)</f>
        <v>438</v>
      </c>
    </row>
    <row r="4603" spans="1:1" x14ac:dyDescent="0.25">
      <c r="A4603" s="54" t="str">
        <f>LEFT('Liste des étudiants'!$W4603,3)</f>
        <v>438</v>
      </c>
    </row>
    <row r="4604" spans="1:1" x14ac:dyDescent="0.25">
      <c r="A4604" s="54" t="str">
        <f>LEFT('Liste des étudiants'!$W4604,3)</f>
        <v>438</v>
      </c>
    </row>
    <row r="4605" spans="1:1" x14ac:dyDescent="0.25">
      <c r="A4605" s="54" t="str">
        <f>LEFT('Liste des étudiants'!$W4605,3)</f>
        <v>438</v>
      </c>
    </row>
    <row r="4606" spans="1:1" x14ac:dyDescent="0.25">
      <c r="A4606" s="54" t="str">
        <f>LEFT('Liste des étudiants'!$W4606,3)</f>
        <v>438</v>
      </c>
    </row>
    <row r="4607" spans="1:1" x14ac:dyDescent="0.25">
      <c r="A4607" s="54" t="str">
        <f>LEFT('Liste des étudiants'!$W4607,3)</f>
        <v>438</v>
      </c>
    </row>
    <row r="4608" spans="1:1" x14ac:dyDescent="0.25">
      <c r="A4608" s="54" t="str">
        <f>LEFT('Liste des étudiants'!$W4608,3)</f>
        <v>438</v>
      </c>
    </row>
    <row r="4609" spans="1:1" x14ac:dyDescent="0.25">
      <c r="A4609" s="54" t="str">
        <f>LEFT('Liste des étudiants'!$W4609,3)</f>
        <v>438</v>
      </c>
    </row>
    <row r="4610" spans="1:1" x14ac:dyDescent="0.25">
      <c r="A4610" s="54" t="str">
        <f>LEFT('Liste des étudiants'!$W4610,3)</f>
        <v>418</v>
      </c>
    </row>
    <row r="4611" spans="1:1" x14ac:dyDescent="0.25">
      <c r="A4611" s="54" t="str">
        <f>LEFT('Liste des étudiants'!$W4611,3)</f>
        <v>438</v>
      </c>
    </row>
    <row r="4612" spans="1:1" x14ac:dyDescent="0.25">
      <c r="A4612" s="54" t="str">
        <f>LEFT('Liste des étudiants'!$W4612,3)</f>
        <v>438</v>
      </c>
    </row>
    <row r="4613" spans="1:1" x14ac:dyDescent="0.25">
      <c r="A4613" s="54" t="str">
        <f>LEFT('Liste des étudiants'!$W4613,3)</f>
        <v>438</v>
      </c>
    </row>
    <row r="4614" spans="1:1" x14ac:dyDescent="0.25">
      <c r="A4614" s="54" t="str">
        <f>LEFT('Liste des étudiants'!$W4614,3)</f>
        <v>438</v>
      </c>
    </row>
    <row r="4615" spans="1:1" x14ac:dyDescent="0.25">
      <c r="A4615" s="54" t="str">
        <f>LEFT('Liste des étudiants'!$W4615,3)</f>
        <v>418</v>
      </c>
    </row>
    <row r="4616" spans="1:1" x14ac:dyDescent="0.25">
      <c r="A4616" s="54" t="str">
        <f>LEFT('Liste des étudiants'!$W4616,3)</f>
        <v>416</v>
      </c>
    </row>
    <row r="4617" spans="1:1" x14ac:dyDescent="0.25">
      <c r="A4617" s="54" t="str">
        <f>LEFT('Liste des étudiants'!$W4617,3)</f>
        <v>250</v>
      </c>
    </row>
    <row r="4618" spans="1:1" x14ac:dyDescent="0.25">
      <c r="A4618" s="54" t="str">
        <f>LEFT('Liste des étudiants'!$W4618,3)</f>
        <v>405</v>
      </c>
    </row>
  </sheetData>
  <conditionalFormatting sqref="B2:C17">
    <cfRule type="expression" dxfId="0" priority="1">
      <formula>$C2=MAX($C$2:$C$17)</formula>
    </cfRule>
  </conditionalFormatting>
  <pageMargins left="0.7" right="0.7" top="0.75" bottom="0.75" header="0.3" footer="0.3"/>
  <pageSetup orientation="portrait" r:id="rId1"/>
  <ignoredErrors>
    <ignoredError sqref="B2:B16"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186503EFDAEEC4593F811EB5931A612" ma:contentTypeVersion="13" ma:contentTypeDescription="Crée un document." ma:contentTypeScope="" ma:versionID="ef9ab39be92d16e38db6c8d66fbc4a7d">
  <xsd:schema xmlns:xsd="http://www.w3.org/2001/XMLSchema" xmlns:xs="http://www.w3.org/2001/XMLSchema" xmlns:p="http://schemas.microsoft.com/office/2006/metadata/properties" xmlns:ns3="b291f23d-e586-4be8-a323-edf33052517e" xmlns:ns4="fc96d59d-6d63-471e-a507-40faba1ea3c1" targetNamespace="http://schemas.microsoft.com/office/2006/metadata/properties" ma:root="true" ma:fieldsID="e6280c76a3ddd0b4fb3e42211dd9e441" ns3:_="" ns4:_="">
    <xsd:import namespace="b291f23d-e586-4be8-a323-edf33052517e"/>
    <xsd:import namespace="fc96d59d-6d63-471e-a507-40faba1ea3c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91f23d-e586-4be8-a323-edf33052517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96d59d-6d63-471e-a507-40faba1ea3c1" elementFormDefault="qualified">
    <xsd:import namespace="http://schemas.microsoft.com/office/2006/documentManagement/types"/>
    <xsd:import namespace="http://schemas.microsoft.com/office/infopath/2007/PartnerControls"/>
    <xsd:element name="SharedWithUsers" ma:index="16"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Partagé avec détails" ma:internalName="SharedWithDetails" ma:readOnly="true">
      <xsd:simpleType>
        <xsd:restriction base="dms:Note">
          <xsd:maxLength value="255"/>
        </xsd:restriction>
      </xsd:simpleType>
    </xsd:element>
    <xsd:element name="SharingHintHash" ma:index="18" nillable="true" ma:displayName="Partage du hachage d’indicateu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23053E7-B918-4ACA-A104-46B15EB88AE3}">
  <ds:schemaRefs>
    <ds:schemaRef ds:uri="http://schemas.microsoft.com/sharepoint/v3/contenttype/forms"/>
  </ds:schemaRefs>
</ds:datastoreItem>
</file>

<file path=customXml/itemProps2.xml><?xml version="1.0" encoding="utf-8"?>
<ds:datastoreItem xmlns:ds="http://schemas.openxmlformats.org/officeDocument/2006/customXml" ds:itemID="{18A2552C-0572-4887-84C8-94900E1E73CE}">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A5B22816-F933-43F5-9D9C-2536DB1753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91f23d-e586-4be8-a323-edf33052517e"/>
    <ds:schemaRef ds:uri="fc96d59d-6d63-471e-a507-40faba1ea3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14</vt:i4>
      </vt:variant>
    </vt:vector>
  </HeadingPairs>
  <TitlesOfParts>
    <vt:vector size="14" baseType="lpstr">
      <vt:lpstr>Liste des étudiants</vt:lpstr>
      <vt:lpstr>Nombre aléatoires</vt:lpstr>
      <vt:lpstr>Liste des Villes</vt:lpstr>
      <vt:lpstr>Liste des MRC</vt:lpstr>
      <vt:lpstr>Liste des Régions</vt:lpstr>
      <vt:lpstr>Villes en erreur</vt:lpstr>
      <vt:lpstr>Commentaires</vt:lpstr>
      <vt:lpstr>Le nombre d'étudiants par API</vt:lpstr>
      <vt:lpstr>Les 5 plus jeunes étudiants</vt:lpstr>
      <vt:lpstr>Rapport Gars-Filles</vt:lpstr>
      <vt:lpstr>Nombre d'étudiants par région</vt:lpstr>
      <vt:lpstr>Nombre d'élèves par programme</vt:lpstr>
      <vt:lpstr>Ceux qui sont finissants</vt:lpstr>
      <vt:lpstr>Code régional le plus répandu</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H2021</dc:title>
  <dc:subject>groupe 101</dc:subject>
  <dc:creator>Karine Moreau</dc:creator>
  <cp:keywords/>
  <dc:description/>
  <cp:lastModifiedBy>Olivier Bourgault</cp:lastModifiedBy>
  <cp:revision/>
  <dcterms:created xsi:type="dcterms:W3CDTF">2019-09-04T14:25:31Z</dcterms:created>
  <dcterms:modified xsi:type="dcterms:W3CDTF">2023-08-25T20:00:15Z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0x0101003186503EFDAEEC4593F811EB5931A612</vt:lpwstr>
  </property>
  <property fmtid="{D5CDD505-2E9C-101B-9397-08002B2CF9AE}" pid="3" name="Matricule">
    <vt:lpwstr>9</vt:lpwstr>
  </property>
  <property fmtid="{D5CDD505-2E9C-101B-9397-08002B2CF9AE}" pid="4" name="Nom">
    <vt:lpwstr>Bourgault Olivier</vt:lpwstr>
  </property>
</Properties>
</file>